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drawings/drawing3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drawings/drawing4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30" windowWidth="18195" windowHeight="12075" tabRatio="792"/>
  </bookViews>
  <sheets>
    <sheet name="CONTROL" sheetId="1" r:id="rId1"/>
    <sheet name="RAP-SOLID FUEL PRICES" sheetId="2" r:id="rId2"/>
    <sheet name="RAP-LIGHT OIL" sheetId="3" r:id="rId3"/>
    <sheet name="RAP-HEAVY OIL&amp;WTI" sheetId="4" r:id="rId4"/>
    <sheet name="RAP-NATURAL GAS PRICES" sheetId="5" r:id="rId5"/>
    <sheet name="RAP TEMPLATE-GAS AVAILABILITY" sheetId="6" r:id="rId6"/>
  </sheets>
  <externalReferences>
    <externalReference r:id="rId7"/>
    <externalReference r:id="rId8"/>
    <externalReference r:id="rId9"/>
    <externalReference r:id="rId10"/>
  </externalReferences>
  <definedNames>
    <definedName name="__123Graph_A" hidden="1">'[1]FPL MOST LIKELY GAS BACKUP 1'!#REF!</definedName>
    <definedName name="__123Graph_B" hidden="1">'[1]FPL MOST LIKELY GAS BACKUP 1'!#REF!</definedName>
    <definedName name="__123Graph_X" hidden="1">'[1]FPL MOST LIKELY GAS BACKUP 1'!#REF!</definedName>
    <definedName name="_1">#REF!</definedName>
    <definedName name="_1A">#REF!</definedName>
    <definedName name="_2">#REF!</definedName>
    <definedName name="_3">#REF!</definedName>
    <definedName name="_4">#REF!</definedName>
    <definedName name="_5">#REF!</definedName>
    <definedName name="_6">#REF!</definedName>
    <definedName name="_7">#REF!</definedName>
    <definedName name="_8">#REF!</definedName>
    <definedName name="_9394GAS">#REF!</definedName>
    <definedName name="_9394OIL">#REF!</definedName>
    <definedName name="_C1">#REF!</definedName>
    <definedName name="_GIP1">#REF!</definedName>
    <definedName name="_SYP1">#REF!</definedName>
    <definedName name="C_">#REF!</definedName>
    <definedName name="CC1_">#REF!</definedName>
    <definedName name="COMPET">#REF!</definedName>
    <definedName name="CopyXC">#REF!</definedName>
    <definedName name="DatabaseNameCopy">#REF!</definedName>
    <definedName name="DatabaseNameDG">#REF!</definedName>
    <definedName name="DateColumn">[2]_Setup_!#REF!</definedName>
    <definedName name="DestColRowXC">#REF!</definedName>
    <definedName name="DestDBname">#REF!</definedName>
    <definedName name="DestHdrRowColXC">#REF!</definedName>
    <definedName name="DestLayoutXC">#REF!</definedName>
    <definedName name="DestRowColXC">#REF!</definedName>
    <definedName name="DestStudyName">#REF!</definedName>
    <definedName name="DestStudyNameCopy">#REF!</definedName>
    <definedName name="DestUserName">#REF!</definedName>
    <definedName name="DestWorksheetXC">#REF!</definedName>
    <definedName name="EffectiveDate">[2]_Setup_!#REF!</definedName>
    <definedName name="FIRM">#REF!</definedName>
    <definedName name="FIRM1">#REF!</definedName>
    <definedName name="GAS">#REF!</definedName>
    <definedName name="GASAVAIL">#REF!</definedName>
    <definedName name="GIP">#REF!</definedName>
    <definedName name="HeaderXC">#REF!</definedName>
    <definedName name="I5_">#REF!</definedName>
    <definedName name="I6_">#REF!</definedName>
    <definedName name="I7_">#REF!</definedName>
    <definedName name="ImportListDG">#REF!</definedName>
    <definedName name="INDEXDATA">'[3]Index-Data'!$A$2:$CG$68</definedName>
    <definedName name="INFLAT">#REF!</definedName>
    <definedName name="LayoutXC">#REF!</definedName>
    <definedName name="Messages">[4]_UnregulatedCurves_!#REF!</definedName>
    <definedName name="MessagesDG">#REF!</definedName>
    <definedName name="MessagesDW">[4]_UnregulatedCurves_!#REF!</definedName>
    <definedName name="MONTH">#REF!</definedName>
    <definedName name="MONTH1">#REF!</definedName>
    <definedName name="MONTHID">'[3]Misc-Data'!$A$2:$F$85</definedName>
    <definedName name="MONTHS2">#REF!</definedName>
    <definedName name="MONTHS3">#REF!</definedName>
    <definedName name="MONTHS4">#REF!</definedName>
    <definedName name="MONTHS5">#REF!</definedName>
    <definedName name="MONTHS6">#REF!</definedName>
    <definedName name="MONTHS7">#REF!</definedName>
    <definedName name="OIPBBL">#REF!</definedName>
    <definedName name="OIPBBL1">#REF!</definedName>
    <definedName name="PasswordCopy">#REF!</definedName>
    <definedName name="PasswordDG">#REF!</definedName>
    <definedName name="PHASEII">#REF!</definedName>
    <definedName name="PHASEII1">#REF!</definedName>
    <definedName name="PHASEIII">#REF!</definedName>
    <definedName name="PHASEIII1">#REF!</definedName>
    <definedName name="pipedes">'[3]Misc-Data'!$D$2:$F$69</definedName>
    <definedName name="_xlnm.Print_Area" localSheetId="5">'RAP TEMPLATE-GAS AVAILABILITY'!$A$12:$T$1159</definedName>
    <definedName name="_xlnm.Print_Area" localSheetId="3">'RAP-HEAVY OIL&amp;WTI'!$A$12:$J$1158</definedName>
    <definedName name="_xlnm.Print_Area" localSheetId="2">'RAP-LIGHT OIL'!$A$12:$K$1158</definedName>
    <definedName name="_xlnm.Print_Area" localSheetId="4">'RAP-NATURAL GAS PRICES'!$A$13:$AC$1158</definedName>
    <definedName name="_xlnm.Print_Area" localSheetId="1">'RAP-SOLID FUEL PRICES'!$A$14:$O$1159</definedName>
    <definedName name="_xlnm.Print_Titles" localSheetId="5">'RAP TEMPLATE-GAS AVAILABILITY'!$1:$11</definedName>
    <definedName name="_xlnm.Print_Titles" localSheetId="3">'RAP-HEAVY OIL&amp;WTI'!$1:$11</definedName>
    <definedName name="_xlnm.Print_Titles" localSheetId="2">'RAP-LIGHT OIL'!$1:$11</definedName>
    <definedName name="_xlnm.Print_Titles" localSheetId="4">'RAP-NATURAL GAS PRICES'!$1:$12</definedName>
    <definedName name="_xlnm.Print_Titles" localSheetId="1">'RAP-SOLID FUEL PRICES'!$1:$13</definedName>
    <definedName name="RESULTS">#REF!</definedName>
    <definedName name="RESULTS1">#REF!</definedName>
    <definedName name="RESULTS2">#REF!</definedName>
    <definedName name="RESULTS3">#REF!</definedName>
    <definedName name="RESULTS4">#REF!</definedName>
    <definedName name="RESULTSA">#REF!</definedName>
    <definedName name="RowStart">[2]_Setup_!#REF!</definedName>
    <definedName name="SelectListCopy">#REF!</definedName>
    <definedName name="SFOR">#REF!</definedName>
    <definedName name="SFOR1">#REF!</definedName>
    <definedName name="SourceDBname">#REF!</definedName>
    <definedName name="SourceStudyName">#REF!</definedName>
    <definedName name="SourceStudyNameCopy">#REF!</definedName>
    <definedName name="SourceUserName">#REF!</definedName>
    <definedName name="SrcColRowXC">#REF!</definedName>
    <definedName name="SrcFileXC">#REF!</definedName>
    <definedName name="SrcStartRowColXC">#REF!</definedName>
    <definedName name="SrcWorksheetXC">#REF!</definedName>
    <definedName name="StatusCopy">#REF!</definedName>
    <definedName name="StatusDG">#REF!</definedName>
    <definedName name="StatusXC">#REF!</definedName>
    <definedName name="StudyNameDG">#REF!</definedName>
    <definedName name="SYP">#REF!</definedName>
    <definedName name="SYSGAS">#REF!</definedName>
    <definedName name="TITLES">#REF!</definedName>
    <definedName name="TOBBL">#REF!</definedName>
    <definedName name="TotalRowColXC">#REF!</definedName>
    <definedName name="TransferListDG">#REF!</definedName>
    <definedName name="TTG">#REF!</definedName>
    <definedName name="UserNameCopy">#REF!</definedName>
    <definedName name="UserNameDG">#REF!</definedName>
    <definedName name="VOLUMES">#REF!</definedName>
    <definedName name="VOLUMES1">#REF!</definedName>
    <definedName name="YEAR">#REF!</definedName>
    <definedName name="YEARS">#REF!</definedName>
  </definedNames>
  <calcPr calcId="145621" calcMode="manual"/>
</workbook>
</file>

<file path=xl/calcChain.xml><?xml version="1.0" encoding="utf-8"?>
<calcChain xmlns="http://schemas.openxmlformats.org/spreadsheetml/2006/main">
  <c r="C20" i="6" l="1"/>
  <c r="D20" i="6"/>
  <c r="E20" i="6"/>
  <c r="F20" i="6"/>
  <c r="L20" i="6"/>
  <c r="N20" i="6"/>
  <c r="P20" i="6"/>
  <c r="Q20" i="6" s="1"/>
  <c r="Q1069" i="6" s="1"/>
  <c r="R20" i="6"/>
  <c r="T20" i="6"/>
  <c r="C21" i="6"/>
  <c r="D21" i="6"/>
  <c r="E21" i="6"/>
  <c r="F21" i="6"/>
  <c r="L21" i="6" s="1"/>
  <c r="N21" i="6"/>
  <c r="P21" i="6"/>
  <c r="R21" i="6"/>
  <c r="Q21" i="6" s="1"/>
  <c r="S21" i="6"/>
  <c r="T21" i="6"/>
  <c r="C22" i="6"/>
  <c r="D22" i="6"/>
  <c r="E22" i="6"/>
  <c r="F22" i="6"/>
  <c r="N22" i="6"/>
  <c r="Q22" i="6"/>
  <c r="R22" i="6"/>
  <c r="S22" i="6"/>
  <c r="T22" i="6"/>
  <c r="C23" i="6"/>
  <c r="D23" i="6"/>
  <c r="E23" i="6"/>
  <c r="F23" i="6"/>
  <c r="L23" i="6"/>
  <c r="N23" i="6"/>
  <c r="R23" i="6"/>
  <c r="Q23" i="6" s="1"/>
  <c r="S23" i="6" s="1"/>
  <c r="T23" i="6"/>
  <c r="C24" i="6"/>
  <c r="D24" i="6"/>
  <c r="L24" i="6" s="1"/>
  <c r="E24" i="6"/>
  <c r="F24" i="6"/>
  <c r="N24" i="6"/>
  <c r="R24" i="6"/>
  <c r="Q24" i="6" s="1"/>
  <c r="S24" i="6" s="1"/>
  <c r="T24" i="6"/>
  <c r="C25" i="6"/>
  <c r="L25" i="6" s="1"/>
  <c r="D25" i="6"/>
  <c r="E25" i="6"/>
  <c r="F25" i="6"/>
  <c r="N25" i="6"/>
  <c r="R25" i="6"/>
  <c r="Q25" i="6" s="1"/>
  <c r="S25" i="6"/>
  <c r="T25" i="6"/>
  <c r="C26" i="6"/>
  <c r="D26" i="6"/>
  <c r="E26" i="6"/>
  <c r="F26" i="6"/>
  <c r="N26" i="6"/>
  <c r="Q26" i="6"/>
  <c r="R26" i="6"/>
  <c r="S26" i="6"/>
  <c r="T26" i="6"/>
  <c r="C27" i="6"/>
  <c r="D27" i="6"/>
  <c r="E27" i="6"/>
  <c r="F27" i="6"/>
  <c r="L27" i="6"/>
  <c r="N27" i="6"/>
  <c r="P27" i="6"/>
  <c r="Q27" i="6"/>
  <c r="R27" i="6"/>
  <c r="T27" i="6"/>
  <c r="C28" i="6"/>
  <c r="D28" i="6"/>
  <c r="E28" i="6"/>
  <c r="F28" i="6"/>
  <c r="L28" i="6"/>
  <c r="N28" i="6"/>
  <c r="P28" i="6"/>
  <c r="R28" i="6"/>
  <c r="Q28" i="6" s="1"/>
  <c r="S28" i="6"/>
  <c r="T28" i="6"/>
  <c r="C29" i="6"/>
  <c r="D29" i="6"/>
  <c r="E29" i="6"/>
  <c r="F29" i="6"/>
  <c r="N29" i="6"/>
  <c r="P29" i="6"/>
  <c r="R29" i="6"/>
  <c r="Q29" i="6" s="1"/>
  <c r="S29" i="6" s="1"/>
  <c r="T29" i="6"/>
  <c r="C30" i="6"/>
  <c r="D30" i="6"/>
  <c r="E30" i="6"/>
  <c r="F30" i="6"/>
  <c r="N30" i="6"/>
  <c r="P30" i="6"/>
  <c r="S30" i="6" s="1"/>
  <c r="R30" i="6"/>
  <c r="Q30" i="6" s="1"/>
  <c r="T30" i="6"/>
  <c r="C31" i="6"/>
  <c r="D31" i="6"/>
  <c r="E31" i="6"/>
  <c r="F31" i="6"/>
  <c r="N31" i="6"/>
  <c r="P31" i="6"/>
  <c r="R31" i="6"/>
  <c r="Q31" i="6" s="1"/>
  <c r="S31" i="6" s="1"/>
  <c r="T31" i="6"/>
  <c r="C32" i="6"/>
  <c r="L32" i="6" s="1"/>
  <c r="D32" i="6"/>
  <c r="E32" i="6"/>
  <c r="F32" i="6"/>
  <c r="N32" i="6"/>
  <c r="P32" i="6"/>
  <c r="S32" i="6" s="1"/>
  <c r="R32" i="6"/>
  <c r="Q32" i="6" s="1"/>
  <c r="T32" i="6"/>
  <c r="C33" i="6"/>
  <c r="D33" i="6"/>
  <c r="E33" i="6"/>
  <c r="F33" i="6"/>
  <c r="L33" i="6"/>
  <c r="N33" i="6"/>
  <c r="P33" i="6"/>
  <c r="Q33" i="6" s="1"/>
  <c r="R33" i="6"/>
  <c r="S33" i="6"/>
  <c r="T33" i="6"/>
  <c r="C34" i="6"/>
  <c r="D34" i="6"/>
  <c r="E34" i="6"/>
  <c r="F34" i="6"/>
  <c r="N34" i="6"/>
  <c r="R34" i="6"/>
  <c r="Q34" i="6" s="1"/>
  <c r="S34" i="6" s="1"/>
  <c r="T34" i="6"/>
  <c r="C35" i="6"/>
  <c r="D35" i="6"/>
  <c r="E35" i="6"/>
  <c r="F35" i="6"/>
  <c r="L35" i="6"/>
  <c r="N35" i="6"/>
  <c r="R35" i="6"/>
  <c r="Q35" i="6" s="1"/>
  <c r="S35" i="6" s="1"/>
  <c r="T35" i="6"/>
  <c r="C36" i="6"/>
  <c r="D36" i="6"/>
  <c r="E36" i="6"/>
  <c r="L36" i="6" s="1"/>
  <c r="F36" i="6"/>
  <c r="N36" i="6"/>
  <c r="Q36" i="6"/>
  <c r="S36" i="6" s="1"/>
  <c r="R36" i="6"/>
  <c r="T36" i="6"/>
  <c r="C37" i="6"/>
  <c r="D37" i="6"/>
  <c r="L37" i="6" s="1"/>
  <c r="E37" i="6"/>
  <c r="F37" i="6"/>
  <c r="N37" i="6"/>
  <c r="Q37" i="6"/>
  <c r="R37" i="6"/>
  <c r="S37" i="6"/>
  <c r="T37" i="6"/>
  <c r="C38" i="6"/>
  <c r="L38" i="6" s="1"/>
  <c r="D38" i="6"/>
  <c r="E38" i="6"/>
  <c r="F38" i="6"/>
  <c r="N38" i="6"/>
  <c r="Q38" i="6"/>
  <c r="S38" i="6" s="1"/>
  <c r="R38" i="6"/>
  <c r="T38" i="6"/>
  <c r="C39" i="6"/>
  <c r="L39" i="6" s="1"/>
  <c r="D39" i="6"/>
  <c r="E39" i="6"/>
  <c r="F39" i="6"/>
  <c r="H39" i="6"/>
  <c r="N39" i="6"/>
  <c r="P39" i="6"/>
  <c r="R39" i="6"/>
  <c r="T39" i="6"/>
  <c r="C40" i="6"/>
  <c r="D40" i="6"/>
  <c r="E40" i="6"/>
  <c r="F40" i="6"/>
  <c r="H40" i="6"/>
  <c r="N40" i="6"/>
  <c r="P40" i="6"/>
  <c r="R40" i="6"/>
  <c r="Q40" i="6" s="1"/>
  <c r="S40" i="6" s="1"/>
  <c r="T40" i="6"/>
  <c r="C41" i="6"/>
  <c r="D41" i="6"/>
  <c r="E41" i="6"/>
  <c r="F41" i="6"/>
  <c r="H41" i="6"/>
  <c r="L41" i="6" s="1"/>
  <c r="N41" i="6"/>
  <c r="P41" i="6"/>
  <c r="Q41" i="6"/>
  <c r="R41" i="6"/>
  <c r="T41" i="6"/>
  <c r="C42" i="6"/>
  <c r="D42" i="6"/>
  <c r="E42" i="6"/>
  <c r="F42" i="6"/>
  <c r="H42" i="6"/>
  <c r="N42" i="6"/>
  <c r="P42" i="6"/>
  <c r="Q42" i="6"/>
  <c r="S42" i="6" s="1"/>
  <c r="R42" i="6"/>
  <c r="T42" i="6"/>
  <c r="C43" i="6"/>
  <c r="D43" i="6"/>
  <c r="E43" i="6"/>
  <c r="F43" i="6"/>
  <c r="H43" i="6"/>
  <c r="L43" i="6"/>
  <c r="N43" i="6"/>
  <c r="P43" i="6"/>
  <c r="R43" i="6"/>
  <c r="T43" i="6"/>
  <c r="C44" i="6"/>
  <c r="D44" i="6"/>
  <c r="E44" i="6"/>
  <c r="F44" i="6"/>
  <c r="H44" i="6"/>
  <c r="N44" i="6"/>
  <c r="P44" i="6"/>
  <c r="R44" i="6"/>
  <c r="Q44" i="6" s="1"/>
  <c r="S44" i="6" s="1"/>
  <c r="T44" i="6"/>
  <c r="C45" i="6"/>
  <c r="L45" i="6" s="1"/>
  <c r="D45" i="6"/>
  <c r="E45" i="6"/>
  <c r="F45" i="6"/>
  <c r="H45" i="6"/>
  <c r="N45" i="6"/>
  <c r="P45" i="6"/>
  <c r="Q45" i="6"/>
  <c r="R45" i="6"/>
  <c r="T45" i="6"/>
  <c r="C46" i="6"/>
  <c r="L46" i="6" s="1"/>
  <c r="D46" i="6"/>
  <c r="E46" i="6"/>
  <c r="F46" i="6"/>
  <c r="H46" i="6"/>
  <c r="N46" i="6"/>
  <c r="R46" i="6"/>
  <c r="Q46" i="6" s="1"/>
  <c r="S46" i="6"/>
  <c r="T46" i="6"/>
  <c r="C47" i="6"/>
  <c r="D47" i="6"/>
  <c r="E47" i="6"/>
  <c r="F47" i="6"/>
  <c r="H47" i="6"/>
  <c r="L47" i="6"/>
  <c r="N47" i="6"/>
  <c r="R47" i="6"/>
  <c r="Q47" i="6" s="1"/>
  <c r="S47" i="6" s="1"/>
  <c r="T47" i="6"/>
  <c r="C48" i="6"/>
  <c r="D48" i="6"/>
  <c r="E48" i="6"/>
  <c r="L48" i="6" s="1"/>
  <c r="F48" i="6"/>
  <c r="H48" i="6"/>
  <c r="N48" i="6"/>
  <c r="R48" i="6"/>
  <c r="Q48" i="6" s="1"/>
  <c r="S48" i="6" s="1"/>
  <c r="T48" i="6"/>
  <c r="C49" i="6"/>
  <c r="D49" i="6"/>
  <c r="E49" i="6"/>
  <c r="F49" i="6"/>
  <c r="H49" i="6"/>
  <c r="N49" i="6"/>
  <c r="R49" i="6"/>
  <c r="Q49" i="6" s="1"/>
  <c r="S49" i="6" s="1"/>
  <c r="T49" i="6"/>
  <c r="C50" i="6"/>
  <c r="D50" i="6"/>
  <c r="E50" i="6"/>
  <c r="F50" i="6"/>
  <c r="H50" i="6"/>
  <c r="N50" i="6"/>
  <c r="R50" i="6"/>
  <c r="Q50" i="6" s="1"/>
  <c r="S50" i="6" s="1"/>
  <c r="T50" i="6"/>
  <c r="C51" i="6"/>
  <c r="D51" i="6"/>
  <c r="E51" i="6"/>
  <c r="F51" i="6"/>
  <c r="H51" i="6"/>
  <c r="N51" i="6"/>
  <c r="Q51" i="6"/>
  <c r="R51" i="6"/>
  <c r="S51" i="6"/>
  <c r="T51" i="6"/>
  <c r="C52" i="6"/>
  <c r="D52" i="6"/>
  <c r="E52" i="6"/>
  <c r="F52" i="6"/>
  <c r="H52" i="6"/>
  <c r="I52" i="6"/>
  <c r="L52" i="6"/>
  <c r="N52" i="6"/>
  <c r="R52" i="6"/>
  <c r="Q52" i="6" s="1"/>
  <c r="S52" i="6"/>
  <c r="T52" i="6"/>
  <c r="C53" i="6"/>
  <c r="D53" i="6"/>
  <c r="E53" i="6"/>
  <c r="F53" i="6"/>
  <c r="H53" i="6"/>
  <c r="I53" i="6"/>
  <c r="N53" i="6"/>
  <c r="Q53" i="6"/>
  <c r="R53" i="6"/>
  <c r="S53" i="6"/>
  <c r="T53" i="6"/>
  <c r="C54" i="6"/>
  <c r="D54" i="6"/>
  <c r="E54" i="6"/>
  <c r="F54" i="6"/>
  <c r="H54" i="6"/>
  <c r="I54" i="6"/>
  <c r="L54" i="6"/>
  <c r="N54" i="6"/>
  <c r="R54" i="6"/>
  <c r="Q54" i="6" s="1"/>
  <c r="S54" i="6" s="1"/>
  <c r="T54" i="6"/>
  <c r="C55" i="6"/>
  <c r="D55" i="6"/>
  <c r="E55" i="6"/>
  <c r="L55" i="6" s="1"/>
  <c r="F55" i="6"/>
  <c r="H55" i="6"/>
  <c r="I55" i="6"/>
  <c r="N55" i="6"/>
  <c r="Q55" i="6"/>
  <c r="R55" i="6"/>
  <c r="S55" i="6"/>
  <c r="T55" i="6"/>
  <c r="C56" i="6"/>
  <c r="D56" i="6"/>
  <c r="E56" i="6"/>
  <c r="F56" i="6"/>
  <c r="H56" i="6"/>
  <c r="I56" i="6"/>
  <c r="L56" i="6"/>
  <c r="N56" i="6"/>
  <c r="R56" i="6"/>
  <c r="Q56" i="6" s="1"/>
  <c r="S56" i="6" s="1"/>
  <c r="T56" i="6"/>
  <c r="C57" i="6"/>
  <c r="D57" i="6"/>
  <c r="E57" i="6"/>
  <c r="F57" i="6"/>
  <c r="H57" i="6"/>
  <c r="I57" i="6"/>
  <c r="N57" i="6"/>
  <c r="Q57" i="6"/>
  <c r="R57" i="6"/>
  <c r="S57" i="6"/>
  <c r="T57" i="6"/>
  <c r="C58" i="6"/>
  <c r="D58" i="6"/>
  <c r="L58" i="6" s="1"/>
  <c r="E58" i="6"/>
  <c r="F58" i="6"/>
  <c r="H58" i="6"/>
  <c r="I58" i="6"/>
  <c r="N58" i="6"/>
  <c r="R58" i="6"/>
  <c r="Q58" i="6" s="1"/>
  <c r="S58" i="6" s="1"/>
  <c r="T58" i="6"/>
  <c r="C59" i="6"/>
  <c r="D59" i="6"/>
  <c r="E59" i="6"/>
  <c r="F59" i="6"/>
  <c r="H59" i="6"/>
  <c r="I59" i="6"/>
  <c r="L59" i="6" s="1"/>
  <c r="N59" i="6"/>
  <c r="Q59" i="6"/>
  <c r="R59" i="6"/>
  <c r="S59" i="6"/>
  <c r="T59" i="6"/>
  <c r="C60" i="6"/>
  <c r="D60" i="6"/>
  <c r="L60" i="6" s="1"/>
  <c r="E60" i="6"/>
  <c r="F60" i="6"/>
  <c r="H60" i="6"/>
  <c r="I60" i="6"/>
  <c r="N60" i="6"/>
  <c r="R60" i="6"/>
  <c r="Q60" i="6" s="1"/>
  <c r="S60" i="6" s="1"/>
  <c r="T60" i="6"/>
  <c r="C61" i="6"/>
  <c r="D61" i="6"/>
  <c r="E61" i="6"/>
  <c r="F61" i="6"/>
  <c r="H61" i="6"/>
  <c r="I61" i="6"/>
  <c r="L61" i="6" s="1"/>
  <c r="N61" i="6"/>
  <c r="Q61" i="6"/>
  <c r="R61" i="6"/>
  <c r="S61" i="6"/>
  <c r="T61" i="6"/>
  <c r="C62" i="6"/>
  <c r="D62" i="6"/>
  <c r="L62" i="6" s="1"/>
  <c r="E62" i="6"/>
  <c r="F62" i="6"/>
  <c r="H62" i="6"/>
  <c r="I62" i="6"/>
  <c r="N62" i="6"/>
  <c r="R62" i="6"/>
  <c r="Q62" i="6" s="1"/>
  <c r="S62" i="6"/>
  <c r="T62" i="6"/>
  <c r="C63" i="6"/>
  <c r="D63" i="6"/>
  <c r="E63" i="6"/>
  <c r="F63" i="6"/>
  <c r="H63" i="6"/>
  <c r="I63" i="6"/>
  <c r="L63" i="6"/>
  <c r="N63" i="6"/>
  <c r="Q63" i="6"/>
  <c r="R63" i="6"/>
  <c r="S63" i="6"/>
  <c r="T63" i="6"/>
  <c r="C64" i="6"/>
  <c r="D64" i="6"/>
  <c r="E64" i="6"/>
  <c r="F64" i="6"/>
  <c r="H64" i="6"/>
  <c r="I64" i="6"/>
  <c r="N64" i="6"/>
  <c r="R64" i="6"/>
  <c r="Q64" i="6" s="1"/>
  <c r="S64" i="6"/>
  <c r="T64" i="6"/>
  <c r="C65" i="6"/>
  <c r="D65" i="6"/>
  <c r="E65" i="6"/>
  <c r="L65" i="6" s="1"/>
  <c r="F65" i="6"/>
  <c r="H65" i="6"/>
  <c r="I65" i="6"/>
  <c r="N65" i="6"/>
  <c r="Q65" i="6"/>
  <c r="R65" i="6"/>
  <c r="S65" i="6"/>
  <c r="T65" i="6"/>
  <c r="C66" i="6"/>
  <c r="D66" i="6"/>
  <c r="E66" i="6"/>
  <c r="F66" i="6"/>
  <c r="H66" i="6"/>
  <c r="I66" i="6"/>
  <c r="L66" i="6"/>
  <c r="N66" i="6"/>
  <c r="R66" i="6"/>
  <c r="Q66" i="6" s="1"/>
  <c r="S66" i="6" s="1"/>
  <c r="T66" i="6"/>
  <c r="C67" i="6"/>
  <c r="D67" i="6"/>
  <c r="E67" i="6"/>
  <c r="L67" i="6" s="1"/>
  <c r="F67" i="6"/>
  <c r="H67" i="6"/>
  <c r="I67" i="6"/>
  <c r="N67" i="6"/>
  <c r="Q67" i="6"/>
  <c r="R67" i="6"/>
  <c r="S67" i="6"/>
  <c r="T67" i="6"/>
  <c r="C68" i="6"/>
  <c r="D68" i="6"/>
  <c r="E68" i="6"/>
  <c r="F68" i="6"/>
  <c r="H68" i="6"/>
  <c r="I68" i="6"/>
  <c r="L68" i="6"/>
  <c r="N68" i="6"/>
  <c r="R68" i="6"/>
  <c r="Q68" i="6" s="1"/>
  <c r="S68" i="6"/>
  <c r="T68" i="6"/>
  <c r="C69" i="6"/>
  <c r="D69" i="6"/>
  <c r="E69" i="6"/>
  <c r="F69" i="6"/>
  <c r="H69" i="6"/>
  <c r="I69" i="6"/>
  <c r="N69" i="6"/>
  <c r="Q69" i="6"/>
  <c r="R69" i="6"/>
  <c r="S69" i="6"/>
  <c r="T69" i="6"/>
  <c r="C70" i="6"/>
  <c r="D70" i="6"/>
  <c r="E70" i="6"/>
  <c r="F70" i="6"/>
  <c r="H70" i="6"/>
  <c r="I70" i="6"/>
  <c r="L70" i="6"/>
  <c r="N70" i="6"/>
  <c r="R70" i="6"/>
  <c r="Q70" i="6" s="1"/>
  <c r="S70" i="6" s="1"/>
  <c r="T70" i="6"/>
  <c r="C71" i="6"/>
  <c r="D71" i="6"/>
  <c r="E71" i="6"/>
  <c r="F71" i="6"/>
  <c r="H71" i="6"/>
  <c r="I71" i="6"/>
  <c r="N71" i="6"/>
  <c r="Q71" i="6"/>
  <c r="R71" i="6"/>
  <c r="S71" i="6"/>
  <c r="T71" i="6"/>
  <c r="C72" i="6"/>
  <c r="D72" i="6"/>
  <c r="E72" i="6"/>
  <c r="F72" i="6"/>
  <c r="H72" i="6"/>
  <c r="I72" i="6"/>
  <c r="L72" i="6"/>
  <c r="N72" i="6"/>
  <c r="R72" i="6"/>
  <c r="T72" i="6"/>
  <c r="C73" i="6"/>
  <c r="D73" i="6"/>
  <c r="E73" i="6"/>
  <c r="L73" i="6" s="1"/>
  <c r="F73" i="6"/>
  <c r="H73" i="6"/>
  <c r="I73" i="6"/>
  <c r="N73" i="6"/>
  <c r="Q73" i="6"/>
  <c r="R73" i="6"/>
  <c r="S73" i="6"/>
  <c r="T73" i="6"/>
  <c r="C74" i="6"/>
  <c r="D74" i="6"/>
  <c r="L74" i="6" s="1"/>
  <c r="E74" i="6"/>
  <c r="F74" i="6"/>
  <c r="H74" i="6"/>
  <c r="I74" i="6"/>
  <c r="N74" i="6"/>
  <c r="R74" i="6"/>
  <c r="Q74" i="6" s="1"/>
  <c r="S74" i="6"/>
  <c r="T74" i="6"/>
  <c r="C75" i="6"/>
  <c r="D75" i="6"/>
  <c r="E75" i="6"/>
  <c r="F75" i="6"/>
  <c r="H75" i="6"/>
  <c r="I75" i="6"/>
  <c r="L75" i="6"/>
  <c r="N75" i="6"/>
  <c r="Q75" i="6"/>
  <c r="R75" i="6"/>
  <c r="S75" i="6"/>
  <c r="T75" i="6"/>
  <c r="C76" i="6"/>
  <c r="D76" i="6"/>
  <c r="E76" i="6"/>
  <c r="F76" i="6"/>
  <c r="H76" i="6"/>
  <c r="I76" i="6"/>
  <c r="N76" i="6"/>
  <c r="R76" i="6"/>
  <c r="Q76" i="6" s="1"/>
  <c r="S76" i="6"/>
  <c r="T76" i="6"/>
  <c r="C77" i="6"/>
  <c r="D77" i="6"/>
  <c r="E77" i="6"/>
  <c r="F77" i="6"/>
  <c r="H77" i="6"/>
  <c r="I77" i="6"/>
  <c r="L77" i="6"/>
  <c r="N77" i="6"/>
  <c r="Q77" i="6"/>
  <c r="R77" i="6"/>
  <c r="S77" i="6"/>
  <c r="T77" i="6"/>
  <c r="C78" i="6"/>
  <c r="D78" i="6"/>
  <c r="E78" i="6"/>
  <c r="F78" i="6"/>
  <c r="H78" i="6"/>
  <c r="I78" i="6"/>
  <c r="N78" i="6"/>
  <c r="R78" i="6"/>
  <c r="Q78" i="6" s="1"/>
  <c r="S78" i="6"/>
  <c r="T78" i="6"/>
  <c r="C79" i="6"/>
  <c r="D79" i="6"/>
  <c r="E79" i="6"/>
  <c r="F79" i="6"/>
  <c r="H79" i="6"/>
  <c r="I79" i="6"/>
  <c r="L79" i="6"/>
  <c r="N79" i="6"/>
  <c r="Q79" i="6"/>
  <c r="R79" i="6"/>
  <c r="S79" i="6"/>
  <c r="T79" i="6"/>
  <c r="C80" i="6"/>
  <c r="D80" i="6"/>
  <c r="E80" i="6"/>
  <c r="F80" i="6"/>
  <c r="H80" i="6"/>
  <c r="I80" i="6"/>
  <c r="N80" i="6"/>
  <c r="R80" i="6"/>
  <c r="Q80" i="6" s="1"/>
  <c r="S80" i="6"/>
  <c r="T80" i="6"/>
  <c r="C81" i="6"/>
  <c r="D81" i="6"/>
  <c r="E81" i="6"/>
  <c r="L81" i="6" s="1"/>
  <c r="F81" i="6"/>
  <c r="H81" i="6"/>
  <c r="I81" i="6"/>
  <c r="N81" i="6"/>
  <c r="Q81" i="6"/>
  <c r="R81" i="6"/>
  <c r="S81" i="6"/>
  <c r="T81" i="6"/>
  <c r="C82" i="6"/>
  <c r="D82" i="6"/>
  <c r="E82" i="6"/>
  <c r="F82" i="6"/>
  <c r="H82" i="6"/>
  <c r="I82" i="6"/>
  <c r="L82" i="6"/>
  <c r="N82" i="6"/>
  <c r="R82" i="6"/>
  <c r="Q82" i="6" s="1"/>
  <c r="S82" i="6" s="1"/>
  <c r="T82" i="6"/>
  <c r="C83" i="6"/>
  <c r="D83" i="6"/>
  <c r="E83" i="6"/>
  <c r="L83" i="6" s="1"/>
  <c r="F83" i="6"/>
  <c r="H83" i="6"/>
  <c r="I83" i="6"/>
  <c r="N83" i="6"/>
  <c r="Q83" i="6"/>
  <c r="R83" i="6"/>
  <c r="S83" i="6"/>
  <c r="T83" i="6"/>
  <c r="C84" i="6"/>
  <c r="L84" i="6" s="1"/>
  <c r="D84" i="6"/>
  <c r="E84" i="6"/>
  <c r="F84" i="6"/>
  <c r="H84" i="6"/>
  <c r="I84" i="6"/>
  <c r="N84" i="6"/>
  <c r="R84" i="6"/>
  <c r="Q84" i="6" s="1"/>
  <c r="S84" i="6"/>
  <c r="T84" i="6"/>
  <c r="C85" i="6"/>
  <c r="D85" i="6"/>
  <c r="E85" i="6"/>
  <c r="F85" i="6"/>
  <c r="H85" i="6"/>
  <c r="I85" i="6"/>
  <c r="N85" i="6"/>
  <c r="Q85" i="6"/>
  <c r="R85" i="6"/>
  <c r="S85" i="6"/>
  <c r="T85" i="6"/>
  <c r="C86" i="6"/>
  <c r="D86" i="6"/>
  <c r="E86" i="6"/>
  <c r="F86" i="6"/>
  <c r="L86" i="6" s="1"/>
  <c r="H86" i="6"/>
  <c r="I86" i="6"/>
  <c r="N86" i="6"/>
  <c r="R86" i="6"/>
  <c r="Q86" i="6" s="1"/>
  <c r="S86" i="6" s="1"/>
  <c r="T86" i="6"/>
  <c r="C87" i="6"/>
  <c r="D87" i="6"/>
  <c r="E87" i="6"/>
  <c r="F87" i="6"/>
  <c r="H87" i="6"/>
  <c r="I87" i="6"/>
  <c r="N87" i="6"/>
  <c r="Q87" i="6"/>
  <c r="R87" i="6"/>
  <c r="S87" i="6"/>
  <c r="T87" i="6"/>
  <c r="C88" i="6"/>
  <c r="D88" i="6"/>
  <c r="E88" i="6"/>
  <c r="F88" i="6"/>
  <c r="H88" i="6"/>
  <c r="I88" i="6"/>
  <c r="L88" i="6"/>
  <c r="N88" i="6"/>
  <c r="R88" i="6"/>
  <c r="Q88" i="6" s="1"/>
  <c r="S88" i="6" s="1"/>
  <c r="T88" i="6"/>
  <c r="C89" i="6"/>
  <c r="D89" i="6"/>
  <c r="E89" i="6"/>
  <c r="F89" i="6"/>
  <c r="H89" i="6"/>
  <c r="I89" i="6"/>
  <c r="N89" i="6"/>
  <c r="Q89" i="6"/>
  <c r="R89" i="6"/>
  <c r="S89" i="6"/>
  <c r="T89" i="6"/>
  <c r="C90" i="6"/>
  <c r="L90" i="6" s="1"/>
  <c r="D90" i="6"/>
  <c r="E90" i="6"/>
  <c r="F90" i="6"/>
  <c r="H90" i="6"/>
  <c r="I90" i="6"/>
  <c r="N90" i="6"/>
  <c r="R90" i="6"/>
  <c r="Q90" i="6" s="1"/>
  <c r="S90" i="6" s="1"/>
  <c r="T90" i="6"/>
  <c r="C91" i="6"/>
  <c r="D91" i="6"/>
  <c r="E91" i="6"/>
  <c r="F91" i="6"/>
  <c r="L91" i="6" s="1"/>
  <c r="H91" i="6"/>
  <c r="I91" i="6"/>
  <c r="N91" i="6"/>
  <c r="Q91" i="6"/>
  <c r="R91" i="6"/>
  <c r="S91" i="6"/>
  <c r="T91" i="6"/>
  <c r="C92" i="6"/>
  <c r="D92" i="6"/>
  <c r="E92" i="6"/>
  <c r="F92" i="6"/>
  <c r="H92" i="6"/>
  <c r="I92" i="6"/>
  <c r="N92" i="6"/>
  <c r="R92" i="6"/>
  <c r="Q92" i="6" s="1"/>
  <c r="S92" i="6" s="1"/>
  <c r="T92" i="6"/>
  <c r="C93" i="6"/>
  <c r="D93" i="6"/>
  <c r="E93" i="6"/>
  <c r="F93" i="6"/>
  <c r="H93" i="6"/>
  <c r="I93" i="6"/>
  <c r="N93" i="6"/>
  <c r="Q93" i="6"/>
  <c r="R93" i="6"/>
  <c r="S93" i="6"/>
  <c r="T93" i="6"/>
  <c r="C94" i="6"/>
  <c r="D94" i="6"/>
  <c r="E94" i="6"/>
  <c r="F94" i="6"/>
  <c r="H94" i="6"/>
  <c r="I94" i="6"/>
  <c r="N94" i="6"/>
  <c r="R94" i="6"/>
  <c r="Q94" i="6" s="1"/>
  <c r="S94" i="6"/>
  <c r="T94" i="6"/>
  <c r="C95" i="6"/>
  <c r="D95" i="6"/>
  <c r="E95" i="6"/>
  <c r="F95" i="6"/>
  <c r="H95" i="6"/>
  <c r="I95" i="6"/>
  <c r="L95" i="6"/>
  <c r="N95" i="6"/>
  <c r="Q95" i="6"/>
  <c r="R95" i="6"/>
  <c r="S95" i="6"/>
  <c r="T95" i="6"/>
  <c r="C96" i="6"/>
  <c r="D96" i="6"/>
  <c r="E96" i="6"/>
  <c r="F96" i="6"/>
  <c r="H96" i="6"/>
  <c r="I96" i="6"/>
  <c r="N96" i="6"/>
  <c r="R96" i="6"/>
  <c r="Q96" i="6" s="1"/>
  <c r="S96" i="6"/>
  <c r="T96" i="6"/>
  <c r="C97" i="6"/>
  <c r="D97" i="6"/>
  <c r="E97" i="6"/>
  <c r="F97" i="6"/>
  <c r="H97" i="6"/>
  <c r="I97" i="6"/>
  <c r="N97" i="6"/>
  <c r="Q97" i="6"/>
  <c r="R97" i="6"/>
  <c r="S97" i="6"/>
  <c r="T97" i="6"/>
  <c r="C98" i="6"/>
  <c r="L98" i="6" s="1"/>
  <c r="D98" i="6"/>
  <c r="E98" i="6"/>
  <c r="F98" i="6"/>
  <c r="H98" i="6"/>
  <c r="I98" i="6"/>
  <c r="N98" i="6"/>
  <c r="R98" i="6"/>
  <c r="Q98" i="6" s="1"/>
  <c r="S98" i="6" s="1"/>
  <c r="T98" i="6"/>
  <c r="C99" i="6"/>
  <c r="D99" i="6"/>
  <c r="E99" i="6"/>
  <c r="F99" i="6"/>
  <c r="H99" i="6"/>
  <c r="I99" i="6"/>
  <c r="N99" i="6"/>
  <c r="Q99" i="6"/>
  <c r="R99" i="6"/>
  <c r="S99" i="6"/>
  <c r="T99" i="6"/>
  <c r="C100" i="6"/>
  <c r="L100" i="6" s="1"/>
  <c r="D100" i="6"/>
  <c r="E100" i="6"/>
  <c r="F100" i="6"/>
  <c r="H100" i="6"/>
  <c r="I100" i="6"/>
  <c r="N100" i="6"/>
  <c r="R100" i="6"/>
  <c r="Q100" i="6" s="1"/>
  <c r="S100" i="6"/>
  <c r="T100" i="6"/>
  <c r="C101" i="6"/>
  <c r="D101" i="6"/>
  <c r="E101" i="6"/>
  <c r="F101" i="6"/>
  <c r="H101" i="6"/>
  <c r="I101" i="6"/>
  <c r="N101" i="6"/>
  <c r="Q101" i="6"/>
  <c r="R101" i="6"/>
  <c r="S101" i="6"/>
  <c r="T101" i="6"/>
  <c r="C102" i="6"/>
  <c r="D102" i="6"/>
  <c r="E102" i="6"/>
  <c r="F102" i="6"/>
  <c r="H102" i="6"/>
  <c r="I102" i="6"/>
  <c r="L102" i="6"/>
  <c r="N102" i="6"/>
  <c r="R102" i="6"/>
  <c r="Q102" i="6" s="1"/>
  <c r="S102" i="6" s="1"/>
  <c r="T102" i="6"/>
  <c r="C103" i="6"/>
  <c r="D103" i="6"/>
  <c r="E103" i="6"/>
  <c r="F103" i="6"/>
  <c r="H103" i="6"/>
  <c r="I103" i="6"/>
  <c r="N103" i="6"/>
  <c r="Q103" i="6"/>
  <c r="R103" i="6"/>
  <c r="S103" i="6"/>
  <c r="T103" i="6"/>
  <c r="C104" i="6"/>
  <c r="L104" i="6" s="1"/>
  <c r="D104" i="6"/>
  <c r="E104" i="6"/>
  <c r="F104" i="6"/>
  <c r="H104" i="6"/>
  <c r="I104" i="6"/>
  <c r="N104" i="6"/>
  <c r="R104" i="6"/>
  <c r="Q104" i="6" s="1"/>
  <c r="S104" i="6" s="1"/>
  <c r="T104" i="6"/>
  <c r="C105" i="6"/>
  <c r="D105" i="6"/>
  <c r="E105" i="6"/>
  <c r="F105" i="6"/>
  <c r="H105" i="6"/>
  <c r="I105" i="6"/>
  <c r="N105" i="6"/>
  <c r="Q105" i="6"/>
  <c r="R105" i="6"/>
  <c r="S105" i="6"/>
  <c r="T105" i="6"/>
  <c r="C106" i="6"/>
  <c r="D106" i="6"/>
  <c r="E106" i="6"/>
  <c r="F106" i="6"/>
  <c r="H106" i="6"/>
  <c r="I106" i="6"/>
  <c r="N106" i="6"/>
  <c r="R106" i="6"/>
  <c r="Q106" i="6" s="1"/>
  <c r="S106" i="6" s="1"/>
  <c r="T106" i="6"/>
  <c r="C107" i="6"/>
  <c r="D107" i="6"/>
  <c r="E107" i="6"/>
  <c r="F107" i="6"/>
  <c r="H107" i="6"/>
  <c r="I107" i="6"/>
  <c r="N107" i="6"/>
  <c r="Q107" i="6"/>
  <c r="R107" i="6"/>
  <c r="S107" i="6"/>
  <c r="T107" i="6"/>
  <c r="C108" i="6"/>
  <c r="D108" i="6"/>
  <c r="E108" i="6"/>
  <c r="F108" i="6"/>
  <c r="H108" i="6"/>
  <c r="I108" i="6"/>
  <c r="N108" i="6"/>
  <c r="R108" i="6"/>
  <c r="Q108" i="6" s="1"/>
  <c r="S108" i="6"/>
  <c r="T108" i="6"/>
  <c r="C109" i="6"/>
  <c r="D109" i="6"/>
  <c r="E109" i="6"/>
  <c r="F109" i="6"/>
  <c r="H109" i="6"/>
  <c r="I109" i="6"/>
  <c r="L109" i="6"/>
  <c r="N109" i="6"/>
  <c r="Q109" i="6"/>
  <c r="R109" i="6"/>
  <c r="S109" i="6"/>
  <c r="T109" i="6"/>
  <c r="C110" i="6"/>
  <c r="D110" i="6"/>
  <c r="E110" i="6"/>
  <c r="F110" i="6"/>
  <c r="H110" i="6"/>
  <c r="I110" i="6"/>
  <c r="N110" i="6"/>
  <c r="R110" i="6"/>
  <c r="Q110" i="6" s="1"/>
  <c r="S110" i="6"/>
  <c r="T110" i="6"/>
  <c r="C111" i="6"/>
  <c r="L111" i="6" s="1"/>
  <c r="D111" i="6"/>
  <c r="E111" i="6"/>
  <c r="F111" i="6"/>
  <c r="H111" i="6"/>
  <c r="I111" i="6"/>
  <c r="N111" i="6"/>
  <c r="Q111" i="6"/>
  <c r="R111" i="6"/>
  <c r="S111" i="6"/>
  <c r="T111" i="6"/>
  <c r="C112" i="6"/>
  <c r="D112" i="6"/>
  <c r="E112" i="6"/>
  <c r="F112" i="6"/>
  <c r="H112" i="6"/>
  <c r="I112" i="6"/>
  <c r="N112" i="6"/>
  <c r="R112" i="6"/>
  <c r="Q112" i="6" s="1"/>
  <c r="S112" i="6"/>
  <c r="T112" i="6"/>
  <c r="C113" i="6"/>
  <c r="D113" i="6"/>
  <c r="E113" i="6"/>
  <c r="L113" i="6" s="1"/>
  <c r="F113" i="6"/>
  <c r="H113" i="6"/>
  <c r="I113" i="6"/>
  <c r="N113" i="6"/>
  <c r="Q113" i="6"/>
  <c r="R113" i="6"/>
  <c r="S113" i="6"/>
  <c r="T113" i="6"/>
  <c r="C114" i="6"/>
  <c r="D114" i="6"/>
  <c r="L114" i="6" s="1"/>
  <c r="E114" i="6"/>
  <c r="F114" i="6"/>
  <c r="H114" i="6"/>
  <c r="I114" i="6"/>
  <c r="N114" i="6"/>
  <c r="R114" i="6"/>
  <c r="Q114" i="6" s="1"/>
  <c r="S114" i="6" s="1"/>
  <c r="T114" i="6"/>
  <c r="C115" i="6"/>
  <c r="D115" i="6"/>
  <c r="E115" i="6"/>
  <c r="F115" i="6"/>
  <c r="H115" i="6"/>
  <c r="I115" i="6"/>
  <c r="N115" i="6"/>
  <c r="Q115" i="6"/>
  <c r="R115" i="6"/>
  <c r="S115" i="6"/>
  <c r="T115" i="6"/>
  <c r="C116" i="6"/>
  <c r="D116" i="6"/>
  <c r="E116" i="6"/>
  <c r="F116" i="6"/>
  <c r="H116" i="6"/>
  <c r="I116" i="6"/>
  <c r="L116" i="6"/>
  <c r="N116" i="6"/>
  <c r="R116" i="6"/>
  <c r="Q116" i="6" s="1"/>
  <c r="S116" i="6"/>
  <c r="T116" i="6"/>
  <c r="C117" i="6"/>
  <c r="D117" i="6"/>
  <c r="E117" i="6"/>
  <c r="F117" i="6"/>
  <c r="H117" i="6"/>
  <c r="I117" i="6"/>
  <c r="N117" i="6"/>
  <c r="Q117" i="6"/>
  <c r="R117" i="6"/>
  <c r="S117" i="6"/>
  <c r="T117" i="6"/>
  <c r="C118" i="6"/>
  <c r="L118" i="6" s="1"/>
  <c r="D118" i="6"/>
  <c r="E118" i="6"/>
  <c r="F118" i="6"/>
  <c r="H118" i="6"/>
  <c r="I118" i="6"/>
  <c r="N118" i="6"/>
  <c r="R118" i="6"/>
  <c r="Q118" i="6" s="1"/>
  <c r="S118" i="6" s="1"/>
  <c r="T118" i="6"/>
  <c r="C119" i="6"/>
  <c r="D119" i="6"/>
  <c r="E119" i="6"/>
  <c r="F119" i="6"/>
  <c r="H119" i="6"/>
  <c r="I119" i="6"/>
  <c r="N119" i="6"/>
  <c r="Q119" i="6"/>
  <c r="R119" i="6"/>
  <c r="S119" i="6"/>
  <c r="T119" i="6"/>
  <c r="C120" i="6"/>
  <c r="D120" i="6"/>
  <c r="L120" i="6" s="1"/>
  <c r="E120" i="6"/>
  <c r="F120" i="6"/>
  <c r="H120" i="6"/>
  <c r="I120" i="6"/>
  <c r="N120" i="6"/>
  <c r="R120" i="6"/>
  <c r="Q120" i="6" s="1"/>
  <c r="S120" i="6" s="1"/>
  <c r="T120" i="6"/>
  <c r="C121" i="6"/>
  <c r="D121" i="6"/>
  <c r="E121" i="6"/>
  <c r="F121" i="6"/>
  <c r="H121" i="6"/>
  <c r="I121" i="6"/>
  <c r="N121" i="6"/>
  <c r="Q121" i="6"/>
  <c r="R121" i="6"/>
  <c r="S121" i="6"/>
  <c r="T121" i="6"/>
  <c r="C122" i="6"/>
  <c r="D122" i="6"/>
  <c r="E122" i="6"/>
  <c r="F122" i="6"/>
  <c r="H122" i="6"/>
  <c r="I122" i="6"/>
  <c r="L122" i="6"/>
  <c r="N122" i="6"/>
  <c r="R122" i="6"/>
  <c r="Q122" i="6" s="1"/>
  <c r="S122" i="6" s="1"/>
  <c r="T122" i="6"/>
  <c r="C123" i="6"/>
  <c r="D123" i="6"/>
  <c r="E123" i="6"/>
  <c r="F123" i="6"/>
  <c r="H123" i="6"/>
  <c r="I123" i="6"/>
  <c r="N123" i="6"/>
  <c r="Q123" i="6"/>
  <c r="R123" i="6"/>
  <c r="S123" i="6"/>
  <c r="T123" i="6"/>
  <c r="C124" i="6"/>
  <c r="D124" i="6"/>
  <c r="L124" i="6" s="1"/>
  <c r="E124" i="6"/>
  <c r="F124" i="6"/>
  <c r="H124" i="6"/>
  <c r="I124" i="6"/>
  <c r="N124" i="6"/>
  <c r="R124" i="6"/>
  <c r="Q124" i="6" s="1"/>
  <c r="S124" i="6"/>
  <c r="T124" i="6"/>
  <c r="C125" i="6"/>
  <c r="D125" i="6"/>
  <c r="L125" i="6" s="1"/>
  <c r="E125" i="6"/>
  <c r="F125" i="6"/>
  <c r="H125" i="6"/>
  <c r="I125" i="6"/>
  <c r="N125" i="6"/>
  <c r="Q125" i="6"/>
  <c r="R125" i="6"/>
  <c r="S125" i="6"/>
  <c r="T125" i="6"/>
  <c r="C126" i="6"/>
  <c r="D126" i="6"/>
  <c r="E126" i="6"/>
  <c r="F126" i="6"/>
  <c r="H126" i="6"/>
  <c r="I126" i="6"/>
  <c r="N126" i="6"/>
  <c r="R126" i="6"/>
  <c r="Q126" i="6" s="1"/>
  <c r="S126" i="6"/>
  <c r="T126" i="6"/>
  <c r="C127" i="6"/>
  <c r="L127" i="6" s="1"/>
  <c r="D127" i="6"/>
  <c r="E127" i="6"/>
  <c r="F127" i="6"/>
  <c r="H127" i="6"/>
  <c r="I127" i="6"/>
  <c r="N127" i="6"/>
  <c r="Q127" i="6"/>
  <c r="R127" i="6"/>
  <c r="S127" i="6"/>
  <c r="T127" i="6"/>
  <c r="C128" i="6"/>
  <c r="D128" i="6"/>
  <c r="E128" i="6"/>
  <c r="F128" i="6"/>
  <c r="H128" i="6"/>
  <c r="I128" i="6"/>
  <c r="N128" i="6"/>
  <c r="R128" i="6"/>
  <c r="Q128" i="6" s="1"/>
  <c r="S128" i="6"/>
  <c r="T128" i="6"/>
  <c r="C129" i="6"/>
  <c r="D129" i="6"/>
  <c r="E129" i="6"/>
  <c r="F129" i="6"/>
  <c r="H129" i="6"/>
  <c r="I129" i="6"/>
  <c r="N129" i="6"/>
  <c r="Q129" i="6"/>
  <c r="R129" i="6"/>
  <c r="S129" i="6"/>
  <c r="T129" i="6"/>
  <c r="C130" i="6"/>
  <c r="L130" i="6" s="1"/>
  <c r="D130" i="6"/>
  <c r="E130" i="6"/>
  <c r="F130" i="6"/>
  <c r="H130" i="6"/>
  <c r="I130" i="6"/>
  <c r="N130" i="6"/>
  <c r="R130" i="6"/>
  <c r="Q130" i="6" s="1"/>
  <c r="S130" i="6" s="1"/>
  <c r="T130" i="6"/>
  <c r="C131" i="6"/>
  <c r="D131" i="6"/>
  <c r="E131" i="6"/>
  <c r="F131" i="6"/>
  <c r="H131" i="6"/>
  <c r="I131" i="6"/>
  <c r="N131" i="6"/>
  <c r="Q131" i="6"/>
  <c r="R131" i="6"/>
  <c r="S131" i="6"/>
  <c r="T131" i="6"/>
  <c r="C132" i="6"/>
  <c r="D132" i="6"/>
  <c r="L132" i="6" s="1"/>
  <c r="E132" i="6"/>
  <c r="F132" i="6"/>
  <c r="H132" i="6"/>
  <c r="I132" i="6"/>
  <c r="N132" i="6"/>
  <c r="R132" i="6"/>
  <c r="Q132" i="6" s="1"/>
  <c r="S132" i="6"/>
  <c r="T132" i="6"/>
  <c r="C133" i="6"/>
  <c r="D133" i="6"/>
  <c r="E133" i="6"/>
  <c r="F133" i="6"/>
  <c r="H133" i="6"/>
  <c r="I133" i="6"/>
  <c r="N133" i="6"/>
  <c r="Q133" i="6"/>
  <c r="R133" i="6"/>
  <c r="S133" i="6"/>
  <c r="T133" i="6"/>
  <c r="C134" i="6"/>
  <c r="L134" i="6" s="1"/>
  <c r="D134" i="6"/>
  <c r="E134" i="6"/>
  <c r="F134" i="6"/>
  <c r="H134" i="6"/>
  <c r="I134" i="6"/>
  <c r="N134" i="6"/>
  <c r="R134" i="6"/>
  <c r="Q134" i="6" s="1"/>
  <c r="S134" i="6" s="1"/>
  <c r="T134" i="6"/>
  <c r="C135" i="6"/>
  <c r="D135" i="6"/>
  <c r="E135" i="6"/>
  <c r="F135" i="6"/>
  <c r="H135" i="6"/>
  <c r="I135" i="6"/>
  <c r="N135" i="6"/>
  <c r="Q135" i="6"/>
  <c r="R135" i="6"/>
  <c r="S135" i="6"/>
  <c r="T135" i="6"/>
  <c r="C136" i="6"/>
  <c r="L136" i="6" s="1"/>
  <c r="D136" i="6"/>
  <c r="E136" i="6"/>
  <c r="F136" i="6"/>
  <c r="H136" i="6"/>
  <c r="I136" i="6"/>
  <c r="N136" i="6"/>
  <c r="R136" i="6"/>
  <c r="Q136" i="6" s="1"/>
  <c r="S136" i="6" s="1"/>
  <c r="T136" i="6"/>
  <c r="C137" i="6"/>
  <c r="D137" i="6"/>
  <c r="E137" i="6"/>
  <c r="F137" i="6"/>
  <c r="H137" i="6"/>
  <c r="I137" i="6"/>
  <c r="N137" i="6"/>
  <c r="Q137" i="6"/>
  <c r="R137" i="6"/>
  <c r="S137" i="6"/>
  <c r="T137" i="6"/>
  <c r="C138" i="6"/>
  <c r="D138" i="6"/>
  <c r="L138" i="6" s="1"/>
  <c r="E138" i="6"/>
  <c r="F138" i="6"/>
  <c r="H138" i="6"/>
  <c r="I138" i="6"/>
  <c r="N138" i="6"/>
  <c r="R138" i="6"/>
  <c r="Q138" i="6" s="1"/>
  <c r="S138" i="6" s="1"/>
  <c r="T138" i="6"/>
  <c r="C139" i="6"/>
  <c r="D139" i="6"/>
  <c r="E139" i="6"/>
  <c r="F139" i="6"/>
  <c r="H139" i="6"/>
  <c r="I139" i="6"/>
  <c r="N139" i="6"/>
  <c r="Q139" i="6"/>
  <c r="R139" i="6"/>
  <c r="S139" i="6"/>
  <c r="T139" i="6"/>
  <c r="C140" i="6"/>
  <c r="D140" i="6"/>
  <c r="E140" i="6"/>
  <c r="F140" i="6"/>
  <c r="H140" i="6"/>
  <c r="I140" i="6"/>
  <c r="N140" i="6"/>
  <c r="R140" i="6"/>
  <c r="Q140" i="6" s="1"/>
  <c r="S140" i="6"/>
  <c r="T140" i="6"/>
  <c r="C141" i="6"/>
  <c r="L141" i="6" s="1"/>
  <c r="D141" i="6"/>
  <c r="E141" i="6"/>
  <c r="F141" i="6"/>
  <c r="H141" i="6"/>
  <c r="I141" i="6"/>
  <c r="N141" i="6"/>
  <c r="Q141" i="6"/>
  <c r="R141" i="6"/>
  <c r="S141" i="6"/>
  <c r="T141" i="6"/>
  <c r="C142" i="6"/>
  <c r="D142" i="6"/>
  <c r="E142" i="6"/>
  <c r="F142" i="6"/>
  <c r="H142" i="6"/>
  <c r="I142" i="6"/>
  <c r="N142" i="6"/>
  <c r="R142" i="6"/>
  <c r="Q142" i="6" s="1"/>
  <c r="S142" i="6"/>
  <c r="T142" i="6"/>
  <c r="C143" i="6"/>
  <c r="D143" i="6"/>
  <c r="E143" i="6"/>
  <c r="F143" i="6"/>
  <c r="H143" i="6"/>
  <c r="I143" i="6"/>
  <c r="L143" i="6"/>
  <c r="N143" i="6"/>
  <c r="Q143" i="6"/>
  <c r="R143" i="6"/>
  <c r="S143" i="6"/>
  <c r="T143" i="6"/>
  <c r="C144" i="6"/>
  <c r="D144" i="6"/>
  <c r="E144" i="6"/>
  <c r="F144" i="6"/>
  <c r="H144" i="6"/>
  <c r="I144" i="6"/>
  <c r="N144" i="6"/>
  <c r="R144" i="6"/>
  <c r="Q144" i="6" s="1"/>
  <c r="S144" i="6"/>
  <c r="T144" i="6"/>
  <c r="C145" i="6"/>
  <c r="D145" i="6"/>
  <c r="E145" i="6"/>
  <c r="F145" i="6"/>
  <c r="H145" i="6"/>
  <c r="I145" i="6"/>
  <c r="N145" i="6"/>
  <c r="Q145" i="6"/>
  <c r="R145" i="6"/>
  <c r="S145" i="6"/>
  <c r="T145" i="6"/>
  <c r="C146" i="6"/>
  <c r="L146" i="6" s="1"/>
  <c r="D146" i="6"/>
  <c r="E146" i="6"/>
  <c r="F146" i="6"/>
  <c r="H146" i="6"/>
  <c r="I146" i="6"/>
  <c r="N146" i="6"/>
  <c r="R146" i="6"/>
  <c r="Q146" i="6" s="1"/>
  <c r="S146" i="6" s="1"/>
  <c r="T146" i="6"/>
  <c r="C147" i="6"/>
  <c r="D147" i="6"/>
  <c r="E147" i="6"/>
  <c r="F147" i="6"/>
  <c r="H147" i="6"/>
  <c r="I147" i="6"/>
  <c r="N147" i="6"/>
  <c r="Q147" i="6"/>
  <c r="R147" i="6"/>
  <c r="S147" i="6"/>
  <c r="T147" i="6"/>
  <c r="C148" i="6"/>
  <c r="D148" i="6"/>
  <c r="E148" i="6"/>
  <c r="F148" i="6"/>
  <c r="H148" i="6"/>
  <c r="I148" i="6"/>
  <c r="L148" i="6"/>
  <c r="N148" i="6"/>
  <c r="R148" i="6"/>
  <c r="Q148" i="6" s="1"/>
  <c r="S148" i="6"/>
  <c r="T148" i="6"/>
  <c r="C149" i="6"/>
  <c r="D149" i="6"/>
  <c r="E149" i="6"/>
  <c r="F149" i="6"/>
  <c r="H149" i="6"/>
  <c r="I149" i="6"/>
  <c r="N149" i="6"/>
  <c r="Q149" i="6"/>
  <c r="R149" i="6"/>
  <c r="S149" i="6"/>
  <c r="T149" i="6"/>
  <c r="C150" i="6"/>
  <c r="L150" i="6" s="1"/>
  <c r="D150" i="6"/>
  <c r="E150" i="6"/>
  <c r="F150" i="6"/>
  <c r="H150" i="6"/>
  <c r="I150" i="6"/>
  <c r="N150" i="6"/>
  <c r="R150" i="6"/>
  <c r="Q150" i="6" s="1"/>
  <c r="S150" i="6" s="1"/>
  <c r="T150" i="6"/>
  <c r="C151" i="6"/>
  <c r="D151" i="6"/>
  <c r="E151" i="6"/>
  <c r="L151" i="6" s="1"/>
  <c r="F151" i="6"/>
  <c r="H151" i="6"/>
  <c r="I151" i="6"/>
  <c r="N151" i="6"/>
  <c r="Q151" i="6"/>
  <c r="R151" i="6"/>
  <c r="S151" i="6"/>
  <c r="T151" i="6"/>
  <c r="C152" i="6"/>
  <c r="D152" i="6"/>
  <c r="L152" i="6" s="1"/>
  <c r="E152" i="6"/>
  <c r="F152" i="6"/>
  <c r="H152" i="6"/>
  <c r="I152" i="6"/>
  <c r="N152" i="6"/>
  <c r="R152" i="6"/>
  <c r="Q152" i="6" s="1"/>
  <c r="S152" i="6" s="1"/>
  <c r="T152" i="6"/>
  <c r="C153" i="6"/>
  <c r="D153" i="6"/>
  <c r="E153" i="6"/>
  <c r="F153" i="6"/>
  <c r="H153" i="6"/>
  <c r="I153" i="6"/>
  <c r="N153" i="6"/>
  <c r="Q153" i="6"/>
  <c r="R153" i="6"/>
  <c r="S153" i="6"/>
  <c r="T153" i="6"/>
  <c r="C154" i="6"/>
  <c r="D154" i="6"/>
  <c r="E154" i="6"/>
  <c r="F154" i="6"/>
  <c r="H154" i="6"/>
  <c r="I154" i="6"/>
  <c r="L154" i="6"/>
  <c r="N154" i="6"/>
  <c r="R154" i="6"/>
  <c r="Q154" i="6" s="1"/>
  <c r="S154" i="6" s="1"/>
  <c r="T154" i="6"/>
  <c r="C155" i="6"/>
  <c r="D155" i="6"/>
  <c r="E155" i="6"/>
  <c r="F155" i="6"/>
  <c r="H155" i="6"/>
  <c r="I155" i="6"/>
  <c r="N155" i="6"/>
  <c r="Q155" i="6"/>
  <c r="R155" i="6"/>
  <c r="S155" i="6"/>
  <c r="T155" i="6"/>
  <c r="C156" i="6"/>
  <c r="D156" i="6"/>
  <c r="L156" i="6" s="1"/>
  <c r="E156" i="6"/>
  <c r="F156" i="6"/>
  <c r="H156" i="6"/>
  <c r="I156" i="6"/>
  <c r="N156" i="6"/>
  <c r="R156" i="6"/>
  <c r="T156" i="6"/>
  <c r="C157" i="6"/>
  <c r="D157" i="6"/>
  <c r="E157" i="6"/>
  <c r="F157" i="6"/>
  <c r="H157" i="6"/>
  <c r="I157" i="6"/>
  <c r="N157" i="6"/>
  <c r="Q157" i="6"/>
  <c r="R157" i="6"/>
  <c r="S157" i="6"/>
  <c r="T157" i="6"/>
  <c r="C158" i="6"/>
  <c r="D158" i="6"/>
  <c r="L158" i="6" s="1"/>
  <c r="E158" i="6"/>
  <c r="F158" i="6"/>
  <c r="H158" i="6"/>
  <c r="I158" i="6"/>
  <c r="N158" i="6"/>
  <c r="R158" i="6"/>
  <c r="Q158" i="6" s="1"/>
  <c r="S158" i="6"/>
  <c r="T158" i="6"/>
  <c r="C159" i="6"/>
  <c r="D159" i="6"/>
  <c r="L159" i="6" s="1"/>
  <c r="E159" i="6"/>
  <c r="F159" i="6"/>
  <c r="H159" i="6"/>
  <c r="I159" i="6"/>
  <c r="N159" i="6"/>
  <c r="Q159" i="6"/>
  <c r="R159" i="6"/>
  <c r="S159" i="6"/>
  <c r="T159" i="6"/>
  <c r="C160" i="6"/>
  <c r="D160" i="6"/>
  <c r="E160" i="6"/>
  <c r="F160" i="6"/>
  <c r="H160" i="6"/>
  <c r="I160" i="6"/>
  <c r="N160" i="6"/>
  <c r="R160" i="6"/>
  <c r="Q160" i="6" s="1"/>
  <c r="S160" i="6"/>
  <c r="T160" i="6"/>
  <c r="C161" i="6"/>
  <c r="D161" i="6"/>
  <c r="E161" i="6"/>
  <c r="F161" i="6"/>
  <c r="H161" i="6"/>
  <c r="I161" i="6"/>
  <c r="N161" i="6"/>
  <c r="Q161" i="6"/>
  <c r="R161" i="6"/>
  <c r="S161" i="6"/>
  <c r="T161" i="6"/>
  <c r="C162" i="6"/>
  <c r="D162" i="6"/>
  <c r="E162" i="6"/>
  <c r="F162" i="6"/>
  <c r="H162" i="6"/>
  <c r="I162" i="6"/>
  <c r="L162" i="6"/>
  <c r="N162" i="6"/>
  <c r="R162" i="6"/>
  <c r="Q162" i="6" s="1"/>
  <c r="S162" i="6" s="1"/>
  <c r="T162" i="6"/>
  <c r="C163" i="6"/>
  <c r="D163" i="6"/>
  <c r="E163" i="6"/>
  <c r="F163" i="6"/>
  <c r="H163" i="6"/>
  <c r="I163" i="6"/>
  <c r="N163" i="6"/>
  <c r="Q163" i="6"/>
  <c r="R163" i="6"/>
  <c r="S163" i="6"/>
  <c r="T163" i="6"/>
  <c r="C164" i="6"/>
  <c r="L164" i="6" s="1"/>
  <c r="D164" i="6"/>
  <c r="E164" i="6"/>
  <c r="F164" i="6"/>
  <c r="H164" i="6"/>
  <c r="I164" i="6"/>
  <c r="N164" i="6"/>
  <c r="R164" i="6"/>
  <c r="Q164" i="6" s="1"/>
  <c r="S164" i="6"/>
  <c r="T164" i="6"/>
  <c r="C165" i="6"/>
  <c r="D165" i="6"/>
  <c r="E165" i="6"/>
  <c r="L165" i="6" s="1"/>
  <c r="F165" i="6"/>
  <c r="H165" i="6"/>
  <c r="I165" i="6"/>
  <c r="N165" i="6"/>
  <c r="Q165" i="6"/>
  <c r="R165" i="6"/>
  <c r="S165" i="6"/>
  <c r="T165" i="6"/>
  <c r="C166" i="6"/>
  <c r="D166" i="6"/>
  <c r="L166" i="6" s="1"/>
  <c r="E166" i="6"/>
  <c r="F166" i="6"/>
  <c r="H166" i="6"/>
  <c r="I166" i="6"/>
  <c r="N166" i="6"/>
  <c r="R166" i="6"/>
  <c r="Q166" i="6" s="1"/>
  <c r="S166" i="6" s="1"/>
  <c r="T166" i="6"/>
  <c r="C167" i="6"/>
  <c r="D167" i="6"/>
  <c r="E167" i="6"/>
  <c r="F167" i="6"/>
  <c r="H167" i="6"/>
  <c r="I167" i="6"/>
  <c r="N167" i="6"/>
  <c r="Q167" i="6"/>
  <c r="R167" i="6"/>
  <c r="S167" i="6"/>
  <c r="T167" i="6"/>
  <c r="C168" i="6"/>
  <c r="D168" i="6"/>
  <c r="E168" i="6"/>
  <c r="F168" i="6"/>
  <c r="H168" i="6"/>
  <c r="I168" i="6"/>
  <c r="L168" i="6"/>
  <c r="N168" i="6"/>
  <c r="R168" i="6"/>
  <c r="T168" i="6"/>
  <c r="C169" i="6"/>
  <c r="D169" i="6"/>
  <c r="E169" i="6"/>
  <c r="F169" i="6"/>
  <c r="H169" i="6"/>
  <c r="I169" i="6"/>
  <c r="N169" i="6"/>
  <c r="Q169" i="6"/>
  <c r="R169" i="6"/>
  <c r="S169" i="6"/>
  <c r="T169" i="6"/>
  <c r="C170" i="6"/>
  <c r="D170" i="6"/>
  <c r="L170" i="6" s="1"/>
  <c r="E170" i="6"/>
  <c r="F170" i="6"/>
  <c r="H170" i="6"/>
  <c r="I170" i="6"/>
  <c r="N170" i="6"/>
  <c r="R170" i="6"/>
  <c r="Q170" i="6" s="1"/>
  <c r="S170" i="6"/>
  <c r="T170" i="6"/>
  <c r="C171" i="6"/>
  <c r="D171" i="6"/>
  <c r="L171" i="6" s="1"/>
  <c r="E171" i="6"/>
  <c r="F171" i="6"/>
  <c r="H171" i="6"/>
  <c r="I171" i="6"/>
  <c r="N171" i="6"/>
  <c r="Q171" i="6"/>
  <c r="R171" i="6"/>
  <c r="S171" i="6"/>
  <c r="T171" i="6"/>
  <c r="C172" i="6"/>
  <c r="D172" i="6"/>
  <c r="E172" i="6"/>
  <c r="F172" i="6"/>
  <c r="H172" i="6"/>
  <c r="I172" i="6"/>
  <c r="N172" i="6"/>
  <c r="R172" i="6"/>
  <c r="Q172" i="6" s="1"/>
  <c r="S172" i="6" s="1"/>
  <c r="T172" i="6"/>
  <c r="C173" i="6"/>
  <c r="D173" i="6"/>
  <c r="E173" i="6"/>
  <c r="F173" i="6"/>
  <c r="H173" i="6"/>
  <c r="I173" i="6"/>
  <c r="N173" i="6"/>
  <c r="Q173" i="6"/>
  <c r="R173" i="6"/>
  <c r="S173" i="6"/>
  <c r="T173" i="6"/>
  <c r="C174" i="6"/>
  <c r="D174" i="6"/>
  <c r="E174" i="6"/>
  <c r="F174" i="6"/>
  <c r="H174" i="6"/>
  <c r="I174" i="6"/>
  <c r="N174" i="6"/>
  <c r="R174" i="6"/>
  <c r="Q174" i="6" s="1"/>
  <c r="S174" i="6"/>
  <c r="T174" i="6"/>
  <c r="C175" i="6"/>
  <c r="L175" i="6" s="1"/>
  <c r="D175" i="6"/>
  <c r="E175" i="6"/>
  <c r="F175" i="6"/>
  <c r="H175" i="6"/>
  <c r="I175" i="6"/>
  <c r="N175" i="6"/>
  <c r="Q175" i="6"/>
  <c r="R175" i="6"/>
  <c r="S175" i="6"/>
  <c r="T175" i="6"/>
  <c r="C176" i="6"/>
  <c r="D176" i="6"/>
  <c r="E176" i="6"/>
  <c r="F176" i="6"/>
  <c r="H176" i="6"/>
  <c r="I176" i="6"/>
  <c r="N176" i="6"/>
  <c r="R176" i="6"/>
  <c r="Q176" i="6" s="1"/>
  <c r="S176" i="6"/>
  <c r="T176" i="6"/>
  <c r="C177" i="6"/>
  <c r="D177" i="6"/>
  <c r="E177" i="6"/>
  <c r="F177" i="6"/>
  <c r="H177" i="6"/>
  <c r="I177" i="6"/>
  <c r="N177" i="6"/>
  <c r="Q177" i="6"/>
  <c r="R177" i="6"/>
  <c r="S177" i="6"/>
  <c r="T177" i="6"/>
  <c r="C178" i="6"/>
  <c r="L178" i="6" s="1"/>
  <c r="D178" i="6"/>
  <c r="E178" i="6"/>
  <c r="F178" i="6"/>
  <c r="H178" i="6"/>
  <c r="I178" i="6"/>
  <c r="N178" i="6"/>
  <c r="R178" i="6"/>
  <c r="Q178" i="6" s="1"/>
  <c r="S178" i="6" s="1"/>
  <c r="T178" i="6"/>
  <c r="C179" i="6"/>
  <c r="D179" i="6"/>
  <c r="E179" i="6"/>
  <c r="F179" i="6"/>
  <c r="H179" i="6"/>
  <c r="I179" i="6"/>
  <c r="N179" i="6"/>
  <c r="Q179" i="6"/>
  <c r="R179" i="6"/>
  <c r="S179" i="6"/>
  <c r="T179" i="6"/>
  <c r="C180" i="6"/>
  <c r="D180" i="6"/>
  <c r="E180" i="6"/>
  <c r="F180" i="6"/>
  <c r="L180" i="6" s="1"/>
  <c r="H180" i="6"/>
  <c r="I180" i="6"/>
  <c r="N180" i="6"/>
  <c r="R180" i="6"/>
  <c r="Q180" i="6" s="1"/>
  <c r="S180" i="6"/>
  <c r="T180" i="6"/>
  <c r="C181" i="6"/>
  <c r="D181" i="6"/>
  <c r="E181" i="6"/>
  <c r="F181" i="6"/>
  <c r="H181" i="6"/>
  <c r="I181" i="6"/>
  <c r="N181" i="6"/>
  <c r="Q181" i="6"/>
  <c r="R181" i="6"/>
  <c r="S181" i="6"/>
  <c r="T181" i="6"/>
  <c r="C182" i="6"/>
  <c r="L182" i="6" s="1"/>
  <c r="D182" i="6"/>
  <c r="E182" i="6"/>
  <c r="F182" i="6"/>
  <c r="H182" i="6"/>
  <c r="I182" i="6"/>
  <c r="N182" i="6"/>
  <c r="R182" i="6"/>
  <c r="Q182" i="6" s="1"/>
  <c r="S182" i="6" s="1"/>
  <c r="T182" i="6"/>
  <c r="C183" i="6"/>
  <c r="D183" i="6"/>
  <c r="E183" i="6"/>
  <c r="F183" i="6"/>
  <c r="H183" i="6"/>
  <c r="I183" i="6"/>
  <c r="N183" i="6"/>
  <c r="Q183" i="6"/>
  <c r="R183" i="6"/>
  <c r="S183" i="6"/>
  <c r="T183" i="6"/>
  <c r="C184" i="6"/>
  <c r="L184" i="6" s="1"/>
  <c r="D184" i="6"/>
  <c r="E184" i="6"/>
  <c r="F184" i="6"/>
  <c r="H184" i="6"/>
  <c r="I184" i="6"/>
  <c r="N184" i="6"/>
  <c r="R184" i="6"/>
  <c r="Q184" i="6" s="1"/>
  <c r="S184" i="6" s="1"/>
  <c r="T184" i="6"/>
  <c r="C185" i="6"/>
  <c r="D185" i="6"/>
  <c r="E185" i="6"/>
  <c r="F185" i="6"/>
  <c r="H185" i="6"/>
  <c r="I185" i="6"/>
  <c r="N185" i="6"/>
  <c r="Q185" i="6"/>
  <c r="R185" i="6"/>
  <c r="S185" i="6"/>
  <c r="T185" i="6"/>
  <c r="C186" i="6"/>
  <c r="D186" i="6"/>
  <c r="E186" i="6"/>
  <c r="F186" i="6"/>
  <c r="H186" i="6"/>
  <c r="I186" i="6"/>
  <c r="N186" i="6"/>
  <c r="R186" i="6"/>
  <c r="Q186" i="6" s="1"/>
  <c r="S186" i="6"/>
  <c r="T186" i="6"/>
  <c r="C187" i="6"/>
  <c r="L187" i="6" s="1"/>
  <c r="D187" i="6"/>
  <c r="E187" i="6"/>
  <c r="F187" i="6"/>
  <c r="H187" i="6"/>
  <c r="I187" i="6"/>
  <c r="N187" i="6"/>
  <c r="Q187" i="6"/>
  <c r="R187" i="6"/>
  <c r="S187" i="6"/>
  <c r="T187" i="6"/>
  <c r="C188" i="6"/>
  <c r="D188" i="6"/>
  <c r="E188" i="6"/>
  <c r="F188" i="6"/>
  <c r="H188" i="6"/>
  <c r="I188" i="6"/>
  <c r="N188" i="6"/>
  <c r="R188" i="6"/>
  <c r="Q188" i="6" s="1"/>
  <c r="S188" i="6" s="1"/>
  <c r="T188" i="6"/>
  <c r="C189" i="6"/>
  <c r="D189" i="6"/>
  <c r="E189" i="6"/>
  <c r="F189" i="6"/>
  <c r="H189" i="6"/>
  <c r="I189" i="6"/>
  <c r="N189" i="6"/>
  <c r="Q189" i="6"/>
  <c r="R189" i="6"/>
  <c r="S189" i="6"/>
  <c r="T189" i="6"/>
  <c r="C190" i="6"/>
  <c r="D190" i="6"/>
  <c r="L190" i="6" s="1"/>
  <c r="E190" i="6"/>
  <c r="F190" i="6"/>
  <c r="H190" i="6"/>
  <c r="I190" i="6"/>
  <c r="N190" i="6"/>
  <c r="R190" i="6"/>
  <c r="Q190" i="6" s="1"/>
  <c r="S190" i="6"/>
  <c r="T190" i="6"/>
  <c r="C191" i="6"/>
  <c r="D191" i="6"/>
  <c r="L191" i="6" s="1"/>
  <c r="E191" i="6"/>
  <c r="F191" i="6"/>
  <c r="H191" i="6"/>
  <c r="I191" i="6"/>
  <c r="N191" i="6"/>
  <c r="Q191" i="6"/>
  <c r="R191" i="6"/>
  <c r="S191" i="6"/>
  <c r="T191" i="6"/>
  <c r="C192" i="6"/>
  <c r="D192" i="6"/>
  <c r="E192" i="6"/>
  <c r="F192" i="6"/>
  <c r="H192" i="6"/>
  <c r="I192" i="6"/>
  <c r="N192" i="6"/>
  <c r="R192" i="6"/>
  <c r="Q192" i="6" s="1"/>
  <c r="S192" i="6"/>
  <c r="T192" i="6"/>
  <c r="C193" i="6"/>
  <c r="D193" i="6"/>
  <c r="E193" i="6"/>
  <c r="F193" i="6"/>
  <c r="H193" i="6"/>
  <c r="I193" i="6"/>
  <c r="N193" i="6"/>
  <c r="Q193" i="6"/>
  <c r="R193" i="6"/>
  <c r="S193" i="6"/>
  <c r="T193" i="6"/>
  <c r="C194" i="6"/>
  <c r="D194" i="6"/>
  <c r="E194" i="6"/>
  <c r="F194" i="6"/>
  <c r="H194" i="6"/>
  <c r="I194" i="6"/>
  <c r="L194" i="6"/>
  <c r="N194" i="6"/>
  <c r="R194" i="6"/>
  <c r="Q194" i="6" s="1"/>
  <c r="S194" i="6" s="1"/>
  <c r="T194" i="6"/>
  <c r="C195" i="6"/>
  <c r="D195" i="6"/>
  <c r="E195" i="6"/>
  <c r="F195" i="6"/>
  <c r="H195" i="6"/>
  <c r="I195" i="6"/>
  <c r="N195" i="6"/>
  <c r="Q195" i="6"/>
  <c r="R195" i="6"/>
  <c r="S195" i="6"/>
  <c r="T195" i="6"/>
  <c r="C196" i="6"/>
  <c r="L196" i="6" s="1"/>
  <c r="D196" i="6"/>
  <c r="E196" i="6"/>
  <c r="F196" i="6"/>
  <c r="H196" i="6"/>
  <c r="I196" i="6"/>
  <c r="N196" i="6"/>
  <c r="R196" i="6"/>
  <c r="Q196" i="6" s="1"/>
  <c r="S196" i="6"/>
  <c r="T196" i="6"/>
  <c r="C197" i="6"/>
  <c r="D197" i="6"/>
  <c r="E197" i="6"/>
  <c r="F197" i="6"/>
  <c r="H197" i="6"/>
  <c r="I197" i="6"/>
  <c r="N197" i="6"/>
  <c r="Q197" i="6"/>
  <c r="R197" i="6"/>
  <c r="S197" i="6"/>
  <c r="T197" i="6"/>
  <c r="C198" i="6"/>
  <c r="D198" i="6"/>
  <c r="E198" i="6"/>
  <c r="F198" i="6"/>
  <c r="H198" i="6"/>
  <c r="I198" i="6"/>
  <c r="N198" i="6"/>
  <c r="Q198" i="6"/>
  <c r="S198" i="6" s="1"/>
  <c r="R198" i="6"/>
  <c r="T198" i="6"/>
  <c r="C199" i="6"/>
  <c r="D199" i="6"/>
  <c r="E199" i="6"/>
  <c r="F199" i="6"/>
  <c r="H199" i="6"/>
  <c r="I199" i="6"/>
  <c r="N199" i="6"/>
  <c r="Q199" i="6"/>
  <c r="R199" i="6"/>
  <c r="S199" i="6"/>
  <c r="T199" i="6"/>
  <c r="C200" i="6"/>
  <c r="L200" i="6" s="1"/>
  <c r="D200" i="6"/>
  <c r="E200" i="6"/>
  <c r="F200" i="6"/>
  <c r="H200" i="6"/>
  <c r="I200" i="6"/>
  <c r="N200" i="6"/>
  <c r="Q200" i="6"/>
  <c r="S200" i="6" s="1"/>
  <c r="R200" i="6"/>
  <c r="T200" i="6"/>
  <c r="C201" i="6"/>
  <c r="D201" i="6"/>
  <c r="E201" i="6"/>
  <c r="F201" i="6"/>
  <c r="H201" i="6"/>
  <c r="I201" i="6"/>
  <c r="N201" i="6"/>
  <c r="Q201" i="6"/>
  <c r="R201" i="6"/>
  <c r="S201" i="6"/>
  <c r="T201" i="6"/>
  <c r="C202" i="6"/>
  <c r="D202" i="6"/>
  <c r="E202" i="6"/>
  <c r="F202" i="6"/>
  <c r="H202" i="6"/>
  <c r="I202" i="6"/>
  <c r="L202" i="6"/>
  <c r="N202" i="6"/>
  <c r="Q202" i="6"/>
  <c r="S202" i="6" s="1"/>
  <c r="R202" i="6"/>
  <c r="T202" i="6"/>
  <c r="C203" i="6"/>
  <c r="D203" i="6"/>
  <c r="E203" i="6"/>
  <c r="F203" i="6"/>
  <c r="H203" i="6"/>
  <c r="I203" i="6"/>
  <c r="N203" i="6"/>
  <c r="Q203" i="6"/>
  <c r="R203" i="6"/>
  <c r="S203" i="6"/>
  <c r="T203" i="6"/>
  <c r="C204" i="6"/>
  <c r="L204" i="6" s="1"/>
  <c r="D204" i="6"/>
  <c r="E204" i="6"/>
  <c r="F204" i="6"/>
  <c r="H204" i="6"/>
  <c r="I204" i="6"/>
  <c r="N204" i="6"/>
  <c r="Q204" i="6"/>
  <c r="S204" i="6" s="1"/>
  <c r="R204" i="6"/>
  <c r="T204" i="6"/>
  <c r="C205" i="6"/>
  <c r="D205" i="6"/>
  <c r="E205" i="6"/>
  <c r="F205" i="6"/>
  <c r="H205" i="6"/>
  <c r="I205" i="6"/>
  <c r="N205" i="6"/>
  <c r="Q205" i="6"/>
  <c r="R205" i="6"/>
  <c r="S205" i="6"/>
  <c r="T205" i="6"/>
  <c r="C206" i="6"/>
  <c r="D206" i="6"/>
  <c r="E206" i="6"/>
  <c r="F206" i="6"/>
  <c r="H206" i="6"/>
  <c r="I206" i="6"/>
  <c r="N206" i="6"/>
  <c r="Q206" i="6"/>
  <c r="S206" i="6" s="1"/>
  <c r="R206" i="6"/>
  <c r="T206" i="6"/>
  <c r="C207" i="6"/>
  <c r="D207" i="6"/>
  <c r="E207" i="6"/>
  <c r="F207" i="6"/>
  <c r="H207" i="6"/>
  <c r="I207" i="6"/>
  <c r="N207" i="6"/>
  <c r="Q207" i="6"/>
  <c r="R207" i="6"/>
  <c r="S207" i="6"/>
  <c r="T207" i="6"/>
  <c r="C208" i="6"/>
  <c r="D208" i="6"/>
  <c r="E208" i="6"/>
  <c r="F208" i="6"/>
  <c r="H208" i="6"/>
  <c r="I208" i="6"/>
  <c r="L208" i="6"/>
  <c r="N208" i="6"/>
  <c r="Q208" i="6"/>
  <c r="S208" i="6" s="1"/>
  <c r="R208" i="6"/>
  <c r="T208" i="6"/>
  <c r="C209" i="6"/>
  <c r="D209" i="6"/>
  <c r="E209" i="6"/>
  <c r="F209" i="6"/>
  <c r="H209" i="6"/>
  <c r="I209" i="6"/>
  <c r="N209" i="6"/>
  <c r="Q209" i="6"/>
  <c r="R209" i="6"/>
  <c r="S209" i="6"/>
  <c r="T209" i="6"/>
  <c r="C210" i="6"/>
  <c r="L210" i="6" s="1"/>
  <c r="D210" i="6"/>
  <c r="E210" i="6"/>
  <c r="F210" i="6"/>
  <c r="H210" i="6"/>
  <c r="I210" i="6"/>
  <c r="N210" i="6"/>
  <c r="Q210" i="6"/>
  <c r="S210" i="6" s="1"/>
  <c r="R210" i="6"/>
  <c r="T210" i="6"/>
  <c r="C211" i="6"/>
  <c r="D211" i="6"/>
  <c r="E211" i="6"/>
  <c r="L211" i="6" s="1"/>
  <c r="F211" i="6"/>
  <c r="H211" i="6"/>
  <c r="I211" i="6"/>
  <c r="N211" i="6"/>
  <c r="Q211" i="6"/>
  <c r="R211" i="6"/>
  <c r="S211" i="6"/>
  <c r="T211" i="6"/>
  <c r="C212" i="6"/>
  <c r="D212" i="6"/>
  <c r="E212" i="6"/>
  <c r="F212" i="6"/>
  <c r="H212" i="6"/>
  <c r="I212" i="6"/>
  <c r="N212" i="6"/>
  <c r="Q212" i="6"/>
  <c r="S212" i="6" s="1"/>
  <c r="R212" i="6"/>
  <c r="T212" i="6"/>
  <c r="C213" i="6"/>
  <c r="D213" i="6"/>
  <c r="E213" i="6"/>
  <c r="F213" i="6"/>
  <c r="H213" i="6"/>
  <c r="I213" i="6"/>
  <c r="N213" i="6"/>
  <c r="Q213" i="6"/>
  <c r="R213" i="6"/>
  <c r="S213" i="6"/>
  <c r="T213" i="6"/>
  <c r="C214" i="6"/>
  <c r="D214" i="6"/>
  <c r="E214" i="6"/>
  <c r="F214" i="6"/>
  <c r="H214" i="6"/>
  <c r="I214" i="6"/>
  <c r="N214" i="6"/>
  <c r="Q214" i="6"/>
  <c r="S214" i="6" s="1"/>
  <c r="R214" i="6"/>
  <c r="T214" i="6"/>
  <c r="C215" i="6"/>
  <c r="D215" i="6"/>
  <c r="E215" i="6"/>
  <c r="F215" i="6"/>
  <c r="H215" i="6"/>
  <c r="I215" i="6"/>
  <c r="N215" i="6"/>
  <c r="Q215" i="6"/>
  <c r="R215" i="6"/>
  <c r="S215" i="6"/>
  <c r="T215" i="6"/>
  <c r="C216" i="6"/>
  <c r="D216" i="6"/>
  <c r="L216" i="6" s="1"/>
  <c r="E216" i="6"/>
  <c r="F216" i="6"/>
  <c r="H216" i="6"/>
  <c r="I216" i="6"/>
  <c r="N216" i="6"/>
  <c r="Q216" i="6"/>
  <c r="S216" i="6" s="1"/>
  <c r="R216" i="6"/>
  <c r="T216" i="6"/>
  <c r="C217" i="6"/>
  <c r="D217" i="6"/>
  <c r="E217" i="6"/>
  <c r="L217" i="6" s="1"/>
  <c r="F217" i="6"/>
  <c r="H217" i="6"/>
  <c r="I217" i="6"/>
  <c r="N217" i="6"/>
  <c r="Q217" i="6"/>
  <c r="R217" i="6"/>
  <c r="S217" i="6"/>
  <c r="T217" i="6"/>
  <c r="C218" i="6"/>
  <c r="L218" i="6" s="1"/>
  <c r="D218" i="6"/>
  <c r="E218" i="6"/>
  <c r="F218" i="6"/>
  <c r="H218" i="6"/>
  <c r="I218" i="6"/>
  <c r="N218" i="6"/>
  <c r="Q218" i="6"/>
  <c r="S218" i="6" s="1"/>
  <c r="R218" i="6"/>
  <c r="T218" i="6"/>
  <c r="C219" i="6"/>
  <c r="D219" i="6"/>
  <c r="E219" i="6"/>
  <c r="F219" i="6"/>
  <c r="H219" i="6"/>
  <c r="I219" i="6"/>
  <c r="N219" i="6"/>
  <c r="Q219" i="6"/>
  <c r="R219" i="6"/>
  <c r="S219" i="6"/>
  <c r="T219" i="6"/>
  <c r="C220" i="6"/>
  <c r="D220" i="6"/>
  <c r="E220" i="6"/>
  <c r="F220" i="6"/>
  <c r="H220" i="6"/>
  <c r="I220" i="6"/>
  <c r="N220" i="6"/>
  <c r="Q220" i="6"/>
  <c r="S220" i="6" s="1"/>
  <c r="R220" i="6"/>
  <c r="T220" i="6"/>
  <c r="C221" i="6"/>
  <c r="D221" i="6"/>
  <c r="E221" i="6"/>
  <c r="F221" i="6"/>
  <c r="H221" i="6"/>
  <c r="I221" i="6"/>
  <c r="N221" i="6"/>
  <c r="Q221" i="6"/>
  <c r="R221" i="6"/>
  <c r="S221" i="6"/>
  <c r="T221" i="6"/>
  <c r="C222" i="6"/>
  <c r="L222" i="6" s="1"/>
  <c r="D222" i="6"/>
  <c r="E222" i="6"/>
  <c r="F222" i="6"/>
  <c r="H222" i="6"/>
  <c r="I222" i="6"/>
  <c r="N222" i="6"/>
  <c r="Q222" i="6"/>
  <c r="S222" i="6" s="1"/>
  <c r="R222" i="6"/>
  <c r="T222" i="6"/>
  <c r="C223" i="6"/>
  <c r="D223" i="6"/>
  <c r="E223" i="6"/>
  <c r="L223" i="6" s="1"/>
  <c r="F223" i="6"/>
  <c r="H223" i="6"/>
  <c r="I223" i="6"/>
  <c r="N223" i="6"/>
  <c r="Q223" i="6"/>
  <c r="R223" i="6"/>
  <c r="S223" i="6"/>
  <c r="T223" i="6"/>
  <c r="C224" i="6"/>
  <c r="L224" i="6" s="1"/>
  <c r="D224" i="6"/>
  <c r="E224" i="6"/>
  <c r="F224" i="6"/>
  <c r="H224" i="6"/>
  <c r="I224" i="6"/>
  <c r="N224" i="6"/>
  <c r="Q224" i="6"/>
  <c r="S224" i="6" s="1"/>
  <c r="R224" i="6"/>
  <c r="T224" i="6"/>
  <c r="C225" i="6"/>
  <c r="D225" i="6"/>
  <c r="E225" i="6"/>
  <c r="F225" i="6"/>
  <c r="H225" i="6"/>
  <c r="I225" i="6"/>
  <c r="N225" i="6"/>
  <c r="Q225" i="6"/>
  <c r="R225" i="6"/>
  <c r="S225" i="6"/>
  <c r="T225" i="6"/>
  <c r="C226" i="6"/>
  <c r="D226" i="6"/>
  <c r="E226" i="6"/>
  <c r="F226" i="6"/>
  <c r="H226" i="6"/>
  <c r="I226" i="6"/>
  <c r="N226" i="6"/>
  <c r="Q226" i="6"/>
  <c r="S226" i="6" s="1"/>
  <c r="R226" i="6"/>
  <c r="T226" i="6"/>
  <c r="C227" i="6"/>
  <c r="D227" i="6"/>
  <c r="E227" i="6"/>
  <c r="F227" i="6"/>
  <c r="H227" i="6"/>
  <c r="I227" i="6"/>
  <c r="N227" i="6"/>
  <c r="Q227" i="6"/>
  <c r="R227" i="6"/>
  <c r="S227" i="6"/>
  <c r="T227" i="6"/>
  <c r="C228" i="6"/>
  <c r="L228" i="6" s="1"/>
  <c r="D228" i="6"/>
  <c r="E228" i="6"/>
  <c r="F228" i="6"/>
  <c r="H228" i="6"/>
  <c r="I228" i="6"/>
  <c r="N228" i="6"/>
  <c r="Q228" i="6"/>
  <c r="S228" i="6" s="1"/>
  <c r="R228" i="6"/>
  <c r="T228" i="6"/>
  <c r="C229" i="6"/>
  <c r="D229" i="6"/>
  <c r="E229" i="6"/>
  <c r="F229" i="6"/>
  <c r="H229" i="6"/>
  <c r="I229" i="6"/>
  <c r="N229" i="6"/>
  <c r="Q229" i="6"/>
  <c r="R229" i="6"/>
  <c r="S229" i="6"/>
  <c r="T229" i="6"/>
  <c r="C230" i="6"/>
  <c r="D230" i="6"/>
  <c r="E230" i="6"/>
  <c r="F230" i="6"/>
  <c r="H230" i="6"/>
  <c r="I230" i="6"/>
  <c r="N230" i="6"/>
  <c r="Q230" i="6"/>
  <c r="S230" i="6" s="1"/>
  <c r="R230" i="6"/>
  <c r="T230" i="6"/>
  <c r="C231" i="6"/>
  <c r="D231" i="6"/>
  <c r="E231" i="6"/>
  <c r="F231" i="6"/>
  <c r="H231" i="6"/>
  <c r="I231" i="6"/>
  <c r="N231" i="6"/>
  <c r="Q231" i="6"/>
  <c r="R231" i="6"/>
  <c r="S231" i="6"/>
  <c r="T231" i="6"/>
  <c r="C232" i="6"/>
  <c r="D232" i="6"/>
  <c r="E232" i="6"/>
  <c r="F232" i="6"/>
  <c r="H232" i="6"/>
  <c r="I232" i="6"/>
  <c r="L232" i="6"/>
  <c r="N232" i="6"/>
  <c r="Q232" i="6"/>
  <c r="S232" i="6" s="1"/>
  <c r="R232" i="6"/>
  <c r="T232" i="6"/>
  <c r="C233" i="6"/>
  <c r="D233" i="6"/>
  <c r="E233" i="6"/>
  <c r="F233" i="6"/>
  <c r="H233" i="6"/>
  <c r="I233" i="6"/>
  <c r="N233" i="6"/>
  <c r="Q233" i="6"/>
  <c r="R233" i="6"/>
  <c r="S233" i="6"/>
  <c r="T233" i="6"/>
  <c r="C234" i="6"/>
  <c r="L234" i="6" s="1"/>
  <c r="D234" i="6"/>
  <c r="E234" i="6"/>
  <c r="F234" i="6"/>
  <c r="H234" i="6"/>
  <c r="I234" i="6"/>
  <c r="N234" i="6"/>
  <c r="Q234" i="6"/>
  <c r="S234" i="6" s="1"/>
  <c r="R234" i="6"/>
  <c r="T234" i="6"/>
  <c r="C235" i="6"/>
  <c r="D235" i="6"/>
  <c r="E235" i="6"/>
  <c r="F235" i="6"/>
  <c r="H235" i="6"/>
  <c r="I235" i="6"/>
  <c r="N235" i="6"/>
  <c r="Q235" i="6"/>
  <c r="R235" i="6"/>
  <c r="S235" i="6"/>
  <c r="T235" i="6"/>
  <c r="C236" i="6"/>
  <c r="D236" i="6"/>
  <c r="E236" i="6"/>
  <c r="F236" i="6"/>
  <c r="H236" i="6"/>
  <c r="I236" i="6"/>
  <c r="N236" i="6"/>
  <c r="Q236" i="6"/>
  <c r="S236" i="6" s="1"/>
  <c r="R236" i="6"/>
  <c r="T236" i="6"/>
  <c r="C237" i="6"/>
  <c r="D237" i="6"/>
  <c r="E237" i="6"/>
  <c r="F237" i="6"/>
  <c r="H237" i="6"/>
  <c r="I237" i="6"/>
  <c r="N237" i="6"/>
  <c r="Q237" i="6"/>
  <c r="R237" i="6"/>
  <c r="S237" i="6"/>
  <c r="T237" i="6"/>
  <c r="C238" i="6"/>
  <c r="D238" i="6"/>
  <c r="E238" i="6"/>
  <c r="F238" i="6"/>
  <c r="H238" i="6"/>
  <c r="I238" i="6"/>
  <c r="N238" i="6"/>
  <c r="Q238" i="6"/>
  <c r="S238" i="6" s="1"/>
  <c r="R238" i="6"/>
  <c r="T238" i="6"/>
  <c r="C239" i="6"/>
  <c r="D239" i="6"/>
  <c r="E239" i="6"/>
  <c r="F239" i="6"/>
  <c r="H239" i="6"/>
  <c r="I239" i="6"/>
  <c r="N239" i="6"/>
  <c r="Q239" i="6"/>
  <c r="R239" i="6"/>
  <c r="S239" i="6"/>
  <c r="T239" i="6"/>
  <c r="C240" i="6"/>
  <c r="L240" i="6" s="1"/>
  <c r="D240" i="6"/>
  <c r="E240" i="6"/>
  <c r="F240" i="6"/>
  <c r="H240" i="6"/>
  <c r="I240" i="6"/>
  <c r="N240" i="6"/>
  <c r="Q240" i="6"/>
  <c r="S240" i="6" s="1"/>
  <c r="R240" i="6"/>
  <c r="T240" i="6"/>
  <c r="C241" i="6"/>
  <c r="D241" i="6"/>
  <c r="E241" i="6"/>
  <c r="F241" i="6"/>
  <c r="H241" i="6"/>
  <c r="I241" i="6"/>
  <c r="N241" i="6"/>
  <c r="Q241" i="6"/>
  <c r="R241" i="6"/>
  <c r="S241" i="6"/>
  <c r="T241" i="6"/>
  <c r="C242" i="6"/>
  <c r="D242" i="6"/>
  <c r="E242" i="6"/>
  <c r="F242" i="6"/>
  <c r="H242" i="6"/>
  <c r="I242" i="6"/>
  <c r="N242" i="6"/>
  <c r="Q242" i="6"/>
  <c r="S242" i="6" s="1"/>
  <c r="R242" i="6"/>
  <c r="T242" i="6"/>
  <c r="C243" i="6"/>
  <c r="D243" i="6"/>
  <c r="E243" i="6"/>
  <c r="F243" i="6"/>
  <c r="H243" i="6"/>
  <c r="I243" i="6"/>
  <c r="N243" i="6"/>
  <c r="Q243" i="6"/>
  <c r="R243" i="6"/>
  <c r="S243" i="6"/>
  <c r="T243" i="6"/>
  <c r="C244" i="6"/>
  <c r="D244" i="6"/>
  <c r="E244" i="6"/>
  <c r="F244" i="6"/>
  <c r="H244" i="6"/>
  <c r="I244" i="6"/>
  <c r="N244" i="6"/>
  <c r="Q244" i="6"/>
  <c r="S244" i="6" s="1"/>
  <c r="R244" i="6"/>
  <c r="T244" i="6"/>
  <c r="C245" i="6"/>
  <c r="D245" i="6"/>
  <c r="E245" i="6"/>
  <c r="F245" i="6"/>
  <c r="H245" i="6"/>
  <c r="I245" i="6"/>
  <c r="N245" i="6"/>
  <c r="Q245" i="6"/>
  <c r="R245" i="6"/>
  <c r="S245" i="6"/>
  <c r="T245" i="6"/>
  <c r="C246" i="6"/>
  <c r="L246" i="6" s="1"/>
  <c r="D246" i="6"/>
  <c r="E246" i="6"/>
  <c r="F246" i="6"/>
  <c r="H246" i="6"/>
  <c r="I246" i="6"/>
  <c r="N246" i="6"/>
  <c r="Q246" i="6"/>
  <c r="S246" i="6" s="1"/>
  <c r="R246" i="6"/>
  <c r="T246" i="6"/>
  <c r="C247" i="6"/>
  <c r="D247" i="6"/>
  <c r="E247" i="6"/>
  <c r="L247" i="6" s="1"/>
  <c r="F247" i="6"/>
  <c r="H247" i="6"/>
  <c r="I247" i="6"/>
  <c r="N247" i="6"/>
  <c r="Q247" i="6"/>
  <c r="R247" i="6"/>
  <c r="S247" i="6"/>
  <c r="T247" i="6"/>
  <c r="C248" i="6"/>
  <c r="L248" i="6" s="1"/>
  <c r="D248" i="6"/>
  <c r="E248" i="6"/>
  <c r="F248" i="6"/>
  <c r="H248" i="6"/>
  <c r="I248" i="6"/>
  <c r="N248" i="6"/>
  <c r="Q248" i="6"/>
  <c r="S248" i="6" s="1"/>
  <c r="R248" i="6"/>
  <c r="T248" i="6"/>
  <c r="C249" i="6"/>
  <c r="D249" i="6"/>
  <c r="E249" i="6"/>
  <c r="F249" i="6"/>
  <c r="H249" i="6"/>
  <c r="I249" i="6"/>
  <c r="N249" i="6"/>
  <c r="Q249" i="6"/>
  <c r="R249" i="6"/>
  <c r="S249" i="6"/>
  <c r="T249" i="6"/>
  <c r="C250" i="6"/>
  <c r="D250" i="6"/>
  <c r="L250" i="6" s="1"/>
  <c r="E250" i="6"/>
  <c r="F250" i="6"/>
  <c r="H250" i="6"/>
  <c r="I250" i="6"/>
  <c r="N250" i="6"/>
  <c r="Q250" i="6"/>
  <c r="S250" i="6" s="1"/>
  <c r="R250" i="6"/>
  <c r="T250" i="6"/>
  <c r="C251" i="6"/>
  <c r="D251" i="6"/>
  <c r="E251" i="6"/>
  <c r="F251" i="6"/>
  <c r="H251" i="6"/>
  <c r="I251" i="6"/>
  <c r="N251" i="6"/>
  <c r="Q251" i="6"/>
  <c r="R251" i="6"/>
  <c r="S251" i="6"/>
  <c r="T251" i="6"/>
  <c r="C252" i="6"/>
  <c r="D252" i="6"/>
  <c r="E252" i="6"/>
  <c r="F252" i="6"/>
  <c r="H252" i="6"/>
  <c r="I252" i="6"/>
  <c r="N252" i="6"/>
  <c r="Q252" i="6"/>
  <c r="S252" i="6" s="1"/>
  <c r="R252" i="6"/>
  <c r="T252" i="6"/>
  <c r="C253" i="6"/>
  <c r="D253" i="6"/>
  <c r="E253" i="6"/>
  <c r="F253" i="6"/>
  <c r="H253" i="6"/>
  <c r="I253" i="6"/>
  <c r="N253" i="6"/>
  <c r="Q253" i="6"/>
  <c r="R253" i="6"/>
  <c r="S253" i="6"/>
  <c r="T253" i="6"/>
  <c r="C254" i="6"/>
  <c r="D254" i="6"/>
  <c r="E254" i="6"/>
  <c r="F254" i="6"/>
  <c r="H254" i="6"/>
  <c r="I254" i="6"/>
  <c r="N254" i="6"/>
  <c r="Q254" i="6"/>
  <c r="S254" i="6" s="1"/>
  <c r="R254" i="6"/>
  <c r="T254" i="6"/>
  <c r="C255" i="6"/>
  <c r="D255" i="6"/>
  <c r="E255" i="6"/>
  <c r="F255" i="6"/>
  <c r="H255" i="6"/>
  <c r="I255" i="6"/>
  <c r="N255" i="6"/>
  <c r="Q255" i="6"/>
  <c r="R255" i="6"/>
  <c r="S255" i="6"/>
  <c r="T255" i="6"/>
  <c r="C256" i="6"/>
  <c r="D256" i="6"/>
  <c r="L256" i="6" s="1"/>
  <c r="E256" i="6"/>
  <c r="F256" i="6"/>
  <c r="H256" i="6"/>
  <c r="I256" i="6"/>
  <c r="N256" i="6"/>
  <c r="Q256" i="6"/>
  <c r="S256" i="6" s="1"/>
  <c r="R256" i="6"/>
  <c r="T256" i="6"/>
  <c r="C257" i="6"/>
  <c r="D257" i="6"/>
  <c r="E257" i="6"/>
  <c r="F257" i="6"/>
  <c r="H257" i="6"/>
  <c r="I257" i="6"/>
  <c r="N257" i="6"/>
  <c r="Q257" i="6"/>
  <c r="R257" i="6"/>
  <c r="S257" i="6"/>
  <c r="T257" i="6"/>
  <c r="C258" i="6"/>
  <c r="L258" i="6" s="1"/>
  <c r="D258" i="6"/>
  <c r="E258" i="6"/>
  <c r="F258" i="6"/>
  <c r="H258" i="6"/>
  <c r="I258" i="6"/>
  <c r="N258" i="6"/>
  <c r="Q258" i="6"/>
  <c r="S258" i="6" s="1"/>
  <c r="R258" i="6"/>
  <c r="T258" i="6"/>
  <c r="C259" i="6"/>
  <c r="D259" i="6"/>
  <c r="E259" i="6"/>
  <c r="F259" i="6"/>
  <c r="H259" i="6"/>
  <c r="I259" i="6"/>
  <c r="N259" i="6"/>
  <c r="Q259" i="6"/>
  <c r="R259" i="6"/>
  <c r="S259" i="6"/>
  <c r="T259" i="6"/>
  <c r="C260" i="6"/>
  <c r="D260" i="6"/>
  <c r="E260" i="6"/>
  <c r="F260" i="6"/>
  <c r="H260" i="6"/>
  <c r="I260" i="6"/>
  <c r="N260" i="6"/>
  <c r="Q260" i="6"/>
  <c r="R260" i="6"/>
  <c r="S260" i="6"/>
  <c r="T260" i="6"/>
  <c r="C261" i="6"/>
  <c r="D261" i="6"/>
  <c r="E261" i="6"/>
  <c r="F261" i="6"/>
  <c r="H261" i="6"/>
  <c r="I261" i="6"/>
  <c r="N261" i="6"/>
  <c r="Q261" i="6"/>
  <c r="R261" i="6"/>
  <c r="S261" i="6"/>
  <c r="T261" i="6"/>
  <c r="C262" i="6"/>
  <c r="D262" i="6"/>
  <c r="E262" i="6"/>
  <c r="F262" i="6"/>
  <c r="H262" i="6"/>
  <c r="I262" i="6"/>
  <c r="N262" i="6"/>
  <c r="Q262" i="6"/>
  <c r="R262" i="6"/>
  <c r="S262" i="6"/>
  <c r="T262" i="6"/>
  <c r="C263" i="6"/>
  <c r="D263" i="6"/>
  <c r="E263" i="6"/>
  <c r="F263" i="6"/>
  <c r="H263" i="6"/>
  <c r="I263" i="6"/>
  <c r="L263" i="6"/>
  <c r="N263" i="6"/>
  <c r="Q263" i="6"/>
  <c r="R263" i="6"/>
  <c r="S263" i="6"/>
  <c r="T263" i="6"/>
  <c r="C264" i="6"/>
  <c r="D264" i="6"/>
  <c r="E264" i="6"/>
  <c r="F264" i="6"/>
  <c r="H264" i="6"/>
  <c r="I264" i="6"/>
  <c r="N264" i="6"/>
  <c r="Q264" i="6"/>
  <c r="S264" i="6" s="1"/>
  <c r="R264" i="6"/>
  <c r="T264" i="6"/>
  <c r="C265" i="6"/>
  <c r="D265" i="6"/>
  <c r="E265" i="6"/>
  <c r="F265" i="6"/>
  <c r="H265" i="6"/>
  <c r="I265" i="6"/>
  <c r="N265" i="6"/>
  <c r="Q265" i="6"/>
  <c r="R265" i="6"/>
  <c r="S265" i="6"/>
  <c r="T265" i="6"/>
  <c r="C266" i="6"/>
  <c r="D266" i="6"/>
  <c r="E266" i="6"/>
  <c r="F266" i="6"/>
  <c r="H266" i="6"/>
  <c r="I266" i="6"/>
  <c r="N266" i="6"/>
  <c r="Q266" i="6"/>
  <c r="R266" i="6"/>
  <c r="S266" i="6"/>
  <c r="T266" i="6"/>
  <c r="C267" i="6"/>
  <c r="D267" i="6"/>
  <c r="E267" i="6"/>
  <c r="F267" i="6"/>
  <c r="H267" i="6"/>
  <c r="I267" i="6"/>
  <c r="L267" i="6"/>
  <c r="N267" i="6"/>
  <c r="Q267" i="6"/>
  <c r="R267" i="6"/>
  <c r="S267" i="6"/>
  <c r="T267" i="6"/>
  <c r="C268" i="6"/>
  <c r="D268" i="6"/>
  <c r="E268" i="6"/>
  <c r="F268" i="6"/>
  <c r="H268" i="6"/>
  <c r="I268" i="6"/>
  <c r="N268" i="6"/>
  <c r="Q268" i="6"/>
  <c r="S268" i="6" s="1"/>
  <c r="R268" i="6"/>
  <c r="T268" i="6"/>
  <c r="C269" i="6"/>
  <c r="D269" i="6"/>
  <c r="E269" i="6"/>
  <c r="F269" i="6"/>
  <c r="H269" i="6"/>
  <c r="I269" i="6"/>
  <c r="N269" i="6"/>
  <c r="Q269" i="6"/>
  <c r="R269" i="6"/>
  <c r="S269" i="6"/>
  <c r="T269" i="6"/>
  <c r="C270" i="6"/>
  <c r="D270" i="6"/>
  <c r="E270" i="6"/>
  <c r="F270" i="6"/>
  <c r="H270" i="6"/>
  <c r="I270" i="6"/>
  <c r="N270" i="6"/>
  <c r="Q270" i="6"/>
  <c r="S270" i="6" s="1"/>
  <c r="R270" i="6"/>
  <c r="T270" i="6"/>
  <c r="C271" i="6"/>
  <c r="D271" i="6"/>
  <c r="E271" i="6"/>
  <c r="F271" i="6"/>
  <c r="L271" i="6" s="1"/>
  <c r="H271" i="6"/>
  <c r="I271" i="6"/>
  <c r="N271" i="6"/>
  <c r="Q271" i="6"/>
  <c r="R271" i="6"/>
  <c r="S271" i="6"/>
  <c r="T271" i="6"/>
  <c r="C272" i="6"/>
  <c r="L272" i="6" s="1"/>
  <c r="D272" i="6"/>
  <c r="E272" i="6"/>
  <c r="F272" i="6"/>
  <c r="H272" i="6"/>
  <c r="I272" i="6"/>
  <c r="N272" i="6"/>
  <c r="Q272" i="6"/>
  <c r="R272" i="6"/>
  <c r="S272" i="6"/>
  <c r="T272" i="6"/>
  <c r="C273" i="6"/>
  <c r="D273" i="6"/>
  <c r="E273" i="6"/>
  <c r="F273" i="6"/>
  <c r="H273" i="6"/>
  <c r="I273" i="6"/>
  <c r="N273" i="6"/>
  <c r="Q273" i="6"/>
  <c r="R273" i="6"/>
  <c r="S273" i="6"/>
  <c r="T273" i="6"/>
  <c r="C274" i="6"/>
  <c r="D274" i="6"/>
  <c r="E274" i="6"/>
  <c r="F274" i="6"/>
  <c r="H274" i="6"/>
  <c r="I274" i="6"/>
  <c r="N274" i="6"/>
  <c r="Q274" i="6"/>
  <c r="S274" i="6" s="1"/>
  <c r="R274" i="6"/>
  <c r="T274" i="6"/>
  <c r="C275" i="6"/>
  <c r="D275" i="6"/>
  <c r="E275" i="6"/>
  <c r="F275" i="6"/>
  <c r="H275" i="6"/>
  <c r="L275" i="6" s="1"/>
  <c r="I275" i="6"/>
  <c r="N275" i="6"/>
  <c r="Q275" i="6"/>
  <c r="R275" i="6"/>
  <c r="S275" i="6"/>
  <c r="T275" i="6"/>
  <c r="C276" i="6"/>
  <c r="D276" i="6"/>
  <c r="E276" i="6"/>
  <c r="F276" i="6"/>
  <c r="H276" i="6"/>
  <c r="I276" i="6"/>
  <c r="N276" i="6"/>
  <c r="Q276" i="6"/>
  <c r="R276" i="6"/>
  <c r="S276" i="6"/>
  <c r="T276" i="6"/>
  <c r="C277" i="6"/>
  <c r="D277" i="6"/>
  <c r="E277" i="6"/>
  <c r="F277" i="6"/>
  <c r="H277" i="6"/>
  <c r="I277" i="6"/>
  <c r="N277" i="6"/>
  <c r="Q277" i="6"/>
  <c r="R277" i="6"/>
  <c r="S277" i="6"/>
  <c r="T277" i="6"/>
  <c r="C278" i="6"/>
  <c r="D278" i="6"/>
  <c r="E278" i="6"/>
  <c r="F278" i="6"/>
  <c r="H278" i="6"/>
  <c r="I278" i="6"/>
  <c r="N278" i="6"/>
  <c r="Q278" i="6"/>
  <c r="S278" i="6" s="1"/>
  <c r="S1091" i="6" s="1"/>
  <c r="R278" i="6"/>
  <c r="T278" i="6"/>
  <c r="C279" i="6"/>
  <c r="D279" i="6"/>
  <c r="E279" i="6"/>
  <c r="F279" i="6"/>
  <c r="H279" i="6"/>
  <c r="I279" i="6"/>
  <c r="N279" i="6"/>
  <c r="Q279" i="6"/>
  <c r="R279" i="6"/>
  <c r="S279" i="6"/>
  <c r="T279" i="6"/>
  <c r="C280" i="6"/>
  <c r="L280" i="6" s="1"/>
  <c r="D280" i="6"/>
  <c r="E280" i="6"/>
  <c r="F280" i="6"/>
  <c r="H280" i="6"/>
  <c r="I280" i="6"/>
  <c r="N280" i="6"/>
  <c r="Q280" i="6"/>
  <c r="S280" i="6" s="1"/>
  <c r="R280" i="6"/>
  <c r="T280" i="6"/>
  <c r="C281" i="6"/>
  <c r="D281" i="6"/>
  <c r="E281" i="6"/>
  <c r="F281" i="6"/>
  <c r="H281" i="6"/>
  <c r="I281" i="6"/>
  <c r="N281" i="6"/>
  <c r="Q281" i="6"/>
  <c r="R281" i="6"/>
  <c r="S281" i="6"/>
  <c r="T281" i="6"/>
  <c r="C282" i="6"/>
  <c r="D282" i="6"/>
  <c r="E282" i="6"/>
  <c r="F282" i="6"/>
  <c r="H282" i="6"/>
  <c r="I282" i="6"/>
  <c r="N282" i="6"/>
  <c r="Q282" i="6"/>
  <c r="R282" i="6"/>
  <c r="S282" i="6"/>
  <c r="T282" i="6"/>
  <c r="C283" i="6"/>
  <c r="D283" i="6"/>
  <c r="E283" i="6"/>
  <c r="F283" i="6"/>
  <c r="H283" i="6"/>
  <c r="I283" i="6"/>
  <c r="N283" i="6"/>
  <c r="Q283" i="6"/>
  <c r="R283" i="6"/>
  <c r="S283" i="6"/>
  <c r="T283" i="6"/>
  <c r="C284" i="6"/>
  <c r="D284" i="6"/>
  <c r="E284" i="6"/>
  <c r="F284" i="6"/>
  <c r="H284" i="6"/>
  <c r="I284" i="6"/>
  <c r="N284" i="6"/>
  <c r="Q284" i="6"/>
  <c r="S284" i="6" s="1"/>
  <c r="R284" i="6"/>
  <c r="T284" i="6"/>
  <c r="C285" i="6"/>
  <c r="D285" i="6"/>
  <c r="E285" i="6"/>
  <c r="F285" i="6"/>
  <c r="H285" i="6"/>
  <c r="I285" i="6"/>
  <c r="N285" i="6"/>
  <c r="Q285" i="6"/>
  <c r="R285" i="6"/>
  <c r="S285" i="6"/>
  <c r="T285" i="6"/>
  <c r="C286" i="6"/>
  <c r="L286" i="6" s="1"/>
  <c r="D286" i="6"/>
  <c r="E286" i="6"/>
  <c r="F286" i="6"/>
  <c r="H286" i="6"/>
  <c r="I286" i="6"/>
  <c r="N286" i="6"/>
  <c r="Q286" i="6"/>
  <c r="S286" i="6" s="1"/>
  <c r="R286" i="6"/>
  <c r="T286" i="6"/>
  <c r="C287" i="6"/>
  <c r="D287" i="6"/>
  <c r="E287" i="6"/>
  <c r="F287" i="6"/>
  <c r="H287" i="6"/>
  <c r="I287" i="6"/>
  <c r="N287" i="6"/>
  <c r="Q287" i="6"/>
  <c r="R287" i="6"/>
  <c r="S287" i="6"/>
  <c r="T287" i="6"/>
  <c r="C288" i="6"/>
  <c r="D288" i="6"/>
  <c r="E288" i="6"/>
  <c r="F288" i="6"/>
  <c r="H288" i="6"/>
  <c r="I288" i="6"/>
  <c r="N288" i="6"/>
  <c r="Q288" i="6"/>
  <c r="S288" i="6" s="1"/>
  <c r="R288" i="6"/>
  <c r="T288" i="6"/>
  <c r="C289" i="6"/>
  <c r="D289" i="6"/>
  <c r="E289" i="6"/>
  <c r="F289" i="6"/>
  <c r="H289" i="6"/>
  <c r="I289" i="6"/>
  <c r="N289" i="6"/>
  <c r="Q289" i="6"/>
  <c r="R289" i="6"/>
  <c r="S289" i="6"/>
  <c r="T289" i="6"/>
  <c r="C290" i="6"/>
  <c r="D290" i="6"/>
  <c r="E290" i="6"/>
  <c r="F290" i="6"/>
  <c r="H290" i="6"/>
  <c r="I290" i="6"/>
  <c r="N290" i="6"/>
  <c r="Q290" i="6"/>
  <c r="S290" i="6" s="1"/>
  <c r="R290" i="6"/>
  <c r="T290" i="6"/>
  <c r="C291" i="6"/>
  <c r="D291" i="6"/>
  <c r="E291" i="6"/>
  <c r="F291" i="6"/>
  <c r="H291" i="6"/>
  <c r="L291" i="6" s="1"/>
  <c r="I291" i="6"/>
  <c r="N291" i="6"/>
  <c r="Q291" i="6"/>
  <c r="R291" i="6"/>
  <c r="S291" i="6"/>
  <c r="T291" i="6"/>
  <c r="C292" i="6"/>
  <c r="D292" i="6"/>
  <c r="E292" i="6"/>
  <c r="F292" i="6"/>
  <c r="H292" i="6"/>
  <c r="I292" i="6"/>
  <c r="N292" i="6"/>
  <c r="Q292" i="6"/>
  <c r="R292" i="6"/>
  <c r="S292" i="6"/>
  <c r="T292" i="6"/>
  <c r="C293" i="6"/>
  <c r="D293" i="6"/>
  <c r="E293" i="6"/>
  <c r="F293" i="6"/>
  <c r="H293" i="6"/>
  <c r="I293" i="6"/>
  <c r="L293" i="6"/>
  <c r="N293" i="6"/>
  <c r="Q293" i="6"/>
  <c r="R293" i="6"/>
  <c r="S293" i="6"/>
  <c r="T293" i="6"/>
  <c r="C294" i="6"/>
  <c r="D294" i="6"/>
  <c r="E294" i="6"/>
  <c r="F294" i="6"/>
  <c r="H294" i="6"/>
  <c r="I294" i="6"/>
  <c r="N294" i="6"/>
  <c r="Q294" i="6"/>
  <c r="R294" i="6"/>
  <c r="S294" i="6"/>
  <c r="T294" i="6"/>
  <c r="C295" i="6"/>
  <c r="L295" i="6" s="1"/>
  <c r="D295" i="6"/>
  <c r="E295" i="6"/>
  <c r="F295" i="6"/>
  <c r="H295" i="6"/>
  <c r="I295" i="6"/>
  <c r="N295" i="6"/>
  <c r="Q295" i="6"/>
  <c r="R295" i="6"/>
  <c r="S295" i="6"/>
  <c r="T295" i="6"/>
  <c r="C296" i="6"/>
  <c r="D296" i="6"/>
  <c r="E296" i="6"/>
  <c r="F296" i="6"/>
  <c r="H296" i="6"/>
  <c r="I296" i="6"/>
  <c r="N296" i="6"/>
  <c r="Q296" i="6"/>
  <c r="S296" i="6" s="1"/>
  <c r="R296" i="6"/>
  <c r="T296" i="6"/>
  <c r="C297" i="6"/>
  <c r="D297" i="6"/>
  <c r="E297" i="6"/>
  <c r="F297" i="6"/>
  <c r="H297" i="6"/>
  <c r="I297" i="6"/>
  <c r="N297" i="6"/>
  <c r="Q297" i="6"/>
  <c r="R297" i="6"/>
  <c r="S297" i="6"/>
  <c r="T297" i="6"/>
  <c r="C298" i="6"/>
  <c r="D298" i="6"/>
  <c r="E298" i="6"/>
  <c r="F298" i="6"/>
  <c r="H298" i="6"/>
  <c r="I298" i="6"/>
  <c r="N298" i="6"/>
  <c r="Q298" i="6"/>
  <c r="R298" i="6"/>
  <c r="S298" i="6"/>
  <c r="T298" i="6"/>
  <c r="C299" i="6"/>
  <c r="D299" i="6"/>
  <c r="E299" i="6"/>
  <c r="F299" i="6"/>
  <c r="L299" i="6" s="1"/>
  <c r="H299" i="6"/>
  <c r="I299" i="6"/>
  <c r="N299" i="6"/>
  <c r="Q299" i="6"/>
  <c r="R299" i="6"/>
  <c r="S299" i="6"/>
  <c r="T299" i="6"/>
  <c r="C300" i="6"/>
  <c r="D300" i="6"/>
  <c r="E300" i="6"/>
  <c r="F300" i="6"/>
  <c r="H300" i="6"/>
  <c r="I300" i="6"/>
  <c r="N300" i="6"/>
  <c r="Q300" i="6"/>
  <c r="S300" i="6" s="1"/>
  <c r="R300" i="6"/>
  <c r="T300" i="6"/>
  <c r="C301" i="6"/>
  <c r="D301" i="6"/>
  <c r="E301" i="6"/>
  <c r="F301" i="6"/>
  <c r="H301" i="6"/>
  <c r="H1093" i="6" s="1"/>
  <c r="I301" i="6"/>
  <c r="N301" i="6"/>
  <c r="Q301" i="6"/>
  <c r="R301" i="6"/>
  <c r="S301" i="6"/>
  <c r="T301" i="6"/>
  <c r="C302" i="6"/>
  <c r="D302" i="6"/>
  <c r="E302" i="6"/>
  <c r="F302" i="6"/>
  <c r="H302" i="6"/>
  <c r="I302" i="6"/>
  <c r="N302" i="6"/>
  <c r="Q302" i="6"/>
  <c r="S302" i="6" s="1"/>
  <c r="R302" i="6"/>
  <c r="T302" i="6"/>
  <c r="C303" i="6"/>
  <c r="D303" i="6"/>
  <c r="E303" i="6"/>
  <c r="F303" i="6"/>
  <c r="H303" i="6"/>
  <c r="I303" i="6"/>
  <c r="N303" i="6"/>
  <c r="Q303" i="6"/>
  <c r="R303" i="6"/>
  <c r="S303" i="6"/>
  <c r="T303" i="6"/>
  <c r="C304" i="6"/>
  <c r="L304" i="6" s="1"/>
  <c r="D304" i="6"/>
  <c r="E304" i="6"/>
  <c r="F304" i="6"/>
  <c r="H304" i="6"/>
  <c r="I304" i="6"/>
  <c r="N304" i="6"/>
  <c r="Q304" i="6"/>
  <c r="S304" i="6" s="1"/>
  <c r="R304" i="6"/>
  <c r="T304" i="6"/>
  <c r="C305" i="6"/>
  <c r="D305" i="6"/>
  <c r="E305" i="6"/>
  <c r="F305" i="6"/>
  <c r="H305" i="6"/>
  <c r="I305" i="6"/>
  <c r="N305" i="6"/>
  <c r="Q305" i="6"/>
  <c r="R305" i="6"/>
  <c r="S305" i="6"/>
  <c r="T305" i="6"/>
  <c r="C306" i="6"/>
  <c r="D306" i="6"/>
  <c r="E306" i="6"/>
  <c r="F306" i="6"/>
  <c r="H306" i="6"/>
  <c r="I306" i="6"/>
  <c r="N306" i="6"/>
  <c r="Q306" i="6"/>
  <c r="R306" i="6"/>
  <c r="S306" i="6"/>
  <c r="T306" i="6"/>
  <c r="C307" i="6"/>
  <c r="L307" i="6" s="1"/>
  <c r="D307" i="6"/>
  <c r="E307" i="6"/>
  <c r="F307" i="6"/>
  <c r="H307" i="6"/>
  <c r="I307" i="6"/>
  <c r="N307" i="6"/>
  <c r="Q307" i="6"/>
  <c r="R307" i="6"/>
  <c r="S307" i="6"/>
  <c r="T307" i="6"/>
  <c r="C308" i="6"/>
  <c r="D308" i="6"/>
  <c r="E308" i="6"/>
  <c r="F308" i="6"/>
  <c r="H308" i="6"/>
  <c r="I308" i="6"/>
  <c r="N308" i="6"/>
  <c r="Q308" i="6"/>
  <c r="R308" i="6"/>
  <c r="S308" i="6"/>
  <c r="T308" i="6"/>
  <c r="C309" i="6"/>
  <c r="D309" i="6"/>
  <c r="E309" i="6"/>
  <c r="F309" i="6"/>
  <c r="L309" i="6" s="1"/>
  <c r="H309" i="6"/>
  <c r="I309" i="6"/>
  <c r="N309" i="6"/>
  <c r="Q309" i="6"/>
  <c r="R309" i="6"/>
  <c r="S309" i="6"/>
  <c r="T309" i="6"/>
  <c r="C310" i="6"/>
  <c r="D310" i="6"/>
  <c r="E310" i="6"/>
  <c r="F310" i="6"/>
  <c r="H310" i="6"/>
  <c r="I310" i="6"/>
  <c r="N310" i="6"/>
  <c r="Q310" i="6"/>
  <c r="S310" i="6" s="1"/>
  <c r="R310" i="6"/>
  <c r="T310" i="6"/>
  <c r="C311" i="6"/>
  <c r="D311" i="6"/>
  <c r="E311" i="6"/>
  <c r="F311" i="6"/>
  <c r="H311" i="6"/>
  <c r="L311" i="6" s="1"/>
  <c r="I311" i="6"/>
  <c r="N311" i="6"/>
  <c r="Q311" i="6"/>
  <c r="R311" i="6"/>
  <c r="S311" i="6"/>
  <c r="T311" i="6"/>
  <c r="C312" i="6"/>
  <c r="D312" i="6"/>
  <c r="E312" i="6"/>
  <c r="F312" i="6"/>
  <c r="H312" i="6"/>
  <c r="I312" i="6"/>
  <c r="N312" i="6"/>
  <c r="Q312" i="6"/>
  <c r="S312" i="6" s="1"/>
  <c r="R312" i="6"/>
  <c r="T312" i="6"/>
  <c r="C313" i="6"/>
  <c r="D313" i="6"/>
  <c r="E313" i="6"/>
  <c r="F313" i="6"/>
  <c r="L313" i="6" s="1"/>
  <c r="H313" i="6"/>
  <c r="I313" i="6"/>
  <c r="N313" i="6"/>
  <c r="Q313" i="6"/>
  <c r="R313" i="6"/>
  <c r="S313" i="6"/>
  <c r="T313" i="6"/>
  <c r="C314" i="6"/>
  <c r="L314" i="6" s="1"/>
  <c r="D314" i="6"/>
  <c r="E314" i="6"/>
  <c r="F314" i="6"/>
  <c r="H314" i="6"/>
  <c r="I314" i="6"/>
  <c r="N314" i="6"/>
  <c r="Q314" i="6"/>
  <c r="R314" i="6"/>
  <c r="S314" i="6"/>
  <c r="T314" i="6"/>
  <c r="C315" i="6"/>
  <c r="L315" i="6" s="1"/>
  <c r="D315" i="6"/>
  <c r="E315" i="6"/>
  <c r="F315" i="6"/>
  <c r="H315" i="6"/>
  <c r="I315" i="6"/>
  <c r="N315" i="6"/>
  <c r="Q315" i="6"/>
  <c r="R315" i="6"/>
  <c r="S315" i="6"/>
  <c r="T315" i="6"/>
  <c r="C316" i="6"/>
  <c r="D316" i="6"/>
  <c r="E316" i="6"/>
  <c r="F316" i="6"/>
  <c r="H316" i="6"/>
  <c r="I316" i="6"/>
  <c r="N316" i="6"/>
  <c r="Q316" i="6"/>
  <c r="S316" i="6" s="1"/>
  <c r="R316" i="6"/>
  <c r="T316" i="6"/>
  <c r="C317" i="6"/>
  <c r="D317" i="6"/>
  <c r="E317" i="6"/>
  <c r="F317" i="6"/>
  <c r="L317" i="6" s="1"/>
  <c r="H317" i="6"/>
  <c r="I317" i="6"/>
  <c r="N317" i="6"/>
  <c r="Q317" i="6"/>
  <c r="R317" i="6"/>
  <c r="S317" i="6"/>
  <c r="T317" i="6"/>
  <c r="C318" i="6"/>
  <c r="L318" i="6" s="1"/>
  <c r="D318" i="6"/>
  <c r="E318" i="6"/>
  <c r="F318" i="6"/>
  <c r="H318" i="6"/>
  <c r="I318" i="6"/>
  <c r="N318" i="6"/>
  <c r="Q318" i="6"/>
  <c r="S318" i="6" s="1"/>
  <c r="R318" i="6"/>
  <c r="T318" i="6"/>
  <c r="C319" i="6"/>
  <c r="D319" i="6"/>
  <c r="E319" i="6"/>
  <c r="F319" i="6"/>
  <c r="H319" i="6"/>
  <c r="I319" i="6"/>
  <c r="N319" i="6"/>
  <c r="Q319" i="6"/>
  <c r="R319" i="6"/>
  <c r="S319" i="6"/>
  <c r="T319" i="6"/>
  <c r="C320" i="6"/>
  <c r="D320" i="6"/>
  <c r="E320" i="6"/>
  <c r="F320" i="6"/>
  <c r="H320" i="6"/>
  <c r="I320" i="6"/>
  <c r="N320" i="6"/>
  <c r="Q320" i="6"/>
  <c r="R320" i="6"/>
  <c r="S320" i="6"/>
  <c r="T320" i="6"/>
  <c r="C321" i="6"/>
  <c r="D321" i="6"/>
  <c r="E321" i="6"/>
  <c r="F321" i="6"/>
  <c r="H321" i="6"/>
  <c r="I321" i="6"/>
  <c r="N321" i="6"/>
  <c r="Q321" i="6"/>
  <c r="R321" i="6"/>
  <c r="S321" i="6"/>
  <c r="T321" i="6"/>
  <c r="C322" i="6"/>
  <c r="D322" i="6"/>
  <c r="E322" i="6"/>
  <c r="F322" i="6"/>
  <c r="H322" i="6"/>
  <c r="I322" i="6"/>
  <c r="N322" i="6"/>
  <c r="Q322" i="6"/>
  <c r="R322" i="6"/>
  <c r="T322" i="6"/>
  <c r="C323" i="6"/>
  <c r="D323" i="6"/>
  <c r="E323" i="6"/>
  <c r="F323" i="6"/>
  <c r="H323" i="6"/>
  <c r="I323" i="6"/>
  <c r="N323" i="6"/>
  <c r="Q323" i="6"/>
  <c r="R323" i="6"/>
  <c r="S323" i="6"/>
  <c r="T323" i="6"/>
  <c r="C324" i="6"/>
  <c r="L324" i="6" s="1"/>
  <c r="D324" i="6"/>
  <c r="E324" i="6"/>
  <c r="F324" i="6"/>
  <c r="H324" i="6"/>
  <c r="I324" i="6"/>
  <c r="N324" i="6"/>
  <c r="Q324" i="6"/>
  <c r="R324" i="6"/>
  <c r="S324" i="6"/>
  <c r="T324" i="6"/>
  <c r="C325" i="6"/>
  <c r="D325" i="6"/>
  <c r="E325" i="6"/>
  <c r="F325" i="6"/>
  <c r="H325" i="6"/>
  <c r="I325" i="6"/>
  <c r="N325" i="6"/>
  <c r="Q325" i="6"/>
  <c r="R325" i="6"/>
  <c r="S325" i="6"/>
  <c r="T325" i="6"/>
  <c r="C326" i="6"/>
  <c r="D326" i="6"/>
  <c r="E326" i="6"/>
  <c r="F326" i="6"/>
  <c r="H326" i="6"/>
  <c r="I326" i="6"/>
  <c r="N326" i="6"/>
  <c r="Q326" i="6"/>
  <c r="R326" i="6"/>
  <c r="S326" i="6"/>
  <c r="T326" i="6"/>
  <c r="C327" i="6"/>
  <c r="D327" i="6"/>
  <c r="L327" i="6" s="1"/>
  <c r="E327" i="6"/>
  <c r="F327" i="6"/>
  <c r="H327" i="6"/>
  <c r="I327" i="6"/>
  <c r="N327" i="6"/>
  <c r="Q327" i="6"/>
  <c r="R327" i="6"/>
  <c r="S327" i="6"/>
  <c r="T327" i="6"/>
  <c r="C328" i="6"/>
  <c r="D328" i="6"/>
  <c r="E328" i="6"/>
  <c r="F328" i="6"/>
  <c r="H328" i="6"/>
  <c r="I328" i="6"/>
  <c r="N328" i="6"/>
  <c r="Q328" i="6"/>
  <c r="S328" i="6" s="1"/>
  <c r="R328" i="6"/>
  <c r="T328" i="6"/>
  <c r="C329" i="6"/>
  <c r="D329" i="6"/>
  <c r="E329" i="6"/>
  <c r="F329" i="6"/>
  <c r="H329" i="6"/>
  <c r="I329" i="6"/>
  <c r="N329" i="6"/>
  <c r="Q329" i="6"/>
  <c r="R329" i="6"/>
  <c r="S329" i="6"/>
  <c r="T329" i="6"/>
  <c r="C330" i="6"/>
  <c r="D330" i="6"/>
  <c r="E330" i="6"/>
  <c r="F330" i="6"/>
  <c r="H330" i="6"/>
  <c r="I330" i="6"/>
  <c r="N330" i="6"/>
  <c r="Q330" i="6"/>
  <c r="R330" i="6"/>
  <c r="S330" i="6"/>
  <c r="T330" i="6"/>
  <c r="C331" i="6"/>
  <c r="D331" i="6"/>
  <c r="L331" i="6" s="1"/>
  <c r="E331" i="6"/>
  <c r="F331" i="6"/>
  <c r="H331" i="6"/>
  <c r="I331" i="6"/>
  <c r="N331" i="6"/>
  <c r="Q331" i="6"/>
  <c r="R331" i="6"/>
  <c r="S331" i="6"/>
  <c r="T331" i="6"/>
  <c r="C332" i="6"/>
  <c r="D332" i="6"/>
  <c r="E332" i="6"/>
  <c r="F332" i="6"/>
  <c r="H332" i="6"/>
  <c r="I332" i="6"/>
  <c r="N332" i="6"/>
  <c r="Q332" i="6"/>
  <c r="S332" i="6" s="1"/>
  <c r="R332" i="6"/>
  <c r="T332" i="6"/>
  <c r="C333" i="6"/>
  <c r="D333" i="6"/>
  <c r="E333" i="6"/>
  <c r="F333" i="6"/>
  <c r="H333" i="6"/>
  <c r="I333" i="6"/>
  <c r="N333" i="6"/>
  <c r="Q333" i="6"/>
  <c r="R333" i="6"/>
  <c r="S333" i="6"/>
  <c r="T333" i="6"/>
  <c r="C334" i="6"/>
  <c r="D334" i="6"/>
  <c r="E334" i="6"/>
  <c r="F334" i="6"/>
  <c r="H334" i="6"/>
  <c r="I334" i="6"/>
  <c r="N334" i="6"/>
  <c r="Q334" i="6"/>
  <c r="S334" i="6" s="1"/>
  <c r="R334" i="6"/>
  <c r="T334" i="6"/>
  <c r="C335" i="6"/>
  <c r="D335" i="6"/>
  <c r="E335" i="6"/>
  <c r="F335" i="6"/>
  <c r="H335" i="6"/>
  <c r="I335" i="6"/>
  <c r="N335" i="6"/>
  <c r="Q335" i="6"/>
  <c r="R335" i="6"/>
  <c r="S335" i="6"/>
  <c r="T335" i="6"/>
  <c r="C336" i="6"/>
  <c r="D336" i="6"/>
  <c r="E336" i="6"/>
  <c r="F336" i="6"/>
  <c r="H336" i="6"/>
  <c r="I336" i="6"/>
  <c r="N336" i="6"/>
  <c r="Q336" i="6"/>
  <c r="S336" i="6" s="1"/>
  <c r="S1096" i="6" s="1"/>
  <c r="R336" i="6"/>
  <c r="T336" i="6"/>
  <c r="C337" i="6"/>
  <c r="D337" i="6"/>
  <c r="E337" i="6"/>
  <c r="F337" i="6"/>
  <c r="H337" i="6"/>
  <c r="I337" i="6"/>
  <c r="N337" i="6"/>
  <c r="Q337" i="6"/>
  <c r="R337" i="6"/>
  <c r="S337" i="6"/>
  <c r="T337" i="6"/>
  <c r="C338" i="6"/>
  <c r="L338" i="6" s="1"/>
  <c r="D338" i="6"/>
  <c r="E338" i="6"/>
  <c r="F338" i="6"/>
  <c r="H338" i="6"/>
  <c r="I338" i="6"/>
  <c r="N338" i="6"/>
  <c r="Q338" i="6"/>
  <c r="S338" i="6" s="1"/>
  <c r="R338" i="6"/>
  <c r="T338" i="6"/>
  <c r="C339" i="6"/>
  <c r="D339" i="6"/>
  <c r="E339" i="6"/>
  <c r="F339" i="6"/>
  <c r="H339" i="6"/>
  <c r="I339" i="6"/>
  <c r="N339" i="6"/>
  <c r="Q339" i="6"/>
  <c r="R339" i="6"/>
  <c r="S339" i="6"/>
  <c r="T339" i="6"/>
  <c r="C340" i="6"/>
  <c r="D340" i="6"/>
  <c r="E340" i="6"/>
  <c r="F340" i="6"/>
  <c r="H340" i="6"/>
  <c r="I340" i="6"/>
  <c r="N340" i="6"/>
  <c r="Q340" i="6"/>
  <c r="R340" i="6"/>
  <c r="S340" i="6"/>
  <c r="T340" i="6"/>
  <c r="C341" i="6"/>
  <c r="L341" i="6" s="1"/>
  <c r="D341" i="6"/>
  <c r="E341" i="6"/>
  <c r="F341" i="6"/>
  <c r="H341" i="6"/>
  <c r="I341" i="6"/>
  <c r="N341" i="6"/>
  <c r="Q341" i="6"/>
  <c r="R341" i="6"/>
  <c r="S341" i="6"/>
  <c r="T341" i="6"/>
  <c r="C342" i="6"/>
  <c r="D342" i="6"/>
  <c r="E342" i="6"/>
  <c r="F342" i="6"/>
  <c r="H342" i="6"/>
  <c r="I342" i="6"/>
  <c r="N342" i="6"/>
  <c r="Q342" i="6"/>
  <c r="R342" i="6"/>
  <c r="S342" i="6"/>
  <c r="T342" i="6"/>
  <c r="C343" i="6"/>
  <c r="L343" i="6" s="1"/>
  <c r="D343" i="6"/>
  <c r="E343" i="6"/>
  <c r="F343" i="6"/>
  <c r="H343" i="6"/>
  <c r="I343" i="6"/>
  <c r="N343" i="6"/>
  <c r="Q343" i="6"/>
  <c r="R343" i="6"/>
  <c r="S343" i="6"/>
  <c r="T343" i="6"/>
  <c r="C344" i="6"/>
  <c r="D344" i="6"/>
  <c r="E344" i="6"/>
  <c r="F344" i="6"/>
  <c r="H344" i="6"/>
  <c r="I344" i="6"/>
  <c r="N344" i="6"/>
  <c r="Q344" i="6"/>
  <c r="S344" i="6" s="1"/>
  <c r="R344" i="6"/>
  <c r="T344" i="6"/>
  <c r="C345" i="6"/>
  <c r="D345" i="6"/>
  <c r="E345" i="6"/>
  <c r="F345" i="6"/>
  <c r="H345" i="6"/>
  <c r="I345" i="6"/>
  <c r="N345" i="6"/>
  <c r="Q345" i="6"/>
  <c r="R345" i="6"/>
  <c r="S345" i="6"/>
  <c r="T345" i="6"/>
  <c r="C346" i="6"/>
  <c r="L346" i="6" s="1"/>
  <c r="D346" i="6"/>
  <c r="E346" i="6"/>
  <c r="F346" i="6"/>
  <c r="H346" i="6"/>
  <c r="I346" i="6"/>
  <c r="N346" i="6"/>
  <c r="Q346" i="6"/>
  <c r="R346" i="6"/>
  <c r="S346" i="6"/>
  <c r="T346" i="6"/>
  <c r="C347" i="6"/>
  <c r="D347" i="6"/>
  <c r="E347" i="6"/>
  <c r="F347" i="6"/>
  <c r="L347" i="6" s="1"/>
  <c r="H347" i="6"/>
  <c r="I347" i="6"/>
  <c r="N347" i="6"/>
  <c r="Q347" i="6"/>
  <c r="R347" i="6"/>
  <c r="S347" i="6"/>
  <c r="T347" i="6"/>
  <c r="C348" i="6"/>
  <c r="D348" i="6"/>
  <c r="E348" i="6"/>
  <c r="F348" i="6"/>
  <c r="H348" i="6"/>
  <c r="I348" i="6"/>
  <c r="N348" i="6"/>
  <c r="Q348" i="6"/>
  <c r="R348" i="6"/>
  <c r="T348" i="6"/>
  <c r="C349" i="6"/>
  <c r="D349" i="6"/>
  <c r="E349" i="6"/>
  <c r="F349" i="6"/>
  <c r="H349" i="6"/>
  <c r="H1097" i="6" s="1"/>
  <c r="I349" i="6"/>
  <c r="N349" i="6"/>
  <c r="Q349" i="6"/>
  <c r="R349" i="6"/>
  <c r="S349" i="6"/>
  <c r="T349" i="6"/>
  <c r="C350" i="6"/>
  <c r="D350" i="6"/>
  <c r="E350" i="6"/>
  <c r="F350" i="6"/>
  <c r="H350" i="6"/>
  <c r="I350" i="6"/>
  <c r="N350" i="6"/>
  <c r="Q350" i="6"/>
  <c r="R350" i="6"/>
  <c r="T350" i="6"/>
  <c r="C351" i="6"/>
  <c r="D351" i="6"/>
  <c r="E351" i="6"/>
  <c r="F351" i="6"/>
  <c r="H351" i="6"/>
  <c r="I351" i="6"/>
  <c r="N351" i="6"/>
  <c r="Q351" i="6"/>
  <c r="R351" i="6"/>
  <c r="S351" i="6"/>
  <c r="T351" i="6"/>
  <c r="C352" i="6"/>
  <c r="D352" i="6"/>
  <c r="E352" i="6"/>
  <c r="F352" i="6"/>
  <c r="H352" i="6"/>
  <c r="I352" i="6"/>
  <c r="N352" i="6"/>
  <c r="Q352" i="6"/>
  <c r="S352" i="6" s="1"/>
  <c r="R352" i="6"/>
  <c r="T352" i="6"/>
  <c r="C353" i="6"/>
  <c r="D353" i="6"/>
  <c r="E353" i="6"/>
  <c r="F353" i="6"/>
  <c r="H353" i="6"/>
  <c r="I353" i="6"/>
  <c r="N353" i="6"/>
  <c r="Q353" i="6"/>
  <c r="R353" i="6"/>
  <c r="S353" i="6"/>
  <c r="T353" i="6"/>
  <c r="C354" i="6"/>
  <c r="D354" i="6"/>
  <c r="E354" i="6"/>
  <c r="F354" i="6"/>
  <c r="H354" i="6"/>
  <c r="I354" i="6"/>
  <c r="N354" i="6"/>
  <c r="Q354" i="6"/>
  <c r="R354" i="6"/>
  <c r="S354" i="6"/>
  <c r="T354" i="6"/>
  <c r="C355" i="6"/>
  <c r="D355" i="6"/>
  <c r="E355" i="6"/>
  <c r="F355" i="6"/>
  <c r="H355" i="6"/>
  <c r="I355" i="6"/>
  <c r="L355" i="6"/>
  <c r="N355" i="6"/>
  <c r="Q355" i="6"/>
  <c r="R355" i="6"/>
  <c r="S355" i="6"/>
  <c r="T355" i="6"/>
  <c r="C356" i="6"/>
  <c r="D356" i="6"/>
  <c r="E356" i="6"/>
  <c r="F356" i="6"/>
  <c r="H356" i="6"/>
  <c r="I356" i="6"/>
  <c r="N356" i="6"/>
  <c r="Q356" i="6"/>
  <c r="R356" i="6"/>
  <c r="S356" i="6"/>
  <c r="T356" i="6"/>
  <c r="C357" i="6"/>
  <c r="D357" i="6"/>
  <c r="E357" i="6"/>
  <c r="F357" i="6"/>
  <c r="L357" i="6" s="1"/>
  <c r="H357" i="6"/>
  <c r="I357" i="6"/>
  <c r="N357" i="6"/>
  <c r="Q357" i="6"/>
  <c r="R357" i="6"/>
  <c r="S357" i="6"/>
  <c r="T357" i="6"/>
  <c r="C358" i="6"/>
  <c r="D358" i="6"/>
  <c r="E358" i="6"/>
  <c r="F358" i="6"/>
  <c r="H358" i="6"/>
  <c r="I358" i="6"/>
  <c r="N358" i="6"/>
  <c r="Q358" i="6"/>
  <c r="S358" i="6" s="1"/>
  <c r="R358" i="6"/>
  <c r="T358" i="6"/>
  <c r="C359" i="6"/>
  <c r="D359" i="6"/>
  <c r="E359" i="6"/>
  <c r="F359" i="6"/>
  <c r="H359" i="6"/>
  <c r="I359" i="6"/>
  <c r="N359" i="6"/>
  <c r="Q359" i="6"/>
  <c r="R359" i="6"/>
  <c r="S359" i="6"/>
  <c r="T359" i="6"/>
  <c r="C360" i="6"/>
  <c r="D360" i="6"/>
  <c r="E360" i="6"/>
  <c r="F360" i="6"/>
  <c r="H360" i="6"/>
  <c r="I360" i="6"/>
  <c r="N360" i="6"/>
  <c r="Q360" i="6"/>
  <c r="S360" i="6" s="1"/>
  <c r="R360" i="6"/>
  <c r="T360" i="6"/>
  <c r="C361" i="6"/>
  <c r="D361" i="6"/>
  <c r="E361" i="6"/>
  <c r="F361" i="6"/>
  <c r="H361" i="6"/>
  <c r="I361" i="6"/>
  <c r="N361" i="6"/>
  <c r="Q361" i="6"/>
  <c r="R361" i="6"/>
  <c r="S361" i="6"/>
  <c r="T361" i="6"/>
  <c r="C362" i="6"/>
  <c r="D362" i="6"/>
  <c r="E362" i="6"/>
  <c r="F362" i="6"/>
  <c r="H362" i="6"/>
  <c r="I362" i="6"/>
  <c r="N362" i="6"/>
  <c r="Q362" i="6"/>
  <c r="R362" i="6"/>
  <c r="S362" i="6"/>
  <c r="T362" i="6"/>
  <c r="C363" i="6"/>
  <c r="L363" i="6" s="1"/>
  <c r="D363" i="6"/>
  <c r="E363" i="6"/>
  <c r="F363" i="6"/>
  <c r="H363" i="6"/>
  <c r="I363" i="6"/>
  <c r="N363" i="6"/>
  <c r="Q363" i="6"/>
  <c r="R363" i="6"/>
  <c r="S363" i="6"/>
  <c r="T363" i="6"/>
  <c r="C364" i="6"/>
  <c r="D364" i="6"/>
  <c r="E364" i="6"/>
  <c r="F364" i="6"/>
  <c r="H364" i="6"/>
  <c r="I364" i="6"/>
  <c r="N364" i="6"/>
  <c r="Q364" i="6"/>
  <c r="S364" i="6" s="1"/>
  <c r="S1098" i="6" s="1"/>
  <c r="R364" i="6"/>
  <c r="T364" i="6"/>
  <c r="C365" i="6"/>
  <c r="D365" i="6"/>
  <c r="E365" i="6"/>
  <c r="F365" i="6"/>
  <c r="H365" i="6"/>
  <c r="I365" i="6"/>
  <c r="N365" i="6"/>
  <c r="Q365" i="6"/>
  <c r="R365" i="6"/>
  <c r="S365" i="6"/>
  <c r="T365" i="6"/>
  <c r="C366" i="6"/>
  <c r="D366" i="6"/>
  <c r="E366" i="6"/>
  <c r="F366" i="6"/>
  <c r="H366" i="6"/>
  <c r="I366" i="6"/>
  <c r="N366" i="6"/>
  <c r="Q366" i="6"/>
  <c r="S366" i="6" s="1"/>
  <c r="R366" i="6"/>
  <c r="T366" i="6"/>
  <c r="C367" i="6"/>
  <c r="D367" i="6"/>
  <c r="E367" i="6"/>
  <c r="F367" i="6"/>
  <c r="H367" i="6"/>
  <c r="I367" i="6"/>
  <c r="N367" i="6"/>
  <c r="Q367" i="6"/>
  <c r="R367" i="6"/>
  <c r="S367" i="6"/>
  <c r="T367" i="6"/>
  <c r="C368" i="6"/>
  <c r="D368" i="6"/>
  <c r="E368" i="6"/>
  <c r="F368" i="6"/>
  <c r="H368" i="6"/>
  <c r="I368" i="6"/>
  <c r="N368" i="6"/>
  <c r="Q368" i="6"/>
  <c r="S368" i="6" s="1"/>
  <c r="R368" i="6"/>
  <c r="T368" i="6"/>
  <c r="C369" i="6"/>
  <c r="D369" i="6"/>
  <c r="E369" i="6"/>
  <c r="F369" i="6"/>
  <c r="H369" i="6"/>
  <c r="I369" i="6"/>
  <c r="N369" i="6"/>
  <c r="Q369" i="6"/>
  <c r="R369" i="6"/>
  <c r="S369" i="6"/>
  <c r="T369" i="6"/>
  <c r="C370" i="6"/>
  <c r="L370" i="6" s="1"/>
  <c r="D370" i="6"/>
  <c r="E370" i="6"/>
  <c r="F370" i="6"/>
  <c r="H370" i="6"/>
  <c r="I370" i="6"/>
  <c r="N370" i="6"/>
  <c r="Q370" i="6"/>
  <c r="S370" i="6" s="1"/>
  <c r="R370" i="6"/>
  <c r="T370" i="6"/>
  <c r="C371" i="6"/>
  <c r="D371" i="6"/>
  <c r="E371" i="6"/>
  <c r="F371" i="6"/>
  <c r="H371" i="6"/>
  <c r="I371" i="6"/>
  <c r="N371" i="6"/>
  <c r="Q371" i="6"/>
  <c r="R371" i="6"/>
  <c r="S371" i="6"/>
  <c r="T371" i="6"/>
  <c r="C372" i="6"/>
  <c r="D372" i="6"/>
  <c r="E372" i="6"/>
  <c r="F372" i="6"/>
  <c r="H372" i="6"/>
  <c r="I372" i="6"/>
  <c r="N372" i="6"/>
  <c r="Q372" i="6"/>
  <c r="R372" i="6"/>
  <c r="S372" i="6"/>
  <c r="T372" i="6"/>
  <c r="C373" i="6"/>
  <c r="L373" i="6" s="1"/>
  <c r="D373" i="6"/>
  <c r="E373" i="6"/>
  <c r="F373" i="6"/>
  <c r="H373" i="6"/>
  <c r="I373" i="6"/>
  <c r="N373" i="6"/>
  <c r="Q373" i="6"/>
  <c r="R373" i="6"/>
  <c r="S373" i="6"/>
  <c r="T373" i="6"/>
  <c r="C374" i="6"/>
  <c r="D374" i="6"/>
  <c r="E374" i="6"/>
  <c r="F374" i="6"/>
  <c r="H374" i="6"/>
  <c r="I374" i="6"/>
  <c r="N374" i="6"/>
  <c r="Q374" i="6"/>
  <c r="R374" i="6"/>
  <c r="S374" i="6"/>
  <c r="T374" i="6"/>
  <c r="C375" i="6"/>
  <c r="D375" i="6"/>
  <c r="L375" i="6" s="1"/>
  <c r="E375" i="6"/>
  <c r="F375" i="6"/>
  <c r="H375" i="6"/>
  <c r="I375" i="6"/>
  <c r="N375" i="6"/>
  <c r="Q375" i="6"/>
  <c r="R375" i="6"/>
  <c r="S375" i="6"/>
  <c r="T375" i="6"/>
  <c r="C376" i="6"/>
  <c r="D376" i="6"/>
  <c r="E376" i="6"/>
  <c r="F376" i="6"/>
  <c r="H376" i="6"/>
  <c r="I376" i="6"/>
  <c r="N376" i="6"/>
  <c r="Q376" i="6"/>
  <c r="S376" i="6" s="1"/>
  <c r="R376" i="6"/>
  <c r="T376" i="6"/>
  <c r="C377" i="6"/>
  <c r="D377" i="6"/>
  <c r="E377" i="6"/>
  <c r="F377" i="6"/>
  <c r="H377" i="6"/>
  <c r="I377" i="6"/>
  <c r="N377" i="6"/>
  <c r="Q377" i="6"/>
  <c r="R377" i="6"/>
  <c r="S377" i="6"/>
  <c r="T377" i="6"/>
  <c r="C378" i="6"/>
  <c r="D378" i="6"/>
  <c r="E378" i="6"/>
  <c r="F378" i="6"/>
  <c r="H378" i="6"/>
  <c r="I378" i="6"/>
  <c r="N378" i="6"/>
  <c r="Q378" i="6"/>
  <c r="R378" i="6"/>
  <c r="S378" i="6"/>
  <c r="T378" i="6"/>
  <c r="C379" i="6"/>
  <c r="D379" i="6"/>
  <c r="E379" i="6"/>
  <c r="F379" i="6"/>
  <c r="L379" i="6" s="1"/>
  <c r="H379" i="6"/>
  <c r="I379" i="6"/>
  <c r="N379" i="6"/>
  <c r="Q379" i="6"/>
  <c r="R379" i="6"/>
  <c r="S379" i="6"/>
  <c r="T379" i="6"/>
  <c r="C380" i="6"/>
  <c r="D380" i="6"/>
  <c r="E380" i="6"/>
  <c r="F380" i="6"/>
  <c r="H380" i="6"/>
  <c r="I380" i="6"/>
  <c r="N380" i="6"/>
  <c r="Q380" i="6"/>
  <c r="R380" i="6"/>
  <c r="T380" i="6"/>
  <c r="C381" i="6"/>
  <c r="D381" i="6"/>
  <c r="E381" i="6"/>
  <c r="F381" i="6"/>
  <c r="H381" i="6"/>
  <c r="I381" i="6"/>
  <c r="N381" i="6"/>
  <c r="Q381" i="6"/>
  <c r="R381" i="6"/>
  <c r="S381" i="6"/>
  <c r="T381" i="6"/>
  <c r="T1099" i="6" s="1"/>
  <c r="C382" i="6"/>
  <c r="D382" i="6"/>
  <c r="E382" i="6"/>
  <c r="F382" i="6"/>
  <c r="H382" i="6"/>
  <c r="I382" i="6"/>
  <c r="N382" i="6"/>
  <c r="Q382" i="6"/>
  <c r="S382" i="6" s="1"/>
  <c r="R382" i="6"/>
  <c r="T382" i="6"/>
  <c r="C383" i="6"/>
  <c r="D383" i="6"/>
  <c r="E383" i="6"/>
  <c r="F383" i="6"/>
  <c r="H383" i="6"/>
  <c r="I383" i="6"/>
  <c r="N383" i="6"/>
  <c r="Q383" i="6"/>
  <c r="R383" i="6"/>
  <c r="S383" i="6"/>
  <c r="T383" i="6"/>
  <c r="C384" i="6"/>
  <c r="D384" i="6"/>
  <c r="E384" i="6"/>
  <c r="F384" i="6"/>
  <c r="H384" i="6"/>
  <c r="I384" i="6"/>
  <c r="N384" i="6"/>
  <c r="Q384" i="6"/>
  <c r="S384" i="6" s="1"/>
  <c r="R384" i="6"/>
  <c r="T384" i="6"/>
  <c r="C385" i="6"/>
  <c r="D385" i="6"/>
  <c r="E385" i="6"/>
  <c r="F385" i="6"/>
  <c r="H385" i="6"/>
  <c r="I385" i="6"/>
  <c r="N385" i="6"/>
  <c r="Q385" i="6"/>
  <c r="R385" i="6"/>
  <c r="S385" i="6"/>
  <c r="T385" i="6"/>
  <c r="C386" i="6"/>
  <c r="D386" i="6"/>
  <c r="E386" i="6"/>
  <c r="F386" i="6"/>
  <c r="H386" i="6"/>
  <c r="I386" i="6"/>
  <c r="N386" i="6"/>
  <c r="Q386" i="6"/>
  <c r="R386" i="6"/>
  <c r="S386" i="6"/>
  <c r="T386" i="6"/>
  <c r="C387" i="6"/>
  <c r="D387" i="6"/>
  <c r="E387" i="6"/>
  <c r="F387" i="6"/>
  <c r="H387" i="6"/>
  <c r="I387" i="6"/>
  <c r="L387" i="6"/>
  <c r="N387" i="6"/>
  <c r="Q387" i="6"/>
  <c r="R387" i="6"/>
  <c r="S387" i="6"/>
  <c r="T387" i="6"/>
  <c r="C388" i="6"/>
  <c r="D388" i="6"/>
  <c r="E388" i="6"/>
  <c r="F388" i="6"/>
  <c r="H388" i="6"/>
  <c r="I388" i="6"/>
  <c r="N388" i="6"/>
  <c r="Q388" i="6"/>
  <c r="R388" i="6"/>
  <c r="S388" i="6"/>
  <c r="T388" i="6"/>
  <c r="C389" i="6"/>
  <c r="D389" i="6"/>
  <c r="E389" i="6"/>
  <c r="F389" i="6"/>
  <c r="H389" i="6"/>
  <c r="I389" i="6"/>
  <c r="N389" i="6"/>
  <c r="Q389" i="6"/>
  <c r="R389" i="6"/>
  <c r="S389" i="6"/>
  <c r="T389" i="6"/>
  <c r="C390" i="6"/>
  <c r="L390" i="6" s="1"/>
  <c r="D390" i="6"/>
  <c r="E390" i="6"/>
  <c r="F390" i="6"/>
  <c r="H390" i="6"/>
  <c r="I390" i="6"/>
  <c r="N390" i="6"/>
  <c r="Q390" i="6"/>
  <c r="R390" i="6"/>
  <c r="S390" i="6"/>
  <c r="T390" i="6"/>
  <c r="C391" i="6"/>
  <c r="D391" i="6"/>
  <c r="E391" i="6"/>
  <c r="F391" i="6"/>
  <c r="H391" i="6"/>
  <c r="I391" i="6"/>
  <c r="N391" i="6"/>
  <c r="Q391" i="6"/>
  <c r="R391" i="6"/>
  <c r="S391" i="6"/>
  <c r="T391" i="6"/>
  <c r="C392" i="6"/>
  <c r="L392" i="6" s="1"/>
  <c r="D392" i="6"/>
  <c r="E392" i="6"/>
  <c r="F392" i="6"/>
  <c r="H392" i="6"/>
  <c r="I392" i="6"/>
  <c r="N392" i="6"/>
  <c r="Q392" i="6"/>
  <c r="R392" i="6"/>
  <c r="S392" i="6"/>
  <c r="T392" i="6"/>
  <c r="C393" i="6"/>
  <c r="L393" i="6" s="1"/>
  <c r="D393" i="6"/>
  <c r="E393" i="6"/>
  <c r="F393" i="6"/>
  <c r="H393" i="6"/>
  <c r="I393" i="6"/>
  <c r="N393" i="6"/>
  <c r="Q393" i="6"/>
  <c r="R393" i="6"/>
  <c r="S393" i="6"/>
  <c r="T393" i="6"/>
  <c r="C394" i="6"/>
  <c r="D394" i="6"/>
  <c r="E394" i="6"/>
  <c r="F394" i="6"/>
  <c r="H394" i="6"/>
  <c r="I394" i="6"/>
  <c r="N394" i="6"/>
  <c r="Q394" i="6"/>
  <c r="R394" i="6"/>
  <c r="S394" i="6"/>
  <c r="S1100" i="6" s="1"/>
  <c r="T394" i="6"/>
  <c r="C395" i="6"/>
  <c r="D395" i="6"/>
  <c r="E395" i="6"/>
  <c r="F395" i="6"/>
  <c r="H395" i="6"/>
  <c r="I395" i="6"/>
  <c r="L395" i="6"/>
  <c r="N395" i="6"/>
  <c r="Q395" i="6"/>
  <c r="R395" i="6"/>
  <c r="S395" i="6"/>
  <c r="T395" i="6"/>
  <c r="C396" i="6"/>
  <c r="D396" i="6"/>
  <c r="E396" i="6"/>
  <c r="F396" i="6"/>
  <c r="H396" i="6"/>
  <c r="I396" i="6"/>
  <c r="N396" i="6"/>
  <c r="Q396" i="6"/>
  <c r="R396" i="6"/>
  <c r="S396" i="6"/>
  <c r="T396" i="6"/>
  <c r="C397" i="6"/>
  <c r="D397" i="6"/>
  <c r="L397" i="6" s="1"/>
  <c r="E397" i="6"/>
  <c r="F397" i="6"/>
  <c r="H397" i="6"/>
  <c r="I397" i="6"/>
  <c r="N397" i="6"/>
  <c r="Q397" i="6"/>
  <c r="R397" i="6"/>
  <c r="S397" i="6"/>
  <c r="T397" i="6"/>
  <c r="C398" i="6"/>
  <c r="D398" i="6"/>
  <c r="E398" i="6"/>
  <c r="F398" i="6"/>
  <c r="H398" i="6"/>
  <c r="I398" i="6"/>
  <c r="N398" i="6"/>
  <c r="Q398" i="6"/>
  <c r="R398" i="6"/>
  <c r="S398" i="6"/>
  <c r="S1101" i="6" s="1"/>
  <c r="T398" i="6"/>
  <c r="C399" i="6"/>
  <c r="L399" i="6" s="1"/>
  <c r="D399" i="6"/>
  <c r="E399" i="6"/>
  <c r="F399" i="6"/>
  <c r="H399" i="6"/>
  <c r="I399" i="6"/>
  <c r="N399" i="6"/>
  <c r="Q399" i="6"/>
  <c r="R399" i="6"/>
  <c r="S399" i="6"/>
  <c r="T399" i="6"/>
  <c r="C400" i="6"/>
  <c r="D400" i="6"/>
  <c r="E400" i="6"/>
  <c r="F400" i="6"/>
  <c r="H400" i="6"/>
  <c r="I400" i="6"/>
  <c r="N400" i="6"/>
  <c r="Q400" i="6"/>
  <c r="R400" i="6"/>
  <c r="S400" i="6"/>
  <c r="T400" i="6"/>
  <c r="C401" i="6"/>
  <c r="L401" i="6" s="1"/>
  <c r="D401" i="6"/>
  <c r="E401" i="6"/>
  <c r="F401" i="6"/>
  <c r="H401" i="6"/>
  <c r="I401" i="6"/>
  <c r="N401" i="6"/>
  <c r="Q401" i="6"/>
  <c r="R401" i="6"/>
  <c r="S401" i="6"/>
  <c r="T401" i="6"/>
  <c r="C402" i="6"/>
  <c r="D402" i="6"/>
  <c r="E402" i="6"/>
  <c r="F402" i="6"/>
  <c r="H402" i="6"/>
  <c r="I402" i="6"/>
  <c r="N402" i="6"/>
  <c r="R402" i="6"/>
  <c r="Q402" i="6" s="1"/>
  <c r="S402" i="6" s="1"/>
  <c r="T402" i="6"/>
  <c r="C403" i="6"/>
  <c r="D403" i="6"/>
  <c r="E403" i="6"/>
  <c r="L403" i="6" s="1"/>
  <c r="F403" i="6"/>
  <c r="H403" i="6"/>
  <c r="I403" i="6"/>
  <c r="N403" i="6"/>
  <c r="Q403" i="6"/>
  <c r="R403" i="6"/>
  <c r="S403" i="6"/>
  <c r="T403" i="6"/>
  <c r="T1101" i="6" s="1"/>
  <c r="C404" i="6"/>
  <c r="L404" i="6" s="1"/>
  <c r="D404" i="6"/>
  <c r="E404" i="6"/>
  <c r="F404" i="6"/>
  <c r="H404" i="6"/>
  <c r="I404" i="6"/>
  <c r="N404" i="6"/>
  <c r="R404" i="6"/>
  <c r="Q404" i="6" s="1"/>
  <c r="S404" i="6" s="1"/>
  <c r="T404" i="6"/>
  <c r="C405" i="6"/>
  <c r="D405" i="6"/>
  <c r="E405" i="6"/>
  <c r="F405" i="6"/>
  <c r="H405" i="6"/>
  <c r="I405" i="6"/>
  <c r="I1101" i="6" s="1"/>
  <c r="N405" i="6"/>
  <c r="Q405" i="6"/>
  <c r="R405" i="6"/>
  <c r="S405" i="6"/>
  <c r="T405" i="6"/>
  <c r="C406" i="6"/>
  <c r="D406" i="6"/>
  <c r="E406" i="6"/>
  <c r="F406" i="6"/>
  <c r="H406" i="6"/>
  <c r="I406" i="6"/>
  <c r="N406" i="6"/>
  <c r="R406" i="6"/>
  <c r="Q406" i="6" s="1"/>
  <c r="S406" i="6" s="1"/>
  <c r="T406" i="6"/>
  <c r="C407" i="6"/>
  <c r="D407" i="6"/>
  <c r="E407" i="6"/>
  <c r="F407" i="6"/>
  <c r="H407" i="6"/>
  <c r="I407" i="6"/>
  <c r="L407" i="6" s="1"/>
  <c r="N407" i="6"/>
  <c r="Q407" i="6"/>
  <c r="R407" i="6"/>
  <c r="S407" i="6"/>
  <c r="T407" i="6"/>
  <c r="C408" i="6"/>
  <c r="D408" i="6"/>
  <c r="E408" i="6"/>
  <c r="F408" i="6"/>
  <c r="H408" i="6"/>
  <c r="I408" i="6"/>
  <c r="N408" i="6"/>
  <c r="R408" i="6"/>
  <c r="T408" i="6"/>
  <c r="C409" i="6"/>
  <c r="D409" i="6"/>
  <c r="E409" i="6"/>
  <c r="F409" i="6"/>
  <c r="H409" i="6"/>
  <c r="I409" i="6"/>
  <c r="N409" i="6"/>
  <c r="Q409" i="6"/>
  <c r="R409" i="6"/>
  <c r="S409" i="6"/>
  <c r="T409" i="6"/>
  <c r="C410" i="6"/>
  <c r="D410" i="6"/>
  <c r="E410" i="6"/>
  <c r="F410" i="6"/>
  <c r="H410" i="6"/>
  <c r="I410" i="6"/>
  <c r="N410" i="6"/>
  <c r="R410" i="6"/>
  <c r="Q410" i="6" s="1"/>
  <c r="S410" i="6"/>
  <c r="T410" i="6"/>
  <c r="C411" i="6"/>
  <c r="L411" i="6" s="1"/>
  <c r="D411" i="6"/>
  <c r="E411" i="6"/>
  <c r="F411" i="6"/>
  <c r="H411" i="6"/>
  <c r="I411" i="6"/>
  <c r="N411" i="6"/>
  <c r="Q411" i="6"/>
  <c r="R411" i="6"/>
  <c r="S411" i="6"/>
  <c r="T411" i="6"/>
  <c r="C412" i="6"/>
  <c r="D412" i="6"/>
  <c r="E412" i="6"/>
  <c r="F412" i="6"/>
  <c r="H412" i="6"/>
  <c r="I412" i="6"/>
  <c r="N412" i="6"/>
  <c r="R412" i="6"/>
  <c r="Q412" i="6" s="1"/>
  <c r="S412" i="6" s="1"/>
  <c r="T412" i="6"/>
  <c r="C413" i="6"/>
  <c r="D413" i="6"/>
  <c r="E413" i="6"/>
  <c r="F413" i="6"/>
  <c r="H413" i="6"/>
  <c r="I413" i="6"/>
  <c r="N413" i="6"/>
  <c r="Q413" i="6"/>
  <c r="R413" i="6"/>
  <c r="S413" i="6"/>
  <c r="T413" i="6"/>
  <c r="C414" i="6"/>
  <c r="L414" i="6" s="1"/>
  <c r="D414" i="6"/>
  <c r="E414" i="6"/>
  <c r="F414" i="6"/>
  <c r="H414" i="6"/>
  <c r="I414" i="6"/>
  <c r="N414" i="6"/>
  <c r="R414" i="6"/>
  <c r="Q414" i="6" s="1"/>
  <c r="S414" i="6" s="1"/>
  <c r="T414" i="6"/>
  <c r="C415" i="6"/>
  <c r="D415" i="6"/>
  <c r="E415" i="6"/>
  <c r="F415" i="6"/>
  <c r="H415" i="6"/>
  <c r="I415" i="6"/>
  <c r="N415" i="6"/>
  <c r="Q415" i="6"/>
  <c r="R415" i="6"/>
  <c r="S415" i="6"/>
  <c r="T415" i="6"/>
  <c r="C416" i="6"/>
  <c r="D416" i="6"/>
  <c r="E416" i="6"/>
  <c r="F416" i="6"/>
  <c r="H416" i="6"/>
  <c r="I416" i="6"/>
  <c r="N416" i="6"/>
  <c r="R416" i="6"/>
  <c r="Q416" i="6" s="1"/>
  <c r="S416" i="6"/>
  <c r="T416" i="6"/>
  <c r="C417" i="6"/>
  <c r="D417" i="6"/>
  <c r="L417" i="6" s="1"/>
  <c r="E417" i="6"/>
  <c r="F417" i="6"/>
  <c r="H417" i="6"/>
  <c r="I417" i="6"/>
  <c r="N417" i="6"/>
  <c r="Q417" i="6"/>
  <c r="R417" i="6"/>
  <c r="S417" i="6"/>
  <c r="T417" i="6"/>
  <c r="C418" i="6"/>
  <c r="D418" i="6"/>
  <c r="E418" i="6"/>
  <c r="F418" i="6"/>
  <c r="H418" i="6"/>
  <c r="I418" i="6"/>
  <c r="N418" i="6"/>
  <c r="R418" i="6"/>
  <c r="Q418" i="6" s="1"/>
  <c r="S418" i="6" s="1"/>
  <c r="T418" i="6"/>
  <c r="C419" i="6"/>
  <c r="D419" i="6"/>
  <c r="E419" i="6"/>
  <c r="F419" i="6"/>
  <c r="H419" i="6"/>
  <c r="I419" i="6"/>
  <c r="N419" i="6"/>
  <c r="Q419" i="6"/>
  <c r="R419" i="6"/>
  <c r="S419" i="6"/>
  <c r="T419" i="6"/>
  <c r="C420" i="6"/>
  <c r="D420" i="6"/>
  <c r="L420" i="6" s="1"/>
  <c r="E420" i="6"/>
  <c r="F420" i="6"/>
  <c r="H420" i="6"/>
  <c r="I420" i="6"/>
  <c r="N420" i="6"/>
  <c r="R420" i="6"/>
  <c r="Q420" i="6" s="1"/>
  <c r="S420" i="6" s="1"/>
  <c r="T420" i="6"/>
  <c r="C421" i="6"/>
  <c r="D421" i="6"/>
  <c r="E421" i="6"/>
  <c r="F421" i="6"/>
  <c r="L421" i="6" s="1"/>
  <c r="H421" i="6"/>
  <c r="I421" i="6"/>
  <c r="N421" i="6"/>
  <c r="Q421" i="6"/>
  <c r="R421" i="6"/>
  <c r="S421" i="6"/>
  <c r="T421" i="6"/>
  <c r="C422" i="6"/>
  <c r="D422" i="6"/>
  <c r="E422" i="6"/>
  <c r="F422" i="6"/>
  <c r="H422" i="6"/>
  <c r="I422" i="6"/>
  <c r="N422" i="6"/>
  <c r="R422" i="6"/>
  <c r="Q422" i="6" s="1"/>
  <c r="T422" i="6"/>
  <c r="C423" i="6"/>
  <c r="D423" i="6"/>
  <c r="E423" i="6"/>
  <c r="F423" i="6"/>
  <c r="H423" i="6"/>
  <c r="I423" i="6"/>
  <c r="N423" i="6"/>
  <c r="Q423" i="6"/>
  <c r="R423" i="6"/>
  <c r="S423" i="6"/>
  <c r="T423" i="6"/>
  <c r="C424" i="6"/>
  <c r="D424" i="6"/>
  <c r="E424" i="6"/>
  <c r="F424" i="6"/>
  <c r="H424" i="6"/>
  <c r="I424" i="6"/>
  <c r="N424" i="6"/>
  <c r="R424" i="6"/>
  <c r="Q424" i="6" s="1"/>
  <c r="S424" i="6"/>
  <c r="T424" i="6"/>
  <c r="C425" i="6"/>
  <c r="D425" i="6"/>
  <c r="E425" i="6"/>
  <c r="F425" i="6"/>
  <c r="H425" i="6"/>
  <c r="I425" i="6"/>
  <c r="L425" i="6"/>
  <c r="N425" i="6"/>
  <c r="Q425" i="6"/>
  <c r="R425" i="6"/>
  <c r="S425" i="6"/>
  <c r="T425" i="6"/>
  <c r="C426" i="6"/>
  <c r="D426" i="6"/>
  <c r="E426" i="6"/>
  <c r="F426" i="6"/>
  <c r="H426" i="6"/>
  <c r="I426" i="6"/>
  <c r="N426" i="6"/>
  <c r="R426" i="6"/>
  <c r="Q426" i="6" s="1"/>
  <c r="S426" i="6"/>
  <c r="T426" i="6"/>
  <c r="C427" i="6"/>
  <c r="D427" i="6"/>
  <c r="E427" i="6"/>
  <c r="F427" i="6"/>
  <c r="H427" i="6"/>
  <c r="I427" i="6"/>
  <c r="N427" i="6"/>
  <c r="Q427" i="6"/>
  <c r="R427" i="6"/>
  <c r="S427" i="6"/>
  <c r="T427" i="6"/>
  <c r="C428" i="6"/>
  <c r="D428" i="6"/>
  <c r="E428" i="6"/>
  <c r="F428" i="6"/>
  <c r="H428" i="6"/>
  <c r="I428" i="6"/>
  <c r="N428" i="6"/>
  <c r="R428" i="6"/>
  <c r="Q428" i="6" s="1"/>
  <c r="S428" i="6" s="1"/>
  <c r="T428" i="6"/>
  <c r="C429" i="6"/>
  <c r="D429" i="6"/>
  <c r="E429" i="6"/>
  <c r="F429" i="6"/>
  <c r="H429" i="6"/>
  <c r="I429" i="6"/>
  <c r="N429" i="6"/>
  <c r="Q429" i="6"/>
  <c r="R429" i="6"/>
  <c r="S429" i="6"/>
  <c r="T429" i="6"/>
  <c r="C430" i="6"/>
  <c r="D430" i="6"/>
  <c r="L430" i="6" s="1"/>
  <c r="E430" i="6"/>
  <c r="F430" i="6"/>
  <c r="H430" i="6"/>
  <c r="I430" i="6"/>
  <c r="N430" i="6"/>
  <c r="R430" i="6"/>
  <c r="Q430" i="6" s="1"/>
  <c r="S430" i="6"/>
  <c r="T430" i="6"/>
  <c r="C431" i="6"/>
  <c r="D431" i="6"/>
  <c r="E431" i="6"/>
  <c r="F431" i="6"/>
  <c r="H431" i="6"/>
  <c r="I431" i="6"/>
  <c r="N431" i="6"/>
  <c r="Q431" i="6"/>
  <c r="R431" i="6"/>
  <c r="S431" i="6"/>
  <c r="T431" i="6"/>
  <c r="C432" i="6"/>
  <c r="L432" i="6" s="1"/>
  <c r="D432" i="6"/>
  <c r="E432" i="6"/>
  <c r="F432" i="6"/>
  <c r="H432" i="6"/>
  <c r="I432" i="6"/>
  <c r="N432" i="6"/>
  <c r="R432" i="6"/>
  <c r="Q432" i="6" s="1"/>
  <c r="S432" i="6"/>
  <c r="T432" i="6"/>
  <c r="C433" i="6"/>
  <c r="D433" i="6"/>
  <c r="E433" i="6"/>
  <c r="F433" i="6"/>
  <c r="H433" i="6"/>
  <c r="I433" i="6"/>
  <c r="N433" i="6"/>
  <c r="Q433" i="6"/>
  <c r="R433" i="6"/>
  <c r="S433" i="6"/>
  <c r="T433" i="6"/>
  <c r="C434" i="6"/>
  <c r="D434" i="6"/>
  <c r="L434" i="6" s="1"/>
  <c r="E434" i="6"/>
  <c r="F434" i="6"/>
  <c r="H434" i="6"/>
  <c r="I434" i="6"/>
  <c r="N434" i="6"/>
  <c r="R434" i="6"/>
  <c r="Q434" i="6" s="1"/>
  <c r="S434" i="6" s="1"/>
  <c r="T434" i="6"/>
  <c r="C435" i="6"/>
  <c r="D435" i="6"/>
  <c r="E435" i="6"/>
  <c r="F435" i="6"/>
  <c r="H435" i="6"/>
  <c r="I435" i="6"/>
  <c r="N435" i="6"/>
  <c r="Q435" i="6"/>
  <c r="R435" i="6"/>
  <c r="S435" i="6"/>
  <c r="T435" i="6"/>
  <c r="C436" i="6"/>
  <c r="D436" i="6"/>
  <c r="E436" i="6"/>
  <c r="F436" i="6"/>
  <c r="H436" i="6"/>
  <c r="I436" i="6"/>
  <c r="N436" i="6"/>
  <c r="R436" i="6"/>
  <c r="Q436" i="6" s="1"/>
  <c r="S436" i="6"/>
  <c r="T436" i="6"/>
  <c r="C437" i="6"/>
  <c r="D437" i="6"/>
  <c r="E437" i="6"/>
  <c r="F437" i="6"/>
  <c r="H437" i="6"/>
  <c r="I437" i="6"/>
  <c r="L437" i="6"/>
  <c r="N437" i="6"/>
  <c r="Q437" i="6"/>
  <c r="R437" i="6"/>
  <c r="S437" i="6"/>
  <c r="T437" i="6"/>
  <c r="C438" i="6"/>
  <c r="D438" i="6"/>
  <c r="E438" i="6"/>
  <c r="F438" i="6"/>
  <c r="H438" i="6"/>
  <c r="I438" i="6"/>
  <c r="N438" i="6"/>
  <c r="R438" i="6"/>
  <c r="Q438" i="6" s="1"/>
  <c r="S438" i="6" s="1"/>
  <c r="T438" i="6"/>
  <c r="C439" i="6"/>
  <c r="D439" i="6"/>
  <c r="E439" i="6"/>
  <c r="F439" i="6"/>
  <c r="H439" i="6"/>
  <c r="I439" i="6"/>
  <c r="N439" i="6"/>
  <c r="Q439" i="6"/>
  <c r="R439" i="6"/>
  <c r="S439" i="6"/>
  <c r="T439" i="6"/>
  <c r="C440" i="6"/>
  <c r="D440" i="6"/>
  <c r="E440" i="6"/>
  <c r="F440" i="6"/>
  <c r="H440" i="6"/>
  <c r="I440" i="6"/>
  <c r="L440" i="6"/>
  <c r="N440" i="6"/>
  <c r="R440" i="6"/>
  <c r="Q440" i="6" s="1"/>
  <c r="S440" i="6"/>
  <c r="T440" i="6"/>
  <c r="C441" i="6"/>
  <c r="D441" i="6"/>
  <c r="E441" i="6"/>
  <c r="F441" i="6"/>
  <c r="H441" i="6"/>
  <c r="I441" i="6"/>
  <c r="N441" i="6"/>
  <c r="Q441" i="6"/>
  <c r="R441" i="6"/>
  <c r="S441" i="6"/>
  <c r="T441" i="6"/>
  <c r="C442" i="6"/>
  <c r="L442" i="6" s="1"/>
  <c r="D442" i="6"/>
  <c r="E442" i="6"/>
  <c r="F442" i="6"/>
  <c r="H442" i="6"/>
  <c r="I442" i="6"/>
  <c r="N442" i="6"/>
  <c r="R442" i="6"/>
  <c r="Q442" i="6" s="1"/>
  <c r="S442" i="6"/>
  <c r="T442" i="6"/>
  <c r="C443" i="6"/>
  <c r="D443" i="6"/>
  <c r="E443" i="6"/>
  <c r="F443" i="6"/>
  <c r="H443" i="6"/>
  <c r="I443" i="6"/>
  <c r="N443" i="6"/>
  <c r="Q443" i="6"/>
  <c r="R443" i="6"/>
  <c r="S443" i="6"/>
  <c r="T443" i="6"/>
  <c r="C444" i="6"/>
  <c r="D444" i="6"/>
  <c r="E444" i="6"/>
  <c r="L444" i="6" s="1"/>
  <c r="F444" i="6"/>
  <c r="H444" i="6"/>
  <c r="I444" i="6"/>
  <c r="N444" i="6"/>
  <c r="R444" i="6"/>
  <c r="Q444" i="6" s="1"/>
  <c r="S444" i="6" s="1"/>
  <c r="T444" i="6"/>
  <c r="C445" i="6"/>
  <c r="D445" i="6"/>
  <c r="E445" i="6"/>
  <c r="F445" i="6"/>
  <c r="H445" i="6"/>
  <c r="I445" i="6"/>
  <c r="N445" i="6"/>
  <c r="Q445" i="6"/>
  <c r="R445" i="6"/>
  <c r="S445" i="6"/>
  <c r="T445" i="6"/>
  <c r="C446" i="6"/>
  <c r="D446" i="6"/>
  <c r="E446" i="6"/>
  <c r="F446" i="6"/>
  <c r="H446" i="6"/>
  <c r="I446" i="6"/>
  <c r="N446" i="6"/>
  <c r="R446" i="6"/>
  <c r="Q446" i="6" s="1"/>
  <c r="S446" i="6"/>
  <c r="T446" i="6"/>
  <c r="C447" i="6"/>
  <c r="D447" i="6"/>
  <c r="E447" i="6"/>
  <c r="F447" i="6"/>
  <c r="H447" i="6"/>
  <c r="I447" i="6"/>
  <c r="N447" i="6"/>
  <c r="Q447" i="6"/>
  <c r="R447" i="6"/>
  <c r="S447" i="6"/>
  <c r="T447" i="6"/>
  <c r="C448" i="6"/>
  <c r="D448" i="6"/>
  <c r="L448" i="6" s="1"/>
  <c r="E448" i="6"/>
  <c r="F448" i="6"/>
  <c r="H448" i="6"/>
  <c r="I448" i="6"/>
  <c r="N448" i="6"/>
  <c r="R448" i="6"/>
  <c r="Q448" i="6" s="1"/>
  <c r="S448" i="6"/>
  <c r="T448" i="6"/>
  <c r="C449" i="6"/>
  <c r="D449" i="6"/>
  <c r="E449" i="6"/>
  <c r="F449" i="6"/>
  <c r="H449" i="6"/>
  <c r="I449" i="6"/>
  <c r="N449" i="6"/>
  <c r="Q449" i="6"/>
  <c r="R449" i="6"/>
  <c r="S449" i="6"/>
  <c r="T449" i="6"/>
  <c r="C450" i="6"/>
  <c r="L450" i="6" s="1"/>
  <c r="D450" i="6"/>
  <c r="E450" i="6"/>
  <c r="F450" i="6"/>
  <c r="H450" i="6"/>
  <c r="I450" i="6"/>
  <c r="N450" i="6"/>
  <c r="R450" i="6"/>
  <c r="Q450" i="6" s="1"/>
  <c r="S450" i="6" s="1"/>
  <c r="T450" i="6"/>
  <c r="C451" i="6"/>
  <c r="D451" i="6"/>
  <c r="E451" i="6"/>
  <c r="F451" i="6"/>
  <c r="H451" i="6"/>
  <c r="I451" i="6"/>
  <c r="N451" i="6"/>
  <c r="Q451" i="6"/>
  <c r="R451" i="6"/>
  <c r="S451" i="6"/>
  <c r="T451" i="6"/>
  <c r="C452" i="6"/>
  <c r="D452" i="6"/>
  <c r="E452" i="6"/>
  <c r="F452" i="6"/>
  <c r="H452" i="6"/>
  <c r="I452" i="6"/>
  <c r="L452" i="6"/>
  <c r="N452" i="6"/>
  <c r="R452" i="6"/>
  <c r="Q452" i="6" s="1"/>
  <c r="S452" i="6" s="1"/>
  <c r="T452" i="6"/>
  <c r="C453" i="6"/>
  <c r="D453" i="6"/>
  <c r="E453" i="6"/>
  <c r="F453" i="6"/>
  <c r="H453" i="6"/>
  <c r="I453" i="6"/>
  <c r="N453" i="6"/>
  <c r="Q453" i="6"/>
  <c r="R453" i="6"/>
  <c r="S453" i="6"/>
  <c r="T453" i="6"/>
  <c r="C454" i="6"/>
  <c r="D454" i="6"/>
  <c r="L454" i="6" s="1"/>
  <c r="E454" i="6"/>
  <c r="F454" i="6"/>
  <c r="H454" i="6"/>
  <c r="I454" i="6"/>
  <c r="N454" i="6"/>
  <c r="R454" i="6"/>
  <c r="Q454" i="6" s="1"/>
  <c r="T454" i="6"/>
  <c r="C455" i="6"/>
  <c r="D455" i="6"/>
  <c r="E455" i="6"/>
  <c r="F455" i="6"/>
  <c r="H455" i="6"/>
  <c r="I455" i="6"/>
  <c r="N455" i="6"/>
  <c r="Q455" i="6"/>
  <c r="R455" i="6"/>
  <c r="S455" i="6"/>
  <c r="T455" i="6"/>
  <c r="C456" i="6"/>
  <c r="D456" i="6"/>
  <c r="L456" i="6" s="1"/>
  <c r="E456" i="6"/>
  <c r="F456" i="6"/>
  <c r="H456" i="6"/>
  <c r="I456" i="6"/>
  <c r="N456" i="6"/>
  <c r="R456" i="6"/>
  <c r="Q456" i="6" s="1"/>
  <c r="S456" i="6"/>
  <c r="T456" i="6"/>
  <c r="C457" i="6"/>
  <c r="L457" i="6" s="1"/>
  <c r="D457" i="6"/>
  <c r="E457" i="6"/>
  <c r="F457" i="6"/>
  <c r="H457" i="6"/>
  <c r="I457" i="6"/>
  <c r="N457" i="6"/>
  <c r="Q457" i="6"/>
  <c r="R457" i="6"/>
  <c r="S457" i="6"/>
  <c r="T457" i="6"/>
  <c r="C458" i="6"/>
  <c r="D458" i="6"/>
  <c r="E458" i="6"/>
  <c r="F458" i="6"/>
  <c r="H458" i="6"/>
  <c r="I458" i="6"/>
  <c r="N458" i="6"/>
  <c r="R458" i="6"/>
  <c r="Q458" i="6" s="1"/>
  <c r="S458" i="6"/>
  <c r="T458" i="6"/>
  <c r="C459" i="6"/>
  <c r="D459" i="6"/>
  <c r="E459" i="6"/>
  <c r="F459" i="6"/>
  <c r="H459" i="6"/>
  <c r="I459" i="6"/>
  <c r="N459" i="6"/>
  <c r="Q459" i="6"/>
  <c r="R459" i="6"/>
  <c r="S459" i="6"/>
  <c r="T459" i="6"/>
  <c r="C460" i="6"/>
  <c r="D460" i="6"/>
  <c r="E460" i="6"/>
  <c r="L460" i="6" s="1"/>
  <c r="F460" i="6"/>
  <c r="H460" i="6"/>
  <c r="I460" i="6"/>
  <c r="N460" i="6"/>
  <c r="R460" i="6"/>
  <c r="Q460" i="6" s="1"/>
  <c r="S460" i="6" s="1"/>
  <c r="T460" i="6"/>
  <c r="C461" i="6"/>
  <c r="D461" i="6"/>
  <c r="E461" i="6"/>
  <c r="F461" i="6"/>
  <c r="H461" i="6"/>
  <c r="I461" i="6"/>
  <c r="N461" i="6"/>
  <c r="Q461" i="6"/>
  <c r="R461" i="6"/>
  <c r="S461" i="6"/>
  <c r="T461" i="6"/>
  <c r="C462" i="6"/>
  <c r="D462" i="6"/>
  <c r="E462" i="6"/>
  <c r="F462" i="6"/>
  <c r="H462" i="6"/>
  <c r="I462" i="6"/>
  <c r="N462" i="6"/>
  <c r="R462" i="6"/>
  <c r="Q462" i="6" s="1"/>
  <c r="S462" i="6"/>
  <c r="T462" i="6"/>
  <c r="C463" i="6"/>
  <c r="L463" i="6" s="1"/>
  <c r="D463" i="6"/>
  <c r="E463" i="6"/>
  <c r="F463" i="6"/>
  <c r="H463" i="6"/>
  <c r="I463" i="6"/>
  <c r="N463" i="6"/>
  <c r="Q463" i="6"/>
  <c r="R463" i="6"/>
  <c r="S463" i="6"/>
  <c r="T463" i="6"/>
  <c r="C464" i="6"/>
  <c r="D464" i="6"/>
  <c r="E464" i="6"/>
  <c r="F464" i="6"/>
  <c r="H464" i="6"/>
  <c r="I464" i="6"/>
  <c r="N464" i="6"/>
  <c r="R464" i="6"/>
  <c r="Q464" i="6" s="1"/>
  <c r="S464" i="6"/>
  <c r="S1106" i="6" s="1"/>
  <c r="T464" i="6"/>
  <c r="C465" i="6"/>
  <c r="D465" i="6"/>
  <c r="E465" i="6"/>
  <c r="F465" i="6"/>
  <c r="H465" i="6"/>
  <c r="I465" i="6"/>
  <c r="L465" i="6"/>
  <c r="N465" i="6"/>
  <c r="Q465" i="6"/>
  <c r="R465" i="6"/>
  <c r="S465" i="6"/>
  <c r="T465" i="6"/>
  <c r="C466" i="6"/>
  <c r="D466" i="6"/>
  <c r="E466" i="6"/>
  <c r="L466" i="6" s="1"/>
  <c r="F466" i="6"/>
  <c r="H466" i="6"/>
  <c r="I466" i="6"/>
  <c r="N466" i="6"/>
  <c r="R466" i="6"/>
  <c r="Q466" i="6" s="1"/>
  <c r="S466" i="6" s="1"/>
  <c r="T466" i="6"/>
  <c r="C467" i="6"/>
  <c r="D467" i="6"/>
  <c r="E467" i="6"/>
  <c r="F467" i="6"/>
  <c r="F1106" i="6" s="1"/>
  <c r="H467" i="6"/>
  <c r="I467" i="6"/>
  <c r="N467" i="6"/>
  <c r="Q467" i="6"/>
  <c r="R467" i="6"/>
  <c r="S467" i="6"/>
  <c r="T467" i="6"/>
  <c r="C468" i="6"/>
  <c r="D468" i="6"/>
  <c r="E468" i="6"/>
  <c r="F468" i="6"/>
  <c r="H468" i="6"/>
  <c r="I468" i="6"/>
  <c r="L468" i="6"/>
  <c r="N468" i="6"/>
  <c r="R468" i="6"/>
  <c r="Q468" i="6" s="1"/>
  <c r="T468" i="6"/>
  <c r="C469" i="6"/>
  <c r="D469" i="6"/>
  <c r="E469" i="6"/>
  <c r="F469" i="6"/>
  <c r="H469" i="6"/>
  <c r="I469" i="6"/>
  <c r="N469" i="6"/>
  <c r="Q469" i="6"/>
  <c r="R469" i="6"/>
  <c r="S469" i="6"/>
  <c r="T469" i="6"/>
  <c r="C470" i="6"/>
  <c r="D470" i="6"/>
  <c r="E470" i="6"/>
  <c r="F470" i="6"/>
  <c r="H470" i="6"/>
  <c r="I470" i="6"/>
  <c r="N470" i="6"/>
  <c r="R470" i="6"/>
  <c r="Q470" i="6" s="1"/>
  <c r="S470" i="6"/>
  <c r="T470" i="6"/>
  <c r="C471" i="6"/>
  <c r="D471" i="6"/>
  <c r="E471" i="6"/>
  <c r="F471" i="6"/>
  <c r="H471" i="6"/>
  <c r="I471" i="6"/>
  <c r="N471" i="6"/>
  <c r="Q471" i="6"/>
  <c r="R471" i="6"/>
  <c r="S471" i="6"/>
  <c r="T471" i="6"/>
  <c r="C472" i="6"/>
  <c r="D472" i="6"/>
  <c r="E472" i="6"/>
  <c r="F472" i="6"/>
  <c r="H472" i="6"/>
  <c r="I472" i="6"/>
  <c r="N472" i="6"/>
  <c r="R472" i="6"/>
  <c r="Q472" i="6" s="1"/>
  <c r="S472" i="6" s="1"/>
  <c r="T472" i="6"/>
  <c r="C473" i="6"/>
  <c r="D473" i="6"/>
  <c r="E473" i="6"/>
  <c r="F473" i="6"/>
  <c r="H473" i="6"/>
  <c r="I473" i="6"/>
  <c r="N473" i="6"/>
  <c r="Q473" i="6"/>
  <c r="R473" i="6"/>
  <c r="S473" i="6"/>
  <c r="T473" i="6"/>
  <c r="C474" i="6"/>
  <c r="D474" i="6"/>
  <c r="L474" i="6" s="1"/>
  <c r="E474" i="6"/>
  <c r="F474" i="6"/>
  <c r="H474" i="6"/>
  <c r="I474" i="6"/>
  <c r="N474" i="6"/>
  <c r="R474" i="6"/>
  <c r="Q474" i="6" s="1"/>
  <c r="S474" i="6"/>
  <c r="T474" i="6"/>
  <c r="C475" i="6"/>
  <c r="D475" i="6"/>
  <c r="E475" i="6"/>
  <c r="F475" i="6"/>
  <c r="H475" i="6"/>
  <c r="I475" i="6"/>
  <c r="N475" i="6"/>
  <c r="Q475" i="6"/>
  <c r="R475" i="6"/>
  <c r="S475" i="6"/>
  <c r="T475" i="6"/>
  <c r="C476" i="6"/>
  <c r="D476" i="6"/>
  <c r="E476" i="6"/>
  <c r="F476" i="6"/>
  <c r="H476" i="6"/>
  <c r="I476" i="6"/>
  <c r="N476" i="6"/>
  <c r="R476" i="6"/>
  <c r="Q476" i="6" s="1"/>
  <c r="S476" i="6" s="1"/>
  <c r="T476" i="6"/>
  <c r="C477" i="6"/>
  <c r="D477" i="6"/>
  <c r="E477" i="6"/>
  <c r="L477" i="6" s="1"/>
  <c r="F477" i="6"/>
  <c r="H477" i="6"/>
  <c r="I477" i="6"/>
  <c r="N477" i="6"/>
  <c r="Q477" i="6"/>
  <c r="R477" i="6"/>
  <c r="S477" i="6"/>
  <c r="T477" i="6"/>
  <c r="C478" i="6"/>
  <c r="D478" i="6"/>
  <c r="E478" i="6"/>
  <c r="F478" i="6"/>
  <c r="H478" i="6"/>
  <c r="I478" i="6"/>
  <c r="N478" i="6"/>
  <c r="R478" i="6"/>
  <c r="Q478" i="6" s="1"/>
  <c r="S478" i="6" s="1"/>
  <c r="T478" i="6"/>
  <c r="C479" i="6"/>
  <c r="D479" i="6"/>
  <c r="E479" i="6"/>
  <c r="F479" i="6"/>
  <c r="H479" i="6"/>
  <c r="I479" i="6"/>
  <c r="N479" i="6"/>
  <c r="Q479" i="6"/>
  <c r="R479" i="6"/>
  <c r="S479" i="6"/>
  <c r="T479" i="6"/>
  <c r="C480" i="6"/>
  <c r="L480" i="6" s="1"/>
  <c r="D480" i="6"/>
  <c r="E480" i="6"/>
  <c r="F480" i="6"/>
  <c r="H480" i="6"/>
  <c r="I480" i="6"/>
  <c r="N480" i="6"/>
  <c r="R480" i="6"/>
  <c r="Q480" i="6" s="1"/>
  <c r="S480" i="6"/>
  <c r="T480" i="6"/>
  <c r="C481" i="6"/>
  <c r="D481" i="6"/>
  <c r="E481" i="6"/>
  <c r="F481" i="6"/>
  <c r="H481" i="6"/>
  <c r="I481" i="6"/>
  <c r="N481" i="6"/>
  <c r="Q481" i="6"/>
  <c r="R481" i="6"/>
  <c r="S481" i="6"/>
  <c r="T481" i="6"/>
  <c r="C482" i="6"/>
  <c r="D482" i="6"/>
  <c r="E482" i="6"/>
  <c r="L482" i="6" s="1"/>
  <c r="F482" i="6"/>
  <c r="H482" i="6"/>
  <c r="I482" i="6"/>
  <c r="N482" i="6"/>
  <c r="R482" i="6"/>
  <c r="Q482" i="6" s="1"/>
  <c r="S482" i="6" s="1"/>
  <c r="T482" i="6"/>
  <c r="C483" i="6"/>
  <c r="D483" i="6"/>
  <c r="E483" i="6"/>
  <c r="F483" i="6"/>
  <c r="H483" i="6"/>
  <c r="I483" i="6"/>
  <c r="N483" i="6"/>
  <c r="Q483" i="6"/>
  <c r="R483" i="6"/>
  <c r="S483" i="6"/>
  <c r="T483" i="6"/>
  <c r="C484" i="6"/>
  <c r="D484" i="6"/>
  <c r="E484" i="6"/>
  <c r="F484" i="6"/>
  <c r="H484" i="6"/>
  <c r="I484" i="6"/>
  <c r="L484" i="6"/>
  <c r="N484" i="6"/>
  <c r="R484" i="6"/>
  <c r="Q484" i="6" s="1"/>
  <c r="S484" i="6" s="1"/>
  <c r="T484" i="6"/>
  <c r="C485" i="6"/>
  <c r="D485" i="6"/>
  <c r="E485" i="6"/>
  <c r="F485" i="6"/>
  <c r="H485" i="6"/>
  <c r="I485" i="6"/>
  <c r="N485" i="6"/>
  <c r="Q485" i="6"/>
  <c r="R485" i="6"/>
  <c r="S485" i="6"/>
  <c r="T485" i="6"/>
  <c r="C486" i="6"/>
  <c r="D486" i="6"/>
  <c r="L486" i="6" s="1"/>
  <c r="E486" i="6"/>
  <c r="F486" i="6"/>
  <c r="H486" i="6"/>
  <c r="I486" i="6"/>
  <c r="N486" i="6"/>
  <c r="R486" i="6"/>
  <c r="Q486" i="6" s="1"/>
  <c r="S486" i="6" s="1"/>
  <c r="T486" i="6"/>
  <c r="C487" i="6"/>
  <c r="D487" i="6"/>
  <c r="E487" i="6"/>
  <c r="F487" i="6"/>
  <c r="H487" i="6"/>
  <c r="I487" i="6"/>
  <c r="N487" i="6"/>
  <c r="Q487" i="6"/>
  <c r="R487" i="6"/>
  <c r="S487" i="6"/>
  <c r="T487" i="6"/>
  <c r="C488" i="6"/>
  <c r="D488" i="6"/>
  <c r="L488" i="6" s="1"/>
  <c r="E488" i="6"/>
  <c r="F488" i="6"/>
  <c r="H488" i="6"/>
  <c r="I488" i="6"/>
  <c r="N488" i="6"/>
  <c r="R488" i="6"/>
  <c r="Q488" i="6" s="1"/>
  <c r="S488" i="6" s="1"/>
  <c r="T488" i="6"/>
  <c r="C489" i="6"/>
  <c r="D489" i="6"/>
  <c r="E489" i="6"/>
  <c r="F489" i="6"/>
  <c r="H489" i="6"/>
  <c r="I489" i="6"/>
  <c r="I1108" i="6" s="1"/>
  <c r="N489" i="6"/>
  <c r="Q489" i="6"/>
  <c r="R489" i="6"/>
  <c r="S489" i="6"/>
  <c r="T489" i="6"/>
  <c r="C490" i="6"/>
  <c r="D490" i="6"/>
  <c r="E490" i="6"/>
  <c r="F490" i="6"/>
  <c r="H490" i="6"/>
  <c r="I490" i="6"/>
  <c r="N490" i="6"/>
  <c r="R490" i="6"/>
  <c r="Q490" i="6" s="1"/>
  <c r="S490" i="6"/>
  <c r="T490" i="6"/>
  <c r="C491" i="6"/>
  <c r="D491" i="6"/>
  <c r="E491" i="6"/>
  <c r="F491" i="6"/>
  <c r="H491" i="6"/>
  <c r="I491" i="6"/>
  <c r="L491" i="6"/>
  <c r="N491" i="6"/>
  <c r="Q491" i="6"/>
  <c r="R491" i="6"/>
  <c r="S491" i="6"/>
  <c r="T491" i="6"/>
  <c r="C492" i="6"/>
  <c r="D492" i="6"/>
  <c r="E492" i="6"/>
  <c r="F492" i="6"/>
  <c r="H492" i="6"/>
  <c r="I492" i="6"/>
  <c r="N492" i="6"/>
  <c r="Q492" i="6"/>
  <c r="S492" i="6" s="1"/>
  <c r="R492" i="6"/>
  <c r="T492" i="6"/>
  <c r="C493" i="6"/>
  <c r="D493" i="6"/>
  <c r="E493" i="6"/>
  <c r="F493" i="6"/>
  <c r="H493" i="6"/>
  <c r="L493" i="6" s="1"/>
  <c r="I493" i="6"/>
  <c r="N493" i="6"/>
  <c r="Q493" i="6"/>
  <c r="R493" i="6"/>
  <c r="S493" i="6"/>
  <c r="T493" i="6"/>
  <c r="C494" i="6"/>
  <c r="D494" i="6"/>
  <c r="E494" i="6"/>
  <c r="F494" i="6"/>
  <c r="H494" i="6"/>
  <c r="I494" i="6"/>
  <c r="N494" i="6"/>
  <c r="Q494" i="6"/>
  <c r="R494" i="6"/>
  <c r="S494" i="6"/>
  <c r="T494" i="6"/>
  <c r="C495" i="6"/>
  <c r="D495" i="6"/>
  <c r="E495" i="6"/>
  <c r="F495" i="6"/>
  <c r="H495" i="6"/>
  <c r="I495" i="6"/>
  <c r="L495" i="6"/>
  <c r="N495" i="6"/>
  <c r="Q495" i="6"/>
  <c r="R495" i="6"/>
  <c r="S495" i="6"/>
  <c r="T495" i="6"/>
  <c r="C496" i="6"/>
  <c r="D496" i="6"/>
  <c r="E496" i="6"/>
  <c r="F496" i="6"/>
  <c r="H496" i="6"/>
  <c r="I496" i="6"/>
  <c r="N496" i="6"/>
  <c r="Q496" i="6"/>
  <c r="R496" i="6"/>
  <c r="S496" i="6"/>
  <c r="T496" i="6"/>
  <c r="C497" i="6"/>
  <c r="D497" i="6"/>
  <c r="E497" i="6"/>
  <c r="F497" i="6"/>
  <c r="H497" i="6"/>
  <c r="I497" i="6"/>
  <c r="N497" i="6"/>
  <c r="Q497" i="6"/>
  <c r="R497" i="6"/>
  <c r="S497" i="6"/>
  <c r="T497" i="6"/>
  <c r="C498" i="6"/>
  <c r="D498" i="6"/>
  <c r="E498" i="6"/>
  <c r="F498" i="6"/>
  <c r="H498" i="6"/>
  <c r="I498" i="6"/>
  <c r="N498" i="6"/>
  <c r="Q498" i="6"/>
  <c r="R498" i="6"/>
  <c r="S498" i="6"/>
  <c r="T498" i="6"/>
  <c r="C499" i="6"/>
  <c r="D499" i="6"/>
  <c r="E499" i="6"/>
  <c r="F499" i="6"/>
  <c r="H499" i="6"/>
  <c r="I499" i="6"/>
  <c r="N499" i="6"/>
  <c r="Q499" i="6"/>
  <c r="R499" i="6"/>
  <c r="S499" i="6"/>
  <c r="T499" i="6"/>
  <c r="C500" i="6"/>
  <c r="D500" i="6"/>
  <c r="E500" i="6"/>
  <c r="F500" i="6"/>
  <c r="H500" i="6"/>
  <c r="I500" i="6"/>
  <c r="N500" i="6"/>
  <c r="Q500" i="6"/>
  <c r="R500" i="6"/>
  <c r="T500" i="6"/>
  <c r="C501" i="6"/>
  <c r="D501" i="6"/>
  <c r="E501" i="6"/>
  <c r="F501" i="6"/>
  <c r="H501" i="6"/>
  <c r="I501" i="6"/>
  <c r="N501" i="6"/>
  <c r="Q501" i="6"/>
  <c r="R501" i="6"/>
  <c r="S501" i="6"/>
  <c r="T501" i="6"/>
  <c r="C502" i="6"/>
  <c r="D502" i="6"/>
  <c r="E502" i="6"/>
  <c r="F502" i="6"/>
  <c r="H502" i="6"/>
  <c r="I502" i="6"/>
  <c r="N502" i="6"/>
  <c r="Q502" i="6"/>
  <c r="S502" i="6" s="1"/>
  <c r="R502" i="6"/>
  <c r="T502" i="6"/>
  <c r="C503" i="6"/>
  <c r="D503" i="6"/>
  <c r="E503" i="6"/>
  <c r="F503" i="6"/>
  <c r="H503" i="6"/>
  <c r="I503" i="6"/>
  <c r="N503" i="6"/>
  <c r="Q503" i="6"/>
  <c r="R503" i="6"/>
  <c r="S503" i="6"/>
  <c r="T503" i="6"/>
  <c r="C504" i="6"/>
  <c r="D504" i="6"/>
  <c r="E504" i="6"/>
  <c r="F504" i="6"/>
  <c r="H504" i="6"/>
  <c r="I504" i="6"/>
  <c r="N504" i="6"/>
  <c r="Q504" i="6"/>
  <c r="R504" i="6"/>
  <c r="T504" i="6"/>
  <c r="C505" i="6"/>
  <c r="D505" i="6"/>
  <c r="E505" i="6"/>
  <c r="F505" i="6"/>
  <c r="H505" i="6"/>
  <c r="I505" i="6"/>
  <c r="N505" i="6"/>
  <c r="Q505" i="6"/>
  <c r="R505" i="6"/>
  <c r="S505" i="6"/>
  <c r="T505" i="6"/>
  <c r="C506" i="6"/>
  <c r="D506" i="6"/>
  <c r="E506" i="6"/>
  <c r="F506" i="6"/>
  <c r="H506" i="6"/>
  <c r="I506" i="6"/>
  <c r="N506" i="6"/>
  <c r="Q506" i="6"/>
  <c r="R506" i="6"/>
  <c r="S506" i="6"/>
  <c r="T506" i="6"/>
  <c r="C507" i="6"/>
  <c r="L507" i="6" s="1"/>
  <c r="D507" i="6"/>
  <c r="E507" i="6"/>
  <c r="F507" i="6"/>
  <c r="H507" i="6"/>
  <c r="I507" i="6"/>
  <c r="N507" i="6"/>
  <c r="Q507" i="6"/>
  <c r="R507" i="6"/>
  <c r="S507" i="6"/>
  <c r="T507" i="6"/>
  <c r="C508" i="6"/>
  <c r="D508" i="6"/>
  <c r="E508" i="6"/>
  <c r="F508" i="6"/>
  <c r="H508" i="6"/>
  <c r="I508" i="6"/>
  <c r="N508" i="6"/>
  <c r="Q508" i="6"/>
  <c r="R508" i="6"/>
  <c r="S508" i="6"/>
  <c r="T508" i="6"/>
  <c r="C509" i="6"/>
  <c r="D509" i="6"/>
  <c r="E509" i="6"/>
  <c r="F509" i="6"/>
  <c r="H509" i="6"/>
  <c r="I509" i="6"/>
  <c r="L509" i="6"/>
  <c r="N509" i="6"/>
  <c r="Q509" i="6"/>
  <c r="R509" i="6"/>
  <c r="S509" i="6"/>
  <c r="T509" i="6"/>
  <c r="C510" i="6"/>
  <c r="D510" i="6"/>
  <c r="E510" i="6"/>
  <c r="F510" i="6"/>
  <c r="H510" i="6"/>
  <c r="I510" i="6"/>
  <c r="N510" i="6"/>
  <c r="Q510" i="6"/>
  <c r="R510" i="6"/>
  <c r="S510" i="6"/>
  <c r="T510" i="6"/>
  <c r="C511" i="6"/>
  <c r="D511" i="6"/>
  <c r="E511" i="6"/>
  <c r="F511" i="6"/>
  <c r="L511" i="6" s="1"/>
  <c r="H511" i="6"/>
  <c r="I511" i="6"/>
  <c r="N511" i="6"/>
  <c r="Q511" i="6"/>
  <c r="R511" i="6"/>
  <c r="S511" i="6"/>
  <c r="T511" i="6"/>
  <c r="C512" i="6"/>
  <c r="D512" i="6"/>
  <c r="E512" i="6"/>
  <c r="F512" i="6"/>
  <c r="H512" i="6"/>
  <c r="I512" i="6"/>
  <c r="N512" i="6"/>
  <c r="Q512" i="6"/>
  <c r="R512" i="6"/>
  <c r="S512" i="6"/>
  <c r="T512" i="6"/>
  <c r="C513" i="6"/>
  <c r="L513" i="6" s="1"/>
  <c r="D513" i="6"/>
  <c r="E513" i="6"/>
  <c r="F513" i="6"/>
  <c r="H513" i="6"/>
  <c r="I513" i="6"/>
  <c r="N513" i="6"/>
  <c r="Q513" i="6"/>
  <c r="R513" i="6"/>
  <c r="S513" i="6"/>
  <c r="T513" i="6"/>
  <c r="C514" i="6"/>
  <c r="D514" i="6"/>
  <c r="E514" i="6"/>
  <c r="F514" i="6"/>
  <c r="H514" i="6"/>
  <c r="I514" i="6"/>
  <c r="N514" i="6"/>
  <c r="Q514" i="6"/>
  <c r="R514" i="6"/>
  <c r="S514" i="6"/>
  <c r="T514" i="6"/>
  <c r="C515" i="6"/>
  <c r="D515" i="6"/>
  <c r="E515" i="6"/>
  <c r="F515" i="6"/>
  <c r="H515" i="6"/>
  <c r="I515" i="6"/>
  <c r="N515" i="6"/>
  <c r="Q515" i="6"/>
  <c r="R515" i="6"/>
  <c r="S515" i="6"/>
  <c r="T515" i="6"/>
  <c r="C516" i="6"/>
  <c r="D516" i="6"/>
  <c r="E516" i="6"/>
  <c r="F516" i="6"/>
  <c r="H516" i="6"/>
  <c r="I516" i="6"/>
  <c r="N516" i="6"/>
  <c r="Q516" i="6"/>
  <c r="S516" i="6" s="1"/>
  <c r="R516" i="6"/>
  <c r="T516" i="6"/>
  <c r="C517" i="6"/>
  <c r="D517" i="6"/>
  <c r="E517" i="6"/>
  <c r="F517" i="6"/>
  <c r="H517" i="6"/>
  <c r="I517" i="6"/>
  <c r="N517" i="6"/>
  <c r="Q517" i="6"/>
  <c r="R517" i="6"/>
  <c r="S517" i="6"/>
  <c r="T517" i="6"/>
  <c r="C518" i="6"/>
  <c r="D518" i="6"/>
  <c r="E518" i="6"/>
  <c r="F518" i="6"/>
  <c r="H518" i="6"/>
  <c r="I518" i="6"/>
  <c r="N518" i="6"/>
  <c r="Q518" i="6"/>
  <c r="S518" i="6" s="1"/>
  <c r="R518" i="6"/>
  <c r="T518" i="6"/>
  <c r="C519" i="6"/>
  <c r="D519" i="6"/>
  <c r="E519" i="6"/>
  <c r="F519" i="6"/>
  <c r="H519" i="6"/>
  <c r="I519" i="6"/>
  <c r="N519" i="6"/>
  <c r="Q519" i="6"/>
  <c r="R519" i="6"/>
  <c r="S519" i="6"/>
  <c r="T519" i="6"/>
  <c r="C520" i="6"/>
  <c r="L520" i="6" s="1"/>
  <c r="D520" i="6"/>
  <c r="E520" i="6"/>
  <c r="F520" i="6"/>
  <c r="H520" i="6"/>
  <c r="I520" i="6"/>
  <c r="N520" i="6"/>
  <c r="Q520" i="6"/>
  <c r="S520" i="6" s="1"/>
  <c r="R520" i="6"/>
  <c r="T520" i="6"/>
  <c r="C521" i="6"/>
  <c r="D521" i="6"/>
  <c r="E521" i="6"/>
  <c r="F521" i="6"/>
  <c r="H521" i="6"/>
  <c r="I521" i="6"/>
  <c r="N521" i="6"/>
  <c r="Q521" i="6"/>
  <c r="R521" i="6"/>
  <c r="S521" i="6"/>
  <c r="T521" i="6"/>
  <c r="C522" i="6"/>
  <c r="D522" i="6"/>
  <c r="E522" i="6"/>
  <c r="F522" i="6"/>
  <c r="H522" i="6"/>
  <c r="I522" i="6"/>
  <c r="N522" i="6"/>
  <c r="Q522" i="6"/>
  <c r="S522" i="6" s="1"/>
  <c r="R522" i="6"/>
  <c r="T522" i="6"/>
  <c r="C523" i="6"/>
  <c r="D523" i="6"/>
  <c r="E523" i="6"/>
  <c r="F523" i="6"/>
  <c r="H523" i="6"/>
  <c r="I523" i="6"/>
  <c r="N523" i="6"/>
  <c r="Q523" i="6"/>
  <c r="R523" i="6"/>
  <c r="S523" i="6"/>
  <c r="T523" i="6"/>
  <c r="C524" i="6"/>
  <c r="D524" i="6"/>
  <c r="E524" i="6"/>
  <c r="F524" i="6"/>
  <c r="H524" i="6"/>
  <c r="I524" i="6"/>
  <c r="N524" i="6"/>
  <c r="Q524" i="6"/>
  <c r="S524" i="6" s="1"/>
  <c r="R524" i="6"/>
  <c r="T524" i="6"/>
  <c r="C525" i="6"/>
  <c r="D525" i="6"/>
  <c r="E525" i="6"/>
  <c r="F525" i="6"/>
  <c r="H525" i="6"/>
  <c r="L525" i="6" s="1"/>
  <c r="I525" i="6"/>
  <c r="N525" i="6"/>
  <c r="Q525" i="6"/>
  <c r="R525" i="6"/>
  <c r="S525" i="6"/>
  <c r="T525" i="6"/>
  <c r="C526" i="6"/>
  <c r="D526" i="6"/>
  <c r="E526" i="6"/>
  <c r="F526" i="6"/>
  <c r="H526" i="6"/>
  <c r="I526" i="6"/>
  <c r="N526" i="6"/>
  <c r="Q526" i="6"/>
  <c r="R526" i="6"/>
  <c r="S526" i="6"/>
  <c r="T526" i="6"/>
  <c r="C527" i="6"/>
  <c r="D527" i="6"/>
  <c r="E527" i="6"/>
  <c r="F527" i="6"/>
  <c r="H527" i="6"/>
  <c r="I527" i="6"/>
  <c r="L527" i="6"/>
  <c r="N527" i="6"/>
  <c r="Q527" i="6"/>
  <c r="R527" i="6"/>
  <c r="S527" i="6"/>
  <c r="T527" i="6"/>
  <c r="C528" i="6"/>
  <c r="D528" i="6"/>
  <c r="E528" i="6"/>
  <c r="F528" i="6"/>
  <c r="H528" i="6"/>
  <c r="I528" i="6"/>
  <c r="N528" i="6"/>
  <c r="Q528" i="6"/>
  <c r="R528" i="6"/>
  <c r="S528" i="6"/>
  <c r="T528" i="6"/>
  <c r="C529" i="6"/>
  <c r="D529" i="6"/>
  <c r="E529" i="6"/>
  <c r="F529" i="6"/>
  <c r="L529" i="6" s="1"/>
  <c r="H529" i="6"/>
  <c r="I529" i="6"/>
  <c r="N529" i="6"/>
  <c r="Q529" i="6"/>
  <c r="R529" i="6"/>
  <c r="S529" i="6"/>
  <c r="T529" i="6"/>
  <c r="C530" i="6"/>
  <c r="D530" i="6"/>
  <c r="E530" i="6"/>
  <c r="F530" i="6"/>
  <c r="H530" i="6"/>
  <c r="I530" i="6"/>
  <c r="N530" i="6"/>
  <c r="Q530" i="6"/>
  <c r="R530" i="6"/>
  <c r="S530" i="6"/>
  <c r="T530" i="6"/>
  <c r="C531" i="6"/>
  <c r="D531" i="6"/>
  <c r="E531" i="6"/>
  <c r="F531" i="6"/>
  <c r="H531" i="6"/>
  <c r="I531" i="6"/>
  <c r="N531" i="6"/>
  <c r="Q531" i="6"/>
  <c r="R531" i="6"/>
  <c r="S531" i="6"/>
  <c r="T531" i="6"/>
  <c r="C532" i="6"/>
  <c r="D532" i="6"/>
  <c r="E532" i="6"/>
  <c r="F532" i="6"/>
  <c r="H532" i="6"/>
  <c r="I532" i="6"/>
  <c r="N532" i="6"/>
  <c r="Q532" i="6"/>
  <c r="S532" i="6" s="1"/>
  <c r="R532" i="6"/>
  <c r="T532" i="6"/>
  <c r="C533" i="6"/>
  <c r="D533" i="6"/>
  <c r="E533" i="6"/>
  <c r="F533" i="6"/>
  <c r="L533" i="6" s="1"/>
  <c r="H533" i="6"/>
  <c r="I533" i="6"/>
  <c r="N533" i="6"/>
  <c r="Q533" i="6"/>
  <c r="R533" i="6"/>
  <c r="S533" i="6"/>
  <c r="T533" i="6"/>
  <c r="C534" i="6"/>
  <c r="L534" i="6" s="1"/>
  <c r="D534" i="6"/>
  <c r="E534" i="6"/>
  <c r="F534" i="6"/>
  <c r="H534" i="6"/>
  <c r="I534" i="6"/>
  <c r="N534" i="6"/>
  <c r="Q534" i="6"/>
  <c r="S534" i="6" s="1"/>
  <c r="R534" i="6"/>
  <c r="T534" i="6"/>
  <c r="C535" i="6"/>
  <c r="D535" i="6"/>
  <c r="E535" i="6"/>
  <c r="F535" i="6"/>
  <c r="H535" i="6"/>
  <c r="I535" i="6"/>
  <c r="N535" i="6"/>
  <c r="Q535" i="6"/>
  <c r="R535" i="6"/>
  <c r="S535" i="6"/>
  <c r="T535" i="6"/>
  <c r="C536" i="6"/>
  <c r="D536" i="6"/>
  <c r="E536" i="6"/>
  <c r="F536" i="6"/>
  <c r="H536" i="6"/>
  <c r="I536" i="6"/>
  <c r="N536" i="6"/>
  <c r="Q536" i="6"/>
  <c r="R536" i="6"/>
  <c r="S536" i="6"/>
  <c r="T536" i="6"/>
  <c r="C537" i="6"/>
  <c r="L537" i="6" s="1"/>
  <c r="D537" i="6"/>
  <c r="E537" i="6"/>
  <c r="F537" i="6"/>
  <c r="H537" i="6"/>
  <c r="I537" i="6"/>
  <c r="N537" i="6"/>
  <c r="Q537" i="6"/>
  <c r="R537" i="6"/>
  <c r="S537" i="6"/>
  <c r="T537" i="6"/>
  <c r="C538" i="6"/>
  <c r="D538" i="6"/>
  <c r="E538" i="6"/>
  <c r="F538" i="6"/>
  <c r="H538" i="6"/>
  <c r="I538" i="6"/>
  <c r="N538" i="6"/>
  <c r="Q538" i="6"/>
  <c r="S538" i="6" s="1"/>
  <c r="R538" i="6"/>
  <c r="T538" i="6"/>
  <c r="C539" i="6"/>
  <c r="D539" i="6"/>
  <c r="E539" i="6"/>
  <c r="F539" i="6"/>
  <c r="H539" i="6"/>
  <c r="I539" i="6"/>
  <c r="N539" i="6"/>
  <c r="Q539" i="6"/>
  <c r="R539" i="6"/>
  <c r="S539" i="6"/>
  <c r="T539" i="6"/>
  <c r="C540" i="6"/>
  <c r="D540" i="6"/>
  <c r="E540" i="6"/>
  <c r="F540" i="6"/>
  <c r="H540" i="6"/>
  <c r="I540" i="6"/>
  <c r="N540" i="6"/>
  <c r="Q540" i="6"/>
  <c r="R540" i="6"/>
  <c r="S540" i="6"/>
  <c r="T540" i="6"/>
  <c r="C541" i="6"/>
  <c r="L541" i="6" s="1"/>
  <c r="D541" i="6"/>
  <c r="E541" i="6"/>
  <c r="F541" i="6"/>
  <c r="H541" i="6"/>
  <c r="I541" i="6"/>
  <c r="N541" i="6"/>
  <c r="Q541" i="6"/>
  <c r="R541" i="6"/>
  <c r="S541" i="6"/>
  <c r="T541" i="6"/>
  <c r="C542" i="6"/>
  <c r="D542" i="6"/>
  <c r="E542" i="6"/>
  <c r="F542" i="6"/>
  <c r="H542" i="6"/>
  <c r="I542" i="6"/>
  <c r="N542" i="6"/>
  <c r="Q542" i="6"/>
  <c r="R542" i="6"/>
  <c r="S542" i="6"/>
  <c r="T542" i="6"/>
  <c r="C543" i="6"/>
  <c r="D543" i="6"/>
  <c r="E543" i="6"/>
  <c r="F543" i="6"/>
  <c r="H543" i="6"/>
  <c r="I543" i="6"/>
  <c r="N543" i="6"/>
  <c r="Q543" i="6"/>
  <c r="R543" i="6"/>
  <c r="S543" i="6"/>
  <c r="T543" i="6"/>
  <c r="C544" i="6"/>
  <c r="D544" i="6"/>
  <c r="E544" i="6"/>
  <c r="F544" i="6"/>
  <c r="H544" i="6"/>
  <c r="I544" i="6"/>
  <c r="N544" i="6"/>
  <c r="Q544" i="6"/>
  <c r="R544" i="6"/>
  <c r="S544" i="6"/>
  <c r="T544" i="6"/>
  <c r="C545" i="6"/>
  <c r="D545" i="6"/>
  <c r="E545" i="6"/>
  <c r="F545" i="6"/>
  <c r="H545" i="6"/>
  <c r="I545" i="6"/>
  <c r="L545" i="6"/>
  <c r="N545" i="6"/>
  <c r="Q545" i="6"/>
  <c r="R545" i="6"/>
  <c r="S545" i="6"/>
  <c r="T545" i="6"/>
  <c r="C546" i="6"/>
  <c r="D546" i="6"/>
  <c r="E546" i="6"/>
  <c r="F546" i="6"/>
  <c r="H546" i="6"/>
  <c r="I546" i="6"/>
  <c r="N546" i="6"/>
  <c r="Q546" i="6"/>
  <c r="R546" i="6"/>
  <c r="S546" i="6"/>
  <c r="T546" i="6"/>
  <c r="C547" i="6"/>
  <c r="D547" i="6"/>
  <c r="E547" i="6"/>
  <c r="F547" i="6"/>
  <c r="L547" i="6" s="1"/>
  <c r="H547" i="6"/>
  <c r="I547" i="6"/>
  <c r="N547" i="6"/>
  <c r="Q547" i="6"/>
  <c r="R547" i="6"/>
  <c r="S547" i="6"/>
  <c r="T547" i="6"/>
  <c r="C548" i="6"/>
  <c r="D548" i="6"/>
  <c r="E548" i="6"/>
  <c r="F548" i="6"/>
  <c r="H548" i="6"/>
  <c r="I548" i="6"/>
  <c r="N548" i="6"/>
  <c r="Q548" i="6"/>
  <c r="S548" i="6" s="1"/>
  <c r="R548" i="6"/>
  <c r="T548" i="6"/>
  <c r="C549" i="6"/>
  <c r="D549" i="6"/>
  <c r="E549" i="6"/>
  <c r="F549" i="6"/>
  <c r="H549" i="6"/>
  <c r="I549" i="6"/>
  <c r="N549" i="6"/>
  <c r="Q549" i="6"/>
  <c r="R549" i="6"/>
  <c r="S549" i="6"/>
  <c r="T549" i="6"/>
  <c r="C550" i="6"/>
  <c r="D550" i="6"/>
  <c r="E550" i="6"/>
  <c r="F550" i="6"/>
  <c r="H550" i="6"/>
  <c r="I550" i="6"/>
  <c r="N550" i="6"/>
  <c r="Q550" i="6"/>
  <c r="S550" i="6" s="1"/>
  <c r="R550" i="6"/>
  <c r="T550" i="6"/>
  <c r="C551" i="6"/>
  <c r="D551" i="6"/>
  <c r="E551" i="6"/>
  <c r="F551" i="6"/>
  <c r="H551" i="6"/>
  <c r="I551" i="6"/>
  <c r="N551" i="6"/>
  <c r="Q551" i="6"/>
  <c r="R551" i="6"/>
  <c r="S551" i="6"/>
  <c r="T551" i="6"/>
  <c r="C552" i="6"/>
  <c r="D552" i="6"/>
  <c r="E552" i="6"/>
  <c r="F552" i="6"/>
  <c r="H552" i="6"/>
  <c r="I552" i="6"/>
  <c r="N552" i="6"/>
  <c r="Q552" i="6"/>
  <c r="S552" i="6" s="1"/>
  <c r="R552" i="6"/>
  <c r="T552" i="6"/>
  <c r="C553" i="6"/>
  <c r="D553" i="6"/>
  <c r="E553" i="6"/>
  <c r="F553" i="6"/>
  <c r="H553" i="6"/>
  <c r="I553" i="6"/>
  <c r="N553" i="6"/>
  <c r="Q553" i="6"/>
  <c r="R553" i="6"/>
  <c r="S553" i="6"/>
  <c r="T553" i="6"/>
  <c r="C554" i="6"/>
  <c r="D554" i="6"/>
  <c r="E554" i="6"/>
  <c r="F554" i="6"/>
  <c r="H554" i="6"/>
  <c r="I554" i="6"/>
  <c r="N554" i="6"/>
  <c r="Q554" i="6"/>
  <c r="S554" i="6" s="1"/>
  <c r="R554" i="6"/>
  <c r="T554" i="6"/>
  <c r="C555" i="6"/>
  <c r="D555" i="6"/>
  <c r="E555" i="6"/>
  <c r="F555" i="6"/>
  <c r="H555" i="6"/>
  <c r="L555" i="6" s="1"/>
  <c r="I555" i="6"/>
  <c r="N555" i="6"/>
  <c r="Q555" i="6"/>
  <c r="R555" i="6"/>
  <c r="S555" i="6"/>
  <c r="T555" i="6"/>
  <c r="C556" i="6"/>
  <c r="D556" i="6"/>
  <c r="E556" i="6"/>
  <c r="F556" i="6"/>
  <c r="H556" i="6"/>
  <c r="I556" i="6"/>
  <c r="N556" i="6"/>
  <c r="Q556" i="6"/>
  <c r="R556" i="6"/>
  <c r="S556" i="6"/>
  <c r="T556" i="6"/>
  <c r="C557" i="6"/>
  <c r="D557" i="6"/>
  <c r="E557" i="6"/>
  <c r="F557" i="6"/>
  <c r="H557" i="6"/>
  <c r="I557" i="6"/>
  <c r="L557" i="6"/>
  <c r="N557" i="6"/>
  <c r="Q557" i="6"/>
  <c r="R557" i="6"/>
  <c r="S557" i="6"/>
  <c r="T557" i="6"/>
  <c r="C558" i="6"/>
  <c r="D558" i="6"/>
  <c r="E558" i="6"/>
  <c r="F558" i="6"/>
  <c r="H558" i="6"/>
  <c r="I558" i="6"/>
  <c r="N558" i="6"/>
  <c r="Q558" i="6"/>
  <c r="R558" i="6"/>
  <c r="S558" i="6"/>
  <c r="T558" i="6"/>
  <c r="C559" i="6"/>
  <c r="D559" i="6"/>
  <c r="E559" i="6"/>
  <c r="F559" i="6"/>
  <c r="L559" i="6" s="1"/>
  <c r="H559" i="6"/>
  <c r="I559" i="6"/>
  <c r="N559" i="6"/>
  <c r="Q559" i="6"/>
  <c r="R559" i="6"/>
  <c r="S559" i="6"/>
  <c r="T559" i="6"/>
  <c r="C560" i="6"/>
  <c r="D560" i="6"/>
  <c r="E560" i="6"/>
  <c r="F560" i="6"/>
  <c r="H560" i="6"/>
  <c r="I560" i="6"/>
  <c r="N560" i="6"/>
  <c r="Q560" i="6"/>
  <c r="R560" i="6"/>
  <c r="S560" i="6"/>
  <c r="T560" i="6"/>
  <c r="C561" i="6"/>
  <c r="L561" i="6" s="1"/>
  <c r="D561" i="6"/>
  <c r="E561" i="6"/>
  <c r="F561" i="6"/>
  <c r="H561" i="6"/>
  <c r="I561" i="6"/>
  <c r="N561" i="6"/>
  <c r="Q561" i="6"/>
  <c r="R561" i="6"/>
  <c r="S561" i="6"/>
  <c r="T561" i="6"/>
  <c r="C562" i="6"/>
  <c r="D562" i="6"/>
  <c r="E562" i="6"/>
  <c r="F562" i="6"/>
  <c r="H562" i="6"/>
  <c r="I562" i="6"/>
  <c r="N562" i="6"/>
  <c r="Q562" i="6"/>
  <c r="R562" i="6"/>
  <c r="S562" i="6"/>
  <c r="T562" i="6"/>
  <c r="C563" i="6"/>
  <c r="D563" i="6"/>
  <c r="E563" i="6"/>
  <c r="F563" i="6"/>
  <c r="H563" i="6"/>
  <c r="I563" i="6"/>
  <c r="N563" i="6"/>
  <c r="Q563" i="6"/>
  <c r="R563" i="6"/>
  <c r="S563" i="6"/>
  <c r="T563" i="6"/>
  <c r="C564" i="6"/>
  <c r="D564" i="6"/>
  <c r="E564" i="6"/>
  <c r="F564" i="6"/>
  <c r="H564" i="6"/>
  <c r="I564" i="6"/>
  <c r="N564" i="6"/>
  <c r="Q564" i="6"/>
  <c r="S564" i="6" s="1"/>
  <c r="R564" i="6"/>
  <c r="T564" i="6"/>
  <c r="C565" i="6"/>
  <c r="D565" i="6"/>
  <c r="E565" i="6"/>
  <c r="F565" i="6"/>
  <c r="H565" i="6"/>
  <c r="I565" i="6"/>
  <c r="N565" i="6"/>
  <c r="Q565" i="6"/>
  <c r="R565" i="6"/>
  <c r="S565" i="6"/>
  <c r="T565" i="6"/>
  <c r="C566" i="6"/>
  <c r="D566" i="6"/>
  <c r="E566" i="6"/>
  <c r="F566" i="6"/>
  <c r="H566" i="6"/>
  <c r="I566" i="6"/>
  <c r="N566" i="6"/>
  <c r="Q566" i="6"/>
  <c r="S566" i="6" s="1"/>
  <c r="R566" i="6"/>
  <c r="T566" i="6"/>
  <c r="C567" i="6"/>
  <c r="D567" i="6"/>
  <c r="E567" i="6"/>
  <c r="F567" i="6"/>
  <c r="H567" i="6"/>
  <c r="I567" i="6"/>
  <c r="N567" i="6"/>
  <c r="Q567" i="6"/>
  <c r="R567" i="6"/>
  <c r="S567" i="6"/>
  <c r="T567" i="6"/>
  <c r="C568" i="6"/>
  <c r="L568" i="6" s="1"/>
  <c r="D568" i="6"/>
  <c r="E568" i="6"/>
  <c r="F568" i="6"/>
  <c r="H568" i="6"/>
  <c r="I568" i="6"/>
  <c r="N568" i="6"/>
  <c r="Q568" i="6"/>
  <c r="R568" i="6"/>
  <c r="S568" i="6"/>
  <c r="T568" i="6"/>
  <c r="C569" i="6"/>
  <c r="L569" i="6" s="1"/>
  <c r="D569" i="6"/>
  <c r="E569" i="6"/>
  <c r="F569" i="6"/>
  <c r="H569" i="6"/>
  <c r="I569" i="6"/>
  <c r="N569" i="6"/>
  <c r="Q569" i="6"/>
  <c r="R569" i="6"/>
  <c r="S569" i="6"/>
  <c r="T569" i="6"/>
  <c r="C570" i="6"/>
  <c r="D570" i="6"/>
  <c r="E570" i="6"/>
  <c r="F570" i="6"/>
  <c r="H570" i="6"/>
  <c r="I570" i="6"/>
  <c r="N570" i="6"/>
  <c r="Q570" i="6"/>
  <c r="S570" i="6" s="1"/>
  <c r="R570" i="6"/>
  <c r="T570" i="6"/>
  <c r="C571" i="6"/>
  <c r="D571" i="6"/>
  <c r="E571" i="6"/>
  <c r="F571" i="6"/>
  <c r="L571" i="6" s="1"/>
  <c r="H571" i="6"/>
  <c r="I571" i="6"/>
  <c r="N571" i="6"/>
  <c r="Q571" i="6"/>
  <c r="R571" i="6"/>
  <c r="S571" i="6"/>
  <c r="T571" i="6"/>
  <c r="C572" i="6"/>
  <c r="L572" i="6" s="1"/>
  <c r="D572" i="6"/>
  <c r="E572" i="6"/>
  <c r="F572" i="6"/>
  <c r="H572" i="6"/>
  <c r="I572" i="6"/>
  <c r="N572" i="6"/>
  <c r="Q572" i="6"/>
  <c r="S572" i="6" s="1"/>
  <c r="R572" i="6"/>
  <c r="T572" i="6"/>
  <c r="C573" i="6"/>
  <c r="D573" i="6"/>
  <c r="E573" i="6"/>
  <c r="F573" i="6"/>
  <c r="H573" i="6"/>
  <c r="I573" i="6"/>
  <c r="N573" i="6"/>
  <c r="Q573" i="6"/>
  <c r="R573" i="6"/>
  <c r="S573" i="6"/>
  <c r="T573" i="6"/>
  <c r="C574" i="6"/>
  <c r="D574" i="6"/>
  <c r="E574" i="6"/>
  <c r="F574" i="6"/>
  <c r="H574" i="6"/>
  <c r="I574" i="6"/>
  <c r="N574" i="6"/>
  <c r="Q574" i="6"/>
  <c r="R574" i="6"/>
  <c r="S574" i="6"/>
  <c r="T574" i="6"/>
  <c r="C575" i="6"/>
  <c r="L575" i="6" s="1"/>
  <c r="D575" i="6"/>
  <c r="E575" i="6"/>
  <c r="F575" i="6"/>
  <c r="H575" i="6"/>
  <c r="I575" i="6"/>
  <c r="N575" i="6"/>
  <c r="Q575" i="6"/>
  <c r="R575" i="6"/>
  <c r="S575" i="6"/>
  <c r="T575" i="6"/>
  <c r="C576" i="6"/>
  <c r="D576" i="6"/>
  <c r="E576" i="6"/>
  <c r="F576" i="6"/>
  <c r="H576" i="6"/>
  <c r="I576" i="6"/>
  <c r="N576" i="6"/>
  <c r="Q576" i="6"/>
  <c r="R576" i="6"/>
  <c r="S576" i="6"/>
  <c r="T576" i="6"/>
  <c r="C577" i="6"/>
  <c r="L577" i="6" s="1"/>
  <c r="D577" i="6"/>
  <c r="E577" i="6"/>
  <c r="F577" i="6"/>
  <c r="H577" i="6"/>
  <c r="I577" i="6"/>
  <c r="N577" i="6"/>
  <c r="Q577" i="6"/>
  <c r="R577" i="6"/>
  <c r="S577" i="6"/>
  <c r="T577" i="6"/>
  <c r="C578" i="6"/>
  <c r="D578" i="6"/>
  <c r="E578" i="6"/>
  <c r="F578" i="6"/>
  <c r="H578" i="6"/>
  <c r="I578" i="6"/>
  <c r="N578" i="6"/>
  <c r="Q578" i="6"/>
  <c r="R578" i="6"/>
  <c r="S578" i="6"/>
  <c r="T578" i="6"/>
  <c r="C579" i="6"/>
  <c r="D579" i="6"/>
  <c r="E579" i="6"/>
  <c r="F579" i="6"/>
  <c r="H579" i="6"/>
  <c r="I579" i="6"/>
  <c r="N579" i="6"/>
  <c r="Q579" i="6"/>
  <c r="R579" i="6"/>
  <c r="S579" i="6"/>
  <c r="T579" i="6"/>
  <c r="C580" i="6"/>
  <c r="D580" i="6"/>
  <c r="E580" i="6"/>
  <c r="F580" i="6"/>
  <c r="H580" i="6"/>
  <c r="I580" i="6"/>
  <c r="N580" i="6"/>
  <c r="Q580" i="6"/>
  <c r="S580" i="6" s="1"/>
  <c r="R580" i="6"/>
  <c r="T580" i="6"/>
  <c r="C581" i="6"/>
  <c r="D581" i="6"/>
  <c r="E581" i="6"/>
  <c r="F581" i="6"/>
  <c r="H581" i="6"/>
  <c r="I581" i="6"/>
  <c r="N581" i="6"/>
  <c r="Q581" i="6"/>
  <c r="R581" i="6"/>
  <c r="S581" i="6"/>
  <c r="T581" i="6"/>
  <c r="C582" i="6"/>
  <c r="D582" i="6"/>
  <c r="E582" i="6"/>
  <c r="F582" i="6"/>
  <c r="H582" i="6"/>
  <c r="I582" i="6"/>
  <c r="N582" i="6"/>
  <c r="Q582" i="6"/>
  <c r="S582" i="6" s="1"/>
  <c r="R582" i="6"/>
  <c r="T582" i="6"/>
  <c r="C583" i="6"/>
  <c r="D583" i="6"/>
  <c r="E583" i="6"/>
  <c r="F583" i="6"/>
  <c r="H583" i="6"/>
  <c r="I583" i="6"/>
  <c r="N583" i="6"/>
  <c r="Q583" i="6"/>
  <c r="R583" i="6"/>
  <c r="S583" i="6"/>
  <c r="T583" i="6"/>
  <c r="C584" i="6"/>
  <c r="D584" i="6"/>
  <c r="E584" i="6"/>
  <c r="F584" i="6"/>
  <c r="H584" i="6"/>
  <c r="I584" i="6"/>
  <c r="N584" i="6"/>
  <c r="Q584" i="6"/>
  <c r="R584" i="6"/>
  <c r="S584" i="6"/>
  <c r="T584" i="6"/>
  <c r="C585" i="6"/>
  <c r="D585" i="6"/>
  <c r="E585" i="6"/>
  <c r="F585" i="6"/>
  <c r="H585" i="6"/>
  <c r="I585" i="6"/>
  <c r="L585" i="6"/>
  <c r="N585" i="6"/>
  <c r="Q585" i="6"/>
  <c r="R585" i="6"/>
  <c r="S585" i="6"/>
  <c r="T585" i="6"/>
  <c r="C586" i="6"/>
  <c r="D586" i="6"/>
  <c r="E586" i="6"/>
  <c r="F586" i="6"/>
  <c r="H586" i="6"/>
  <c r="I586" i="6"/>
  <c r="N586" i="6"/>
  <c r="Q586" i="6"/>
  <c r="R586" i="6"/>
  <c r="S586" i="6"/>
  <c r="T586" i="6"/>
  <c r="C587" i="6"/>
  <c r="D587" i="6"/>
  <c r="E587" i="6"/>
  <c r="F587" i="6"/>
  <c r="L587" i="6" s="1"/>
  <c r="H587" i="6"/>
  <c r="I587" i="6"/>
  <c r="N587" i="6"/>
  <c r="Q587" i="6"/>
  <c r="R587" i="6"/>
  <c r="S587" i="6"/>
  <c r="T587" i="6"/>
  <c r="C588" i="6"/>
  <c r="D588" i="6"/>
  <c r="E588" i="6"/>
  <c r="F588" i="6"/>
  <c r="H588" i="6"/>
  <c r="I588" i="6"/>
  <c r="N588" i="6"/>
  <c r="Q588" i="6"/>
  <c r="S588" i="6" s="1"/>
  <c r="R588" i="6"/>
  <c r="T588" i="6"/>
  <c r="C589" i="6"/>
  <c r="D589" i="6"/>
  <c r="E589" i="6"/>
  <c r="F589" i="6"/>
  <c r="H589" i="6"/>
  <c r="I589" i="6"/>
  <c r="N589" i="6"/>
  <c r="Q589" i="6"/>
  <c r="R589" i="6"/>
  <c r="S589" i="6"/>
  <c r="T589" i="6"/>
  <c r="C590" i="6"/>
  <c r="D590" i="6"/>
  <c r="E590" i="6"/>
  <c r="F590" i="6"/>
  <c r="H590" i="6"/>
  <c r="I590" i="6"/>
  <c r="N590" i="6"/>
  <c r="Q590" i="6"/>
  <c r="R590" i="6"/>
  <c r="S590" i="6"/>
  <c r="T590" i="6"/>
  <c r="C591" i="6"/>
  <c r="D591" i="6"/>
  <c r="E591" i="6"/>
  <c r="F591" i="6"/>
  <c r="L591" i="6" s="1"/>
  <c r="H591" i="6"/>
  <c r="I591" i="6"/>
  <c r="N591" i="6"/>
  <c r="Q591" i="6"/>
  <c r="R591" i="6"/>
  <c r="S591" i="6"/>
  <c r="T591" i="6"/>
  <c r="C592" i="6"/>
  <c r="D592" i="6"/>
  <c r="E592" i="6"/>
  <c r="F592" i="6"/>
  <c r="H592" i="6"/>
  <c r="I592" i="6"/>
  <c r="N592" i="6"/>
  <c r="Q592" i="6"/>
  <c r="R592" i="6"/>
  <c r="S592" i="6"/>
  <c r="T592" i="6"/>
  <c r="C593" i="6"/>
  <c r="L593" i="6" s="1"/>
  <c r="D593" i="6"/>
  <c r="E593" i="6"/>
  <c r="F593" i="6"/>
  <c r="H593" i="6"/>
  <c r="I593" i="6"/>
  <c r="N593" i="6"/>
  <c r="Q593" i="6"/>
  <c r="R593" i="6"/>
  <c r="S593" i="6"/>
  <c r="T593" i="6"/>
  <c r="C594" i="6"/>
  <c r="L594" i="6" s="1"/>
  <c r="D594" i="6"/>
  <c r="E594" i="6"/>
  <c r="F594" i="6"/>
  <c r="H594" i="6"/>
  <c r="I594" i="6"/>
  <c r="N594" i="6"/>
  <c r="Q594" i="6"/>
  <c r="R594" i="6"/>
  <c r="S594" i="6"/>
  <c r="T594" i="6"/>
  <c r="C595" i="6"/>
  <c r="L595" i="6" s="1"/>
  <c r="D595" i="6"/>
  <c r="E595" i="6"/>
  <c r="F595" i="6"/>
  <c r="H595" i="6"/>
  <c r="I595" i="6"/>
  <c r="N595" i="6"/>
  <c r="Q595" i="6"/>
  <c r="R595" i="6"/>
  <c r="S595" i="6"/>
  <c r="T595" i="6"/>
  <c r="C596" i="6"/>
  <c r="D596" i="6"/>
  <c r="E596" i="6"/>
  <c r="F596" i="6"/>
  <c r="H596" i="6"/>
  <c r="I596" i="6"/>
  <c r="N596" i="6"/>
  <c r="Q596" i="6"/>
  <c r="R596" i="6"/>
  <c r="S596" i="6"/>
  <c r="T596" i="6"/>
  <c r="C597" i="6"/>
  <c r="D597" i="6"/>
  <c r="E597" i="6"/>
  <c r="F597" i="6"/>
  <c r="H597" i="6"/>
  <c r="I597" i="6"/>
  <c r="L597" i="6"/>
  <c r="N597" i="6"/>
  <c r="Q597" i="6"/>
  <c r="R597" i="6"/>
  <c r="S597" i="6"/>
  <c r="T597" i="6"/>
  <c r="C598" i="6"/>
  <c r="D598" i="6"/>
  <c r="E598" i="6"/>
  <c r="F598" i="6"/>
  <c r="H598" i="6"/>
  <c r="I598" i="6"/>
  <c r="N598" i="6"/>
  <c r="Q598" i="6"/>
  <c r="R598" i="6"/>
  <c r="S598" i="6"/>
  <c r="T598" i="6"/>
  <c r="C599" i="6"/>
  <c r="D599" i="6"/>
  <c r="E599" i="6"/>
  <c r="F599" i="6"/>
  <c r="L599" i="6" s="1"/>
  <c r="H599" i="6"/>
  <c r="I599" i="6"/>
  <c r="N599" i="6"/>
  <c r="Q599" i="6"/>
  <c r="R599" i="6"/>
  <c r="S599" i="6"/>
  <c r="T599" i="6"/>
  <c r="B600" i="6"/>
  <c r="C600" i="6"/>
  <c r="D600" i="6"/>
  <c r="E600" i="6"/>
  <c r="F600" i="6"/>
  <c r="H600" i="6"/>
  <c r="I600" i="6"/>
  <c r="N600" i="6"/>
  <c r="R600" i="6"/>
  <c r="Q600" i="6" s="1"/>
  <c r="S600" i="6" s="1"/>
  <c r="T600" i="6"/>
  <c r="B601" i="6"/>
  <c r="C601" i="6"/>
  <c r="D601" i="6"/>
  <c r="E601" i="6"/>
  <c r="F601" i="6"/>
  <c r="H601" i="6"/>
  <c r="I601" i="6"/>
  <c r="N601" i="6"/>
  <c r="R601" i="6"/>
  <c r="Q601" i="6" s="1"/>
  <c r="S601" i="6" s="1"/>
  <c r="T601" i="6"/>
  <c r="B602" i="6"/>
  <c r="C602" i="6"/>
  <c r="D602" i="6"/>
  <c r="E602" i="6"/>
  <c r="F602" i="6"/>
  <c r="H602" i="6"/>
  <c r="I602" i="6"/>
  <c r="L602" i="6"/>
  <c r="N602" i="6"/>
  <c r="Q602" i="6"/>
  <c r="S602" i="6" s="1"/>
  <c r="R602" i="6"/>
  <c r="T602" i="6"/>
  <c r="B603" i="6"/>
  <c r="C603" i="6"/>
  <c r="D603" i="6"/>
  <c r="E603" i="6"/>
  <c r="L603" i="6" s="1"/>
  <c r="F603" i="6"/>
  <c r="H603" i="6"/>
  <c r="I603" i="6"/>
  <c r="N603" i="6"/>
  <c r="R603" i="6"/>
  <c r="Q603" i="6" s="1"/>
  <c r="S603" i="6" s="1"/>
  <c r="T603" i="6"/>
  <c r="B604" i="6"/>
  <c r="C604" i="6"/>
  <c r="L604" i="6" s="1"/>
  <c r="D604" i="6"/>
  <c r="E604" i="6"/>
  <c r="F604" i="6"/>
  <c r="H604" i="6"/>
  <c r="I604" i="6"/>
  <c r="N604" i="6"/>
  <c r="R604" i="6"/>
  <c r="Q604" i="6" s="1"/>
  <c r="S604" i="6"/>
  <c r="T604" i="6"/>
  <c r="B605" i="6"/>
  <c r="C605" i="6"/>
  <c r="D605" i="6"/>
  <c r="E605" i="6"/>
  <c r="F605" i="6"/>
  <c r="H605" i="6"/>
  <c r="I605" i="6"/>
  <c r="N605" i="6"/>
  <c r="R605" i="6"/>
  <c r="Q605" i="6" s="1"/>
  <c r="S605" i="6" s="1"/>
  <c r="T605" i="6"/>
  <c r="B606" i="6"/>
  <c r="C606" i="6"/>
  <c r="D606" i="6"/>
  <c r="E606" i="6"/>
  <c r="F606" i="6"/>
  <c r="H606" i="6"/>
  <c r="I606" i="6"/>
  <c r="N606" i="6"/>
  <c r="Q606" i="6"/>
  <c r="S606" i="6" s="1"/>
  <c r="R606" i="6"/>
  <c r="T606" i="6"/>
  <c r="B607" i="6"/>
  <c r="C607" i="6"/>
  <c r="D607" i="6"/>
  <c r="E607" i="6"/>
  <c r="F607" i="6"/>
  <c r="H607" i="6"/>
  <c r="I607" i="6"/>
  <c r="N607" i="6"/>
  <c r="Q607" i="6"/>
  <c r="R607" i="6"/>
  <c r="S607" i="6"/>
  <c r="T607" i="6"/>
  <c r="B608" i="6"/>
  <c r="C608" i="6"/>
  <c r="D608" i="6"/>
  <c r="E608" i="6"/>
  <c r="F608" i="6"/>
  <c r="H608" i="6"/>
  <c r="I608" i="6"/>
  <c r="N608" i="6"/>
  <c r="Q608" i="6"/>
  <c r="S608" i="6" s="1"/>
  <c r="R608" i="6"/>
  <c r="T608" i="6"/>
  <c r="B609" i="6"/>
  <c r="C609" i="6"/>
  <c r="D609" i="6"/>
  <c r="E609" i="6"/>
  <c r="F609" i="6"/>
  <c r="H609" i="6"/>
  <c r="I609" i="6"/>
  <c r="N609" i="6"/>
  <c r="Q609" i="6"/>
  <c r="S609" i="6" s="1"/>
  <c r="R609" i="6"/>
  <c r="T609" i="6"/>
  <c r="B610" i="6"/>
  <c r="C610" i="6"/>
  <c r="D610" i="6"/>
  <c r="E610" i="6"/>
  <c r="F610" i="6"/>
  <c r="H610" i="6"/>
  <c r="I610" i="6"/>
  <c r="N610" i="6"/>
  <c r="Q610" i="6"/>
  <c r="S610" i="6" s="1"/>
  <c r="R610" i="6"/>
  <c r="T610" i="6"/>
  <c r="B611" i="6"/>
  <c r="C611" i="6"/>
  <c r="D611" i="6"/>
  <c r="E611" i="6"/>
  <c r="F611" i="6"/>
  <c r="H611" i="6"/>
  <c r="I611" i="6"/>
  <c r="L611" i="6"/>
  <c r="N611" i="6"/>
  <c r="Q611" i="6"/>
  <c r="S611" i="6" s="1"/>
  <c r="R611" i="6"/>
  <c r="T611" i="6"/>
  <c r="B612" i="6"/>
  <c r="C612" i="6"/>
  <c r="D612" i="6"/>
  <c r="E612" i="6"/>
  <c r="L612" i="6" s="1"/>
  <c r="F612" i="6"/>
  <c r="H612" i="6"/>
  <c r="I612" i="6"/>
  <c r="N612" i="6"/>
  <c r="R612" i="6"/>
  <c r="Q612" i="6" s="1"/>
  <c r="S612" i="6" s="1"/>
  <c r="T612" i="6"/>
  <c r="B613" i="6"/>
  <c r="C613" i="6"/>
  <c r="L613" i="6" s="1"/>
  <c r="D613" i="6"/>
  <c r="E613" i="6"/>
  <c r="F613" i="6"/>
  <c r="H613" i="6"/>
  <c r="I613" i="6"/>
  <c r="N613" i="6"/>
  <c r="Q613" i="6"/>
  <c r="S613" i="6" s="1"/>
  <c r="R613" i="6"/>
  <c r="T613" i="6"/>
  <c r="B614" i="6"/>
  <c r="C614" i="6"/>
  <c r="D614" i="6"/>
  <c r="E614" i="6"/>
  <c r="F614" i="6"/>
  <c r="H614" i="6"/>
  <c r="I614" i="6"/>
  <c r="N614" i="6"/>
  <c r="R614" i="6"/>
  <c r="Q614" i="6" s="1"/>
  <c r="S614" i="6" s="1"/>
  <c r="T614" i="6"/>
  <c r="B615" i="6"/>
  <c r="C615" i="6"/>
  <c r="D615" i="6"/>
  <c r="E615" i="6"/>
  <c r="F615" i="6"/>
  <c r="H615" i="6"/>
  <c r="I615" i="6"/>
  <c r="N615" i="6"/>
  <c r="Q615" i="6"/>
  <c r="R615" i="6"/>
  <c r="S615" i="6"/>
  <c r="T615" i="6"/>
  <c r="B616" i="6"/>
  <c r="C616" i="6"/>
  <c r="D616" i="6"/>
  <c r="E616" i="6"/>
  <c r="F616" i="6"/>
  <c r="L616" i="6" s="1"/>
  <c r="H616" i="6"/>
  <c r="I616" i="6"/>
  <c r="N616" i="6"/>
  <c r="R616" i="6"/>
  <c r="Q616" i="6" s="1"/>
  <c r="S616" i="6" s="1"/>
  <c r="T616" i="6"/>
  <c r="B617" i="6"/>
  <c r="C617" i="6"/>
  <c r="D617" i="6"/>
  <c r="E617" i="6"/>
  <c r="F617" i="6"/>
  <c r="H617" i="6"/>
  <c r="I617" i="6"/>
  <c r="N617" i="6"/>
  <c r="R617" i="6"/>
  <c r="Q617" i="6" s="1"/>
  <c r="S617" i="6"/>
  <c r="T617" i="6"/>
  <c r="B618" i="6"/>
  <c r="C618" i="6"/>
  <c r="D618" i="6"/>
  <c r="E618" i="6"/>
  <c r="F618" i="6"/>
  <c r="H618" i="6"/>
  <c r="I618" i="6"/>
  <c r="L618" i="6" s="1"/>
  <c r="N618" i="6"/>
  <c r="Q618" i="6"/>
  <c r="S618" i="6" s="1"/>
  <c r="R618" i="6"/>
  <c r="T618" i="6"/>
  <c r="B619" i="6"/>
  <c r="C619" i="6"/>
  <c r="D619" i="6"/>
  <c r="E619" i="6"/>
  <c r="F619" i="6"/>
  <c r="H619" i="6"/>
  <c r="I619" i="6"/>
  <c r="N619" i="6"/>
  <c r="Q619" i="6"/>
  <c r="S619" i="6" s="1"/>
  <c r="R619" i="6"/>
  <c r="T619" i="6"/>
  <c r="B620" i="6"/>
  <c r="C620" i="6"/>
  <c r="D620" i="6"/>
  <c r="E620" i="6"/>
  <c r="F620" i="6"/>
  <c r="L620" i="6" s="1"/>
  <c r="H620" i="6"/>
  <c r="I620" i="6"/>
  <c r="N620" i="6"/>
  <c r="R620" i="6"/>
  <c r="Q620" i="6" s="1"/>
  <c r="S620" i="6" s="1"/>
  <c r="T620" i="6"/>
  <c r="B621" i="6"/>
  <c r="C621" i="6"/>
  <c r="D621" i="6"/>
  <c r="E621" i="6"/>
  <c r="F621" i="6"/>
  <c r="H621" i="6"/>
  <c r="I621" i="6"/>
  <c r="N621" i="6"/>
  <c r="R621" i="6"/>
  <c r="Q621" i="6" s="1"/>
  <c r="S621" i="6" s="1"/>
  <c r="T621" i="6"/>
  <c r="B622" i="6"/>
  <c r="C622" i="6"/>
  <c r="D622" i="6"/>
  <c r="E622" i="6"/>
  <c r="F622" i="6"/>
  <c r="H622" i="6"/>
  <c r="I622" i="6"/>
  <c r="N622" i="6"/>
  <c r="Q622" i="6"/>
  <c r="R622" i="6"/>
  <c r="S622" i="6"/>
  <c r="T622" i="6"/>
  <c r="B623" i="6"/>
  <c r="C623" i="6"/>
  <c r="D623" i="6"/>
  <c r="E623" i="6"/>
  <c r="F623" i="6"/>
  <c r="H623" i="6"/>
  <c r="I623" i="6"/>
  <c r="N623" i="6"/>
  <c r="Q623" i="6"/>
  <c r="R623" i="6"/>
  <c r="S623" i="6"/>
  <c r="T623" i="6"/>
  <c r="B624" i="6"/>
  <c r="C624" i="6"/>
  <c r="D624" i="6"/>
  <c r="E624" i="6"/>
  <c r="F624" i="6"/>
  <c r="H624" i="6"/>
  <c r="I624" i="6"/>
  <c r="N624" i="6"/>
  <c r="Q624" i="6"/>
  <c r="R624" i="6"/>
  <c r="S624" i="6"/>
  <c r="T624" i="6"/>
  <c r="B625" i="6"/>
  <c r="C625" i="6"/>
  <c r="D625" i="6"/>
  <c r="E625" i="6"/>
  <c r="F625" i="6"/>
  <c r="H625" i="6"/>
  <c r="I625" i="6"/>
  <c r="N625" i="6"/>
  <c r="Q625" i="6"/>
  <c r="S625" i="6" s="1"/>
  <c r="R625" i="6"/>
  <c r="T625" i="6"/>
  <c r="B626" i="6"/>
  <c r="C626" i="6"/>
  <c r="D626" i="6"/>
  <c r="E626" i="6"/>
  <c r="F626" i="6"/>
  <c r="H626" i="6"/>
  <c r="I626" i="6"/>
  <c r="N626" i="6"/>
  <c r="Q626" i="6"/>
  <c r="S626" i="6" s="1"/>
  <c r="R626" i="6"/>
  <c r="T626" i="6"/>
  <c r="B627" i="6"/>
  <c r="C627" i="6"/>
  <c r="L627" i="6" s="1"/>
  <c r="D627" i="6"/>
  <c r="E627" i="6"/>
  <c r="F627" i="6"/>
  <c r="H627" i="6"/>
  <c r="I627" i="6"/>
  <c r="N627" i="6"/>
  <c r="Q627" i="6"/>
  <c r="S627" i="6" s="1"/>
  <c r="R627" i="6"/>
  <c r="T627" i="6"/>
  <c r="B628" i="6"/>
  <c r="C628" i="6"/>
  <c r="D628" i="6"/>
  <c r="L628" i="6" s="1"/>
  <c r="E628" i="6"/>
  <c r="F628" i="6"/>
  <c r="H628" i="6"/>
  <c r="I628" i="6"/>
  <c r="N628" i="6"/>
  <c r="R628" i="6"/>
  <c r="Q628" i="6" s="1"/>
  <c r="S628" i="6" s="1"/>
  <c r="T628" i="6"/>
  <c r="B629" i="6"/>
  <c r="C629" i="6"/>
  <c r="D629" i="6"/>
  <c r="E629" i="6"/>
  <c r="F629" i="6"/>
  <c r="L629" i="6" s="1"/>
  <c r="H629" i="6"/>
  <c r="I629" i="6"/>
  <c r="N629" i="6"/>
  <c r="Q629" i="6"/>
  <c r="S629" i="6" s="1"/>
  <c r="R629" i="6"/>
  <c r="T629" i="6"/>
  <c r="B630" i="6"/>
  <c r="C630" i="6"/>
  <c r="D630" i="6"/>
  <c r="E630" i="6"/>
  <c r="F630" i="6"/>
  <c r="H630" i="6"/>
  <c r="I630" i="6"/>
  <c r="N630" i="6"/>
  <c r="R630" i="6"/>
  <c r="Q630" i="6" s="1"/>
  <c r="S630" i="6" s="1"/>
  <c r="T630" i="6"/>
  <c r="B631" i="6"/>
  <c r="C631" i="6"/>
  <c r="D631" i="6"/>
  <c r="E631" i="6"/>
  <c r="F631" i="6"/>
  <c r="H631" i="6"/>
  <c r="I631" i="6"/>
  <c r="N631" i="6"/>
  <c r="Q631" i="6"/>
  <c r="R631" i="6"/>
  <c r="S631" i="6"/>
  <c r="T631" i="6"/>
  <c r="B632" i="6"/>
  <c r="C632" i="6"/>
  <c r="D632" i="6"/>
  <c r="E632" i="6"/>
  <c r="F632" i="6"/>
  <c r="H632" i="6"/>
  <c r="I632" i="6"/>
  <c r="N632" i="6"/>
  <c r="R632" i="6"/>
  <c r="Q632" i="6" s="1"/>
  <c r="S632" i="6" s="1"/>
  <c r="T632" i="6"/>
  <c r="B633" i="6"/>
  <c r="C633" i="6"/>
  <c r="D633" i="6"/>
  <c r="E633" i="6"/>
  <c r="F633" i="6"/>
  <c r="H633" i="6"/>
  <c r="I633" i="6"/>
  <c r="N633" i="6"/>
  <c r="Q633" i="6"/>
  <c r="S633" i="6" s="1"/>
  <c r="R633" i="6"/>
  <c r="T633" i="6"/>
  <c r="B634" i="6"/>
  <c r="C634" i="6"/>
  <c r="L634" i="6" s="1"/>
  <c r="D634" i="6"/>
  <c r="E634" i="6"/>
  <c r="F634" i="6"/>
  <c r="H634" i="6"/>
  <c r="I634" i="6"/>
  <c r="N634" i="6"/>
  <c r="Q634" i="6"/>
  <c r="S634" i="6" s="1"/>
  <c r="R634" i="6"/>
  <c r="T634" i="6"/>
  <c r="B635" i="6"/>
  <c r="C635" i="6"/>
  <c r="D635" i="6"/>
  <c r="E635" i="6"/>
  <c r="F635" i="6"/>
  <c r="H635" i="6"/>
  <c r="I635" i="6"/>
  <c r="N635" i="6"/>
  <c r="R635" i="6"/>
  <c r="Q635" i="6" s="1"/>
  <c r="S635" i="6"/>
  <c r="T635" i="6"/>
  <c r="B636" i="6"/>
  <c r="C636" i="6"/>
  <c r="D636" i="6"/>
  <c r="E636" i="6"/>
  <c r="F636" i="6"/>
  <c r="H636" i="6"/>
  <c r="I636" i="6"/>
  <c r="N636" i="6"/>
  <c r="R636" i="6"/>
  <c r="Q636" i="6" s="1"/>
  <c r="S636" i="6" s="1"/>
  <c r="T636" i="6"/>
  <c r="B637" i="6"/>
  <c r="C637" i="6"/>
  <c r="D637" i="6"/>
  <c r="E637" i="6"/>
  <c r="F637" i="6"/>
  <c r="H637" i="6"/>
  <c r="I637" i="6"/>
  <c r="N637" i="6"/>
  <c r="Q637" i="6"/>
  <c r="S637" i="6" s="1"/>
  <c r="R637" i="6"/>
  <c r="T637" i="6"/>
  <c r="B638" i="6"/>
  <c r="C638" i="6"/>
  <c r="D638" i="6"/>
  <c r="E638" i="6"/>
  <c r="F638" i="6"/>
  <c r="H638" i="6"/>
  <c r="I638" i="6"/>
  <c r="N638" i="6"/>
  <c r="Q638" i="6"/>
  <c r="R638" i="6"/>
  <c r="S638" i="6"/>
  <c r="T638" i="6"/>
  <c r="B639" i="6"/>
  <c r="C639" i="6"/>
  <c r="D639" i="6"/>
  <c r="E639" i="6"/>
  <c r="F639" i="6"/>
  <c r="H639" i="6"/>
  <c r="I639" i="6"/>
  <c r="N639" i="6"/>
  <c r="Q639" i="6"/>
  <c r="R639" i="6"/>
  <c r="S639" i="6"/>
  <c r="T639" i="6"/>
  <c r="B640" i="6"/>
  <c r="C640" i="6"/>
  <c r="D640" i="6"/>
  <c r="E640" i="6"/>
  <c r="F640" i="6"/>
  <c r="H640" i="6"/>
  <c r="I640" i="6"/>
  <c r="N640" i="6"/>
  <c r="Q640" i="6"/>
  <c r="R640" i="6"/>
  <c r="S640" i="6"/>
  <c r="T640" i="6"/>
  <c r="B641" i="6"/>
  <c r="C641" i="6"/>
  <c r="D641" i="6"/>
  <c r="E641" i="6"/>
  <c r="F641" i="6"/>
  <c r="H641" i="6"/>
  <c r="I641" i="6"/>
  <c r="N641" i="6"/>
  <c r="Q641" i="6"/>
  <c r="R641" i="6"/>
  <c r="S641" i="6"/>
  <c r="T641" i="6"/>
  <c r="B642" i="6"/>
  <c r="C642" i="6"/>
  <c r="L642" i="6" s="1"/>
  <c r="D642" i="6"/>
  <c r="E642" i="6"/>
  <c r="F642" i="6"/>
  <c r="H642" i="6"/>
  <c r="I642" i="6"/>
  <c r="N642" i="6"/>
  <c r="Q642" i="6"/>
  <c r="S642" i="6" s="1"/>
  <c r="R642" i="6"/>
  <c r="T642" i="6"/>
  <c r="B643" i="6"/>
  <c r="C643" i="6"/>
  <c r="D643" i="6"/>
  <c r="E643" i="6"/>
  <c r="F643" i="6"/>
  <c r="H643" i="6"/>
  <c r="I643" i="6"/>
  <c r="N643" i="6"/>
  <c r="R643" i="6"/>
  <c r="Q643" i="6" s="1"/>
  <c r="S643" i="6"/>
  <c r="T643" i="6"/>
  <c r="B644" i="6"/>
  <c r="C644" i="6"/>
  <c r="D644" i="6"/>
  <c r="L644" i="6" s="1"/>
  <c r="E644" i="6"/>
  <c r="F644" i="6"/>
  <c r="H644" i="6"/>
  <c r="I644" i="6"/>
  <c r="N644" i="6"/>
  <c r="R644" i="6"/>
  <c r="Q644" i="6" s="1"/>
  <c r="S644" i="6"/>
  <c r="T644" i="6"/>
  <c r="B645" i="6"/>
  <c r="C645" i="6"/>
  <c r="D645" i="6"/>
  <c r="E645" i="6"/>
  <c r="F645" i="6"/>
  <c r="H645" i="6"/>
  <c r="I645" i="6"/>
  <c r="N645" i="6"/>
  <c r="R645" i="6"/>
  <c r="Q645" i="6" s="1"/>
  <c r="S645" i="6" s="1"/>
  <c r="T645" i="6"/>
  <c r="B646" i="6"/>
  <c r="C646" i="6"/>
  <c r="D646" i="6"/>
  <c r="E646" i="6"/>
  <c r="F646" i="6"/>
  <c r="H646" i="6"/>
  <c r="I646" i="6"/>
  <c r="N646" i="6"/>
  <c r="R646" i="6"/>
  <c r="Q646" i="6" s="1"/>
  <c r="S646" i="6"/>
  <c r="T646" i="6"/>
  <c r="B647" i="6"/>
  <c r="C647" i="6"/>
  <c r="D647" i="6"/>
  <c r="E647" i="6"/>
  <c r="F647" i="6"/>
  <c r="H647" i="6"/>
  <c r="I647" i="6"/>
  <c r="N647" i="6"/>
  <c r="Q647" i="6"/>
  <c r="R647" i="6"/>
  <c r="S647" i="6"/>
  <c r="T647" i="6"/>
  <c r="B648" i="6"/>
  <c r="C648" i="6"/>
  <c r="D648" i="6"/>
  <c r="E648" i="6"/>
  <c r="F648" i="6"/>
  <c r="H648" i="6"/>
  <c r="I648" i="6"/>
  <c r="L648" i="6" s="1"/>
  <c r="N648" i="6"/>
  <c r="Q648" i="6"/>
  <c r="S648" i="6" s="1"/>
  <c r="R648" i="6"/>
  <c r="T648" i="6"/>
  <c r="B649" i="6"/>
  <c r="C649" i="6"/>
  <c r="D649" i="6"/>
  <c r="E649" i="6"/>
  <c r="F649" i="6"/>
  <c r="H649" i="6"/>
  <c r="I649" i="6"/>
  <c r="N649" i="6"/>
  <c r="R649" i="6"/>
  <c r="Q649" i="6" s="1"/>
  <c r="S649" i="6"/>
  <c r="T649" i="6"/>
  <c r="B650" i="6"/>
  <c r="C650" i="6"/>
  <c r="D650" i="6"/>
  <c r="E650" i="6"/>
  <c r="F650" i="6"/>
  <c r="H650" i="6"/>
  <c r="I650" i="6"/>
  <c r="N650" i="6"/>
  <c r="Q650" i="6"/>
  <c r="S650" i="6" s="1"/>
  <c r="R650" i="6"/>
  <c r="T650" i="6"/>
  <c r="B651" i="6"/>
  <c r="C651" i="6"/>
  <c r="L651" i="6" s="1"/>
  <c r="D651" i="6"/>
  <c r="E651" i="6"/>
  <c r="F651" i="6"/>
  <c r="H651" i="6"/>
  <c r="I651" i="6"/>
  <c r="N651" i="6"/>
  <c r="R651" i="6"/>
  <c r="Q651" i="6" s="1"/>
  <c r="S651" i="6"/>
  <c r="T651" i="6"/>
  <c r="B652" i="6"/>
  <c r="C652" i="6"/>
  <c r="D652" i="6"/>
  <c r="E652" i="6"/>
  <c r="F652" i="6"/>
  <c r="H652" i="6"/>
  <c r="I652" i="6"/>
  <c r="N652" i="6"/>
  <c r="R652" i="6"/>
  <c r="Q652" i="6" s="1"/>
  <c r="S652" i="6"/>
  <c r="T652" i="6"/>
  <c r="B653" i="6"/>
  <c r="C653" i="6"/>
  <c r="D653" i="6"/>
  <c r="E653" i="6"/>
  <c r="F653" i="6"/>
  <c r="H653" i="6"/>
  <c r="I653" i="6"/>
  <c r="N653" i="6"/>
  <c r="R653" i="6"/>
  <c r="Q653" i="6" s="1"/>
  <c r="S653" i="6" s="1"/>
  <c r="T653" i="6"/>
  <c r="B654" i="6"/>
  <c r="C654" i="6"/>
  <c r="D654" i="6"/>
  <c r="E654" i="6"/>
  <c r="F654" i="6"/>
  <c r="H654" i="6"/>
  <c r="I654" i="6"/>
  <c r="N654" i="6"/>
  <c r="Q654" i="6"/>
  <c r="S654" i="6" s="1"/>
  <c r="R654" i="6"/>
  <c r="T654" i="6"/>
  <c r="B655" i="6"/>
  <c r="C655" i="6"/>
  <c r="D655" i="6"/>
  <c r="E655" i="6"/>
  <c r="F655" i="6"/>
  <c r="H655" i="6"/>
  <c r="I655" i="6"/>
  <c r="N655" i="6"/>
  <c r="Q655" i="6"/>
  <c r="R655" i="6"/>
  <c r="S655" i="6"/>
  <c r="T655" i="6"/>
  <c r="B656" i="6"/>
  <c r="C656" i="6"/>
  <c r="L656" i="6" s="1"/>
  <c r="D656" i="6"/>
  <c r="E656" i="6"/>
  <c r="F656" i="6"/>
  <c r="H656" i="6"/>
  <c r="I656" i="6"/>
  <c r="N656" i="6"/>
  <c r="Q656" i="6"/>
  <c r="R656" i="6"/>
  <c r="S656" i="6"/>
  <c r="T656" i="6"/>
  <c r="B657" i="6"/>
  <c r="C657" i="6"/>
  <c r="D657" i="6"/>
  <c r="E657" i="6"/>
  <c r="F657" i="6"/>
  <c r="H657" i="6"/>
  <c r="I657" i="6"/>
  <c r="N657" i="6"/>
  <c r="Q657" i="6"/>
  <c r="R657" i="6"/>
  <c r="S657" i="6"/>
  <c r="T657" i="6"/>
  <c r="B658" i="6"/>
  <c r="C658" i="6"/>
  <c r="D658" i="6"/>
  <c r="E658" i="6"/>
  <c r="F658" i="6"/>
  <c r="H658" i="6"/>
  <c r="I658" i="6"/>
  <c r="N658" i="6"/>
  <c r="Q658" i="6"/>
  <c r="S658" i="6" s="1"/>
  <c r="R658" i="6"/>
  <c r="T658" i="6"/>
  <c r="B659" i="6"/>
  <c r="C659" i="6"/>
  <c r="D659" i="6"/>
  <c r="E659" i="6"/>
  <c r="F659" i="6"/>
  <c r="H659" i="6"/>
  <c r="I659" i="6"/>
  <c r="N659" i="6"/>
  <c r="Q659" i="6"/>
  <c r="S659" i="6" s="1"/>
  <c r="R659" i="6"/>
  <c r="T659" i="6"/>
  <c r="B660" i="6"/>
  <c r="C660" i="6"/>
  <c r="D660" i="6"/>
  <c r="E660" i="6"/>
  <c r="F660" i="6"/>
  <c r="H660" i="6"/>
  <c r="I660" i="6"/>
  <c r="N660" i="6"/>
  <c r="R660" i="6"/>
  <c r="Q660" i="6" s="1"/>
  <c r="S660" i="6" s="1"/>
  <c r="T660" i="6"/>
  <c r="B661" i="6"/>
  <c r="C661" i="6"/>
  <c r="D661" i="6"/>
  <c r="E661" i="6"/>
  <c r="F661" i="6"/>
  <c r="H661" i="6"/>
  <c r="L661" i="6" s="1"/>
  <c r="I661" i="6"/>
  <c r="N661" i="6"/>
  <c r="Q661" i="6"/>
  <c r="S661" i="6" s="1"/>
  <c r="R661" i="6"/>
  <c r="T661" i="6"/>
  <c r="B662" i="6"/>
  <c r="C662" i="6"/>
  <c r="D662" i="6"/>
  <c r="E662" i="6"/>
  <c r="F662" i="6"/>
  <c r="H662" i="6"/>
  <c r="I662" i="6"/>
  <c r="N662" i="6"/>
  <c r="R662" i="6"/>
  <c r="Q662" i="6" s="1"/>
  <c r="S662" i="6" s="1"/>
  <c r="T662" i="6"/>
  <c r="B663" i="6"/>
  <c r="C663" i="6"/>
  <c r="D663" i="6"/>
  <c r="E663" i="6"/>
  <c r="F663" i="6"/>
  <c r="H663" i="6"/>
  <c r="I663" i="6"/>
  <c r="N663" i="6"/>
  <c r="Q663" i="6"/>
  <c r="R663" i="6"/>
  <c r="S663" i="6"/>
  <c r="T663" i="6"/>
  <c r="B664" i="6"/>
  <c r="C664" i="6"/>
  <c r="D664" i="6"/>
  <c r="E664" i="6"/>
  <c r="F664" i="6"/>
  <c r="H664" i="6"/>
  <c r="I664" i="6"/>
  <c r="N664" i="6"/>
  <c r="R664" i="6"/>
  <c r="Q664" i="6" s="1"/>
  <c r="S664" i="6" s="1"/>
  <c r="T664" i="6"/>
  <c r="B665" i="6"/>
  <c r="C665" i="6"/>
  <c r="D665" i="6"/>
  <c r="E665" i="6"/>
  <c r="F665" i="6"/>
  <c r="H665" i="6"/>
  <c r="I665" i="6"/>
  <c r="N665" i="6"/>
  <c r="R665" i="6"/>
  <c r="Q665" i="6" s="1"/>
  <c r="S665" i="6" s="1"/>
  <c r="T665" i="6"/>
  <c r="B666" i="6"/>
  <c r="C666" i="6"/>
  <c r="D666" i="6"/>
  <c r="E666" i="6"/>
  <c r="F666" i="6"/>
  <c r="L666" i="6" s="1"/>
  <c r="H666" i="6"/>
  <c r="I666" i="6"/>
  <c r="N666" i="6"/>
  <c r="Q666" i="6"/>
  <c r="S666" i="6" s="1"/>
  <c r="R666" i="6"/>
  <c r="T666" i="6"/>
  <c r="B667" i="6"/>
  <c r="C667" i="6"/>
  <c r="D667" i="6"/>
  <c r="E667" i="6"/>
  <c r="F667" i="6"/>
  <c r="L667" i="6" s="1"/>
  <c r="H667" i="6"/>
  <c r="I667" i="6"/>
  <c r="N667" i="6"/>
  <c r="Q667" i="6"/>
  <c r="R667" i="6"/>
  <c r="S667" i="6"/>
  <c r="T667" i="6"/>
  <c r="B668" i="6"/>
  <c r="C668" i="6"/>
  <c r="D668" i="6"/>
  <c r="E668" i="6"/>
  <c r="F668" i="6"/>
  <c r="L668" i="6" s="1"/>
  <c r="H668" i="6"/>
  <c r="I668" i="6"/>
  <c r="N668" i="6"/>
  <c r="R668" i="6"/>
  <c r="Q668" i="6" s="1"/>
  <c r="S668" i="6" s="1"/>
  <c r="T668" i="6"/>
  <c r="B669" i="6"/>
  <c r="C669" i="6"/>
  <c r="D669" i="6"/>
  <c r="E669" i="6"/>
  <c r="F669" i="6"/>
  <c r="H669" i="6"/>
  <c r="I669" i="6"/>
  <c r="N669" i="6"/>
  <c r="R669" i="6"/>
  <c r="Q669" i="6" s="1"/>
  <c r="S669" i="6" s="1"/>
  <c r="T669" i="6"/>
  <c r="B670" i="6"/>
  <c r="C670" i="6"/>
  <c r="D670" i="6"/>
  <c r="E670" i="6"/>
  <c r="F670" i="6"/>
  <c r="H670" i="6"/>
  <c r="I670" i="6"/>
  <c r="N670" i="6"/>
  <c r="R670" i="6"/>
  <c r="Q670" i="6" s="1"/>
  <c r="S670" i="6" s="1"/>
  <c r="T670" i="6"/>
  <c r="B671" i="6"/>
  <c r="C671" i="6"/>
  <c r="D671" i="6"/>
  <c r="E671" i="6"/>
  <c r="F671" i="6"/>
  <c r="H671" i="6"/>
  <c r="I671" i="6"/>
  <c r="N671" i="6"/>
  <c r="Q671" i="6"/>
  <c r="R671" i="6"/>
  <c r="S671" i="6"/>
  <c r="T671" i="6"/>
  <c r="B672" i="6"/>
  <c r="C672" i="6"/>
  <c r="L672" i="6" s="1"/>
  <c r="D672" i="6"/>
  <c r="E672" i="6"/>
  <c r="F672" i="6"/>
  <c r="H672" i="6"/>
  <c r="I672" i="6"/>
  <c r="N672" i="6"/>
  <c r="Q672" i="6"/>
  <c r="S672" i="6" s="1"/>
  <c r="R672" i="6"/>
  <c r="T672" i="6"/>
  <c r="B673" i="6"/>
  <c r="C673" i="6"/>
  <c r="D673" i="6"/>
  <c r="E673" i="6"/>
  <c r="F673" i="6"/>
  <c r="H673" i="6"/>
  <c r="I673" i="6"/>
  <c r="N673" i="6"/>
  <c r="Q673" i="6"/>
  <c r="S673" i="6" s="1"/>
  <c r="R673" i="6"/>
  <c r="T673" i="6"/>
  <c r="B674" i="6"/>
  <c r="C674" i="6"/>
  <c r="D674" i="6"/>
  <c r="E674" i="6"/>
  <c r="F674" i="6"/>
  <c r="H674" i="6"/>
  <c r="I674" i="6"/>
  <c r="N674" i="6"/>
  <c r="Q674" i="6"/>
  <c r="S674" i="6" s="1"/>
  <c r="R674" i="6"/>
  <c r="T674" i="6"/>
  <c r="B675" i="6"/>
  <c r="C675" i="6"/>
  <c r="D675" i="6"/>
  <c r="E675" i="6"/>
  <c r="F675" i="6"/>
  <c r="H675" i="6"/>
  <c r="I675" i="6"/>
  <c r="N675" i="6"/>
  <c r="Q675" i="6"/>
  <c r="S675" i="6" s="1"/>
  <c r="R675" i="6"/>
  <c r="T675" i="6"/>
  <c r="B676" i="6"/>
  <c r="C676" i="6"/>
  <c r="D676" i="6"/>
  <c r="E676" i="6"/>
  <c r="F676" i="6"/>
  <c r="H676" i="6"/>
  <c r="I676" i="6"/>
  <c r="N676" i="6"/>
  <c r="R676" i="6"/>
  <c r="Q676" i="6" s="1"/>
  <c r="S676" i="6" s="1"/>
  <c r="T676" i="6"/>
  <c r="B677" i="6"/>
  <c r="C677" i="6"/>
  <c r="D677" i="6"/>
  <c r="E677" i="6"/>
  <c r="F677" i="6"/>
  <c r="H677" i="6"/>
  <c r="I677" i="6"/>
  <c r="N677" i="6"/>
  <c r="Q677" i="6"/>
  <c r="S677" i="6" s="1"/>
  <c r="R677" i="6"/>
  <c r="T677" i="6"/>
  <c r="B678" i="6"/>
  <c r="C678" i="6"/>
  <c r="D678" i="6"/>
  <c r="E678" i="6"/>
  <c r="F678" i="6"/>
  <c r="H678" i="6"/>
  <c r="I678" i="6"/>
  <c r="N678" i="6"/>
  <c r="R678" i="6"/>
  <c r="Q678" i="6" s="1"/>
  <c r="S678" i="6" s="1"/>
  <c r="T678" i="6"/>
  <c r="B679" i="6"/>
  <c r="C679" i="6"/>
  <c r="D679" i="6"/>
  <c r="E679" i="6"/>
  <c r="F679" i="6"/>
  <c r="H679" i="6"/>
  <c r="I679" i="6"/>
  <c r="N679" i="6"/>
  <c r="Q679" i="6"/>
  <c r="R679" i="6"/>
  <c r="S679" i="6"/>
  <c r="T679" i="6"/>
  <c r="B680" i="6"/>
  <c r="C680" i="6"/>
  <c r="D680" i="6"/>
  <c r="E680" i="6"/>
  <c r="F680" i="6"/>
  <c r="H680" i="6"/>
  <c r="I680" i="6"/>
  <c r="N680" i="6"/>
  <c r="R680" i="6"/>
  <c r="Q680" i="6" s="1"/>
  <c r="S680" i="6" s="1"/>
  <c r="T680" i="6"/>
  <c r="B681" i="6"/>
  <c r="C681" i="6"/>
  <c r="D681" i="6"/>
  <c r="E681" i="6"/>
  <c r="F681" i="6"/>
  <c r="H681" i="6"/>
  <c r="I681" i="6"/>
  <c r="N681" i="6"/>
  <c r="Q681" i="6"/>
  <c r="S681" i="6" s="1"/>
  <c r="R681" i="6"/>
  <c r="T681" i="6"/>
  <c r="B682" i="6"/>
  <c r="C682" i="6"/>
  <c r="D682" i="6"/>
  <c r="E682" i="6"/>
  <c r="F682" i="6"/>
  <c r="H682" i="6"/>
  <c r="I682" i="6"/>
  <c r="N682" i="6"/>
  <c r="Q682" i="6"/>
  <c r="S682" i="6" s="1"/>
  <c r="R682" i="6"/>
  <c r="T682" i="6"/>
  <c r="B683" i="6"/>
  <c r="C683" i="6"/>
  <c r="L683" i="6" s="1"/>
  <c r="D683" i="6"/>
  <c r="E683" i="6"/>
  <c r="F683" i="6"/>
  <c r="H683" i="6"/>
  <c r="I683" i="6"/>
  <c r="N683" i="6"/>
  <c r="Q683" i="6"/>
  <c r="S683" i="6" s="1"/>
  <c r="R683" i="6"/>
  <c r="T683" i="6"/>
  <c r="B684" i="6"/>
  <c r="C684" i="6"/>
  <c r="D684" i="6"/>
  <c r="L684" i="6" s="1"/>
  <c r="E684" i="6"/>
  <c r="F684" i="6"/>
  <c r="H684" i="6"/>
  <c r="I684" i="6"/>
  <c r="N684" i="6"/>
  <c r="R684" i="6"/>
  <c r="Q684" i="6" s="1"/>
  <c r="S684" i="6" s="1"/>
  <c r="T684" i="6"/>
  <c r="B685" i="6"/>
  <c r="C685" i="6"/>
  <c r="D685" i="6"/>
  <c r="E685" i="6"/>
  <c r="F685" i="6"/>
  <c r="H685" i="6"/>
  <c r="I685" i="6"/>
  <c r="N685" i="6"/>
  <c r="R685" i="6"/>
  <c r="Q685" i="6" s="1"/>
  <c r="S685" i="6" s="1"/>
  <c r="T685" i="6"/>
  <c r="B686" i="6"/>
  <c r="C686" i="6"/>
  <c r="D686" i="6"/>
  <c r="E686" i="6"/>
  <c r="F686" i="6"/>
  <c r="H686" i="6"/>
  <c r="I686" i="6"/>
  <c r="N686" i="6"/>
  <c r="Q686" i="6"/>
  <c r="R686" i="6"/>
  <c r="S686" i="6"/>
  <c r="T686" i="6"/>
  <c r="B687" i="6"/>
  <c r="C687" i="6"/>
  <c r="L687" i="6" s="1"/>
  <c r="D687" i="6"/>
  <c r="E687" i="6"/>
  <c r="F687" i="6"/>
  <c r="H687" i="6"/>
  <c r="I687" i="6"/>
  <c r="N687" i="6"/>
  <c r="Q687" i="6"/>
  <c r="R687" i="6"/>
  <c r="S687" i="6"/>
  <c r="T687" i="6"/>
  <c r="B688" i="6"/>
  <c r="C688" i="6"/>
  <c r="D688" i="6"/>
  <c r="E688" i="6"/>
  <c r="F688" i="6"/>
  <c r="H688" i="6"/>
  <c r="I688" i="6"/>
  <c r="N688" i="6"/>
  <c r="R688" i="6"/>
  <c r="Q688" i="6" s="1"/>
  <c r="S688" i="6" s="1"/>
  <c r="T688" i="6"/>
  <c r="B689" i="6"/>
  <c r="C689" i="6"/>
  <c r="D689" i="6"/>
  <c r="E689" i="6"/>
  <c r="F689" i="6"/>
  <c r="H689" i="6"/>
  <c r="I689" i="6"/>
  <c r="N689" i="6"/>
  <c r="Q689" i="6"/>
  <c r="S689" i="6" s="1"/>
  <c r="R689" i="6"/>
  <c r="T689" i="6"/>
  <c r="B690" i="6"/>
  <c r="C690" i="6"/>
  <c r="D690" i="6"/>
  <c r="E690" i="6"/>
  <c r="F690" i="6"/>
  <c r="L690" i="6" s="1"/>
  <c r="H690" i="6"/>
  <c r="I690" i="6"/>
  <c r="N690" i="6"/>
  <c r="R690" i="6"/>
  <c r="Q690" i="6" s="1"/>
  <c r="S690" i="6" s="1"/>
  <c r="T690" i="6"/>
  <c r="B691" i="6"/>
  <c r="C691" i="6"/>
  <c r="D691" i="6"/>
  <c r="E691" i="6"/>
  <c r="F691" i="6"/>
  <c r="H691" i="6"/>
  <c r="I691" i="6"/>
  <c r="N691" i="6"/>
  <c r="Q691" i="6"/>
  <c r="S691" i="6" s="1"/>
  <c r="R691" i="6"/>
  <c r="T691" i="6"/>
  <c r="B692" i="6"/>
  <c r="C692" i="6"/>
  <c r="D692" i="6"/>
  <c r="E692" i="6"/>
  <c r="F692" i="6"/>
  <c r="H692" i="6"/>
  <c r="I692" i="6"/>
  <c r="N692" i="6"/>
  <c r="R692" i="6"/>
  <c r="Q692" i="6" s="1"/>
  <c r="S692" i="6" s="1"/>
  <c r="T692" i="6"/>
  <c r="B693" i="6"/>
  <c r="C693" i="6"/>
  <c r="D693" i="6"/>
  <c r="E693" i="6"/>
  <c r="F693" i="6"/>
  <c r="L693" i="6" s="1"/>
  <c r="H693" i="6"/>
  <c r="I693" i="6"/>
  <c r="N693" i="6"/>
  <c r="Q693" i="6"/>
  <c r="S693" i="6" s="1"/>
  <c r="R693" i="6"/>
  <c r="T693" i="6"/>
  <c r="B694" i="6"/>
  <c r="C694" i="6"/>
  <c r="D694" i="6"/>
  <c r="E694" i="6"/>
  <c r="F694" i="6"/>
  <c r="H694" i="6"/>
  <c r="I694" i="6"/>
  <c r="N694" i="6"/>
  <c r="Q694" i="6"/>
  <c r="R694" i="6"/>
  <c r="S694" i="6"/>
  <c r="T694" i="6"/>
  <c r="B695" i="6"/>
  <c r="C695" i="6"/>
  <c r="D695" i="6"/>
  <c r="E695" i="6"/>
  <c r="F695" i="6"/>
  <c r="L695" i="6" s="1"/>
  <c r="H695" i="6"/>
  <c r="I695" i="6"/>
  <c r="N695" i="6"/>
  <c r="Q695" i="6"/>
  <c r="S695" i="6" s="1"/>
  <c r="R695" i="6"/>
  <c r="T695" i="6"/>
  <c r="B696" i="6"/>
  <c r="C696" i="6"/>
  <c r="D696" i="6"/>
  <c r="E696" i="6"/>
  <c r="F696" i="6"/>
  <c r="H696" i="6"/>
  <c r="I696" i="6"/>
  <c r="N696" i="6"/>
  <c r="Q696" i="6"/>
  <c r="R696" i="6"/>
  <c r="S696" i="6"/>
  <c r="T696" i="6"/>
  <c r="B697" i="6"/>
  <c r="C697" i="6"/>
  <c r="D697" i="6"/>
  <c r="E697" i="6"/>
  <c r="F697" i="6"/>
  <c r="L697" i="6" s="1"/>
  <c r="H697" i="6"/>
  <c r="I697" i="6"/>
  <c r="N697" i="6"/>
  <c r="R697" i="6"/>
  <c r="Q697" i="6" s="1"/>
  <c r="S697" i="6" s="1"/>
  <c r="T697" i="6"/>
  <c r="B698" i="6"/>
  <c r="C698" i="6"/>
  <c r="L698" i="6" s="1"/>
  <c r="D698" i="6"/>
  <c r="E698" i="6"/>
  <c r="F698" i="6"/>
  <c r="H698" i="6"/>
  <c r="I698" i="6"/>
  <c r="N698" i="6"/>
  <c r="Q698" i="6"/>
  <c r="S698" i="6" s="1"/>
  <c r="R698" i="6"/>
  <c r="T698" i="6"/>
  <c r="B699" i="6"/>
  <c r="C699" i="6"/>
  <c r="D699" i="6"/>
  <c r="E699" i="6"/>
  <c r="F699" i="6"/>
  <c r="H699" i="6"/>
  <c r="I699" i="6"/>
  <c r="N699" i="6"/>
  <c r="Q699" i="6"/>
  <c r="R699" i="6"/>
  <c r="S699" i="6"/>
  <c r="T699" i="6"/>
  <c r="B700" i="6"/>
  <c r="C700" i="6"/>
  <c r="D700" i="6"/>
  <c r="L700" i="6" s="1"/>
  <c r="E700" i="6"/>
  <c r="F700" i="6"/>
  <c r="H700" i="6"/>
  <c r="I700" i="6"/>
  <c r="N700" i="6"/>
  <c r="R700" i="6"/>
  <c r="Q700" i="6" s="1"/>
  <c r="S700" i="6"/>
  <c r="T700" i="6"/>
  <c r="B701" i="6"/>
  <c r="C701" i="6"/>
  <c r="D701" i="6"/>
  <c r="E701" i="6"/>
  <c r="F701" i="6"/>
  <c r="H701" i="6"/>
  <c r="I701" i="6"/>
  <c r="N701" i="6"/>
  <c r="R701" i="6"/>
  <c r="Q701" i="6" s="1"/>
  <c r="S701" i="6" s="1"/>
  <c r="T701" i="6"/>
  <c r="B702" i="6"/>
  <c r="C702" i="6"/>
  <c r="L702" i="6" s="1"/>
  <c r="D702" i="6"/>
  <c r="E702" i="6"/>
  <c r="F702" i="6"/>
  <c r="H702" i="6"/>
  <c r="I702" i="6"/>
  <c r="N702" i="6"/>
  <c r="R702" i="6"/>
  <c r="Q702" i="6" s="1"/>
  <c r="S702" i="6" s="1"/>
  <c r="T702" i="6"/>
  <c r="B703" i="6"/>
  <c r="C703" i="6"/>
  <c r="D703" i="6"/>
  <c r="E703" i="6"/>
  <c r="F703" i="6"/>
  <c r="H703" i="6"/>
  <c r="I703" i="6"/>
  <c r="N703" i="6"/>
  <c r="Q703" i="6"/>
  <c r="S703" i="6" s="1"/>
  <c r="R703" i="6"/>
  <c r="T703" i="6"/>
  <c r="B704" i="6"/>
  <c r="C704" i="6"/>
  <c r="D704" i="6"/>
  <c r="E704" i="6"/>
  <c r="F704" i="6"/>
  <c r="L704" i="6" s="1"/>
  <c r="H704" i="6"/>
  <c r="I704" i="6"/>
  <c r="N704" i="6"/>
  <c r="R704" i="6"/>
  <c r="Q704" i="6" s="1"/>
  <c r="S704" i="6" s="1"/>
  <c r="T704" i="6"/>
  <c r="B705" i="6"/>
  <c r="C705" i="6"/>
  <c r="D705" i="6"/>
  <c r="E705" i="6"/>
  <c r="F705" i="6"/>
  <c r="H705" i="6"/>
  <c r="I705" i="6"/>
  <c r="N705" i="6"/>
  <c r="R705" i="6"/>
  <c r="Q705" i="6" s="1"/>
  <c r="S705" i="6" s="1"/>
  <c r="T705" i="6"/>
  <c r="B706" i="6"/>
  <c r="C706" i="6"/>
  <c r="D706" i="6"/>
  <c r="E706" i="6"/>
  <c r="F706" i="6"/>
  <c r="H706" i="6"/>
  <c r="I706" i="6"/>
  <c r="N706" i="6"/>
  <c r="R706" i="6"/>
  <c r="Q706" i="6" s="1"/>
  <c r="S706" i="6" s="1"/>
  <c r="T706" i="6"/>
  <c r="B707" i="6"/>
  <c r="C707" i="6"/>
  <c r="D707" i="6"/>
  <c r="L707" i="6" s="1"/>
  <c r="E707" i="6"/>
  <c r="F707" i="6"/>
  <c r="H707" i="6"/>
  <c r="I707" i="6"/>
  <c r="N707" i="6"/>
  <c r="R707" i="6"/>
  <c r="Q707" i="6" s="1"/>
  <c r="S707" i="6" s="1"/>
  <c r="T707" i="6"/>
  <c r="B708" i="6"/>
  <c r="C708" i="6"/>
  <c r="D708" i="6"/>
  <c r="E708" i="6"/>
  <c r="F708" i="6"/>
  <c r="H708" i="6"/>
  <c r="I708" i="6"/>
  <c r="N708" i="6"/>
  <c r="R708" i="6"/>
  <c r="Q708" i="6" s="1"/>
  <c r="S708" i="6" s="1"/>
  <c r="T708" i="6"/>
  <c r="B709" i="6"/>
  <c r="C709" i="6"/>
  <c r="D709" i="6"/>
  <c r="E709" i="6"/>
  <c r="F709" i="6"/>
  <c r="H709" i="6"/>
  <c r="I709" i="6"/>
  <c r="N709" i="6"/>
  <c r="Q709" i="6"/>
  <c r="S709" i="6" s="1"/>
  <c r="R709" i="6"/>
  <c r="T709" i="6"/>
  <c r="B710" i="6"/>
  <c r="C710" i="6"/>
  <c r="D710" i="6"/>
  <c r="E710" i="6"/>
  <c r="F710" i="6"/>
  <c r="H710" i="6"/>
  <c r="I710" i="6"/>
  <c r="N710" i="6"/>
  <c r="Q710" i="6"/>
  <c r="S710" i="6" s="1"/>
  <c r="R710" i="6"/>
  <c r="T710" i="6"/>
  <c r="B711" i="6"/>
  <c r="C711" i="6"/>
  <c r="D711" i="6"/>
  <c r="E711" i="6"/>
  <c r="F711" i="6"/>
  <c r="L711" i="6" s="1"/>
  <c r="H711" i="6"/>
  <c r="I711" i="6"/>
  <c r="N711" i="6"/>
  <c r="Q711" i="6"/>
  <c r="R711" i="6"/>
  <c r="S711" i="6"/>
  <c r="T711" i="6"/>
  <c r="B712" i="6"/>
  <c r="C712" i="6"/>
  <c r="D712" i="6"/>
  <c r="E712" i="6"/>
  <c r="F712" i="6"/>
  <c r="L712" i="6" s="1"/>
  <c r="H712" i="6"/>
  <c r="I712" i="6"/>
  <c r="N712" i="6"/>
  <c r="Q712" i="6"/>
  <c r="S712" i="6" s="1"/>
  <c r="R712" i="6"/>
  <c r="T712" i="6"/>
  <c r="B713" i="6"/>
  <c r="C713" i="6"/>
  <c r="D713" i="6"/>
  <c r="E713" i="6"/>
  <c r="F713" i="6"/>
  <c r="H713" i="6"/>
  <c r="I713" i="6"/>
  <c r="N713" i="6"/>
  <c r="R713" i="6"/>
  <c r="Q713" i="6" s="1"/>
  <c r="S713" i="6"/>
  <c r="T713" i="6"/>
  <c r="B714" i="6"/>
  <c r="C714" i="6"/>
  <c r="L714" i="6" s="1"/>
  <c r="D714" i="6"/>
  <c r="E714" i="6"/>
  <c r="F714" i="6"/>
  <c r="H714" i="6"/>
  <c r="I714" i="6"/>
  <c r="N714" i="6"/>
  <c r="Q714" i="6"/>
  <c r="S714" i="6" s="1"/>
  <c r="R714" i="6"/>
  <c r="T714" i="6"/>
  <c r="B715" i="6"/>
  <c r="C715" i="6"/>
  <c r="D715" i="6"/>
  <c r="E715" i="6"/>
  <c r="F715" i="6"/>
  <c r="H715" i="6"/>
  <c r="I715" i="6"/>
  <c r="N715" i="6"/>
  <c r="Q715" i="6"/>
  <c r="R715" i="6"/>
  <c r="S715" i="6"/>
  <c r="T715" i="6"/>
  <c r="B716" i="6"/>
  <c r="C716" i="6"/>
  <c r="L716" i="6" s="1"/>
  <c r="D716" i="6"/>
  <c r="E716" i="6"/>
  <c r="F716" i="6"/>
  <c r="H716" i="6"/>
  <c r="I716" i="6"/>
  <c r="N716" i="6"/>
  <c r="R716" i="6"/>
  <c r="Q716" i="6" s="1"/>
  <c r="S716" i="6"/>
  <c r="T716" i="6"/>
  <c r="B717" i="6"/>
  <c r="C717" i="6"/>
  <c r="D717" i="6"/>
  <c r="E717" i="6"/>
  <c r="F717" i="6"/>
  <c r="H717" i="6"/>
  <c r="I717" i="6"/>
  <c r="N717" i="6"/>
  <c r="Q717" i="6"/>
  <c r="R717" i="6"/>
  <c r="S717" i="6"/>
  <c r="T717" i="6"/>
  <c r="B718" i="6"/>
  <c r="C718" i="6"/>
  <c r="D718" i="6"/>
  <c r="E718" i="6"/>
  <c r="F718" i="6"/>
  <c r="H718" i="6"/>
  <c r="I718" i="6"/>
  <c r="N718" i="6"/>
  <c r="R718" i="6"/>
  <c r="Q718" i="6" s="1"/>
  <c r="S718" i="6" s="1"/>
  <c r="T718" i="6"/>
  <c r="B719" i="6"/>
  <c r="C719" i="6"/>
  <c r="D719" i="6"/>
  <c r="E719" i="6"/>
  <c r="F719" i="6"/>
  <c r="H719" i="6"/>
  <c r="I719" i="6"/>
  <c r="L719" i="6"/>
  <c r="N719" i="6"/>
  <c r="Q719" i="6"/>
  <c r="S719" i="6" s="1"/>
  <c r="R719" i="6"/>
  <c r="T719" i="6"/>
  <c r="B720" i="6"/>
  <c r="C720" i="6"/>
  <c r="D720" i="6"/>
  <c r="E720" i="6"/>
  <c r="F720" i="6"/>
  <c r="H720" i="6"/>
  <c r="I720" i="6"/>
  <c r="N720" i="6"/>
  <c r="R720" i="6"/>
  <c r="Q720" i="6" s="1"/>
  <c r="S720" i="6" s="1"/>
  <c r="T720" i="6"/>
  <c r="B721" i="6"/>
  <c r="C721" i="6"/>
  <c r="D721" i="6"/>
  <c r="E721" i="6"/>
  <c r="F721" i="6"/>
  <c r="H721" i="6"/>
  <c r="L721" i="6" s="1"/>
  <c r="I721" i="6"/>
  <c r="N721" i="6"/>
  <c r="Q721" i="6"/>
  <c r="S721" i="6" s="1"/>
  <c r="R721" i="6"/>
  <c r="T721" i="6"/>
  <c r="B722" i="6"/>
  <c r="C722" i="6"/>
  <c r="D722" i="6"/>
  <c r="E722" i="6"/>
  <c r="F722" i="6"/>
  <c r="H722" i="6"/>
  <c r="I722" i="6"/>
  <c r="N722" i="6"/>
  <c r="Q722" i="6"/>
  <c r="S722" i="6" s="1"/>
  <c r="R722" i="6"/>
  <c r="T722" i="6"/>
  <c r="B723" i="6"/>
  <c r="C723" i="6"/>
  <c r="D723" i="6"/>
  <c r="E723" i="6"/>
  <c r="F723" i="6"/>
  <c r="H723" i="6"/>
  <c r="I723" i="6"/>
  <c r="N723" i="6"/>
  <c r="R723" i="6"/>
  <c r="Q723" i="6" s="1"/>
  <c r="S723" i="6" s="1"/>
  <c r="T723" i="6"/>
  <c r="B724" i="6"/>
  <c r="C724" i="6"/>
  <c r="D724" i="6"/>
  <c r="E724" i="6"/>
  <c r="F724" i="6"/>
  <c r="H724" i="6"/>
  <c r="I724" i="6"/>
  <c r="N724" i="6"/>
  <c r="R724" i="6"/>
  <c r="Q724" i="6" s="1"/>
  <c r="S724" i="6"/>
  <c r="T724" i="6"/>
  <c r="B725" i="6"/>
  <c r="C725" i="6"/>
  <c r="D725" i="6"/>
  <c r="E725" i="6"/>
  <c r="F725" i="6"/>
  <c r="H725" i="6"/>
  <c r="I725" i="6"/>
  <c r="L725" i="6" s="1"/>
  <c r="N725" i="6"/>
  <c r="Q725" i="6"/>
  <c r="R725" i="6"/>
  <c r="S725" i="6"/>
  <c r="T725" i="6"/>
  <c r="B726" i="6"/>
  <c r="C726" i="6"/>
  <c r="D726" i="6"/>
  <c r="E726" i="6"/>
  <c r="F726" i="6"/>
  <c r="H726" i="6"/>
  <c r="I726" i="6"/>
  <c r="N726" i="6"/>
  <c r="R726" i="6"/>
  <c r="Q726" i="6" s="1"/>
  <c r="S726" i="6"/>
  <c r="T726" i="6"/>
  <c r="B727" i="6"/>
  <c r="C727" i="6"/>
  <c r="D727" i="6"/>
  <c r="E727" i="6"/>
  <c r="F727" i="6"/>
  <c r="H727" i="6"/>
  <c r="I727" i="6"/>
  <c r="N727" i="6"/>
  <c r="Q727" i="6"/>
  <c r="R727" i="6"/>
  <c r="S727" i="6"/>
  <c r="T727" i="6"/>
  <c r="B728" i="6"/>
  <c r="C728" i="6"/>
  <c r="D728" i="6"/>
  <c r="E728" i="6"/>
  <c r="F728" i="6"/>
  <c r="H728" i="6"/>
  <c r="I728" i="6"/>
  <c r="N728" i="6"/>
  <c r="Q728" i="6"/>
  <c r="S728" i="6" s="1"/>
  <c r="R728" i="6"/>
  <c r="T728" i="6"/>
  <c r="B729" i="6"/>
  <c r="C729" i="6"/>
  <c r="D729" i="6"/>
  <c r="E729" i="6"/>
  <c r="F729" i="6"/>
  <c r="H729" i="6"/>
  <c r="I729" i="6"/>
  <c r="N729" i="6"/>
  <c r="Q729" i="6"/>
  <c r="S729" i="6" s="1"/>
  <c r="R729" i="6"/>
  <c r="T729" i="6"/>
  <c r="B730" i="6"/>
  <c r="C730" i="6"/>
  <c r="L730" i="6" s="1"/>
  <c r="D730" i="6"/>
  <c r="E730" i="6"/>
  <c r="F730" i="6"/>
  <c r="H730" i="6"/>
  <c r="I730" i="6"/>
  <c r="N730" i="6"/>
  <c r="Q730" i="6"/>
  <c r="S730" i="6" s="1"/>
  <c r="R730" i="6"/>
  <c r="T730" i="6"/>
  <c r="B731" i="6"/>
  <c r="C731" i="6"/>
  <c r="D731" i="6"/>
  <c r="E731" i="6"/>
  <c r="F731" i="6"/>
  <c r="H731" i="6"/>
  <c r="I731" i="6"/>
  <c r="N731" i="6"/>
  <c r="R731" i="6"/>
  <c r="Q731" i="6" s="1"/>
  <c r="S731" i="6"/>
  <c r="T731" i="6"/>
  <c r="B732" i="6"/>
  <c r="C732" i="6"/>
  <c r="D732" i="6"/>
  <c r="E732" i="6"/>
  <c r="F732" i="6"/>
  <c r="H732" i="6"/>
  <c r="I732" i="6"/>
  <c r="N732" i="6"/>
  <c r="R732" i="6"/>
  <c r="Q732" i="6" s="1"/>
  <c r="S732" i="6"/>
  <c r="T732" i="6"/>
  <c r="B733" i="6"/>
  <c r="C733" i="6"/>
  <c r="D733" i="6"/>
  <c r="E733" i="6"/>
  <c r="F733" i="6"/>
  <c r="H733" i="6"/>
  <c r="I733" i="6"/>
  <c r="N733" i="6"/>
  <c r="R733" i="6"/>
  <c r="Q733" i="6" s="1"/>
  <c r="S733" i="6" s="1"/>
  <c r="T733" i="6"/>
  <c r="B734" i="6"/>
  <c r="C734" i="6"/>
  <c r="L734" i="6" s="1"/>
  <c r="D734" i="6"/>
  <c r="E734" i="6"/>
  <c r="F734" i="6"/>
  <c r="H734" i="6"/>
  <c r="I734" i="6"/>
  <c r="N734" i="6"/>
  <c r="R734" i="6"/>
  <c r="Q734" i="6" s="1"/>
  <c r="S734" i="6"/>
  <c r="T734" i="6"/>
  <c r="B735" i="6"/>
  <c r="C735" i="6"/>
  <c r="D735" i="6"/>
  <c r="E735" i="6"/>
  <c r="F735" i="6"/>
  <c r="H735" i="6"/>
  <c r="I735" i="6"/>
  <c r="L735" i="6" s="1"/>
  <c r="N735" i="6"/>
  <c r="Q735" i="6"/>
  <c r="S735" i="6" s="1"/>
  <c r="R735" i="6"/>
  <c r="T735" i="6"/>
  <c r="B736" i="6"/>
  <c r="C736" i="6"/>
  <c r="D736" i="6"/>
  <c r="E736" i="6"/>
  <c r="F736" i="6"/>
  <c r="H736" i="6"/>
  <c r="I736" i="6"/>
  <c r="N736" i="6"/>
  <c r="Q736" i="6"/>
  <c r="S736" i="6" s="1"/>
  <c r="R736" i="6"/>
  <c r="T736" i="6"/>
  <c r="B737" i="6"/>
  <c r="C737" i="6"/>
  <c r="D737" i="6"/>
  <c r="E737" i="6"/>
  <c r="F737" i="6"/>
  <c r="L737" i="6" s="1"/>
  <c r="H737" i="6"/>
  <c r="I737" i="6"/>
  <c r="N737" i="6"/>
  <c r="Q737" i="6"/>
  <c r="R737" i="6"/>
  <c r="S737" i="6"/>
  <c r="T737" i="6"/>
  <c r="B738" i="6"/>
  <c r="C738" i="6"/>
  <c r="D738" i="6"/>
  <c r="E738" i="6"/>
  <c r="F738" i="6"/>
  <c r="L738" i="6" s="1"/>
  <c r="H738" i="6"/>
  <c r="I738" i="6"/>
  <c r="N738" i="6"/>
  <c r="Q738" i="6"/>
  <c r="S738" i="6" s="1"/>
  <c r="R738" i="6"/>
  <c r="T738" i="6"/>
  <c r="B739" i="6"/>
  <c r="C739" i="6"/>
  <c r="D739" i="6"/>
  <c r="E739" i="6"/>
  <c r="F739" i="6"/>
  <c r="H739" i="6"/>
  <c r="I739" i="6"/>
  <c r="N739" i="6"/>
  <c r="R739" i="6"/>
  <c r="Q739" i="6" s="1"/>
  <c r="S739" i="6" s="1"/>
  <c r="T739" i="6"/>
  <c r="B740" i="6"/>
  <c r="C740" i="6"/>
  <c r="D740" i="6"/>
  <c r="E740" i="6"/>
  <c r="F740" i="6"/>
  <c r="H740" i="6"/>
  <c r="I740" i="6"/>
  <c r="N740" i="6"/>
  <c r="R740" i="6"/>
  <c r="Q740" i="6" s="1"/>
  <c r="S740" i="6" s="1"/>
  <c r="T740" i="6"/>
  <c r="B741" i="6"/>
  <c r="C741" i="6"/>
  <c r="D741" i="6"/>
  <c r="E741" i="6"/>
  <c r="F741" i="6"/>
  <c r="H741" i="6"/>
  <c r="I741" i="6"/>
  <c r="N741" i="6"/>
  <c r="Q741" i="6"/>
  <c r="S741" i="6" s="1"/>
  <c r="R741" i="6"/>
  <c r="T741" i="6"/>
  <c r="B742" i="6"/>
  <c r="C742" i="6"/>
  <c r="D742" i="6"/>
  <c r="E742" i="6"/>
  <c r="F742" i="6"/>
  <c r="H742" i="6"/>
  <c r="I742" i="6"/>
  <c r="N742" i="6"/>
  <c r="Q742" i="6"/>
  <c r="S742" i="6" s="1"/>
  <c r="R742" i="6"/>
  <c r="T742" i="6"/>
  <c r="B743" i="6"/>
  <c r="C743" i="6"/>
  <c r="D743" i="6"/>
  <c r="E743" i="6"/>
  <c r="F743" i="6"/>
  <c r="H743" i="6"/>
  <c r="I743" i="6"/>
  <c r="N743" i="6"/>
  <c r="Q743" i="6"/>
  <c r="S743" i="6" s="1"/>
  <c r="R743" i="6"/>
  <c r="T743" i="6"/>
  <c r="B744" i="6"/>
  <c r="C744" i="6"/>
  <c r="D744" i="6"/>
  <c r="E744" i="6"/>
  <c r="F744" i="6"/>
  <c r="H744" i="6"/>
  <c r="I744" i="6"/>
  <c r="N744" i="6"/>
  <c r="Q744" i="6"/>
  <c r="R744" i="6"/>
  <c r="S744" i="6"/>
  <c r="T744" i="6"/>
  <c r="B745" i="6"/>
  <c r="C745" i="6"/>
  <c r="D745" i="6"/>
  <c r="E745" i="6"/>
  <c r="F745" i="6"/>
  <c r="H745" i="6"/>
  <c r="I745" i="6"/>
  <c r="L745" i="6"/>
  <c r="N745" i="6"/>
  <c r="Q745" i="6"/>
  <c r="S745" i="6" s="1"/>
  <c r="R745" i="6"/>
  <c r="T745" i="6"/>
  <c r="B746" i="6"/>
  <c r="C746" i="6"/>
  <c r="D746" i="6"/>
  <c r="E746" i="6"/>
  <c r="F746" i="6"/>
  <c r="H746" i="6"/>
  <c r="I746" i="6"/>
  <c r="N746" i="6"/>
  <c r="R746" i="6"/>
  <c r="Q746" i="6" s="1"/>
  <c r="S746" i="6" s="1"/>
  <c r="T746" i="6"/>
  <c r="B747" i="6"/>
  <c r="C747" i="6"/>
  <c r="L747" i="6" s="1"/>
  <c r="D747" i="6"/>
  <c r="E747" i="6"/>
  <c r="F747" i="6"/>
  <c r="H747" i="6"/>
  <c r="I747" i="6"/>
  <c r="N747" i="6"/>
  <c r="Q747" i="6"/>
  <c r="S747" i="6" s="1"/>
  <c r="R747" i="6"/>
  <c r="T747" i="6"/>
  <c r="B748" i="6"/>
  <c r="C748" i="6"/>
  <c r="D748" i="6"/>
  <c r="E748" i="6"/>
  <c r="F748" i="6"/>
  <c r="H748" i="6"/>
  <c r="I748" i="6"/>
  <c r="N748" i="6"/>
  <c r="R748" i="6"/>
  <c r="Q748" i="6" s="1"/>
  <c r="S748" i="6"/>
  <c r="T748" i="6"/>
  <c r="B749" i="6"/>
  <c r="C749" i="6"/>
  <c r="D749" i="6"/>
  <c r="E749" i="6"/>
  <c r="F749" i="6"/>
  <c r="H749" i="6"/>
  <c r="I749" i="6"/>
  <c r="L749" i="6"/>
  <c r="N749" i="6"/>
  <c r="R749" i="6"/>
  <c r="Q749" i="6" s="1"/>
  <c r="S749" i="6" s="1"/>
  <c r="T749" i="6"/>
  <c r="B750" i="6"/>
  <c r="C750" i="6"/>
  <c r="D750" i="6"/>
  <c r="E750" i="6"/>
  <c r="F750" i="6"/>
  <c r="H750" i="6"/>
  <c r="I750" i="6"/>
  <c r="N750" i="6"/>
  <c r="Q750" i="6"/>
  <c r="S750" i="6" s="1"/>
  <c r="R750" i="6"/>
  <c r="T750" i="6"/>
  <c r="B751" i="6"/>
  <c r="C751" i="6"/>
  <c r="D751" i="6"/>
  <c r="E751" i="6"/>
  <c r="F751" i="6"/>
  <c r="H751" i="6"/>
  <c r="I751" i="6"/>
  <c r="N751" i="6"/>
  <c r="Q751" i="6"/>
  <c r="R751" i="6"/>
  <c r="S751" i="6"/>
  <c r="T751" i="6"/>
  <c r="B752" i="6"/>
  <c r="C752" i="6"/>
  <c r="D752" i="6"/>
  <c r="E752" i="6"/>
  <c r="F752" i="6"/>
  <c r="H752" i="6"/>
  <c r="I752" i="6"/>
  <c r="N752" i="6"/>
  <c r="R752" i="6"/>
  <c r="Q752" i="6" s="1"/>
  <c r="S752" i="6" s="1"/>
  <c r="T752" i="6"/>
  <c r="B753" i="6"/>
  <c r="C753" i="6"/>
  <c r="D753" i="6"/>
  <c r="E753" i="6"/>
  <c r="F753" i="6"/>
  <c r="H753" i="6"/>
  <c r="I753" i="6"/>
  <c r="N753" i="6"/>
  <c r="R753" i="6"/>
  <c r="Q753" i="6" s="1"/>
  <c r="S753" i="6" s="1"/>
  <c r="T753" i="6"/>
  <c r="B754" i="6"/>
  <c r="C754" i="6"/>
  <c r="D754" i="6"/>
  <c r="E754" i="6"/>
  <c r="F754" i="6"/>
  <c r="H754" i="6"/>
  <c r="L754" i="6" s="1"/>
  <c r="I754" i="6"/>
  <c r="N754" i="6"/>
  <c r="R754" i="6"/>
  <c r="Q754" i="6" s="1"/>
  <c r="S754" i="6" s="1"/>
  <c r="T754" i="6"/>
  <c r="B755" i="6"/>
  <c r="C755" i="6"/>
  <c r="D755" i="6"/>
  <c r="E755" i="6"/>
  <c r="F755" i="6"/>
  <c r="H755" i="6"/>
  <c r="I755" i="6"/>
  <c r="N755" i="6"/>
  <c r="Q755" i="6"/>
  <c r="R755" i="6"/>
  <c r="S755" i="6"/>
  <c r="T755" i="6"/>
  <c r="B756" i="6"/>
  <c r="C756" i="6"/>
  <c r="D756" i="6"/>
  <c r="E756" i="6"/>
  <c r="F756" i="6"/>
  <c r="H756" i="6"/>
  <c r="I756" i="6"/>
  <c r="L756" i="6"/>
  <c r="N756" i="6"/>
  <c r="R756" i="6"/>
  <c r="Q756" i="6" s="1"/>
  <c r="S756" i="6" s="1"/>
  <c r="T756" i="6"/>
  <c r="B757" i="6"/>
  <c r="C757" i="6"/>
  <c r="D757" i="6"/>
  <c r="E757" i="6"/>
  <c r="F757" i="6"/>
  <c r="H757" i="6"/>
  <c r="I757" i="6"/>
  <c r="N757" i="6"/>
  <c r="Q757" i="6"/>
  <c r="R757" i="6"/>
  <c r="S757" i="6"/>
  <c r="T757" i="6"/>
  <c r="B758" i="6"/>
  <c r="C758" i="6"/>
  <c r="D758" i="6"/>
  <c r="E758" i="6"/>
  <c r="F758" i="6"/>
  <c r="H758" i="6"/>
  <c r="I758" i="6"/>
  <c r="N758" i="6"/>
  <c r="Q758" i="6"/>
  <c r="R758" i="6"/>
  <c r="S758" i="6"/>
  <c r="T758" i="6"/>
  <c r="B759" i="6"/>
  <c r="C759" i="6"/>
  <c r="D759" i="6"/>
  <c r="E759" i="6"/>
  <c r="F759" i="6"/>
  <c r="L759" i="6" s="1"/>
  <c r="H759" i="6"/>
  <c r="I759" i="6"/>
  <c r="N759" i="6"/>
  <c r="Q759" i="6"/>
  <c r="S759" i="6" s="1"/>
  <c r="R759" i="6"/>
  <c r="T759" i="6"/>
  <c r="B760" i="6"/>
  <c r="C760" i="6"/>
  <c r="D760" i="6"/>
  <c r="E760" i="6"/>
  <c r="F760" i="6"/>
  <c r="H760" i="6"/>
  <c r="I760" i="6"/>
  <c r="N760" i="6"/>
  <c r="Q760" i="6"/>
  <c r="S760" i="6" s="1"/>
  <c r="R760" i="6"/>
  <c r="T760" i="6"/>
  <c r="B761" i="6"/>
  <c r="C761" i="6"/>
  <c r="D761" i="6"/>
  <c r="E761" i="6"/>
  <c r="F761" i="6"/>
  <c r="H761" i="6"/>
  <c r="I761" i="6"/>
  <c r="N761" i="6"/>
  <c r="R761" i="6"/>
  <c r="Q761" i="6" s="1"/>
  <c r="S761" i="6" s="1"/>
  <c r="T761" i="6"/>
  <c r="B762" i="6"/>
  <c r="C762" i="6"/>
  <c r="D762" i="6"/>
  <c r="E762" i="6"/>
  <c r="F762" i="6"/>
  <c r="H762" i="6"/>
  <c r="I762" i="6"/>
  <c r="L762" i="6"/>
  <c r="N762" i="6"/>
  <c r="Q762" i="6"/>
  <c r="S762" i="6" s="1"/>
  <c r="R762" i="6"/>
  <c r="T762" i="6"/>
  <c r="B763" i="6"/>
  <c r="C763" i="6"/>
  <c r="D763" i="6"/>
  <c r="E763" i="6"/>
  <c r="L763" i="6" s="1"/>
  <c r="F763" i="6"/>
  <c r="H763" i="6"/>
  <c r="I763" i="6"/>
  <c r="N763" i="6"/>
  <c r="Q763" i="6"/>
  <c r="R763" i="6"/>
  <c r="S763" i="6"/>
  <c r="T763" i="6"/>
  <c r="B764" i="6"/>
  <c r="C764" i="6"/>
  <c r="D764" i="6"/>
  <c r="E764" i="6"/>
  <c r="F764" i="6"/>
  <c r="H764" i="6"/>
  <c r="I764" i="6"/>
  <c r="L764" i="6"/>
  <c r="N764" i="6"/>
  <c r="R764" i="6"/>
  <c r="Q764" i="6" s="1"/>
  <c r="S764" i="6" s="1"/>
  <c r="T764" i="6"/>
  <c r="B765" i="6"/>
  <c r="C765" i="6"/>
  <c r="D765" i="6"/>
  <c r="E765" i="6"/>
  <c r="F765" i="6"/>
  <c r="H765" i="6"/>
  <c r="I765" i="6"/>
  <c r="N765" i="6"/>
  <c r="R765" i="6"/>
  <c r="Q765" i="6" s="1"/>
  <c r="S765" i="6" s="1"/>
  <c r="T765" i="6"/>
  <c r="B766" i="6"/>
  <c r="C766" i="6"/>
  <c r="D766" i="6"/>
  <c r="E766" i="6"/>
  <c r="F766" i="6"/>
  <c r="H766" i="6"/>
  <c r="I766" i="6"/>
  <c r="N766" i="6"/>
  <c r="Q766" i="6"/>
  <c r="S766" i="6" s="1"/>
  <c r="R766" i="6"/>
  <c r="T766" i="6"/>
  <c r="B767" i="6"/>
  <c r="C767" i="6"/>
  <c r="D767" i="6"/>
  <c r="E767" i="6"/>
  <c r="F767" i="6"/>
  <c r="H767" i="6"/>
  <c r="I767" i="6"/>
  <c r="N767" i="6"/>
  <c r="Q767" i="6"/>
  <c r="R767" i="6"/>
  <c r="S767" i="6"/>
  <c r="T767" i="6"/>
  <c r="B768" i="6"/>
  <c r="C768" i="6"/>
  <c r="D768" i="6"/>
  <c r="E768" i="6"/>
  <c r="F768" i="6"/>
  <c r="H768" i="6"/>
  <c r="I768" i="6"/>
  <c r="N768" i="6"/>
  <c r="R768" i="6"/>
  <c r="Q768" i="6" s="1"/>
  <c r="S768" i="6" s="1"/>
  <c r="T768" i="6"/>
  <c r="B769" i="6"/>
  <c r="C769" i="6"/>
  <c r="D769" i="6"/>
  <c r="E769" i="6"/>
  <c r="F769" i="6"/>
  <c r="H769" i="6"/>
  <c r="I769" i="6"/>
  <c r="N769" i="6"/>
  <c r="R769" i="6"/>
  <c r="Q769" i="6" s="1"/>
  <c r="S769" i="6"/>
  <c r="T769" i="6"/>
  <c r="B770" i="6"/>
  <c r="C770" i="6"/>
  <c r="D770" i="6"/>
  <c r="E770" i="6"/>
  <c r="F770" i="6"/>
  <c r="H770" i="6"/>
  <c r="I770" i="6"/>
  <c r="N770" i="6"/>
  <c r="R770" i="6"/>
  <c r="Q770" i="6" s="1"/>
  <c r="S770" i="6" s="1"/>
  <c r="T770" i="6"/>
  <c r="B771" i="6"/>
  <c r="C771" i="6"/>
  <c r="D771" i="6"/>
  <c r="E771" i="6"/>
  <c r="F771" i="6"/>
  <c r="L771" i="6" s="1"/>
  <c r="H771" i="6"/>
  <c r="I771" i="6"/>
  <c r="N771" i="6"/>
  <c r="Q771" i="6"/>
  <c r="S771" i="6" s="1"/>
  <c r="R771" i="6"/>
  <c r="T771" i="6"/>
  <c r="B772" i="6"/>
  <c r="C772" i="6"/>
  <c r="D772" i="6"/>
  <c r="E772" i="6"/>
  <c r="F772" i="6"/>
  <c r="H772" i="6"/>
  <c r="I772" i="6"/>
  <c r="N772" i="6"/>
  <c r="R772" i="6"/>
  <c r="Q772" i="6" s="1"/>
  <c r="S772" i="6" s="1"/>
  <c r="T772" i="6"/>
  <c r="B773" i="6"/>
  <c r="C773" i="6"/>
  <c r="L773" i="6" s="1"/>
  <c r="D773" i="6"/>
  <c r="E773" i="6"/>
  <c r="F773" i="6"/>
  <c r="H773" i="6"/>
  <c r="I773" i="6"/>
  <c r="N773" i="6"/>
  <c r="Q773" i="6"/>
  <c r="S773" i="6" s="1"/>
  <c r="R773" i="6"/>
  <c r="T773" i="6"/>
  <c r="B774" i="6"/>
  <c r="C774" i="6"/>
  <c r="D774" i="6"/>
  <c r="E774" i="6"/>
  <c r="F774" i="6"/>
  <c r="H774" i="6"/>
  <c r="I774" i="6"/>
  <c r="N774" i="6"/>
  <c r="R774" i="6"/>
  <c r="Q774" i="6" s="1"/>
  <c r="S774" i="6" s="1"/>
  <c r="T774" i="6"/>
  <c r="B775" i="6"/>
  <c r="C775" i="6"/>
  <c r="D775" i="6"/>
  <c r="E775" i="6"/>
  <c r="F775" i="6"/>
  <c r="H775" i="6"/>
  <c r="I775" i="6"/>
  <c r="N775" i="6"/>
  <c r="Q775" i="6"/>
  <c r="R775" i="6"/>
  <c r="S775" i="6"/>
  <c r="T775" i="6"/>
  <c r="B776" i="6"/>
  <c r="C776" i="6"/>
  <c r="D776" i="6"/>
  <c r="E776" i="6"/>
  <c r="F776" i="6"/>
  <c r="H776" i="6"/>
  <c r="I776" i="6"/>
  <c r="N776" i="6"/>
  <c r="R776" i="6"/>
  <c r="Q776" i="6" s="1"/>
  <c r="S776" i="6" s="1"/>
  <c r="T776" i="6"/>
  <c r="B777" i="6"/>
  <c r="C777" i="6"/>
  <c r="D777" i="6"/>
  <c r="E777" i="6"/>
  <c r="F777" i="6"/>
  <c r="H777" i="6"/>
  <c r="I777" i="6"/>
  <c r="N777" i="6"/>
  <c r="R777" i="6"/>
  <c r="Q777" i="6" s="1"/>
  <c r="S777" i="6" s="1"/>
  <c r="T777" i="6"/>
  <c r="B778" i="6"/>
  <c r="C778" i="6"/>
  <c r="D778" i="6"/>
  <c r="E778" i="6"/>
  <c r="F778" i="6"/>
  <c r="H778" i="6"/>
  <c r="I778" i="6"/>
  <c r="N778" i="6"/>
  <c r="Q778" i="6"/>
  <c r="S778" i="6" s="1"/>
  <c r="R778" i="6"/>
  <c r="T778" i="6"/>
  <c r="B779" i="6"/>
  <c r="C779" i="6"/>
  <c r="D779" i="6"/>
  <c r="E779" i="6"/>
  <c r="F779" i="6"/>
  <c r="H779" i="6"/>
  <c r="I779" i="6"/>
  <c r="N779" i="6"/>
  <c r="Q779" i="6"/>
  <c r="S779" i="6" s="1"/>
  <c r="R779" i="6"/>
  <c r="T779" i="6"/>
  <c r="B780" i="6"/>
  <c r="C780" i="6"/>
  <c r="D780" i="6"/>
  <c r="E780" i="6"/>
  <c r="F780" i="6"/>
  <c r="H780" i="6"/>
  <c r="I780" i="6"/>
  <c r="N780" i="6"/>
  <c r="R780" i="6"/>
  <c r="Q780" i="6" s="1"/>
  <c r="S780" i="6"/>
  <c r="T780" i="6"/>
  <c r="B781" i="6"/>
  <c r="C781" i="6"/>
  <c r="D781" i="6"/>
  <c r="E781" i="6"/>
  <c r="F781" i="6"/>
  <c r="H781" i="6"/>
  <c r="I781" i="6"/>
  <c r="N781" i="6"/>
  <c r="Q781" i="6"/>
  <c r="S781" i="6" s="1"/>
  <c r="R781" i="6"/>
  <c r="T781" i="6"/>
  <c r="B782" i="6"/>
  <c r="C782" i="6"/>
  <c r="D782" i="6"/>
  <c r="E782" i="6"/>
  <c r="F782" i="6"/>
  <c r="H782" i="6"/>
  <c r="I782" i="6"/>
  <c r="N782" i="6"/>
  <c r="Q782" i="6"/>
  <c r="R782" i="6"/>
  <c r="S782" i="6"/>
  <c r="T782" i="6"/>
  <c r="B783" i="6"/>
  <c r="C783" i="6"/>
  <c r="D783" i="6"/>
  <c r="E783" i="6"/>
  <c r="F783" i="6"/>
  <c r="H783" i="6"/>
  <c r="I783" i="6"/>
  <c r="N783" i="6"/>
  <c r="R783" i="6"/>
  <c r="Q783" i="6" s="1"/>
  <c r="S783" i="6" s="1"/>
  <c r="T783" i="6"/>
  <c r="B784" i="6"/>
  <c r="C784" i="6"/>
  <c r="D784" i="6"/>
  <c r="E784" i="6"/>
  <c r="F784" i="6"/>
  <c r="H784" i="6"/>
  <c r="I784" i="6"/>
  <c r="N784" i="6"/>
  <c r="R784" i="6"/>
  <c r="Q784" i="6" s="1"/>
  <c r="S784" i="6" s="1"/>
  <c r="T784" i="6"/>
  <c r="B785" i="6"/>
  <c r="C785" i="6"/>
  <c r="D785" i="6"/>
  <c r="E785" i="6"/>
  <c r="F785" i="6"/>
  <c r="H785" i="6"/>
  <c r="I785" i="6"/>
  <c r="N785" i="6"/>
  <c r="R785" i="6"/>
  <c r="Q785" i="6" s="1"/>
  <c r="S785" i="6" s="1"/>
  <c r="T785" i="6"/>
  <c r="B786" i="6"/>
  <c r="C786" i="6"/>
  <c r="D786" i="6"/>
  <c r="E786" i="6"/>
  <c r="F786" i="6"/>
  <c r="H786" i="6"/>
  <c r="I786" i="6"/>
  <c r="N786" i="6"/>
  <c r="R786" i="6"/>
  <c r="Q786" i="6" s="1"/>
  <c r="S786" i="6"/>
  <c r="T786" i="6"/>
  <c r="B787" i="6"/>
  <c r="C787" i="6"/>
  <c r="D787" i="6"/>
  <c r="E787" i="6"/>
  <c r="F787" i="6"/>
  <c r="H787" i="6"/>
  <c r="I787" i="6"/>
  <c r="N787" i="6"/>
  <c r="R787" i="6"/>
  <c r="Q787" i="6" s="1"/>
  <c r="S787" i="6" s="1"/>
  <c r="T787" i="6"/>
  <c r="B788" i="6"/>
  <c r="C788" i="6"/>
  <c r="D788" i="6"/>
  <c r="E788" i="6"/>
  <c r="F788" i="6"/>
  <c r="H788" i="6"/>
  <c r="L788" i="6" s="1"/>
  <c r="I788" i="6"/>
  <c r="N788" i="6"/>
  <c r="Q788" i="6"/>
  <c r="S788" i="6" s="1"/>
  <c r="R788" i="6"/>
  <c r="T788" i="6"/>
  <c r="B789" i="6"/>
  <c r="C789" i="6"/>
  <c r="D789" i="6"/>
  <c r="E789" i="6"/>
  <c r="F789" i="6"/>
  <c r="H789" i="6"/>
  <c r="I789" i="6"/>
  <c r="N789" i="6"/>
  <c r="Q789" i="6"/>
  <c r="S789" i="6" s="1"/>
  <c r="R789" i="6"/>
  <c r="T789" i="6"/>
  <c r="B790" i="6"/>
  <c r="C790" i="6"/>
  <c r="D790" i="6"/>
  <c r="E790" i="6"/>
  <c r="L790" i="6" s="1"/>
  <c r="F790" i="6"/>
  <c r="H790" i="6"/>
  <c r="I790" i="6"/>
  <c r="N790" i="6"/>
  <c r="Q790" i="6"/>
  <c r="R790" i="6"/>
  <c r="S790" i="6"/>
  <c r="T790" i="6"/>
  <c r="B791" i="6"/>
  <c r="C791" i="6"/>
  <c r="D791" i="6"/>
  <c r="E791" i="6"/>
  <c r="F791" i="6"/>
  <c r="H791" i="6"/>
  <c r="I791" i="6"/>
  <c r="N791" i="6"/>
  <c r="R791" i="6"/>
  <c r="Q791" i="6" s="1"/>
  <c r="S791" i="6" s="1"/>
  <c r="T791" i="6"/>
  <c r="B792" i="6"/>
  <c r="C792" i="6"/>
  <c r="D792" i="6"/>
  <c r="E792" i="6"/>
  <c r="F792" i="6"/>
  <c r="H792" i="6"/>
  <c r="I792" i="6"/>
  <c r="N792" i="6"/>
  <c r="R792" i="6"/>
  <c r="Q792" i="6" s="1"/>
  <c r="S792" i="6" s="1"/>
  <c r="T792" i="6"/>
  <c r="B793" i="6"/>
  <c r="C793" i="6"/>
  <c r="D793" i="6"/>
  <c r="E793" i="6"/>
  <c r="F793" i="6"/>
  <c r="H793" i="6"/>
  <c r="I793" i="6"/>
  <c r="N793" i="6"/>
  <c r="R793" i="6"/>
  <c r="Q793" i="6" s="1"/>
  <c r="S793" i="6" s="1"/>
  <c r="T793" i="6"/>
  <c r="B794" i="6"/>
  <c r="C794" i="6"/>
  <c r="D794" i="6"/>
  <c r="E794" i="6"/>
  <c r="F794" i="6"/>
  <c r="H794" i="6"/>
  <c r="I794" i="6"/>
  <c r="N794" i="6"/>
  <c r="R794" i="6"/>
  <c r="Q794" i="6" s="1"/>
  <c r="S794" i="6"/>
  <c r="T794" i="6"/>
  <c r="B795" i="6"/>
  <c r="C795" i="6"/>
  <c r="D795" i="6"/>
  <c r="E795" i="6"/>
  <c r="F795" i="6"/>
  <c r="H795" i="6"/>
  <c r="I795" i="6"/>
  <c r="N795" i="6"/>
  <c r="R795" i="6"/>
  <c r="Q795" i="6" s="1"/>
  <c r="S795" i="6" s="1"/>
  <c r="T795" i="6"/>
  <c r="B796" i="6"/>
  <c r="C796" i="6"/>
  <c r="D796" i="6"/>
  <c r="E796" i="6"/>
  <c r="F796" i="6"/>
  <c r="H796" i="6"/>
  <c r="I796" i="6"/>
  <c r="N796" i="6"/>
  <c r="Q796" i="6"/>
  <c r="S796" i="6" s="1"/>
  <c r="R796" i="6"/>
  <c r="T796" i="6"/>
  <c r="B797" i="6"/>
  <c r="C797" i="6"/>
  <c r="D797" i="6"/>
  <c r="E797" i="6"/>
  <c r="F797" i="6"/>
  <c r="H797" i="6"/>
  <c r="I797" i="6"/>
  <c r="N797" i="6"/>
  <c r="Q797" i="6"/>
  <c r="S797" i="6" s="1"/>
  <c r="R797" i="6"/>
  <c r="T797" i="6"/>
  <c r="B798" i="6"/>
  <c r="C798" i="6"/>
  <c r="D798" i="6"/>
  <c r="E798" i="6"/>
  <c r="F798" i="6"/>
  <c r="H798" i="6"/>
  <c r="I798" i="6"/>
  <c r="N798" i="6"/>
  <c r="Q798" i="6"/>
  <c r="R798" i="6"/>
  <c r="S798" i="6"/>
  <c r="T798" i="6"/>
  <c r="B799" i="6"/>
  <c r="C799" i="6"/>
  <c r="D799" i="6"/>
  <c r="E799" i="6"/>
  <c r="F799" i="6"/>
  <c r="H799" i="6"/>
  <c r="I799" i="6"/>
  <c r="L799" i="6" s="1"/>
  <c r="N799" i="6"/>
  <c r="R799" i="6"/>
  <c r="Q799" i="6" s="1"/>
  <c r="S799" i="6" s="1"/>
  <c r="T799" i="6"/>
  <c r="B800" i="6"/>
  <c r="C800" i="6"/>
  <c r="D800" i="6"/>
  <c r="E800" i="6"/>
  <c r="F800" i="6"/>
  <c r="H800" i="6"/>
  <c r="I800" i="6"/>
  <c r="N800" i="6"/>
  <c r="R800" i="6"/>
  <c r="Q800" i="6" s="1"/>
  <c r="S800" i="6" s="1"/>
  <c r="T800" i="6"/>
  <c r="B801" i="6"/>
  <c r="C801" i="6"/>
  <c r="D801" i="6"/>
  <c r="E801" i="6"/>
  <c r="F801" i="6"/>
  <c r="H801" i="6"/>
  <c r="I801" i="6"/>
  <c r="N801" i="6"/>
  <c r="R801" i="6"/>
  <c r="Q801" i="6" s="1"/>
  <c r="S801" i="6" s="1"/>
  <c r="T801" i="6"/>
  <c r="B802" i="6"/>
  <c r="C802" i="6"/>
  <c r="D802" i="6"/>
  <c r="E802" i="6"/>
  <c r="F802" i="6"/>
  <c r="H802" i="6"/>
  <c r="I802" i="6"/>
  <c r="N802" i="6"/>
  <c r="R802" i="6"/>
  <c r="Q802" i="6" s="1"/>
  <c r="S802" i="6" s="1"/>
  <c r="T802" i="6"/>
  <c r="B803" i="6"/>
  <c r="C803" i="6"/>
  <c r="D803" i="6"/>
  <c r="E803" i="6"/>
  <c r="F803" i="6"/>
  <c r="H803" i="6"/>
  <c r="I803" i="6"/>
  <c r="N803" i="6"/>
  <c r="R803" i="6"/>
  <c r="Q803" i="6" s="1"/>
  <c r="S803" i="6" s="1"/>
  <c r="T803" i="6"/>
  <c r="B804" i="6"/>
  <c r="C804" i="6"/>
  <c r="D804" i="6"/>
  <c r="E804" i="6"/>
  <c r="F804" i="6"/>
  <c r="H804" i="6"/>
  <c r="I804" i="6"/>
  <c r="N804" i="6"/>
  <c r="Q804" i="6"/>
  <c r="S804" i="6" s="1"/>
  <c r="R804" i="6"/>
  <c r="T804" i="6"/>
  <c r="B805" i="6"/>
  <c r="C805" i="6"/>
  <c r="D805" i="6"/>
  <c r="E805" i="6"/>
  <c r="F805" i="6"/>
  <c r="H805" i="6"/>
  <c r="I805" i="6"/>
  <c r="N805" i="6"/>
  <c r="Q805" i="6"/>
  <c r="S805" i="6" s="1"/>
  <c r="R805" i="6"/>
  <c r="T805" i="6"/>
  <c r="B806" i="6"/>
  <c r="C806" i="6"/>
  <c r="D806" i="6"/>
  <c r="E806" i="6"/>
  <c r="F806" i="6"/>
  <c r="H806" i="6"/>
  <c r="I806" i="6"/>
  <c r="N806" i="6"/>
  <c r="Q806" i="6"/>
  <c r="R806" i="6"/>
  <c r="S806" i="6"/>
  <c r="T806" i="6"/>
  <c r="B807" i="6"/>
  <c r="C807" i="6"/>
  <c r="D807" i="6"/>
  <c r="E807" i="6"/>
  <c r="F807" i="6"/>
  <c r="H807" i="6"/>
  <c r="I807" i="6"/>
  <c r="L807" i="6" s="1"/>
  <c r="N807" i="6"/>
  <c r="R807" i="6"/>
  <c r="Q807" i="6" s="1"/>
  <c r="S807" i="6" s="1"/>
  <c r="T807" i="6"/>
  <c r="B808" i="6"/>
  <c r="C808" i="6"/>
  <c r="D808" i="6"/>
  <c r="E808" i="6"/>
  <c r="F808" i="6"/>
  <c r="H808" i="6"/>
  <c r="I808" i="6"/>
  <c r="N808" i="6"/>
  <c r="R808" i="6"/>
  <c r="Q808" i="6" s="1"/>
  <c r="S808" i="6" s="1"/>
  <c r="T808" i="6"/>
  <c r="B809" i="6"/>
  <c r="C809" i="6"/>
  <c r="D809" i="6"/>
  <c r="E809" i="6"/>
  <c r="F809" i="6"/>
  <c r="H809" i="6"/>
  <c r="I809" i="6"/>
  <c r="N809" i="6"/>
  <c r="R809" i="6"/>
  <c r="Q809" i="6" s="1"/>
  <c r="S809" i="6" s="1"/>
  <c r="T809" i="6"/>
  <c r="B810" i="6"/>
  <c r="C810" i="6"/>
  <c r="D810" i="6"/>
  <c r="E810" i="6"/>
  <c r="F810" i="6"/>
  <c r="H810" i="6"/>
  <c r="I810" i="6"/>
  <c r="N810" i="6"/>
  <c r="R810" i="6"/>
  <c r="Q810" i="6" s="1"/>
  <c r="S810" i="6"/>
  <c r="T810" i="6"/>
  <c r="B811" i="6"/>
  <c r="C811" i="6"/>
  <c r="D811" i="6"/>
  <c r="E811" i="6"/>
  <c r="F811" i="6"/>
  <c r="H811" i="6"/>
  <c r="I811" i="6"/>
  <c r="N811" i="6"/>
  <c r="R811" i="6"/>
  <c r="Q811" i="6" s="1"/>
  <c r="S811" i="6" s="1"/>
  <c r="T811" i="6"/>
  <c r="B812" i="6"/>
  <c r="C812" i="6"/>
  <c r="D812" i="6"/>
  <c r="E812" i="6"/>
  <c r="F812" i="6"/>
  <c r="H812" i="6"/>
  <c r="I812" i="6"/>
  <c r="N812" i="6"/>
  <c r="Q812" i="6"/>
  <c r="S812" i="6" s="1"/>
  <c r="R812" i="6"/>
  <c r="T812" i="6"/>
  <c r="B813" i="6"/>
  <c r="C813" i="6"/>
  <c r="D813" i="6"/>
  <c r="E813" i="6"/>
  <c r="F813" i="6"/>
  <c r="H813" i="6"/>
  <c r="I813" i="6"/>
  <c r="N813" i="6"/>
  <c r="R813" i="6"/>
  <c r="Q813" i="6" s="1"/>
  <c r="S813" i="6" s="1"/>
  <c r="T813" i="6"/>
  <c r="B814" i="6"/>
  <c r="C814" i="6"/>
  <c r="D814" i="6"/>
  <c r="E814" i="6"/>
  <c r="F814" i="6"/>
  <c r="H814" i="6"/>
  <c r="I814" i="6"/>
  <c r="N814" i="6"/>
  <c r="Q814" i="6"/>
  <c r="R814" i="6"/>
  <c r="S814" i="6"/>
  <c r="T814" i="6"/>
  <c r="B815" i="6"/>
  <c r="C815" i="6"/>
  <c r="D815" i="6"/>
  <c r="E815" i="6"/>
  <c r="F815" i="6"/>
  <c r="H815" i="6"/>
  <c r="I815" i="6"/>
  <c r="L815" i="6" s="1"/>
  <c r="N815" i="6"/>
  <c r="R815" i="6"/>
  <c r="Q815" i="6" s="1"/>
  <c r="S815" i="6" s="1"/>
  <c r="T815" i="6"/>
  <c r="B816" i="6"/>
  <c r="C816" i="6"/>
  <c r="D816" i="6"/>
  <c r="E816" i="6"/>
  <c r="F816" i="6"/>
  <c r="H816" i="6"/>
  <c r="I816" i="6"/>
  <c r="N816" i="6"/>
  <c r="R816" i="6"/>
  <c r="Q816" i="6" s="1"/>
  <c r="S816" i="6"/>
  <c r="T816" i="6"/>
  <c r="B817" i="6"/>
  <c r="C817" i="6"/>
  <c r="D817" i="6"/>
  <c r="E817" i="6"/>
  <c r="F817" i="6"/>
  <c r="H817" i="6"/>
  <c r="I817" i="6"/>
  <c r="N817" i="6"/>
  <c r="R817" i="6"/>
  <c r="Q817" i="6" s="1"/>
  <c r="S817" i="6" s="1"/>
  <c r="T817" i="6"/>
  <c r="B818" i="6"/>
  <c r="C818" i="6"/>
  <c r="D818" i="6"/>
  <c r="E818" i="6"/>
  <c r="F818" i="6"/>
  <c r="H818" i="6"/>
  <c r="I818" i="6"/>
  <c r="N818" i="6"/>
  <c r="R818" i="6"/>
  <c r="Q818" i="6" s="1"/>
  <c r="S818" i="6" s="1"/>
  <c r="T818" i="6"/>
  <c r="B819" i="6"/>
  <c r="C819" i="6"/>
  <c r="D819" i="6"/>
  <c r="E819" i="6"/>
  <c r="F819" i="6"/>
  <c r="H819" i="6"/>
  <c r="I819" i="6"/>
  <c r="N819" i="6"/>
  <c r="R819" i="6"/>
  <c r="Q819" i="6" s="1"/>
  <c r="S819" i="6" s="1"/>
  <c r="T819" i="6"/>
  <c r="B820" i="6"/>
  <c r="C820" i="6"/>
  <c r="D820" i="6"/>
  <c r="E820" i="6"/>
  <c r="F820" i="6"/>
  <c r="H820" i="6"/>
  <c r="I820" i="6"/>
  <c r="N820" i="6"/>
  <c r="Q820" i="6"/>
  <c r="S820" i="6" s="1"/>
  <c r="R820" i="6"/>
  <c r="T820" i="6"/>
  <c r="B821" i="6"/>
  <c r="C821" i="6"/>
  <c r="D821" i="6"/>
  <c r="E821" i="6"/>
  <c r="F821" i="6"/>
  <c r="H821" i="6"/>
  <c r="I821" i="6"/>
  <c r="N821" i="6"/>
  <c r="R821" i="6"/>
  <c r="Q821" i="6" s="1"/>
  <c r="S821" i="6" s="1"/>
  <c r="T821" i="6"/>
  <c r="B822" i="6"/>
  <c r="C822" i="6"/>
  <c r="D822" i="6"/>
  <c r="E822" i="6"/>
  <c r="F822" i="6"/>
  <c r="H822" i="6"/>
  <c r="I822" i="6"/>
  <c r="N822" i="6"/>
  <c r="Q822" i="6"/>
  <c r="R822" i="6"/>
  <c r="S822" i="6"/>
  <c r="T822" i="6"/>
  <c r="B823" i="6"/>
  <c r="C823" i="6"/>
  <c r="D823" i="6"/>
  <c r="E823" i="6"/>
  <c r="F823" i="6"/>
  <c r="H823" i="6"/>
  <c r="I823" i="6"/>
  <c r="L823" i="6" s="1"/>
  <c r="N823" i="6"/>
  <c r="R823" i="6"/>
  <c r="Q823" i="6" s="1"/>
  <c r="S823" i="6" s="1"/>
  <c r="T823" i="6"/>
  <c r="B824" i="6"/>
  <c r="C824" i="6"/>
  <c r="D824" i="6"/>
  <c r="E824" i="6"/>
  <c r="F824" i="6"/>
  <c r="H824" i="6"/>
  <c r="I824" i="6"/>
  <c r="N824" i="6"/>
  <c r="R824" i="6"/>
  <c r="Q824" i="6" s="1"/>
  <c r="S824" i="6" s="1"/>
  <c r="T824" i="6"/>
  <c r="B825" i="6"/>
  <c r="C825" i="6"/>
  <c r="D825" i="6"/>
  <c r="E825" i="6"/>
  <c r="F825" i="6"/>
  <c r="H825" i="6"/>
  <c r="I825" i="6"/>
  <c r="N825" i="6"/>
  <c r="R825" i="6"/>
  <c r="Q825" i="6" s="1"/>
  <c r="S825" i="6" s="1"/>
  <c r="T825" i="6"/>
  <c r="B826" i="6"/>
  <c r="C826" i="6"/>
  <c r="D826" i="6"/>
  <c r="E826" i="6"/>
  <c r="F826" i="6"/>
  <c r="H826" i="6"/>
  <c r="I826" i="6"/>
  <c r="N826" i="6"/>
  <c r="R826" i="6"/>
  <c r="Q826" i="6" s="1"/>
  <c r="S826" i="6" s="1"/>
  <c r="T826" i="6"/>
  <c r="B827" i="6"/>
  <c r="C827" i="6"/>
  <c r="D827" i="6"/>
  <c r="E827" i="6"/>
  <c r="F827" i="6"/>
  <c r="H827" i="6"/>
  <c r="I827" i="6"/>
  <c r="N827" i="6"/>
  <c r="R827" i="6"/>
  <c r="Q827" i="6" s="1"/>
  <c r="S827" i="6" s="1"/>
  <c r="T827" i="6"/>
  <c r="B828" i="6"/>
  <c r="C828" i="6"/>
  <c r="D828" i="6"/>
  <c r="E828" i="6"/>
  <c r="F828" i="6"/>
  <c r="H828" i="6"/>
  <c r="I828" i="6"/>
  <c r="N828" i="6"/>
  <c r="Q828" i="6"/>
  <c r="S828" i="6" s="1"/>
  <c r="R828" i="6"/>
  <c r="T828" i="6"/>
  <c r="B829" i="6"/>
  <c r="C829" i="6"/>
  <c r="L829" i="6" s="1"/>
  <c r="D829" i="6"/>
  <c r="E829" i="6"/>
  <c r="F829" i="6"/>
  <c r="H829" i="6"/>
  <c r="I829" i="6"/>
  <c r="N829" i="6"/>
  <c r="R829" i="6"/>
  <c r="Q829" i="6" s="1"/>
  <c r="S829" i="6" s="1"/>
  <c r="T829" i="6"/>
  <c r="B830" i="6"/>
  <c r="C830" i="6"/>
  <c r="D830" i="6"/>
  <c r="E830" i="6"/>
  <c r="L830" i="6" s="1"/>
  <c r="F830" i="6"/>
  <c r="H830" i="6"/>
  <c r="I830" i="6"/>
  <c r="N830" i="6"/>
  <c r="Q830" i="6"/>
  <c r="R830" i="6"/>
  <c r="S830" i="6"/>
  <c r="T830" i="6"/>
  <c r="B831" i="6"/>
  <c r="C831" i="6"/>
  <c r="D831" i="6"/>
  <c r="E831" i="6"/>
  <c r="F831" i="6"/>
  <c r="H831" i="6"/>
  <c r="I831" i="6"/>
  <c r="N831" i="6"/>
  <c r="R831" i="6"/>
  <c r="Q831" i="6" s="1"/>
  <c r="S831" i="6" s="1"/>
  <c r="T831" i="6"/>
  <c r="B832" i="6"/>
  <c r="C832" i="6"/>
  <c r="L832" i="6" s="1"/>
  <c r="D832" i="6"/>
  <c r="E832" i="6"/>
  <c r="F832" i="6"/>
  <c r="H832" i="6"/>
  <c r="I832" i="6"/>
  <c r="N832" i="6"/>
  <c r="R832" i="6"/>
  <c r="Q832" i="6" s="1"/>
  <c r="S832" i="6" s="1"/>
  <c r="T832" i="6"/>
  <c r="B833" i="6"/>
  <c r="C833" i="6"/>
  <c r="D833" i="6"/>
  <c r="E833" i="6"/>
  <c r="F833" i="6"/>
  <c r="H833" i="6"/>
  <c r="I833" i="6"/>
  <c r="N833" i="6"/>
  <c r="R833" i="6"/>
  <c r="Q833" i="6" s="1"/>
  <c r="S833" i="6" s="1"/>
  <c r="T833" i="6"/>
  <c r="B834" i="6"/>
  <c r="C834" i="6"/>
  <c r="D834" i="6"/>
  <c r="E834" i="6"/>
  <c r="F834" i="6"/>
  <c r="H834" i="6"/>
  <c r="I834" i="6"/>
  <c r="N834" i="6"/>
  <c r="R834" i="6"/>
  <c r="Q834" i="6" s="1"/>
  <c r="S834" i="6" s="1"/>
  <c r="T834" i="6"/>
  <c r="B835" i="6"/>
  <c r="C835" i="6"/>
  <c r="D835" i="6"/>
  <c r="E835" i="6"/>
  <c r="F835" i="6"/>
  <c r="H835" i="6"/>
  <c r="I835" i="6"/>
  <c r="N835" i="6"/>
  <c r="R835" i="6"/>
  <c r="Q835" i="6" s="1"/>
  <c r="S835" i="6" s="1"/>
  <c r="T835" i="6"/>
  <c r="B836" i="6"/>
  <c r="C836" i="6"/>
  <c r="D836" i="6"/>
  <c r="E836" i="6"/>
  <c r="F836" i="6"/>
  <c r="H836" i="6"/>
  <c r="L836" i="6" s="1"/>
  <c r="I836" i="6"/>
  <c r="N836" i="6"/>
  <c r="Q836" i="6"/>
  <c r="S836" i="6" s="1"/>
  <c r="R836" i="6"/>
  <c r="T836" i="6"/>
  <c r="B837" i="6"/>
  <c r="C837" i="6"/>
  <c r="D837" i="6"/>
  <c r="E837" i="6"/>
  <c r="F837" i="6"/>
  <c r="H837" i="6"/>
  <c r="I837" i="6"/>
  <c r="N837" i="6"/>
  <c r="Q837" i="6"/>
  <c r="S837" i="6" s="1"/>
  <c r="R837" i="6"/>
  <c r="T837" i="6"/>
  <c r="B838" i="6"/>
  <c r="C838" i="6"/>
  <c r="D838" i="6"/>
  <c r="E838" i="6"/>
  <c r="F838" i="6"/>
  <c r="H838" i="6"/>
  <c r="I838" i="6"/>
  <c r="N838" i="6"/>
  <c r="Q838" i="6"/>
  <c r="R838" i="6"/>
  <c r="S838" i="6"/>
  <c r="T838" i="6"/>
  <c r="B839" i="6"/>
  <c r="C839" i="6"/>
  <c r="D839" i="6"/>
  <c r="E839" i="6"/>
  <c r="F839" i="6"/>
  <c r="H839" i="6"/>
  <c r="I839" i="6"/>
  <c r="L839" i="6"/>
  <c r="N839" i="6"/>
  <c r="R839" i="6"/>
  <c r="Q839" i="6" s="1"/>
  <c r="S839" i="6" s="1"/>
  <c r="T839" i="6"/>
  <c r="B840" i="6"/>
  <c r="C840" i="6"/>
  <c r="D840" i="6"/>
  <c r="E840" i="6"/>
  <c r="F840" i="6"/>
  <c r="H840" i="6"/>
  <c r="I840" i="6"/>
  <c r="N840" i="6"/>
  <c r="R840" i="6"/>
  <c r="Q840" i="6" s="1"/>
  <c r="S840" i="6" s="1"/>
  <c r="T840" i="6"/>
  <c r="B841" i="6"/>
  <c r="C841" i="6"/>
  <c r="L841" i="6" s="1"/>
  <c r="D841" i="6"/>
  <c r="E841" i="6"/>
  <c r="F841" i="6"/>
  <c r="H841" i="6"/>
  <c r="I841" i="6"/>
  <c r="N841" i="6"/>
  <c r="R841" i="6"/>
  <c r="Q841" i="6" s="1"/>
  <c r="S841" i="6" s="1"/>
  <c r="T841" i="6"/>
  <c r="B842" i="6"/>
  <c r="C842" i="6"/>
  <c r="D842" i="6"/>
  <c r="E842" i="6"/>
  <c r="F842" i="6"/>
  <c r="H842" i="6"/>
  <c r="I842" i="6"/>
  <c r="N842" i="6"/>
  <c r="R842" i="6"/>
  <c r="Q842" i="6" s="1"/>
  <c r="S842" i="6" s="1"/>
  <c r="T842" i="6"/>
  <c r="B843" i="6"/>
  <c r="C843" i="6"/>
  <c r="D843" i="6"/>
  <c r="E843" i="6"/>
  <c r="F843" i="6"/>
  <c r="H843" i="6"/>
  <c r="I843" i="6"/>
  <c r="N843" i="6"/>
  <c r="R843" i="6"/>
  <c r="Q843" i="6" s="1"/>
  <c r="S843" i="6" s="1"/>
  <c r="T843" i="6"/>
  <c r="B844" i="6"/>
  <c r="C844" i="6"/>
  <c r="D844" i="6"/>
  <c r="E844" i="6"/>
  <c r="F844" i="6"/>
  <c r="H844" i="6"/>
  <c r="I844" i="6"/>
  <c r="N844" i="6"/>
  <c r="Q844" i="6"/>
  <c r="S844" i="6" s="1"/>
  <c r="R844" i="6"/>
  <c r="T844" i="6"/>
  <c r="B845" i="6"/>
  <c r="C845" i="6"/>
  <c r="D845" i="6"/>
  <c r="E845" i="6"/>
  <c r="F845" i="6"/>
  <c r="H845" i="6"/>
  <c r="I845" i="6"/>
  <c r="N845" i="6"/>
  <c r="Q845" i="6"/>
  <c r="S845" i="6" s="1"/>
  <c r="R845" i="6"/>
  <c r="T845" i="6"/>
  <c r="B846" i="6"/>
  <c r="C846" i="6"/>
  <c r="D846" i="6"/>
  <c r="E846" i="6"/>
  <c r="F846" i="6"/>
  <c r="H846" i="6"/>
  <c r="I846" i="6"/>
  <c r="N846" i="6"/>
  <c r="Q846" i="6"/>
  <c r="R846" i="6"/>
  <c r="S846" i="6"/>
  <c r="T846" i="6"/>
  <c r="B847" i="6"/>
  <c r="C847" i="6"/>
  <c r="L847" i="6" s="1"/>
  <c r="D847" i="6"/>
  <c r="E847" i="6"/>
  <c r="F847" i="6"/>
  <c r="H847" i="6"/>
  <c r="I847" i="6"/>
  <c r="N847" i="6"/>
  <c r="R847" i="6"/>
  <c r="Q847" i="6" s="1"/>
  <c r="S847" i="6" s="1"/>
  <c r="T847" i="6"/>
  <c r="B848" i="6"/>
  <c r="C848" i="6"/>
  <c r="D848" i="6"/>
  <c r="E848" i="6"/>
  <c r="F848" i="6"/>
  <c r="H848" i="6"/>
  <c r="I848" i="6"/>
  <c r="N848" i="6"/>
  <c r="R848" i="6"/>
  <c r="Q848" i="6" s="1"/>
  <c r="S848" i="6" s="1"/>
  <c r="T848" i="6"/>
  <c r="B849" i="6"/>
  <c r="C849" i="6"/>
  <c r="D849" i="6"/>
  <c r="E849" i="6"/>
  <c r="F849" i="6"/>
  <c r="H849" i="6"/>
  <c r="I849" i="6"/>
  <c r="N849" i="6"/>
  <c r="R849" i="6"/>
  <c r="Q849" i="6" s="1"/>
  <c r="S849" i="6" s="1"/>
  <c r="T849" i="6"/>
  <c r="B850" i="6"/>
  <c r="C850" i="6"/>
  <c r="D850" i="6"/>
  <c r="L850" i="6" s="1"/>
  <c r="E850" i="6"/>
  <c r="F850" i="6"/>
  <c r="H850" i="6"/>
  <c r="I850" i="6"/>
  <c r="N850" i="6"/>
  <c r="R850" i="6"/>
  <c r="Q850" i="6" s="1"/>
  <c r="S850" i="6" s="1"/>
  <c r="T850" i="6"/>
  <c r="B851" i="6"/>
  <c r="C851" i="6"/>
  <c r="D851" i="6"/>
  <c r="E851" i="6"/>
  <c r="F851" i="6"/>
  <c r="H851" i="6"/>
  <c r="I851" i="6"/>
  <c r="N851" i="6"/>
  <c r="R851" i="6"/>
  <c r="Q851" i="6" s="1"/>
  <c r="S851" i="6" s="1"/>
  <c r="T851" i="6"/>
  <c r="B852" i="6"/>
  <c r="C852" i="6"/>
  <c r="D852" i="6"/>
  <c r="E852" i="6"/>
  <c r="F852" i="6"/>
  <c r="H852" i="6"/>
  <c r="I852" i="6"/>
  <c r="N852" i="6"/>
  <c r="Q852" i="6"/>
  <c r="R852" i="6"/>
  <c r="S852" i="6"/>
  <c r="T852" i="6"/>
  <c r="B853" i="6"/>
  <c r="C853" i="6"/>
  <c r="D853" i="6"/>
  <c r="E853" i="6"/>
  <c r="F853" i="6"/>
  <c r="H853" i="6"/>
  <c r="I853" i="6"/>
  <c r="N853" i="6"/>
  <c r="Q853" i="6"/>
  <c r="S853" i="6" s="1"/>
  <c r="R853" i="6"/>
  <c r="T853" i="6"/>
  <c r="B854" i="6"/>
  <c r="C854" i="6"/>
  <c r="D854" i="6"/>
  <c r="E854" i="6"/>
  <c r="F854" i="6"/>
  <c r="H854" i="6"/>
  <c r="I854" i="6"/>
  <c r="N854" i="6"/>
  <c r="Q854" i="6"/>
  <c r="R854" i="6"/>
  <c r="S854" i="6"/>
  <c r="T854" i="6"/>
  <c r="B855" i="6"/>
  <c r="C855" i="6"/>
  <c r="D855" i="6"/>
  <c r="E855" i="6"/>
  <c r="F855" i="6"/>
  <c r="H855" i="6"/>
  <c r="I855" i="6"/>
  <c r="L855" i="6"/>
  <c r="N855" i="6"/>
  <c r="R855" i="6"/>
  <c r="Q855" i="6" s="1"/>
  <c r="S855" i="6" s="1"/>
  <c r="T855" i="6"/>
  <c r="B856" i="6"/>
  <c r="C856" i="6"/>
  <c r="D856" i="6"/>
  <c r="E856" i="6"/>
  <c r="F856" i="6"/>
  <c r="H856" i="6"/>
  <c r="I856" i="6"/>
  <c r="N856" i="6"/>
  <c r="Q856" i="6"/>
  <c r="S856" i="6" s="1"/>
  <c r="R856" i="6"/>
  <c r="T856" i="6"/>
  <c r="B857" i="6"/>
  <c r="C857" i="6"/>
  <c r="D857" i="6"/>
  <c r="E857" i="6"/>
  <c r="F857" i="6"/>
  <c r="H857" i="6"/>
  <c r="I857" i="6"/>
  <c r="N857" i="6"/>
  <c r="R857" i="6"/>
  <c r="Q857" i="6" s="1"/>
  <c r="S857" i="6" s="1"/>
  <c r="T857" i="6"/>
  <c r="B858" i="6"/>
  <c r="C858" i="6"/>
  <c r="D858" i="6"/>
  <c r="E858" i="6"/>
  <c r="F858" i="6"/>
  <c r="H858" i="6"/>
  <c r="I858" i="6"/>
  <c r="N858" i="6"/>
  <c r="R858" i="6"/>
  <c r="Q858" i="6" s="1"/>
  <c r="S858" i="6" s="1"/>
  <c r="T858" i="6"/>
  <c r="B859" i="6"/>
  <c r="C859" i="6"/>
  <c r="D859" i="6"/>
  <c r="E859" i="6"/>
  <c r="F859" i="6"/>
  <c r="H859" i="6"/>
  <c r="I859" i="6"/>
  <c r="N859" i="6"/>
  <c r="R859" i="6"/>
  <c r="Q859" i="6" s="1"/>
  <c r="S859" i="6"/>
  <c r="T859" i="6"/>
  <c r="B860" i="6"/>
  <c r="C860" i="6"/>
  <c r="D860" i="6"/>
  <c r="E860" i="6"/>
  <c r="F860" i="6"/>
  <c r="H860" i="6"/>
  <c r="I860" i="6"/>
  <c r="N860" i="6"/>
  <c r="Q860" i="6"/>
  <c r="R860" i="6"/>
  <c r="S860" i="6"/>
  <c r="T860" i="6"/>
  <c r="B861" i="6"/>
  <c r="C861" i="6"/>
  <c r="D861" i="6"/>
  <c r="E861" i="6"/>
  <c r="F861" i="6"/>
  <c r="H861" i="6"/>
  <c r="I861" i="6"/>
  <c r="N861" i="6"/>
  <c r="R861" i="6"/>
  <c r="Q861" i="6" s="1"/>
  <c r="S861" i="6" s="1"/>
  <c r="T861" i="6"/>
  <c r="B862" i="6"/>
  <c r="C862" i="6"/>
  <c r="D862" i="6"/>
  <c r="E862" i="6"/>
  <c r="F862" i="6"/>
  <c r="H862" i="6"/>
  <c r="I862" i="6"/>
  <c r="N862" i="6"/>
  <c r="Q862" i="6"/>
  <c r="S862" i="6" s="1"/>
  <c r="R862" i="6"/>
  <c r="T862" i="6"/>
  <c r="B863" i="6"/>
  <c r="C863" i="6"/>
  <c r="D863" i="6"/>
  <c r="E863" i="6"/>
  <c r="F863" i="6"/>
  <c r="H863" i="6"/>
  <c r="I863" i="6"/>
  <c r="N863" i="6"/>
  <c r="R863" i="6"/>
  <c r="Q863" i="6" s="1"/>
  <c r="S863" i="6" s="1"/>
  <c r="T863" i="6"/>
  <c r="B864" i="6"/>
  <c r="C864" i="6"/>
  <c r="D864" i="6"/>
  <c r="E864" i="6"/>
  <c r="F864" i="6"/>
  <c r="H864" i="6"/>
  <c r="I864" i="6"/>
  <c r="L864" i="6"/>
  <c r="N864" i="6"/>
  <c r="Q864" i="6"/>
  <c r="S864" i="6" s="1"/>
  <c r="R864" i="6"/>
  <c r="T864" i="6"/>
  <c r="B865" i="6"/>
  <c r="C865" i="6"/>
  <c r="D865" i="6"/>
  <c r="E865" i="6"/>
  <c r="F865" i="6"/>
  <c r="H865" i="6"/>
  <c r="I865" i="6"/>
  <c r="N865" i="6"/>
  <c r="R865" i="6"/>
  <c r="Q865" i="6" s="1"/>
  <c r="S865" i="6" s="1"/>
  <c r="T865" i="6"/>
  <c r="B866" i="6"/>
  <c r="C866" i="6"/>
  <c r="L866" i="6" s="1"/>
  <c r="D866" i="6"/>
  <c r="E866" i="6"/>
  <c r="F866" i="6"/>
  <c r="H866" i="6"/>
  <c r="I866" i="6"/>
  <c r="N866" i="6"/>
  <c r="Q866" i="6"/>
  <c r="S866" i="6" s="1"/>
  <c r="R866" i="6"/>
  <c r="T866" i="6"/>
  <c r="B867" i="6"/>
  <c r="C867" i="6"/>
  <c r="D867" i="6"/>
  <c r="E867" i="6"/>
  <c r="F867" i="6"/>
  <c r="H867" i="6"/>
  <c r="I867" i="6"/>
  <c r="N867" i="6"/>
  <c r="R867" i="6"/>
  <c r="Q867" i="6" s="1"/>
  <c r="S867" i="6"/>
  <c r="T867" i="6"/>
  <c r="B868" i="6"/>
  <c r="C868" i="6"/>
  <c r="L868" i="6" s="1"/>
  <c r="D868" i="6"/>
  <c r="E868" i="6"/>
  <c r="F868" i="6"/>
  <c r="H868" i="6"/>
  <c r="I868" i="6"/>
  <c r="N868" i="6"/>
  <c r="Q868" i="6"/>
  <c r="S868" i="6" s="1"/>
  <c r="R868" i="6"/>
  <c r="T868" i="6"/>
  <c r="B869" i="6"/>
  <c r="C869" i="6"/>
  <c r="D869" i="6"/>
  <c r="E869" i="6"/>
  <c r="F869" i="6"/>
  <c r="H869" i="6"/>
  <c r="I869" i="6"/>
  <c r="N869" i="6"/>
  <c r="R869" i="6"/>
  <c r="Q869" i="6" s="1"/>
  <c r="S869" i="6"/>
  <c r="T869" i="6"/>
  <c r="B870" i="6"/>
  <c r="C870" i="6"/>
  <c r="D870" i="6"/>
  <c r="E870" i="6"/>
  <c r="F870" i="6"/>
  <c r="H870" i="6"/>
  <c r="I870" i="6"/>
  <c r="N870" i="6"/>
  <c r="Q870" i="6"/>
  <c r="R870" i="6"/>
  <c r="S870" i="6"/>
  <c r="T870" i="6"/>
  <c r="B871" i="6"/>
  <c r="C871" i="6"/>
  <c r="D871" i="6"/>
  <c r="E871" i="6"/>
  <c r="F871" i="6"/>
  <c r="H871" i="6"/>
  <c r="I871" i="6"/>
  <c r="N871" i="6"/>
  <c r="R871" i="6"/>
  <c r="Q871" i="6" s="1"/>
  <c r="S871" i="6" s="1"/>
  <c r="T871" i="6"/>
  <c r="B872" i="6"/>
  <c r="C872" i="6"/>
  <c r="D872" i="6"/>
  <c r="E872" i="6"/>
  <c r="F872" i="6"/>
  <c r="H872" i="6"/>
  <c r="I872" i="6"/>
  <c r="N872" i="6"/>
  <c r="R872" i="6"/>
  <c r="Q872" i="6" s="1"/>
  <c r="S872" i="6" s="1"/>
  <c r="T872" i="6"/>
  <c r="B873" i="6"/>
  <c r="C873" i="6"/>
  <c r="D873" i="6"/>
  <c r="E873" i="6"/>
  <c r="F873" i="6"/>
  <c r="H873" i="6"/>
  <c r="I873" i="6"/>
  <c r="L873" i="6"/>
  <c r="N873" i="6"/>
  <c r="R873" i="6"/>
  <c r="Q873" i="6" s="1"/>
  <c r="S873" i="6" s="1"/>
  <c r="T873" i="6"/>
  <c r="B874" i="6"/>
  <c r="C874" i="6"/>
  <c r="D874" i="6"/>
  <c r="E874" i="6"/>
  <c r="F874" i="6"/>
  <c r="H874" i="6"/>
  <c r="I874" i="6"/>
  <c r="N874" i="6"/>
  <c r="R874" i="6"/>
  <c r="Q874" i="6" s="1"/>
  <c r="S874" i="6" s="1"/>
  <c r="T874" i="6"/>
  <c r="B875" i="6"/>
  <c r="C875" i="6"/>
  <c r="D875" i="6"/>
  <c r="E875" i="6"/>
  <c r="F875" i="6"/>
  <c r="H875" i="6"/>
  <c r="I875" i="6"/>
  <c r="N875" i="6"/>
  <c r="R875" i="6"/>
  <c r="Q875" i="6" s="1"/>
  <c r="S875" i="6"/>
  <c r="T875" i="6"/>
  <c r="B876" i="6"/>
  <c r="C876" i="6"/>
  <c r="D876" i="6"/>
  <c r="E876" i="6"/>
  <c r="F876" i="6"/>
  <c r="H876" i="6"/>
  <c r="I876" i="6"/>
  <c r="N876" i="6"/>
  <c r="Q876" i="6"/>
  <c r="S876" i="6" s="1"/>
  <c r="R876" i="6"/>
  <c r="T876" i="6"/>
  <c r="B877" i="6"/>
  <c r="C877" i="6"/>
  <c r="D877" i="6"/>
  <c r="E877" i="6"/>
  <c r="F877" i="6"/>
  <c r="H877" i="6"/>
  <c r="I877" i="6"/>
  <c r="N877" i="6"/>
  <c r="Q877" i="6"/>
  <c r="S877" i="6" s="1"/>
  <c r="R877" i="6"/>
  <c r="T877" i="6"/>
  <c r="B878" i="6"/>
  <c r="C878" i="6"/>
  <c r="D878" i="6"/>
  <c r="E878" i="6"/>
  <c r="F878" i="6"/>
  <c r="H878" i="6"/>
  <c r="I878" i="6"/>
  <c r="N878" i="6"/>
  <c r="Q878" i="6"/>
  <c r="R878" i="6"/>
  <c r="S878" i="6"/>
  <c r="T878" i="6"/>
  <c r="B879" i="6"/>
  <c r="C879" i="6"/>
  <c r="D879" i="6"/>
  <c r="E879" i="6"/>
  <c r="F879" i="6"/>
  <c r="H879" i="6"/>
  <c r="I879" i="6"/>
  <c r="N879" i="6"/>
  <c r="Q879" i="6"/>
  <c r="S879" i="6" s="1"/>
  <c r="R879" i="6"/>
  <c r="T879" i="6"/>
  <c r="B880" i="6"/>
  <c r="C880" i="6"/>
  <c r="D880" i="6"/>
  <c r="L880" i="6" s="1"/>
  <c r="E880" i="6"/>
  <c r="F880" i="6"/>
  <c r="H880" i="6"/>
  <c r="I880" i="6"/>
  <c r="N880" i="6"/>
  <c r="R880" i="6"/>
  <c r="Q880" i="6" s="1"/>
  <c r="S880" i="6" s="1"/>
  <c r="T880" i="6"/>
  <c r="B881" i="6"/>
  <c r="C881" i="6"/>
  <c r="D881" i="6"/>
  <c r="E881" i="6"/>
  <c r="F881" i="6"/>
  <c r="L881" i="6" s="1"/>
  <c r="H881" i="6"/>
  <c r="I881" i="6"/>
  <c r="N881" i="6"/>
  <c r="R881" i="6"/>
  <c r="Q881" i="6" s="1"/>
  <c r="S881" i="6" s="1"/>
  <c r="T881" i="6"/>
  <c r="B882" i="6"/>
  <c r="C882" i="6"/>
  <c r="D882" i="6"/>
  <c r="E882" i="6"/>
  <c r="F882" i="6"/>
  <c r="H882" i="6"/>
  <c r="I882" i="6"/>
  <c r="N882" i="6"/>
  <c r="R882" i="6"/>
  <c r="Q882" i="6" s="1"/>
  <c r="S882" i="6" s="1"/>
  <c r="T882" i="6"/>
  <c r="B883" i="6"/>
  <c r="C883" i="6"/>
  <c r="D883" i="6"/>
  <c r="E883" i="6"/>
  <c r="F883" i="6"/>
  <c r="H883" i="6"/>
  <c r="I883" i="6"/>
  <c r="N883" i="6"/>
  <c r="R883" i="6"/>
  <c r="Q883" i="6" s="1"/>
  <c r="S883" i="6" s="1"/>
  <c r="T883" i="6"/>
  <c r="B884" i="6"/>
  <c r="C884" i="6"/>
  <c r="D884" i="6"/>
  <c r="E884" i="6"/>
  <c r="F884" i="6"/>
  <c r="H884" i="6"/>
  <c r="I884" i="6"/>
  <c r="N884" i="6"/>
  <c r="Q884" i="6"/>
  <c r="R884" i="6"/>
  <c r="S884" i="6"/>
  <c r="T884" i="6"/>
  <c r="B885" i="6"/>
  <c r="C885" i="6"/>
  <c r="D885" i="6"/>
  <c r="E885" i="6"/>
  <c r="F885" i="6"/>
  <c r="H885" i="6"/>
  <c r="I885" i="6"/>
  <c r="N885" i="6"/>
  <c r="Q885" i="6"/>
  <c r="S885" i="6" s="1"/>
  <c r="R885" i="6"/>
  <c r="T885" i="6"/>
  <c r="B886" i="6"/>
  <c r="C886" i="6"/>
  <c r="D886" i="6"/>
  <c r="E886" i="6"/>
  <c r="F886" i="6"/>
  <c r="H886" i="6"/>
  <c r="I886" i="6"/>
  <c r="N886" i="6"/>
  <c r="Q886" i="6"/>
  <c r="R886" i="6"/>
  <c r="S886" i="6"/>
  <c r="T886" i="6"/>
  <c r="B887" i="6"/>
  <c r="C887" i="6"/>
  <c r="D887" i="6"/>
  <c r="E887" i="6"/>
  <c r="F887" i="6"/>
  <c r="H887" i="6"/>
  <c r="I887" i="6"/>
  <c r="L887" i="6" s="1"/>
  <c r="N887" i="6"/>
  <c r="R887" i="6"/>
  <c r="Q887" i="6" s="1"/>
  <c r="S887" i="6" s="1"/>
  <c r="T887" i="6"/>
  <c r="B888" i="6"/>
  <c r="C888" i="6"/>
  <c r="D888" i="6"/>
  <c r="E888" i="6"/>
  <c r="F888" i="6"/>
  <c r="H888" i="6"/>
  <c r="I888" i="6"/>
  <c r="N888" i="6"/>
  <c r="Q888" i="6"/>
  <c r="R888" i="6"/>
  <c r="S888" i="6"/>
  <c r="T888" i="6"/>
  <c r="B889" i="6"/>
  <c r="C889" i="6"/>
  <c r="D889" i="6"/>
  <c r="E889" i="6"/>
  <c r="F889" i="6"/>
  <c r="H889" i="6"/>
  <c r="I889" i="6"/>
  <c r="N889" i="6"/>
  <c r="R889" i="6"/>
  <c r="Q889" i="6" s="1"/>
  <c r="S889" i="6" s="1"/>
  <c r="T889" i="6"/>
  <c r="B890" i="6"/>
  <c r="C890" i="6"/>
  <c r="D890" i="6"/>
  <c r="E890" i="6"/>
  <c r="F890" i="6"/>
  <c r="H890" i="6"/>
  <c r="I890" i="6"/>
  <c r="N890" i="6"/>
  <c r="Q890" i="6"/>
  <c r="R890" i="6"/>
  <c r="S890" i="6"/>
  <c r="T890" i="6"/>
  <c r="B891" i="6"/>
  <c r="C891" i="6"/>
  <c r="D891" i="6"/>
  <c r="E891" i="6"/>
  <c r="F891" i="6"/>
  <c r="H891" i="6"/>
  <c r="I891" i="6"/>
  <c r="N891" i="6"/>
  <c r="R891" i="6"/>
  <c r="Q891" i="6" s="1"/>
  <c r="S891" i="6"/>
  <c r="T891" i="6"/>
  <c r="B892" i="6"/>
  <c r="C892" i="6"/>
  <c r="D892" i="6"/>
  <c r="E892" i="6"/>
  <c r="F892" i="6"/>
  <c r="H892" i="6"/>
  <c r="I892" i="6"/>
  <c r="N892" i="6"/>
  <c r="Q892" i="6"/>
  <c r="R892" i="6"/>
  <c r="S892" i="6"/>
  <c r="T892" i="6"/>
  <c r="B893" i="6"/>
  <c r="C893" i="6"/>
  <c r="D893" i="6"/>
  <c r="E893" i="6"/>
  <c r="F893" i="6"/>
  <c r="H893" i="6"/>
  <c r="I893" i="6"/>
  <c r="N893" i="6"/>
  <c r="R893" i="6"/>
  <c r="Q893" i="6" s="1"/>
  <c r="S893" i="6" s="1"/>
  <c r="T893" i="6"/>
  <c r="B894" i="6"/>
  <c r="C894" i="6"/>
  <c r="L894" i="6" s="1"/>
  <c r="D894" i="6"/>
  <c r="E894" i="6"/>
  <c r="F894" i="6"/>
  <c r="H894" i="6"/>
  <c r="I894" i="6"/>
  <c r="N894" i="6"/>
  <c r="Q894" i="6"/>
  <c r="S894" i="6" s="1"/>
  <c r="R894" i="6"/>
  <c r="T894" i="6"/>
  <c r="B895" i="6"/>
  <c r="C895" i="6"/>
  <c r="D895" i="6"/>
  <c r="E895" i="6"/>
  <c r="F895" i="6"/>
  <c r="H895" i="6"/>
  <c r="I895" i="6"/>
  <c r="N895" i="6"/>
  <c r="R895" i="6"/>
  <c r="Q895" i="6" s="1"/>
  <c r="S895" i="6" s="1"/>
  <c r="T895" i="6"/>
  <c r="B896" i="6"/>
  <c r="C896" i="6"/>
  <c r="D896" i="6"/>
  <c r="E896" i="6"/>
  <c r="F896" i="6"/>
  <c r="H896" i="6"/>
  <c r="I896" i="6"/>
  <c r="N896" i="6"/>
  <c r="Q896" i="6"/>
  <c r="S896" i="6" s="1"/>
  <c r="R896" i="6"/>
  <c r="T896" i="6"/>
  <c r="B897" i="6"/>
  <c r="C897" i="6"/>
  <c r="L897" i="6" s="1"/>
  <c r="D897" i="6"/>
  <c r="E897" i="6"/>
  <c r="F897" i="6"/>
  <c r="H897" i="6"/>
  <c r="I897" i="6"/>
  <c r="N897" i="6"/>
  <c r="R897" i="6"/>
  <c r="Q897" i="6" s="1"/>
  <c r="S897" i="6" s="1"/>
  <c r="T897" i="6"/>
  <c r="B898" i="6"/>
  <c r="C898" i="6"/>
  <c r="D898" i="6"/>
  <c r="E898" i="6"/>
  <c r="F898" i="6"/>
  <c r="H898" i="6"/>
  <c r="I898" i="6"/>
  <c r="N898" i="6"/>
  <c r="Q898" i="6"/>
  <c r="S898" i="6" s="1"/>
  <c r="R898" i="6"/>
  <c r="T898" i="6"/>
  <c r="B899" i="6"/>
  <c r="C899" i="6"/>
  <c r="D899" i="6"/>
  <c r="E899" i="6"/>
  <c r="F899" i="6"/>
  <c r="H899" i="6"/>
  <c r="I899" i="6"/>
  <c r="N899" i="6"/>
  <c r="R899" i="6"/>
  <c r="Q899" i="6" s="1"/>
  <c r="S899" i="6"/>
  <c r="T899" i="6"/>
  <c r="B900" i="6"/>
  <c r="C900" i="6"/>
  <c r="D900" i="6"/>
  <c r="E900" i="6"/>
  <c r="F900" i="6"/>
  <c r="H900" i="6"/>
  <c r="I900" i="6"/>
  <c r="N900" i="6"/>
  <c r="Q900" i="6"/>
  <c r="S900" i="6" s="1"/>
  <c r="R900" i="6"/>
  <c r="T900" i="6"/>
  <c r="B901" i="6"/>
  <c r="C901" i="6"/>
  <c r="L901" i="6" s="1"/>
  <c r="D901" i="6"/>
  <c r="E901" i="6"/>
  <c r="F901" i="6"/>
  <c r="H901" i="6"/>
  <c r="I901" i="6"/>
  <c r="N901" i="6"/>
  <c r="R901" i="6"/>
  <c r="Q901" i="6" s="1"/>
  <c r="S901" i="6" s="1"/>
  <c r="T901" i="6"/>
  <c r="B902" i="6"/>
  <c r="C902" i="6"/>
  <c r="D902" i="6"/>
  <c r="E902" i="6"/>
  <c r="F902" i="6"/>
  <c r="H902" i="6"/>
  <c r="I902" i="6"/>
  <c r="N902" i="6"/>
  <c r="Q902" i="6"/>
  <c r="R902" i="6"/>
  <c r="S902" i="6"/>
  <c r="T902" i="6"/>
  <c r="B903" i="6"/>
  <c r="C903" i="6"/>
  <c r="D903" i="6"/>
  <c r="E903" i="6"/>
  <c r="F903" i="6"/>
  <c r="H903" i="6"/>
  <c r="I903" i="6"/>
  <c r="N903" i="6"/>
  <c r="R903" i="6"/>
  <c r="Q903" i="6" s="1"/>
  <c r="S903" i="6" s="1"/>
  <c r="T903" i="6"/>
  <c r="B904" i="6"/>
  <c r="C904" i="6"/>
  <c r="D904" i="6"/>
  <c r="E904" i="6"/>
  <c r="F904" i="6"/>
  <c r="H904" i="6"/>
  <c r="I904" i="6"/>
  <c r="N904" i="6"/>
  <c r="R904" i="6"/>
  <c r="Q904" i="6" s="1"/>
  <c r="S904" i="6" s="1"/>
  <c r="T904" i="6"/>
  <c r="B905" i="6"/>
  <c r="C905" i="6"/>
  <c r="D905" i="6"/>
  <c r="E905" i="6"/>
  <c r="F905" i="6"/>
  <c r="H905" i="6"/>
  <c r="I905" i="6"/>
  <c r="L905" i="6"/>
  <c r="N905" i="6"/>
  <c r="R905" i="6"/>
  <c r="Q905" i="6" s="1"/>
  <c r="S905" i="6" s="1"/>
  <c r="T905" i="6"/>
  <c r="B906" i="6"/>
  <c r="C906" i="6"/>
  <c r="D906" i="6"/>
  <c r="E906" i="6"/>
  <c r="F906" i="6"/>
  <c r="L906" i="6" s="1"/>
  <c r="H906" i="6"/>
  <c r="I906" i="6"/>
  <c r="N906" i="6"/>
  <c r="R906" i="6"/>
  <c r="Q906" i="6" s="1"/>
  <c r="S906" i="6" s="1"/>
  <c r="T906" i="6"/>
  <c r="B907" i="6"/>
  <c r="C907" i="6"/>
  <c r="D907" i="6"/>
  <c r="E907" i="6"/>
  <c r="F907" i="6"/>
  <c r="H907" i="6"/>
  <c r="I907" i="6"/>
  <c r="N907" i="6"/>
  <c r="R907" i="6"/>
  <c r="Q907" i="6" s="1"/>
  <c r="S907" i="6"/>
  <c r="T907" i="6"/>
  <c r="B908" i="6"/>
  <c r="C908" i="6"/>
  <c r="D908" i="6"/>
  <c r="E908" i="6"/>
  <c r="F908" i="6"/>
  <c r="H908" i="6"/>
  <c r="I908" i="6"/>
  <c r="L908" i="6" s="1"/>
  <c r="N908" i="6"/>
  <c r="Q908" i="6"/>
  <c r="S908" i="6" s="1"/>
  <c r="R908" i="6"/>
  <c r="T908" i="6"/>
  <c r="B909" i="6"/>
  <c r="C909" i="6"/>
  <c r="D909" i="6"/>
  <c r="E909" i="6"/>
  <c r="F909" i="6"/>
  <c r="H909" i="6"/>
  <c r="I909" i="6"/>
  <c r="N909" i="6"/>
  <c r="Q909" i="6"/>
  <c r="R909" i="6"/>
  <c r="S909" i="6"/>
  <c r="T909" i="6"/>
  <c r="B910" i="6"/>
  <c r="C910" i="6"/>
  <c r="D910" i="6"/>
  <c r="E910" i="6"/>
  <c r="F910" i="6"/>
  <c r="H910" i="6"/>
  <c r="I910" i="6"/>
  <c r="N910" i="6"/>
  <c r="Q910" i="6"/>
  <c r="S910" i="6" s="1"/>
  <c r="R910" i="6"/>
  <c r="T910" i="6"/>
  <c r="B911" i="6"/>
  <c r="C911" i="6"/>
  <c r="D911" i="6"/>
  <c r="E911" i="6"/>
  <c r="F911" i="6"/>
  <c r="H911" i="6"/>
  <c r="I911" i="6"/>
  <c r="N911" i="6"/>
  <c r="Q911" i="6"/>
  <c r="S911" i="6" s="1"/>
  <c r="R911" i="6"/>
  <c r="T911" i="6"/>
  <c r="B912" i="6"/>
  <c r="C912" i="6"/>
  <c r="D912" i="6"/>
  <c r="E912" i="6"/>
  <c r="F912" i="6"/>
  <c r="H912" i="6"/>
  <c r="I912" i="6"/>
  <c r="N912" i="6"/>
  <c r="R912" i="6"/>
  <c r="Q912" i="6" s="1"/>
  <c r="S912" i="6"/>
  <c r="T912" i="6"/>
  <c r="B913" i="6"/>
  <c r="C913" i="6"/>
  <c r="D913" i="6"/>
  <c r="E913" i="6"/>
  <c r="F913" i="6"/>
  <c r="H913" i="6"/>
  <c r="I913" i="6"/>
  <c r="N913" i="6"/>
  <c r="R913" i="6"/>
  <c r="Q913" i="6" s="1"/>
  <c r="S913" i="6" s="1"/>
  <c r="T913" i="6"/>
  <c r="B914" i="6"/>
  <c r="C914" i="6"/>
  <c r="D914" i="6"/>
  <c r="E914" i="6"/>
  <c r="F914" i="6"/>
  <c r="H914" i="6"/>
  <c r="I914" i="6"/>
  <c r="N914" i="6"/>
  <c r="R914" i="6"/>
  <c r="Q914" i="6" s="1"/>
  <c r="S914" i="6" s="1"/>
  <c r="T914" i="6"/>
  <c r="B915" i="6"/>
  <c r="C915" i="6"/>
  <c r="D915" i="6"/>
  <c r="E915" i="6"/>
  <c r="F915" i="6"/>
  <c r="H915" i="6"/>
  <c r="I915" i="6"/>
  <c r="N915" i="6"/>
  <c r="R915" i="6"/>
  <c r="Q915" i="6" s="1"/>
  <c r="S915" i="6" s="1"/>
  <c r="T915" i="6"/>
  <c r="B916" i="6"/>
  <c r="C916" i="6"/>
  <c r="D916" i="6"/>
  <c r="E916" i="6"/>
  <c r="F916" i="6"/>
  <c r="H916" i="6"/>
  <c r="I916" i="6"/>
  <c r="N916" i="6"/>
  <c r="Q916" i="6"/>
  <c r="R916" i="6"/>
  <c r="S916" i="6"/>
  <c r="T916" i="6"/>
  <c r="B917" i="6"/>
  <c r="C917" i="6"/>
  <c r="D917" i="6"/>
  <c r="E917" i="6"/>
  <c r="F917" i="6"/>
  <c r="H917" i="6"/>
  <c r="I917" i="6"/>
  <c r="N917" i="6"/>
  <c r="Q917" i="6"/>
  <c r="S917" i="6" s="1"/>
  <c r="R917" i="6"/>
  <c r="T917" i="6"/>
  <c r="B918" i="6"/>
  <c r="C918" i="6"/>
  <c r="L918" i="6" s="1"/>
  <c r="D918" i="6"/>
  <c r="E918" i="6"/>
  <c r="F918" i="6"/>
  <c r="H918" i="6"/>
  <c r="I918" i="6"/>
  <c r="N918" i="6"/>
  <c r="Q918" i="6"/>
  <c r="R918" i="6"/>
  <c r="S918" i="6"/>
  <c r="T918" i="6"/>
  <c r="B919" i="6"/>
  <c r="C919" i="6"/>
  <c r="D919" i="6"/>
  <c r="E919" i="6"/>
  <c r="F919" i="6"/>
  <c r="H919" i="6"/>
  <c r="I919" i="6"/>
  <c r="N919" i="6"/>
  <c r="R919" i="6"/>
  <c r="Q919" i="6" s="1"/>
  <c r="S919" i="6" s="1"/>
  <c r="T919" i="6"/>
  <c r="B920" i="6"/>
  <c r="C920" i="6"/>
  <c r="D920" i="6"/>
  <c r="E920" i="6"/>
  <c r="F920" i="6"/>
  <c r="H920" i="6"/>
  <c r="I920" i="6"/>
  <c r="N920" i="6"/>
  <c r="Q920" i="6"/>
  <c r="S920" i="6" s="1"/>
  <c r="R920" i="6"/>
  <c r="T920" i="6"/>
  <c r="B921" i="6"/>
  <c r="C921" i="6"/>
  <c r="D921" i="6"/>
  <c r="E921" i="6"/>
  <c r="F921" i="6"/>
  <c r="H921" i="6"/>
  <c r="I921" i="6"/>
  <c r="N921" i="6"/>
  <c r="R921" i="6"/>
  <c r="Q921" i="6" s="1"/>
  <c r="S921" i="6" s="1"/>
  <c r="T921" i="6"/>
  <c r="B922" i="6"/>
  <c r="C922" i="6"/>
  <c r="L922" i="6" s="1"/>
  <c r="D922" i="6"/>
  <c r="E922" i="6"/>
  <c r="F922" i="6"/>
  <c r="H922" i="6"/>
  <c r="I922" i="6"/>
  <c r="N922" i="6"/>
  <c r="R922" i="6"/>
  <c r="Q922" i="6" s="1"/>
  <c r="S922" i="6" s="1"/>
  <c r="T922" i="6"/>
  <c r="B923" i="6"/>
  <c r="C923" i="6"/>
  <c r="D923" i="6"/>
  <c r="E923" i="6"/>
  <c r="F923" i="6"/>
  <c r="H923" i="6"/>
  <c r="I923" i="6"/>
  <c r="N923" i="6"/>
  <c r="R923" i="6"/>
  <c r="Q923" i="6" s="1"/>
  <c r="S923" i="6"/>
  <c r="T923" i="6"/>
  <c r="B924" i="6"/>
  <c r="C924" i="6"/>
  <c r="D924" i="6"/>
  <c r="E924" i="6"/>
  <c r="F924" i="6"/>
  <c r="H924" i="6"/>
  <c r="I924" i="6"/>
  <c r="N924" i="6"/>
  <c r="Q924" i="6"/>
  <c r="R924" i="6"/>
  <c r="S924" i="6"/>
  <c r="T924" i="6"/>
  <c r="B925" i="6"/>
  <c r="C925" i="6"/>
  <c r="D925" i="6"/>
  <c r="E925" i="6"/>
  <c r="F925" i="6"/>
  <c r="H925" i="6"/>
  <c r="I925" i="6"/>
  <c r="N925" i="6"/>
  <c r="R925" i="6"/>
  <c r="Q925" i="6" s="1"/>
  <c r="S925" i="6" s="1"/>
  <c r="T925" i="6"/>
  <c r="B926" i="6"/>
  <c r="C926" i="6"/>
  <c r="D926" i="6"/>
  <c r="E926" i="6"/>
  <c r="F926" i="6"/>
  <c r="H926" i="6"/>
  <c r="I926" i="6"/>
  <c r="N926" i="6"/>
  <c r="Q926" i="6"/>
  <c r="S926" i="6" s="1"/>
  <c r="R926" i="6"/>
  <c r="T926" i="6"/>
  <c r="B927" i="6"/>
  <c r="C927" i="6"/>
  <c r="D927" i="6"/>
  <c r="E927" i="6"/>
  <c r="F927" i="6"/>
  <c r="H927" i="6"/>
  <c r="I927" i="6"/>
  <c r="N927" i="6"/>
  <c r="R927" i="6"/>
  <c r="Q927" i="6" s="1"/>
  <c r="S927" i="6" s="1"/>
  <c r="T927" i="6"/>
  <c r="B928" i="6"/>
  <c r="C928" i="6"/>
  <c r="L928" i="6" s="1"/>
  <c r="D928" i="6"/>
  <c r="E928" i="6"/>
  <c r="F928" i="6"/>
  <c r="H928" i="6"/>
  <c r="I928" i="6"/>
  <c r="N928" i="6"/>
  <c r="Q928" i="6"/>
  <c r="S928" i="6" s="1"/>
  <c r="R928" i="6"/>
  <c r="T928" i="6"/>
  <c r="B929" i="6"/>
  <c r="C929" i="6"/>
  <c r="L929" i="6" s="1"/>
  <c r="D929" i="6"/>
  <c r="E929" i="6"/>
  <c r="F929" i="6"/>
  <c r="H929" i="6"/>
  <c r="I929" i="6"/>
  <c r="N929" i="6"/>
  <c r="R929" i="6"/>
  <c r="Q929" i="6" s="1"/>
  <c r="S929" i="6" s="1"/>
  <c r="T929" i="6"/>
  <c r="B930" i="6"/>
  <c r="C930" i="6"/>
  <c r="L930" i="6" s="1"/>
  <c r="D930" i="6"/>
  <c r="E930" i="6"/>
  <c r="F930" i="6"/>
  <c r="H930" i="6"/>
  <c r="I930" i="6"/>
  <c r="N930" i="6"/>
  <c r="Q930" i="6"/>
  <c r="S930" i="6" s="1"/>
  <c r="R930" i="6"/>
  <c r="T930" i="6"/>
  <c r="B931" i="6"/>
  <c r="C931" i="6"/>
  <c r="D931" i="6"/>
  <c r="E931" i="6"/>
  <c r="F931" i="6"/>
  <c r="H931" i="6"/>
  <c r="I931" i="6"/>
  <c r="N931" i="6"/>
  <c r="R931" i="6"/>
  <c r="Q931" i="6" s="1"/>
  <c r="S931" i="6"/>
  <c r="T931" i="6"/>
  <c r="B932" i="6"/>
  <c r="C932" i="6"/>
  <c r="D932" i="6"/>
  <c r="E932" i="6"/>
  <c r="F932" i="6"/>
  <c r="H932" i="6"/>
  <c r="I932" i="6"/>
  <c r="N932" i="6"/>
  <c r="Q932" i="6"/>
  <c r="S932" i="6" s="1"/>
  <c r="R932" i="6"/>
  <c r="T932" i="6"/>
  <c r="B933" i="6"/>
  <c r="C933" i="6"/>
  <c r="D933" i="6"/>
  <c r="E933" i="6"/>
  <c r="F933" i="6"/>
  <c r="H933" i="6"/>
  <c r="I933" i="6"/>
  <c r="N933" i="6"/>
  <c r="R933" i="6"/>
  <c r="Q933" i="6" s="1"/>
  <c r="S933" i="6"/>
  <c r="T933" i="6"/>
  <c r="B934" i="6"/>
  <c r="C934" i="6"/>
  <c r="D934" i="6"/>
  <c r="E934" i="6"/>
  <c r="F934" i="6"/>
  <c r="H934" i="6"/>
  <c r="I934" i="6"/>
  <c r="N934" i="6"/>
  <c r="Q934" i="6"/>
  <c r="R934" i="6"/>
  <c r="S934" i="6"/>
  <c r="T934" i="6"/>
  <c r="B935" i="6"/>
  <c r="C935" i="6"/>
  <c r="L935" i="6" s="1"/>
  <c r="D935" i="6"/>
  <c r="E935" i="6"/>
  <c r="F935" i="6"/>
  <c r="H935" i="6"/>
  <c r="I935" i="6"/>
  <c r="N935" i="6"/>
  <c r="R935" i="6"/>
  <c r="Q935" i="6" s="1"/>
  <c r="S935" i="6" s="1"/>
  <c r="T935" i="6"/>
  <c r="B936" i="6"/>
  <c r="C936" i="6"/>
  <c r="D936" i="6"/>
  <c r="E936" i="6"/>
  <c r="F936" i="6"/>
  <c r="H936" i="6"/>
  <c r="I936" i="6"/>
  <c r="N936" i="6"/>
  <c r="R936" i="6"/>
  <c r="Q936" i="6" s="1"/>
  <c r="S936" i="6" s="1"/>
  <c r="T936" i="6"/>
  <c r="B937" i="6"/>
  <c r="C937" i="6"/>
  <c r="D937" i="6"/>
  <c r="E937" i="6"/>
  <c r="F937" i="6"/>
  <c r="H937" i="6"/>
  <c r="L937" i="6" s="1"/>
  <c r="I937" i="6"/>
  <c r="N937" i="6"/>
  <c r="R937" i="6"/>
  <c r="Q937" i="6" s="1"/>
  <c r="S937" i="6" s="1"/>
  <c r="T937" i="6"/>
  <c r="B938" i="6"/>
  <c r="C938" i="6"/>
  <c r="D938" i="6"/>
  <c r="E938" i="6"/>
  <c r="F938" i="6"/>
  <c r="H938" i="6"/>
  <c r="I938" i="6"/>
  <c r="N938" i="6"/>
  <c r="R938" i="6"/>
  <c r="Q938" i="6" s="1"/>
  <c r="S938" i="6" s="1"/>
  <c r="T938" i="6"/>
  <c r="B939" i="6"/>
  <c r="C939" i="6"/>
  <c r="D939" i="6"/>
  <c r="E939" i="6"/>
  <c r="F939" i="6"/>
  <c r="H939" i="6"/>
  <c r="I939" i="6"/>
  <c r="N939" i="6"/>
  <c r="R939" i="6"/>
  <c r="Q939" i="6" s="1"/>
  <c r="S939" i="6" s="1"/>
  <c r="T939" i="6"/>
  <c r="B940" i="6"/>
  <c r="C940" i="6"/>
  <c r="D940" i="6"/>
  <c r="E940" i="6"/>
  <c r="F940" i="6"/>
  <c r="H940" i="6"/>
  <c r="I940" i="6"/>
  <c r="N940" i="6"/>
  <c r="Q940" i="6"/>
  <c r="S940" i="6" s="1"/>
  <c r="R940" i="6"/>
  <c r="T940" i="6"/>
  <c r="B941" i="6"/>
  <c r="C941" i="6"/>
  <c r="D941" i="6"/>
  <c r="E941" i="6"/>
  <c r="F941" i="6"/>
  <c r="H941" i="6"/>
  <c r="I941" i="6"/>
  <c r="N941" i="6"/>
  <c r="Q941" i="6"/>
  <c r="S941" i="6" s="1"/>
  <c r="R941" i="6"/>
  <c r="T941" i="6"/>
  <c r="B942" i="6"/>
  <c r="C942" i="6"/>
  <c r="D942" i="6"/>
  <c r="E942" i="6"/>
  <c r="F942" i="6"/>
  <c r="H942" i="6"/>
  <c r="I942" i="6"/>
  <c r="N942" i="6"/>
  <c r="Q942" i="6"/>
  <c r="R942" i="6"/>
  <c r="S942" i="6"/>
  <c r="T942" i="6"/>
  <c r="B943" i="6"/>
  <c r="C943" i="6"/>
  <c r="L943" i="6" s="1"/>
  <c r="D943" i="6"/>
  <c r="E943" i="6"/>
  <c r="F943" i="6"/>
  <c r="H943" i="6"/>
  <c r="I943" i="6"/>
  <c r="N943" i="6"/>
  <c r="Q943" i="6"/>
  <c r="S943" i="6" s="1"/>
  <c r="R943" i="6"/>
  <c r="T943" i="6"/>
  <c r="B944" i="6"/>
  <c r="C944" i="6"/>
  <c r="D944" i="6"/>
  <c r="E944" i="6"/>
  <c r="F944" i="6"/>
  <c r="H944" i="6"/>
  <c r="I944" i="6"/>
  <c r="N944" i="6"/>
  <c r="R944" i="6"/>
  <c r="Q944" i="6" s="1"/>
  <c r="S944" i="6" s="1"/>
  <c r="T944" i="6"/>
  <c r="B945" i="6"/>
  <c r="C945" i="6"/>
  <c r="D945" i="6"/>
  <c r="E945" i="6"/>
  <c r="F945" i="6"/>
  <c r="L945" i="6" s="1"/>
  <c r="H945" i="6"/>
  <c r="I945" i="6"/>
  <c r="N945" i="6"/>
  <c r="R945" i="6"/>
  <c r="Q945" i="6" s="1"/>
  <c r="S945" i="6" s="1"/>
  <c r="T945" i="6"/>
  <c r="B946" i="6"/>
  <c r="C946" i="6"/>
  <c r="D946" i="6"/>
  <c r="E946" i="6"/>
  <c r="F946" i="6"/>
  <c r="H946" i="6"/>
  <c r="I946" i="6"/>
  <c r="N946" i="6"/>
  <c r="R946" i="6"/>
  <c r="Q946" i="6" s="1"/>
  <c r="S946" i="6" s="1"/>
  <c r="T946" i="6"/>
  <c r="B947" i="6"/>
  <c r="C947" i="6"/>
  <c r="D947" i="6"/>
  <c r="E947" i="6"/>
  <c r="F947" i="6"/>
  <c r="H947" i="6"/>
  <c r="I947" i="6"/>
  <c r="N947" i="6"/>
  <c r="R947" i="6"/>
  <c r="Q947" i="6" s="1"/>
  <c r="S947" i="6" s="1"/>
  <c r="T947" i="6"/>
  <c r="B948" i="6"/>
  <c r="C948" i="6"/>
  <c r="D948" i="6"/>
  <c r="E948" i="6"/>
  <c r="F948" i="6"/>
  <c r="H948" i="6"/>
  <c r="I948" i="6"/>
  <c r="N948" i="6"/>
  <c r="Q948" i="6"/>
  <c r="R948" i="6"/>
  <c r="S948" i="6"/>
  <c r="T948" i="6"/>
  <c r="B949" i="6"/>
  <c r="C949" i="6"/>
  <c r="D949" i="6"/>
  <c r="E949" i="6"/>
  <c r="F949" i="6"/>
  <c r="H949" i="6"/>
  <c r="I949" i="6"/>
  <c r="N949" i="6"/>
  <c r="Q949" i="6"/>
  <c r="S949" i="6" s="1"/>
  <c r="R949" i="6"/>
  <c r="T949" i="6"/>
  <c r="B950" i="6"/>
  <c r="C950" i="6"/>
  <c r="D950" i="6"/>
  <c r="E950" i="6"/>
  <c r="F950" i="6"/>
  <c r="H950" i="6"/>
  <c r="I950" i="6"/>
  <c r="N950" i="6"/>
  <c r="Q950" i="6"/>
  <c r="R950" i="6"/>
  <c r="S950" i="6"/>
  <c r="T950" i="6"/>
  <c r="B951" i="6"/>
  <c r="C951" i="6"/>
  <c r="D951" i="6"/>
  <c r="E951" i="6"/>
  <c r="F951" i="6"/>
  <c r="H951" i="6"/>
  <c r="I951" i="6"/>
  <c r="L951" i="6" s="1"/>
  <c r="N951" i="6"/>
  <c r="R951" i="6"/>
  <c r="Q951" i="6" s="1"/>
  <c r="S951" i="6" s="1"/>
  <c r="T951" i="6"/>
  <c r="B952" i="6"/>
  <c r="C952" i="6"/>
  <c r="D952" i="6"/>
  <c r="E952" i="6"/>
  <c r="F952" i="6"/>
  <c r="H952" i="6"/>
  <c r="I952" i="6"/>
  <c r="N952" i="6"/>
  <c r="Q952" i="6"/>
  <c r="S952" i="6" s="1"/>
  <c r="R952" i="6"/>
  <c r="T952" i="6"/>
  <c r="B953" i="6"/>
  <c r="C953" i="6"/>
  <c r="D953" i="6"/>
  <c r="E953" i="6"/>
  <c r="F953" i="6"/>
  <c r="H953" i="6"/>
  <c r="I953" i="6"/>
  <c r="N953" i="6"/>
  <c r="R953" i="6"/>
  <c r="Q953" i="6" s="1"/>
  <c r="S953" i="6" s="1"/>
  <c r="T953" i="6"/>
  <c r="B954" i="6"/>
  <c r="C954" i="6"/>
  <c r="D954" i="6"/>
  <c r="E954" i="6"/>
  <c r="F954" i="6"/>
  <c r="H954" i="6"/>
  <c r="I954" i="6"/>
  <c r="N954" i="6"/>
  <c r="Q954" i="6"/>
  <c r="R954" i="6"/>
  <c r="S954" i="6"/>
  <c r="T954" i="6"/>
  <c r="B955" i="6"/>
  <c r="C955" i="6"/>
  <c r="D955" i="6"/>
  <c r="E955" i="6"/>
  <c r="F955" i="6"/>
  <c r="H955" i="6"/>
  <c r="I955" i="6"/>
  <c r="N955" i="6"/>
  <c r="R955" i="6"/>
  <c r="Q955" i="6" s="1"/>
  <c r="S955" i="6"/>
  <c r="T955" i="6"/>
  <c r="B956" i="6"/>
  <c r="C956" i="6"/>
  <c r="D956" i="6"/>
  <c r="E956" i="6"/>
  <c r="F956" i="6"/>
  <c r="H956" i="6"/>
  <c r="I956" i="6"/>
  <c r="N956" i="6"/>
  <c r="Q956" i="6"/>
  <c r="R956" i="6"/>
  <c r="S956" i="6"/>
  <c r="T956" i="6"/>
  <c r="B957" i="6"/>
  <c r="C957" i="6"/>
  <c r="D957" i="6"/>
  <c r="E957" i="6"/>
  <c r="F957" i="6"/>
  <c r="H957" i="6"/>
  <c r="I957" i="6"/>
  <c r="N957" i="6"/>
  <c r="R957" i="6"/>
  <c r="Q957" i="6" s="1"/>
  <c r="S957" i="6" s="1"/>
  <c r="T957" i="6"/>
  <c r="B958" i="6"/>
  <c r="C958" i="6"/>
  <c r="D958" i="6"/>
  <c r="E958" i="6"/>
  <c r="F958" i="6"/>
  <c r="H958" i="6"/>
  <c r="I958" i="6"/>
  <c r="N958" i="6"/>
  <c r="Q958" i="6"/>
  <c r="S958" i="6" s="1"/>
  <c r="R958" i="6"/>
  <c r="T958" i="6"/>
  <c r="B959" i="6"/>
  <c r="C959" i="6"/>
  <c r="D959" i="6"/>
  <c r="E959" i="6"/>
  <c r="F959" i="6"/>
  <c r="H959" i="6"/>
  <c r="I959" i="6"/>
  <c r="N959" i="6"/>
  <c r="R959" i="6"/>
  <c r="Q959" i="6" s="1"/>
  <c r="S959" i="6" s="1"/>
  <c r="T959" i="6"/>
  <c r="B960" i="6"/>
  <c r="C960" i="6"/>
  <c r="L960" i="6" s="1"/>
  <c r="D960" i="6"/>
  <c r="E960" i="6"/>
  <c r="F960" i="6"/>
  <c r="H960" i="6"/>
  <c r="I960" i="6"/>
  <c r="N960" i="6"/>
  <c r="Q960" i="6"/>
  <c r="S960" i="6" s="1"/>
  <c r="R960" i="6"/>
  <c r="T960" i="6"/>
  <c r="B961" i="6"/>
  <c r="C961" i="6"/>
  <c r="L961" i="6" s="1"/>
  <c r="D961" i="6"/>
  <c r="E961" i="6"/>
  <c r="F961" i="6"/>
  <c r="H961" i="6"/>
  <c r="I961" i="6"/>
  <c r="N961" i="6"/>
  <c r="R961" i="6"/>
  <c r="Q961" i="6" s="1"/>
  <c r="S961" i="6" s="1"/>
  <c r="T961" i="6"/>
  <c r="B962" i="6"/>
  <c r="C962" i="6"/>
  <c r="D962" i="6"/>
  <c r="E962" i="6"/>
  <c r="F962" i="6"/>
  <c r="H962" i="6"/>
  <c r="I962" i="6"/>
  <c r="N962" i="6"/>
  <c r="Q962" i="6"/>
  <c r="S962" i="6" s="1"/>
  <c r="R962" i="6"/>
  <c r="T962" i="6"/>
  <c r="B963" i="6"/>
  <c r="C963" i="6"/>
  <c r="D963" i="6"/>
  <c r="E963" i="6"/>
  <c r="F963" i="6"/>
  <c r="H963" i="6"/>
  <c r="I963" i="6"/>
  <c r="N963" i="6"/>
  <c r="R963" i="6"/>
  <c r="Q963" i="6" s="1"/>
  <c r="S963" i="6"/>
  <c r="T963" i="6"/>
  <c r="B964" i="6"/>
  <c r="C964" i="6"/>
  <c r="D964" i="6"/>
  <c r="E964" i="6"/>
  <c r="F964" i="6"/>
  <c r="H964" i="6"/>
  <c r="I964" i="6"/>
  <c r="N964" i="6"/>
  <c r="Q964" i="6"/>
  <c r="S964" i="6" s="1"/>
  <c r="R964" i="6"/>
  <c r="T964" i="6"/>
  <c r="B965" i="6"/>
  <c r="C965" i="6"/>
  <c r="L965" i="6" s="1"/>
  <c r="D965" i="6"/>
  <c r="E965" i="6"/>
  <c r="F965" i="6"/>
  <c r="H965" i="6"/>
  <c r="I965" i="6"/>
  <c r="N965" i="6"/>
  <c r="R965" i="6"/>
  <c r="Q965" i="6" s="1"/>
  <c r="S965" i="6" s="1"/>
  <c r="T965" i="6"/>
  <c r="B966" i="6"/>
  <c r="C966" i="6"/>
  <c r="D966" i="6"/>
  <c r="E966" i="6"/>
  <c r="L966" i="6" s="1"/>
  <c r="F966" i="6"/>
  <c r="H966" i="6"/>
  <c r="I966" i="6"/>
  <c r="N966" i="6"/>
  <c r="Q966" i="6"/>
  <c r="R966" i="6"/>
  <c r="S966" i="6"/>
  <c r="T966" i="6"/>
  <c r="B967" i="6"/>
  <c r="C967" i="6"/>
  <c r="D967" i="6"/>
  <c r="E967" i="6"/>
  <c r="F967" i="6"/>
  <c r="H967" i="6"/>
  <c r="I967" i="6"/>
  <c r="N967" i="6"/>
  <c r="Q967" i="6"/>
  <c r="S967" i="6" s="1"/>
  <c r="R967" i="6"/>
  <c r="T967" i="6"/>
  <c r="B968" i="6"/>
  <c r="C968" i="6"/>
  <c r="D968" i="6"/>
  <c r="E968" i="6"/>
  <c r="F968" i="6"/>
  <c r="H968" i="6"/>
  <c r="I968" i="6"/>
  <c r="N968" i="6"/>
  <c r="R968" i="6"/>
  <c r="Q968" i="6" s="1"/>
  <c r="S968" i="6" s="1"/>
  <c r="T968" i="6"/>
  <c r="B969" i="6"/>
  <c r="C969" i="6"/>
  <c r="D969" i="6"/>
  <c r="L969" i="6" s="1"/>
  <c r="E969" i="6"/>
  <c r="F969" i="6"/>
  <c r="H969" i="6"/>
  <c r="I969" i="6"/>
  <c r="N969" i="6"/>
  <c r="R969" i="6"/>
  <c r="Q969" i="6" s="1"/>
  <c r="S969" i="6" s="1"/>
  <c r="T969" i="6"/>
  <c r="B970" i="6"/>
  <c r="C970" i="6"/>
  <c r="D970" i="6"/>
  <c r="E970" i="6"/>
  <c r="F970" i="6"/>
  <c r="L970" i="6" s="1"/>
  <c r="H970" i="6"/>
  <c r="I970" i="6"/>
  <c r="N970" i="6"/>
  <c r="R970" i="6"/>
  <c r="Q970" i="6" s="1"/>
  <c r="S970" i="6" s="1"/>
  <c r="T970" i="6"/>
  <c r="B971" i="6"/>
  <c r="C971" i="6"/>
  <c r="D971" i="6"/>
  <c r="E971" i="6"/>
  <c r="F971" i="6"/>
  <c r="H971" i="6"/>
  <c r="I971" i="6"/>
  <c r="N971" i="6"/>
  <c r="R971" i="6"/>
  <c r="Q971" i="6" s="1"/>
  <c r="S971" i="6"/>
  <c r="T971" i="6"/>
  <c r="B972" i="6"/>
  <c r="C972" i="6"/>
  <c r="D972" i="6"/>
  <c r="E972" i="6"/>
  <c r="F972" i="6"/>
  <c r="H972" i="6"/>
  <c r="I972" i="6"/>
  <c r="L972" i="6" s="1"/>
  <c r="N972" i="6"/>
  <c r="Q972" i="6"/>
  <c r="S972" i="6" s="1"/>
  <c r="R972" i="6"/>
  <c r="T972" i="6"/>
  <c r="B973" i="6"/>
  <c r="C973" i="6"/>
  <c r="D973" i="6"/>
  <c r="E973" i="6"/>
  <c r="F973" i="6"/>
  <c r="H973" i="6"/>
  <c r="I973" i="6"/>
  <c r="N973" i="6"/>
  <c r="Q973" i="6"/>
  <c r="R973" i="6"/>
  <c r="S973" i="6"/>
  <c r="T973" i="6"/>
  <c r="B974" i="6"/>
  <c r="C974" i="6"/>
  <c r="D974" i="6"/>
  <c r="E974" i="6"/>
  <c r="F974" i="6"/>
  <c r="H974" i="6"/>
  <c r="I974" i="6"/>
  <c r="N974" i="6"/>
  <c r="Q974" i="6"/>
  <c r="S974" i="6" s="1"/>
  <c r="R974" i="6"/>
  <c r="T974" i="6"/>
  <c r="B975" i="6"/>
  <c r="C975" i="6"/>
  <c r="D975" i="6"/>
  <c r="E975" i="6"/>
  <c r="F975" i="6"/>
  <c r="H975" i="6"/>
  <c r="I975" i="6"/>
  <c r="N975" i="6"/>
  <c r="Q975" i="6"/>
  <c r="S975" i="6" s="1"/>
  <c r="R975" i="6"/>
  <c r="T975" i="6"/>
  <c r="B976" i="6"/>
  <c r="C976" i="6"/>
  <c r="D976" i="6"/>
  <c r="E976" i="6"/>
  <c r="F976" i="6"/>
  <c r="H976" i="6"/>
  <c r="I976" i="6"/>
  <c r="N976" i="6"/>
  <c r="R976" i="6"/>
  <c r="Q976" i="6" s="1"/>
  <c r="S976" i="6"/>
  <c r="T976" i="6"/>
  <c r="B977" i="6"/>
  <c r="C977" i="6"/>
  <c r="D977" i="6"/>
  <c r="E977" i="6"/>
  <c r="F977" i="6"/>
  <c r="H977" i="6"/>
  <c r="I977" i="6"/>
  <c r="L977" i="6" s="1"/>
  <c r="N977" i="6"/>
  <c r="R977" i="6"/>
  <c r="Q977" i="6" s="1"/>
  <c r="S977" i="6" s="1"/>
  <c r="T977" i="6"/>
  <c r="B978" i="6"/>
  <c r="C978" i="6"/>
  <c r="D978" i="6"/>
  <c r="E978" i="6"/>
  <c r="F978" i="6"/>
  <c r="H978" i="6"/>
  <c r="I978" i="6"/>
  <c r="N978" i="6"/>
  <c r="R978" i="6"/>
  <c r="Q978" i="6" s="1"/>
  <c r="S978" i="6" s="1"/>
  <c r="T978" i="6"/>
  <c r="B979" i="6"/>
  <c r="C979" i="6"/>
  <c r="D979" i="6"/>
  <c r="E979" i="6"/>
  <c r="F979" i="6"/>
  <c r="H979" i="6"/>
  <c r="I979" i="6"/>
  <c r="N979" i="6"/>
  <c r="R979" i="6"/>
  <c r="Q979" i="6" s="1"/>
  <c r="S979" i="6" s="1"/>
  <c r="T979" i="6"/>
  <c r="B980" i="6"/>
  <c r="C980" i="6"/>
  <c r="D980" i="6"/>
  <c r="E980" i="6"/>
  <c r="F980" i="6"/>
  <c r="H980" i="6"/>
  <c r="I980" i="6"/>
  <c r="N980" i="6"/>
  <c r="Q980" i="6"/>
  <c r="R980" i="6"/>
  <c r="S980" i="6"/>
  <c r="T980" i="6"/>
  <c r="B981" i="6"/>
  <c r="C981" i="6"/>
  <c r="D981" i="6"/>
  <c r="E981" i="6"/>
  <c r="F981" i="6"/>
  <c r="H981" i="6"/>
  <c r="I981" i="6"/>
  <c r="N981" i="6"/>
  <c r="Q981" i="6"/>
  <c r="S981" i="6" s="1"/>
  <c r="R981" i="6"/>
  <c r="T981" i="6"/>
  <c r="B982" i="6"/>
  <c r="C982" i="6"/>
  <c r="L982" i="6" s="1"/>
  <c r="D982" i="6"/>
  <c r="E982" i="6"/>
  <c r="F982" i="6"/>
  <c r="H982" i="6"/>
  <c r="I982" i="6"/>
  <c r="N982" i="6"/>
  <c r="Q982" i="6"/>
  <c r="R982" i="6"/>
  <c r="S982" i="6"/>
  <c r="T982" i="6"/>
  <c r="B983" i="6"/>
  <c r="C983" i="6"/>
  <c r="D983" i="6"/>
  <c r="E983" i="6"/>
  <c r="F983" i="6"/>
  <c r="H983" i="6"/>
  <c r="I983" i="6"/>
  <c r="N983" i="6"/>
  <c r="R983" i="6"/>
  <c r="Q983" i="6" s="1"/>
  <c r="S983" i="6" s="1"/>
  <c r="T983" i="6"/>
  <c r="B984" i="6"/>
  <c r="C984" i="6"/>
  <c r="D984" i="6"/>
  <c r="E984" i="6"/>
  <c r="F984" i="6"/>
  <c r="H984" i="6"/>
  <c r="I984" i="6"/>
  <c r="N984" i="6"/>
  <c r="Q984" i="6"/>
  <c r="S984" i="6" s="1"/>
  <c r="R984" i="6"/>
  <c r="T984" i="6"/>
  <c r="B985" i="6"/>
  <c r="C985" i="6"/>
  <c r="D985" i="6"/>
  <c r="E985" i="6"/>
  <c r="F985" i="6"/>
  <c r="H985" i="6"/>
  <c r="I985" i="6"/>
  <c r="N985" i="6"/>
  <c r="Q985" i="6"/>
  <c r="S985" i="6" s="1"/>
  <c r="R985" i="6"/>
  <c r="T985" i="6"/>
  <c r="B986" i="6"/>
  <c r="C986" i="6"/>
  <c r="D986" i="6"/>
  <c r="E986" i="6"/>
  <c r="F986" i="6"/>
  <c r="L986" i="6" s="1"/>
  <c r="H986" i="6"/>
  <c r="I986" i="6"/>
  <c r="N986" i="6"/>
  <c r="Q986" i="6"/>
  <c r="S986" i="6" s="1"/>
  <c r="R986" i="6"/>
  <c r="T986" i="6"/>
  <c r="B987" i="6"/>
  <c r="C987" i="6"/>
  <c r="D987" i="6"/>
  <c r="E987" i="6"/>
  <c r="F987" i="6"/>
  <c r="H987" i="6"/>
  <c r="I987" i="6"/>
  <c r="N987" i="6"/>
  <c r="R987" i="6"/>
  <c r="Q987" i="6" s="1"/>
  <c r="S987" i="6" s="1"/>
  <c r="T987" i="6"/>
  <c r="B988" i="6"/>
  <c r="C988" i="6"/>
  <c r="D988" i="6"/>
  <c r="E988" i="6"/>
  <c r="F988" i="6"/>
  <c r="H988" i="6"/>
  <c r="I988" i="6"/>
  <c r="N988" i="6"/>
  <c r="R988" i="6"/>
  <c r="Q988" i="6" s="1"/>
  <c r="S988" i="6" s="1"/>
  <c r="T988" i="6"/>
  <c r="B989" i="6"/>
  <c r="C989" i="6"/>
  <c r="L989" i="6" s="1"/>
  <c r="D989" i="6"/>
  <c r="E989" i="6"/>
  <c r="F989" i="6"/>
  <c r="H989" i="6"/>
  <c r="I989" i="6"/>
  <c r="N989" i="6"/>
  <c r="R989" i="6"/>
  <c r="Q989" i="6" s="1"/>
  <c r="S989" i="6" s="1"/>
  <c r="T989" i="6"/>
  <c r="B990" i="6"/>
  <c r="C990" i="6"/>
  <c r="D990" i="6"/>
  <c r="E990" i="6"/>
  <c r="F990" i="6"/>
  <c r="H990" i="6"/>
  <c r="I990" i="6"/>
  <c r="N990" i="6"/>
  <c r="R990" i="6"/>
  <c r="Q990" i="6" s="1"/>
  <c r="S990" i="6" s="1"/>
  <c r="T990" i="6"/>
  <c r="B991" i="6"/>
  <c r="C991" i="6"/>
  <c r="D991" i="6"/>
  <c r="E991" i="6"/>
  <c r="F991" i="6"/>
  <c r="H991" i="6"/>
  <c r="I991" i="6"/>
  <c r="N991" i="6"/>
  <c r="R991" i="6"/>
  <c r="Q991" i="6" s="1"/>
  <c r="S991" i="6" s="1"/>
  <c r="T991" i="6"/>
  <c r="B992" i="6"/>
  <c r="C992" i="6"/>
  <c r="D992" i="6"/>
  <c r="E992" i="6"/>
  <c r="F992" i="6"/>
  <c r="H992" i="6"/>
  <c r="I992" i="6"/>
  <c r="N992" i="6"/>
  <c r="R992" i="6"/>
  <c r="Q992" i="6" s="1"/>
  <c r="S992" i="6" s="1"/>
  <c r="T992" i="6"/>
  <c r="B993" i="6"/>
  <c r="C993" i="6"/>
  <c r="L993" i="6" s="1"/>
  <c r="D993" i="6"/>
  <c r="E993" i="6"/>
  <c r="F993" i="6"/>
  <c r="H993" i="6"/>
  <c r="I993" i="6"/>
  <c r="N993" i="6"/>
  <c r="Q993" i="6"/>
  <c r="R993" i="6"/>
  <c r="S993" i="6"/>
  <c r="T993" i="6"/>
  <c r="B994" i="6"/>
  <c r="C994" i="6"/>
  <c r="L994" i="6" s="1"/>
  <c r="D994" i="6"/>
  <c r="E994" i="6"/>
  <c r="F994" i="6"/>
  <c r="H994" i="6"/>
  <c r="I994" i="6"/>
  <c r="N994" i="6"/>
  <c r="Q994" i="6"/>
  <c r="S994" i="6" s="1"/>
  <c r="R994" i="6"/>
  <c r="T994" i="6"/>
  <c r="B995" i="6"/>
  <c r="C995" i="6"/>
  <c r="D995" i="6"/>
  <c r="E995" i="6"/>
  <c r="F995" i="6"/>
  <c r="H995" i="6"/>
  <c r="I995" i="6"/>
  <c r="N995" i="6"/>
  <c r="Q995" i="6"/>
  <c r="S995" i="6" s="1"/>
  <c r="R995" i="6"/>
  <c r="T995" i="6"/>
  <c r="B996" i="6"/>
  <c r="C996" i="6"/>
  <c r="D996" i="6"/>
  <c r="E996" i="6"/>
  <c r="F996" i="6"/>
  <c r="H996" i="6"/>
  <c r="I996" i="6"/>
  <c r="N996" i="6"/>
  <c r="R996" i="6"/>
  <c r="Q996" i="6" s="1"/>
  <c r="S996" i="6" s="1"/>
  <c r="T996" i="6"/>
  <c r="B997" i="6"/>
  <c r="C997" i="6"/>
  <c r="L997" i="6" s="1"/>
  <c r="D997" i="6"/>
  <c r="E997" i="6"/>
  <c r="F997" i="6"/>
  <c r="H997" i="6"/>
  <c r="I997" i="6"/>
  <c r="N997" i="6"/>
  <c r="R997" i="6"/>
  <c r="Q997" i="6" s="1"/>
  <c r="S997" i="6" s="1"/>
  <c r="T997" i="6"/>
  <c r="B998" i="6"/>
  <c r="C998" i="6"/>
  <c r="D998" i="6"/>
  <c r="E998" i="6"/>
  <c r="F998" i="6"/>
  <c r="H998" i="6"/>
  <c r="I998" i="6"/>
  <c r="L998" i="6"/>
  <c r="N998" i="6"/>
  <c r="R998" i="6"/>
  <c r="Q998" i="6" s="1"/>
  <c r="S998" i="6"/>
  <c r="T998" i="6"/>
  <c r="B999" i="6"/>
  <c r="C999" i="6"/>
  <c r="D999" i="6"/>
  <c r="E999" i="6"/>
  <c r="F999" i="6"/>
  <c r="H999" i="6"/>
  <c r="I999" i="6"/>
  <c r="N999" i="6"/>
  <c r="R999" i="6"/>
  <c r="Q999" i="6" s="1"/>
  <c r="S999" i="6"/>
  <c r="T999" i="6"/>
  <c r="B1000" i="6"/>
  <c r="C1000" i="6"/>
  <c r="D1000" i="6"/>
  <c r="E1000" i="6"/>
  <c r="F1000" i="6"/>
  <c r="H1000" i="6"/>
  <c r="I1000" i="6"/>
  <c r="N1000" i="6"/>
  <c r="Q1000" i="6"/>
  <c r="S1000" i="6" s="1"/>
  <c r="R1000" i="6"/>
  <c r="T1000" i="6"/>
  <c r="B1001" i="6"/>
  <c r="C1001" i="6"/>
  <c r="D1001" i="6"/>
  <c r="E1001" i="6"/>
  <c r="F1001" i="6"/>
  <c r="H1001" i="6"/>
  <c r="I1001" i="6"/>
  <c r="N1001" i="6"/>
  <c r="Q1001" i="6"/>
  <c r="R1001" i="6"/>
  <c r="S1001" i="6"/>
  <c r="T1001" i="6"/>
  <c r="B1002" i="6"/>
  <c r="C1002" i="6"/>
  <c r="L1002" i="6" s="1"/>
  <c r="D1002" i="6"/>
  <c r="E1002" i="6"/>
  <c r="F1002" i="6"/>
  <c r="H1002" i="6"/>
  <c r="I1002" i="6"/>
  <c r="N1002" i="6"/>
  <c r="Q1002" i="6"/>
  <c r="R1002" i="6"/>
  <c r="S1002" i="6"/>
  <c r="T1002" i="6"/>
  <c r="B1003" i="6"/>
  <c r="C1003" i="6"/>
  <c r="D1003" i="6"/>
  <c r="E1003" i="6"/>
  <c r="F1003" i="6"/>
  <c r="H1003" i="6"/>
  <c r="I1003" i="6"/>
  <c r="N1003" i="6"/>
  <c r="R1003" i="6"/>
  <c r="Q1003" i="6" s="1"/>
  <c r="S1003" i="6"/>
  <c r="T1003" i="6"/>
  <c r="B1004" i="6"/>
  <c r="C1004" i="6"/>
  <c r="D1004" i="6"/>
  <c r="E1004" i="6"/>
  <c r="F1004" i="6"/>
  <c r="H1004" i="6"/>
  <c r="I1004" i="6"/>
  <c r="N1004" i="6"/>
  <c r="R1004" i="6"/>
  <c r="Q1004" i="6" s="1"/>
  <c r="S1004" i="6" s="1"/>
  <c r="T1004" i="6"/>
  <c r="B1005" i="6"/>
  <c r="C1005" i="6"/>
  <c r="D1005" i="6"/>
  <c r="E1005" i="6"/>
  <c r="F1005" i="6"/>
  <c r="H1005" i="6"/>
  <c r="I1005" i="6"/>
  <c r="N1005" i="6"/>
  <c r="R1005" i="6"/>
  <c r="Q1005" i="6" s="1"/>
  <c r="S1005" i="6" s="1"/>
  <c r="T1005" i="6"/>
  <c r="B1006" i="6"/>
  <c r="C1006" i="6"/>
  <c r="D1006" i="6"/>
  <c r="E1006" i="6"/>
  <c r="F1006" i="6"/>
  <c r="H1006" i="6"/>
  <c r="I1006" i="6"/>
  <c r="N1006" i="6"/>
  <c r="R1006" i="6"/>
  <c r="Q1006" i="6" s="1"/>
  <c r="S1006" i="6"/>
  <c r="T1006" i="6"/>
  <c r="B1007" i="6"/>
  <c r="C1007" i="6"/>
  <c r="D1007" i="6"/>
  <c r="E1007" i="6"/>
  <c r="F1007" i="6"/>
  <c r="H1007" i="6"/>
  <c r="I1007" i="6"/>
  <c r="N1007" i="6"/>
  <c r="R1007" i="6"/>
  <c r="Q1007" i="6" s="1"/>
  <c r="S1007" i="6" s="1"/>
  <c r="T1007" i="6"/>
  <c r="B1008" i="6"/>
  <c r="C1008" i="6"/>
  <c r="D1008" i="6"/>
  <c r="E1008" i="6"/>
  <c r="F1008" i="6"/>
  <c r="H1008" i="6"/>
  <c r="I1008" i="6"/>
  <c r="N1008" i="6"/>
  <c r="Q1008" i="6"/>
  <c r="R1008" i="6"/>
  <c r="S1008" i="6"/>
  <c r="T1008" i="6"/>
  <c r="B1009" i="6"/>
  <c r="C1009" i="6"/>
  <c r="D1009" i="6"/>
  <c r="E1009" i="6"/>
  <c r="F1009" i="6"/>
  <c r="H1009" i="6"/>
  <c r="I1009" i="6"/>
  <c r="N1009" i="6"/>
  <c r="Q1009" i="6"/>
  <c r="S1009" i="6" s="1"/>
  <c r="R1009" i="6"/>
  <c r="T1009" i="6"/>
  <c r="B1010" i="6"/>
  <c r="C1010" i="6"/>
  <c r="D1010" i="6"/>
  <c r="E1010" i="6"/>
  <c r="F1010" i="6"/>
  <c r="H1010" i="6"/>
  <c r="I1010" i="6"/>
  <c r="N1010" i="6"/>
  <c r="Q1010" i="6"/>
  <c r="R1010" i="6"/>
  <c r="S1010" i="6"/>
  <c r="T1010" i="6"/>
  <c r="B1011" i="6"/>
  <c r="C1011" i="6"/>
  <c r="L1011" i="6" s="1"/>
  <c r="D1011" i="6"/>
  <c r="E1011" i="6"/>
  <c r="F1011" i="6"/>
  <c r="H1011" i="6"/>
  <c r="I1011" i="6"/>
  <c r="N1011" i="6"/>
  <c r="Q1011" i="6"/>
  <c r="S1011" i="6" s="1"/>
  <c r="R1011" i="6"/>
  <c r="T1011" i="6"/>
  <c r="B1012" i="6"/>
  <c r="C1012" i="6"/>
  <c r="D1012" i="6"/>
  <c r="E1012" i="6"/>
  <c r="F1012" i="6"/>
  <c r="H1012" i="6"/>
  <c r="I1012" i="6"/>
  <c r="N1012" i="6"/>
  <c r="R1012" i="6"/>
  <c r="Q1012" i="6" s="1"/>
  <c r="S1012" i="6" s="1"/>
  <c r="T1012" i="6"/>
  <c r="B1013" i="6"/>
  <c r="C1013" i="6"/>
  <c r="D1013" i="6"/>
  <c r="E1013" i="6"/>
  <c r="F1013" i="6"/>
  <c r="H1013" i="6"/>
  <c r="I1013" i="6"/>
  <c r="L1013" i="6"/>
  <c r="N1013" i="6"/>
  <c r="R1013" i="6"/>
  <c r="Q1013" i="6" s="1"/>
  <c r="S1013" i="6" s="1"/>
  <c r="T1013" i="6"/>
  <c r="B1014" i="6"/>
  <c r="C1014" i="6"/>
  <c r="D1014" i="6"/>
  <c r="E1014" i="6"/>
  <c r="F1014" i="6"/>
  <c r="H1014" i="6"/>
  <c r="I1014" i="6"/>
  <c r="N1014" i="6"/>
  <c r="R1014" i="6"/>
  <c r="Q1014" i="6" s="1"/>
  <c r="S1014" i="6"/>
  <c r="T1014" i="6"/>
  <c r="B1015" i="6"/>
  <c r="C1015" i="6"/>
  <c r="D1015" i="6"/>
  <c r="E1015" i="6"/>
  <c r="F1015" i="6"/>
  <c r="H1015" i="6"/>
  <c r="I1015" i="6"/>
  <c r="N1015" i="6"/>
  <c r="R1015" i="6"/>
  <c r="Q1015" i="6" s="1"/>
  <c r="S1015" i="6"/>
  <c r="T1015" i="6"/>
  <c r="B1016" i="6"/>
  <c r="C1016" i="6"/>
  <c r="D1016" i="6"/>
  <c r="E1016" i="6"/>
  <c r="F1016" i="6"/>
  <c r="H1016" i="6"/>
  <c r="I1016" i="6"/>
  <c r="N1016" i="6"/>
  <c r="Q1016" i="6"/>
  <c r="S1016" i="6" s="1"/>
  <c r="R1016" i="6"/>
  <c r="T1016" i="6"/>
  <c r="B1017" i="6"/>
  <c r="C1017" i="6"/>
  <c r="D1017" i="6"/>
  <c r="E1017" i="6"/>
  <c r="F1017" i="6"/>
  <c r="H1017" i="6"/>
  <c r="I1017" i="6"/>
  <c r="N1017" i="6"/>
  <c r="Q1017" i="6"/>
  <c r="S1017" i="6" s="1"/>
  <c r="R1017" i="6"/>
  <c r="T1017" i="6"/>
  <c r="B1018" i="6"/>
  <c r="C1018" i="6"/>
  <c r="D1018" i="6"/>
  <c r="E1018" i="6"/>
  <c r="F1018" i="6"/>
  <c r="H1018" i="6"/>
  <c r="I1018" i="6"/>
  <c r="N1018" i="6"/>
  <c r="Q1018" i="6"/>
  <c r="R1018" i="6"/>
  <c r="S1018" i="6"/>
  <c r="T1018" i="6"/>
  <c r="B1019" i="6"/>
  <c r="C1019" i="6"/>
  <c r="D1019" i="6"/>
  <c r="E1019" i="6"/>
  <c r="F1019" i="6"/>
  <c r="H1019" i="6"/>
  <c r="I1019" i="6"/>
  <c r="N1019" i="6"/>
  <c r="Q1019" i="6"/>
  <c r="R1019" i="6"/>
  <c r="S1019" i="6"/>
  <c r="T1019" i="6"/>
  <c r="B1020" i="6"/>
  <c r="C1020" i="6"/>
  <c r="D1020" i="6"/>
  <c r="E1020" i="6"/>
  <c r="F1020" i="6"/>
  <c r="H1020" i="6"/>
  <c r="I1020" i="6"/>
  <c r="N1020" i="6"/>
  <c r="Q1020" i="6"/>
  <c r="S1020" i="6" s="1"/>
  <c r="R1020" i="6"/>
  <c r="T1020" i="6"/>
  <c r="B1021" i="6"/>
  <c r="C1021" i="6"/>
  <c r="D1021" i="6"/>
  <c r="E1021" i="6"/>
  <c r="F1021" i="6"/>
  <c r="H1021" i="6"/>
  <c r="I1021" i="6"/>
  <c r="N1021" i="6"/>
  <c r="R1021" i="6"/>
  <c r="Q1021" i="6" s="1"/>
  <c r="S1021" i="6" s="1"/>
  <c r="T1021" i="6"/>
  <c r="B1022" i="6"/>
  <c r="C1022" i="6"/>
  <c r="D1022" i="6"/>
  <c r="E1022" i="6"/>
  <c r="F1022" i="6"/>
  <c r="H1022" i="6"/>
  <c r="I1022" i="6"/>
  <c r="N1022" i="6"/>
  <c r="R1022" i="6"/>
  <c r="Q1022" i="6" s="1"/>
  <c r="S1022" i="6"/>
  <c r="T1022" i="6"/>
  <c r="B1023" i="6"/>
  <c r="C1023" i="6"/>
  <c r="D1023" i="6"/>
  <c r="E1023" i="6"/>
  <c r="F1023" i="6"/>
  <c r="H1023" i="6"/>
  <c r="I1023" i="6"/>
  <c r="N1023" i="6"/>
  <c r="R1023" i="6"/>
  <c r="Q1023" i="6" s="1"/>
  <c r="S1023" i="6"/>
  <c r="T1023" i="6"/>
  <c r="B1024" i="6"/>
  <c r="C1024" i="6"/>
  <c r="D1024" i="6"/>
  <c r="E1024" i="6"/>
  <c r="F1024" i="6"/>
  <c r="H1024" i="6"/>
  <c r="I1024" i="6"/>
  <c r="N1024" i="6"/>
  <c r="R1024" i="6"/>
  <c r="Q1024" i="6" s="1"/>
  <c r="S1024" i="6" s="1"/>
  <c r="T1024" i="6"/>
  <c r="B1025" i="6"/>
  <c r="C1025" i="6"/>
  <c r="D1025" i="6"/>
  <c r="E1025" i="6"/>
  <c r="F1025" i="6"/>
  <c r="H1025" i="6"/>
  <c r="I1025" i="6"/>
  <c r="N1025" i="6"/>
  <c r="Q1025" i="6"/>
  <c r="R1025" i="6"/>
  <c r="S1025" i="6"/>
  <c r="T1025" i="6"/>
  <c r="B1026" i="6"/>
  <c r="C1026" i="6"/>
  <c r="D1026" i="6"/>
  <c r="E1026" i="6"/>
  <c r="F1026" i="6"/>
  <c r="H1026" i="6"/>
  <c r="I1026" i="6"/>
  <c r="N1026" i="6"/>
  <c r="Q1026" i="6"/>
  <c r="S1026" i="6" s="1"/>
  <c r="R1026" i="6"/>
  <c r="T1026" i="6"/>
  <c r="B1027" i="6"/>
  <c r="C1027" i="6"/>
  <c r="D1027" i="6"/>
  <c r="E1027" i="6"/>
  <c r="F1027" i="6"/>
  <c r="H1027" i="6"/>
  <c r="I1027" i="6"/>
  <c r="N1027" i="6"/>
  <c r="R1027" i="6"/>
  <c r="Q1027" i="6" s="1"/>
  <c r="S1027" i="6" s="1"/>
  <c r="T1027" i="6"/>
  <c r="B1028" i="6"/>
  <c r="C1028" i="6"/>
  <c r="D1028" i="6"/>
  <c r="E1028" i="6"/>
  <c r="F1028" i="6"/>
  <c r="H1028" i="6"/>
  <c r="I1028" i="6"/>
  <c r="N1028" i="6"/>
  <c r="R1028" i="6"/>
  <c r="Q1028" i="6" s="1"/>
  <c r="S1028" i="6" s="1"/>
  <c r="T1028" i="6"/>
  <c r="B1029" i="6"/>
  <c r="C1029" i="6"/>
  <c r="D1029" i="6"/>
  <c r="E1029" i="6"/>
  <c r="F1029" i="6"/>
  <c r="H1029" i="6"/>
  <c r="I1029" i="6"/>
  <c r="N1029" i="6"/>
  <c r="R1029" i="6"/>
  <c r="Q1029" i="6" s="1"/>
  <c r="S1029" i="6" s="1"/>
  <c r="T1029" i="6"/>
  <c r="B1030" i="6"/>
  <c r="C1030" i="6"/>
  <c r="L1030" i="6" s="1"/>
  <c r="D1030" i="6"/>
  <c r="E1030" i="6"/>
  <c r="F1030" i="6"/>
  <c r="H1030" i="6"/>
  <c r="I1030" i="6"/>
  <c r="N1030" i="6"/>
  <c r="R1030" i="6"/>
  <c r="Q1030" i="6" s="1"/>
  <c r="S1030" i="6"/>
  <c r="T1030" i="6"/>
  <c r="B1031" i="6"/>
  <c r="C1031" i="6"/>
  <c r="D1031" i="6"/>
  <c r="L1031" i="6" s="1"/>
  <c r="E1031" i="6"/>
  <c r="F1031" i="6"/>
  <c r="H1031" i="6"/>
  <c r="I1031" i="6"/>
  <c r="N1031" i="6"/>
  <c r="R1031" i="6"/>
  <c r="Q1031" i="6" s="1"/>
  <c r="S1031" i="6" s="1"/>
  <c r="T1031" i="6"/>
  <c r="B1032" i="6"/>
  <c r="C1032" i="6"/>
  <c r="D1032" i="6"/>
  <c r="E1032" i="6"/>
  <c r="F1032" i="6"/>
  <c r="H1032" i="6"/>
  <c r="I1032" i="6"/>
  <c r="N1032" i="6"/>
  <c r="Q1032" i="6"/>
  <c r="S1032" i="6" s="1"/>
  <c r="R1032" i="6"/>
  <c r="T1032" i="6"/>
  <c r="B1033" i="6"/>
  <c r="C1033" i="6"/>
  <c r="D1033" i="6"/>
  <c r="E1033" i="6"/>
  <c r="F1033" i="6"/>
  <c r="H1033" i="6"/>
  <c r="I1033" i="6"/>
  <c r="N1033" i="6"/>
  <c r="Q1033" i="6"/>
  <c r="R1033" i="6"/>
  <c r="S1033" i="6"/>
  <c r="T1033" i="6"/>
  <c r="B1034" i="6"/>
  <c r="C1034" i="6"/>
  <c r="D1034" i="6"/>
  <c r="E1034" i="6"/>
  <c r="F1034" i="6"/>
  <c r="H1034" i="6"/>
  <c r="I1034" i="6"/>
  <c r="N1034" i="6"/>
  <c r="Q1034" i="6"/>
  <c r="R1034" i="6"/>
  <c r="S1034" i="6"/>
  <c r="T1034" i="6"/>
  <c r="B1035" i="6"/>
  <c r="C1035" i="6"/>
  <c r="L1035" i="6" s="1"/>
  <c r="D1035" i="6"/>
  <c r="E1035" i="6"/>
  <c r="F1035" i="6"/>
  <c r="H1035" i="6"/>
  <c r="I1035" i="6"/>
  <c r="N1035" i="6"/>
  <c r="Q1035" i="6"/>
  <c r="R1035" i="6"/>
  <c r="S1035" i="6"/>
  <c r="T1035" i="6"/>
  <c r="B1036" i="6"/>
  <c r="C1036" i="6"/>
  <c r="D1036" i="6"/>
  <c r="E1036" i="6"/>
  <c r="F1036" i="6"/>
  <c r="H1036" i="6"/>
  <c r="I1036" i="6"/>
  <c r="N1036" i="6"/>
  <c r="R1036" i="6"/>
  <c r="Q1036" i="6" s="1"/>
  <c r="S1036" i="6" s="1"/>
  <c r="T1036" i="6"/>
  <c r="B1037" i="6"/>
  <c r="C1037" i="6"/>
  <c r="D1037" i="6"/>
  <c r="E1037" i="6"/>
  <c r="F1037" i="6"/>
  <c r="H1037" i="6"/>
  <c r="I1037" i="6"/>
  <c r="L1037" i="6"/>
  <c r="N1037" i="6"/>
  <c r="R1037" i="6"/>
  <c r="Q1037" i="6" s="1"/>
  <c r="S1037" i="6" s="1"/>
  <c r="T1037" i="6"/>
  <c r="B1038" i="6"/>
  <c r="C1038" i="6"/>
  <c r="D1038" i="6"/>
  <c r="E1038" i="6"/>
  <c r="F1038" i="6"/>
  <c r="H1038" i="6"/>
  <c r="I1038" i="6"/>
  <c r="N1038" i="6"/>
  <c r="R1038" i="6"/>
  <c r="Q1038" i="6" s="1"/>
  <c r="S1038" i="6"/>
  <c r="T1038" i="6"/>
  <c r="B1039" i="6"/>
  <c r="C1039" i="6"/>
  <c r="D1039" i="6"/>
  <c r="E1039" i="6"/>
  <c r="F1039" i="6"/>
  <c r="H1039" i="6"/>
  <c r="I1039" i="6"/>
  <c r="N1039" i="6"/>
  <c r="R1039" i="6"/>
  <c r="Q1039" i="6" s="1"/>
  <c r="S1039" i="6" s="1"/>
  <c r="T1039" i="6"/>
  <c r="B1040" i="6"/>
  <c r="C1040" i="6"/>
  <c r="D1040" i="6"/>
  <c r="E1040" i="6"/>
  <c r="F1040" i="6"/>
  <c r="H1040" i="6"/>
  <c r="I1040" i="6"/>
  <c r="N1040" i="6"/>
  <c r="Q1040" i="6"/>
  <c r="R1040" i="6"/>
  <c r="S1040" i="6"/>
  <c r="T1040" i="6"/>
  <c r="B1041" i="6"/>
  <c r="C1041" i="6"/>
  <c r="D1041" i="6"/>
  <c r="E1041" i="6"/>
  <c r="F1041" i="6"/>
  <c r="H1041" i="6"/>
  <c r="I1041" i="6"/>
  <c r="N1041" i="6"/>
  <c r="Q1041" i="6"/>
  <c r="S1041" i="6" s="1"/>
  <c r="R1041" i="6"/>
  <c r="T1041" i="6"/>
  <c r="B1042" i="6"/>
  <c r="C1042" i="6"/>
  <c r="D1042" i="6"/>
  <c r="E1042" i="6"/>
  <c r="F1042" i="6"/>
  <c r="H1042" i="6"/>
  <c r="I1042" i="6"/>
  <c r="N1042" i="6"/>
  <c r="Q1042" i="6"/>
  <c r="R1042" i="6"/>
  <c r="S1042" i="6"/>
  <c r="T1042" i="6"/>
  <c r="B1043" i="6"/>
  <c r="C1043" i="6"/>
  <c r="D1043" i="6"/>
  <c r="E1043" i="6"/>
  <c r="F1043" i="6"/>
  <c r="L1043" i="6" s="1"/>
  <c r="H1043" i="6"/>
  <c r="I1043" i="6"/>
  <c r="N1043" i="6"/>
  <c r="Q1043" i="6"/>
  <c r="S1043" i="6" s="1"/>
  <c r="R1043" i="6"/>
  <c r="T1043" i="6"/>
  <c r="B1044" i="6"/>
  <c r="C1044" i="6"/>
  <c r="D1044" i="6"/>
  <c r="E1044" i="6"/>
  <c r="F1044" i="6"/>
  <c r="H1044" i="6"/>
  <c r="I1044" i="6"/>
  <c r="N1044" i="6"/>
  <c r="R1044" i="6"/>
  <c r="Q1044" i="6" s="1"/>
  <c r="S1044" i="6" s="1"/>
  <c r="T1044" i="6"/>
  <c r="B1045" i="6"/>
  <c r="C1045" i="6"/>
  <c r="L1045" i="6" s="1"/>
  <c r="D1045" i="6"/>
  <c r="E1045" i="6"/>
  <c r="F1045" i="6"/>
  <c r="H1045" i="6"/>
  <c r="I1045" i="6"/>
  <c r="N1045" i="6"/>
  <c r="R1045" i="6"/>
  <c r="Q1045" i="6" s="1"/>
  <c r="S1045" i="6" s="1"/>
  <c r="T1045" i="6"/>
  <c r="B1046" i="6"/>
  <c r="C1046" i="6"/>
  <c r="D1046" i="6"/>
  <c r="E1046" i="6"/>
  <c r="F1046" i="6"/>
  <c r="H1046" i="6"/>
  <c r="I1046" i="6"/>
  <c r="N1046" i="6"/>
  <c r="R1046" i="6"/>
  <c r="Q1046" i="6" s="1"/>
  <c r="S1046" i="6"/>
  <c r="T1046" i="6"/>
  <c r="B1047" i="6"/>
  <c r="C1047" i="6"/>
  <c r="D1047" i="6"/>
  <c r="E1047" i="6"/>
  <c r="F1047" i="6"/>
  <c r="H1047" i="6"/>
  <c r="I1047" i="6"/>
  <c r="N1047" i="6"/>
  <c r="R1047" i="6"/>
  <c r="Q1047" i="6" s="1"/>
  <c r="S1047" i="6"/>
  <c r="T1047" i="6"/>
  <c r="B1048" i="6"/>
  <c r="C1048" i="6"/>
  <c r="D1048" i="6"/>
  <c r="E1048" i="6"/>
  <c r="F1048" i="6"/>
  <c r="H1048" i="6"/>
  <c r="I1048" i="6"/>
  <c r="N1048" i="6"/>
  <c r="Q1048" i="6"/>
  <c r="R1048" i="6"/>
  <c r="S1048" i="6"/>
  <c r="T1048" i="6"/>
  <c r="B1049" i="6"/>
  <c r="C1049" i="6"/>
  <c r="D1049" i="6"/>
  <c r="E1049" i="6"/>
  <c r="F1049" i="6"/>
  <c r="H1049" i="6"/>
  <c r="I1049" i="6"/>
  <c r="N1049" i="6"/>
  <c r="Q1049" i="6"/>
  <c r="S1049" i="6" s="1"/>
  <c r="R1049" i="6"/>
  <c r="T1049" i="6"/>
  <c r="B1050" i="6"/>
  <c r="C1050" i="6"/>
  <c r="D1050" i="6"/>
  <c r="E1050" i="6"/>
  <c r="F1050" i="6"/>
  <c r="H1050" i="6"/>
  <c r="I1050" i="6"/>
  <c r="N1050" i="6"/>
  <c r="Q1050" i="6"/>
  <c r="S1050" i="6" s="1"/>
  <c r="R1050" i="6"/>
  <c r="T1050" i="6"/>
  <c r="B1051" i="6"/>
  <c r="C1051" i="6"/>
  <c r="D1051" i="6"/>
  <c r="E1051" i="6"/>
  <c r="F1051" i="6"/>
  <c r="H1051" i="6"/>
  <c r="I1051" i="6"/>
  <c r="N1051" i="6"/>
  <c r="Q1051" i="6"/>
  <c r="R1051" i="6"/>
  <c r="S1051" i="6"/>
  <c r="T1051" i="6"/>
  <c r="B1052" i="6"/>
  <c r="C1052" i="6"/>
  <c r="D1052" i="6"/>
  <c r="E1052" i="6"/>
  <c r="F1052" i="6"/>
  <c r="H1052" i="6"/>
  <c r="I1052" i="6"/>
  <c r="N1052" i="6"/>
  <c r="R1052" i="6"/>
  <c r="Q1052" i="6" s="1"/>
  <c r="S1052" i="6" s="1"/>
  <c r="T1052" i="6"/>
  <c r="B1053" i="6"/>
  <c r="C1053" i="6"/>
  <c r="L1053" i="6" s="1"/>
  <c r="D1053" i="6"/>
  <c r="E1053" i="6"/>
  <c r="F1053" i="6"/>
  <c r="H1053" i="6"/>
  <c r="I1053" i="6"/>
  <c r="N1053" i="6"/>
  <c r="R1053" i="6"/>
  <c r="Q1053" i="6" s="1"/>
  <c r="S1053" i="6" s="1"/>
  <c r="T1053" i="6"/>
  <c r="B1054" i="6"/>
  <c r="C1054" i="6"/>
  <c r="D1054" i="6"/>
  <c r="E1054" i="6"/>
  <c r="F1054" i="6"/>
  <c r="H1054" i="6"/>
  <c r="I1054" i="6"/>
  <c r="L1054" i="6"/>
  <c r="N1054" i="6"/>
  <c r="R1054" i="6"/>
  <c r="Q1054" i="6" s="1"/>
  <c r="S1054" i="6" s="1"/>
  <c r="T1054" i="6"/>
  <c r="B1055" i="6"/>
  <c r="C1055" i="6"/>
  <c r="D1055" i="6"/>
  <c r="E1055" i="6"/>
  <c r="F1055" i="6"/>
  <c r="H1055" i="6"/>
  <c r="I1055" i="6"/>
  <c r="N1055" i="6"/>
  <c r="R1055" i="6"/>
  <c r="Q1055" i="6" s="1"/>
  <c r="S1055" i="6"/>
  <c r="T1055" i="6"/>
  <c r="B1056" i="6"/>
  <c r="C1056" i="6"/>
  <c r="L1056" i="6" s="1"/>
  <c r="D1056" i="6"/>
  <c r="E1056" i="6"/>
  <c r="F1056" i="6"/>
  <c r="H1056" i="6"/>
  <c r="I1056" i="6"/>
  <c r="N1056" i="6"/>
  <c r="Q1056" i="6"/>
  <c r="S1056" i="6" s="1"/>
  <c r="R1056" i="6"/>
  <c r="T1056" i="6"/>
  <c r="B1057" i="6"/>
  <c r="C1057" i="6"/>
  <c r="D1057" i="6"/>
  <c r="E1057" i="6"/>
  <c r="F1057" i="6"/>
  <c r="H1057" i="6"/>
  <c r="I1057" i="6"/>
  <c r="N1057" i="6"/>
  <c r="Q1057" i="6"/>
  <c r="R1057" i="6"/>
  <c r="S1057" i="6"/>
  <c r="T1057" i="6"/>
  <c r="B1058" i="6"/>
  <c r="C1058" i="6"/>
  <c r="L1058" i="6" s="1"/>
  <c r="D1058" i="6"/>
  <c r="E1058" i="6"/>
  <c r="F1058" i="6"/>
  <c r="H1058" i="6"/>
  <c r="I1058" i="6"/>
  <c r="N1058" i="6"/>
  <c r="Q1058" i="6"/>
  <c r="S1058" i="6" s="1"/>
  <c r="R1058" i="6"/>
  <c r="T1058" i="6"/>
  <c r="B1059" i="6"/>
  <c r="C1059" i="6"/>
  <c r="D1059" i="6"/>
  <c r="E1059" i="6"/>
  <c r="F1059" i="6"/>
  <c r="H1059" i="6"/>
  <c r="I1059" i="6"/>
  <c r="N1059" i="6"/>
  <c r="R1059" i="6"/>
  <c r="Q1059" i="6" s="1"/>
  <c r="S1059" i="6" s="1"/>
  <c r="T1059" i="6"/>
  <c r="B1060" i="6"/>
  <c r="C1060" i="6"/>
  <c r="D1060" i="6"/>
  <c r="E1060" i="6"/>
  <c r="F1060" i="6"/>
  <c r="L1060" i="6" s="1"/>
  <c r="H1060" i="6"/>
  <c r="I1060" i="6"/>
  <c r="N1060" i="6"/>
  <c r="R1060" i="6"/>
  <c r="Q1060" i="6" s="1"/>
  <c r="S1060" i="6" s="1"/>
  <c r="T1060" i="6"/>
  <c r="B1061" i="6"/>
  <c r="C1061" i="6"/>
  <c r="D1061" i="6"/>
  <c r="E1061" i="6"/>
  <c r="F1061" i="6"/>
  <c r="H1061" i="6"/>
  <c r="I1061" i="6"/>
  <c r="N1061" i="6"/>
  <c r="Q1061" i="6"/>
  <c r="S1061" i="6" s="1"/>
  <c r="R1061" i="6"/>
  <c r="T1061" i="6"/>
  <c r="B1062" i="6"/>
  <c r="C1062" i="6"/>
  <c r="D1062" i="6"/>
  <c r="E1062" i="6"/>
  <c r="F1062" i="6"/>
  <c r="H1062" i="6"/>
  <c r="I1062" i="6"/>
  <c r="N1062" i="6"/>
  <c r="R1062" i="6"/>
  <c r="Q1062" i="6" s="1"/>
  <c r="S1062" i="6"/>
  <c r="T1062" i="6"/>
  <c r="B1063" i="6"/>
  <c r="C1063" i="6"/>
  <c r="D1063" i="6"/>
  <c r="E1063" i="6"/>
  <c r="F1063" i="6"/>
  <c r="H1063" i="6"/>
  <c r="I1063" i="6"/>
  <c r="N1063" i="6"/>
  <c r="R1063" i="6"/>
  <c r="Q1063" i="6" s="1"/>
  <c r="S1063" i="6" s="1"/>
  <c r="T1063" i="6"/>
  <c r="B1064" i="6"/>
  <c r="C1064" i="6"/>
  <c r="D1064" i="6"/>
  <c r="E1064" i="6"/>
  <c r="F1064" i="6"/>
  <c r="H1064" i="6"/>
  <c r="I1064" i="6"/>
  <c r="N1064" i="6"/>
  <c r="Q1064" i="6"/>
  <c r="S1064" i="6" s="1"/>
  <c r="R1064" i="6"/>
  <c r="T1064" i="6"/>
  <c r="B1065" i="6"/>
  <c r="C1065" i="6"/>
  <c r="D1065" i="6"/>
  <c r="E1065" i="6"/>
  <c r="F1065" i="6"/>
  <c r="H1065" i="6"/>
  <c r="I1065" i="6"/>
  <c r="N1065" i="6"/>
  <c r="Q1065" i="6"/>
  <c r="R1065" i="6"/>
  <c r="S1065" i="6"/>
  <c r="T1065" i="6"/>
  <c r="B1066" i="6"/>
  <c r="C1066" i="6"/>
  <c r="D1066" i="6"/>
  <c r="E1066" i="6"/>
  <c r="F1066" i="6"/>
  <c r="H1066" i="6"/>
  <c r="I1066" i="6"/>
  <c r="N1066" i="6"/>
  <c r="Q1066" i="6"/>
  <c r="R1066" i="6"/>
  <c r="S1066" i="6"/>
  <c r="T1066" i="6"/>
  <c r="B1067" i="6"/>
  <c r="C1067" i="6"/>
  <c r="L1067" i="6" s="1"/>
  <c r="D1067" i="6"/>
  <c r="E1067" i="6"/>
  <c r="F1067" i="6"/>
  <c r="H1067" i="6"/>
  <c r="I1067" i="6"/>
  <c r="N1067" i="6"/>
  <c r="Q1067" i="6"/>
  <c r="S1067" i="6" s="1"/>
  <c r="R1067" i="6"/>
  <c r="T1067" i="6"/>
  <c r="B1069" i="6"/>
  <c r="C1069" i="6"/>
  <c r="D1069" i="6"/>
  <c r="E1069" i="6"/>
  <c r="F1069" i="6"/>
  <c r="G1069" i="6"/>
  <c r="H1069" i="6"/>
  <c r="I1069" i="6"/>
  <c r="J1069" i="6"/>
  <c r="K1069" i="6"/>
  <c r="N1069" i="6"/>
  <c r="O1069" i="6"/>
  <c r="P1069" i="6"/>
  <c r="R1069" i="6"/>
  <c r="T1069" i="6"/>
  <c r="B1070" i="6"/>
  <c r="C1070" i="6"/>
  <c r="D1070" i="6"/>
  <c r="E1070" i="6"/>
  <c r="F1070" i="6"/>
  <c r="G1070" i="6"/>
  <c r="H1070" i="6"/>
  <c r="I1070" i="6"/>
  <c r="J1070" i="6"/>
  <c r="K1070" i="6"/>
  <c r="N1070" i="6"/>
  <c r="O1070" i="6"/>
  <c r="P1070" i="6"/>
  <c r="Q1070" i="6"/>
  <c r="R1070" i="6"/>
  <c r="T1070" i="6"/>
  <c r="B1071" i="6"/>
  <c r="C1071" i="6"/>
  <c r="D1071" i="6"/>
  <c r="E1071" i="6"/>
  <c r="F1071" i="6"/>
  <c r="G1071" i="6"/>
  <c r="H1071" i="6"/>
  <c r="I1071" i="6"/>
  <c r="J1071" i="6"/>
  <c r="K1071" i="6"/>
  <c r="N1071" i="6"/>
  <c r="O1071" i="6"/>
  <c r="P1071" i="6"/>
  <c r="R1071" i="6"/>
  <c r="T1071" i="6"/>
  <c r="B1072" i="6"/>
  <c r="C1072" i="6"/>
  <c r="D1072" i="6"/>
  <c r="E1072" i="6"/>
  <c r="F1072" i="6"/>
  <c r="G1072" i="6"/>
  <c r="H1072" i="6"/>
  <c r="I1072" i="6"/>
  <c r="J1072" i="6"/>
  <c r="K1072" i="6"/>
  <c r="N1072" i="6"/>
  <c r="O1072" i="6"/>
  <c r="P1072" i="6"/>
  <c r="Q1072" i="6"/>
  <c r="R1072" i="6"/>
  <c r="S1072" i="6"/>
  <c r="T1072" i="6"/>
  <c r="B1073" i="6"/>
  <c r="C1073" i="6"/>
  <c r="D1073" i="6"/>
  <c r="E1073" i="6"/>
  <c r="F1073" i="6"/>
  <c r="G1073" i="6"/>
  <c r="H1073" i="6"/>
  <c r="I1073" i="6"/>
  <c r="J1073" i="6"/>
  <c r="K1073" i="6"/>
  <c r="M1073" i="6"/>
  <c r="N1073" i="6"/>
  <c r="O1073" i="6"/>
  <c r="P1073" i="6"/>
  <c r="Q1073" i="6"/>
  <c r="R1073" i="6"/>
  <c r="T1073" i="6"/>
  <c r="B1074" i="6"/>
  <c r="C1074" i="6"/>
  <c r="D1074" i="6"/>
  <c r="E1074" i="6"/>
  <c r="F1074" i="6"/>
  <c r="G1074" i="6"/>
  <c r="H1074" i="6"/>
  <c r="I1074" i="6"/>
  <c r="J1074" i="6"/>
  <c r="K1074" i="6"/>
  <c r="M1074" i="6"/>
  <c r="N1074" i="6"/>
  <c r="O1074" i="6"/>
  <c r="P1074" i="6"/>
  <c r="T1074" i="6"/>
  <c r="B1075" i="6"/>
  <c r="C1075" i="6"/>
  <c r="D1075" i="6"/>
  <c r="E1075" i="6"/>
  <c r="F1075" i="6"/>
  <c r="G1075" i="6"/>
  <c r="H1075" i="6"/>
  <c r="I1075" i="6"/>
  <c r="J1075" i="6"/>
  <c r="K1075" i="6"/>
  <c r="M1075" i="6"/>
  <c r="N1075" i="6"/>
  <c r="O1075" i="6"/>
  <c r="P1075" i="6"/>
  <c r="Q1075" i="6"/>
  <c r="R1075" i="6"/>
  <c r="S1075" i="6"/>
  <c r="B1076" i="6"/>
  <c r="C1076" i="6"/>
  <c r="D1076" i="6"/>
  <c r="E1076" i="6"/>
  <c r="F1076" i="6"/>
  <c r="G1076" i="6"/>
  <c r="H1076" i="6"/>
  <c r="I1076" i="6"/>
  <c r="J1076" i="6"/>
  <c r="K1076" i="6"/>
  <c r="M1076" i="6"/>
  <c r="N1076" i="6"/>
  <c r="O1076" i="6"/>
  <c r="P1076" i="6"/>
  <c r="Q1076" i="6"/>
  <c r="R1076" i="6"/>
  <c r="S1076" i="6"/>
  <c r="T1076" i="6"/>
  <c r="B1077" i="6"/>
  <c r="C1077" i="6"/>
  <c r="D1077" i="6"/>
  <c r="E1077" i="6"/>
  <c r="F1077" i="6"/>
  <c r="G1077" i="6"/>
  <c r="H1077" i="6"/>
  <c r="I1077" i="6"/>
  <c r="J1077" i="6"/>
  <c r="K1077" i="6"/>
  <c r="M1077" i="6"/>
  <c r="N1077" i="6"/>
  <c r="O1077" i="6"/>
  <c r="P1077" i="6"/>
  <c r="Q1077" i="6"/>
  <c r="R1077" i="6"/>
  <c r="S1077" i="6"/>
  <c r="T1077" i="6"/>
  <c r="B1078" i="6"/>
  <c r="C1078" i="6"/>
  <c r="D1078" i="6"/>
  <c r="E1078" i="6"/>
  <c r="F1078" i="6"/>
  <c r="G1078" i="6"/>
  <c r="H1078" i="6"/>
  <c r="I1078" i="6"/>
  <c r="J1078" i="6"/>
  <c r="K1078" i="6"/>
  <c r="M1078" i="6"/>
  <c r="N1078" i="6"/>
  <c r="O1078" i="6"/>
  <c r="P1078" i="6"/>
  <c r="Q1078" i="6"/>
  <c r="R1078" i="6"/>
  <c r="S1078" i="6"/>
  <c r="T1078" i="6"/>
  <c r="B1079" i="6"/>
  <c r="C1079" i="6"/>
  <c r="D1079" i="6"/>
  <c r="E1079" i="6"/>
  <c r="F1079" i="6"/>
  <c r="G1079" i="6"/>
  <c r="H1079" i="6"/>
  <c r="I1079" i="6"/>
  <c r="J1079" i="6"/>
  <c r="K1079" i="6"/>
  <c r="M1079" i="6"/>
  <c r="N1079" i="6"/>
  <c r="O1079" i="6"/>
  <c r="P1079" i="6"/>
  <c r="Q1079" i="6"/>
  <c r="R1079" i="6"/>
  <c r="S1079" i="6"/>
  <c r="T1079" i="6"/>
  <c r="B1080" i="6"/>
  <c r="C1080" i="6"/>
  <c r="D1080" i="6"/>
  <c r="E1080" i="6"/>
  <c r="F1080" i="6"/>
  <c r="G1080" i="6"/>
  <c r="H1080" i="6"/>
  <c r="I1080" i="6"/>
  <c r="J1080" i="6"/>
  <c r="K1080" i="6"/>
  <c r="M1080" i="6"/>
  <c r="N1080" i="6"/>
  <c r="O1080" i="6"/>
  <c r="P1080" i="6"/>
  <c r="Q1080" i="6"/>
  <c r="R1080" i="6"/>
  <c r="S1080" i="6"/>
  <c r="T1080" i="6"/>
  <c r="B1081" i="6"/>
  <c r="C1081" i="6"/>
  <c r="D1081" i="6"/>
  <c r="E1081" i="6"/>
  <c r="F1081" i="6"/>
  <c r="G1081" i="6"/>
  <c r="H1081" i="6"/>
  <c r="I1081" i="6"/>
  <c r="J1081" i="6"/>
  <c r="K1081" i="6"/>
  <c r="M1081" i="6"/>
  <c r="N1081" i="6"/>
  <c r="O1081" i="6"/>
  <c r="P1081" i="6"/>
  <c r="T1081" i="6"/>
  <c r="B1082" i="6"/>
  <c r="C1082" i="6"/>
  <c r="D1082" i="6"/>
  <c r="E1082" i="6"/>
  <c r="F1082" i="6"/>
  <c r="G1082" i="6"/>
  <c r="H1082" i="6"/>
  <c r="I1082" i="6"/>
  <c r="J1082" i="6"/>
  <c r="K1082" i="6"/>
  <c r="M1082" i="6"/>
  <c r="N1082" i="6"/>
  <c r="O1082" i="6"/>
  <c r="P1082" i="6"/>
  <c r="T1082" i="6"/>
  <c r="B1083" i="6"/>
  <c r="C1083" i="6"/>
  <c r="E1083" i="6"/>
  <c r="F1083" i="6"/>
  <c r="G1083" i="6"/>
  <c r="H1083" i="6"/>
  <c r="I1083" i="6"/>
  <c r="J1083" i="6"/>
  <c r="K1083" i="6"/>
  <c r="M1083" i="6"/>
  <c r="N1083" i="6"/>
  <c r="O1083" i="6"/>
  <c r="P1083" i="6"/>
  <c r="Q1083" i="6"/>
  <c r="R1083" i="6"/>
  <c r="S1083" i="6"/>
  <c r="T1083" i="6"/>
  <c r="B1084" i="6"/>
  <c r="C1084" i="6"/>
  <c r="D1084" i="6"/>
  <c r="E1084" i="6"/>
  <c r="F1084" i="6"/>
  <c r="G1084" i="6"/>
  <c r="H1084" i="6"/>
  <c r="I1084" i="6"/>
  <c r="J1084" i="6"/>
  <c r="K1084" i="6"/>
  <c r="M1084" i="6"/>
  <c r="N1084" i="6"/>
  <c r="O1084" i="6"/>
  <c r="P1084" i="6"/>
  <c r="Q1084" i="6"/>
  <c r="R1084" i="6"/>
  <c r="S1084" i="6"/>
  <c r="B1085" i="6"/>
  <c r="C1085" i="6"/>
  <c r="D1085" i="6"/>
  <c r="E1085" i="6"/>
  <c r="G1085" i="6"/>
  <c r="H1085" i="6"/>
  <c r="I1085" i="6"/>
  <c r="J1085" i="6"/>
  <c r="K1085" i="6"/>
  <c r="M1085" i="6"/>
  <c r="N1085" i="6"/>
  <c r="O1085" i="6"/>
  <c r="P1085" i="6"/>
  <c r="Q1085" i="6"/>
  <c r="R1085" i="6"/>
  <c r="S1085" i="6"/>
  <c r="T1085" i="6"/>
  <c r="B1086" i="6"/>
  <c r="C1086" i="6"/>
  <c r="D1086" i="6"/>
  <c r="E1086" i="6"/>
  <c r="F1086" i="6"/>
  <c r="G1086" i="6"/>
  <c r="H1086" i="6"/>
  <c r="I1086" i="6"/>
  <c r="J1086" i="6"/>
  <c r="K1086" i="6"/>
  <c r="M1086" i="6"/>
  <c r="N1086" i="6"/>
  <c r="O1086" i="6"/>
  <c r="P1086" i="6"/>
  <c r="Q1086" i="6"/>
  <c r="R1086" i="6"/>
  <c r="S1086" i="6"/>
  <c r="T1086" i="6"/>
  <c r="B1087" i="6"/>
  <c r="C1087" i="6"/>
  <c r="D1087" i="6"/>
  <c r="E1087" i="6"/>
  <c r="F1087" i="6"/>
  <c r="G1087" i="6"/>
  <c r="H1087" i="6"/>
  <c r="I1087" i="6"/>
  <c r="J1087" i="6"/>
  <c r="K1087" i="6"/>
  <c r="M1087" i="6"/>
  <c r="N1087" i="6"/>
  <c r="O1087" i="6"/>
  <c r="P1087" i="6"/>
  <c r="Q1087" i="6"/>
  <c r="R1087" i="6"/>
  <c r="S1087" i="6"/>
  <c r="T1087" i="6"/>
  <c r="B1088" i="6"/>
  <c r="C1088" i="6"/>
  <c r="D1088" i="6"/>
  <c r="E1088" i="6"/>
  <c r="F1088" i="6"/>
  <c r="G1088" i="6"/>
  <c r="H1088" i="6"/>
  <c r="I1088" i="6"/>
  <c r="J1088" i="6"/>
  <c r="K1088" i="6"/>
  <c r="M1088" i="6"/>
  <c r="N1088" i="6"/>
  <c r="O1088" i="6"/>
  <c r="P1088" i="6"/>
  <c r="Q1088" i="6"/>
  <c r="R1088" i="6"/>
  <c r="S1088" i="6"/>
  <c r="T1088" i="6"/>
  <c r="B1089" i="6"/>
  <c r="C1089" i="6"/>
  <c r="D1089" i="6"/>
  <c r="E1089" i="6"/>
  <c r="F1089" i="6"/>
  <c r="G1089" i="6"/>
  <c r="H1089" i="6"/>
  <c r="I1089" i="6"/>
  <c r="J1089" i="6"/>
  <c r="K1089" i="6"/>
  <c r="M1089" i="6"/>
  <c r="N1089" i="6"/>
  <c r="O1089" i="6"/>
  <c r="P1089" i="6"/>
  <c r="Q1089" i="6"/>
  <c r="R1089" i="6"/>
  <c r="S1089" i="6"/>
  <c r="T1089" i="6"/>
  <c r="B1090" i="6"/>
  <c r="C1090" i="6"/>
  <c r="D1090" i="6"/>
  <c r="E1090" i="6"/>
  <c r="F1090" i="6"/>
  <c r="G1090" i="6"/>
  <c r="H1090" i="6"/>
  <c r="I1090" i="6"/>
  <c r="J1090" i="6"/>
  <c r="K1090" i="6"/>
  <c r="M1090" i="6"/>
  <c r="N1090" i="6"/>
  <c r="O1090" i="6"/>
  <c r="P1090" i="6"/>
  <c r="Q1090" i="6"/>
  <c r="R1090" i="6"/>
  <c r="S1090" i="6"/>
  <c r="T1090" i="6"/>
  <c r="B1091" i="6"/>
  <c r="D1091" i="6"/>
  <c r="E1091" i="6"/>
  <c r="F1091" i="6"/>
  <c r="G1091" i="6"/>
  <c r="H1091" i="6"/>
  <c r="I1091" i="6"/>
  <c r="J1091" i="6"/>
  <c r="K1091" i="6"/>
  <c r="M1091" i="6"/>
  <c r="N1091" i="6"/>
  <c r="O1091" i="6"/>
  <c r="P1091" i="6"/>
  <c r="Q1091" i="6"/>
  <c r="R1091" i="6"/>
  <c r="T1091" i="6"/>
  <c r="B1092" i="6"/>
  <c r="C1092" i="6"/>
  <c r="D1092" i="6"/>
  <c r="E1092" i="6"/>
  <c r="F1092" i="6"/>
  <c r="G1092" i="6"/>
  <c r="H1092" i="6"/>
  <c r="I1092" i="6"/>
  <c r="J1092" i="6"/>
  <c r="K1092" i="6"/>
  <c r="M1092" i="6"/>
  <c r="N1092" i="6"/>
  <c r="O1092" i="6"/>
  <c r="P1092" i="6"/>
  <c r="Q1092" i="6"/>
  <c r="R1092" i="6"/>
  <c r="S1092" i="6"/>
  <c r="T1092" i="6"/>
  <c r="B1093" i="6"/>
  <c r="D1093" i="6"/>
  <c r="E1093" i="6"/>
  <c r="G1093" i="6"/>
  <c r="I1093" i="6"/>
  <c r="J1093" i="6"/>
  <c r="K1093" i="6"/>
  <c r="M1093" i="6"/>
  <c r="O1093" i="6"/>
  <c r="P1093" i="6"/>
  <c r="Q1093" i="6"/>
  <c r="R1093" i="6"/>
  <c r="S1093" i="6"/>
  <c r="T1093" i="6"/>
  <c r="A1094" i="6"/>
  <c r="C1094" i="6"/>
  <c r="D1094" i="6"/>
  <c r="E1094" i="6"/>
  <c r="G1094" i="6"/>
  <c r="H1094" i="6"/>
  <c r="I1094" i="6"/>
  <c r="J1094" i="6"/>
  <c r="K1094" i="6"/>
  <c r="M1094" i="6"/>
  <c r="O1094" i="6"/>
  <c r="P1094" i="6"/>
  <c r="R1094" i="6"/>
  <c r="C1095" i="6"/>
  <c r="D1095" i="6"/>
  <c r="E1095" i="6"/>
  <c r="F1095" i="6"/>
  <c r="G1095" i="6"/>
  <c r="H1095" i="6"/>
  <c r="I1095" i="6"/>
  <c r="J1095" i="6"/>
  <c r="K1095" i="6"/>
  <c r="M1095" i="6"/>
  <c r="N1095" i="6"/>
  <c r="O1095" i="6"/>
  <c r="P1095" i="6"/>
  <c r="Q1095" i="6"/>
  <c r="R1095" i="6"/>
  <c r="S1095" i="6"/>
  <c r="T1095" i="6"/>
  <c r="C1096" i="6"/>
  <c r="D1096" i="6"/>
  <c r="G1096" i="6"/>
  <c r="H1096" i="6"/>
  <c r="I1096" i="6"/>
  <c r="J1096" i="6"/>
  <c r="K1096" i="6"/>
  <c r="M1096" i="6"/>
  <c r="N1096" i="6"/>
  <c r="O1096" i="6"/>
  <c r="P1096" i="6"/>
  <c r="Q1096" i="6"/>
  <c r="R1096" i="6"/>
  <c r="T1096" i="6"/>
  <c r="D1097" i="6"/>
  <c r="E1097" i="6"/>
  <c r="G1097" i="6"/>
  <c r="I1097" i="6"/>
  <c r="J1097" i="6"/>
  <c r="K1097" i="6"/>
  <c r="M1097" i="6"/>
  <c r="O1097" i="6"/>
  <c r="P1097" i="6"/>
  <c r="R1097" i="6"/>
  <c r="C1098" i="6"/>
  <c r="D1098" i="6"/>
  <c r="E1098" i="6"/>
  <c r="G1098" i="6"/>
  <c r="H1098" i="6"/>
  <c r="I1098" i="6"/>
  <c r="J1098" i="6"/>
  <c r="K1098" i="6"/>
  <c r="M1098" i="6"/>
  <c r="O1098" i="6"/>
  <c r="P1098" i="6"/>
  <c r="Q1098" i="6"/>
  <c r="R1098" i="6"/>
  <c r="T1098" i="6"/>
  <c r="C1099" i="6"/>
  <c r="D1099" i="6"/>
  <c r="E1099" i="6"/>
  <c r="G1099" i="6"/>
  <c r="H1099" i="6"/>
  <c r="I1099" i="6"/>
  <c r="J1099" i="6"/>
  <c r="K1099" i="6"/>
  <c r="M1099" i="6"/>
  <c r="O1099" i="6"/>
  <c r="P1099" i="6"/>
  <c r="R1099" i="6"/>
  <c r="C1100" i="6"/>
  <c r="D1100" i="6"/>
  <c r="F1100" i="6"/>
  <c r="G1100" i="6"/>
  <c r="H1100" i="6"/>
  <c r="I1100" i="6"/>
  <c r="J1100" i="6"/>
  <c r="K1100" i="6"/>
  <c r="M1100" i="6"/>
  <c r="N1100" i="6"/>
  <c r="O1100" i="6"/>
  <c r="P1100" i="6"/>
  <c r="Q1100" i="6"/>
  <c r="R1100" i="6"/>
  <c r="T1100" i="6"/>
  <c r="C1101" i="6"/>
  <c r="D1101" i="6"/>
  <c r="F1101" i="6"/>
  <c r="G1101" i="6"/>
  <c r="H1101" i="6"/>
  <c r="J1101" i="6"/>
  <c r="K1101" i="6"/>
  <c r="M1101" i="6"/>
  <c r="O1101" i="6"/>
  <c r="P1101" i="6"/>
  <c r="Q1101" i="6"/>
  <c r="R1101" i="6"/>
  <c r="C1102" i="6"/>
  <c r="D1102" i="6"/>
  <c r="F1102" i="6"/>
  <c r="G1102" i="6"/>
  <c r="H1102" i="6"/>
  <c r="J1102" i="6"/>
  <c r="K1102" i="6"/>
  <c r="M1102" i="6"/>
  <c r="O1102" i="6"/>
  <c r="P1102" i="6"/>
  <c r="T1102" i="6"/>
  <c r="C1103" i="6"/>
  <c r="D1103" i="6"/>
  <c r="F1103" i="6"/>
  <c r="G1103" i="6"/>
  <c r="H1103" i="6"/>
  <c r="I1103" i="6"/>
  <c r="J1103" i="6"/>
  <c r="K1103" i="6"/>
  <c r="M1103" i="6"/>
  <c r="N1103" i="6"/>
  <c r="O1103" i="6"/>
  <c r="P1103" i="6"/>
  <c r="R1103" i="6"/>
  <c r="T1103" i="6"/>
  <c r="C1104" i="6"/>
  <c r="G1104" i="6"/>
  <c r="H1104" i="6"/>
  <c r="I1104" i="6"/>
  <c r="J1104" i="6"/>
  <c r="K1104" i="6"/>
  <c r="M1104" i="6"/>
  <c r="N1104" i="6"/>
  <c r="O1104" i="6"/>
  <c r="P1104" i="6"/>
  <c r="Q1104" i="6"/>
  <c r="R1104" i="6"/>
  <c r="T1104" i="6"/>
  <c r="C1105" i="6"/>
  <c r="D1105" i="6"/>
  <c r="F1105" i="6"/>
  <c r="G1105" i="6"/>
  <c r="H1105" i="6"/>
  <c r="J1105" i="6"/>
  <c r="K1105" i="6"/>
  <c r="M1105" i="6"/>
  <c r="N1105" i="6"/>
  <c r="O1105" i="6"/>
  <c r="P1105" i="6"/>
  <c r="R1105" i="6"/>
  <c r="T1105" i="6"/>
  <c r="C1106" i="6"/>
  <c r="D1106" i="6"/>
  <c r="G1106" i="6"/>
  <c r="H1106" i="6"/>
  <c r="I1106" i="6"/>
  <c r="J1106" i="6"/>
  <c r="K1106" i="6"/>
  <c r="M1106" i="6"/>
  <c r="N1106" i="6"/>
  <c r="O1106" i="6"/>
  <c r="P1106" i="6"/>
  <c r="Q1106" i="6"/>
  <c r="R1106" i="6"/>
  <c r="T1106" i="6"/>
  <c r="C1107" i="6"/>
  <c r="G1107" i="6"/>
  <c r="H1107" i="6"/>
  <c r="I1107" i="6"/>
  <c r="J1107" i="6"/>
  <c r="K1107" i="6"/>
  <c r="M1107" i="6"/>
  <c r="N1107" i="6"/>
  <c r="O1107" i="6"/>
  <c r="P1107" i="6"/>
  <c r="R1107" i="6"/>
  <c r="T1107" i="6"/>
  <c r="C1108" i="6"/>
  <c r="E1108" i="6"/>
  <c r="F1108" i="6"/>
  <c r="G1108" i="6"/>
  <c r="H1108" i="6"/>
  <c r="J1108" i="6"/>
  <c r="K1108" i="6"/>
  <c r="M1108" i="6"/>
  <c r="N1108" i="6"/>
  <c r="O1108" i="6"/>
  <c r="P1108" i="6"/>
  <c r="Q1108" i="6"/>
  <c r="R1108" i="6"/>
  <c r="T1108" i="6"/>
  <c r="C1109" i="6"/>
  <c r="D1109" i="6"/>
  <c r="G1109" i="6"/>
  <c r="H1109" i="6"/>
  <c r="I1109" i="6"/>
  <c r="J1109" i="6"/>
  <c r="K1109" i="6"/>
  <c r="M1109" i="6"/>
  <c r="N1109" i="6"/>
  <c r="O1109" i="6"/>
  <c r="P1109" i="6"/>
  <c r="R1109" i="6"/>
  <c r="D1110" i="6"/>
  <c r="F1110" i="6"/>
  <c r="G1110" i="6"/>
  <c r="H1110" i="6"/>
  <c r="I1110" i="6"/>
  <c r="J1110" i="6"/>
  <c r="K1110" i="6"/>
  <c r="M1110" i="6"/>
  <c r="N1110" i="6"/>
  <c r="O1110" i="6"/>
  <c r="P1110" i="6"/>
  <c r="R1110" i="6"/>
  <c r="T1110" i="6"/>
  <c r="C1111" i="6"/>
  <c r="D1111" i="6"/>
  <c r="E1111" i="6"/>
  <c r="F1111" i="6"/>
  <c r="G1111" i="6"/>
  <c r="H1111" i="6"/>
  <c r="I1111" i="6"/>
  <c r="J1111" i="6"/>
  <c r="K1111" i="6"/>
  <c r="M1111" i="6"/>
  <c r="N1111" i="6"/>
  <c r="O1111" i="6"/>
  <c r="P1111" i="6"/>
  <c r="Q1111" i="6"/>
  <c r="R1111" i="6"/>
  <c r="S1111" i="6"/>
  <c r="T1111" i="6"/>
  <c r="D1112" i="6"/>
  <c r="F1112" i="6"/>
  <c r="G1112" i="6"/>
  <c r="H1112" i="6"/>
  <c r="I1112" i="6"/>
  <c r="J1112" i="6"/>
  <c r="K1112" i="6"/>
  <c r="M1112" i="6"/>
  <c r="N1112" i="6"/>
  <c r="O1112" i="6"/>
  <c r="P1112" i="6"/>
  <c r="Q1112" i="6"/>
  <c r="R1112" i="6"/>
  <c r="T1112" i="6"/>
  <c r="C1113" i="6"/>
  <c r="D1113" i="6"/>
  <c r="E1113" i="6"/>
  <c r="F1113" i="6"/>
  <c r="G1113" i="6"/>
  <c r="H1113" i="6"/>
  <c r="I1113" i="6"/>
  <c r="J1113" i="6"/>
  <c r="K1113" i="6"/>
  <c r="M1113" i="6"/>
  <c r="N1113" i="6"/>
  <c r="O1113" i="6"/>
  <c r="P1113" i="6"/>
  <c r="Q1113" i="6"/>
  <c r="R1113" i="6"/>
  <c r="S1113" i="6"/>
  <c r="T1113" i="6"/>
  <c r="C1114" i="6"/>
  <c r="D1114" i="6"/>
  <c r="F1114" i="6"/>
  <c r="G1114" i="6"/>
  <c r="H1114" i="6"/>
  <c r="I1114" i="6"/>
  <c r="J1114" i="6"/>
  <c r="K1114" i="6"/>
  <c r="M1114" i="6"/>
  <c r="N1114" i="6"/>
  <c r="O1114" i="6"/>
  <c r="P1114" i="6"/>
  <c r="Q1114" i="6"/>
  <c r="R1114" i="6"/>
  <c r="T1114" i="6"/>
  <c r="C1115" i="6"/>
  <c r="D1115" i="6"/>
  <c r="E1115" i="6"/>
  <c r="F1115" i="6"/>
  <c r="G1115" i="6"/>
  <c r="H1115" i="6"/>
  <c r="I1115" i="6"/>
  <c r="J1115" i="6"/>
  <c r="K1115" i="6"/>
  <c r="M1115" i="6"/>
  <c r="N1115" i="6"/>
  <c r="O1115" i="6"/>
  <c r="P1115" i="6"/>
  <c r="Q1115" i="6"/>
  <c r="R1115" i="6"/>
  <c r="T1115" i="6"/>
  <c r="C1116" i="6"/>
  <c r="D1116" i="6"/>
  <c r="F1116" i="6"/>
  <c r="G1116" i="6"/>
  <c r="H1116" i="6"/>
  <c r="I1116" i="6"/>
  <c r="J1116" i="6"/>
  <c r="K1116" i="6"/>
  <c r="M1116" i="6"/>
  <c r="N1116" i="6"/>
  <c r="O1116" i="6"/>
  <c r="P1116" i="6"/>
  <c r="Q1116" i="6"/>
  <c r="R1116" i="6"/>
  <c r="T1116" i="6"/>
  <c r="C1117" i="6"/>
  <c r="D1117" i="6"/>
  <c r="E1117" i="6"/>
  <c r="F1117" i="6"/>
  <c r="G1117" i="6"/>
  <c r="H1117" i="6"/>
  <c r="I1117" i="6"/>
  <c r="J1117" i="6"/>
  <c r="K1117" i="6"/>
  <c r="M1117" i="6"/>
  <c r="N1117" i="6"/>
  <c r="O1117" i="6"/>
  <c r="P1117" i="6"/>
  <c r="Q1117" i="6"/>
  <c r="R1117" i="6"/>
  <c r="T1117" i="6"/>
  <c r="C9" i="5"/>
  <c r="E9" i="5"/>
  <c r="B21" i="5"/>
  <c r="C21" i="5"/>
  <c r="D21" i="5"/>
  <c r="E21" i="5"/>
  <c r="F21" i="5"/>
  <c r="G21" i="5"/>
  <c r="H21" i="5"/>
  <c r="I21" i="5"/>
  <c r="J21" i="5"/>
  <c r="L21" i="5"/>
  <c r="M21" i="5"/>
  <c r="AC21" i="5" s="1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B22" i="5"/>
  <c r="C22" i="5"/>
  <c r="D22" i="5"/>
  <c r="E22" i="5"/>
  <c r="F22" i="5"/>
  <c r="G22" i="5"/>
  <c r="H22" i="5"/>
  <c r="I22" i="5"/>
  <c r="J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Z22" i="5"/>
  <c r="AA22" i="5"/>
  <c r="B23" i="5"/>
  <c r="C23" i="5"/>
  <c r="D23" i="5"/>
  <c r="E23" i="5"/>
  <c r="F23" i="5"/>
  <c r="G23" i="5"/>
  <c r="H23" i="5"/>
  <c r="I23" i="5"/>
  <c r="J23" i="5"/>
  <c r="L23" i="5"/>
  <c r="M23" i="5"/>
  <c r="N23" i="5"/>
  <c r="AC23" i="5" s="1"/>
  <c r="O23" i="5"/>
  <c r="P23" i="5"/>
  <c r="Q23" i="5"/>
  <c r="R23" i="5"/>
  <c r="S23" i="5"/>
  <c r="T23" i="5"/>
  <c r="U23" i="5"/>
  <c r="V23" i="5"/>
  <c r="W23" i="5"/>
  <c r="Y23" i="5"/>
  <c r="Z23" i="5"/>
  <c r="AA23" i="5"/>
  <c r="B24" i="5"/>
  <c r="C24" i="5"/>
  <c r="D24" i="5"/>
  <c r="E24" i="5"/>
  <c r="F24" i="5"/>
  <c r="G24" i="5"/>
  <c r="H24" i="5"/>
  <c r="I24" i="5"/>
  <c r="J24" i="5"/>
  <c r="L24" i="5"/>
  <c r="M24" i="5"/>
  <c r="N24" i="5"/>
  <c r="O24" i="5"/>
  <c r="P24" i="5"/>
  <c r="Q24" i="5"/>
  <c r="R24" i="5"/>
  <c r="S24" i="5"/>
  <c r="T24" i="5"/>
  <c r="U24" i="5"/>
  <c r="V24" i="5"/>
  <c r="W24" i="5"/>
  <c r="Y24" i="5"/>
  <c r="Z24" i="5"/>
  <c r="AA24" i="5"/>
  <c r="B25" i="5"/>
  <c r="C25" i="5"/>
  <c r="D25" i="5"/>
  <c r="E25" i="5"/>
  <c r="F25" i="5"/>
  <c r="G25" i="5"/>
  <c r="H25" i="5"/>
  <c r="I25" i="5"/>
  <c r="J25" i="5"/>
  <c r="L25" i="5"/>
  <c r="M25" i="5"/>
  <c r="N25" i="5"/>
  <c r="O25" i="5"/>
  <c r="P25" i="5"/>
  <c r="Q25" i="5"/>
  <c r="R25" i="5"/>
  <c r="S25" i="5"/>
  <c r="T25" i="5"/>
  <c r="U25" i="5"/>
  <c r="V25" i="5"/>
  <c r="W25" i="5"/>
  <c r="Y25" i="5"/>
  <c r="Z25" i="5"/>
  <c r="AA25" i="5"/>
  <c r="B26" i="5"/>
  <c r="C26" i="5"/>
  <c r="D26" i="5"/>
  <c r="AB26" i="5" s="1"/>
  <c r="E26" i="5"/>
  <c r="F26" i="5"/>
  <c r="G26" i="5"/>
  <c r="H26" i="5"/>
  <c r="I26" i="5"/>
  <c r="J26" i="5"/>
  <c r="L26" i="5"/>
  <c r="M26" i="5"/>
  <c r="N26" i="5"/>
  <c r="AC26" i="5" s="1"/>
  <c r="O26" i="5"/>
  <c r="P26" i="5"/>
  <c r="Q26" i="5"/>
  <c r="R26" i="5"/>
  <c r="S26" i="5"/>
  <c r="T26" i="5"/>
  <c r="U26" i="5"/>
  <c r="V26" i="5"/>
  <c r="W26" i="5"/>
  <c r="Y26" i="5"/>
  <c r="Z26" i="5"/>
  <c r="AA26" i="5"/>
  <c r="B27" i="5"/>
  <c r="C27" i="5"/>
  <c r="D27" i="5"/>
  <c r="E27" i="5"/>
  <c r="F27" i="5"/>
  <c r="G27" i="5"/>
  <c r="H27" i="5"/>
  <c r="I27" i="5"/>
  <c r="J27" i="5"/>
  <c r="L27" i="5"/>
  <c r="M27" i="5"/>
  <c r="N27" i="5"/>
  <c r="O27" i="5"/>
  <c r="P27" i="5"/>
  <c r="Q27" i="5"/>
  <c r="R27" i="5"/>
  <c r="S27" i="5"/>
  <c r="T27" i="5"/>
  <c r="U27" i="5"/>
  <c r="V27" i="5"/>
  <c r="W27" i="5"/>
  <c r="Y27" i="5"/>
  <c r="Z27" i="5"/>
  <c r="AA27" i="5"/>
  <c r="B28" i="5"/>
  <c r="C28" i="5"/>
  <c r="D28" i="5"/>
  <c r="E28" i="5"/>
  <c r="F28" i="5"/>
  <c r="G28" i="5"/>
  <c r="H28" i="5"/>
  <c r="I28" i="5"/>
  <c r="J28" i="5"/>
  <c r="L28" i="5"/>
  <c r="M28" i="5"/>
  <c r="AC28" i="5" s="1"/>
  <c r="N28" i="5"/>
  <c r="O28" i="5"/>
  <c r="P28" i="5"/>
  <c r="Q28" i="5"/>
  <c r="R28" i="5"/>
  <c r="S28" i="5"/>
  <c r="T28" i="5"/>
  <c r="U28" i="5"/>
  <c r="V28" i="5"/>
  <c r="W28" i="5"/>
  <c r="X28" i="5"/>
  <c r="Z28" i="5"/>
  <c r="AA28" i="5"/>
  <c r="B29" i="5"/>
  <c r="C29" i="5"/>
  <c r="D29" i="5"/>
  <c r="E29" i="5"/>
  <c r="F29" i="5"/>
  <c r="G29" i="5"/>
  <c r="H29" i="5"/>
  <c r="I29" i="5"/>
  <c r="J29" i="5"/>
  <c r="L29" i="5"/>
  <c r="M29" i="5"/>
  <c r="N29" i="5"/>
  <c r="O29" i="5"/>
  <c r="P29" i="5"/>
  <c r="AC29" i="5" s="1"/>
  <c r="Q29" i="5"/>
  <c r="R29" i="5"/>
  <c r="S29" i="5"/>
  <c r="T29" i="5"/>
  <c r="U29" i="5"/>
  <c r="V29" i="5"/>
  <c r="W29" i="5"/>
  <c r="X29" i="5"/>
  <c r="Z29" i="5"/>
  <c r="AA29" i="5"/>
  <c r="B30" i="5"/>
  <c r="C30" i="5"/>
  <c r="D30" i="5"/>
  <c r="E30" i="5"/>
  <c r="F30" i="5"/>
  <c r="G30" i="5"/>
  <c r="H30" i="5"/>
  <c r="I30" i="5"/>
  <c r="J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Z30" i="5"/>
  <c r="AA30" i="5"/>
  <c r="B31" i="5"/>
  <c r="C31" i="5"/>
  <c r="D31" i="5"/>
  <c r="E31" i="5"/>
  <c r="F31" i="5"/>
  <c r="G31" i="5"/>
  <c r="H31" i="5"/>
  <c r="I31" i="5"/>
  <c r="J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Z31" i="5"/>
  <c r="AA31" i="5"/>
  <c r="B32" i="5"/>
  <c r="C32" i="5"/>
  <c r="D32" i="5"/>
  <c r="E32" i="5"/>
  <c r="F32" i="5"/>
  <c r="G32" i="5"/>
  <c r="H32" i="5"/>
  <c r="I32" i="5"/>
  <c r="J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Z32" i="5"/>
  <c r="AA32" i="5"/>
  <c r="B33" i="5"/>
  <c r="C33" i="5"/>
  <c r="D33" i="5"/>
  <c r="E33" i="5"/>
  <c r="F33" i="5"/>
  <c r="G33" i="5"/>
  <c r="H33" i="5"/>
  <c r="I33" i="5"/>
  <c r="J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Z33" i="5"/>
  <c r="AA33" i="5"/>
  <c r="B34" i="5"/>
  <c r="C34" i="5"/>
  <c r="D34" i="5"/>
  <c r="E34" i="5"/>
  <c r="F34" i="5"/>
  <c r="G34" i="5"/>
  <c r="H34" i="5"/>
  <c r="I34" i="5"/>
  <c r="J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Z34" i="5"/>
  <c r="AA34" i="5"/>
  <c r="AB34" i="5"/>
  <c r="B35" i="5"/>
  <c r="C35" i="5"/>
  <c r="D35" i="5"/>
  <c r="E35" i="5"/>
  <c r="F35" i="5"/>
  <c r="G35" i="5"/>
  <c r="H35" i="5"/>
  <c r="I35" i="5"/>
  <c r="J35" i="5"/>
  <c r="L35" i="5"/>
  <c r="M35" i="5"/>
  <c r="N35" i="5"/>
  <c r="O35" i="5"/>
  <c r="P35" i="5"/>
  <c r="Q35" i="5"/>
  <c r="R35" i="5"/>
  <c r="S35" i="5"/>
  <c r="T35" i="5"/>
  <c r="U35" i="5"/>
  <c r="V35" i="5"/>
  <c r="W35" i="5"/>
  <c r="Z35" i="5"/>
  <c r="AA35" i="5"/>
  <c r="B36" i="5"/>
  <c r="C36" i="5"/>
  <c r="D36" i="5"/>
  <c r="E36" i="5"/>
  <c r="F36" i="5"/>
  <c r="G36" i="5"/>
  <c r="H36" i="5"/>
  <c r="I36" i="5"/>
  <c r="J36" i="5"/>
  <c r="L36" i="5"/>
  <c r="M36" i="5"/>
  <c r="N36" i="5"/>
  <c r="O36" i="5"/>
  <c r="P36" i="5"/>
  <c r="Q36" i="5"/>
  <c r="R36" i="5"/>
  <c r="S36" i="5"/>
  <c r="T36" i="5"/>
  <c r="U36" i="5"/>
  <c r="V36" i="5"/>
  <c r="W36" i="5"/>
  <c r="Z36" i="5"/>
  <c r="AA36" i="5"/>
  <c r="B37" i="5"/>
  <c r="C37" i="5"/>
  <c r="D37" i="5"/>
  <c r="E37" i="5"/>
  <c r="F37" i="5"/>
  <c r="G37" i="5"/>
  <c r="H37" i="5"/>
  <c r="I37" i="5"/>
  <c r="J37" i="5"/>
  <c r="L37" i="5"/>
  <c r="M37" i="5"/>
  <c r="N37" i="5"/>
  <c r="O37" i="5"/>
  <c r="P37" i="5"/>
  <c r="Q37" i="5"/>
  <c r="R37" i="5"/>
  <c r="S37" i="5"/>
  <c r="T37" i="5"/>
  <c r="U37" i="5"/>
  <c r="V37" i="5"/>
  <c r="W37" i="5"/>
  <c r="Z37" i="5"/>
  <c r="AA37" i="5"/>
  <c r="B38" i="5"/>
  <c r="C38" i="5"/>
  <c r="D38" i="5"/>
  <c r="E38" i="5"/>
  <c r="F38" i="5"/>
  <c r="G38" i="5"/>
  <c r="H38" i="5"/>
  <c r="I38" i="5"/>
  <c r="J38" i="5"/>
  <c r="L38" i="5"/>
  <c r="M38" i="5"/>
  <c r="AC38" i="5" s="1"/>
  <c r="N38" i="5"/>
  <c r="O38" i="5"/>
  <c r="P38" i="5"/>
  <c r="Q38" i="5"/>
  <c r="R38" i="5"/>
  <c r="S38" i="5"/>
  <c r="T38" i="5"/>
  <c r="U38" i="5"/>
  <c r="V38" i="5"/>
  <c r="W38" i="5"/>
  <c r="Z38" i="5"/>
  <c r="AA38" i="5"/>
  <c r="B39" i="5"/>
  <c r="C39" i="5"/>
  <c r="D39" i="5"/>
  <c r="E39" i="5"/>
  <c r="F39" i="5"/>
  <c r="G39" i="5"/>
  <c r="H39" i="5"/>
  <c r="I39" i="5"/>
  <c r="J39" i="5"/>
  <c r="L39" i="5"/>
  <c r="M39" i="5"/>
  <c r="N39" i="5"/>
  <c r="O39" i="5"/>
  <c r="P39" i="5"/>
  <c r="Q39" i="5"/>
  <c r="R39" i="5"/>
  <c r="S39" i="5"/>
  <c r="T39" i="5"/>
  <c r="U39" i="5"/>
  <c r="V39" i="5"/>
  <c r="W39" i="5"/>
  <c r="Z39" i="5"/>
  <c r="AA39" i="5"/>
  <c r="B40" i="5"/>
  <c r="C40" i="5"/>
  <c r="D40" i="5"/>
  <c r="E40" i="5"/>
  <c r="F40" i="5"/>
  <c r="G40" i="5"/>
  <c r="H40" i="5"/>
  <c r="I40" i="5"/>
  <c r="J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Z40" i="5"/>
  <c r="AA40" i="5"/>
  <c r="AC40" i="5"/>
  <c r="B41" i="5"/>
  <c r="C41" i="5"/>
  <c r="D41" i="5"/>
  <c r="E41" i="5"/>
  <c r="F41" i="5"/>
  <c r="G41" i="5"/>
  <c r="H41" i="5"/>
  <c r="I41" i="5"/>
  <c r="J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Z41" i="5"/>
  <c r="AA41" i="5"/>
  <c r="B42" i="5"/>
  <c r="C42" i="5"/>
  <c r="D42" i="5"/>
  <c r="E42" i="5"/>
  <c r="F42" i="5"/>
  <c r="G42" i="5"/>
  <c r="H42" i="5"/>
  <c r="I42" i="5"/>
  <c r="J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Z42" i="5"/>
  <c r="AA42" i="5"/>
  <c r="B43" i="5"/>
  <c r="C43" i="5"/>
  <c r="AB43" i="5" s="1"/>
  <c r="D43" i="5"/>
  <c r="E43" i="5"/>
  <c r="F43" i="5"/>
  <c r="G43" i="5"/>
  <c r="H43" i="5"/>
  <c r="I43" i="5"/>
  <c r="J43" i="5"/>
  <c r="L43" i="5"/>
  <c r="M43" i="5"/>
  <c r="AC43" i="5" s="1"/>
  <c r="N43" i="5"/>
  <c r="O43" i="5"/>
  <c r="P43" i="5"/>
  <c r="Q43" i="5"/>
  <c r="R43" i="5"/>
  <c r="S43" i="5"/>
  <c r="T43" i="5"/>
  <c r="U43" i="5"/>
  <c r="V43" i="5"/>
  <c r="W43" i="5"/>
  <c r="X43" i="5"/>
  <c r="Z43" i="5"/>
  <c r="AA43" i="5"/>
  <c r="B44" i="5"/>
  <c r="C44" i="5"/>
  <c r="D44" i="5"/>
  <c r="E44" i="5"/>
  <c r="F44" i="5"/>
  <c r="G44" i="5"/>
  <c r="H44" i="5"/>
  <c r="I44" i="5"/>
  <c r="J44" i="5"/>
  <c r="L44" i="5"/>
  <c r="M44" i="5"/>
  <c r="N44" i="5"/>
  <c r="O44" i="5"/>
  <c r="P44" i="5"/>
  <c r="AC44" i="5" s="1"/>
  <c r="Q44" i="5"/>
  <c r="R44" i="5"/>
  <c r="S44" i="5"/>
  <c r="T44" i="5"/>
  <c r="U44" i="5"/>
  <c r="V44" i="5"/>
  <c r="W44" i="5"/>
  <c r="X44" i="5"/>
  <c r="Z44" i="5"/>
  <c r="AA44" i="5"/>
  <c r="B45" i="5"/>
  <c r="C45" i="5"/>
  <c r="D45" i="5"/>
  <c r="E45" i="5"/>
  <c r="F45" i="5"/>
  <c r="G45" i="5"/>
  <c r="H45" i="5"/>
  <c r="I45" i="5"/>
  <c r="J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Z45" i="5"/>
  <c r="AA45" i="5"/>
  <c r="B46" i="5"/>
  <c r="C46" i="5"/>
  <c r="D46" i="5"/>
  <c r="E46" i="5"/>
  <c r="F46" i="5"/>
  <c r="G46" i="5"/>
  <c r="H46" i="5"/>
  <c r="I46" i="5"/>
  <c r="J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Z46" i="5"/>
  <c r="AA46" i="5"/>
  <c r="B47" i="5"/>
  <c r="C47" i="5"/>
  <c r="D47" i="5"/>
  <c r="E47" i="5"/>
  <c r="F47" i="5"/>
  <c r="G47" i="5"/>
  <c r="H47" i="5"/>
  <c r="I47" i="5"/>
  <c r="J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Z47" i="5"/>
  <c r="AA47" i="5"/>
  <c r="B48" i="5"/>
  <c r="C48" i="5"/>
  <c r="D48" i="5"/>
  <c r="E48" i="5"/>
  <c r="F48" i="5"/>
  <c r="G48" i="5"/>
  <c r="H48" i="5"/>
  <c r="I48" i="5"/>
  <c r="J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Z48" i="5"/>
  <c r="AA48" i="5"/>
  <c r="AC48" i="5"/>
  <c r="B49" i="5"/>
  <c r="C49" i="5"/>
  <c r="D49" i="5"/>
  <c r="E49" i="5"/>
  <c r="F49" i="5"/>
  <c r="G49" i="5"/>
  <c r="H49" i="5"/>
  <c r="I49" i="5"/>
  <c r="AB49" i="5" s="1"/>
  <c r="J49" i="5"/>
  <c r="L49" i="5"/>
  <c r="M49" i="5"/>
  <c r="N49" i="5"/>
  <c r="AC49" i="5" s="1"/>
  <c r="O49" i="5"/>
  <c r="P49" i="5"/>
  <c r="Q49" i="5"/>
  <c r="R49" i="5"/>
  <c r="S49" i="5"/>
  <c r="T49" i="5"/>
  <c r="U49" i="5"/>
  <c r="V49" i="5"/>
  <c r="W49" i="5"/>
  <c r="X49" i="5"/>
  <c r="B50" i="5"/>
  <c r="C50" i="5"/>
  <c r="D50" i="5"/>
  <c r="E50" i="5"/>
  <c r="F50" i="5"/>
  <c r="G50" i="5"/>
  <c r="H50" i="5"/>
  <c r="I50" i="5"/>
  <c r="J50" i="5"/>
  <c r="L50" i="5"/>
  <c r="M50" i="5"/>
  <c r="N50" i="5"/>
  <c r="AC50" i="5" s="1"/>
  <c r="O50" i="5"/>
  <c r="P50" i="5"/>
  <c r="Q50" i="5"/>
  <c r="R50" i="5"/>
  <c r="S50" i="5"/>
  <c r="T50" i="5"/>
  <c r="U50" i="5"/>
  <c r="V50" i="5"/>
  <c r="W50" i="5"/>
  <c r="X50" i="5"/>
  <c r="B51" i="5"/>
  <c r="C51" i="5"/>
  <c r="D51" i="5"/>
  <c r="E51" i="5"/>
  <c r="F51" i="5"/>
  <c r="G51" i="5"/>
  <c r="H51" i="5"/>
  <c r="I51" i="5"/>
  <c r="J51" i="5"/>
  <c r="L51" i="5"/>
  <c r="M51" i="5"/>
  <c r="N51" i="5"/>
  <c r="AC51" i="5" s="1"/>
  <c r="O51" i="5"/>
  <c r="P51" i="5"/>
  <c r="Q51" i="5"/>
  <c r="R51" i="5"/>
  <c r="S51" i="5"/>
  <c r="T51" i="5"/>
  <c r="U51" i="5"/>
  <c r="V51" i="5"/>
  <c r="W51" i="5"/>
  <c r="X51" i="5"/>
  <c r="B52" i="5"/>
  <c r="C52" i="5"/>
  <c r="D52" i="5"/>
  <c r="E52" i="5"/>
  <c r="F52" i="5"/>
  <c r="G52" i="5"/>
  <c r="H52" i="5"/>
  <c r="I52" i="5"/>
  <c r="J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AC52" i="5"/>
  <c r="B53" i="5"/>
  <c r="C53" i="5"/>
  <c r="D53" i="5"/>
  <c r="E53" i="5"/>
  <c r="F53" i="5"/>
  <c r="G53" i="5"/>
  <c r="H53" i="5"/>
  <c r="I53" i="5"/>
  <c r="AB53" i="5" s="1"/>
  <c r="J53" i="5"/>
  <c r="L53" i="5"/>
  <c r="M53" i="5"/>
  <c r="N53" i="5"/>
  <c r="AC53" i="5" s="1"/>
  <c r="O53" i="5"/>
  <c r="P53" i="5"/>
  <c r="Q53" i="5"/>
  <c r="R53" i="5"/>
  <c r="S53" i="5"/>
  <c r="T53" i="5"/>
  <c r="U53" i="5"/>
  <c r="V53" i="5"/>
  <c r="W53" i="5"/>
  <c r="X53" i="5"/>
  <c r="B54" i="5"/>
  <c r="C54" i="5"/>
  <c r="D54" i="5"/>
  <c r="E54" i="5"/>
  <c r="F54" i="5"/>
  <c r="G54" i="5"/>
  <c r="H54" i="5"/>
  <c r="I54" i="5"/>
  <c r="J54" i="5"/>
  <c r="L54" i="5"/>
  <c r="M54" i="5"/>
  <c r="N54" i="5"/>
  <c r="AC54" i="5" s="1"/>
  <c r="O54" i="5"/>
  <c r="P54" i="5"/>
  <c r="Q54" i="5"/>
  <c r="R54" i="5"/>
  <c r="S54" i="5"/>
  <c r="T54" i="5"/>
  <c r="U54" i="5"/>
  <c r="V54" i="5"/>
  <c r="W54" i="5"/>
  <c r="X54" i="5"/>
  <c r="B55" i="5"/>
  <c r="C55" i="5"/>
  <c r="D55" i="5"/>
  <c r="E55" i="5"/>
  <c r="F55" i="5"/>
  <c r="G55" i="5"/>
  <c r="H55" i="5"/>
  <c r="I55" i="5"/>
  <c r="J55" i="5"/>
  <c r="L55" i="5"/>
  <c r="M55" i="5"/>
  <c r="N55" i="5"/>
  <c r="AC55" i="5" s="1"/>
  <c r="O55" i="5"/>
  <c r="P55" i="5"/>
  <c r="Q55" i="5"/>
  <c r="R55" i="5"/>
  <c r="S55" i="5"/>
  <c r="T55" i="5"/>
  <c r="U55" i="5"/>
  <c r="V55" i="5"/>
  <c r="W55" i="5"/>
  <c r="X55" i="5"/>
  <c r="B56" i="5"/>
  <c r="C56" i="5"/>
  <c r="D56" i="5"/>
  <c r="E56" i="5"/>
  <c r="F56" i="5"/>
  <c r="G56" i="5"/>
  <c r="H56" i="5"/>
  <c r="I56" i="5"/>
  <c r="J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AC56" i="5"/>
  <c r="B57" i="5"/>
  <c r="C57" i="5"/>
  <c r="D57" i="5"/>
  <c r="E57" i="5"/>
  <c r="F57" i="5"/>
  <c r="G57" i="5"/>
  <c r="H57" i="5"/>
  <c r="I57" i="5"/>
  <c r="AB57" i="5" s="1"/>
  <c r="J57" i="5"/>
  <c r="L57" i="5"/>
  <c r="M57" i="5"/>
  <c r="N57" i="5"/>
  <c r="AC57" i="5" s="1"/>
  <c r="O57" i="5"/>
  <c r="P57" i="5"/>
  <c r="Q57" i="5"/>
  <c r="R57" i="5"/>
  <c r="S57" i="5"/>
  <c r="T57" i="5"/>
  <c r="U57" i="5"/>
  <c r="V57" i="5"/>
  <c r="W57" i="5"/>
  <c r="X57" i="5"/>
  <c r="B58" i="5"/>
  <c r="C58" i="5"/>
  <c r="D58" i="5"/>
  <c r="E58" i="5"/>
  <c r="F58" i="5"/>
  <c r="G58" i="5"/>
  <c r="H58" i="5"/>
  <c r="I58" i="5"/>
  <c r="J58" i="5"/>
  <c r="L58" i="5"/>
  <c r="M58" i="5"/>
  <c r="N58" i="5"/>
  <c r="AC58" i="5" s="1"/>
  <c r="O58" i="5"/>
  <c r="P58" i="5"/>
  <c r="Q58" i="5"/>
  <c r="R58" i="5"/>
  <c r="S58" i="5"/>
  <c r="T58" i="5"/>
  <c r="U58" i="5"/>
  <c r="V58" i="5"/>
  <c r="W58" i="5"/>
  <c r="X58" i="5"/>
  <c r="B59" i="5"/>
  <c r="C59" i="5"/>
  <c r="D59" i="5"/>
  <c r="E59" i="5"/>
  <c r="F59" i="5"/>
  <c r="G59" i="5"/>
  <c r="H59" i="5"/>
  <c r="I59" i="5"/>
  <c r="J59" i="5"/>
  <c r="L59" i="5"/>
  <c r="M59" i="5"/>
  <c r="N59" i="5"/>
  <c r="AC59" i="5" s="1"/>
  <c r="O59" i="5"/>
  <c r="P59" i="5"/>
  <c r="Q59" i="5"/>
  <c r="R59" i="5"/>
  <c r="S59" i="5"/>
  <c r="T59" i="5"/>
  <c r="U59" i="5"/>
  <c r="V59" i="5"/>
  <c r="W59" i="5"/>
  <c r="X59" i="5"/>
  <c r="B60" i="5"/>
  <c r="C60" i="5"/>
  <c r="D60" i="5"/>
  <c r="E60" i="5"/>
  <c r="F60" i="5"/>
  <c r="G60" i="5"/>
  <c r="H60" i="5"/>
  <c r="I60" i="5"/>
  <c r="J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AC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AB61" i="5"/>
  <c r="B62" i="5"/>
  <c r="C62" i="5"/>
  <c r="D62" i="5"/>
  <c r="E62" i="5"/>
  <c r="F62" i="5"/>
  <c r="G62" i="5"/>
  <c r="H62" i="5"/>
  <c r="I62" i="5"/>
  <c r="J62" i="5"/>
  <c r="K62" i="5"/>
  <c r="L62" i="5"/>
  <c r="M62" i="5"/>
  <c r="AC62" i="5" s="1"/>
  <c r="N62" i="5"/>
  <c r="O62" i="5"/>
  <c r="P62" i="5"/>
  <c r="Q62" i="5"/>
  <c r="R62" i="5"/>
  <c r="S62" i="5"/>
  <c r="T62" i="5"/>
  <c r="U62" i="5"/>
  <c r="V62" i="5"/>
  <c r="W62" i="5"/>
  <c r="X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AC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AC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AC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AB69" i="5"/>
  <c r="B70" i="5"/>
  <c r="C70" i="5"/>
  <c r="D70" i="5"/>
  <c r="E70" i="5"/>
  <c r="F70" i="5"/>
  <c r="G70" i="5"/>
  <c r="H70" i="5"/>
  <c r="I70" i="5"/>
  <c r="J70" i="5"/>
  <c r="K70" i="5"/>
  <c r="L70" i="5"/>
  <c r="M70" i="5"/>
  <c r="AC70" i="5" s="1"/>
  <c r="N70" i="5"/>
  <c r="O70" i="5"/>
  <c r="P70" i="5"/>
  <c r="Q70" i="5"/>
  <c r="R70" i="5"/>
  <c r="S70" i="5"/>
  <c r="T70" i="5"/>
  <c r="U70" i="5"/>
  <c r="V70" i="5"/>
  <c r="W70" i="5"/>
  <c r="X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AC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AC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AC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AB77" i="5"/>
  <c r="B78" i="5"/>
  <c r="C78" i="5"/>
  <c r="D78" i="5"/>
  <c r="E78" i="5"/>
  <c r="F78" i="5"/>
  <c r="G78" i="5"/>
  <c r="H78" i="5"/>
  <c r="I78" i="5"/>
  <c r="J78" i="5"/>
  <c r="K78" i="5"/>
  <c r="L78" i="5"/>
  <c r="M78" i="5"/>
  <c r="AC78" i="5" s="1"/>
  <c r="N78" i="5"/>
  <c r="O78" i="5"/>
  <c r="P78" i="5"/>
  <c r="Q78" i="5"/>
  <c r="R78" i="5"/>
  <c r="S78" i="5"/>
  <c r="T78" i="5"/>
  <c r="U78" i="5"/>
  <c r="V78" i="5"/>
  <c r="W78" i="5"/>
  <c r="X78" i="5"/>
  <c r="B79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B80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W80" i="5"/>
  <c r="X80" i="5"/>
  <c r="B81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W81" i="5"/>
  <c r="X81" i="5"/>
  <c r="B82" i="5"/>
  <c r="C82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X82" i="5"/>
  <c r="AC82" i="5"/>
  <c r="B83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AC83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AC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AB85" i="5"/>
  <c r="B86" i="5"/>
  <c r="C86" i="5"/>
  <c r="D86" i="5"/>
  <c r="E86" i="5"/>
  <c r="F86" i="5"/>
  <c r="G86" i="5"/>
  <c r="H86" i="5"/>
  <c r="I86" i="5"/>
  <c r="J86" i="5"/>
  <c r="K86" i="5"/>
  <c r="L86" i="5"/>
  <c r="M86" i="5"/>
  <c r="AC86" i="5" s="1"/>
  <c r="N86" i="5"/>
  <c r="O86" i="5"/>
  <c r="P86" i="5"/>
  <c r="Q86" i="5"/>
  <c r="R86" i="5"/>
  <c r="S86" i="5"/>
  <c r="T86" i="5"/>
  <c r="U86" i="5"/>
  <c r="V86" i="5"/>
  <c r="W86" i="5"/>
  <c r="X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AC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AC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AC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AB93" i="5"/>
  <c r="B94" i="5"/>
  <c r="C94" i="5"/>
  <c r="D94" i="5"/>
  <c r="E94" i="5"/>
  <c r="F94" i="5"/>
  <c r="G94" i="5"/>
  <c r="H94" i="5"/>
  <c r="I94" i="5"/>
  <c r="J94" i="5"/>
  <c r="K94" i="5"/>
  <c r="L94" i="5"/>
  <c r="M94" i="5"/>
  <c r="AC94" i="5" s="1"/>
  <c r="N94" i="5"/>
  <c r="O94" i="5"/>
  <c r="P94" i="5"/>
  <c r="Q94" i="5"/>
  <c r="R94" i="5"/>
  <c r="S94" i="5"/>
  <c r="T94" i="5"/>
  <c r="U94" i="5"/>
  <c r="V94" i="5"/>
  <c r="W94" i="5"/>
  <c r="X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AC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AC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AC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AB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AC102" i="5" s="1"/>
  <c r="N102" i="5"/>
  <c r="O102" i="5"/>
  <c r="P102" i="5"/>
  <c r="Q102" i="5"/>
  <c r="R102" i="5"/>
  <c r="S102" i="5"/>
  <c r="T102" i="5"/>
  <c r="U102" i="5"/>
  <c r="V102" i="5"/>
  <c r="W102" i="5"/>
  <c r="X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AC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AC108" i="5" s="1"/>
  <c r="O108" i="5"/>
  <c r="P108" i="5"/>
  <c r="Q108" i="5"/>
  <c r="R108" i="5"/>
  <c r="S108" i="5"/>
  <c r="T108" i="5"/>
  <c r="U108" i="5"/>
  <c r="V108" i="5"/>
  <c r="W108" i="5"/>
  <c r="X108" i="5"/>
  <c r="B109" i="5"/>
  <c r="AB109" i="5" s="1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AC113" i="5" s="1"/>
  <c r="N113" i="5"/>
  <c r="O113" i="5"/>
  <c r="P113" i="5"/>
  <c r="Q113" i="5"/>
  <c r="R113" i="5"/>
  <c r="S113" i="5"/>
  <c r="T113" i="5"/>
  <c r="U113" i="5"/>
  <c r="V113" i="5"/>
  <c r="W113" i="5"/>
  <c r="X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AC114" i="5" s="1"/>
  <c r="O114" i="5"/>
  <c r="P114" i="5"/>
  <c r="Q114" i="5"/>
  <c r="R114" i="5"/>
  <c r="S114" i="5"/>
  <c r="T114" i="5"/>
  <c r="U114" i="5"/>
  <c r="V114" i="5"/>
  <c r="W114" i="5"/>
  <c r="X114" i="5"/>
  <c r="B115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AC115" i="5" s="1"/>
  <c r="O115" i="5"/>
  <c r="P115" i="5"/>
  <c r="Q115" i="5"/>
  <c r="R115" i="5"/>
  <c r="S115" i="5"/>
  <c r="T115" i="5"/>
  <c r="U115" i="5"/>
  <c r="V115" i="5"/>
  <c r="W115" i="5"/>
  <c r="X115" i="5"/>
  <c r="B116" i="5"/>
  <c r="AB116" i="5" s="1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X116" i="5"/>
  <c r="B117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W117" i="5"/>
  <c r="X117" i="5"/>
  <c r="B118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B119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AC119" i="5" s="1"/>
  <c r="O119" i="5"/>
  <c r="P119" i="5"/>
  <c r="Q119" i="5"/>
  <c r="R119" i="5"/>
  <c r="S119" i="5"/>
  <c r="T119" i="5"/>
  <c r="U119" i="5"/>
  <c r="V119" i="5"/>
  <c r="W119" i="5"/>
  <c r="X119" i="5"/>
  <c r="B120" i="5"/>
  <c r="AB120" i="5" s="1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AC121" i="5" s="1"/>
  <c r="O121" i="5"/>
  <c r="P121" i="5"/>
  <c r="Q121" i="5"/>
  <c r="R121" i="5"/>
  <c r="S121" i="5"/>
  <c r="T121" i="5"/>
  <c r="U121" i="5"/>
  <c r="V121" i="5"/>
  <c r="W121" i="5"/>
  <c r="X121" i="5"/>
  <c r="B122" i="5"/>
  <c r="AB122" i="5" s="1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AC122" i="5" s="1"/>
  <c r="P122" i="5"/>
  <c r="Q122" i="5"/>
  <c r="R122" i="5"/>
  <c r="S122" i="5"/>
  <c r="T122" i="5"/>
  <c r="U122" i="5"/>
  <c r="V122" i="5"/>
  <c r="W122" i="5"/>
  <c r="X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AC137" i="5" s="1"/>
  <c r="N137" i="5"/>
  <c r="O137" i="5"/>
  <c r="P137" i="5"/>
  <c r="Q137" i="5"/>
  <c r="R137" i="5"/>
  <c r="S137" i="5"/>
  <c r="T137" i="5"/>
  <c r="U137" i="5"/>
  <c r="V137" i="5"/>
  <c r="W137" i="5"/>
  <c r="X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AC140" i="5" s="1"/>
  <c r="P140" i="5"/>
  <c r="Q140" i="5"/>
  <c r="R140" i="5"/>
  <c r="S140" i="5"/>
  <c r="T140" i="5"/>
  <c r="U140" i="5"/>
  <c r="V140" i="5"/>
  <c r="W140" i="5"/>
  <c r="X140" i="5"/>
  <c r="B141" i="5"/>
  <c r="C141" i="5"/>
  <c r="AB141" i="5" s="1"/>
  <c r="D141" i="5"/>
  <c r="E141" i="5"/>
  <c r="F141" i="5"/>
  <c r="G141" i="5"/>
  <c r="H141" i="5"/>
  <c r="I141" i="5"/>
  <c r="J141" i="5"/>
  <c r="K141" i="5"/>
  <c r="L141" i="5"/>
  <c r="M141" i="5"/>
  <c r="N141" i="5"/>
  <c r="O141" i="5"/>
  <c r="AC141" i="5" s="1"/>
  <c r="P141" i="5"/>
  <c r="Q141" i="5"/>
  <c r="R141" i="5"/>
  <c r="S141" i="5"/>
  <c r="T141" i="5"/>
  <c r="U141" i="5"/>
  <c r="V141" i="5"/>
  <c r="W141" i="5"/>
  <c r="X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AC143" i="5" s="1"/>
  <c r="Q143" i="5"/>
  <c r="R143" i="5"/>
  <c r="S143" i="5"/>
  <c r="T143" i="5"/>
  <c r="U143" i="5"/>
  <c r="V143" i="5"/>
  <c r="W143" i="5"/>
  <c r="X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AB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B146" i="5"/>
  <c r="AB146" i="5" s="1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AC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B151" i="5"/>
  <c r="C151" i="5"/>
  <c r="D15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W151" i="5"/>
  <c r="X151" i="5"/>
  <c r="B152" i="5"/>
  <c r="C152" i="5"/>
  <c r="D152" i="5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U152" i="5"/>
  <c r="V152" i="5"/>
  <c r="W152" i="5"/>
  <c r="X152" i="5"/>
  <c r="B153" i="5"/>
  <c r="C153" i="5"/>
  <c r="D153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U153" i="5"/>
  <c r="V153" i="5"/>
  <c r="W153" i="5"/>
  <c r="X153" i="5"/>
  <c r="B154" i="5"/>
  <c r="C154" i="5"/>
  <c r="D154" i="5"/>
  <c r="E154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U154" i="5"/>
  <c r="V154" i="5"/>
  <c r="W154" i="5"/>
  <c r="X154" i="5"/>
  <c r="B155" i="5"/>
  <c r="C155" i="5"/>
  <c r="D155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U155" i="5"/>
  <c r="V155" i="5"/>
  <c r="W155" i="5"/>
  <c r="X155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AC156" i="5" s="1"/>
  <c r="O156" i="5"/>
  <c r="P156" i="5"/>
  <c r="Q156" i="5"/>
  <c r="R156" i="5"/>
  <c r="S156" i="5"/>
  <c r="T156" i="5"/>
  <c r="U156" i="5"/>
  <c r="V156" i="5"/>
  <c r="W156" i="5"/>
  <c r="X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B158" i="5"/>
  <c r="C158" i="5"/>
  <c r="AB158" i="5" s="1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AC159" i="5" s="1"/>
  <c r="O159" i="5"/>
  <c r="P159" i="5"/>
  <c r="Q159" i="5"/>
  <c r="R159" i="5"/>
  <c r="S159" i="5"/>
  <c r="T159" i="5"/>
  <c r="U159" i="5"/>
  <c r="V159" i="5"/>
  <c r="W159" i="5"/>
  <c r="X159" i="5"/>
  <c r="B160" i="5"/>
  <c r="C160" i="5"/>
  <c r="AB160" i="5" s="1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AC161" i="5" s="1"/>
  <c r="O161" i="5"/>
  <c r="P161" i="5"/>
  <c r="Q161" i="5"/>
  <c r="R161" i="5"/>
  <c r="S161" i="5"/>
  <c r="T161" i="5"/>
  <c r="U161" i="5"/>
  <c r="V161" i="5"/>
  <c r="W161" i="5"/>
  <c r="X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AC162" i="5" s="1"/>
  <c r="O162" i="5"/>
  <c r="P162" i="5"/>
  <c r="Q162" i="5"/>
  <c r="R162" i="5"/>
  <c r="S162" i="5"/>
  <c r="T162" i="5"/>
  <c r="U162" i="5"/>
  <c r="V162" i="5"/>
  <c r="W162" i="5"/>
  <c r="X162" i="5"/>
  <c r="B163" i="5"/>
  <c r="AB163" i="5" s="1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AC170" i="5" s="1"/>
  <c r="N170" i="5"/>
  <c r="O170" i="5"/>
  <c r="P170" i="5"/>
  <c r="Q170" i="5"/>
  <c r="R170" i="5"/>
  <c r="S170" i="5"/>
  <c r="T170" i="5"/>
  <c r="U170" i="5"/>
  <c r="V170" i="5"/>
  <c r="W170" i="5"/>
  <c r="X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AC171" i="5" s="1"/>
  <c r="O171" i="5"/>
  <c r="P171" i="5"/>
  <c r="Q171" i="5"/>
  <c r="R171" i="5"/>
  <c r="S171" i="5"/>
  <c r="T171" i="5"/>
  <c r="U171" i="5"/>
  <c r="V171" i="5"/>
  <c r="W171" i="5"/>
  <c r="X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AC172" i="5" s="1"/>
  <c r="O172" i="5"/>
  <c r="P172" i="5"/>
  <c r="Q172" i="5"/>
  <c r="R172" i="5"/>
  <c r="S172" i="5"/>
  <c r="T172" i="5"/>
  <c r="U172" i="5"/>
  <c r="V172" i="5"/>
  <c r="W172" i="5"/>
  <c r="X172" i="5"/>
  <c r="B173" i="5"/>
  <c r="C173" i="5"/>
  <c r="AB173" i="5" s="1"/>
  <c r="D173" i="5"/>
  <c r="E173" i="5"/>
  <c r="F173" i="5"/>
  <c r="G173" i="5"/>
  <c r="H173" i="5"/>
  <c r="I173" i="5"/>
  <c r="J173" i="5"/>
  <c r="K173" i="5"/>
  <c r="L173" i="5"/>
  <c r="M173" i="5"/>
  <c r="N173" i="5"/>
  <c r="O173" i="5"/>
  <c r="AC173" i="5" s="1"/>
  <c r="P173" i="5"/>
  <c r="Q173" i="5"/>
  <c r="R173" i="5"/>
  <c r="S173" i="5"/>
  <c r="T173" i="5"/>
  <c r="U173" i="5"/>
  <c r="V173" i="5"/>
  <c r="W173" i="5"/>
  <c r="X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B176" i="5"/>
  <c r="C176" i="5"/>
  <c r="D176" i="5"/>
  <c r="AB176" i="5" s="1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X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AC177" i="5" s="1"/>
  <c r="Q177" i="5"/>
  <c r="R177" i="5"/>
  <c r="S177" i="5"/>
  <c r="T177" i="5"/>
  <c r="U177" i="5"/>
  <c r="V177" i="5"/>
  <c r="W177" i="5"/>
  <c r="X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AC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AB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AC184" i="5" s="1"/>
  <c r="N184" i="5"/>
  <c r="O184" i="5"/>
  <c r="P184" i="5"/>
  <c r="Q184" i="5"/>
  <c r="R184" i="5"/>
  <c r="S184" i="5"/>
  <c r="T184" i="5"/>
  <c r="U184" i="5"/>
  <c r="V184" i="5"/>
  <c r="W184" i="5"/>
  <c r="X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B187" i="5"/>
  <c r="C187" i="5"/>
  <c r="D187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U187" i="5"/>
  <c r="V187" i="5"/>
  <c r="W187" i="5"/>
  <c r="X187" i="5"/>
  <c r="B188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U188" i="5"/>
  <c r="V188" i="5"/>
  <c r="W188" i="5"/>
  <c r="X188" i="5"/>
  <c r="AC188" i="5"/>
  <c r="B189" i="5"/>
  <c r="C189" i="5"/>
  <c r="D189" i="5"/>
  <c r="E189" i="5"/>
  <c r="F189" i="5"/>
  <c r="G189" i="5"/>
  <c r="H189" i="5"/>
  <c r="I189" i="5"/>
  <c r="J189" i="5"/>
  <c r="K189" i="5"/>
  <c r="L189" i="5"/>
  <c r="M189" i="5"/>
  <c r="AC189" i="5" s="1"/>
  <c r="N189" i="5"/>
  <c r="O189" i="5"/>
  <c r="P189" i="5"/>
  <c r="Q189" i="5"/>
  <c r="R189" i="5"/>
  <c r="S189" i="5"/>
  <c r="T189" i="5"/>
  <c r="U189" i="5"/>
  <c r="V189" i="5"/>
  <c r="W189" i="5"/>
  <c r="X189" i="5"/>
  <c r="AB189" i="5"/>
  <c r="B190" i="5"/>
  <c r="C190" i="5"/>
  <c r="D190" i="5"/>
  <c r="E190" i="5"/>
  <c r="F190" i="5"/>
  <c r="G190" i="5"/>
  <c r="H190" i="5"/>
  <c r="AB190" i="5" s="1"/>
  <c r="I190" i="5"/>
  <c r="J190" i="5"/>
  <c r="K190" i="5"/>
  <c r="L190" i="5"/>
  <c r="M190" i="5"/>
  <c r="N190" i="5"/>
  <c r="O190" i="5"/>
  <c r="P190" i="5"/>
  <c r="Q190" i="5"/>
  <c r="R190" i="5"/>
  <c r="S190" i="5"/>
  <c r="T190" i="5"/>
  <c r="U190" i="5"/>
  <c r="V190" i="5"/>
  <c r="W190" i="5"/>
  <c r="X190" i="5"/>
  <c r="B191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U191" i="5"/>
  <c r="V191" i="5"/>
  <c r="W191" i="5"/>
  <c r="X191" i="5"/>
  <c r="B192" i="5"/>
  <c r="AB192" i="5" s="1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B194" i="5"/>
  <c r="AB194" i="5" s="1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AC194" i="5" s="1"/>
  <c r="P194" i="5"/>
  <c r="Q194" i="5"/>
  <c r="R194" i="5"/>
  <c r="S194" i="5"/>
  <c r="T194" i="5"/>
  <c r="U194" i="5"/>
  <c r="V194" i="5"/>
  <c r="W194" i="5"/>
  <c r="X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B196" i="5"/>
  <c r="C196" i="5"/>
  <c r="D196" i="5"/>
  <c r="E196" i="5"/>
  <c r="F196" i="5"/>
  <c r="G196" i="5"/>
  <c r="AB196" i="5" s="1"/>
  <c r="H196" i="5"/>
  <c r="I196" i="5"/>
  <c r="J196" i="5"/>
  <c r="K196" i="5"/>
  <c r="L196" i="5"/>
  <c r="M196" i="5"/>
  <c r="N196" i="5"/>
  <c r="O196" i="5"/>
  <c r="AC196" i="5" s="1"/>
  <c r="P196" i="5"/>
  <c r="Q196" i="5"/>
  <c r="R196" i="5"/>
  <c r="S196" i="5"/>
  <c r="T196" i="5"/>
  <c r="U196" i="5"/>
  <c r="V196" i="5"/>
  <c r="W196" i="5"/>
  <c r="X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B202" i="5"/>
  <c r="C202" i="5"/>
  <c r="D202" i="5"/>
  <c r="E202" i="5"/>
  <c r="E1085" i="5" s="1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U1085" i="5" s="1"/>
  <c r="V202" i="5"/>
  <c r="W202" i="5"/>
  <c r="X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AC203" i="5" s="1"/>
  <c r="O203" i="5"/>
  <c r="P203" i="5"/>
  <c r="Q203" i="5"/>
  <c r="R203" i="5"/>
  <c r="S203" i="5"/>
  <c r="T203" i="5"/>
  <c r="U203" i="5"/>
  <c r="V203" i="5"/>
  <c r="W203" i="5"/>
  <c r="X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AC204" i="5" s="1"/>
  <c r="O204" i="5"/>
  <c r="P204" i="5"/>
  <c r="Q204" i="5"/>
  <c r="R204" i="5"/>
  <c r="S204" i="5"/>
  <c r="T204" i="5"/>
  <c r="U204" i="5"/>
  <c r="V204" i="5"/>
  <c r="W204" i="5"/>
  <c r="X204" i="5"/>
  <c r="B205" i="5"/>
  <c r="C205" i="5"/>
  <c r="AB205" i="5" s="1"/>
  <c r="D205" i="5"/>
  <c r="E205" i="5"/>
  <c r="F205" i="5"/>
  <c r="G205" i="5"/>
  <c r="H205" i="5"/>
  <c r="I205" i="5"/>
  <c r="J205" i="5"/>
  <c r="K205" i="5"/>
  <c r="L205" i="5"/>
  <c r="M205" i="5"/>
  <c r="N205" i="5"/>
  <c r="O205" i="5"/>
  <c r="AC205" i="5" s="1"/>
  <c r="P205" i="5"/>
  <c r="Q205" i="5"/>
  <c r="R205" i="5"/>
  <c r="S205" i="5"/>
  <c r="T205" i="5"/>
  <c r="U205" i="5"/>
  <c r="V205" i="5"/>
  <c r="W205" i="5"/>
  <c r="X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B208" i="5"/>
  <c r="C208" i="5"/>
  <c r="D208" i="5"/>
  <c r="AB208" i="5" s="1"/>
  <c r="E208" i="5"/>
  <c r="F208" i="5"/>
  <c r="G208" i="5"/>
  <c r="H208" i="5"/>
  <c r="I208" i="5"/>
  <c r="J208" i="5"/>
  <c r="K208" i="5"/>
  <c r="L208" i="5"/>
  <c r="M208" i="5"/>
  <c r="AC208" i="5" s="1"/>
  <c r="N208" i="5"/>
  <c r="O208" i="5"/>
  <c r="P208" i="5"/>
  <c r="Q208" i="5"/>
  <c r="R208" i="5"/>
  <c r="S208" i="5"/>
  <c r="T208" i="5"/>
  <c r="U208" i="5"/>
  <c r="V208" i="5"/>
  <c r="W208" i="5"/>
  <c r="X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AC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AC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AC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AB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B223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U223" i="5"/>
  <c r="V223" i="5"/>
  <c r="W223" i="5"/>
  <c r="X223" i="5"/>
  <c r="AC223" i="5"/>
  <c r="B224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U224" i="5"/>
  <c r="V224" i="5"/>
  <c r="W224" i="5"/>
  <c r="X224" i="5"/>
  <c r="AC224" i="5"/>
  <c r="B225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U225" i="5"/>
  <c r="V225" i="5"/>
  <c r="W225" i="5"/>
  <c r="X225" i="5"/>
  <c r="AB225" i="5"/>
  <c r="B226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U226" i="5"/>
  <c r="V226" i="5"/>
  <c r="W226" i="5"/>
  <c r="X226" i="5"/>
  <c r="B227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U227" i="5"/>
  <c r="V227" i="5"/>
  <c r="W227" i="5"/>
  <c r="X227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AC230" i="5" s="1"/>
  <c r="N230" i="5"/>
  <c r="O230" i="5"/>
  <c r="P230" i="5"/>
  <c r="Q230" i="5"/>
  <c r="R230" i="5"/>
  <c r="S230" i="5"/>
  <c r="T230" i="5"/>
  <c r="U230" i="5"/>
  <c r="V230" i="5"/>
  <c r="W230" i="5"/>
  <c r="X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AC231" i="5" s="1"/>
  <c r="O231" i="5"/>
  <c r="P231" i="5"/>
  <c r="Q231" i="5"/>
  <c r="R231" i="5"/>
  <c r="S231" i="5"/>
  <c r="T231" i="5"/>
  <c r="U231" i="5"/>
  <c r="V231" i="5"/>
  <c r="W231" i="5"/>
  <c r="X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AC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B240" i="5"/>
  <c r="AB240" i="5" s="1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AC240" i="5" s="1"/>
  <c r="P240" i="5"/>
  <c r="Q240" i="5"/>
  <c r="R240" i="5"/>
  <c r="S240" i="5"/>
  <c r="T240" i="5"/>
  <c r="U240" i="5"/>
  <c r="V240" i="5"/>
  <c r="W240" i="5"/>
  <c r="X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B242" i="5"/>
  <c r="C242" i="5"/>
  <c r="D242" i="5"/>
  <c r="E242" i="5"/>
  <c r="F242" i="5"/>
  <c r="G242" i="5"/>
  <c r="AB242" i="5" s="1"/>
  <c r="H242" i="5"/>
  <c r="I242" i="5"/>
  <c r="J242" i="5"/>
  <c r="K242" i="5"/>
  <c r="L242" i="5"/>
  <c r="M242" i="5"/>
  <c r="N242" i="5"/>
  <c r="O242" i="5"/>
  <c r="AC242" i="5" s="1"/>
  <c r="P242" i="5"/>
  <c r="Q242" i="5"/>
  <c r="R242" i="5"/>
  <c r="S242" i="5"/>
  <c r="T242" i="5"/>
  <c r="U242" i="5"/>
  <c r="V242" i="5"/>
  <c r="W242" i="5"/>
  <c r="X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AC247" i="5" s="1"/>
  <c r="Q247" i="5"/>
  <c r="R247" i="5"/>
  <c r="S247" i="5"/>
  <c r="T247" i="5"/>
  <c r="U247" i="5"/>
  <c r="V247" i="5"/>
  <c r="W247" i="5"/>
  <c r="X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AC248" i="5" s="1"/>
  <c r="Q248" i="5"/>
  <c r="R248" i="5"/>
  <c r="S248" i="5"/>
  <c r="T248" i="5"/>
  <c r="U248" i="5"/>
  <c r="V248" i="5"/>
  <c r="W248" i="5"/>
  <c r="X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AC249" i="5" s="1"/>
  <c r="Q249" i="5"/>
  <c r="R249" i="5"/>
  <c r="S249" i="5"/>
  <c r="T249" i="5"/>
  <c r="U249" i="5"/>
  <c r="V249" i="5"/>
  <c r="W249" i="5"/>
  <c r="X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AC255" i="5" s="1"/>
  <c r="Q255" i="5"/>
  <c r="R255" i="5"/>
  <c r="S255" i="5"/>
  <c r="T255" i="5"/>
  <c r="U255" i="5"/>
  <c r="V255" i="5"/>
  <c r="W255" i="5"/>
  <c r="X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AC256" i="5" s="1"/>
  <c r="Q256" i="5"/>
  <c r="R256" i="5"/>
  <c r="S256" i="5"/>
  <c r="T256" i="5"/>
  <c r="U256" i="5"/>
  <c r="V256" i="5"/>
  <c r="W256" i="5"/>
  <c r="X256" i="5"/>
  <c r="B257" i="5"/>
  <c r="C257" i="5"/>
  <c r="D257" i="5"/>
  <c r="AB257" i="5" s="1"/>
  <c r="E257" i="5"/>
  <c r="F257" i="5"/>
  <c r="G257" i="5"/>
  <c r="H257" i="5"/>
  <c r="I257" i="5"/>
  <c r="J257" i="5"/>
  <c r="K257" i="5"/>
  <c r="L257" i="5"/>
  <c r="M257" i="5"/>
  <c r="N257" i="5"/>
  <c r="O257" i="5"/>
  <c r="P257" i="5"/>
  <c r="AC257" i="5" s="1"/>
  <c r="Q257" i="5"/>
  <c r="R257" i="5"/>
  <c r="S257" i="5"/>
  <c r="T257" i="5"/>
  <c r="U257" i="5"/>
  <c r="V257" i="5"/>
  <c r="W257" i="5"/>
  <c r="X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W258" i="5"/>
  <c r="X258" i="5"/>
  <c r="B259" i="5"/>
  <c r="C259" i="5"/>
  <c r="D259" i="5"/>
  <c r="E259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U259" i="5"/>
  <c r="V259" i="5"/>
  <c r="W259" i="5"/>
  <c r="X259" i="5"/>
  <c r="B260" i="5"/>
  <c r="C260" i="5"/>
  <c r="D260" i="5"/>
  <c r="E260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U260" i="5"/>
  <c r="V260" i="5"/>
  <c r="W260" i="5"/>
  <c r="X260" i="5"/>
  <c r="B261" i="5"/>
  <c r="C261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U261" i="5"/>
  <c r="V261" i="5"/>
  <c r="W261" i="5"/>
  <c r="X261" i="5"/>
  <c r="B262" i="5"/>
  <c r="C262" i="5"/>
  <c r="D262" i="5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U262" i="5"/>
  <c r="V262" i="5"/>
  <c r="W262" i="5"/>
  <c r="X262" i="5"/>
  <c r="B263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AC263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AC264" i="5" s="1"/>
  <c r="N264" i="5"/>
  <c r="O264" i="5"/>
  <c r="P264" i="5"/>
  <c r="Q264" i="5"/>
  <c r="R264" i="5"/>
  <c r="S264" i="5"/>
  <c r="T264" i="5"/>
  <c r="U264" i="5"/>
  <c r="V264" i="5"/>
  <c r="W264" i="5"/>
  <c r="X264" i="5"/>
  <c r="AB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AC265" i="5" s="1"/>
  <c r="Q265" i="5"/>
  <c r="R265" i="5"/>
  <c r="S265" i="5"/>
  <c r="T265" i="5"/>
  <c r="U265" i="5"/>
  <c r="V265" i="5"/>
  <c r="W265" i="5"/>
  <c r="X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AC267" i="5" s="1"/>
  <c r="O267" i="5"/>
  <c r="P267" i="5"/>
  <c r="Q267" i="5"/>
  <c r="R267" i="5"/>
  <c r="S267" i="5"/>
  <c r="T267" i="5"/>
  <c r="U267" i="5"/>
  <c r="V267" i="5"/>
  <c r="W267" i="5"/>
  <c r="X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AC270" i="5" s="1"/>
  <c r="N270" i="5"/>
  <c r="O270" i="5"/>
  <c r="P270" i="5"/>
  <c r="Q270" i="5"/>
  <c r="R270" i="5"/>
  <c r="S270" i="5"/>
  <c r="T270" i="5"/>
  <c r="U270" i="5"/>
  <c r="V270" i="5"/>
  <c r="W270" i="5"/>
  <c r="X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AC271" i="5" s="1"/>
  <c r="O271" i="5"/>
  <c r="P271" i="5"/>
  <c r="Q271" i="5"/>
  <c r="R271" i="5"/>
  <c r="S271" i="5"/>
  <c r="T271" i="5"/>
  <c r="U271" i="5"/>
  <c r="V271" i="5"/>
  <c r="W271" i="5"/>
  <c r="X271" i="5"/>
  <c r="B272" i="5"/>
  <c r="AB272" i="5" s="1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AC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AC279" i="5" s="1"/>
  <c r="O279" i="5"/>
  <c r="P279" i="5"/>
  <c r="Q279" i="5"/>
  <c r="R279" i="5"/>
  <c r="S279" i="5"/>
  <c r="T279" i="5"/>
  <c r="U279" i="5"/>
  <c r="V279" i="5"/>
  <c r="W279" i="5"/>
  <c r="X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AC280" i="5" s="1"/>
  <c r="O280" i="5"/>
  <c r="P280" i="5"/>
  <c r="Q280" i="5"/>
  <c r="R280" i="5"/>
  <c r="S280" i="5"/>
  <c r="T280" i="5"/>
  <c r="U280" i="5"/>
  <c r="V280" i="5"/>
  <c r="W280" i="5"/>
  <c r="X280" i="5"/>
  <c r="B281" i="5"/>
  <c r="AB281" i="5" s="1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AC281" i="5" s="1"/>
  <c r="P281" i="5"/>
  <c r="Q281" i="5"/>
  <c r="R281" i="5"/>
  <c r="S281" i="5"/>
  <c r="T281" i="5"/>
  <c r="U281" i="5"/>
  <c r="V281" i="5"/>
  <c r="W281" i="5"/>
  <c r="X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X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X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AC287" i="5" s="1"/>
  <c r="O287" i="5"/>
  <c r="P287" i="5"/>
  <c r="Q287" i="5"/>
  <c r="R287" i="5"/>
  <c r="S287" i="5"/>
  <c r="T287" i="5"/>
  <c r="U287" i="5"/>
  <c r="V287" i="5"/>
  <c r="W287" i="5"/>
  <c r="X287" i="5"/>
  <c r="B288" i="5"/>
  <c r="C288" i="5"/>
  <c r="AB288" i="5" s="1"/>
  <c r="D288" i="5"/>
  <c r="E288" i="5"/>
  <c r="F288" i="5"/>
  <c r="G288" i="5"/>
  <c r="H288" i="5"/>
  <c r="I288" i="5"/>
  <c r="J288" i="5"/>
  <c r="K288" i="5"/>
  <c r="L288" i="5"/>
  <c r="M288" i="5"/>
  <c r="N288" i="5"/>
  <c r="O288" i="5"/>
  <c r="AC288" i="5" s="1"/>
  <c r="P288" i="5"/>
  <c r="Q288" i="5"/>
  <c r="R288" i="5"/>
  <c r="S288" i="5"/>
  <c r="T288" i="5"/>
  <c r="U288" i="5"/>
  <c r="V288" i="5"/>
  <c r="W288" i="5"/>
  <c r="X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AC290" i="5" s="1"/>
  <c r="P290" i="5"/>
  <c r="Q290" i="5"/>
  <c r="R290" i="5"/>
  <c r="S290" i="5"/>
  <c r="T290" i="5"/>
  <c r="U290" i="5"/>
  <c r="V290" i="5"/>
  <c r="W290" i="5"/>
  <c r="X290" i="5"/>
  <c r="B291" i="5"/>
  <c r="C291" i="5"/>
  <c r="AB291" i="5" s="1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AC294" i="5" s="1"/>
  <c r="N294" i="5"/>
  <c r="O294" i="5"/>
  <c r="P294" i="5"/>
  <c r="Q294" i="5"/>
  <c r="R294" i="5"/>
  <c r="S294" i="5"/>
  <c r="T294" i="5"/>
  <c r="U294" i="5"/>
  <c r="V294" i="5"/>
  <c r="W294" i="5"/>
  <c r="X294" i="5"/>
  <c r="B295" i="5"/>
  <c r="C295" i="5"/>
  <c r="D295" i="5"/>
  <c r="E295" i="5"/>
  <c r="F295" i="5"/>
  <c r="G295" i="5"/>
  <c r="H295" i="5"/>
  <c r="I295" i="5"/>
  <c r="J295" i="5"/>
  <c r="K295" i="5"/>
  <c r="L295" i="5"/>
  <c r="M295" i="5"/>
  <c r="N295" i="5"/>
  <c r="AC295" i="5" s="1"/>
  <c r="O295" i="5"/>
  <c r="P295" i="5"/>
  <c r="Q295" i="5"/>
  <c r="R295" i="5"/>
  <c r="S295" i="5"/>
  <c r="T295" i="5"/>
  <c r="U295" i="5"/>
  <c r="V295" i="5"/>
  <c r="W295" i="5"/>
  <c r="X295" i="5"/>
  <c r="B296" i="5"/>
  <c r="C296" i="5"/>
  <c r="D296" i="5"/>
  <c r="E296" i="5"/>
  <c r="F296" i="5"/>
  <c r="G296" i="5"/>
  <c r="H296" i="5"/>
  <c r="I296" i="5"/>
  <c r="J296" i="5"/>
  <c r="K296" i="5"/>
  <c r="L296" i="5"/>
  <c r="M296" i="5"/>
  <c r="N296" i="5"/>
  <c r="AC296" i="5" s="1"/>
  <c r="O296" i="5"/>
  <c r="P296" i="5"/>
  <c r="Q296" i="5"/>
  <c r="R296" i="5"/>
  <c r="S296" i="5"/>
  <c r="T296" i="5"/>
  <c r="U296" i="5"/>
  <c r="V296" i="5"/>
  <c r="W296" i="5"/>
  <c r="X296" i="5"/>
  <c r="B297" i="5"/>
  <c r="C297" i="5"/>
  <c r="D297" i="5"/>
  <c r="E297" i="5"/>
  <c r="F297" i="5"/>
  <c r="G297" i="5"/>
  <c r="H297" i="5"/>
  <c r="I297" i="5"/>
  <c r="J297" i="5"/>
  <c r="K297" i="5"/>
  <c r="L297" i="5"/>
  <c r="M297" i="5"/>
  <c r="N297" i="5"/>
  <c r="AC297" i="5" s="1"/>
  <c r="O297" i="5"/>
  <c r="P297" i="5"/>
  <c r="Q297" i="5"/>
  <c r="R297" i="5"/>
  <c r="S297" i="5"/>
  <c r="T297" i="5"/>
  <c r="U297" i="5"/>
  <c r="V297" i="5"/>
  <c r="W297" i="5"/>
  <c r="X297" i="5"/>
  <c r="B298" i="5"/>
  <c r="AB298" i="5" s="1"/>
  <c r="C298" i="5"/>
  <c r="D298" i="5"/>
  <c r="E298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U298" i="5"/>
  <c r="V298" i="5"/>
  <c r="W298" i="5"/>
  <c r="X298" i="5"/>
  <c r="AC298" i="5"/>
  <c r="B299" i="5"/>
  <c r="C299" i="5"/>
  <c r="D299" i="5"/>
  <c r="E299" i="5"/>
  <c r="F299" i="5"/>
  <c r="G299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U299" i="5"/>
  <c r="V299" i="5"/>
  <c r="W299" i="5"/>
  <c r="X299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X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AC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X304" i="5"/>
  <c r="AC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X305" i="5"/>
  <c r="AC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U306" i="5"/>
  <c r="V306" i="5"/>
  <c r="W306" i="5"/>
  <c r="X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AC307" i="5" s="1"/>
  <c r="O307" i="5"/>
  <c r="P307" i="5"/>
  <c r="Q307" i="5"/>
  <c r="R307" i="5"/>
  <c r="S307" i="5"/>
  <c r="T307" i="5"/>
  <c r="U307" i="5"/>
  <c r="V307" i="5"/>
  <c r="W307" i="5"/>
  <c r="X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U308" i="5"/>
  <c r="V308" i="5"/>
  <c r="W308" i="5"/>
  <c r="X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W309" i="5"/>
  <c r="X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AC310" i="5" s="1"/>
  <c r="N310" i="5"/>
  <c r="O310" i="5"/>
  <c r="P310" i="5"/>
  <c r="Q310" i="5"/>
  <c r="R310" i="5"/>
  <c r="S310" i="5"/>
  <c r="T310" i="5"/>
  <c r="U310" i="5"/>
  <c r="V310" i="5"/>
  <c r="W310" i="5"/>
  <c r="X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AC311" i="5" s="1"/>
  <c r="O311" i="5"/>
  <c r="P311" i="5"/>
  <c r="Q311" i="5"/>
  <c r="R311" i="5"/>
  <c r="S311" i="5"/>
  <c r="T311" i="5"/>
  <c r="U311" i="5"/>
  <c r="V311" i="5"/>
  <c r="W311" i="5"/>
  <c r="X311" i="5"/>
  <c r="B312" i="5"/>
  <c r="AB312" i="5" s="1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U312" i="5"/>
  <c r="V312" i="5"/>
  <c r="W312" i="5"/>
  <c r="X312" i="5"/>
  <c r="AC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W313" i="5"/>
  <c r="X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AC314" i="5" s="1"/>
  <c r="O314" i="5"/>
  <c r="P314" i="5"/>
  <c r="Q314" i="5"/>
  <c r="R314" i="5"/>
  <c r="S314" i="5"/>
  <c r="T314" i="5"/>
  <c r="U314" i="5"/>
  <c r="V314" i="5"/>
  <c r="W314" i="5"/>
  <c r="X314" i="5"/>
  <c r="B315" i="5"/>
  <c r="AB315" i="5" s="1"/>
  <c r="C315" i="5"/>
  <c r="D315" i="5"/>
  <c r="E315" i="5"/>
  <c r="F315" i="5"/>
  <c r="G315" i="5"/>
  <c r="H315" i="5"/>
  <c r="I315" i="5"/>
  <c r="J315" i="5"/>
  <c r="K315" i="5"/>
  <c r="L315" i="5"/>
  <c r="M315" i="5"/>
  <c r="N315" i="5"/>
  <c r="AC315" i="5" s="1"/>
  <c r="O315" i="5"/>
  <c r="P315" i="5"/>
  <c r="Q315" i="5"/>
  <c r="R315" i="5"/>
  <c r="S315" i="5"/>
  <c r="T315" i="5"/>
  <c r="U315" i="5"/>
  <c r="V315" i="5"/>
  <c r="W315" i="5"/>
  <c r="X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U316" i="5"/>
  <c r="V316" i="5"/>
  <c r="W316" i="5"/>
  <c r="X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W317" i="5"/>
  <c r="X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W318" i="5"/>
  <c r="X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X319" i="5"/>
  <c r="AC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U320" i="5"/>
  <c r="V320" i="5"/>
  <c r="W320" i="5"/>
  <c r="X320" i="5"/>
  <c r="AC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U321" i="5"/>
  <c r="V321" i="5"/>
  <c r="W321" i="5"/>
  <c r="X321" i="5"/>
  <c r="AC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U322" i="5"/>
  <c r="V322" i="5"/>
  <c r="W322" i="5"/>
  <c r="X322" i="5"/>
  <c r="AB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W323" i="5"/>
  <c r="X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U324" i="5"/>
  <c r="V324" i="5"/>
  <c r="W324" i="5"/>
  <c r="X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U325" i="5"/>
  <c r="V325" i="5"/>
  <c r="W325" i="5"/>
  <c r="X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W326" i="5"/>
  <c r="X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U327" i="5"/>
  <c r="V327" i="5"/>
  <c r="W327" i="5"/>
  <c r="X327" i="5"/>
  <c r="AC327" i="5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AC328" i="5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U329" i="5"/>
  <c r="V329" i="5"/>
  <c r="W329" i="5"/>
  <c r="X329" i="5"/>
  <c r="B330" i="5"/>
  <c r="C330" i="5"/>
  <c r="D330" i="5"/>
  <c r="E330" i="5"/>
  <c r="F330" i="5"/>
  <c r="G330" i="5"/>
  <c r="H330" i="5"/>
  <c r="I330" i="5"/>
  <c r="J330" i="5"/>
  <c r="K330" i="5"/>
  <c r="L330" i="5"/>
  <c r="M330" i="5"/>
  <c r="N330" i="5"/>
  <c r="O330" i="5"/>
  <c r="P330" i="5"/>
  <c r="Q330" i="5"/>
  <c r="R330" i="5"/>
  <c r="S330" i="5"/>
  <c r="T330" i="5"/>
  <c r="U330" i="5"/>
  <c r="V330" i="5"/>
  <c r="W330" i="5"/>
  <c r="X330" i="5"/>
  <c r="B331" i="5"/>
  <c r="AB331" i="5" s="1"/>
  <c r="C331" i="5"/>
  <c r="D331" i="5"/>
  <c r="E331" i="5"/>
  <c r="F331" i="5"/>
  <c r="G331" i="5"/>
  <c r="H331" i="5"/>
  <c r="I331" i="5"/>
  <c r="J331" i="5"/>
  <c r="K331" i="5"/>
  <c r="L331" i="5"/>
  <c r="M331" i="5"/>
  <c r="N331" i="5"/>
  <c r="O331" i="5"/>
  <c r="P331" i="5"/>
  <c r="Q331" i="5"/>
  <c r="R331" i="5"/>
  <c r="S331" i="5"/>
  <c r="T331" i="5"/>
  <c r="U331" i="5"/>
  <c r="V331" i="5"/>
  <c r="W331" i="5"/>
  <c r="X331" i="5"/>
  <c r="B332" i="5"/>
  <c r="C332" i="5"/>
  <c r="D332" i="5"/>
  <c r="E332" i="5"/>
  <c r="F332" i="5"/>
  <c r="G332" i="5"/>
  <c r="H332" i="5"/>
  <c r="I332" i="5"/>
  <c r="J332" i="5"/>
  <c r="K332" i="5"/>
  <c r="L332" i="5"/>
  <c r="M332" i="5"/>
  <c r="N332" i="5"/>
  <c r="O332" i="5"/>
  <c r="P332" i="5"/>
  <c r="Q332" i="5"/>
  <c r="R332" i="5"/>
  <c r="S332" i="5"/>
  <c r="T332" i="5"/>
  <c r="U332" i="5"/>
  <c r="V332" i="5"/>
  <c r="W332" i="5"/>
  <c r="X332" i="5"/>
  <c r="B333" i="5"/>
  <c r="C333" i="5"/>
  <c r="D333" i="5"/>
  <c r="E333" i="5"/>
  <c r="F333" i="5"/>
  <c r="G333" i="5"/>
  <c r="H333" i="5"/>
  <c r="I333" i="5"/>
  <c r="J333" i="5"/>
  <c r="K333" i="5"/>
  <c r="L333" i="5"/>
  <c r="M333" i="5"/>
  <c r="N333" i="5"/>
  <c r="O333" i="5"/>
  <c r="P333" i="5"/>
  <c r="Q333" i="5"/>
  <c r="R333" i="5"/>
  <c r="S333" i="5"/>
  <c r="T333" i="5"/>
  <c r="U333" i="5"/>
  <c r="V333" i="5"/>
  <c r="W333" i="5"/>
  <c r="X333" i="5"/>
  <c r="B334" i="5"/>
  <c r="C334" i="5"/>
  <c r="D334" i="5"/>
  <c r="E334" i="5"/>
  <c r="F334" i="5"/>
  <c r="G334" i="5"/>
  <c r="H334" i="5"/>
  <c r="I334" i="5"/>
  <c r="J334" i="5"/>
  <c r="K334" i="5"/>
  <c r="L334" i="5"/>
  <c r="M334" i="5"/>
  <c r="AC334" i="5" s="1"/>
  <c r="N334" i="5"/>
  <c r="O334" i="5"/>
  <c r="P334" i="5"/>
  <c r="Q334" i="5"/>
  <c r="R334" i="5"/>
  <c r="S334" i="5"/>
  <c r="T334" i="5"/>
  <c r="U334" i="5"/>
  <c r="V334" i="5"/>
  <c r="W334" i="5"/>
  <c r="X334" i="5"/>
  <c r="B335" i="5"/>
  <c r="C335" i="5"/>
  <c r="D335" i="5"/>
  <c r="E335" i="5"/>
  <c r="F335" i="5"/>
  <c r="G335" i="5"/>
  <c r="H335" i="5"/>
  <c r="I335" i="5"/>
  <c r="J335" i="5"/>
  <c r="K335" i="5"/>
  <c r="L335" i="5"/>
  <c r="M335" i="5"/>
  <c r="N335" i="5"/>
  <c r="AC335" i="5" s="1"/>
  <c r="O335" i="5"/>
  <c r="P335" i="5"/>
  <c r="Q335" i="5"/>
  <c r="R335" i="5"/>
  <c r="S335" i="5"/>
  <c r="T335" i="5"/>
  <c r="U335" i="5"/>
  <c r="V335" i="5"/>
  <c r="W335" i="5"/>
  <c r="X335" i="5"/>
  <c r="B336" i="5"/>
  <c r="C336" i="5"/>
  <c r="D336" i="5"/>
  <c r="E336" i="5"/>
  <c r="F336" i="5"/>
  <c r="G336" i="5"/>
  <c r="H336" i="5"/>
  <c r="I336" i="5"/>
  <c r="J336" i="5"/>
  <c r="K336" i="5"/>
  <c r="L336" i="5"/>
  <c r="M336" i="5"/>
  <c r="N336" i="5"/>
  <c r="AC336" i="5" s="1"/>
  <c r="O336" i="5"/>
  <c r="P336" i="5"/>
  <c r="Q336" i="5"/>
  <c r="R336" i="5"/>
  <c r="S336" i="5"/>
  <c r="T336" i="5"/>
  <c r="U336" i="5"/>
  <c r="V336" i="5"/>
  <c r="W336" i="5"/>
  <c r="X336" i="5"/>
  <c r="B337" i="5"/>
  <c r="C337" i="5"/>
  <c r="D337" i="5"/>
  <c r="E337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T337" i="5"/>
  <c r="U337" i="5"/>
  <c r="V337" i="5"/>
  <c r="W337" i="5"/>
  <c r="X337" i="5"/>
  <c r="B338" i="5"/>
  <c r="AB338" i="5" s="1"/>
  <c r="C338" i="5"/>
  <c r="D338" i="5"/>
  <c r="E338" i="5"/>
  <c r="F338" i="5"/>
  <c r="G338" i="5"/>
  <c r="H338" i="5"/>
  <c r="I338" i="5"/>
  <c r="J338" i="5"/>
  <c r="K338" i="5"/>
  <c r="L338" i="5"/>
  <c r="M338" i="5"/>
  <c r="N338" i="5"/>
  <c r="O338" i="5"/>
  <c r="AC338" i="5" s="1"/>
  <c r="P338" i="5"/>
  <c r="Q338" i="5"/>
  <c r="R338" i="5"/>
  <c r="S338" i="5"/>
  <c r="T338" i="5"/>
  <c r="U338" i="5"/>
  <c r="V338" i="5"/>
  <c r="W338" i="5"/>
  <c r="X338" i="5"/>
  <c r="B339" i="5"/>
  <c r="C339" i="5"/>
  <c r="D339" i="5"/>
  <c r="E339" i="5"/>
  <c r="F339" i="5"/>
  <c r="G339" i="5"/>
  <c r="H339" i="5"/>
  <c r="I339" i="5"/>
  <c r="J339" i="5"/>
  <c r="K339" i="5"/>
  <c r="L339" i="5"/>
  <c r="M339" i="5"/>
  <c r="N339" i="5"/>
  <c r="O339" i="5"/>
  <c r="P339" i="5"/>
  <c r="Q339" i="5"/>
  <c r="R339" i="5"/>
  <c r="S339" i="5"/>
  <c r="T339" i="5"/>
  <c r="U339" i="5"/>
  <c r="V339" i="5"/>
  <c r="W339" i="5"/>
  <c r="X339" i="5"/>
  <c r="B340" i="5"/>
  <c r="C340" i="5"/>
  <c r="D340" i="5"/>
  <c r="E340" i="5"/>
  <c r="F340" i="5"/>
  <c r="G340" i="5"/>
  <c r="H340" i="5"/>
  <c r="I340" i="5"/>
  <c r="J340" i="5"/>
  <c r="K340" i="5"/>
  <c r="L340" i="5"/>
  <c r="M340" i="5"/>
  <c r="N340" i="5"/>
  <c r="O340" i="5"/>
  <c r="P340" i="5"/>
  <c r="Q340" i="5"/>
  <c r="R340" i="5"/>
  <c r="S340" i="5"/>
  <c r="T340" i="5"/>
  <c r="U340" i="5"/>
  <c r="V340" i="5"/>
  <c r="W340" i="5"/>
  <c r="X340" i="5"/>
  <c r="B341" i="5"/>
  <c r="C341" i="5"/>
  <c r="D341" i="5"/>
  <c r="E341" i="5"/>
  <c r="F341" i="5"/>
  <c r="G341" i="5"/>
  <c r="H341" i="5"/>
  <c r="I341" i="5"/>
  <c r="J341" i="5"/>
  <c r="K341" i="5"/>
  <c r="L341" i="5"/>
  <c r="M341" i="5"/>
  <c r="N341" i="5"/>
  <c r="O341" i="5"/>
  <c r="P341" i="5"/>
  <c r="Q341" i="5"/>
  <c r="R341" i="5"/>
  <c r="S341" i="5"/>
  <c r="T341" i="5"/>
  <c r="U341" i="5"/>
  <c r="V341" i="5"/>
  <c r="W341" i="5"/>
  <c r="X341" i="5"/>
  <c r="B342" i="5"/>
  <c r="C342" i="5"/>
  <c r="D342" i="5"/>
  <c r="E342" i="5"/>
  <c r="F342" i="5"/>
  <c r="G342" i="5"/>
  <c r="H342" i="5"/>
  <c r="I342" i="5"/>
  <c r="J342" i="5"/>
  <c r="K342" i="5"/>
  <c r="L342" i="5"/>
  <c r="M342" i="5"/>
  <c r="N342" i="5"/>
  <c r="O342" i="5"/>
  <c r="P342" i="5"/>
  <c r="Q342" i="5"/>
  <c r="R342" i="5"/>
  <c r="S342" i="5"/>
  <c r="T342" i="5"/>
  <c r="U342" i="5"/>
  <c r="V342" i="5"/>
  <c r="W342" i="5"/>
  <c r="X342" i="5"/>
  <c r="B343" i="5"/>
  <c r="C343" i="5"/>
  <c r="D343" i="5"/>
  <c r="E343" i="5"/>
  <c r="F343" i="5"/>
  <c r="G343" i="5"/>
  <c r="H343" i="5"/>
  <c r="I343" i="5"/>
  <c r="J343" i="5"/>
  <c r="K343" i="5"/>
  <c r="L343" i="5"/>
  <c r="M343" i="5"/>
  <c r="N343" i="5"/>
  <c r="AC343" i="5" s="1"/>
  <c r="O343" i="5"/>
  <c r="P343" i="5"/>
  <c r="Q343" i="5"/>
  <c r="R343" i="5"/>
  <c r="S343" i="5"/>
  <c r="T343" i="5"/>
  <c r="U343" i="5"/>
  <c r="V343" i="5"/>
  <c r="W343" i="5"/>
  <c r="X343" i="5"/>
  <c r="B344" i="5"/>
  <c r="C344" i="5"/>
  <c r="D344" i="5"/>
  <c r="E344" i="5"/>
  <c r="F344" i="5"/>
  <c r="G344" i="5"/>
  <c r="H344" i="5"/>
  <c r="I344" i="5"/>
  <c r="J344" i="5"/>
  <c r="K344" i="5"/>
  <c r="L344" i="5"/>
  <c r="M344" i="5"/>
  <c r="N344" i="5"/>
  <c r="AC344" i="5" s="1"/>
  <c r="O344" i="5"/>
  <c r="P344" i="5"/>
  <c r="Q344" i="5"/>
  <c r="R344" i="5"/>
  <c r="S344" i="5"/>
  <c r="T344" i="5"/>
  <c r="U344" i="5"/>
  <c r="V344" i="5"/>
  <c r="W344" i="5"/>
  <c r="X344" i="5"/>
  <c r="B345" i="5"/>
  <c r="C345" i="5"/>
  <c r="D345" i="5"/>
  <c r="E345" i="5"/>
  <c r="F345" i="5"/>
  <c r="G345" i="5"/>
  <c r="H345" i="5"/>
  <c r="I345" i="5"/>
  <c r="J345" i="5"/>
  <c r="K345" i="5"/>
  <c r="L345" i="5"/>
  <c r="M345" i="5"/>
  <c r="N345" i="5"/>
  <c r="AC345" i="5" s="1"/>
  <c r="O345" i="5"/>
  <c r="P345" i="5"/>
  <c r="Q345" i="5"/>
  <c r="R345" i="5"/>
  <c r="S345" i="5"/>
  <c r="T345" i="5"/>
  <c r="U345" i="5"/>
  <c r="V345" i="5"/>
  <c r="W345" i="5"/>
  <c r="X345" i="5"/>
  <c r="B346" i="5"/>
  <c r="C346" i="5"/>
  <c r="D346" i="5"/>
  <c r="E346" i="5"/>
  <c r="F346" i="5"/>
  <c r="G346" i="5"/>
  <c r="G1097" i="5" s="1"/>
  <c r="H346" i="5"/>
  <c r="I346" i="5"/>
  <c r="J346" i="5"/>
  <c r="K346" i="5"/>
  <c r="L346" i="5"/>
  <c r="M346" i="5"/>
  <c r="N346" i="5"/>
  <c r="O346" i="5"/>
  <c r="P346" i="5"/>
  <c r="Q346" i="5"/>
  <c r="R346" i="5"/>
  <c r="S346" i="5"/>
  <c r="T346" i="5"/>
  <c r="U346" i="5"/>
  <c r="V346" i="5"/>
  <c r="W346" i="5"/>
  <c r="W1097" i="5" s="1"/>
  <c r="X346" i="5"/>
  <c r="B347" i="5"/>
  <c r="C347" i="5"/>
  <c r="D347" i="5"/>
  <c r="E347" i="5"/>
  <c r="F347" i="5"/>
  <c r="G347" i="5"/>
  <c r="H347" i="5"/>
  <c r="I347" i="5"/>
  <c r="J347" i="5"/>
  <c r="K347" i="5"/>
  <c r="L347" i="5"/>
  <c r="M347" i="5"/>
  <c r="N347" i="5"/>
  <c r="O347" i="5"/>
  <c r="P347" i="5"/>
  <c r="Q347" i="5"/>
  <c r="R347" i="5"/>
  <c r="S347" i="5"/>
  <c r="T347" i="5"/>
  <c r="U347" i="5"/>
  <c r="V347" i="5"/>
  <c r="W347" i="5"/>
  <c r="X347" i="5"/>
  <c r="B348" i="5"/>
  <c r="C348" i="5"/>
  <c r="D348" i="5"/>
  <c r="E348" i="5"/>
  <c r="F348" i="5"/>
  <c r="G348" i="5"/>
  <c r="H348" i="5"/>
  <c r="I348" i="5"/>
  <c r="J348" i="5"/>
  <c r="K348" i="5"/>
  <c r="L348" i="5"/>
  <c r="M348" i="5"/>
  <c r="N348" i="5"/>
  <c r="O348" i="5"/>
  <c r="P348" i="5"/>
  <c r="Q348" i="5"/>
  <c r="R348" i="5"/>
  <c r="S348" i="5"/>
  <c r="T348" i="5"/>
  <c r="U348" i="5"/>
  <c r="V348" i="5"/>
  <c r="W348" i="5"/>
  <c r="X348" i="5"/>
  <c r="B349" i="5"/>
  <c r="C349" i="5"/>
  <c r="D349" i="5"/>
  <c r="E349" i="5"/>
  <c r="F349" i="5"/>
  <c r="G349" i="5"/>
  <c r="H349" i="5"/>
  <c r="I349" i="5"/>
  <c r="J349" i="5"/>
  <c r="K349" i="5"/>
  <c r="L349" i="5"/>
  <c r="M349" i="5"/>
  <c r="N349" i="5"/>
  <c r="O349" i="5"/>
  <c r="P349" i="5"/>
  <c r="Q349" i="5"/>
  <c r="R349" i="5"/>
  <c r="S349" i="5"/>
  <c r="T349" i="5"/>
  <c r="U349" i="5"/>
  <c r="V349" i="5"/>
  <c r="W349" i="5"/>
  <c r="X349" i="5"/>
  <c r="B350" i="5"/>
  <c r="C350" i="5"/>
  <c r="D350" i="5"/>
  <c r="E350" i="5"/>
  <c r="F350" i="5"/>
  <c r="G350" i="5"/>
  <c r="H350" i="5"/>
  <c r="I350" i="5"/>
  <c r="J350" i="5"/>
  <c r="K350" i="5"/>
  <c r="L350" i="5"/>
  <c r="M350" i="5"/>
  <c r="N350" i="5"/>
  <c r="O350" i="5"/>
  <c r="P350" i="5"/>
  <c r="Q350" i="5"/>
  <c r="R350" i="5"/>
  <c r="S350" i="5"/>
  <c r="T350" i="5"/>
  <c r="U350" i="5"/>
  <c r="V350" i="5"/>
  <c r="W350" i="5"/>
  <c r="X350" i="5"/>
  <c r="B351" i="5"/>
  <c r="C351" i="5"/>
  <c r="D351" i="5"/>
  <c r="E351" i="5"/>
  <c r="F351" i="5"/>
  <c r="G351" i="5"/>
  <c r="H351" i="5"/>
  <c r="I351" i="5"/>
  <c r="J351" i="5"/>
  <c r="K351" i="5"/>
  <c r="L351" i="5"/>
  <c r="M351" i="5"/>
  <c r="N351" i="5"/>
  <c r="O351" i="5"/>
  <c r="P351" i="5"/>
  <c r="Q351" i="5"/>
  <c r="R351" i="5"/>
  <c r="S351" i="5"/>
  <c r="T351" i="5"/>
  <c r="U351" i="5"/>
  <c r="V351" i="5"/>
  <c r="W351" i="5"/>
  <c r="X351" i="5"/>
  <c r="B352" i="5"/>
  <c r="C352" i="5"/>
  <c r="D352" i="5"/>
  <c r="E352" i="5"/>
  <c r="F352" i="5"/>
  <c r="G352" i="5"/>
  <c r="H352" i="5"/>
  <c r="I352" i="5"/>
  <c r="J352" i="5"/>
  <c r="K352" i="5"/>
  <c r="L352" i="5"/>
  <c r="M352" i="5"/>
  <c r="AC352" i="5" s="1"/>
  <c r="N352" i="5"/>
  <c r="O352" i="5"/>
  <c r="P352" i="5"/>
  <c r="Q352" i="5"/>
  <c r="R352" i="5"/>
  <c r="S352" i="5"/>
  <c r="T352" i="5"/>
  <c r="U352" i="5"/>
  <c r="V352" i="5"/>
  <c r="W352" i="5"/>
  <c r="X352" i="5"/>
  <c r="B353" i="5"/>
  <c r="C353" i="5"/>
  <c r="D353" i="5"/>
  <c r="E353" i="5"/>
  <c r="F353" i="5"/>
  <c r="G353" i="5"/>
  <c r="H353" i="5"/>
  <c r="I353" i="5"/>
  <c r="J353" i="5"/>
  <c r="K353" i="5"/>
  <c r="L353" i="5"/>
  <c r="M353" i="5"/>
  <c r="N353" i="5"/>
  <c r="AC353" i="5" s="1"/>
  <c r="O353" i="5"/>
  <c r="P353" i="5"/>
  <c r="Q353" i="5"/>
  <c r="R353" i="5"/>
  <c r="S353" i="5"/>
  <c r="T353" i="5"/>
  <c r="U353" i="5"/>
  <c r="V353" i="5"/>
  <c r="W353" i="5"/>
  <c r="X353" i="5"/>
  <c r="B354" i="5"/>
  <c r="AB354" i="5" s="1"/>
  <c r="C354" i="5"/>
  <c r="D354" i="5"/>
  <c r="E354" i="5"/>
  <c r="F354" i="5"/>
  <c r="G354" i="5"/>
  <c r="H354" i="5"/>
  <c r="I354" i="5"/>
  <c r="J354" i="5"/>
  <c r="K354" i="5"/>
  <c r="L354" i="5"/>
  <c r="M354" i="5"/>
  <c r="N354" i="5"/>
  <c r="O354" i="5"/>
  <c r="P354" i="5"/>
  <c r="Q354" i="5"/>
  <c r="R354" i="5"/>
  <c r="S354" i="5"/>
  <c r="T354" i="5"/>
  <c r="U354" i="5"/>
  <c r="V354" i="5"/>
  <c r="W354" i="5"/>
  <c r="X354" i="5"/>
  <c r="AC354" i="5"/>
  <c r="B355" i="5"/>
  <c r="C355" i="5"/>
  <c r="D355" i="5"/>
  <c r="E355" i="5"/>
  <c r="F355" i="5"/>
  <c r="G355" i="5"/>
  <c r="H355" i="5"/>
  <c r="I355" i="5"/>
  <c r="J355" i="5"/>
  <c r="K355" i="5"/>
  <c r="L355" i="5"/>
  <c r="M355" i="5"/>
  <c r="N355" i="5"/>
  <c r="O355" i="5"/>
  <c r="P355" i="5"/>
  <c r="Q355" i="5"/>
  <c r="R355" i="5"/>
  <c r="S355" i="5"/>
  <c r="T355" i="5"/>
  <c r="U355" i="5"/>
  <c r="V355" i="5"/>
  <c r="W355" i="5"/>
  <c r="X355" i="5"/>
  <c r="B356" i="5"/>
  <c r="C356" i="5"/>
  <c r="D356" i="5"/>
  <c r="E356" i="5"/>
  <c r="F356" i="5"/>
  <c r="G356" i="5"/>
  <c r="H356" i="5"/>
  <c r="I356" i="5"/>
  <c r="J356" i="5"/>
  <c r="K356" i="5"/>
  <c r="L356" i="5"/>
  <c r="M356" i="5"/>
  <c r="N356" i="5"/>
  <c r="O356" i="5"/>
  <c r="P356" i="5"/>
  <c r="Q356" i="5"/>
  <c r="R356" i="5"/>
  <c r="S356" i="5"/>
  <c r="T356" i="5"/>
  <c r="U356" i="5"/>
  <c r="V356" i="5"/>
  <c r="W356" i="5"/>
  <c r="X356" i="5"/>
  <c r="B357" i="5"/>
  <c r="C357" i="5"/>
  <c r="D357" i="5"/>
  <c r="E357" i="5"/>
  <c r="F357" i="5"/>
  <c r="G357" i="5"/>
  <c r="H357" i="5"/>
  <c r="I357" i="5"/>
  <c r="J357" i="5"/>
  <c r="K357" i="5"/>
  <c r="L357" i="5"/>
  <c r="M357" i="5"/>
  <c r="N357" i="5"/>
  <c r="O357" i="5"/>
  <c r="P357" i="5"/>
  <c r="Q357" i="5"/>
  <c r="R357" i="5"/>
  <c r="S357" i="5"/>
  <c r="T357" i="5"/>
  <c r="U357" i="5"/>
  <c r="V357" i="5"/>
  <c r="W357" i="5"/>
  <c r="X357" i="5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W358" i="5"/>
  <c r="X358" i="5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W359" i="5"/>
  <c r="X359" i="5"/>
  <c r="AC359" i="5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AC360" i="5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U361" i="5"/>
  <c r="V361" i="5"/>
  <c r="W361" i="5"/>
  <c r="X361" i="5"/>
  <c r="AB361" i="5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U362" i="5"/>
  <c r="V362" i="5"/>
  <c r="W362" i="5"/>
  <c r="X362" i="5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AC363" i="5" s="1"/>
  <c r="O363" i="5"/>
  <c r="P363" i="5"/>
  <c r="Q363" i="5"/>
  <c r="R363" i="5"/>
  <c r="S363" i="5"/>
  <c r="T363" i="5"/>
  <c r="U363" i="5"/>
  <c r="V363" i="5"/>
  <c r="W363" i="5"/>
  <c r="X363" i="5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U364" i="5"/>
  <c r="V364" i="5"/>
  <c r="W364" i="5"/>
  <c r="X364" i="5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U365" i="5"/>
  <c r="V365" i="5"/>
  <c r="W365" i="5"/>
  <c r="X365" i="5"/>
  <c r="B366" i="5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W366" i="5"/>
  <c r="X366" i="5"/>
  <c r="B367" i="5"/>
  <c r="C367" i="5"/>
  <c r="D367" i="5"/>
  <c r="E367" i="5"/>
  <c r="F367" i="5"/>
  <c r="G367" i="5"/>
  <c r="H367" i="5"/>
  <c r="I367" i="5"/>
  <c r="J367" i="5"/>
  <c r="K367" i="5"/>
  <c r="L367" i="5"/>
  <c r="M367" i="5"/>
  <c r="N367" i="5"/>
  <c r="O367" i="5"/>
  <c r="P367" i="5"/>
  <c r="Q367" i="5"/>
  <c r="R367" i="5"/>
  <c r="S367" i="5"/>
  <c r="T367" i="5"/>
  <c r="U367" i="5"/>
  <c r="V367" i="5"/>
  <c r="W367" i="5"/>
  <c r="X367" i="5"/>
  <c r="B368" i="5"/>
  <c r="C368" i="5"/>
  <c r="D368" i="5"/>
  <c r="E368" i="5"/>
  <c r="F368" i="5"/>
  <c r="G368" i="5"/>
  <c r="H368" i="5"/>
  <c r="I368" i="5"/>
  <c r="J368" i="5"/>
  <c r="K368" i="5"/>
  <c r="L368" i="5"/>
  <c r="M368" i="5"/>
  <c r="N368" i="5"/>
  <c r="O368" i="5"/>
  <c r="P368" i="5"/>
  <c r="Q368" i="5"/>
  <c r="R368" i="5"/>
  <c r="S368" i="5"/>
  <c r="T368" i="5"/>
  <c r="U368" i="5"/>
  <c r="V368" i="5"/>
  <c r="W368" i="5"/>
  <c r="X368" i="5"/>
  <c r="B369" i="5"/>
  <c r="C369" i="5"/>
  <c r="D369" i="5"/>
  <c r="E369" i="5"/>
  <c r="F369" i="5"/>
  <c r="G369" i="5"/>
  <c r="H369" i="5"/>
  <c r="I369" i="5"/>
  <c r="J369" i="5"/>
  <c r="K369" i="5"/>
  <c r="L369" i="5"/>
  <c r="M369" i="5"/>
  <c r="N369" i="5"/>
  <c r="O369" i="5"/>
  <c r="P369" i="5"/>
  <c r="AC369" i="5" s="1"/>
  <c r="Q369" i="5"/>
  <c r="R369" i="5"/>
  <c r="S369" i="5"/>
  <c r="T369" i="5"/>
  <c r="U369" i="5"/>
  <c r="V369" i="5"/>
  <c r="W369" i="5"/>
  <c r="X369" i="5"/>
  <c r="B370" i="5"/>
  <c r="C370" i="5"/>
  <c r="D370" i="5"/>
  <c r="E370" i="5"/>
  <c r="F370" i="5"/>
  <c r="G370" i="5"/>
  <c r="H370" i="5"/>
  <c r="I370" i="5"/>
  <c r="J370" i="5"/>
  <c r="K370" i="5"/>
  <c r="L370" i="5"/>
  <c r="M370" i="5"/>
  <c r="N370" i="5"/>
  <c r="O370" i="5"/>
  <c r="P370" i="5"/>
  <c r="Q370" i="5"/>
  <c r="R370" i="5"/>
  <c r="S370" i="5"/>
  <c r="T370" i="5"/>
  <c r="U370" i="5"/>
  <c r="V370" i="5"/>
  <c r="W370" i="5"/>
  <c r="X370" i="5"/>
  <c r="B371" i="5"/>
  <c r="C371" i="5"/>
  <c r="D371" i="5"/>
  <c r="E371" i="5"/>
  <c r="F371" i="5"/>
  <c r="G371" i="5"/>
  <c r="H371" i="5"/>
  <c r="I371" i="5"/>
  <c r="J371" i="5"/>
  <c r="K371" i="5"/>
  <c r="L371" i="5"/>
  <c r="M371" i="5"/>
  <c r="N371" i="5"/>
  <c r="AC371" i="5" s="1"/>
  <c r="O371" i="5"/>
  <c r="P371" i="5"/>
  <c r="Q371" i="5"/>
  <c r="R371" i="5"/>
  <c r="S371" i="5"/>
  <c r="T371" i="5"/>
  <c r="U371" i="5"/>
  <c r="V371" i="5"/>
  <c r="W371" i="5"/>
  <c r="X371" i="5"/>
  <c r="B372" i="5"/>
  <c r="AB372" i="5" s="1"/>
  <c r="C372" i="5"/>
  <c r="D372" i="5"/>
  <c r="E372" i="5"/>
  <c r="F372" i="5"/>
  <c r="G372" i="5"/>
  <c r="H372" i="5"/>
  <c r="I372" i="5"/>
  <c r="J372" i="5"/>
  <c r="K372" i="5"/>
  <c r="L372" i="5"/>
  <c r="M372" i="5"/>
  <c r="N372" i="5"/>
  <c r="O372" i="5"/>
  <c r="P372" i="5"/>
  <c r="Q372" i="5"/>
  <c r="R372" i="5"/>
  <c r="S372" i="5"/>
  <c r="T372" i="5"/>
  <c r="U372" i="5"/>
  <c r="V372" i="5"/>
  <c r="W372" i="5"/>
  <c r="X372" i="5"/>
  <c r="B373" i="5"/>
  <c r="C373" i="5"/>
  <c r="D373" i="5"/>
  <c r="E373" i="5"/>
  <c r="F373" i="5"/>
  <c r="G373" i="5"/>
  <c r="H373" i="5"/>
  <c r="I373" i="5"/>
  <c r="J373" i="5"/>
  <c r="K373" i="5"/>
  <c r="L373" i="5"/>
  <c r="M373" i="5"/>
  <c r="N373" i="5"/>
  <c r="O373" i="5"/>
  <c r="P373" i="5"/>
  <c r="Q373" i="5"/>
  <c r="R373" i="5"/>
  <c r="S373" i="5"/>
  <c r="T373" i="5"/>
  <c r="U373" i="5"/>
  <c r="V373" i="5"/>
  <c r="W373" i="5"/>
  <c r="X373" i="5"/>
  <c r="B374" i="5"/>
  <c r="C374" i="5"/>
  <c r="D374" i="5"/>
  <c r="E374" i="5"/>
  <c r="F374" i="5"/>
  <c r="G374" i="5"/>
  <c r="H374" i="5"/>
  <c r="I374" i="5"/>
  <c r="J374" i="5"/>
  <c r="K374" i="5"/>
  <c r="L374" i="5"/>
  <c r="M374" i="5"/>
  <c r="N374" i="5"/>
  <c r="O374" i="5"/>
  <c r="P374" i="5"/>
  <c r="Q374" i="5"/>
  <c r="R374" i="5"/>
  <c r="S374" i="5"/>
  <c r="T374" i="5"/>
  <c r="U374" i="5"/>
  <c r="V374" i="5"/>
  <c r="W374" i="5"/>
  <c r="X374" i="5"/>
  <c r="B375" i="5"/>
  <c r="C375" i="5"/>
  <c r="D375" i="5"/>
  <c r="E375" i="5"/>
  <c r="F375" i="5"/>
  <c r="G375" i="5"/>
  <c r="H375" i="5"/>
  <c r="I375" i="5"/>
  <c r="J375" i="5"/>
  <c r="K375" i="5"/>
  <c r="L375" i="5"/>
  <c r="M375" i="5"/>
  <c r="N375" i="5"/>
  <c r="O375" i="5"/>
  <c r="P375" i="5"/>
  <c r="Q375" i="5"/>
  <c r="R375" i="5"/>
  <c r="S375" i="5"/>
  <c r="T375" i="5"/>
  <c r="U375" i="5"/>
  <c r="V375" i="5"/>
  <c r="W375" i="5"/>
  <c r="X375" i="5"/>
  <c r="B376" i="5"/>
  <c r="C376" i="5"/>
  <c r="D376" i="5"/>
  <c r="E376" i="5"/>
  <c r="F376" i="5"/>
  <c r="G376" i="5"/>
  <c r="H376" i="5"/>
  <c r="I376" i="5"/>
  <c r="J376" i="5"/>
  <c r="K376" i="5"/>
  <c r="L376" i="5"/>
  <c r="M376" i="5"/>
  <c r="AC376" i="5" s="1"/>
  <c r="N376" i="5"/>
  <c r="O376" i="5"/>
  <c r="P376" i="5"/>
  <c r="Q376" i="5"/>
  <c r="R376" i="5"/>
  <c r="S376" i="5"/>
  <c r="T376" i="5"/>
  <c r="U376" i="5"/>
  <c r="V376" i="5"/>
  <c r="W376" i="5"/>
  <c r="X376" i="5"/>
  <c r="B377" i="5"/>
  <c r="C377" i="5"/>
  <c r="D377" i="5"/>
  <c r="E377" i="5"/>
  <c r="F377" i="5"/>
  <c r="G377" i="5"/>
  <c r="H377" i="5"/>
  <c r="I377" i="5"/>
  <c r="J377" i="5"/>
  <c r="K377" i="5"/>
  <c r="L377" i="5"/>
  <c r="M377" i="5"/>
  <c r="N377" i="5"/>
  <c r="AC377" i="5" s="1"/>
  <c r="O377" i="5"/>
  <c r="P377" i="5"/>
  <c r="Q377" i="5"/>
  <c r="R377" i="5"/>
  <c r="S377" i="5"/>
  <c r="T377" i="5"/>
  <c r="U377" i="5"/>
  <c r="V377" i="5"/>
  <c r="W377" i="5"/>
  <c r="X377" i="5"/>
  <c r="B378" i="5"/>
  <c r="AB378" i="5" s="1"/>
  <c r="C378" i="5"/>
  <c r="D378" i="5"/>
  <c r="E378" i="5"/>
  <c r="F378" i="5"/>
  <c r="G378" i="5"/>
  <c r="H378" i="5"/>
  <c r="I378" i="5"/>
  <c r="J378" i="5"/>
  <c r="K378" i="5"/>
  <c r="L378" i="5"/>
  <c r="M378" i="5"/>
  <c r="N378" i="5"/>
  <c r="O378" i="5"/>
  <c r="P378" i="5"/>
  <c r="Q378" i="5"/>
  <c r="R378" i="5"/>
  <c r="S378" i="5"/>
  <c r="T378" i="5"/>
  <c r="U378" i="5"/>
  <c r="V378" i="5"/>
  <c r="W378" i="5"/>
  <c r="X378" i="5"/>
  <c r="B379" i="5"/>
  <c r="C379" i="5"/>
  <c r="D379" i="5"/>
  <c r="E379" i="5"/>
  <c r="F379" i="5"/>
  <c r="G379" i="5"/>
  <c r="H379" i="5"/>
  <c r="I379" i="5"/>
  <c r="J379" i="5"/>
  <c r="K379" i="5"/>
  <c r="L379" i="5"/>
  <c r="M379" i="5"/>
  <c r="N379" i="5"/>
  <c r="AC379" i="5" s="1"/>
  <c r="O379" i="5"/>
  <c r="P379" i="5"/>
  <c r="Q379" i="5"/>
  <c r="R379" i="5"/>
  <c r="S379" i="5"/>
  <c r="T379" i="5"/>
  <c r="U379" i="5"/>
  <c r="V379" i="5"/>
  <c r="W379" i="5"/>
  <c r="X379" i="5"/>
  <c r="B380" i="5"/>
  <c r="C380" i="5"/>
  <c r="D380" i="5"/>
  <c r="E380" i="5"/>
  <c r="F380" i="5"/>
  <c r="G380" i="5"/>
  <c r="H380" i="5"/>
  <c r="I380" i="5"/>
  <c r="J380" i="5"/>
  <c r="K380" i="5"/>
  <c r="L380" i="5"/>
  <c r="M380" i="5"/>
  <c r="N380" i="5"/>
  <c r="O380" i="5"/>
  <c r="P380" i="5"/>
  <c r="Q380" i="5"/>
  <c r="R380" i="5"/>
  <c r="S380" i="5"/>
  <c r="T380" i="5"/>
  <c r="U380" i="5"/>
  <c r="V380" i="5"/>
  <c r="W380" i="5"/>
  <c r="X380" i="5"/>
  <c r="B381" i="5"/>
  <c r="C381" i="5"/>
  <c r="D381" i="5"/>
  <c r="E381" i="5"/>
  <c r="F381" i="5"/>
  <c r="G381" i="5"/>
  <c r="H381" i="5"/>
  <c r="I381" i="5"/>
  <c r="J381" i="5"/>
  <c r="K381" i="5"/>
  <c r="L381" i="5"/>
  <c r="M381" i="5"/>
  <c r="N381" i="5"/>
  <c r="O381" i="5"/>
  <c r="P381" i="5"/>
  <c r="Q381" i="5"/>
  <c r="R381" i="5"/>
  <c r="S381" i="5"/>
  <c r="T381" i="5"/>
  <c r="U381" i="5"/>
  <c r="V381" i="5"/>
  <c r="W381" i="5"/>
  <c r="X381" i="5"/>
  <c r="B382" i="5"/>
  <c r="C382" i="5"/>
  <c r="D382" i="5"/>
  <c r="E382" i="5"/>
  <c r="F382" i="5"/>
  <c r="G382" i="5"/>
  <c r="H382" i="5"/>
  <c r="I382" i="5"/>
  <c r="J382" i="5"/>
  <c r="K382" i="5"/>
  <c r="L382" i="5"/>
  <c r="M382" i="5"/>
  <c r="N382" i="5"/>
  <c r="O382" i="5"/>
  <c r="P382" i="5"/>
  <c r="Q382" i="5"/>
  <c r="R382" i="5"/>
  <c r="S382" i="5"/>
  <c r="T382" i="5"/>
  <c r="U382" i="5"/>
  <c r="V382" i="5"/>
  <c r="W382" i="5"/>
  <c r="X382" i="5"/>
  <c r="B383" i="5"/>
  <c r="C383" i="5"/>
  <c r="D383" i="5"/>
  <c r="E383" i="5"/>
  <c r="F383" i="5"/>
  <c r="G383" i="5"/>
  <c r="H383" i="5"/>
  <c r="I383" i="5"/>
  <c r="J383" i="5"/>
  <c r="K383" i="5"/>
  <c r="L383" i="5"/>
  <c r="M383" i="5"/>
  <c r="N383" i="5"/>
  <c r="O383" i="5"/>
  <c r="P383" i="5"/>
  <c r="Q383" i="5"/>
  <c r="R383" i="5"/>
  <c r="S383" i="5"/>
  <c r="T383" i="5"/>
  <c r="U383" i="5"/>
  <c r="V383" i="5"/>
  <c r="W383" i="5"/>
  <c r="X383" i="5"/>
  <c r="AC383" i="5"/>
  <c r="B384" i="5"/>
  <c r="C384" i="5"/>
  <c r="D384" i="5"/>
  <c r="E384" i="5"/>
  <c r="F384" i="5"/>
  <c r="G384" i="5"/>
  <c r="H384" i="5"/>
  <c r="I384" i="5"/>
  <c r="J384" i="5"/>
  <c r="K384" i="5"/>
  <c r="L384" i="5"/>
  <c r="M384" i="5"/>
  <c r="AC384" i="5" s="1"/>
  <c r="N384" i="5"/>
  <c r="O384" i="5"/>
  <c r="P384" i="5"/>
  <c r="Q384" i="5"/>
  <c r="R384" i="5"/>
  <c r="S384" i="5"/>
  <c r="T384" i="5"/>
  <c r="U384" i="5"/>
  <c r="V384" i="5"/>
  <c r="W384" i="5"/>
  <c r="X384" i="5"/>
  <c r="AB384" i="5"/>
  <c r="B385" i="5"/>
  <c r="C385" i="5"/>
  <c r="D385" i="5"/>
  <c r="E385" i="5"/>
  <c r="F385" i="5"/>
  <c r="G385" i="5"/>
  <c r="H385" i="5"/>
  <c r="I385" i="5"/>
  <c r="J385" i="5"/>
  <c r="K385" i="5"/>
  <c r="L385" i="5"/>
  <c r="M385" i="5"/>
  <c r="N385" i="5"/>
  <c r="O385" i="5"/>
  <c r="P385" i="5"/>
  <c r="Q385" i="5"/>
  <c r="R385" i="5"/>
  <c r="S385" i="5"/>
  <c r="T385" i="5"/>
  <c r="U385" i="5"/>
  <c r="V385" i="5"/>
  <c r="W385" i="5"/>
  <c r="X385" i="5"/>
  <c r="AC385" i="5"/>
  <c r="B386" i="5"/>
  <c r="C386" i="5"/>
  <c r="D386" i="5"/>
  <c r="E386" i="5"/>
  <c r="F386" i="5"/>
  <c r="G386" i="5"/>
  <c r="H386" i="5"/>
  <c r="I386" i="5"/>
  <c r="J386" i="5"/>
  <c r="K386" i="5"/>
  <c r="L386" i="5"/>
  <c r="M386" i="5"/>
  <c r="AC386" i="5" s="1"/>
  <c r="N386" i="5"/>
  <c r="O386" i="5"/>
  <c r="P386" i="5"/>
  <c r="Q386" i="5"/>
  <c r="R386" i="5"/>
  <c r="S386" i="5"/>
  <c r="T386" i="5"/>
  <c r="U386" i="5"/>
  <c r="V386" i="5"/>
  <c r="W386" i="5"/>
  <c r="X386" i="5"/>
  <c r="AB386" i="5"/>
  <c r="B387" i="5"/>
  <c r="C387" i="5"/>
  <c r="D387" i="5"/>
  <c r="E387" i="5"/>
  <c r="F387" i="5"/>
  <c r="G387" i="5"/>
  <c r="H387" i="5"/>
  <c r="AB387" i="5" s="1"/>
  <c r="I387" i="5"/>
  <c r="J387" i="5"/>
  <c r="K387" i="5"/>
  <c r="L387" i="5"/>
  <c r="M387" i="5"/>
  <c r="N387" i="5"/>
  <c r="O387" i="5"/>
  <c r="P387" i="5"/>
  <c r="Q387" i="5"/>
  <c r="R387" i="5"/>
  <c r="S387" i="5"/>
  <c r="T387" i="5"/>
  <c r="U387" i="5"/>
  <c r="V387" i="5"/>
  <c r="W387" i="5"/>
  <c r="X387" i="5"/>
  <c r="B388" i="5"/>
  <c r="C388" i="5"/>
  <c r="D388" i="5"/>
  <c r="E388" i="5"/>
  <c r="F388" i="5"/>
  <c r="G388" i="5"/>
  <c r="H388" i="5"/>
  <c r="I388" i="5"/>
  <c r="J388" i="5"/>
  <c r="K388" i="5"/>
  <c r="L388" i="5"/>
  <c r="M388" i="5"/>
  <c r="AC388" i="5" s="1"/>
  <c r="N388" i="5"/>
  <c r="O388" i="5"/>
  <c r="P388" i="5"/>
  <c r="Q388" i="5"/>
  <c r="R388" i="5"/>
  <c r="S388" i="5"/>
  <c r="T388" i="5"/>
  <c r="U388" i="5"/>
  <c r="V388" i="5"/>
  <c r="W388" i="5"/>
  <c r="X388" i="5"/>
  <c r="B389" i="5"/>
  <c r="C389" i="5"/>
  <c r="D389" i="5"/>
  <c r="E389" i="5"/>
  <c r="F389" i="5"/>
  <c r="G389" i="5"/>
  <c r="H389" i="5"/>
  <c r="I389" i="5"/>
  <c r="J389" i="5"/>
  <c r="K389" i="5"/>
  <c r="L389" i="5"/>
  <c r="M389" i="5"/>
  <c r="N389" i="5"/>
  <c r="O389" i="5"/>
  <c r="P389" i="5"/>
  <c r="Q389" i="5"/>
  <c r="R389" i="5"/>
  <c r="S389" i="5"/>
  <c r="T389" i="5"/>
  <c r="U389" i="5"/>
  <c r="V389" i="5"/>
  <c r="W389" i="5"/>
  <c r="X389" i="5"/>
  <c r="B390" i="5"/>
  <c r="C390" i="5"/>
  <c r="D390" i="5"/>
  <c r="E390" i="5"/>
  <c r="F390" i="5"/>
  <c r="G390" i="5"/>
  <c r="H390" i="5"/>
  <c r="I390" i="5"/>
  <c r="J390" i="5"/>
  <c r="K390" i="5"/>
  <c r="L390" i="5"/>
  <c r="M390" i="5"/>
  <c r="N390" i="5"/>
  <c r="O390" i="5"/>
  <c r="P390" i="5"/>
  <c r="Q390" i="5"/>
  <c r="R390" i="5"/>
  <c r="S390" i="5"/>
  <c r="T390" i="5"/>
  <c r="U390" i="5"/>
  <c r="V390" i="5"/>
  <c r="W390" i="5"/>
  <c r="X390" i="5"/>
  <c r="B391" i="5"/>
  <c r="C391" i="5"/>
  <c r="D391" i="5"/>
  <c r="E391" i="5"/>
  <c r="F391" i="5"/>
  <c r="G391" i="5"/>
  <c r="H391" i="5"/>
  <c r="I391" i="5"/>
  <c r="J391" i="5"/>
  <c r="K391" i="5"/>
  <c r="L391" i="5"/>
  <c r="M391" i="5"/>
  <c r="N391" i="5"/>
  <c r="O391" i="5"/>
  <c r="P391" i="5"/>
  <c r="AC391" i="5" s="1"/>
  <c r="Q391" i="5"/>
  <c r="R391" i="5"/>
  <c r="S391" i="5"/>
  <c r="T391" i="5"/>
  <c r="U391" i="5"/>
  <c r="V391" i="5"/>
  <c r="W391" i="5"/>
  <c r="X391" i="5"/>
  <c r="B392" i="5"/>
  <c r="C392" i="5"/>
  <c r="D392" i="5"/>
  <c r="E392" i="5"/>
  <c r="F392" i="5"/>
  <c r="G392" i="5"/>
  <c r="H392" i="5"/>
  <c r="I392" i="5"/>
  <c r="J392" i="5"/>
  <c r="K392" i="5"/>
  <c r="L392" i="5"/>
  <c r="M392" i="5"/>
  <c r="N392" i="5"/>
  <c r="O392" i="5"/>
  <c r="P392" i="5"/>
  <c r="AC392" i="5" s="1"/>
  <c r="Q392" i="5"/>
  <c r="R392" i="5"/>
  <c r="S392" i="5"/>
  <c r="T392" i="5"/>
  <c r="U392" i="5"/>
  <c r="V392" i="5"/>
  <c r="W392" i="5"/>
  <c r="X392" i="5"/>
  <c r="B393" i="5"/>
  <c r="C393" i="5"/>
  <c r="D393" i="5"/>
  <c r="AB393" i="5" s="1"/>
  <c r="E393" i="5"/>
  <c r="F393" i="5"/>
  <c r="G393" i="5"/>
  <c r="H393" i="5"/>
  <c r="I393" i="5"/>
  <c r="J393" i="5"/>
  <c r="K393" i="5"/>
  <c r="L393" i="5"/>
  <c r="M393" i="5"/>
  <c r="N393" i="5"/>
  <c r="O393" i="5"/>
  <c r="P393" i="5"/>
  <c r="AC393" i="5" s="1"/>
  <c r="Q393" i="5"/>
  <c r="R393" i="5"/>
  <c r="S393" i="5"/>
  <c r="T393" i="5"/>
  <c r="U393" i="5"/>
  <c r="V393" i="5"/>
  <c r="W393" i="5"/>
  <c r="X393" i="5"/>
  <c r="B394" i="5"/>
  <c r="C394" i="5"/>
  <c r="D394" i="5"/>
  <c r="E394" i="5"/>
  <c r="F394" i="5"/>
  <c r="G394" i="5"/>
  <c r="H394" i="5"/>
  <c r="I394" i="5"/>
  <c r="J394" i="5"/>
  <c r="K394" i="5"/>
  <c r="L394" i="5"/>
  <c r="M394" i="5"/>
  <c r="N394" i="5"/>
  <c r="O394" i="5"/>
  <c r="P394" i="5"/>
  <c r="Q394" i="5"/>
  <c r="R394" i="5"/>
  <c r="S394" i="5"/>
  <c r="T394" i="5"/>
  <c r="U394" i="5"/>
  <c r="V394" i="5"/>
  <c r="W394" i="5"/>
  <c r="X394" i="5"/>
  <c r="B395" i="5"/>
  <c r="C395" i="5"/>
  <c r="D395" i="5"/>
  <c r="E395" i="5"/>
  <c r="F395" i="5"/>
  <c r="G395" i="5"/>
  <c r="H395" i="5"/>
  <c r="I395" i="5"/>
  <c r="J395" i="5"/>
  <c r="K395" i="5"/>
  <c r="L395" i="5"/>
  <c r="M395" i="5"/>
  <c r="N395" i="5"/>
  <c r="O395" i="5"/>
  <c r="P395" i="5"/>
  <c r="Q395" i="5"/>
  <c r="R395" i="5"/>
  <c r="S395" i="5"/>
  <c r="T395" i="5"/>
  <c r="U395" i="5"/>
  <c r="V395" i="5"/>
  <c r="W395" i="5"/>
  <c r="X395" i="5"/>
  <c r="B396" i="5"/>
  <c r="C396" i="5"/>
  <c r="D396" i="5"/>
  <c r="E396" i="5"/>
  <c r="F396" i="5"/>
  <c r="G396" i="5"/>
  <c r="H396" i="5"/>
  <c r="I396" i="5"/>
  <c r="J396" i="5"/>
  <c r="K396" i="5"/>
  <c r="L396" i="5"/>
  <c r="M396" i="5"/>
  <c r="N396" i="5"/>
  <c r="O396" i="5"/>
  <c r="P396" i="5"/>
  <c r="Q396" i="5"/>
  <c r="R396" i="5"/>
  <c r="S396" i="5"/>
  <c r="T396" i="5"/>
  <c r="U396" i="5"/>
  <c r="V396" i="5"/>
  <c r="W396" i="5"/>
  <c r="X396" i="5"/>
  <c r="B397" i="5"/>
  <c r="C397" i="5"/>
  <c r="D397" i="5"/>
  <c r="E397" i="5"/>
  <c r="F397" i="5"/>
  <c r="G397" i="5"/>
  <c r="H397" i="5"/>
  <c r="I397" i="5"/>
  <c r="J397" i="5"/>
  <c r="K397" i="5"/>
  <c r="L397" i="5"/>
  <c r="M397" i="5"/>
  <c r="N397" i="5"/>
  <c r="O397" i="5"/>
  <c r="P397" i="5"/>
  <c r="Q397" i="5"/>
  <c r="R397" i="5"/>
  <c r="S397" i="5"/>
  <c r="T397" i="5"/>
  <c r="U397" i="5"/>
  <c r="V397" i="5"/>
  <c r="W397" i="5"/>
  <c r="X397" i="5"/>
  <c r="B398" i="5"/>
  <c r="C398" i="5"/>
  <c r="D398" i="5"/>
  <c r="E398" i="5"/>
  <c r="F398" i="5"/>
  <c r="G398" i="5"/>
  <c r="H398" i="5"/>
  <c r="I398" i="5"/>
  <c r="J398" i="5"/>
  <c r="K398" i="5"/>
  <c r="L398" i="5"/>
  <c r="M398" i="5"/>
  <c r="N398" i="5"/>
  <c r="O398" i="5"/>
  <c r="P398" i="5"/>
  <c r="Q398" i="5"/>
  <c r="R398" i="5"/>
  <c r="S398" i="5"/>
  <c r="T398" i="5"/>
  <c r="U398" i="5"/>
  <c r="V398" i="5"/>
  <c r="W398" i="5"/>
  <c r="X398" i="5"/>
  <c r="B399" i="5"/>
  <c r="C399" i="5"/>
  <c r="D399" i="5"/>
  <c r="E399" i="5"/>
  <c r="F399" i="5"/>
  <c r="G399" i="5"/>
  <c r="H399" i="5"/>
  <c r="I399" i="5"/>
  <c r="J399" i="5"/>
  <c r="K399" i="5"/>
  <c r="L399" i="5"/>
  <c r="M399" i="5"/>
  <c r="AC399" i="5" s="1"/>
  <c r="N399" i="5"/>
  <c r="O399" i="5"/>
  <c r="P399" i="5"/>
  <c r="Q399" i="5"/>
  <c r="R399" i="5"/>
  <c r="S399" i="5"/>
  <c r="T399" i="5"/>
  <c r="U399" i="5"/>
  <c r="V399" i="5"/>
  <c r="W399" i="5"/>
  <c r="X399" i="5"/>
  <c r="B400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U400" i="5"/>
  <c r="V400" i="5"/>
  <c r="W400" i="5"/>
  <c r="X400" i="5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U401" i="5"/>
  <c r="V401" i="5"/>
  <c r="W401" i="5"/>
  <c r="X401" i="5"/>
  <c r="B402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AC402" i="5" s="1"/>
  <c r="Q402" i="5"/>
  <c r="R402" i="5"/>
  <c r="S402" i="5"/>
  <c r="T402" i="5"/>
  <c r="U402" i="5"/>
  <c r="V402" i="5"/>
  <c r="W402" i="5"/>
  <c r="X402" i="5"/>
  <c r="B403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U403" i="5"/>
  <c r="V403" i="5"/>
  <c r="W403" i="5"/>
  <c r="X403" i="5"/>
  <c r="AC403" i="5"/>
  <c r="B404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U404" i="5"/>
  <c r="V404" i="5"/>
  <c r="W404" i="5"/>
  <c r="X404" i="5"/>
  <c r="AB404" i="5"/>
  <c r="B405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U405" i="5"/>
  <c r="V405" i="5"/>
  <c r="W405" i="5"/>
  <c r="X405" i="5"/>
  <c r="B406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U406" i="5"/>
  <c r="V406" i="5"/>
  <c r="W406" i="5"/>
  <c r="X406" i="5"/>
  <c r="B407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U407" i="5"/>
  <c r="V407" i="5"/>
  <c r="W407" i="5"/>
  <c r="X407" i="5"/>
  <c r="B408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U408" i="5"/>
  <c r="V408" i="5"/>
  <c r="W408" i="5"/>
  <c r="X408" i="5"/>
  <c r="B409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U409" i="5"/>
  <c r="V409" i="5"/>
  <c r="W409" i="5"/>
  <c r="X409" i="5"/>
  <c r="B410" i="5"/>
  <c r="AB410" i="5" s="1"/>
  <c r="C410" i="5"/>
  <c r="D410" i="5"/>
  <c r="E410" i="5"/>
  <c r="F410" i="5"/>
  <c r="G410" i="5"/>
  <c r="H410" i="5"/>
  <c r="I410" i="5"/>
  <c r="J410" i="5"/>
  <c r="K410" i="5"/>
  <c r="L410" i="5"/>
  <c r="M410" i="5"/>
  <c r="N410" i="5"/>
  <c r="O410" i="5"/>
  <c r="P410" i="5"/>
  <c r="Q410" i="5"/>
  <c r="R410" i="5"/>
  <c r="S410" i="5"/>
  <c r="T410" i="5"/>
  <c r="U410" i="5"/>
  <c r="V410" i="5"/>
  <c r="W410" i="5"/>
  <c r="X410" i="5"/>
  <c r="B411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AC411" i="5" s="1"/>
  <c r="O411" i="5"/>
  <c r="P411" i="5"/>
  <c r="Q411" i="5"/>
  <c r="R411" i="5"/>
  <c r="S411" i="5"/>
  <c r="T411" i="5"/>
  <c r="U411" i="5"/>
  <c r="V411" i="5"/>
  <c r="W411" i="5"/>
  <c r="X411" i="5"/>
  <c r="B412" i="5"/>
  <c r="C412" i="5"/>
  <c r="D412" i="5"/>
  <c r="E412" i="5"/>
  <c r="F412" i="5"/>
  <c r="G412" i="5"/>
  <c r="H412" i="5"/>
  <c r="I412" i="5"/>
  <c r="J412" i="5"/>
  <c r="K412" i="5"/>
  <c r="L412" i="5"/>
  <c r="M412" i="5"/>
  <c r="N412" i="5"/>
  <c r="O412" i="5"/>
  <c r="P412" i="5"/>
  <c r="Q412" i="5"/>
  <c r="R412" i="5"/>
  <c r="S412" i="5"/>
  <c r="T412" i="5"/>
  <c r="U412" i="5"/>
  <c r="V412" i="5"/>
  <c r="W412" i="5"/>
  <c r="X412" i="5"/>
  <c r="B413" i="5"/>
  <c r="C413" i="5"/>
  <c r="D413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U413" i="5"/>
  <c r="V413" i="5"/>
  <c r="W413" i="5"/>
  <c r="X413" i="5"/>
  <c r="B414" i="5"/>
  <c r="C414" i="5"/>
  <c r="D414" i="5"/>
  <c r="E414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R414" i="5"/>
  <c r="S414" i="5"/>
  <c r="T414" i="5"/>
  <c r="U414" i="5"/>
  <c r="V414" i="5"/>
  <c r="W414" i="5"/>
  <c r="X414" i="5"/>
  <c r="B415" i="5"/>
  <c r="C415" i="5"/>
  <c r="D415" i="5"/>
  <c r="E415" i="5"/>
  <c r="F415" i="5"/>
  <c r="G415" i="5"/>
  <c r="H415" i="5"/>
  <c r="I415" i="5"/>
  <c r="J415" i="5"/>
  <c r="K415" i="5"/>
  <c r="L415" i="5"/>
  <c r="M415" i="5"/>
  <c r="N415" i="5"/>
  <c r="O415" i="5"/>
  <c r="P415" i="5"/>
  <c r="Q415" i="5"/>
  <c r="R415" i="5"/>
  <c r="S415" i="5"/>
  <c r="T415" i="5"/>
  <c r="U415" i="5"/>
  <c r="V415" i="5"/>
  <c r="W415" i="5"/>
  <c r="X415" i="5"/>
  <c r="AC415" i="5"/>
  <c r="B416" i="5"/>
  <c r="C416" i="5"/>
  <c r="D416" i="5"/>
  <c r="E416" i="5"/>
  <c r="F416" i="5"/>
  <c r="G416" i="5"/>
  <c r="H416" i="5"/>
  <c r="I416" i="5"/>
  <c r="J416" i="5"/>
  <c r="K416" i="5"/>
  <c r="L416" i="5"/>
  <c r="M416" i="5"/>
  <c r="AC416" i="5" s="1"/>
  <c r="N416" i="5"/>
  <c r="O416" i="5"/>
  <c r="P416" i="5"/>
  <c r="Q416" i="5"/>
  <c r="R416" i="5"/>
  <c r="S416" i="5"/>
  <c r="T416" i="5"/>
  <c r="U416" i="5"/>
  <c r="V416" i="5"/>
  <c r="W416" i="5"/>
  <c r="X416" i="5"/>
  <c r="AB416" i="5"/>
  <c r="B417" i="5"/>
  <c r="C417" i="5"/>
  <c r="D417" i="5"/>
  <c r="E417" i="5"/>
  <c r="F417" i="5"/>
  <c r="G417" i="5"/>
  <c r="H417" i="5"/>
  <c r="I417" i="5"/>
  <c r="J417" i="5"/>
  <c r="K417" i="5"/>
  <c r="L417" i="5"/>
  <c r="M417" i="5"/>
  <c r="N417" i="5"/>
  <c r="O417" i="5"/>
  <c r="P417" i="5"/>
  <c r="Q417" i="5"/>
  <c r="R417" i="5"/>
  <c r="S417" i="5"/>
  <c r="T417" i="5"/>
  <c r="U417" i="5"/>
  <c r="V417" i="5"/>
  <c r="W417" i="5"/>
  <c r="X417" i="5"/>
  <c r="AC417" i="5"/>
  <c r="B418" i="5"/>
  <c r="C418" i="5"/>
  <c r="D418" i="5"/>
  <c r="E418" i="5"/>
  <c r="F418" i="5"/>
  <c r="G418" i="5"/>
  <c r="H418" i="5"/>
  <c r="I418" i="5"/>
  <c r="J418" i="5"/>
  <c r="K418" i="5"/>
  <c r="L418" i="5"/>
  <c r="M418" i="5"/>
  <c r="AC418" i="5" s="1"/>
  <c r="N418" i="5"/>
  <c r="O418" i="5"/>
  <c r="P418" i="5"/>
  <c r="Q418" i="5"/>
  <c r="R418" i="5"/>
  <c r="S418" i="5"/>
  <c r="T418" i="5"/>
  <c r="U418" i="5"/>
  <c r="V418" i="5"/>
  <c r="W418" i="5"/>
  <c r="X418" i="5"/>
  <c r="AB418" i="5"/>
  <c r="B419" i="5"/>
  <c r="C419" i="5"/>
  <c r="D419" i="5"/>
  <c r="E419" i="5"/>
  <c r="F419" i="5"/>
  <c r="G419" i="5"/>
  <c r="H419" i="5"/>
  <c r="AB419" i="5" s="1"/>
  <c r="I419" i="5"/>
  <c r="J419" i="5"/>
  <c r="K419" i="5"/>
  <c r="L419" i="5"/>
  <c r="M419" i="5"/>
  <c r="N419" i="5"/>
  <c r="O419" i="5"/>
  <c r="P419" i="5"/>
  <c r="Q419" i="5"/>
  <c r="R419" i="5"/>
  <c r="S419" i="5"/>
  <c r="T419" i="5"/>
  <c r="U419" i="5"/>
  <c r="V419" i="5"/>
  <c r="W419" i="5"/>
  <c r="X419" i="5"/>
  <c r="B420" i="5"/>
  <c r="C420" i="5"/>
  <c r="D420" i="5"/>
  <c r="E420" i="5"/>
  <c r="F420" i="5"/>
  <c r="G420" i="5"/>
  <c r="H420" i="5"/>
  <c r="I420" i="5"/>
  <c r="J420" i="5"/>
  <c r="K420" i="5"/>
  <c r="L420" i="5"/>
  <c r="M420" i="5"/>
  <c r="N420" i="5"/>
  <c r="O420" i="5"/>
  <c r="P420" i="5"/>
  <c r="Q420" i="5"/>
  <c r="R420" i="5"/>
  <c r="S420" i="5"/>
  <c r="T420" i="5"/>
  <c r="U420" i="5"/>
  <c r="V420" i="5"/>
  <c r="W420" i="5"/>
  <c r="X420" i="5"/>
  <c r="B421" i="5"/>
  <c r="C421" i="5"/>
  <c r="D421" i="5"/>
  <c r="E421" i="5"/>
  <c r="F421" i="5"/>
  <c r="G421" i="5"/>
  <c r="H421" i="5"/>
  <c r="I421" i="5"/>
  <c r="J421" i="5"/>
  <c r="K421" i="5"/>
  <c r="L421" i="5"/>
  <c r="M421" i="5"/>
  <c r="N421" i="5"/>
  <c r="O421" i="5"/>
  <c r="P421" i="5"/>
  <c r="Q421" i="5"/>
  <c r="R421" i="5"/>
  <c r="S421" i="5"/>
  <c r="T421" i="5"/>
  <c r="U421" i="5"/>
  <c r="V421" i="5"/>
  <c r="W421" i="5"/>
  <c r="X421" i="5"/>
  <c r="B422" i="5"/>
  <c r="C422" i="5"/>
  <c r="D422" i="5"/>
  <c r="E422" i="5"/>
  <c r="F422" i="5"/>
  <c r="G422" i="5"/>
  <c r="H422" i="5"/>
  <c r="I422" i="5"/>
  <c r="J422" i="5"/>
  <c r="K422" i="5"/>
  <c r="L422" i="5"/>
  <c r="M422" i="5"/>
  <c r="N422" i="5"/>
  <c r="O422" i="5"/>
  <c r="P422" i="5"/>
  <c r="Q422" i="5"/>
  <c r="R422" i="5"/>
  <c r="S422" i="5"/>
  <c r="T422" i="5"/>
  <c r="U422" i="5"/>
  <c r="V422" i="5"/>
  <c r="W422" i="5"/>
  <c r="X422" i="5"/>
  <c r="B423" i="5"/>
  <c r="C423" i="5"/>
  <c r="D423" i="5"/>
  <c r="E423" i="5"/>
  <c r="F423" i="5"/>
  <c r="G423" i="5"/>
  <c r="H423" i="5"/>
  <c r="I423" i="5"/>
  <c r="J423" i="5"/>
  <c r="K423" i="5"/>
  <c r="L423" i="5"/>
  <c r="M423" i="5"/>
  <c r="N423" i="5"/>
  <c r="O423" i="5"/>
  <c r="P423" i="5"/>
  <c r="AC423" i="5" s="1"/>
  <c r="Q423" i="5"/>
  <c r="R423" i="5"/>
  <c r="S423" i="5"/>
  <c r="T423" i="5"/>
  <c r="U423" i="5"/>
  <c r="V423" i="5"/>
  <c r="W423" i="5"/>
  <c r="X423" i="5"/>
  <c r="B424" i="5"/>
  <c r="C424" i="5"/>
  <c r="D424" i="5"/>
  <c r="E424" i="5"/>
  <c r="F424" i="5"/>
  <c r="G424" i="5"/>
  <c r="H424" i="5"/>
  <c r="I424" i="5"/>
  <c r="J424" i="5"/>
  <c r="K424" i="5"/>
  <c r="L424" i="5"/>
  <c r="M424" i="5"/>
  <c r="N424" i="5"/>
  <c r="O424" i="5"/>
  <c r="P424" i="5"/>
  <c r="AC424" i="5" s="1"/>
  <c r="Q424" i="5"/>
  <c r="R424" i="5"/>
  <c r="S424" i="5"/>
  <c r="T424" i="5"/>
  <c r="U424" i="5"/>
  <c r="V424" i="5"/>
  <c r="W424" i="5"/>
  <c r="X424" i="5"/>
  <c r="B425" i="5"/>
  <c r="C425" i="5"/>
  <c r="D425" i="5"/>
  <c r="AB425" i="5" s="1"/>
  <c r="E425" i="5"/>
  <c r="F425" i="5"/>
  <c r="G425" i="5"/>
  <c r="H425" i="5"/>
  <c r="I425" i="5"/>
  <c r="J425" i="5"/>
  <c r="K425" i="5"/>
  <c r="L425" i="5"/>
  <c r="M425" i="5"/>
  <c r="N425" i="5"/>
  <c r="O425" i="5"/>
  <c r="P425" i="5"/>
  <c r="AC425" i="5" s="1"/>
  <c r="Q425" i="5"/>
  <c r="R425" i="5"/>
  <c r="S425" i="5"/>
  <c r="T425" i="5"/>
  <c r="U425" i="5"/>
  <c r="V425" i="5"/>
  <c r="W425" i="5"/>
  <c r="X425" i="5"/>
  <c r="B426" i="5"/>
  <c r="C426" i="5"/>
  <c r="D426" i="5"/>
  <c r="E426" i="5"/>
  <c r="F426" i="5"/>
  <c r="G426" i="5"/>
  <c r="H426" i="5"/>
  <c r="I426" i="5"/>
  <c r="J426" i="5"/>
  <c r="K426" i="5"/>
  <c r="L426" i="5"/>
  <c r="M426" i="5"/>
  <c r="N426" i="5"/>
  <c r="O426" i="5"/>
  <c r="P426" i="5"/>
  <c r="Q426" i="5"/>
  <c r="R426" i="5"/>
  <c r="S426" i="5"/>
  <c r="T426" i="5"/>
  <c r="U426" i="5"/>
  <c r="V426" i="5"/>
  <c r="W426" i="5"/>
  <c r="X426" i="5"/>
  <c r="B427" i="5"/>
  <c r="C427" i="5"/>
  <c r="D427" i="5"/>
  <c r="E427" i="5"/>
  <c r="F427" i="5"/>
  <c r="G427" i="5"/>
  <c r="H427" i="5"/>
  <c r="I427" i="5"/>
  <c r="J427" i="5"/>
  <c r="K427" i="5"/>
  <c r="L427" i="5"/>
  <c r="M427" i="5"/>
  <c r="N427" i="5"/>
  <c r="O427" i="5"/>
  <c r="P427" i="5"/>
  <c r="Q427" i="5"/>
  <c r="R427" i="5"/>
  <c r="S427" i="5"/>
  <c r="T427" i="5"/>
  <c r="U427" i="5"/>
  <c r="V427" i="5"/>
  <c r="W427" i="5"/>
  <c r="X427" i="5"/>
  <c r="B428" i="5"/>
  <c r="C428" i="5"/>
  <c r="D428" i="5"/>
  <c r="E428" i="5"/>
  <c r="F428" i="5"/>
  <c r="G428" i="5"/>
  <c r="H428" i="5"/>
  <c r="I428" i="5"/>
  <c r="J428" i="5"/>
  <c r="K428" i="5"/>
  <c r="L428" i="5"/>
  <c r="M428" i="5"/>
  <c r="N428" i="5"/>
  <c r="O428" i="5"/>
  <c r="P428" i="5"/>
  <c r="Q428" i="5"/>
  <c r="R428" i="5"/>
  <c r="S428" i="5"/>
  <c r="T428" i="5"/>
  <c r="U428" i="5"/>
  <c r="V428" i="5"/>
  <c r="W428" i="5"/>
  <c r="X428" i="5"/>
  <c r="B429" i="5"/>
  <c r="C429" i="5"/>
  <c r="D429" i="5"/>
  <c r="E429" i="5"/>
  <c r="F429" i="5"/>
  <c r="G429" i="5"/>
  <c r="H429" i="5"/>
  <c r="I429" i="5"/>
  <c r="J429" i="5"/>
  <c r="K429" i="5"/>
  <c r="L429" i="5"/>
  <c r="M429" i="5"/>
  <c r="N429" i="5"/>
  <c r="O429" i="5"/>
  <c r="P429" i="5"/>
  <c r="Q429" i="5"/>
  <c r="R429" i="5"/>
  <c r="S429" i="5"/>
  <c r="T429" i="5"/>
  <c r="U429" i="5"/>
  <c r="V429" i="5"/>
  <c r="W429" i="5"/>
  <c r="X429" i="5"/>
  <c r="B430" i="5"/>
  <c r="C430" i="5"/>
  <c r="D430" i="5"/>
  <c r="E430" i="5"/>
  <c r="F430" i="5"/>
  <c r="G430" i="5"/>
  <c r="H430" i="5"/>
  <c r="I430" i="5"/>
  <c r="J430" i="5"/>
  <c r="K430" i="5"/>
  <c r="L430" i="5"/>
  <c r="M430" i="5"/>
  <c r="N430" i="5"/>
  <c r="O430" i="5"/>
  <c r="P430" i="5"/>
  <c r="Q430" i="5"/>
  <c r="R430" i="5"/>
  <c r="S430" i="5"/>
  <c r="T430" i="5"/>
  <c r="U430" i="5"/>
  <c r="V430" i="5"/>
  <c r="W430" i="5"/>
  <c r="X430" i="5"/>
  <c r="B431" i="5"/>
  <c r="C431" i="5"/>
  <c r="D431" i="5"/>
  <c r="E431" i="5"/>
  <c r="F431" i="5"/>
  <c r="G431" i="5"/>
  <c r="H431" i="5"/>
  <c r="I431" i="5"/>
  <c r="J431" i="5"/>
  <c r="K431" i="5"/>
  <c r="L431" i="5"/>
  <c r="M431" i="5"/>
  <c r="AC431" i="5" s="1"/>
  <c r="N431" i="5"/>
  <c r="O431" i="5"/>
  <c r="P431" i="5"/>
  <c r="Q431" i="5"/>
  <c r="R431" i="5"/>
  <c r="S431" i="5"/>
  <c r="T431" i="5"/>
  <c r="U431" i="5"/>
  <c r="V431" i="5"/>
  <c r="W431" i="5"/>
  <c r="X431" i="5"/>
  <c r="B432" i="5"/>
  <c r="C432" i="5"/>
  <c r="D432" i="5"/>
  <c r="E432" i="5"/>
  <c r="F432" i="5"/>
  <c r="G432" i="5"/>
  <c r="H432" i="5"/>
  <c r="I432" i="5"/>
  <c r="J432" i="5"/>
  <c r="K432" i="5"/>
  <c r="L432" i="5"/>
  <c r="M432" i="5"/>
  <c r="N432" i="5"/>
  <c r="O432" i="5"/>
  <c r="P432" i="5"/>
  <c r="Q432" i="5"/>
  <c r="R432" i="5"/>
  <c r="S432" i="5"/>
  <c r="T432" i="5"/>
  <c r="U432" i="5"/>
  <c r="V432" i="5"/>
  <c r="W432" i="5"/>
  <c r="X432" i="5"/>
  <c r="B433" i="5"/>
  <c r="C433" i="5"/>
  <c r="D433" i="5"/>
  <c r="E433" i="5"/>
  <c r="F433" i="5"/>
  <c r="G433" i="5"/>
  <c r="H433" i="5"/>
  <c r="I433" i="5"/>
  <c r="J433" i="5"/>
  <c r="K433" i="5"/>
  <c r="L433" i="5"/>
  <c r="M433" i="5"/>
  <c r="N433" i="5"/>
  <c r="O433" i="5"/>
  <c r="P433" i="5"/>
  <c r="Q433" i="5"/>
  <c r="R433" i="5"/>
  <c r="S433" i="5"/>
  <c r="T433" i="5"/>
  <c r="U433" i="5"/>
  <c r="V433" i="5"/>
  <c r="W433" i="5"/>
  <c r="X433" i="5"/>
  <c r="B434" i="5"/>
  <c r="C434" i="5"/>
  <c r="D434" i="5"/>
  <c r="E434" i="5"/>
  <c r="F434" i="5"/>
  <c r="G434" i="5"/>
  <c r="H434" i="5"/>
  <c r="I434" i="5"/>
  <c r="J434" i="5"/>
  <c r="K434" i="5"/>
  <c r="L434" i="5"/>
  <c r="M434" i="5"/>
  <c r="N434" i="5"/>
  <c r="O434" i="5"/>
  <c r="P434" i="5"/>
  <c r="AC434" i="5" s="1"/>
  <c r="Q434" i="5"/>
  <c r="R434" i="5"/>
  <c r="S434" i="5"/>
  <c r="T434" i="5"/>
  <c r="U434" i="5"/>
  <c r="V434" i="5"/>
  <c r="W434" i="5"/>
  <c r="X434" i="5"/>
  <c r="B435" i="5"/>
  <c r="C435" i="5"/>
  <c r="D435" i="5"/>
  <c r="E435" i="5"/>
  <c r="F435" i="5"/>
  <c r="G435" i="5"/>
  <c r="H435" i="5"/>
  <c r="I435" i="5"/>
  <c r="J435" i="5"/>
  <c r="K435" i="5"/>
  <c r="L435" i="5"/>
  <c r="M435" i="5"/>
  <c r="AC435" i="5" s="1"/>
  <c r="N435" i="5"/>
  <c r="O435" i="5"/>
  <c r="P435" i="5"/>
  <c r="Q435" i="5"/>
  <c r="R435" i="5"/>
  <c r="S435" i="5"/>
  <c r="T435" i="5"/>
  <c r="U435" i="5"/>
  <c r="V435" i="5"/>
  <c r="W435" i="5"/>
  <c r="X435" i="5"/>
  <c r="B436" i="5"/>
  <c r="C436" i="5"/>
  <c r="D436" i="5"/>
  <c r="E436" i="5"/>
  <c r="F436" i="5"/>
  <c r="G436" i="5"/>
  <c r="H436" i="5"/>
  <c r="I436" i="5"/>
  <c r="J436" i="5"/>
  <c r="K436" i="5"/>
  <c r="L436" i="5"/>
  <c r="M436" i="5"/>
  <c r="N436" i="5"/>
  <c r="O436" i="5"/>
  <c r="P436" i="5"/>
  <c r="Q436" i="5"/>
  <c r="R436" i="5"/>
  <c r="S436" i="5"/>
  <c r="T436" i="5"/>
  <c r="U436" i="5"/>
  <c r="V436" i="5"/>
  <c r="W436" i="5"/>
  <c r="X436" i="5"/>
  <c r="B437" i="5"/>
  <c r="C437" i="5"/>
  <c r="D437" i="5"/>
  <c r="E437" i="5"/>
  <c r="F437" i="5"/>
  <c r="G437" i="5"/>
  <c r="H437" i="5"/>
  <c r="I437" i="5"/>
  <c r="J437" i="5"/>
  <c r="K437" i="5"/>
  <c r="L437" i="5"/>
  <c r="M437" i="5"/>
  <c r="N437" i="5"/>
  <c r="O437" i="5"/>
  <c r="P437" i="5"/>
  <c r="Q437" i="5"/>
  <c r="R437" i="5"/>
  <c r="S437" i="5"/>
  <c r="T437" i="5"/>
  <c r="U437" i="5"/>
  <c r="V437" i="5"/>
  <c r="W437" i="5"/>
  <c r="X437" i="5"/>
  <c r="B438" i="5"/>
  <c r="C438" i="5"/>
  <c r="D438" i="5"/>
  <c r="E438" i="5"/>
  <c r="F438" i="5"/>
  <c r="G438" i="5"/>
  <c r="H438" i="5"/>
  <c r="I438" i="5"/>
  <c r="J438" i="5"/>
  <c r="K438" i="5"/>
  <c r="L438" i="5"/>
  <c r="M438" i="5"/>
  <c r="N438" i="5"/>
  <c r="O438" i="5"/>
  <c r="P438" i="5"/>
  <c r="AC438" i="5" s="1"/>
  <c r="Q438" i="5"/>
  <c r="R438" i="5"/>
  <c r="S438" i="5"/>
  <c r="T438" i="5"/>
  <c r="U438" i="5"/>
  <c r="V438" i="5"/>
  <c r="W438" i="5"/>
  <c r="X438" i="5"/>
  <c r="B439" i="5"/>
  <c r="C439" i="5"/>
  <c r="D439" i="5"/>
  <c r="AB439" i="5" s="1"/>
  <c r="E439" i="5"/>
  <c r="F439" i="5"/>
  <c r="G439" i="5"/>
  <c r="H439" i="5"/>
  <c r="I439" i="5"/>
  <c r="J439" i="5"/>
  <c r="K439" i="5"/>
  <c r="L439" i="5"/>
  <c r="M439" i="5"/>
  <c r="N439" i="5"/>
  <c r="O439" i="5"/>
  <c r="P439" i="5"/>
  <c r="Q439" i="5"/>
  <c r="R439" i="5"/>
  <c r="S439" i="5"/>
  <c r="T439" i="5"/>
  <c r="U439" i="5"/>
  <c r="V439" i="5"/>
  <c r="W439" i="5"/>
  <c r="X439" i="5"/>
  <c r="B440" i="5"/>
  <c r="C440" i="5"/>
  <c r="D440" i="5"/>
  <c r="E440" i="5"/>
  <c r="F440" i="5"/>
  <c r="G440" i="5"/>
  <c r="H440" i="5"/>
  <c r="I440" i="5"/>
  <c r="J440" i="5"/>
  <c r="K440" i="5"/>
  <c r="L440" i="5"/>
  <c r="M440" i="5"/>
  <c r="N440" i="5"/>
  <c r="O440" i="5"/>
  <c r="P440" i="5"/>
  <c r="Q440" i="5"/>
  <c r="R440" i="5"/>
  <c r="S440" i="5"/>
  <c r="T440" i="5"/>
  <c r="U440" i="5"/>
  <c r="V440" i="5"/>
  <c r="W440" i="5"/>
  <c r="X440" i="5"/>
  <c r="B441" i="5"/>
  <c r="C441" i="5"/>
  <c r="D441" i="5"/>
  <c r="E441" i="5"/>
  <c r="F441" i="5"/>
  <c r="G441" i="5"/>
  <c r="H441" i="5"/>
  <c r="I441" i="5"/>
  <c r="J441" i="5"/>
  <c r="K441" i="5"/>
  <c r="L441" i="5"/>
  <c r="M441" i="5"/>
  <c r="N441" i="5"/>
  <c r="O441" i="5"/>
  <c r="P441" i="5"/>
  <c r="Q441" i="5"/>
  <c r="R441" i="5"/>
  <c r="S441" i="5"/>
  <c r="T441" i="5"/>
  <c r="U441" i="5"/>
  <c r="V441" i="5"/>
  <c r="W441" i="5"/>
  <c r="X441" i="5"/>
  <c r="B442" i="5"/>
  <c r="C442" i="5"/>
  <c r="D442" i="5"/>
  <c r="E442" i="5"/>
  <c r="F442" i="5"/>
  <c r="G442" i="5"/>
  <c r="H442" i="5"/>
  <c r="I442" i="5"/>
  <c r="J442" i="5"/>
  <c r="K442" i="5"/>
  <c r="L442" i="5"/>
  <c r="M442" i="5"/>
  <c r="N442" i="5"/>
  <c r="O442" i="5"/>
  <c r="P442" i="5"/>
  <c r="Q442" i="5"/>
  <c r="R442" i="5"/>
  <c r="S442" i="5"/>
  <c r="T442" i="5"/>
  <c r="U442" i="5"/>
  <c r="V442" i="5"/>
  <c r="W442" i="5"/>
  <c r="X442" i="5"/>
  <c r="B443" i="5"/>
  <c r="C443" i="5"/>
  <c r="D443" i="5"/>
  <c r="E443" i="5"/>
  <c r="F443" i="5"/>
  <c r="G443" i="5"/>
  <c r="H443" i="5"/>
  <c r="I443" i="5"/>
  <c r="J443" i="5"/>
  <c r="K443" i="5"/>
  <c r="L443" i="5"/>
  <c r="M443" i="5"/>
  <c r="N443" i="5"/>
  <c r="O443" i="5"/>
  <c r="P443" i="5"/>
  <c r="Q443" i="5"/>
  <c r="R443" i="5"/>
  <c r="S443" i="5"/>
  <c r="T443" i="5"/>
  <c r="U443" i="5"/>
  <c r="V443" i="5"/>
  <c r="W443" i="5"/>
  <c r="X443" i="5"/>
  <c r="B444" i="5"/>
  <c r="C444" i="5"/>
  <c r="D444" i="5"/>
  <c r="E444" i="5"/>
  <c r="F444" i="5"/>
  <c r="G444" i="5"/>
  <c r="H444" i="5"/>
  <c r="I444" i="5"/>
  <c r="J444" i="5"/>
  <c r="K444" i="5"/>
  <c r="L444" i="5"/>
  <c r="M444" i="5"/>
  <c r="N444" i="5"/>
  <c r="O444" i="5"/>
  <c r="P444" i="5"/>
  <c r="Q444" i="5"/>
  <c r="R444" i="5"/>
  <c r="S444" i="5"/>
  <c r="T444" i="5"/>
  <c r="U444" i="5"/>
  <c r="V444" i="5"/>
  <c r="W444" i="5"/>
  <c r="X444" i="5"/>
  <c r="B445" i="5"/>
  <c r="C445" i="5"/>
  <c r="D445" i="5"/>
  <c r="E445" i="5"/>
  <c r="F445" i="5"/>
  <c r="G445" i="5"/>
  <c r="H445" i="5"/>
  <c r="I445" i="5"/>
  <c r="J445" i="5"/>
  <c r="K445" i="5"/>
  <c r="L445" i="5"/>
  <c r="M445" i="5"/>
  <c r="N445" i="5"/>
  <c r="O445" i="5"/>
  <c r="P445" i="5"/>
  <c r="Q445" i="5"/>
  <c r="R445" i="5"/>
  <c r="S445" i="5"/>
  <c r="T445" i="5"/>
  <c r="U445" i="5"/>
  <c r="V445" i="5"/>
  <c r="W445" i="5"/>
  <c r="X445" i="5"/>
  <c r="B446" i="5"/>
  <c r="C446" i="5"/>
  <c r="D446" i="5"/>
  <c r="E446" i="5"/>
  <c r="F446" i="5"/>
  <c r="G446" i="5"/>
  <c r="H446" i="5"/>
  <c r="I446" i="5"/>
  <c r="J446" i="5"/>
  <c r="K446" i="5"/>
  <c r="L446" i="5"/>
  <c r="M446" i="5"/>
  <c r="N446" i="5"/>
  <c r="O446" i="5"/>
  <c r="P446" i="5"/>
  <c r="Q446" i="5"/>
  <c r="R446" i="5"/>
  <c r="S446" i="5"/>
  <c r="T446" i="5"/>
  <c r="U446" i="5"/>
  <c r="V446" i="5"/>
  <c r="W446" i="5"/>
  <c r="X446" i="5"/>
  <c r="B447" i="5"/>
  <c r="C447" i="5"/>
  <c r="D447" i="5"/>
  <c r="E447" i="5"/>
  <c r="F447" i="5"/>
  <c r="G447" i="5"/>
  <c r="H447" i="5"/>
  <c r="I447" i="5"/>
  <c r="J447" i="5"/>
  <c r="K447" i="5"/>
  <c r="L447" i="5"/>
  <c r="M447" i="5"/>
  <c r="N447" i="5"/>
  <c r="O447" i="5"/>
  <c r="P447" i="5"/>
  <c r="Q447" i="5"/>
  <c r="R447" i="5"/>
  <c r="S447" i="5"/>
  <c r="T447" i="5"/>
  <c r="U447" i="5"/>
  <c r="V447" i="5"/>
  <c r="W447" i="5"/>
  <c r="X447" i="5"/>
  <c r="B448" i="5"/>
  <c r="C448" i="5"/>
  <c r="D448" i="5"/>
  <c r="E448" i="5"/>
  <c r="F448" i="5"/>
  <c r="G448" i="5"/>
  <c r="H448" i="5"/>
  <c r="I448" i="5"/>
  <c r="J448" i="5"/>
  <c r="K448" i="5"/>
  <c r="L448" i="5"/>
  <c r="M448" i="5"/>
  <c r="N448" i="5"/>
  <c r="O448" i="5"/>
  <c r="P448" i="5"/>
  <c r="Q448" i="5"/>
  <c r="R448" i="5"/>
  <c r="S448" i="5"/>
  <c r="T448" i="5"/>
  <c r="U448" i="5"/>
  <c r="V448" i="5"/>
  <c r="W448" i="5"/>
  <c r="X448" i="5"/>
  <c r="B449" i="5"/>
  <c r="C449" i="5"/>
  <c r="D449" i="5"/>
  <c r="E449" i="5"/>
  <c r="F449" i="5"/>
  <c r="G449" i="5"/>
  <c r="H449" i="5"/>
  <c r="I449" i="5"/>
  <c r="J449" i="5"/>
  <c r="K449" i="5"/>
  <c r="L449" i="5"/>
  <c r="M449" i="5"/>
  <c r="N449" i="5"/>
  <c r="O449" i="5"/>
  <c r="P449" i="5"/>
  <c r="Q449" i="5"/>
  <c r="R449" i="5"/>
  <c r="S449" i="5"/>
  <c r="T449" i="5"/>
  <c r="U449" i="5"/>
  <c r="V449" i="5"/>
  <c r="W449" i="5"/>
  <c r="X449" i="5"/>
  <c r="B450" i="5"/>
  <c r="C450" i="5"/>
  <c r="D450" i="5"/>
  <c r="E450" i="5"/>
  <c r="F450" i="5"/>
  <c r="G450" i="5"/>
  <c r="H450" i="5"/>
  <c r="I450" i="5"/>
  <c r="J450" i="5"/>
  <c r="K450" i="5"/>
  <c r="L450" i="5"/>
  <c r="M450" i="5"/>
  <c r="N450" i="5"/>
  <c r="O450" i="5"/>
  <c r="P450" i="5"/>
  <c r="Q450" i="5"/>
  <c r="R450" i="5"/>
  <c r="S450" i="5"/>
  <c r="T450" i="5"/>
  <c r="U450" i="5"/>
  <c r="V450" i="5"/>
  <c r="W450" i="5"/>
  <c r="X450" i="5"/>
  <c r="B451" i="5"/>
  <c r="C451" i="5"/>
  <c r="D451" i="5"/>
  <c r="E451" i="5"/>
  <c r="F451" i="5"/>
  <c r="G451" i="5"/>
  <c r="H451" i="5"/>
  <c r="I451" i="5"/>
  <c r="J451" i="5"/>
  <c r="K451" i="5"/>
  <c r="L451" i="5"/>
  <c r="M451" i="5"/>
  <c r="N451" i="5"/>
  <c r="AC451" i="5" s="1"/>
  <c r="O451" i="5"/>
  <c r="P451" i="5"/>
  <c r="Q451" i="5"/>
  <c r="R451" i="5"/>
  <c r="S451" i="5"/>
  <c r="T451" i="5"/>
  <c r="U451" i="5"/>
  <c r="V451" i="5"/>
  <c r="W451" i="5"/>
  <c r="X451" i="5"/>
  <c r="B452" i="5"/>
  <c r="C452" i="5"/>
  <c r="AB452" i="5" s="1"/>
  <c r="D452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T452" i="5"/>
  <c r="U452" i="5"/>
  <c r="V452" i="5"/>
  <c r="W452" i="5"/>
  <c r="X452" i="5"/>
  <c r="B453" i="5"/>
  <c r="C453" i="5"/>
  <c r="D453" i="5"/>
  <c r="E453" i="5"/>
  <c r="F453" i="5"/>
  <c r="G453" i="5"/>
  <c r="H453" i="5"/>
  <c r="I453" i="5"/>
  <c r="J453" i="5"/>
  <c r="K453" i="5"/>
  <c r="L453" i="5"/>
  <c r="M453" i="5"/>
  <c r="N453" i="5"/>
  <c r="AC453" i="5" s="1"/>
  <c r="O453" i="5"/>
  <c r="P453" i="5"/>
  <c r="Q453" i="5"/>
  <c r="R453" i="5"/>
  <c r="S453" i="5"/>
  <c r="T453" i="5"/>
  <c r="U453" i="5"/>
  <c r="V453" i="5"/>
  <c r="W453" i="5"/>
  <c r="X453" i="5"/>
  <c r="B454" i="5"/>
  <c r="C454" i="5"/>
  <c r="D454" i="5"/>
  <c r="E454" i="5"/>
  <c r="F454" i="5"/>
  <c r="G454" i="5"/>
  <c r="H454" i="5"/>
  <c r="I454" i="5"/>
  <c r="J454" i="5"/>
  <c r="K454" i="5"/>
  <c r="L454" i="5"/>
  <c r="M454" i="5"/>
  <c r="N454" i="5"/>
  <c r="O454" i="5"/>
  <c r="P454" i="5"/>
  <c r="Q454" i="5"/>
  <c r="R454" i="5"/>
  <c r="S454" i="5"/>
  <c r="T454" i="5"/>
  <c r="U454" i="5"/>
  <c r="V454" i="5"/>
  <c r="W454" i="5"/>
  <c r="W1106" i="5" s="1"/>
  <c r="X454" i="5"/>
  <c r="B455" i="5"/>
  <c r="C455" i="5"/>
  <c r="D455" i="5"/>
  <c r="E455" i="5"/>
  <c r="F455" i="5"/>
  <c r="G455" i="5"/>
  <c r="H455" i="5"/>
  <c r="I455" i="5"/>
  <c r="J455" i="5"/>
  <c r="K455" i="5"/>
  <c r="L455" i="5"/>
  <c r="M455" i="5"/>
  <c r="N455" i="5"/>
  <c r="O455" i="5"/>
  <c r="P455" i="5"/>
  <c r="Q455" i="5"/>
  <c r="R455" i="5"/>
  <c r="S455" i="5"/>
  <c r="T455" i="5"/>
  <c r="U455" i="5"/>
  <c r="V455" i="5"/>
  <c r="W455" i="5"/>
  <c r="X455" i="5"/>
  <c r="B456" i="5"/>
  <c r="C456" i="5"/>
  <c r="D456" i="5"/>
  <c r="E456" i="5"/>
  <c r="F456" i="5"/>
  <c r="G456" i="5"/>
  <c r="H456" i="5"/>
  <c r="I456" i="5"/>
  <c r="J456" i="5"/>
  <c r="K456" i="5"/>
  <c r="L456" i="5"/>
  <c r="M456" i="5"/>
  <c r="N456" i="5"/>
  <c r="O456" i="5"/>
  <c r="P456" i="5"/>
  <c r="Q456" i="5"/>
  <c r="R456" i="5"/>
  <c r="S456" i="5"/>
  <c r="T456" i="5"/>
  <c r="U456" i="5"/>
  <c r="V456" i="5"/>
  <c r="W456" i="5"/>
  <c r="X456" i="5"/>
  <c r="B457" i="5"/>
  <c r="C457" i="5"/>
  <c r="D457" i="5"/>
  <c r="E457" i="5"/>
  <c r="F457" i="5"/>
  <c r="G457" i="5"/>
  <c r="H457" i="5"/>
  <c r="I457" i="5"/>
  <c r="J457" i="5"/>
  <c r="K457" i="5"/>
  <c r="L457" i="5"/>
  <c r="M457" i="5"/>
  <c r="N457" i="5"/>
  <c r="O457" i="5"/>
  <c r="P457" i="5"/>
  <c r="Q457" i="5"/>
  <c r="R457" i="5"/>
  <c r="S457" i="5"/>
  <c r="T457" i="5"/>
  <c r="U457" i="5"/>
  <c r="V457" i="5"/>
  <c r="W457" i="5"/>
  <c r="X457" i="5"/>
  <c r="B458" i="5"/>
  <c r="C458" i="5"/>
  <c r="D458" i="5"/>
  <c r="E458" i="5"/>
  <c r="F458" i="5"/>
  <c r="G458" i="5"/>
  <c r="H458" i="5"/>
  <c r="I458" i="5"/>
  <c r="J458" i="5"/>
  <c r="K458" i="5"/>
  <c r="L458" i="5"/>
  <c r="M458" i="5"/>
  <c r="N458" i="5"/>
  <c r="O458" i="5"/>
  <c r="P458" i="5"/>
  <c r="Q458" i="5"/>
  <c r="R458" i="5"/>
  <c r="S458" i="5"/>
  <c r="T458" i="5"/>
  <c r="U458" i="5"/>
  <c r="V458" i="5"/>
  <c r="W458" i="5"/>
  <c r="X458" i="5"/>
  <c r="B459" i="5"/>
  <c r="C459" i="5"/>
  <c r="D459" i="5"/>
  <c r="E459" i="5"/>
  <c r="F459" i="5"/>
  <c r="G459" i="5"/>
  <c r="H459" i="5"/>
  <c r="I459" i="5"/>
  <c r="J459" i="5"/>
  <c r="K459" i="5"/>
  <c r="L459" i="5"/>
  <c r="M459" i="5"/>
  <c r="N459" i="5"/>
  <c r="O459" i="5"/>
  <c r="P459" i="5"/>
  <c r="AC459" i="5" s="1"/>
  <c r="Q459" i="5"/>
  <c r="R459" i="5"/>
  <c r="S459" i="5"/>
  <c r="T459" i="5"/>
  <c r="U459" i="5"/>
  <c r="V459" i="5"/>
  <c r="W459" i="5"/>
  <c r="X459" i="5"/>
  <c r="B460" i="5"/>
  <c r="C460" i="5"/>
  <c r="D460" i="5"/>
  <c r="E460" i="5"/>
  <c r="F460" i="5"/>
  <c r="G460" i="5"/>
  <c r="H460" i="5"/>
  <c r="I460" i="5"/>
  <c r="J460" i="5"/>
  <c r="K460" i="5"/>
  <c r="L460" i="5"/>
  <c r="M460" i="5"/>
  <c r="N460" i="5"/>
  <c r="O460" i="5"/>
  <c r="P460" i="5"/>
  <c r="Q460" i="5"/>
  <c r="R460" i="5"/>
  <c r="S460" i="5"/>
  <c r="T460" i="5"/>
  <c r="U460" i="5"/>
  <c r="V460" i="5"/>
  <c r="W460" i="5"/>
  <c r="X460" i="5"/>
  <c r="B461" i="5"/>
  <c r="C461" i="5"/>
  <c r="D461" i="5"/>
  <c r="E461" i="5"/>
  <c r="F461" i="5"/>
  <c r="G461" i="5"/>
  <c r="H461" i="5"/>
  <c r="I461" i="5"/>
  <c r="J461" i="5"/>
  <c r="K461" i="5"/>
  <c r="L461" i="5"/>
  <c r="M461" i="5"/>
  <c r="N461" i="5"/>
  <c r="O461" i="5"/>
  <c r="P461" i="5"/>
  <c r="Q461" i="5"/>
  <c r="R461" i="5"/>
  <c r="S461" i="5"/>
  <c r="T461" i="5"/>
  <c r="U461" i="5"/>
  <c r="V461" i="5"/>
  <c r="W461" i="5"/>
  <c r="X461" i="5"/>
  <c r="AC461" i="5"/>
  <c r="B462" i="5"/>
  <c r="C462" i="5"/>
  <c r="D462" i="5"/>
  <c r="E462" i="5"/>
  <c r="F462" i="5"/>
  <c r="G462" i="5"/>
  <c r="H462" i="5"/>
  <c r="I462" i="5"/>
  <c r="J462" i="5"/>
  <c r="K462" i="5"/>
  <c r="L462" i="5"/>
  <c r="M462" i="5"/>
  <c r="AC462" i="5" s="1"/>
  <c r="N462" i="5"/>
  <c r="O462" i="5"/>
  <c r="P462" i="5"/>
  <c r="Q462" i="5"/>
  <c r="R462" i="5"/>
  <c r="S462" i="5"/>
  <c r="T462" i="5"/>
  <c r="U462" i="5"/>
  <c r="V462" i="5"/>
  <c r="W462" i="5"/>
  <c r="X462" i="5"/>
  <c r="AB462" i="5"/>
  <c r="B463" i="5"/>
  <c r="C463" i="5"/>
  <c r="D463" i="5"/>
  <c r="E463" i="5"/>
  <c r="F463" i="5"/>
  <c r="G463" i="5"/>
  <c r="H463" i="5"/>
  <c r="AB463" i="5" s="1"/>
  <c r="I463" i="5"/>
  <c r="J463" i="5"/>
  <c r="K463" i="5"/>
  <c r="L463" i="5"/>
  <c r="M463" i="5"/>
  <c r="N463" i="5"/>
  <c r="O463" i="5"/>
  <c r="P463" i="5"/>
  <c r="Q463" i="5"/>
  <c r="R463" i="5"/>
  <c r="S463" i="5"/>
  <c r="T463" i="5"/>
  <c r="U463" i="5"/>
  <c r="V463" i="5"/>
  <c r="W463" i="5"/>
  <c r="X463" i="5"/>
  <c r="B464" i="5"/>
  <c r="C464" i="5"/>
  <c r="D464" i="5"/>
  <c r="E464" i="5"/>
  <c r="F464" i="5"/>
  <c r="G464" i="5"/>
  <c r="H464" i="5"/>
  <c r="I464" i="5"/>
  <c r="J464" i="5"/>
  <c r="K464" i="5"/>
  <c r="L464" i="5"/>
  <c r="M464" i="5"/>
  <c r="N464" i="5"/>
  <c r="O464" i="5"/>
  <c r="P464" i="5"/>
  <c r="Q464" i="5"/>
  <c r="R464" i="5"/>
  <c r="S464" i="5"/>
  <c r="T464" i="5"/>
  <c r="U464" i="5"/>
  <c r="V464" i="5"/>
  <c r="W464" i="5"/>
  <c r="X464" i="5"/>
  <c r="B465" i="5"/>
  <c r="C465" i="5"/>
  <c r="D465" i="5"/>
  <c r="E465" i="5"/>
  <c r="F465" i="5"/>
  <c r="F1107" i="5" s="1"/>
  <c r="G465" i="5"/>
  <c r="H465" i="5"/>
  <c r="I465" i="5"/>
  <c r="J465" i="5"/>
  <c r="K465" i="5"/>
  <c r="L465" i="5"/>
  <c r="M465" i="5"/>
  <c r="N465" i="5"/>
  <c r="AC465" i="5" s="1"/>
  <c r="O465" i="5"/>
  <c r="P465" i="5"/>
  <c r="Q465" i="5"/>
  <c r="R465" i="5"/>
  <c r="S465" i="5"/>
  <c r="T465" i="5"/>
  <c r="U465" i="5"/>
  <c r="V465" i="5"/>
  <c r="V1107" i="5" s="1"/>
  <c r="W465" i="5"/>
  <c r="X465" i="5"/>
  <c r="B466" i="5"/>
  <c r="C466" i="5"/>
  <c r="D466" i="5"/>
  <c r="E466" i="5"/>
  <c r="F466" i="5"/>
  <c r="G466" i="5"/>
  <c r="H466" i="5"/>
  <c r="I466" i="5"/>
  <c r="J466" i="5"/>
  <c r="K466" i="5"/>
  <c r="L466" i="5"/>
  <c r="M466" i="5"/>
  <c r="N466" i="5"/>
  <c r="O466" i="5"/>
  <c r="P466" i="5"/>
  <c r="Q466" i="5"/>
  <c r="R466" i="5"/>
  <c r="S466" i="5"/>
  <c r="T466" i="5"/>
  <c r="U466" i="5"/>
  <c r="V466" i="5"/>
  <c r="W466" i="5"/>
  <c r="X466" i="5"/>
  <c r="B467" i="5"/>
  <c r="C467" i="5"/>
  <c r="D467" i="5"/>
  <c r="E467" i="5"/>
  <c r="F467" i="5"/>
  <c r="G467" i="5"/>
  <c r="H467" i="5"/>
  <c r="I467" i="5"/>
  <c r="J467" i="5"/>
  <c r="K467" i="5"/>
  <c r="L467" i="5"/>
  <c r="M467" i="5"/>
  <c r="N467" i="5"/>
  <c r="O467" i="5"/>
  <c r="P467" i="5"/>
  <c r="Q467" i="5"/>
  <c r="R467" i="5"/>
  <c r="S467" i="5"/>
  <c r="T467" i="5"/>
  <c r="U467" i="5"/>
  <c r="V467" i="5"/>
  <c r="W467" i="5"/>
  <c r="X467" i="5"/>
  <c r="B468" i="5"/>
  <c r="C468" i="5"/>
  <c r="D468" i="5"/>
  <c r="E468" i="5"/>
  <c r="F468" i="5"/>
  <c r="G468" i="5"/>
  <c r="H468" i="5"/>
  <c r="I468" i="5"/>
  <c r="J468" i="5"/>
  <c r="K468" i="5"/>
  <c r="L468" i="5"/>
  <c r="M468" i="5"/>
  <c r="AC468" i="5" s="1"/>
  <c r="N468" i="5"/>
  <c r="O468" i="5"/>
  <c r="P468" i="5"/>
  <c r="Q468" i="5"/>
  <c r="R468" i="5"/>
  <c r="S468" i="5"/>
  <c r="T468" i="5"/>
  <c r="U468" i="5"/>
  <c r="V468" i="5"/>
  <c r="W468" i="5"/>
  <c r="X468" i="5"/>
  <c r="B469" i="5"/>
  <c r="C469" i="5"/>
  <c r="D469" i="5"/>
  <c r="E469" i="5"/>
  <c r="F469" i="5"/>
  <c r="G469" i="5"/>
  <c r="H469" i="5"/>
  <c r="I469" i="5"/>
  <c r="J469" i="5"/>
  <c r="K469" i="5"/>
  <c r="L469" i="5"/>
  <c r="M469" i="5"/>
  <c r="N469" i="5"/>
  <c r="O469" i="5"/>
  <c r="P469" i="5"/>
  <c r="Q469" i="5"/>
  <c r="R469" i="5"/>
  <c r="S469" i="5"/>
  <c r="T469" i="5"/>
  <c r="U469" i="5"/>
  <c r="V469" i="5"/>
  <c r="W469" i="5"/>
  <c r="X469" i="5"/>
  <c r="B470" i="5"/>
  <c r="C470" i="5"/>
  <c r="D470" i="5"/>
  <c r="E470" i="5"/>
  <c r="F470" i="5"/>
  <c r="G470" i="5"/>
  <c r="H470" i="5"/>
  <c r="I470" i="5"/>
  <c r="J470" i="5"/>
  <c r="K470" i="5"/>
  <c r="L470" i="5"/>
  <c r="M470" i="5"/>
  <c r="N470" i="5"/>
  <c r="AC470" i="5" s="1"/>
  <c r="O470" i="5"/>
  <c r="P470" i="5"/>
  <c r="Q470" i="5"/>
  <c r="R470" i="5"/>
  <c r="S470" i="5"/>
  <c r="T470" i="5"/>
  <c r="U470" i="5"/>
  <c r="V470" i="5"/>
  <c r="W470" i="5"/>
  <c r="X470" i="5"/>
  <c r="B471" i="5"/>
  <c r="AB471" i="5" s="1"/>
  <c r="C471" i="5"/>
  <c r="D471" i="5"/>
  <c r="E471" i="5"/>
  <c r="F471" i="5"/>
  <c r="G471" i="5"/>
  <c r="H471" i="5"/>
  <c r="I471" i="5"/>
  <c r="J471" i="5"/>
  <c r="K471" i="5"/>
  <c r="L471" i="5"/>
  <c r="M471" i="5"/>
  <c r="N471" i="5"/>
  <c r="O471" i="5"/>
  <c r="P471" i="5"/>
  <c r="Q471" i="5"/>
  <c r="R471" i="5"/>
  <c r="S471" i="5"/>
  <c r="T471" i="5"/>
  <c r="U471" i="5"/>
  <c r="V471" i="5"/>
  <c r="W471" i="5"/>
  <c r="X471" i="5"/>
  <c r="B472" i="5"/>
  <c r="C472" i="5"/>
  <c r="D472" i="5"/>
  <c r="E472" i="5"/>
  <c r="F472" i="5"/>
  <c r="G472" i="5"/>
  <c r="H472" i="5"/>
  <c r="I472" i="5"/>
  <c r="J472" i="5"/>
  <c r="K472" i="5"/>
  <c r="L472" i="5"/>
  <c r="M472" i="5"/>
  <c r="N472" i="5"/>
  <c r="O472" i="5"/>
  <c r="P472" i="5"/>
  <c r="Q472" i="5"/>
  <c r="R472" i="5"/>
  <c r="S472" i="5"/>
  <c r="T472" i="5"/>
  <c r="U472" i="5"/>
  <c r="V472" i="5"/>
  <c r="W472" i="5"/>
  <c r="X472" i="5"/>
  <c r="B473" i="5"/>
  <c r="C473" i="5"/>
  <c r="D473" i="5"/>
  <c r="E473" i="5"/>
  <c r="F473" i="5"/>
  <c r="G473" i="5"/>
  <c r="H473" i="5"/>
  <c r="I473" i="5"/>
  <c r="J473" i="5"/>
  <c r="K473" i="5"/>
  <c r="L473" i="5"/>
  <c r="M473" i="5"/>
  <c r="N473" i="5"/>
  <c r="O473" i="5"/>
  <c r="P473" i="5"/>
  <c r="Q473" i="5"/>
  <c r="R473" i="5"/>
  <c r="S473" i="5"/>
  <c r="T473" i="5"/>
  <c r="U473" i="5"/>
  <c r="V473" i="5"/>
  <c r="W473" i="5"/>
  <c r="X473" i="5"/>
  <c r="B474" i="5"/>
  <c r="C474" i="5"/>
  <c r="D474" i="5"/>
  <c r="E474" i="5"/>
  <c r="F474" i="5"/>
  <c r="G474" i="5"/>
  <c r="H474" i="5"/>
  <c r="I474" i="5"/>
  <c r="J474" i="5"/>
  <c r="K474" i="5"/>
  <c r="L474" i="5"/>
  <c r="M474" i="5"/>
  <c r="N474" i="5"/>
  <c r="O474" i="5"/>
  <c r="P474" i="5"/>
  <c r="Q474" i="5"/>
  <c r="R474" i="5"/>
  <c r="S474" i="5"/>
  <c r="T474" i="5"/>
  <c r="U474" i="5"/>
  <c r="V474" i="5"/>
  <c r="W474" i="5"/>
  <c r="X474" i="5"/>
  <c r="B475" i="5"/>
  <c r="C475" i="5"/>
  <c r="D475" i="5"/>
  <c r="E475" i="5"/>
  <c r="F475" i="5"/>
  <c r="G475" i="5"/>
  <c r="H475" i="5"/>
  <c r="I475" i="5"/>
  <c r="J475" i="5"/>
  <c r="K475" i="5"/>
  <c r="L475" i="5"/>
  <c r="M475" i="5"/>
  <c r="N475" i="5"/>
  <c r="O475" i="5"/>
  <c r="P475" i="5"/>
  <c r="Q475" i="5"/>
  <c r="R475" i="5"/>
  <c r="S475" i="5"/>
  <c r="T475" i="5"/>
  <c r="U475" i="5"/>
  <c r="V475" i="5"/>
  <c r="W475" i="5"/>
  <c r="X475" i="5"/>
  <c r="B476" i="5"/>
  <c r="C476" i="5"/>
  <c r="D476" i="5"/>
  <c r="E476" i="5"/>
  <c r="F476" i="5"/>
  <c r="G476" i="5"/>
  <c r="H476" i="5"/>
  <c r="I476" i="5"/>
  <c r="J476" i="5"/>
  <c r="K476" i="5"/>
  <c r="L476" i="5"/>
  <c r="M476" i="5"/>
  <c r="N476" i="5"/>
  <c r="O476" i="5"/>
  <c r="P476" i="5"/>
  <c r="Q476" i="5"/>
  <c r="R476" i="5"/>
  <c r="S476" i="5"/>
  <c r="T476" i="5"/>
  <c r="U476" i="5"/>
  <c r="V476" i="5"/>
  <c r="W476" i="5"/>
  <c r="X476" i="5"/>
  <c r="B477" i="5"/>
  <c r="C477" i="5"/>
  <c r="D477" i="5"/>
  <c r="E477" i="5"/>
  <c r="F477" i="5"/>
  <c r="G477" i="5"/>
  <c r="H477" i="5"/>
  <c r="I477" i="5"/>
  <c r="J477" i="5"/>
  <c r="K477" i="5"/>
  <c r="L477" i="5"/>
  <c r="M477" i="5"/>
  <c r="N477" i="5"/>
  <c r="O477" i="5"/>
  <c r="P477" i="5"/>
  <c r="Q477" i="5"/>
  <c r="R477" i="5"/>
  <c r="S477" i="5"/>
  <c r="T477" i="5"/>
  <c r="U477" i="5"/>
  <c r="V477" i="5"/>
  <c r="W477" i="5"/>
  <c r="X477" i="5"/>
  <c r="B478" i="5"/>
  <c r="C478" i="5"/>
  <c r="D478" i="5"/>
  <c r="E478" i="5"/>
  <c r="F478" i="5"/>
  <c r="G478" i="5"/>
  <c r="H478" i="5"/>
  <c r="I478" i="5"/>
  <c r="J478" i="5"/>
  <c r="K478" i="5"/>
  <c r="L478" i="5"/>
  <c r="M478" i="5"/>
  <c r="N478" i="5"/>
  <c r="O478" i="5"/>
  <c r="P478" i="5"/>
  <c r="Q478" i="5"/>
  <c r="R478" i="5"/>
  <c r="S478" i="5"/>
  <c r="T478" i="5"/>
  <c r="U478" i="5"/>
  <c r="V478" i="5"/>
  <c r="W478" i="5"/>
  <c r="X478" i="5"/>
  <c r="B479" i="5"/>
  <c r="AB479" i="5" s="1"/>
  <c r="C479" i="5"/>
  <c r="D479" i="5"/>
  <c r="E479" i="5"/>
  <c r="F479" i="5"/>
  <c r="G479" i="5"/>
  <c r="H479" i="5"/>
  <c r="I479" i="5"/>
  <c r="J479" i="5"/>
  <c r="K479" i="5"/>
  <c r="L479" i="5"/>
  <c r="M479" i="5"/>
  <c r="N479" i="5"/>
  <c r="O479" i="5"/>
  <c r="P479" i="5"/>
  <c r="Q479" i="5"/>
  <c r="R479" i="5"/>
  <c r="S479" i="5"/>
  <c r="T479" i="5"/>
  <c r="U479" i="5"/>
  <c r="V479" i="5"/>
  <c r="W479" i="5"/>
  <c r="X479" i="5"/>
  <c r="B480" i="5"/>
  <c r="C480" i="5"/>
  <c r="D480" i="5"/>
  <c r="E480" i="5"/>
  <c r="F480" i="5"/>
  <c r="G480" i="5"/>
  <c r="H480" i="5"/>
  <c r="I480" i="5"/>
  <c r="J480" i="5"/>
  <c r="K480" i="5"/>
  <c r="L480" i="5"/>
  <c r="M480" i="5"/>
  <c r="N480" i="5"/>
  <c r="AC480" i="5" s="1"/>
  <c r="O480" i="5"/>
  <c r="P480" i="5"/>
  <c r="Q480" i="5"/>
  <c r="R480" i="5"/>
  <c r="S480" i="5"/>
  <c r="T480" i="5"/>
  <c r="U480" i="5"/>
  <c r="V480" i="5"/>
  <c r="W480" i="5"/>
  <c r="X480" i="5"/>
  <c r="B481" i="5"/>
  <c r="AB481" i="5" s="1"/>
  <c r="C481" i="5"/>
  <c r="D481" i="5"/>
  <c r="E481" i="5"/>
  <c r="F481" i="5"/>
  <c r="G481" i="5"/>
  <c r="H481" i="5"/>
  <c r="I481" i="5"/>
  <c r="J481" i="5"/>
  <c r="K481" i="5"/>
  <c r="L481" i="5"/>
  <c r="M481" i="5"/>
  <c r="N481" i="5"/>
  <c r="O481" i="5"/>
  <c r="P481" i="5"/>
  <c r="Q481" i="5"/>
  <c r="R481" i="5"/>
  <c r="S481" i="5"/>
  <c r="T481" i="5"/>
  <c r="U481" i="5"/>
  <c r="V481" i="5"/>
  <c r="W481" i="5"/>
  <c r="X481" i="5"/>
  <c r="B482" i="5"/>
  <c r="C482" i="5"/>
  <c r="D482" i="5"/>
  <c r="E482" i="5"/>
  <c r="F482" i="5"/>
  <c r="G482" i="5"/>
  <c r="H482" i="5"/>
  <c r="I482" i="5"/>
  <c r="J482" i="5"/>
  <c r="K482" i="5"/>
  <c r="L482" i="5"/>
  <c r="M482" i="5"/>
  <c r="N482" i="5"/>
  <c r="O482" i="5"/>
  <c r="P482" i="5"/>
  <c r="Q482" i="5"/>
  <c r="R482" i="5"/>
  <c r="S482" i="5"/>
  <c r="T482" i="5"/>
  <c r="U482" i="5"/>
  <c r="V482" i="5"/>
  <c r="W482" i="5"/>
  <c r="X482" i="5"/>
  <c r="B483" i="5"/>
  <c r="C483" i="5"/>
  <c r="D483" i="5"/>
  <c r="E483" i="5"/>
  <c r="F483" i="5"/>
  <c r="G483" i="5"/>
  <c r="H483" i="5"/>
  <c r="I483" i="5"/>
  <c r="J483" i="5"/>
  <c r="K483" i="5"/>
  <c r="L483" i="5"/>
  <c r="M483" i="5"/>
  <c r="N483" i="5"/>
  <c r="O483" i="5"/>
  <c r="P483" i="5"/>
  <c r="Q483" i="5"/>
  <c r="R483" i="5"/>
  <c r="S483" i="5"/>
  <c r="T483" i="5"/>
  <c r="U483" i="5"/>
  <c r="V483" i="5"/>
  <c r="W483" i="5"/>
  <c r="X483" i="5"/>
  <c r="B484" i="5"/>
  <c r="C484" i="5"/>
  <c r="D484" i="5"/>
  <c r="E484" i="5"/>
  <c r="F484" i="5"/>
  <c r="G484" i="5"/>
  <c r="H484" i="5"/>
  <c r="I484" i="5"/>
  <c r="J484" i="5"/>
  <c r="K484" i="5"/>
  <c r="L484" i="5"/>
  <c r="M484" i="5"/>
  <c r="N484" i="5"/>
  <c r="O484" i="5"/>
  <c r="P484" i="5"/>
  <c r="Q484" i="5"/>
  <c r="R484" i="5"/>
  <c r="S484" i="5"/>
  <c r="T484" i="5"/>
  <c r="U484" i="5"/>
  <c r="V484" i="5"/>
  <c r="W484" i="5"/>
  <c r="X484" i="5"/>
  <c r="B485" i="5"/>
  <c r="C485" i="5"/>
  <c r="D485" i="5"/>
  <c r="E485" i="5"/>
  <c r="F485" i="5"/>
  <c r="G485" i="5"/>
  <c r="H485" i="5"/>
  <c r="I485" i="5"/>
  <c r="J485" i="5"/>
  <c r="K485" i="5"/>
  <c r="L485" i="5"/>
  <c r="M485" i="5"/>
  <c r="AC485" i="5" s="1"/>
  <c r="N485" i="5"/>
  <c r="O485" i="5"/>
  <c r="P485" i="5"/>
  <c r="Q485" i="5"/>
  <c r="R485" i="5"/>
  <c r="S485" i="5"/>
  <c r="T485" i="5"/>
  <c r="U485" i="5"/>
  <c r="V485" i="5"/>
  <c r="W485" i="5"/>
  <c r="X485" i="5"/>
  <c r="B486" i="5"/>
  <c r="C486" i="5"/>
  <c r="D486" i="5"/>
  <c r="E486" i="5"/>
  <c r="F486" i="5"/>
  <c r="G486" i="5"/>
  <c r="H486" i="5"/>
  <c r="I486" i="5"/>
  <c r="J486" i="5"/>
  <c r="K486" i="5"/>
  <c r="L486" i="5"/>
  <c r="M486" i="5"/>
  <c r="N486" i="5"/>
  <c r="O486" i="5"/>
  <c r="P486" i="5"/>
  <c r="Q486" i="5"/>
  <c r="R486" i="5"/>
  <c r="S486" i="5"/>
  <c r="T486" i="5"/>
  <c r="U486" i="5"/>
  <c r="V486" i="5"/>
  <c r="W486" i="5"/>
  <c r="X486" i="5"/>
  <c r="B487" i="5"/>
  <c r="C487" i="5"/>
  <c r="D487" i="5"/>
  <c r="E487" i="5"/>
  <c r="F487" i="5"/>
  <c r="G487" i="5"/>
  <c r="H487" i="5"/>
  <c r="I487" i="5"/>
  <c r="J487" i="5"/>
  <c r="K487" i="5"/>
  <c r="L487" i="5"/>
  <c r="M487" i="5"/>
  <c r="N487" i="5"/>
  <c r="O487" i="5"/>
  <c r="P487" i="5"/>
  <c r="Q487" i="5"/>
  <c r="R487" i="5"/>
  <c r="S487" i="5"/>
  <c r="T487" i="5"/>
  <c r="U487" i="5"/>
  <c r="V487" i="5"/>
  <c r="W487" i="5"/>
  <c r="X487" i="5"/>
  <c r="B488" i="5"/>
  <c r="C488" i="5"/>
  <c r="D488" i="5"/>
  <c r="E488" i="5"/>
  <c r="F488" i="5"/>
  <c r="G488" i="5"/>
  <c r="H488" i="5"/>
  <c r="I488" i="5"/>
  <c r="J488" i="5"/>
  <c r="K488" i="5"/>
  <c r="L488" i="5"/>
  <c r="M488" i="5"/>
  <c r="N488" i="5"/>
  <c r="O488" i="5"/>
  <c r="P488" i="5"/>
  <c r="AC488" i="5" s="1"/>
  <c r="Q488" i="5"/>
  <c r="R488" i="5"/>
  <c r="S488" i="5"/>
  <c r="T488" i="5"/>
  <c r="U488" i="5"/>
  <c r="V488" i="5"/>
  <c r="W488" i="5"/>
  <c r="X488" i="5"/>
  <c r="B489" i="5"/>
  <c r="C489" i="5"/>
  <c r="D489" i="5"/>
  <c r="E489" i="5"/>
  <c r="F489" i="5"/>
  <c r="G489" i="5"/>
  <c r="H489" i="5"/>
  <c r="I489" i="5"/>
  <c r="J489" i="5"/>
  <c r="K489" i="5"/>
  <c r="L489" i="5"/>
  <c r="M489" i="5"/>
  <c r="N489" i="5"/>
  <c r="O489" i="5"/>
  <c r="P489" i="5"/>
  <c r="Q489" i="5"/>
  <c r="R489" i="5"/>
  <c r="S489" i="5"/>
  <c r="T489" i="5"/>
  <c r="U489" i="5"/>
  <c r="V489" i="5"/>
  <c r="W489" i="5"/>
  <c r="X489" i="5"/>
  <c r="B490" i="5"/>
  <c r="C490" i="5"/>
  <c r="D490" i="5"/>
  <c r="E490" i="5"/>
  <c r="F490" i="5"/>
  <c r="G490" i="5"/>
  <c r="H490" i="5"/>
  <c r="I490" i="5"/>
  <c r="J490" i="5"/>
  <c r="K490" i="5"/>
  <c r="L490" i="5"/>
  <c r="M490" i="5"/>
  <c r="N490" i="5"/>
  <c r="O490" i="5"/>
  <c r="P490" i="5"/>
  <c r="Q490" i="5"/>
  <c r="R490" i="5"/>
  <c r="S490" i="5"/>
  <c r="T490" i="5"/>
  <c r="U490" i="5"/>
  <c r="V490" i="5"/>
  <c r="W490" i="5"/>
  <c r="X490" i="5"/>
  <c r="B491" i="5"/>
  <c r="C491" i="5"/>
  <c r="D491" i="5"/>
  <c r="E491" i="5"/>
  <c r="F491" i="5"/>
  <c r="G491" i="5"/>
  <c r="H491" i="5"/>
  <c r="I491" i="5"/>
  <c r="J491" i="5"/>
  <c r="K491" i="5"/>
  <c r="L491" i="5"/>
  <c r="M491" i="5"/>
  <c r="N491" i="5"/>
  <c r="O491" i="5"/>
  <c r="P491" i="5"/>
  <c r="Q491" i="5"/>
  <c r="R491" i="5"/>
  <c r="S491" i="5"/>
  <c r="T491" i="5"/>
  <c r="U491" i="5"/>
  <c r="V491" i="5"/>
  <c r="W491" i="5"/>
  <c r="X491" i="5"/>
  <c r="B492" i="5"/>
  <c r="C492" i="5"/>
  <c r="D492" i="5"/>
  <c r="E492" i="5"/>
  <c r="F492" i="5"/>
  <c r="G492" i="5"/>
  <c r="H492" i="5"/>
  <c r="I492" i="5"/>
  <c r="J492" i="5"/>
  <c r="K492" i="5"/>
  <c r="L492" i="5"/>
  <c r="M492" i="5"/>
  <c r="N492" i="5"/>
  <c r="O492" i="5"/>
  <c r="P492" i="5"/>
  <c r="Q492" i="5"/>
  <c r="R492" i="5"/>
  <c r="S492" i="5"/>
  <c r="T492" i="5"/>
  <c r="U492" i="5"/>
  <c r="V492" i="5"/>
  <c r="W492" i="5"/>
  <c r="X492" i="5"/>
  <c r="B493" i="5"/>
  <c r="C493" i="5"/>
  <c r="D493" i="5"/>
  <c r="E493" i="5"/>
  <c r="F493" i="5"/>
  <c r="G493" i="5"/>
  <c r="H493" i="5"/>
  <c r="I493" i="5"/>
  <c r="J493" i="5"/>
  <c r="K493" i="5"/>
  <c r="L493" i="5"/>
  <c r="M493" i="5"/>
  <c r="N493" i="5"/>
  <c r="O493" i="5"/>
  <c r="P493" i="5"/>
  <c r="Q493" i="5"/>
  <c r="R493" i="5"/>
  <c r="S493" i="5"/>
  <c r="T493" i="5"/>
  <c r="U493" i="5"/>
  <c r="V493" i="5"/>
  <c r="W493" i="5"/>
  <c r="X493" i="5"/>
  <c r="B494" i="5"/>
  <c r="C494" i="5"/>
  <c r="D494" i="5"/>
  <c r="E494" i="5"/>
  <c r="F494" i="5"/>
  <c r="G494" i="5"/>
  <c r="H494" i="5"/>
  <c r="I494" i="5"/>
  <c r="J494" i="5"/>
  <c r="K494" i="5"/>
  <c r="L494" i="5"/>
  <c r="M494" i="5"/>
  <c r="N494" i="5"/>
  <c r="O494" i="5"/>
  <c r="P494" i="5"/>
  <c r="Q494" i="5"/>
  <c r="R494" i="5"/>
  <c r="S494" i="5"/>
  <c r="T494" i="5"/>
  <c r="U494" i="5"/>
  <c r="V494" i="5"/>
  <c r="W494" i="5"/>
  <c r="X494" i="5"/>
  <c r="AC494" i="5"/>
  <c r="B495" i="5"/>
  <c r="C495" i="5"/>
  <c r="D495" i="5"/>
  <c r="E495" i="5"/>
  <c r="F495" i="5"/>
  <c r="G495" i="5"/>
  <c r="H495" i="5"/>
  <c r="I495" i="5"/>
  <c r="J495" i="5"/>
  <c r="K495" i="5"/>
  <c r="L495" i="5"/>
  <c r="M495" i="5"/>
  <c r="N495" i="5"/>
  <c r="O495" i="5"/>
  <c r="P495" i="5"/>
  <c r="Q495" i="5"/>
  <c r="R495" i="5"/>
  <c r="S495" i="5"/>
  <c r="T495" i="5"/>
  <c r="U495" i="5"/>
  <c r="V495" i="5"/>
  <c r="W495" i="5"/>
  <c r="X495" i="5"/>
  <c r="AB495" i="5"/>
  <c r="B496" i="5"/>
  <c r="C496" i="5"/>
  <c r="D496" i="5"/>
  <c r="E496" i="5"/>
  <c r="F496" i="5"/>
  <c r="G496" i="5"/>
  <c r="H496" i="5"/>
  <c r="I496" i="5"/>
  <c r="J496" i="5"/>
  <c r="K496" i="5"/>
  <c r="L496" i="5"/>
  <c r="M496" i="5"/>
  <c r="N496" i="5"/>
  <c r="O496" i="5"/>
  <c r="P496" i="5"/>
  <c r="Q496" i="5"/>
  <c r="R496" i="5"/>
  <c r="S496" i="5"/>
  <c r="T496" i="5"/>
  <c r="U496" i="5"/>
  <c r="V496" i="5"/>
  <c r="W496" i="5"/>
  <c r="X496" i="5"/>
  <c r="AC496" i="5"/>
  <c r="B497" i="5"/>
  <c r="C497" i="5"/>
  <c r="D497" i="5"/>
  <c r="E497" i="5"/>
  <c r="F497" i="5"/>
  <c r="G497" i="5"/>
  <c r="H497" i="5"/>
  <c r="I497" i="5"/>
  <c r="J497" i="5"/>
  <c r="K497" i="5"/>
  <c r="L497" i="5"/>
  <c r="M497" i="5"/>
  <c r="N497" i="5"/>
  <c r="O497" i="5"/>
  <c r="P497" i="5"/>
  <c r="Q497" i="5"/>
  <c r="R497" i="5"/>
  <c r="S497" i="5"/>
  <c r="T497" i="5"/>
  <c r="U497" i="5"/>
  <c r="V497" i="5"/>
  <c r="W497" i="5"/>
  <c r="X497" i="5"/>
  <c r="AB497" i="5"/>
  <c r="B498" i="5"/>
  <c r="C498" i="5"/>
  <c r="D498" i="5"/>
  <c r="E498" i="5"/>
  <c r="F498" i="5"/>
  <c r="G498" i="5"/>
  <c r="H498" i="5"/>
  <c r="I498" i="5"/>
  <c r="J498" i="5"/>
  <c r="K498" i="5"/>
  <c r="L498" i="5"/>
  <c r="M498" i="5"/>
  <c r="N498" i="5"/>
  <c r="O498" i="5"/>
  <c r="P498" i="5"/>
  <c r="Q498" i="5"/>
  <c r="R498" i="5"/>
  <c r="S498" i="5"/>
  <c r="T498" i="5"/>
  <c r="U498" i="5"/>
  <c r="V498" i="5"/>
  <c r="W498" i="5"/>
  <c r="X498" i="5"/>
  <c r="AC498" i="5"/>
  <c r="B499" i="5"/>
  <c r="C499" i="5"/>
  <c r="D499" i="5"/>
  <c r="E499" i="5"/>
  <c r="F499" i="5"/>
  <c r="G499" i="5"/>
  <c r="H499" i="5"/>
  <c r="I499" i="5"/>
  <c r="J499" i="5"/>
  <c r="K499" i="5"/>
  <c r="L499" i="5"/>
  <c r="M499" i="5"/>
  <c r="AC499" i="5" s="1"/>
  <c r="N499" i="5"/>
  <c r="O499" i="5"/>
  <c r="P499" i="5"/>
  <c r="Q499" i="5"/>
  <c r="R499" i="5"/>
  <c r="S499" i="5"/>
  <c r="T499" i="5"/>
  <c r="U499" i="5"/>
  <c r="V499" i="5"/>
  <c r="W499" i="5"/>
  <c r="X499" i="5"/>
  <c r="AB499" i="5"/>
  <c r="B500" i="5"/>
  <c r="C500" i="5"/>
  <c r="D500" i="5"/>
  <c r="E500" i="5"/>
  <c r="F500" i="5"/>
  <c r="G500" i="5"/>
  <c r="H500" i="5"/>
  <c r="I500" i="5"/>
  <c r="J500" i="5"/>
  <c r="K500" i="5"/>
  <c r="L500" i="5"/>
  <c r="M500" i="5"/>
  <c r="N500" i="5"/>
  <c r="O500" i="5"/>
  <c r="P500" i="5"/>
  <c r="Q500" i="5"/>
  <c r="R500" i="5"/>
  <c r="S500" i="5"/>
  <c r="T500" i="5"/>
  <c r="U500" i="5"/>
  <c r="V500" i="5"/>
  <c r="W500" i="5"/>
  <c r="X500" i="5"/>
  <c r="B501" i="5"/>
  <c r="C501" i="5"/>
  <c r="D501" i="5"/>
  <c r="E501" i="5"/>
  <c r="F501" i="5"/>
  <c r="G501" i="5"/>
  <c r="H501" i="5"/>
  <c r="I501" i="5"/>
  <c r="J501" i="5"/>
  <c r="K501" i="5"/>
  <c r="L501" i="5"/>
  <c r="M501" i="5"/>
  <c r="N501" i="5"/>
  <c r="O501" i="5"/>
  <c r="P501" i="5"/>
  <c r="Q501" i="5"/>
  <c r="R501" i="5"/>
  <c r="S501" i="5"/>
  <c r="T501" i="5"/>
  <c r="U501" i="5"/>
  <c r="V501" i="5"/>
  <c r="W501" i="5"/>
  <c r="X501" i="5"/>
  <c r="B502" i="5"/>
  <c r="C502" i="5"/>
  <c r="D502" i="5"/>
  <c r="E502" i="5"/>
  <c r="F502" i="5"/>
  <c r="G502" i="5"/>
  <c r="H502" i="5"/>
  <c r="I502" i="5"/>
  <c r="J502" i="5"/>
  <c r="K502" i="5"/>
  <c r="L502" i="5"/>
  <c r="M502" i="5"/>
  <c r="N502" i="5"/>
  <c r="AC502" i="5" s="1"/>
  <c r="O502" i="5"/>
  <c r="P502" i="5"/>
  <c r="Q502" i="5"/>
  <c r="R502" i="5"/>
  <c r="S502" i="5"/>
  <c r="T502" i="5"/>
  <c r="U502" i="5"/>
  <c r="V502" i="5"/>
  <c r="W502" i="5"/>
  <c r="X502" i="5"/>
  <c r="B503" i="5"/>
  <c r="AB503" i="5" s="1"/>
  <c r="C503" i="5"/>
  <c r="D503" i="5"/>
  <c r="E503" i="5"/>
  <c r="F503" i="5"/>
  <c r="G503" i="5"/>
  <c r="H503" i="5"/>
  <c r="I503" i="5"/>
  <c r="J503" i="5"/>
  <c r="K503" i="5"/>
  <c r="L503" i="5"/>
  <c r="M503" i="5"/>
  <c r="N503" i="5"/>
  <c r="O503" i="5"/>
  <c r="P503" i="5"/>
  <c r="Q503" i="5"/>
  <c r="R503" i="5"/>
  <c r="S503" i="5"/>
  <c r="T503" i="5"/>
  <c r="U503" i="5"/>
  <c r="V503" i="5"/>
  <c r="W503" i="5"/>
  <c r="X503" i="5"/>
  <c r="B504" i="5"/>
  <c r="C504" i="5"/>
  <c r="D504" i="5"/>
  <c r="E504" i="5"/>
  <c r="F504" i="5"/>
  <c r="G504" i="5"/>
  <c r="H504" i="5"/>
  <c r="I504" i="5"/>
  <c r="J504" i="5"/>
  <c r="K504" i="5"/>
  <c r="L504" i="5"/>
  <c r="M504" i="5"/>
  <c r="N504" i="5"/>
  <c r="O504" i="5"/>
  <c r="AC504" i="5" s="1"/>
  <c r="P504" i="5"/>
  <c r="Q504" i="5"/>
  <c r="R504" i="5"/>
  <c r="S504" i="5"/>
  <c r="T504" i="5"/>
  <c r="U504" i="5"/>
  <c r="V504" i="5"/>
  <c r="W504" i="5"/>
  <c r="X504" i="5"/>
  <c r="B505" i="5"/>
  <c r="C505" i="5"/>
  <c r="D505" i="5"/>
  <c r="E505" i="5"/>
  <c r="F505" i="5"/>
  <c r="G505" i="5"/>
  <c r="H505" i="5"/>
  <c r="I505" i="5"/>
  <c r="J505" i="5"/>
  <c r="K505" i="5"/>
  <c r="L505" i="5"/>
  <c r="M505" i="5"/>
  <c r="N505" i="5"/>
  <c r="O505" i="5"/>
  <c r="P505" i="5"/>
  <c r="Q505" i="5"/>
  <c r="R505" i="5"/>
  <c r="S505" i="5"/>
  <c r="T505" i="5"/>
  <c r="U505" i="5"/>
  <c r="V505" i="5"/>
  <c r="W505" i="5"/>
  <c r="X505" i="5"/>
  <c r="B506" i="5"/>
  <c r="C506" i="5"/>
  <c r="D506" i="5"/>
  <c r="E506" i="5"/>
  <c r="F506" i="5"/>
  <c r="G506" i="5"/>
  <c r="H506" i="5"/>
  <c r="I506" i="5"/>
  <c r="J506" i="5"/>
  <c r="K506" i="5"/>
  <c r="L506" i="5"/>
  <c r="M506" i="5"/>
  <c r="N506" i="5"/>
  <c r="O506" i="5"/>
  <c r="P506" i="5"/>
  <c r="Q506" i="5"/>
  <c r="R506" i="5"/>
  <c r="S506" i="5"/>
  <c r="T506" i="5"/>
  <c r="U506" i="5"/>
  <c r="V506" i="5"/>
  <c r="W506" i="5"/>
  <c r="X506" i="5"/>
  <c r="AC506" i="5"/>
  <c r="B507" i="5"/>
  <c r="C507" i="5"/>
  <c r="D507" i="5"/>
  <c r="E507" i="5"/>
  <c r="F507" i="5"/>
  <c r="G507" i="5"/>
  <c r="H507" i="5"/>
  <c r="I507" i="5"/>
  <c r="J507" i="5"/>
  <c r="K507" i="5"/>
  <c r="L507" i="5"/>
  <c r="M507" i="5"/>
  <c r="N507" i="5"/>
  <c r="O507" i="5"/>
  <c r="P507" i="5"/>
  <c r="Q507" i="5"/>
  <c r="R507" i="5"/>
  <c r="S507" i="5"/>
  <c r="T507" i="5"/>
  <c r="U507" i="5"/>
  <c r="V507" i="5"/>
  <c r="W507" i="5"/>
  <c r="X507" i="5"/>
  <c r="B508" i="5"/>
  <c r="C508" i="5"/>
  <c r="D508" i="5"/>
  <c r="E508" i="5"/>
  <c r="F508" i="5"/>
  <c r="G508" i="5"/>
  <c r="H508" i="5"/>
  <c r="I508" i="5"/>
  <c r="J508" i="5"/>
  <c r="K508" i="5"/>
  <c r="L508" i="5"/>
  <c r="M508" i="5"/>
  <c r="N508" i="5"/>
  <c r="O508" i="5"/>
  <c r="P508" i="5"/>
  <c r="Q508" i="5"/>
  <c r="R508" i="5"/>
  <c r="S508" i="5"/>
  <c r="T508" i="5"/>
  <c r="U508" i="5"/>
  <c r="V508" i="5"/>
  <c r="W508" i="5"/>
  <c r="X508" i="5"/>
  <c r="B509" i="5"/>
  <c r="C509" i="5"/>
  <c r="D509" i="5"/>
  <c r="E509" i="5"/>
  <c r="F509" i="5"/>
  <c r="G509" i="5"/>
  <c r="H509" i="5"/>
  <c r="I509" i="5"/>
  <c r="J509" i="5"/>
  <c r="K509" i="5"/>
  <c r="L509" i="5"/>
  <c r="M509" i="5"/>
  <c r="N509" i="5"/>
  <c r="AC509" i="5" s="1"/>
  <c r="O509" i="5"/>
  <c r="P509" i="5"/>
  <c r="Q509" i="5"/>
  <c r="R509" i="5"/>
  <c r="S509" i="5"/>
  <c r="T509" i="5"/>
  <c r="U509" i="5"/>
  <c r="V509" i="5"/>
  <c r="W509" i="5"/>
  <c r="X509" i="5"/>
  <c r="B510" i="5"/>
  <c r="C510" i="5"/>
  <c r="D510" i="5"/>
  <c r="E510" i="5"/>
  <c r="F510" i="5"/>
  <c r="G510" i="5"/>
  <c r="H510" i="5"/>
  <c r="I510" i="5"/>
  <c r="J510" i="5"/>
  <c r="K510" i="5"/>
  <c r="L510" i="5"/>
  <c r="M510" i="5"/>
  <c r="N510" i="5"/>
  <c r="O510" i="5"/>
  <c r="P510" i="5"/>
  <c r="Q510" i="5"/>
  <c r="R510" i="5"/>
  <c r="S510" i="5"/>
  <c r="T510" i="5"/>
  <c r="U510" i="5"/>
  <c r="V510" i="5"/>
  <c r="W510" i="5"/>
  <c r="X510" i="5"/>
  <c r="B511" i="5"/>
  <c r="C511" i="5"/>
  <c r="D511" i="5"/>
  <c r="E511" i="5"/>
  <c r="F511" i="5"/>
  <c r="G511" i="5"/>
  <c r="H511" i="5"/>
  <c r="I511" i="5"/>
  <c r="J511" i="5"/>
  <c r="K511" i="5"/>
  <c r="L511" i="5"/>
  <c r="M511" i="5"/>
  <c r="N511" i="5"/>
  <c r="O511" i="5"/>
  <c r="P511" i="5"/>
  <c r="Q511" i="5"/>
  <c r="R511" i="5"/>
  <c r="S511" i="5"/>
  <c r="T511" i="5"/>
  <c r="U511" i="5"/>
  <c r="V511" i="5"/>
  <c r="W511" i="5"/>
  <c r="X511" i="5"/>
  <c r="B512" i="5"/>
  <c r="C512" i="5"/>
  <c r="D512" i="5"/>
  <c r="E512" i="5"/>
  <c r="F512" i="5"/>
  <c r="G512" i="5"/>
  <c r="H512" i="5"/>
  <c r="I512" i="5"/>
  <c r="J512" i="5"/>
  <c r="K512" i="5"/>
  <c r="L512" i="5"/>
  <c r="M512" i="5"/>
  <c r="AC512" i="5" s="1"/>
  <c r="N512" i="5"/>
  <c r="O512" i="5"/>
  <c r="P512" i="5"/>
  <c r="Q512" i="5"/>
  <c r="R512" i="5"/>
  <c r="S512" i="5"/>
  <c r="T512" i="5"/>
  <c r="U512" i="5"/>
  <c r="V512" i="5"/>
  <c r="W512" i="5"/>
  <c r="X512" i="5"/>
  <c r="B513" i="5"/>
  <c r="C513" i="5"/>
  <c r="D513" i="5"/>
  <c r="E513" i="5"/>
  <c r="F513" i="5"/>
  <c r="G513" i="5"/>
  <c r="H513" i="5"/>
  <c r="I513" i="5"/>
  <c r="J513" i="5"/>
  <c r="K513" i="5"/>
  <c r="L513" i="5"/>
  <c r="M513" i="5"/>
  <c r="N513" i="5"/>
  <c r="O513" i="5"/>
  <c r="P513" i="5"/>
  <c r="Q513" i="5"/>
  <c r="R513" i="5"/>
  <c r="S513" i="5"/>
  <c r="T513" i="5"/>
  <c r="U513" i="5"/>
  <c r="V513" i="5"/>
  <c r="W513" i="5"/>
  <c r="X513" i="5"/>
  <c r="B514" i="5"/>
  <c r="C514" i="5"/>
  <c r="D514" i="5"/>
  <c r="E514" i="5"/>
  <c r="F514" i="5"/>
  <c r="G514" i="5"/>
  <c r="H514" i="5"/>
  <c r="I514" i="5"/>
  <c r="J514" i="5"/>
  <c r="K514" i="5"/>
  <c r="L514" i="5"/>
  <c r="M514" i="5"/>
  <c r="N514" i="5"/>
  <c r="O514" i="5"/>
  <c r="P514" i="5"/>
  <c r="Q514" i="5"/>
  <c r="R514" i="5"/>
  <c r="S514" i="5"/>
  <c r="T514" i="5"/>
  <c r="U514" i="5"/>
  <c r="V514" i="5"/>
  <c r="W514" i="5"/>
  <c r="X514" i="5"/>
  <c r="B515" i="5"/>
  <c r="C515" i="5"/>
  <c r="D515" i="5"/>
  <c r="E515" i="5"/>
  <c r="F515" i="5"/>
  <c r="G515" i="5"/>
  <c r="H515" i="5"/>
  <c r="I515" i="5"/>
  <c r="J515" i="5"/>
  <c r="K515" i="5"/>
  <c r="L515" i="5"/>
  <c r="M515" i="5"/>
  <c r="N515" i="5"/>
  <c r="O515" i="5"/>
  <c r="P515" i="5"/>
  <c r="AC515" i="5" s="1"/>
  <c r="Q515" i="5"/>
  <c r="R515" i="5"/>
  <c r="S515" i="5"/>
  <c r="T515" i="5"/>
  <c r="U515" i="5"/>
  <c r="V515" i="5"/>
  <c r="W515" i="5"/>
  <c r="X515" i="5"/>
  <c r="B516" i="5"/>
  <c r="C516" i="5"/>
  <c r="D516" i="5"/>
  <c r="AB516" i="5" s="1"/>
  <c r="E516" i="5"/>
  <c r="F516" i="5"/>
  <c r="G516" i="5"/>
  <c r="H516" i="5"/>
  <c r="I516" i="5"/>
  <c r="J516" i="5"/>
  <c r="K516" i="5"/>
  <c r="L516" i="5"/>
  <c r="M516" i="5"/>
  <c r="N516" i="5"/>
  <c r="O516" i="5"/>
  <c r="P516" i="5"/>
  <c r="Q516" i="5"/>
  <c r="R516" i="5"/>
  <c r="S516" i="5"/>
  <c r="T516" i="5"/>
  <c r="U516" i="5"/>
  <c r="V516" i="5"/>
  <c r="W516" i="5"/>
  <c r="X516" i="5"/>
  <c r="B517" i="5"/>
  <c r="C517" i="5"/>
  <c r="D517" i="5"/>
  <c r="E517" i="5"/>
  <c r="F517" i="5"/>
  <c r="G517" i="5"/>
  <c r="H517" i="5"/>
  <c r="I517" i="5"/>
  <c r="J517" i="5"/>
  <c r="K517" i="5"/>
  <c r="L517" i="5"/>
  <c r="M517" i="5"/>
  <c r="N517" i="5"/>
  <c r="O517" i="5"/>
  <c r="P517" i="5"/>
  <c r="Q517" i="5"/>
  <c r="R517" i="5"/>
  <c r="S517" i="5"/>
  <c r="T517" i="5"/>
  <c r="U517" i="5"/>
  <c r="V517" i="5"/>
  <c r="W517" i="5"/>
  <c r="X517" i="5"/>
  <c r="B518" i="5"/>
  <c r="C518" i="5"/>
  <c r="D518" i="5"/>
  <c r="E518" i="5"/>
  <c r="F518" i="5"/>
  <c r="G518" i="5"/>
  <c r="H518" i="5"/>
  <c r="I518" i="5"/>
  <c r="J518" i="5"/>
  <c r="K518" i="5"/>
  <c r="L518" i="5"/>
  <c r="M518" i="5"/>
  <c r="N518" i="5"/>
  <c r="O518" i="5"/>
  <c r="P518" i="5"/>
  <c r="Q518" i="5"/>
  <c r="R518" i="5"/>
  <c r="S518" i="5"/>
  <c r="T518" i="5"/>
  <c r="U518" i="5"/>
  <c r="V518" i="5"/>
  <c r="W518" i="5"/>
  <c r="X518" i="5"/>
  <c r="B519" i="5"/>
  <c r="C519" i="5"/>
  <c r="D519" i="5"/>
  <c r="E519" i="5"/>
  <c r="F519" i="5"/>
  <c r="G519" i="5"/>
  <c r="H519" i="5"/>
  <c r="I519" i="5"/>
  <c r="J519" i="5"/>
  <c r="K519" i="5"/>
  <c r="L519" i="5"/>
  <c r="M519" i="5"/>
  <c r="N519" i="5"/>
  <c r="O519" i="5"/>
  <c r="P519" i="5"/>
  <c r="Q519" i="5"/>
  <c r="R519" i="5"/>
  <c r="S519" i="5"/>
  <c r="T519" i="5"/>
  <c r="U519" i="5"/>
  <c r="V519" i="5"/>
  <c r="W519" i="5"/>
  <c r="X519" i="5"/>
  <c r="B520" i="5"/>
  <c r="C520" i="5"/>
  <c r="D520" i="5"/>
  <c r="E520" i="5"/>
  <c r="F520" i="5"/>
  <c r="G520" i="5"/>
  <c r="H520" i="5"/>
  <c r="I520" i="5"/>
  <c r="J520" i="5"/>
  <c r="K520" i="5"/>
  <c r="L520" i="5"/>
  <c r="M520" i="5"/>
  <c r="N520" i="5"/>
  <c r="O520" i="5"/>
  <c r="P520" i="5"/>
  <c r="Q520" i="5"/>
  <c r="R520" i="5"/>
  <c r="S520" i="5"/>
  <c r="T520" i="5"/>
  <c r="U520" i="5"/>
  <c r="V520" i="5"/>
  <c r="W520" i="5"/>
  <c r="X520" i="5"/>
  <c r="B521" i="5"/>
  <c r="C521" i="5"/>
  <c r="D521" i="5"/>
  <c r="E521" i="5"/>
  <c r="F521" i="5"/>
  <c r="G521" i="5"/>
  <c r="H521" i="5"/>
  <c r="I521" i="5"/>
  <c r="J521" i="5"/>
  <c r="K521" i="5"/>
  <c r="L521" i="5"/>
  <c r="M521" i="5"/>
  <c r="N521" i="5"/>
  <c r="O521" i="5"/>
  <c r="P521" i="5"/>
  <c r="Q521" i="5"/>
  <c r="R521" i="5"/>
  <c r="S521" i="5"/>
  <c r="T521" i="5"/>
  <c r="U521" i="5"/>
  <c r="V521" i="5"/>
  <c r="W521" i="5"/>
  <c r="X521" i="5"/>
  <c r="B522" i="5"/>
  <c r="C522" i="5"/>
  <c r="D522" i="5"/>
  <c r="E522" i="5"/>
  <c r="F522" i="5"/>
  <c r="G522" i="5"/>
  <c r="H522" i="5"/>
  <c r="I522" i="5"/>
  <c r="J522" i="5"/>
  <c r="K522" i="5"/>
  <c r="L522" i="5"/>
  <c r="M522" i="5"/>
  <c r="AC522" i="5" s="1"/>
  <c r="N522" i="5"/>
  <c r="O522" i="5"/>
  <c r="P522" i="5"/>
  <c r="Q522" i="5"/>
  <c r="R522" i="5"/>
  <c r="S522" i="5"/>
  <c r="T522" i="5"/>
  <c r="U522" i="5"/>
  <c r="V522" i="5"/>
  <c r="W522" i="5"/>
  <c r="X522" i="5"/>
  <c r="B523" i="5"/>
  <c r="C523" i="5"/>
  <c r="D523" i="5"/>
  <c r="E523" i="5"/>
  <c r="F523" i="5"/>
  <c r="G523" i="5"/>
  <c r="H523" i="5"/>
  <c r="I523" i="5"/>
  <c r="J523" i="5"/>
  <c r="K523" i="5"/>
  <c r="L523" i="5"/>
  <c r="M523" i="5"/>
  <c r="N523" i="5"/>
  <c r="O523" i="5"/>
  <c r="P523" i="5"/>
  <c r="Q523" i="5"/>
  <c r="R523" i="5"/>
  <c r="S523" i="5"/>
  <c r="T523" i="5"/>
  <c r="U523" i="5"/>
  <c r="V523" i="5"/>
  <c r="W523" i="5"/>
  <c r="X523" i="5"/>
  <c r="B524" i="5"/>
  <c r="C524" i="5"/>
  <c r="D524" i="5"/>
  <c r="E524" i="5"/>
  <c r="F524" i="5"/>
  <c r="G524" i="5"/>
  <c r="H524" i="5"/>
  <c r="I524" i="5"/>
  <c r="J524" i="5"/>
  <c r="K524" i="5"/>
  <c r="L524" i="5"/>
  <c r="M524" i="5"/>
  <c r="N524" i="5"/>
  <c r="O524" i="5"/>
  <c r="P524" i="5"/>
  <c r="Q524" i="5"/>
  <c r="R524" i="5"/>
  <c r="S524" i="5"/>
  <c r="T524" i="5"/>
  <c r="U524" i="5"/>
  <c r="V524" i="5"/>
  <c r="W524" i="5"/>
  <c r="X524" i="5"/>
  <c r="B525" i="5"/>
  <c r="C525" i="5"/>
  <c r="D525" i="5"/>
  <c r="E525" i="5"/>
  <c r="F525" i="5"/>
  <c r="G525" i="5"/>
  <c r="H525" i="5"/>
  <c r="I525" i="5"/>
  <c r="J525" i="5"/>
  <c r="K525" i="5"/>
  <c r="L525" i="5"/>
  <c r="M525" i="5"/>
  <c r="N525" i="5"/>
  <c r="O525" i="5"/>
  <c r="P525" i="5"/>
  <c r="AC525" i="5" s="1"/>
  <c r="Q525" i="5"/>
  <c r="R525" i="5"/>
  <c r="S525" i="5"/>
  <c r="T525" i="5"/>
  <c r="U525" i="5"/>
  <c r="V525" i="5"/>
  <c r="W525" i="5"/>
  <c r="X525" i="5"/>
  <c r="B526" i="5"/>
  <c r="C526" i="5"/>
  <c r="D526" i="5"/>
  <c r="E526" i="5"/>
  <c r="F526" i="5"/>
  <c r="G526" i="5"/>
  <c r="H526" i="5"/>
  <c r="I526" i="5"/>
  <c r="J526" i="5"/>
  <c r="K526" i="5"/>
  <c r="L526" i="5"/>
  <c r="M526" i="5"/>
  <c r="N526" i="5"/>
  <c r="O526" i="5"/>
  <c r="P526" i="5"/>
  <c r="Q526" i="5"/>
  <c r="R526" i="5"/>
  <c r="S526" i="5"/>
  <c r="T526" i="5"/>
  <c r="U526" i="5"/>
  <c r="V526" i="5"/>
  <c r="W526" i="5"/>
  <c r="X526" i="5"/>
  <c r="B527" i="5"/>
  <c r="C527" i="5"/>
  <c r="D527" i="5"/>
  <c r="E527" i="5"/>
  <c r="F527" i="5"/>
  <c r="G527" i="5"/>
  <c r="H527" i="5"/>
  <c r="I527" i="5"/>
  <c r="J527" i="5"/>
  <c r="K527" i="5"/>
  <c r="L527" i="5"/>
  <c r="M527" i="5"/>
  <c r="N527" i="5"/>
  <c r="O527" i="5"/>
  <c r="P527" i="5"/>
  <c r="Q527" i="5"/>
  <c r="R527" i="5"/>
  <c r="S527" i="5"/>
  <c r="T527" i="5"/>
  <c r="U527" i="5"/>
  <c r="U1112" i="5" s="1"/>
  <c r="V527" i="5"/>
  <c r="W527" i="5"/>
  <c r="X527" i="5"/>
  <c r="B528" i="5"/>
  <c r="C528" i="5"/>
  <c r="D528" i="5"/>
  <c r="E528" i="5"/>
  <c r="F528" i="5"/>
  <c r="G528" i="5"/>
  <c r="H528" i="5"/>
  <c r="I528" i="5"/>
  <c r="J528" i="5"/>
  <c r="K528" i="5"/>
  <c r="L528" i="5"/>
  <c r="M528" i="5"/>
  <c r="N528" i="5"/>
  <c r="O528" i="5"/>
  <c r="P528" i="5"/>
  <c r="Q528" i="5"/>
  <c r="R528" i="5"/>
  <c r="S528" i="5"/>
  <c r="T528" i="5"/>
  <c r="U528" i="5"/>
  <c r="V528" i="5"/>
  <c r="W528" i="5"/>
  <c r="X528" i="5"/>
  <c r="B529" i="5"/>
  <c r="C529" i="5"/>
  <c r="D529" i="5"/>
  <c r="E529" i="5"/>
  <c r="F529" i="5"/>
  <c r="G529" i="5"/>
  <c r="H529" i="5"/>
  <c r="I529" i="5"/>
  <c r="J529" i="5"/>
  <c r="K529" i="5"/>
  <c r="L529" i="5"/>
  <c r="M529" i="5"/>
  <c r="N529" i="5"/>
  <c r="O529" i="5"/>
  <c r="P529" i="5"/>
  <c r="Q529" i="5"/>
  <c r="R529" i="5"/>
  <c r="S529" i="5"/>
  <c r="T529" i="5"/>
  <c r="U529" i="5"/>
  <c r="V529" i="5"/>
  <c r="W529" i="5"/>
  <c r="X529" i="5"/>
  <c r="B530" i="5"/>
  <c r="C530" i="5"/>
  <c r="D530" i="5"/>
  <c r="E530" i="5"/>
  <c r="F530" i="5"/>
  <c r="G530" i="5"/>
  <c r="H530" i="5"/>
  <c r="I530" i="5"/>
  <c r="J530" i="5"/>
  <c r="K530" i="5"/>
  <c r="L530" i="5"/>
  <c r="M530" i="5"/>
  <c r="N530" i="5"/>
  <c r="O530" i="5"/>
  <c r="P530" i="5"/>
  <c r="Q530" i="5"/>
  <c r="R530" i="5"/>
  <c r="S530" i="5"/>
  <c r="T530" i="5"/>
  <c r="U530" i="5"/>
  <c r="V530" i="5"/>
  <c r="W530" i="5"/>
  <c r="X530" i="5"/>
  <c r="B531" i="5"/>
  <c r="C531" i="5"/>
  <c r="D531" i="5"/>
  <c r="E531" i="5"/>
  <c r="F531" i="5"/>
  <c r="G531" i="5"/>
  <c r="H531" i="5"/>
  <c r="I531" i="5"/>
  <c r="J531" i="5"/>
  <c r="K531" i="5"/>
  <c r="L531" i="5"/>
  <c r="M531" i="5"/>
  <c r="N531" i="5"/>
  <c r="O531" i="5"/>
  <c r="P531" i="5"/>
  <c r="Q531" i="5"/>
  <c r="R531" i="5"/>
  <c r="S531" i="5"/>
  <c r="T531" i="5"/>
  <c r="U531" i="5"/>
  <c r="V531" i="5"/>
  <c r="W531" i="5"/>
  <c r="X531" i="5"/>
  <c r="B532" i="5"/>
  <c r="C532" i="5"/>
  <c r="D532" i="5"/>
  <c r="E532" i="5"/>
  <c r="F532" i="5"/>
  <c r="G532" i="5"/>
  <c r="H532" i="5"/>
  <c r="I532" i="5"/>
  <c r="J532" i="5"/>
  <c r="K532" i="5"/>
  <c r="L532" i="5"/>
  <c r="M532" i="5"/>
  <c r="N532" i="5"/>
  <c r="O532" i="5"/>
  <c r="P532" i="5"/>
  <c r="Q532" i="5"/>
  <c r="R532" i="5"/>
  <c r="S532" i="5"/>
  <c r="T532" i="5"/>
  <c r="U532" i="5"/>
  <c r="V532" i="5"/>
  <c r="W532" i="5"/>
  <c r="X532" i="5"/>
  <c r="B533" i="5"/>
  <c r="C533" i="5"/>
  <c r="D533" i="5"/>
  <c r="E533" i="5"/>
  <c r="F533" i="5"/>
  <c r="G533" i="5"/>
  <c r="H533" i="5"/>
  <c r="I533" i="5"/>
  <c r="J533" i="5"/>
  <c r="K533" i="5"/>
  <c r="L533" i="5"/>
  <c r="M533" i="5"/>
  <c r="N533" i="5"/>
  <c r="O533" i="5"/>
  <c r="P533" i="5"/>
  <c r="Q533" i="5"/>
  <c r="R533" i="5"/>
  <c r="S533" i="5"/>
  <c r="T533" i="5"/>
  <c r="U533" i="5"/>
  <c r="V533" i="5"/>
  <c r="W533" i="5"/>
  <c r="X533" i="5"/>
  <c r="B534" i="5"/>
  <c r="C534" i="5"/>
  <c r="D534" i="5"/>
  <c r="E534" i="5"/>
  <c r="F534" i="5"/>
  <c r="G534" i="5"/>
  <c r="H534" i="5"/>
  <c r="I534" i="5"/>
  <c r="J534" i="5"/>
  <c r="K534" i="5"/>
  <c r="L534" i="5"/>
  <c r="M534" i="5"/>
  <c r="N534" i="5"/>
  <c r="O534" i="5"/>
  <c r="P534" i="5"/>
  <c r="AC534" i="5" s="1"/>
  <c r="Q534" i="5"/>
  <c r="R534" i="5"/>
  <c r="S534" i="5"/>
  <c r="T534" i="5"/>
  <c r="U534" i="5"/>
  <c r="V534" i="5"/>
  <c r="W534" i="5"/>
  <c r="X534" i="5"/>
  <c r="B535" i="5"/>
  <c r="C535" i="5"/>
  <c r="D535" i="5"/>
  <c r="AB535" i="5" s="1"/>
  <c r="E535" i="5"/>
  <c r="F535" i="5"/>
  <c r="G535" i="5"/>
  <c r="H535" i="5"/>
  <c r="I535" i="5"/>
  <c r="J535" i="5"/>
  <c r="K535" i="5"/>
  <c r="L535" i="5"/>
  <c r="M535" i="5"/>
  <c r="N535" i="5"/>
  <c r="O535" i="5"/>
  <c r="P535" i="5"/>
  <c r="Q535" i="5"/>
  <c r="R535" i="5"/>
  <c r="S535" i="5"/>
  <c r="T535" i="5"/>
  <c r="U535" i="5"/>
  <c r="V535" i="5"/>
  <c r="W535" i="5"/>
  <c r="X535" i="5"/>
  <c r="B536" i="5"/>
  <c r="C536" i="5"/>
  <c r="D536" i="5"/>
  <c r="E536" i="5"/>
  <c r="F536" i="5"/>
  <c r="G536" i="5"/>
  <c r="H536" i="5"/>
  <c r="I536" i="5"/>
  <c r="J536" i="5"/>
  <c r="K536" i="5"/>
  <c r="L536" i="5"/>
  <c r="M536" i="5"/>
  <c r="N536" i="5"/>
  <c r="O536" i="5"/>
  <c r="P536" i="5"/>
  <c r="Q536" i="5"/>
  <c r="R536" i="5"/>
  <c r="S536" i="5"/>
  <c r="T536" i="5"/>
  <c r="U536" i="5"/>
  <c r="V536" i="5"/>
  <c r="W536" i="5"/>
  <c r="X536" i="5"/>
  <c r="B537" i="5"/>
  <c r="C537" i="5"/>
  <c r="D537" i="5"/>
  <c r="E537" i="5"/>
  <c r="F537" i="5"/>
  <c r="G537" i="5"/>
  <c r="H537" i="5"/>
  <c r="I537" i="5"/>
  <c r="J537" i="5"/>
  <c r="K537" i="5"/>
  <c r="L537" i="5"/>
  <c r="M537" i="5"/>
  <c r="N537" i="5"/>
  <c r="O537" i="5"/>
  <c r="P537" i="5"/>
  <c r="Q537" i="5"/>
  <c r="R537" i="5"/>
  <c r="S537" i="5"/>
  <c r="T537" i="5"/>
  <c r="U537" i="5"/>
  <c r="V537" i="5"/>
  <c r="W537" i="5"/>
  <c r="X537" i="5"/>
  <c r="B538" i="5"/>
  <c r="C538" i="5"/>
  <c r="D538" i="5"/>
  <c r="E538" i="5"/>
  <c r="F538" i="5"/>
  <c r="G538" i="5"/>
  <c r="H538" i="5"/>
  <c r="I538" i="5"/>
  <c r="J538" i="5"/>
  <c r="K538" i="5"/>
  <c r="L538" i="5"/>
  <c r="M538" i="5"/>
  <c r="N538" i="5"/>
  <c r="O538" i="5"/>
  <c r="P538" i="5"/>
  <c r="Q538" i="5"/>
  <c r="R538" i="5"/>
  <c r="S538" i="5"/>
  <c r="T538" i="5"/>
  <c r="U538" i="5"/>
  <c r="V538" i="5"/>
  <c r="W538" i="5"/>
  <c r="X538" i="5"/>
  <c r="B539" i="5"/>
  <c r="C539" i="5"/>
  <c r="D539" i="5"/>
  <c r="E539" i="5"/>
  <c r="F539" i="5"/>
  <c r="G539" i="5"/>
  <c r="H539" i="5"/>
  <c r="I539" i="5"/>
  <c r="J539" i="5"/>
  <c r="K539" i="5"/>
  <c r="L539" i="5"/>
  <c r="M539" i="5"/>
  <c r="N539" i="5"/>
  <c r="AC539" i="5" s="1"/>
  <c r="O539" i="5"/>
  <c r="P539" i="5"/>
  <c r="Q539" i="5"/>
  <c r="R539" i="5"/>
  <c r="S539" i="5"/>
  <c r="T539" i="5"/>
  <c r="U539" i="5"/>
  <c r="V539" i="5"/>
  <c r="W539" i="5"/>
  <c r="X539" i="5"/>
  <c r="B540" i="5"/>
  <c r="AB540" i="5" s="1"/>
  <c r="C540" i="5"/>
  <c r="D540" i="5"/>
  <c r="E540" i="5"/>
  <c r="F540" i="5"/>
  <c r="G540" i="5"/>
  <c r="H540" i="5"/>
  <c r="I540" i="5"/>
  <c r="J540" i="5"/>
  <c r="K540" i="5"/>
  <c r="L540" i="5"/>
  <c r="M540" i="5"/>
  <c r="N540" i="5"/>
  <c r="O540" i="5"/>
  <c r="P540" i="5"/>
  <c r="Q540" i="5"/>
  <c r="R540" i="5"/>
  <c r="S540" i="5"/>
  <c r="T540" i="5"/>
  <c r="U540" i="5"/>
  <c r="V540" i="5"/>
  <c r="W540" i="5"/>
  <c r="X540" i="5"/>
  <c r="B541" i="5"/>
  <c r="C541" i="5"/>
  <c r="D541" i="5"/>
  <c r="E541" i="5"/>
  <c r="F541" i="5"/>
  <c r="G541" i="5"/>
  <c r="H541" i="5"/>
  <c r="I541" i="5"/>
  <c r="J541" i="5"/>
  <c r="K541" i="5"/>
  <c r="L541" i="5"/>
  <c r="M541" i="5"/>
  <c r="N541" i="5"/>
  <c r="AC541" i="5" s="1"/>
  <c r="O541" i="5"/>
  <c r="P541" i="5"/>
  <c r="Q541" i="5"/>
  <c r="R541" i="5"/>
  <c r="S541" i="5"/>
  <c r="T541" i="5"/>
  <c r="U541" i="5"/>
  <c r="V541" i="5"/>
  <c r="W541" i="5"/>
  <c r="X541" i="5"/>
  <c r="B542" i="5"/>
  <c r="AB542" i="5" s="1"/>
  <c r="C542" i="5"/>
  <c r="D542" i="5"/>
  <c r="E542" i="5"/>
  <c r="F542" i="5"/>
  <c r="G542" i="5"/>
  <c r="H542" i="5"/>
  <c r="I542" i="5"/>
  <c r="J542" i="5"/>
  <c r="K542" i="5"/>
  <c r="L542" i="5"/>
  <c r="M542" i="5"/>
  <c r="N542" i="5"/>
  <c r="O542" i="5"/>
  <c r="P542" i="5"/>
  <c r="Q542" i="5"/>
  <c r="R542" i="5"/>
  <c r="S542" i="5"/>
  <c r="T542" i="5"/>
  <c r="U542" i="5"/>
  <c r="V542" i="5"/>
  <c r="W542" i="5"/>
  <c r="X542" i="5"/>
  <c r="B543" i="5"/>
  <c r="C543" i="5"/>
  <c r="D543" i="5"/>
  <c r="E543" i="5"/>
  <c r="F543" i="5"/>
  <c r="G543" i="5"/>
  <c r="H543" i="5"/>
  <c r="I543" i="5"/>
  <c r="J543" i="5"/>
  <c r="K543" i="5"/>
  <c r="L543" i="5"/>
  <c r="M543" i="5"/>
  <c r="N543" i="5"/>
  <c r="O543" i="5"/>
  <c r="P543" i="5"/>
  <c r="Q543" i="5"/>
  <c r="R543" i="5"/>
  <c r="S543" i="5"/>
  <c r="T543" i="5"/>
  <c r="U543" i="5"/>
  <c r="V543" i="5"/>
  <c r="W543" i="5"/>
  <c r="X543" i="5"/>
  <c r="B544" i="5"/>
  <c r="C544" i="5"/>
  <c r="D544" i="5"/>
  <c r="E544" i="5"/>
  <c r="F544" i="5"/>
  <c r="G544" i="5"/>
  <c r="H544" i="5"/>
  <c r="I544" i="5"/>
  <c r="J544" i="5"/>
  <c r="K544" i="5"/>
  <c r="L544" i="5"/>
  <c r="M544" i="5"/>
  <c r="N544" i="5"/>
  <c r="O544" i="5"/>
  <c r="P544" i="5"/>
  <c r="AC544" i="5" s="1"/>
  <c r="Q544" i="5"/>
  <c r="R544" i="5"/>
  <c r="S544" i="5"/>
  <c r="T544" i="5"/>
  <c r="U544" i="5"/>
  <c r="V544" i="5"/>
  <c r="W544" i="5"/>
  <c r="X544" i="5"/>
  <c r="B545" i="5"/>
  <c r="C545" i="5"/>
  <c r="D545" i="5"/>
  <c r="AB545" i="5" s="1"/>
  <c r="E545" i="5"/>
  <c r="F545" i="5"/>
  <c r="G545" i="5"/>
  <c r="H545" i="5"/>
  <c r="I545" i="5"/>
  <c r="J545" i="5"/>
  <c r="K545" i="5"/>
  <c r="L545" i="5"/>
  <c r="M545" i="5"/>
  <c r="N545" i="5"/>
  <c r="O545" i="5"/>
  <c r="P545" i="5"/>
  <c r="Q545" i="5"/>
  <c r="R545" i="5"/>
  <c r="S545" i="5"/>
  <c r="T545" i="5"/>
  <c r="U545" i="5"/>
  <c r="V545" i="5"/>
  <c r="W545" i="5"/>
  <c r="X545" i="5"/>
  <c r="B546" i="5"/>
  <c r="C546" i="5"/>
  <c r="D546" i="5"/>
  <c r="E546" i="5"/>
  <c r="F546" i="5"/>
  <c r="G546" i="5"/>
  <c r="H546" i="5"/>
  <c r="I546" i="5"/>
  <c r="J546" i="5"/>
  <c r="K546" i="5"/>
  <c r="L546" i="5"/>
  <c r="M546" i="5"/>
  <c r="N546" i="5"/>
  <c r="O546" i="5"/>
  <c r="P546" i="5"/>
  <c r="AC546" i="5" s="1"/>
  <c r="Q546" i="5"/>
  <c r="R546" i="5"/>
  <c r="S546" i="5"/>
  <c r="T546" i="5"/>
  <c r="U546" i="5"/>
  <c r="V546" i="5"/>
  <c r="W546" i="5"/>
  <c r="X546" i="5"/>
  <c r="B547" i="5"/>
  <c r="C547" i="5"/>
  <c r="D547" i="5"/>
  <c r="AB547" i="5" s="1"/>
  <c r="E547" i="5"/>
  <c r="F547" i="5"/>
  <c r="G547" i="5"/>
  <c r="H547" i="5"/>
  <c r="I547" i="5"/>
  <c r="J547" i="5"/>
  <c r="K547" i="5"/>
  <c r="L547" i="5"/>
  <c r="M547" i="5"/>
  <c r="N547" i="5"/>
  <c r="O547" i="5"/>
  <c r="P547" i="5"/>
  <c r="Q547" i="5"/>
  <c r="R547" i="5"/>
  <c r="S547" i="5"/>
  <c r="T547" i="5"/>
  <c r="U547" i="5"/>
  <c r="V547" i="5"/>
  <c r="W547" i="5"/>
  <c r="X547" i="5"/>
  <c r="B548" i="5"/>
  <c r="C548" i="5"/>
  <c r="D548" i="5"/>
  <c r="E548" i="5"/>
  <c r="F548" i="5"/>
  <c r="G548" i="5"/>
  <c r="H548" i="5"/>
  <c r="I548" i="5"/>
  <c r="J548" i="5"/>
  <c r="K548" i="5"/>
  <c r="L548" i="5"/>
  <c r="M548" i="5"/>
  <c r="N548" i="5"/>
  <c r="O548" i="5"/>
  <c r="P548" i="5"/>
  <c r="Q548" i="5"/>
  <c r="R548" i="5"/>
  <c r="S548" i="5"/>
  <c r="T548" i="5"/>
  <c r="U548" i="5"/>
  <c r="V548" i="5"/>
  <c r="W548" i="5"/>
  <c r="X548" i="5"/>
  <c r="B549" i="5"/>
  <c r="C549" i="5"/>
  <c r="D549" i="5"/>
  <c r="E549" i="5"/>
  <c r="E1114" i="5" s="1"/>
  <c r="F549" i="5"/>
  <c r="G549" i="5"/>
  <c r="H549" i="5"/>
  <c r="I549" i="5"/>
  <c r="J549" i="5"/>
  <c r="K549" i="5"/>
  <c r="L549" i="5"/>
  <c r="M549" i="5"/>
  <c r="N549" i="5"/>
  <c r="O549" i="5"/>
  <c r="P549" i="5"/>
  <c r="Q549" i="5"/>
  <c r="R549" i="5"/>
  <c r="S549" i="5"/>
  <c r="T549" i="5"/>
  <c r="U549" i="5"/>
  <c r="U1114" i="5" s="1"/>
  <c r="V549" i="5"/>
  <c r="W549" i="5"/>
  <c r="X549" i="5"/>
  <c r="B550" i="5"/>
  <c r="C550" i="5"/>
  <c r="D550" i="5"/>
  <c r="E550" i="5"/>
  <c r="F550" i="5"/>
  <c r="G550" i="5"/>
  <c r="H550" i="5"/>
  <c r="I550" i="5"/>
  <c r="J550" i="5"/>
  <c r="K550" i="5"/>
  <c r="L550" i="5"/>
  <c r="M550" i="5"/>
  <c r="N550" i="5"/>
  <c r="AC550" i="5" s="1"/>
  <c r="O550" i="5"/>
  <c r="P550" i="5"/>
  <c r="Q550" i="5"/>
  <c r="R550" i="5"/>
  <c r="S550" i="5"/>
  <c r="T550" i="5"/>
  <c r="U550" i="5"/>
  <c r="V550" i="5"/>
  <c r="W550" i="5"/>
  <c r="X550" i="5"/>
  <c r="B551" i="5"/>
  <c r="AB551" i="5" s="1"/>
  <c r="C551" i="5"/>
  <c r="D551" i="5"/>
  <c r="E551" i="5"/>
  <c r="F551" i="5"/>
  <c r="G551" i="5"/>
  <c r="H551" i="5"/>
  <c r="I551" i="5"/>
  <c r="J551" i="5"/>
  <c r="K551" i="5"/>
  <c r="L551" i="5"/>
  <c r="M551" i="5"/>
  <c r="N551" i="5"/>
  <c r="AC551" i="5" s="1"/>
  <c r="O551" i="5"/>
  <c r="P551" i="5"/>
  <c r="Q551" i="5"/>
  <c r="R551" i="5"/>
  <c r="S551" i="5"/>
  <c r="T551" i="5"/>
  <c r="U551" i="5"/>
  <c r="V551" i="5"/>
  <c r="W551" i="5"/>
  <c r="X551" i="5"/>
  <c r="B552" i="5"/>
  <c r="C552" i="5"/>
  <c r="D552" i="5"/>
  <c r="E552" i="5"/>
  <c r="F552" i="5"/>
  <c r="G552" i="5"/>
  <c r="H552" i="5"/>
  <c r="I552" i="5"/>
  <c r="J552" i="5"/>
  <c r="K552" i="5"/>
  <c r="L552" i="5"/>
  <c r="M552" i="5"/>
  <c r="N552" i="5"/>
  <c r="O552" i="5"/>
  <c r="P552" i="5"/>
  <c r="Q552" i="5"/>
  <c r="R552" i="5"/>
  <c r="S552" i="5"/>
  <c r="T552" i="5"/>
  <c r="U552" i="5"/>
  <c r="V552" i="5"/>
  <c r="W552" i="5"/>
  <c r="X552" i="5"/>
  <c r="B553" i="5"/>
  <c r="C553" i="5"/>
  <c r="D553" i="5"/>
  <c r="E553" i="5"/>
  <c r="F553" i="5"/>
  <c r="G553" i="5"/>
  <c r="H553" i="5"/>
  <c r="I553" i="5"/>
  <c r="J553" i="5"/>
  <c r="K553" i="5"/>
  <c r="L553" i="5"/>
  <c r="M553" i="5"/>
  <c r="N553" i="5"/>
  <c r="O553" i="5"/>
  <c r="P553" i="5"/>
  <c r="Q553" i="5"/>
  <c r="R553" i="5"/>
  <c r="S553" i="5"/>
  <c r="T553" i="5"/>
  <c r="U553" i="5"/>
  <c r="V553" i="5"/>
  <c r="W553" i="5"/>
  <c r="X553" i="5"/>
  <c r="B554" i="5"/>
  <c r="C554" i="5"/>
  <c r="D554" i="5"/>
  <c r="E554" i="5"/>
  <c r="F554" i="5"/>
  <c r="G554" i="5"/>
  <c r="H554" i="5"/>
  <c r="I554" i="5"/>
  <c r="J554" i="5"/>
  <c r="K554" i="5"/>
  <c r="L554" i="5"/>
  <c r="M554" i="5"/>
  <c r="N554" i="5"/>
  <c r="O554" i="5"/>
  <c r="P554" i="5"/>
  <c r="Q554" i="5"/>
  <c r="R554" i="5"/>
  <c r="S554" i="5"/>
  <c r="T554" i="5"/>
  <c r="U554" i="5"/>
  <c r="V554" i="5"/>
  <c r="W554" i="5"/>
  <c r="X554" i="5"/>
  <c r="B555" i="5"/>
  <c r="C555" i="5"/>
  <c r="D555" i="5"/>
  <c r="E555" i="5"/>
  <c r="F555" i="5"/>
  <c r="G555" i="5"/>
  <c r="H555" i="5"/>
  <c r="I555" i="5"/>
  <c r="J555" i="5"/>
  <c r="K555" i="5"/>
  <c r="L555" i="5"/>
  <c r="M555" i="5"/>
  <c r="N555" i="5"/>
  <c r="O555" i="5"/>
  <c r="P555" i="5"/>
  <c r="Q555" i="5"/>
  <c r="R555" i="5"/>
  <c r="S555" i="5"/>
  <c r="T555" i="5"/>
  <c r="U555" i="5"/>
  <c r="V555" i="5"/>
  <c r="W555" i="5"/>
  <c r="X555" i="5"/>
  <c r="B556" i="5"/>
  <c r="C556" i="5"/>
  <c r="D556" i="5"/>
  <c r="E556" i="5"/>
  <c r="F556" i="5"/>
  <c r="G556" i="5"/>
  <c r="H556" i="5"/>
  <c r="I556" i="5"/>
  <c r="J556" i="5"/>
  <c r="K556" i="5"/>
  <c r="L556" i="5"/>
  <c r="M556" i="5"/>
  <c r="N556" i="5"/>
  <c r="O556" i="5"/>
  <c r="P556" i="5"/>
  <c r="Q556" i="5"/>
  <c r="R556" i="5"/>
  <c r="S556" i="5"/>
  <c r="T556" i="5"/>
  <c r="U556" i="5"/>
  <c r="V556" i="5"/>
  <c r="W556" i="5"/>
  <c r="X556" i="5"/>
  <c r="B557" i="5"/>
  <c r="C557" i="5"/>
  <c r="D557" i="5"/>
  <c r="E557" i="5"/>
  <c r="F557" i="5"/>
  <c r="G557" i="5"/>
  <c r="H557" i="5"/>
  <c r="I557" i="5"/>
  <c r="J557" i="5"/>
  <c r="K557" i="5"/>
  <c r="L557" i="5"/>
  <c r="M557" i="5"/>
  <c r="N557" i="5"/>
  <c r="AC557" i="5" s="1"/>
  <c r="O557" i="5"/>
  <c r="P557" i="5"/>
  <c r="Q557" i="5"/>
  <c r="R557" i="5"/>
  <c r="S557" i="5"/>
  <c r="T557" i="5"/>
  <c r="U557" i="5"/>
  <c r="V557" i="5"/>
  <c r="W557" i="5"/>
  <c r="X557" i="5"/>
  <c r="B558" i="5"/>
  <c r="C558" i="5"/>
  <c r="D558" i="5"/>
  <c r="E558" i="5"/>
  <c r="F558" i="5"/>
  <c r="G558" i="5"/>
  <c r="H558" i="5"/>
  <c r="I558" i="5"/>
  <c r="J558" i="5"/>
  <c r="K558" i="5"/>
  <c r="L558" i="5"/>
  <c r="M558" i="5"/>
  <c r="N558" i="5"/>
  <c r="O558" i="5"/>
  <c r="P558" i="5"/>
  <c r="Q558" i="5"/>
  <c r="R558" i="5"/>
  <c r="S558" i="5"/>
  <c r="T558" i="5"/>
  <c r="U558" i="5"/>
  <c r="V558" i="5"/>
  <c r="W558" i="5"/>
  <c r="X558" i="5"/>
  <c r="B559" i="5"/>
  <c r="C559" i="5"/>
  <c r="D559" i="5"/>
  <c r="E559" i="5"/>
  <c r="F559" i="5"/>
  <c r="G559" i="5"/>
  <c r="H559" i="5"/>
  <c r="I559" i="5"/>
  <c r="J559" i="5"/>
  <c r="K559" i="5"/>
  <c r="L559" i="5"/>
  <c r="M559" i="5"/>
  <c r="N559" i="5"/>
  <c r="O559" i="5"/>
  <c r="P559" i="5"/>
  <c r="Q559" i="5"/>
  <c r="R559" i="5"/>
  <c r="S559" i="5"/>
  <c r="T559" i="5"/>
  <c r="U559" i="5"/>
  <c r="V559" i="5"/>
  <c r="W559" i="5"/>
  <c r="X559" i="5"/>
  <c r="B560" i="5"/>
  <c r="C560" i="5"/>
  <c r="D560" i="5"/>
  <c r="E560" i="5"/>
  <c r="F560" i="5"/>
  <c r="G560" i="5"/>
  <c r="H560" i="5"/>
  <c r="I560" i="5"/>
  <c r="J560" i="5"/>
  <c r="K560" i="5"/>
  <c r="L560" i="5"/>
  <c r="M560" i="5"/>
  <c r="N560" i="5"/>
  <c r="O560" i="5"/>
  <c r="P560" i="5"/>
  <c r="Q560" i="5"/>
  <c r="R560" i="5"/>
  <c r="S560" i="5"/>
  <c r="T560" i="5"/>
  <c r="U560" i="5"/>
  <c r="V560" i="5"/>
  <c r="W560" i="5"/>
  <c r="X560" i="5"/>
  <c r="B561" i="5"/>
  <c r="AB561" i="5" s="1"/>
  <c r="C561" i="5"/>
  <c r="D561" i="5"/>
  <c r="E561" i="5"/>
  <c r="F561" i="5"/>
  <c r="G561" i="5"/>
  <c r="H561" i="5"/>
  <c r="I561" i="5"/>
  <c r="J561" i="5"/>
  <c r="K561" i="5"/>
  <c r="L561" i="5"/>
  <c r="M561" i="5"/>
  <c r="N561" i="5"/>
  <c r="AC561" i="5" s="1"/>
  <c r="O561" i="5"/>
  <c r="P561" i="5"/>
  <c r="Q561" i="5"/>
  <c r="R561" i="5"/>
  <c r="S561" i="5"/>
  <c r="T561" i="5"/>
  <c r="U561" i="5"/>
  <c r="V561" i="5"/>
  <c r="W561" i="5"/>
  <c r="X561" i="5"/>
  <c r="B562" i="5"/>
  <c r="C562" i="5"/>
  <c r="D562" i="5"/>
  <c r="E562" i="5"/>
  <c r="F562" i="5"/>
  <c r="G562" i="5"/>
  <c r="H562" i="5"/>
  <c r="I562" i="5"/>
  <c r="J562" i="5"/>
  <c r="K562" i="5"/>
  <c r="L562" i="5"/>
  <c r="M562" i="5"/>
  <c r="N562" i="5"/>
  <c r="AC562" i="5" s="1"/>
  <c r="O562" i="5"/>
  <c r="P562" i="5"/>
  <c r="Q562" i="5"/>
  <c r="R562" i="5"/>
  <c r="S562" i="5"/>
  <c r="T562" i="5"/>
  <c r="U562" i="5"/>
  <c r="V562" i="5"/>
  <c r="W562" i="5"/>
  <c r="X562" i="5"/>
  <c r="B563" i="5"/>
  <c r="AB563" i="5" s="1"/>
  <c r="C563" i="5"/>
  <c r="D563" i="5"/>
  <c r="E563" i="5"/>
  <c r="F563" i="5"/>
  <c r="G563" i="5"/>
  <c r="H563" i="5"/>
  <c r="I563" i="5"/>
  <c r="J563" i="5"/>
  <c r="K563" i="5"/>
  <c r="L563" i="5"/>
  <c r="M563" i="5"/>
  <c r="N563" i="5"/>
  <c r="AC563" i="5" s="1"/>
  <c r="O563" i="5"/>
  <c r="P563" i="5"/>
  <c r="Q563" i="5"/>
  <c r="R563" i="5"/>
  <c r="S563" i="5"/>
  <c r="T563" i="5"/>
  <c r="U563" i="5"/>
  <c r="V563" i="5"/>
  <c r="W563" i="5"/>
  <c r="X563" i="5"/>
  <c r="B564" i="5"/>
  <c r="C564" i="5"/>
  <c r="D564" i="5"/>
  <c r="E564" i="5"/>
  <c r="F564" i="5"/>
  <c r="G564" i="5"/>
  <c r="H564" i="5"/>
  <c r="I564" i="5"/>
  <c r="J564" i="5"/>
  <c r="K564" i="5"/>
  <c r="L564" i="5"/>
  <c r="M564" i="5"/>
  <c r="N564" i="5"/>
  <c r="O564" i="5"/>
  <c r="P564" i="5"/>
  <c r="Q564" i="5"/>
  <c r="R564" i="5"/>
  <c r="S564" i="5"/>
  <c r="T564" i="5"/>
  <c r="U564" i="5"/>
  <c r="V564" i="5"/>
  <c r="W564" i="5"/>
  <c r="X564" i="5"/>
  <c r="B565" i="5"/>
  <c r="C565" i="5"/>
  <c r="D565" i="5"/>
  <c r="E565" i="5"/>
  <c r="F565" i="5"/>
  <c r="G565" i="5"/>
  <c r="H565" i="5"/>
  <c r="I565" i="5"/>
  <c r="J565" i="5"/>
  <c r="K565" i="5"/>
  <c r="L565" i="5"/>
  <c r="M565" i="5"/>
  <c r="N565" i="5"/>
  <c r="O565" i="5"/>
  <c r="P565" i="5"/>
  <c r="Q565" i="5"/>
  <c r="R565" i="5"/>
  <c r="S565" i="5"/>
  <c r="T565" i="5"/>
  <c r="U565" i="5"/>
  <c r="V565" i="5"/>
  <c r="W565" i="5"/>
  <c r="X565" i="5"/>
  <c r="B566" i="5"/>
  <c r="C566" i="5"/>
  <c r="D566" i="5"/>
  <c r="E566" i="5"/>
  <c r="F566" i="5"/>
  <c r="G566" i="5"/>
  <c r="H566" i="5"/>
  <c r="I566" i="5"/>
  <c r="J566" i="5"/>
  <c r="K566" i="5"/>
  <c r="L566" i="5"/>
  <c r="M566" i="5"/>
  <c r="N566" i="5"/>
  <c r="O566" i="5"/>
  <c r="P566" i="5"/>
  <c r="AC566" i="5" s="1"/>
  <c r="Q566" i="5"/>
  <c r="R566" i="5"/>
  <c r="S566" i="5"/>
  <c r="T566" i="5"/>
  <c r="U566" i="5"/>
  <c r="V566" i="5"/>
  <c r="W566" i="5"/>
  <c r="X566" i="5"/>
  <c r="B567" i="5"/>
  <c r="C567" i="5"/>
  <c r="D567" i="5"/>
  <c r="AB567" i="5" s="1"/>
  <c r="E567" i="5"/>
  <c r="F567" i="5"/>
  <c r="G567" i="5"/>
  <c r="H567" i="5"/>
  <c r="I567" i="5"/>
  <c r="J567" i="5"/>
  <c r="K567" i="5"/>
  <c r="L567" i="5"/>
  <c r="M567" i="5"/>
  <c r="N567" i="5"/>
  <c r="O567" i="5"/>
  <c r="P567" i="5"/>
  <c r="Q567" i="5"/>
  <c r="R567" i="5"/>
  <c r="S567" i="5"/>
  <c r="T567" i="5"/>
  <c r="U567" i="5"/>
  <c r="V567" i="5"/>
  <c r="W567" i="5"/>
  <c r="X567" i="5"/>
  <c r="B568" i="5"/>
  <c r="C568" i="5"/>
  <c r="D568" i="5"/>
  <c r="E568" i="5"/>
  <c r="F568" i="5"/>
  <c r="G568" i="5"/>
  <c r="H568" i="5"/>
  <c r="I568" i="5"/>
  <c r="J568" i="5"/>
  <c r="K568" i="5"/>
  <c r="L568" i="5"/>
  <c r="M568" i="5"/>
  <c r="N568" i="5"/>
  <c r="O568" i="5"/>
  <c r="P568" i="5"/>
  <c r="Q568" i="5"/>
  <c r="R568" i="5"/>
  <c r="S568" i="5"/>
  <c r="T568" i="5"/>
  <c r="U568" i="5"/>
  <c r="V568" i="5"/>
  <c r="W568" i="5"/>
  <c r="X568" i="5"/>
  <c r="B569" i="5"/>
  <c r="C569" i="5"/>
  <c r="D569" i="5"/>
  <c r="E569" i="5"/>
  <c r="F569" i="5"/>
  <c r="G569" i="5"/>
  <c r="H569" i="5"/>
  <c r="I569" i="5"/>
  <c r="J569" i="5"/>
  <c r="K569" i="5"/>
  <c r="L569" i="5"/>
  <c r="M569" i="5"/>
  <c r="N569" i="5"/>
  <c r="O569" i="5"/>
  <c r="P569" i="5"/>
  <c r="Q569" i="5"/>
  <c r="R569" i="5"/>
  <c r="S569" i="5"/>
  <c r="T569" i="5"/>
  <c r="U569" i="5"/>
  <c r="V569" i="5"/>
  <c r="W569" i="5"/>
  <c r="X569" i="5"/>
  <c r="B570" i="5"/>
  <c r="C570" i="5"/>
  <c r="D570" i="5"/>
  <c r="E570" i="5"/>
  <c r="F570" i="5"/>
  <c r="G570" i="5"/>
  <c r="H570" i="5"/>
  <c r="I570" i="5"/>
  <c r="J570" i="5"/>
  <c r="K570" i="5"/>
  <c r="L570" i="5"/>
  <c r="M570" i="5"/>
  <c r="N570" i="5"/>
  <c r="O570" i="5"/>
  <c r="P570" i="5"/>
  <c r="Q570" i="5"/>
  <c r="R570" i="5"/>
  <c r="S570" i="5"/>
  <c r="T570" i="5"/>
  <c r="U570" i="5"/>
  <c r="V570" i="5"/>
  <c r="W570" i="5"/>
  <c r="X570" i="5"/>
  <c r="B571" i="5"/>
  <c r="C571" i="5"/>
  <c r="D571" i="5"/>
  <c r="E571" i="5"/>
  <c r="F571" i="5"/>
  <c r="G571" i="5"/>
  <c r="H571" i="5"/>
  <c r="I571" i="5"/>
  <c r="J571" i="5"/>
  <c r="K571" i="5"/>
  <c r="L571" i="5"/>
  <c r="M571" i="5"/>
  <c r="N571" i="5"/>
  <c r="O571" i="5"/>
  <c r="P571" i="5"/>
  <c r="Q571" i="5"/>
  <c r="R571" i="5"/>
  <c r="S571" i="5"/>
  <c r="T571" i="5"/>
  <c r="U571" i="5"/>
  <c r="V571" i="5"/>
  <c r="W571" i="5"/>
  <c r="X571" i="5"/>
  <c r="B572" i="5"/>
  <c r="C572" i="5"/>
  <c r="D572" i="5"/>
  <c r="E572" i="5"/>
  <c r="F572" i="5"/>
  <c r="G572" i="5"/>
  <c r="H572" i="5"/>
  <c r="I572" i="5"/>
  <c r="J572" i="5"/>
  <c r="K572" i="5"/>
  <c r="L572" i="5"/>
  <c r="M572" i="5"/>
  <c r="N572" i="5"/>
  <c r="O572" i="5"/>
  <c r="P572" i="5"/>
  <c r="Q572" i="5"/>
  <c r="R572" i="5"/>
  <c r="S572" i="5"/>
  <c r="T572" i="5"/>
  <c r="U572" i="5"/>
  <c r="V572" i="5"/>
  <c r="W572" i="5"/>
  <c r="X572" i="5"/>
  <c r="B573" i="5"/>
  <c r="C573" i="5"/>
  <c r="D573" i="5"/>
  <c r="E573" i="5"/>
  <c r="F573" i="5"/>
  <c r="G573" i="5"/>
  <c r="H573" i="5"/>
  <c r="I573" i="5"/>
  <c r="J573" i="5"/>
  <c r="K573" i="5"/>
  <c r="L573" i="5"/>
  <c r="M573" i="5"/>
  <c r="N573" i="5"/>
  <c r="O573" i="5"/>
  <c r="P573" i="5"/>
  <c r="Q573" i="5"/>
  <c r="R573" i="5"/>
  <c r="S573" i="5"/>
  <c r="T573" i="5"/>
  <c r="U573" i="5"/>
  <c r="V573" i="5"/>
  <c r="W573" i="5"/>
  <c r="X573" i="5"/>
  <c r="B574" i="5"/>
  <c r="C574" i="5"/>
  <c r="D574" i="5"/>
  <c r="E574" i="5"/>
  <c r="F574" i="5"/>
  <c r="G574" i="5"/>
  <c r="H574" i="5"/>
  <c r="I574" i="5"/>
  <c r="J574" i="5"/>
  <c r="K574" i="5"/>
  <c r="L574" i="5"/>
  <c r="M574" i="5"/>
  <c r="N574" i="5"/>
  <c r="AC574" i="5" s="1"/>
  <c r="O574" i="5"/>
  <c r="P574" i="5"/>
  <c r="Q574" i="5"/>
  <c r="R574" i="5"/>
  <c r="S574" i="5"/>
  <c r="T574" i="5"/>
  <c r="U574" i="5"/>
  <c r="V574" i="5"/>
  <c r="W574" i="5"/>
  <c r="X574" i="5"/>
  <c r="B575" i="5"/>
  <c r="C575" i="5"/>
  <c r="D575" i="5"/>
  <c r="E575" i="5"/>
  <c r="F575" i="5"/>
  <c r="G575" i="5"/>
  <c r="H575" i="5"/>
  <c r="I575" i="5"/>
  <c r="J575" i="5"/>
  <c r="K575" i="5"/>
  <c r="L575" i="5"/>
  <c r="M575" i="5"/>
  <c r="N575" i="5"/>
  <c r="O575" i="5"/>
  <c r="P575" i="5"/>
  <c r="Q575" i="5"/>
  <c r="R575" i="5"/>
  <c r="S575" i="5"/>
  <c r="T575" i="5"/>
  <c r="U575" i="5"/>
  <c r="V575" i="5"/>
  <c r="W575" i="5"/>
  <c r="X575" i="5"/>
  <c r="B576" i="5"/>
  <c r="C576" i="5"/>
  <c r="D576" i="5"/>
  <c r="E576" i="5"/>
  <c r="F576" i="5"/>
  <c r="G576" i="5"/>
  <c r="H576" i="5"/>
  <c r="I576" i="5"/>
  <c r="J576" i="5"/>
  <c r="K576" i="5"/>
  <c r="L576" i="5"/>
  <c r="M576" i="5"/>
  <c r="N576" i="5"/>
  <c r="O576" i="5"/>
  <c r="P576" i="5"/>
  <c r="Q576" i="5"/>
  <c r="R576" i="5"/>
  <c r="S576" i="5"/>
  <c r="T576" i="5"/>
  <c r="U576" i="5"/>
  <c r="V576" i="5"/>
  <c r="W576" i="5"/>
  <c r="X576" i="5"/>
  <c r="B577" i="5"/>
  <c r="C577" i="5"/>
  <c r="D577" i="5"/>
  <c r="E577" i="5"/>
  <c r="F577" i="5"/>
  <c r="G577" i="5"/>
  <c r="H577" i="5"/>
  <c r="I577" i="5"/>
  <c r="J577" i="5"/>
  <c r="K577" i="5"/>
  <c r="L577" i="5"/>
  <c r="M577" i="5"/>
  <c r="AC577" i="5" s="1"/>
  <c r="N577" i="5"/>
  <c r="O577" i="5"/>
  <c r="P577" i="5"/>
  <c r="Q577" i="5"/>
  <c r="R577" i="5"/>
  <c r="S577" i="5"/>
  <c r="T577" i="5"/>
  <c r="U577" i="5"/>
  <c r="V577" i="5"/>
  <c r="W577" i="5"/>
  <c r="X577" i="5"/>
  <c r="B578" i="5"/>
  <c r="C578" i="5"/>
  <c r="D578" i="5"/>
  <c r="E578" i="5"/>
  <c r="F578" i="5"/>
  <c r="G578" i="5"/>
  <c r="H578" i="5"/>
  <c r="I578" i="5"/>
  <c r="J578" i="5"/>
  <c r="K578" i="5"/>
  <c r="L578" i="5"/>
  <c r="M578" i="5"/>
  <c r="N578" i="5"/>
  <c r="O578" i="5"/>
  <c r="P578" i="5"/>
  <c r="Q578" i="5"/>
  <c r="R578" i="5"/>
  <c r="S578" i="5"/>
  <c r="T578" i="5"/>
  <c r="U578" i="5"/>
  <c r="V578" i="5"/>
  <c r="W578" i="5"/>
  <c r="X578" i="5"/>
  <c r="B579" i="5"/>
  <c r="C579" i="5"/>
  <c r="D579" i="5"/>
  <c r="E579" i="5"/>
  <c r="F579" i="5"/>
  <c r="G579" i="5"/>
  <c r="H579" i="5"/>
  <c r="I579" i="5"/>
  <c r="J579" i="5"/>
  <c r="K579" i="5"/>
  <c r="L579" i="5"/>
  <c r="M579" i="5"/>
  <c r="N579" i="5"/>
  <c r="O579" i="5"/>
  <c r="P579" i="5"/>
  <c r="Q579" i="5"/>
  <c r="R579" i="5"/>
  <c r="S579" i="5"/>
  <c r="T579" i="5"/>
  <c r="U579" i="5"/>
  <c r="V579" i="5"/>
  <c r="W579" i="5"/>
  <c r="X579" i="5"/>
  <c r="B580" i="5"/>
  <c r="C580" i="5"/>
  <c r="D580" i="5"/>
  <c r="E580" i="5"/>
  <c r="F580" i="5"/>
  <c r="G580" i="5"/>
  <c r="H580" i="5"/>
  <c r="I580" i="5"/>
  <c r="J580" i="5"/>
  <c r="K580" i="5"/>
  <c r="L580" i="5"/>
  <c r="M580" i="5"/>
  <c r="N580" i="5"/>
  <c r="O580" i="5"/>
  <c r="P580" i="5"/>
  <c r="Q580" i="5"/>
  <c r="R580" i="5"/>
  <c r="S580" i="5"/>
  <c r="T580" i="5"/>
  <c r="U580" i="5"/>
  <c r="V580" i="5"/>
  <c r="W580" i="5"/>
  <c r="X580" i="5"/>
  <c r="B581" i="5"/>
  <c r="C581" i="5"/>
  <c r="D581" i="5"/>
  <c r="E581" i="5"/>
  <c r="F581" i="5"/>
  <c r="G581" i="5"/>
  <c r="H581" i="5"/>
  <c r="I581" i="5"/>
  <c r="J581" i="5"/>
  <c r="K581" i="5"/>
  <c r="L581" i="5"/>
  <c r="M581" i="5"/>
  <c r="N581" i="5"/>
  <c r="O581" i="5"/>
  <c r="P581" i="5"/>
  <c r="Q581" i="5"/>
  <c r="R581" i="5"/>
  <c r="S581" i="5"/>
  <c r="T581" i="5"/>
  <c r="U581" i="5"/>
  <c r="V581" i="5"/>
  <c r="W581" i="5"/>
  <c r="X581" i="5"/>
  <c r="B582" i="5"/>
  <c r="C582" i="5"/>
  <c r="D582" i="5"/>
  <c r="E582" i="5"/>
  <c r="F582" i="5"/>
  <c r="G582" i="5"/>
  <c r="H582" i="5"/>
  <c r="I582" i="5"/>
  <c r="J582" i="5"/>
  <c r="K582" i="5"/>
  <c r="L582" i="5"/>
  <c r="M582" i="5"/>
  <c r="N582" i="5"/>
  <c r="AC582" i="5" s="1"/>
  <c r="O582" i="5"/>
  <c r="P582" i="5"/>
  <c r="Q582" i="5"/>
  <c r="R582" i="5"/>
  <c r="S582" i="5"/>
  <c r="T582" i="5"/>
  <c r="U582" i="5"/>
  <c r="V582" i="5"/>
  <c r="W582" i="5"/>
  <c r="X582" i="5"/>
  <c r="B583" i="5"/>
  <c r="C583" i="5"/>
  <c r="D583" i="5"/>
  <c r="E583" i="5"/>
  <c r="F583" i="5"/>
  <c r="G583" i="5"/>
  <c r="H583" i="5"/>
  <c r="I583" i="5"/>
  <c r="J583" i="5"/>
  <c r="K583" i="5"/>
  <c r="L583" i="5"/>
  <c r="M583" i="5"/>
  <c r="N583" i="5"/>
  <c r="AC583" i="5" s="1"/>
  <c r="O583" i="5"/>
  <c r="P583" i="5"/>
  <c r="Q583" i="5"/>
  <c r="R583" i="5"/>
  <c r="S583" i="5"/>
  <c r="T583" i="5"/>
  <c r="U583" i="5"/>
  <c r="V583" i="5"/>
  <c r="W583" i="5"/>
  <c r="X583" i="5"/>
  <c r="B584" i="5"/>
  <c r="C584" i="5"/>
  <c r="D584" i="5"/>
  <c r="E584" i="5"/>
  <c r="F584" i="5"/>
  <c r="G584" i="5"/>
  <c r="AB584" i="5" s="1"/>
  <c r="H584" i="5"/>
  <c r="I584" i="5"/>
  <c r="J584" i="5"/>
  <c r="K584" i="5"/>
  <c r="L584" i="5"/>
  <c r="M584" i="5"/>
  <c r="N584" i="5"/>
  <c r="O584" i="5"/>
  <c r="P584" i="5"/>
  <c r="Q584" i="5"/>
  <c r="R584" i="5"/>
  <c r="S584" i="5"/>
  <c r="T584" i="5"/>
  <c r="U584" i="5"/>
  <c r="V584" i="5"/>
  <c r="W584" i="5"/>
  <c r="X584" i="5"/>
  <c r="B585" i="5"/>
  <c r="C585" i="5"/>
  <c r="D585" i="5"/>
  <c r="E585" i="5"/>
  <c r="F585" i="5"/>
  <c r="G585" i="5"/>
  <c r="H585" i="5"/>
  <c r="I585" i="5"/>
  <c r="J585" i="5"/>
  <c r="K585" i="5"/>
  <c r="L585" i="5"/>
  <c r="M585" i="5"/>
  <c r="N585" i="5"/>
  <c r="O585" i="5"/>
  <c r="P585" i="5"/>
  <c r="Q585" i="5"/>
  <c r="R585" i="5"/>
  <c r="S585" i="5"/>
  <c r="T585" i="5"/>
  <c r="U585" i="5"/>
  <c r="V585" i="5"/>
  <c r="W585" i="5"/>
  <c r="X585" i="5"/>
  <c r="B586" i="5"/>
  <c r="C586" i="5"/>
  <c r="D586" i="5"/>
  <c r="E586" i="5"/>
  <c r="F586" i="5"/>
  <c r="G586" i="5"/>
  <c r="H586" i="5"/>
  <c r="I586" i="5"/>
  <c r="J586" i="5"/>
  <c r="K586" i="5"/>
  <c r="L586" i="5"/>
  <c r="M586" i="5"/>
  <c r="N586" i="5"/>
  <c r="O586" i="5"/>
  <c r="P586" i="5"/>
  <c r="Q586" i="5"/>
  <c r="R586" i="5"/>
  <c r="S586" i="5"/>
  <c r="T586" i="5"/>
  <c r="U586" i="5"/>
  <c r="V586" i="5"/>
  <c r="W586" i="5"/>
  <c r="X586" i="5"/>
  <c r="B587" i="5"/>
  <c r="AB587" i="5" s="1"/>
  <c r="C587" i="5"/>
  <c r="D587" i="5"/>
  <c r="E587" i="5"/>
  <c r="F587" i="5"/>
  <c r="G587" i="5"/>
  <c r="H587" i="5"/>
  <c r="I587" i="5"/>
  <c r="J587" i="5"/>
  <c r="K587" i="5"/>
  <c r="L587" i="5"/>
  <c r="M587" i="5"/>
  <c r="N587" i="5"/>
  <c r="O587" i="5"/>
  <c r="P587" i="5"/>
  <c r="Q587" i="5"/>
  <c r="R587" i="5"/>
  <c r="S587" i="5"/>
  <c r="T587" i="5"/>
  <c r="U587" i="5"/>
  <c r="V587" i="5"/>
  <c r="W587" i="5"/>
  <c r="X587" i="5"/>
  <c r="B588" i="5"/>
  <c r="C588" i="5"/>
  <c r="D588" i="5"/>
  <c r="E588" i="5"/>
  <c r="F588" i="5"/>
  <c r="G588" i="5"/>
  <c r="H588" i="5"/>
  <c r="I588" i="5"/>
  <c r="J588" i="5"/>
  <c r="K588" i="5"/>
  <c r="L588" i="5"/>
  <c r="M588" i="5"/>
  <c r="N588" i="5"/>
  <c r="O588" i="5"/>
  <c r="P588" i="5"/>
  <c r="Q588" i="5"/>
  <c r="R588" i="5"/>
  <c r="S588" i="5"/>
  <c r="T588" i="5"/>
  <c r="U588" i="5"/>
  <c r="V588" i="5"/>
  <c r="W588" i="5"/>
  <c r="X588" i="5"/>
  <c r="B589" i="5"/>
  <c r="C589" i="5"/>
  <c r="D589" i="5"/>
  <c r="E589" i="5"/>
  <c r="F589" i="5"/>
  <c r="G589" i="5"/>
  <c r="H589" i="5"/>
  <c r="I589" i="5"/>
  <c r="J589" i="5"/>
  <c r="K589" i="5"/>
  <c r="L589" i="5"/>
  <c r="M589" i="5"/>
  <c r="N589" i="5"/>
  <c r="AC589" i="5" s="1"/>
  <c r="O589" i="5"/>
  <c r="P589" i="5"/>
  <c r="Q589" i="5"/>
  <c r="R589" i="5"/>
  <c r="S589" i="5"/>
  <c r="T589" i="5"/>
  <c r="U589" i="5"/>
  <c r="V589" i="5"/>
  <c r="W589" i="5"/>
  <c r="X589" i="5"/>
  <c r="B590" i="5"/>
  <c r="C590" i="5"/>
  <c r="AB590" i="5" s="1"/>
  <c r="D590" i="5"/>
  <c r="E590" i="5"/>
  <c r="F590" i="5"/>
  <c r="G590" i="5"/>
  <c r="H590" i="5"/>
  <c r="I590" i="5"/>
  <c r="J590" i="5"/>
  <c r="K590" i="5"/>
  <c r="L590" i="5"/>
  <c r="M590" i="5"/>
  <c r="N590" i="5"/>
  <c r="O590" i="5"/>
  <c r="P590" i="5"/>
  <c r="Q590" i="5"/>
  <c r="R590" i="5"/>
  <c r="S590" i="5"/>
  <c r="T590" i="5"/>
  <c r="U590" i="5"/>
  <c r="V590" i="5"/>
  <c r="W590" i="5"/>
  <c r="X590" i="5"/>
  <c r="B591" i="5"/>
  <c r="C591" i="5"/>
  <c r="D591" i="5"/>
  <c r="E591" i="5"/>
  <c r="F591" i="5"/>
  <c r="G591" i="5"/>
  <c r="H591" i="5"/>
  <c r="I591" i="5"/>
  <c r="J591" i="5"/>
  <c r="K591" i="5"/>
  <c r="L591" i="5"/>
  <c r="M591" i="5"/>
  <c r="N591" i="5"/>
  <c r="O591" i="5"/>
  <c r="P591" i="5"/>
  <c r="Q591" i="5"/>
  <c r="R591" i="5"/>
  <c r="S591" i="5"/>
  <c r="T591" i="5"/>
  <c r="U591" i="5"/>
  <c r="V591" i="5"/>
  <c r="W591" i="5"/>
  <c r="X591" i="5"/>
  <c r="B592" i="5"/>
  <c r="C592" i="5"/>
  <c r="D592" i="5"/>
  <c r="AB592" i="5" s="1"/>
  <c r="E592" i="5"/>
  <c r="F592" i="5"/>
  <c r="G592" i="5"/>
  <c r="H592" i="5"/>
  <c r="I592" i="5"/>
  <c r="J592" i="5"/>
  <c r="K592" i="5"/>
  <c r="L592" i="5"/>
  <c r="M592" i="5"/>
  <c r="N592" i="5"/>
  <c r="O592" i="5"/>
  <c r="P592" i="5"/>
  <c r="Q592" i="5"/>
  <c r="R592" i="5"/>
  <c r="S592" i="5"/>
  <c r="T592" i="5"/>
  <c r="U592" i="5"/>
  <c r="V592" i="5"/>
  <c r="W592" i="5"/>
  <c r="X592" i="5"/>
  <c r="B593" i="5"/>
  <c r="C593" i="5"/>
  <c r="D593" i="5"/>
  <c r="E593" i="5"/>
  <c r="F593" i="5"/>
  <c r="G593" i="5"/>
  <c r="H593" i="5"/>
  <c r="I593" i="5"/>
  <c r="J593" i="5"/>
  <c r="K593" i="5"/>
  <c r="L593" i="5"/>
  <c r="M593" i="5"/>
  <c r="N593" i="5"/>
  <c r="O593" i="5"/>
  <c r="P593" i="5"/>
  <c r="Q593" i="5"/>
  <c r="R593" i="5"/>
  <c r="S593" i="5"/>
  <c r="T593" i="5"/>
  <c r="U593" i="5"/>
  <c r="V593" i="5"/>
  <c r="W593" i="5"/>
  <c r="X593" i="5"/>
  <c r="B594" i="5"/>
  <c r="C594" i="5"/>
  <c r="D594" i="5"/>
  <c r="E594" i="5"/>
  <c r="F594" i="5"/>
  <c r="G594" i="5"/>
  <c r="H594" i="5"/>
  <c r="I594" i="5"/>
  <c r="J594" i="5"/>
  <c r="K594" i="5"/>
  <c r="L594" i="5"/>
  <c r="M594" i="5"/>
  <c r="N594" i="5"/>
  <c r="O594" i="5"/>
  <c r="P594" i="5"/>
  <c r="Q594" i="5"/>
  <c r="R594" i="5"/>
  <c r="S594" i="5"/>
  <c r="T594" i="5"/>
  <c r="U594" i="5"/>
  <c r="V594" i="5"/>
  <c r="W594" i="5"/>
  <c r="X594" i="5"/>
  <c r="AC594" i="5"/>
  <c r="B595" i="5"/>
  <c r="C595" i="5"/>
  <c r="D595" i="5"/>
  <c r="E595" i="5"/>
  <c r="F595" i="5"/>
  <c r="G595" i="5"/>
  <c r="H595" i="5"/>
  <c r="I595" i="5"/>
  <c r="J595" i="5"/>
  <c r="K595" i="5"/>
  <c r="L595" i="5"/>
  <c r="M595" i="5"/>
  <c r="N595" i="5"/>
  <c r="O595" i="5"/>
  <c r="P595" i="5"/>
  <c r="Q595" i="5"/>
  <c r="R595" i="5"/>
  <c r="S595" i="5"/>
  <c r="T595" i="5"/>
  <c r="U595" i="5"/>
  <c r="V595" i="5"/>
  <c r="W595" i="5"/>
  <c r="X595" i="5"/>
  <c r="AB595" i="5"/>
  <c r="B596" i="5"/>
  <c r="C596" i="5"/>
  <c r="D596" i="5"/>
  <c r="E596" i="5"/>
  <c r="F596" i="5"/>
  <c r="G596" i="5"/>
  <c r="H596" i="5"/>
  <c r="I596" i="5"/>
  <c r="J596" i="5"/>
  <c r="K596" i="5"/>
  <c r="L596" i="5"/>
  <c r="M596" i="5"/>
  <c r="AC596" i="5" s="1"/>
  <c r="N596" i="5"/>
  <c r="O596" i="5"/>
  <c r="P596" i="5"/>
  <c r="Q596" i="5"/>
  <c r="R596" i="5"/>
  <c r="S596" i="5"/>
  <c r="T596" i="5"/>
  <c r="U596" i="5"/>
  <c r="V596" i="5"/>
  <c r="W596" i="5"/>
  <c r="X596" i="5"/>
  <c r="B597" i="5"/>
  <c r="C597" i="5"/>
  <c r="D597" i="5"/>
  <c r="E597" i="5"/>
  <c r="F597" i="5"/>
  <c r="G597" i="5"/>
  <c r="H597" i="5"/>
  <c r="I597" i="5"/>
  <c r="J597" i="5"/>
  <c r="K597" i="5"/>
  <c r="L597" i="5"/>
  <c r="M597" i="5"/>
  <c r="N597" i="5"/>
  <c r="O597" i="5"/>
  <c r="P597" i="5"/>
  <c r="Q597" i="5"/>
  <c r="R597" i="5"/>
  <c r="S597" i="5"/>
  <c r="T597" i="5"/>
  <c r="U597" i="5"/>
  <c r="V597" i="5"/>
  <c r="W597" i="5"/>
  <c r="X597" i="5"/>
  <c r="B598" i="5"/>
  <c r="C598" i="5"/>
  <c r="D598" i="5"/>
  <c r="E598" i="5"/>
  <c r="F598" i="5"/>
  <c r="G598" i="5"/>
  <c r="H598" i="5"/>
  <c r="I598" i="5"/>
  <c r="J598" i="5"/>
  <c r="K598" i="5"/>
  <c r="K1118" i="5" s="1"/>
  <c r="L598" i="5"/>
  <c r="M598" i="5"/>
  <c r="N598" i="5"/>
  <c r="O598" i="5"/>
  <c r="P598" i="5"/>
  <c r="Q598" i="5"/>
  <c r="R598" i="5"/>
  <c r="S598" i="5"/>
  <c r="S1118" i="5" s="1"/>
  <c r="T598" i="5"/>
  <c r="U598" i="5"/>
  <c r="V598" i="5"/>
  <c r="W598" i="5"/>
  <c r="X598" i="5"/>
  <c r="B599" i="5"/>
  <c r="C599" i="5"/>
  <c r="D599" i="5"/>
  <c r="E599" i="5"/>
  <c r="F599" i="5"/>
  <c r="G599" i="5"/>
  <c r="H599" i="5"/>
  <c r="I599" i="5"/>
  <c r="J599" i="5"/>
  <c r="K599" i="5"/>
  <c r="L599" i="5"/>
  <c r="M599" i="5"/>
  <c r="N599" i="5"/>
  <c r="O599" i="5"/>
  <c r="P599" i="5"/>
  <c r="Q599" i="5"/>
  <c r="R599" i="5"/>
  <c r="S599" i="5"/>
  <c r="T599" i="5"/>
  <c r="U599" i="5"/>
  <c r="V599" i="5"/>
  <c r="W599" i="5"/>
  <c r="X599" i="5"/>
  <c r="B600" i="5"/>
  <c r="C600" i="5"/>
  <c r="D600" i="5"/>
  <c r="E600" i="5"/>
  <c r="F600" i="5"/>
  <c r="G600" i="5"/>
  <c r="H600" i="5"/>
  <c r="I600" i="5"/>
  <c r="J600" i="5"/>
  <c r="K600" i="5"/>
  <c r="L600" i="5"/>
  <c r="M600" i="5"/>
  <c r="N600" i="5"/>
  <c r="O600" i="5"/>
  <c r="P600" i="5"/>
  <c r="Q600" i="5"/>
  <c r="R600" i="5"/>
  <c r="S600" i="5"/>
  <c r="T600" i="5"/>
  <c r="U600" i="5"/>
  <c r="V600" i="5"/>
  <c r="W600" i="5"/>
  <c r="X600" i="5"/>
  <c r="B601" i="5"/>
  <c r="C601" i="5"/>
  <c r="D601" i="5"/>
  <c r="E601" i="5"/>
  <c r="F601" i="5"/>
  <c r="G601" i="5"/>
  <c r="H601" i="5"/>
  <c r="I601" i="5"/>
  <c r="J601" i="5"/>
  <c r="K601" i="5"/>
  <c r="L601" i="5"/>
  <c r="M601" i="5"/>
  <c r="N601" i="5"/>
  <c r="O601" i="5"/>
  <c r="P601" i="5"/>
  <c r="Q601" i="5"/>
  <c r="R601" i="5"/>
  <c r="S601" i="5"/>
  <c r="T601" i="5"/>
  <c r="U601" i="5"/>
  <c r="V601" i="5"/>
  <c r="W601" i="5"/>
  <c r="X601" i="5"/>
  <c r="B602" i="5"/>
  <c r="C602" i="5"/>
  <c r="D602" i="5"/>
  <c r="E602" i="5"/>
  <c r="F602" i="5"/>
  <c r="G602" i="5"/>
  <c r="H602" i="5"/>
  <c r="I602" i="5"/>
  <c r="J602" i="5"/>
  <c r="K602" i="5"/>
  <c r="L602" i="5"/>
  <c r="M602" i="5"/>
  <c r="N602" i="5"/>
  <c r="O602" i="5"/>
  <c r="P602" i="5"/>
  <c r="Q602" i="5"/>
  <c r="R602" i="5"/>
  <c r="S602" i="5"/>
  <c r="T602" i="5"/>
  <c r="U602" i="5"/>
  <c r="V602" i="5"/>
  <c r="W602" i="5"/>
  <c r="X602" i="5"/>
  <c r="B603" i="5"/>
  <c r="C603" i="5"/>
  <c r="D603" i="5"/>
  <c r="E603" i="5"/>
  <c r="F603" i="5"/>
  <c r="G603" i="5"/>
  <c r="H603" i="5"/>
  <c r="I603" i="5"/>
  <c r="J603" i="5"/>
  <c r="K603" i="5"/>
  <c r="L603" i="5"/>
  <c r="M603" i="5"/>
  <c r="N603" i="5"/>
  <c r="O603" i="5"/>
  <c r="P603" i="5"/>
  <c r="Q603" i="5"/>
  <c r="R603" i="5"/>
  <c r="S603" i="5"/>
  <c r="T603" i="5"/>
  <c r="U603" i="5"/>
  <c r="V603" i="5"/>
  <c r="W603" i="5"/>
  <c r="X603" i="5"/>
  <c r="B604" i="5"/>
  <c r="C604" i="5"/>
  <c r="D604" i="5"/>
  <c r="E604" i="5"/>
  <c r="F604" i="5"/>
  <c r="G604" i="5"/>
  <c r="H604" i="5"/>
  <c r="I604" i="5"/>
  <c r="J604" i="5"/>
  <c r="K604" i="5"/>
  <c r="L604" i="5"/>
  <c r="M604" i="5"/>
  <c r="AC604" i="5" s="1"/>
  <c r="N604" i="5"/>
  <c r="O604" i="5"/>
  <c r="P604" i="5"/>
  <c r="Q604" i="5"/>
  <c r="R604" i="5"/>
  <c r="S604" i="5"/>
  <c r="T604" i="5"/>
  <c r="U604" i="5"/>
  <c r="V604" i="5"/>
  <c r="W604" i="5"/>
  <c r="X604" i="5"/>
  <c r="B605" i="5"/>
  <c r="C605" i="5"/>
  <c r="D605" i="5"/>
  <c r="E605" i="5"/>
  <c r="F605" i="5"/>
  <c r="G605" i="5"/>
  <c r="H605" i="5"/>
  <c r="I605" i="5"/>
  <c r="J605" i="5"/>
  <c r="K605" i="5"/>
  <c r="L605" i="5"/>
  <c r="M605" i="5"/>
  <c r="N605" i="5"/>
  <c r="O605" i="5"/>
  <c r="P605" i="5"/>
  <c r="Q605" i="5"/>
  <c r="R605" i="5"/>
  <c r="S605" i="5"/>
  <c r="T605" i="5"/>
  <c r="U605" i="5"/>
  <c r="V605" i="5"/>
  <c r="W605" i="5"/>
  <c r="X605" i="5"/>
  <c r="B606" i="5"/>
  <c r="C606" i="5"/>
  <c r="D606" i="5"/>
  <c r="E606" i="5"/>
  <c r="F606" i="5"/>
  <c r="G606" i="5"/>
  <c r="H606" i="5"/>
  <c r="I606" i="5"/>
  <c r="J606" i="5"/>
  <c r="K606" i="5"/>
  <c r="L606" i="5"/>
  <c r="M606" i="5"/>
  <c r="N606" i="5"/>
  <c r="O606" i="5"/>
  <c r="P606" i="5"/>
  <c r="Q606" i="5"/>
  <c r="R606" i="5"/>
  <c r="S606" i="5"/>
  <c r="T606" i="5"/>
  <c r="U606" i="5"/>
  <c r="V606" i="5"/>
  <c r="W606" i="5"/>
  <c r="X606" i="5"/>
  <c r="B607" i="5"/>
  <c r="C607" i="5"/>
  <c r="D607" i="5"/>
  <c r="E607" i="5"/>
  <c r="F607" i="5"/>
  <c r="G607" i="5"/>
  <c r="H607" i="5"/>
  <c r="I607" i="5"/>
  <c r="J607" i="5"/>
  <c r="K607" i="5"/>
  <c r="L607" i="5"/>
  <c r="M607" i="5"/>
  <c r="N607" i="5"/>
  <c r="O607" i="5"/>
  <c r="P607" i="5"/>
  <c r="Q607" i="5"/>
  <c r="R607" i="5"/>
  <c r="S607" i="5"/>
  <c r="T607" i="5"/>
  <c r="U607" i="5"/>
  <c r="V607" i="5"/>
  <c r="W607" i="5"/>
  <c r="X607" i="5"/>
  <c r="B608" i="5"/>
  <c r="C608" i="5"/>
  <c r="D608" i="5"/>
  <c r="E608" i="5"/>
  <c r="F608" i="5"/>
  <c r="G608" i="5"/>
  <c r="H608" i="5"/>
  <c r="I608" i="5"/>
  <c r="J608" i="5"/>
  <c r="K608" i="5"/>
  <c r="L608" i="5"/>
  <c r="M608" i="5"/>
  <c r="N608" i="5"/>
  <c r="O608" i="5"/>
  <c r="P608" i="5"/>
  <c r="Q608" i="5"/>
  <c r="R608" i="5"/>
  <c r="S608" i="5"/>
  <c r="T608" i="5"/>
  <c r="U608" i="5"/>
  <c r="V608" i="5"/>
  <c r="W608" i="5"/>
  <c r="X608" i="5"/>
  <c r="B609" i="5"/>
  <c r="C609" i="5"/>
  <c r="D609" i="5"/>
  <c r="E609" i="5"/>
  <c r="F609" i="5"/>
  <c r="G609" i="5"/>
  <c r="H609" i="5"/>
  <c r="I609" i="5"/>
  <c r="J609" i="5"/>
  <c r="K609" i="5"/>
  <c r="L609" i="5"/>
  <c r="M609" i="5"/>
  <c r="N609" i="5"/>
  <c r="O609" i="5"/>
  <c r="P609" i="5"/>
  <c r="Q609" i="5"/>
  <c r="R609" i="5"/>
  <c r="S609" i="5"/>
  <c r="T609" i="5"/>
  <c r="U609" i="5"/>
  <c r="V609" i="5"/>
  <c r="W609" i="5"/>
  <c r="X609" i="5"/>
  <c r="B610" i="5"/>
  <c r="C610" i="5"/>
  <c r="D610" i="5"/>
  <c r="E610" i="5"/>
  <c r="F610" i="5"/>
  <c r="G610" i="5"/>
  <c r="H610" i="5"/>
  <c r="I610" i="5"/>
  <c r="J610" i="5"/>
  <c r="K610" i="5"/>
  <c r="L610" i="5"/>
  <c r="M610" i="5"/>
  <c r="N610" i="5"/>
  <c r="O610" i="5"/>
  <c r="P610" i="5"/>
  <c r="Q610" i="5"/>
  <c r="R610" i="5"/>
  <c r="S610" i="5"/>
  <c r="T610" i="5"/>
  <c r="U610" i="5"/>
  <c r="V610" i="5"/>
  <c r="W610" i="5"/>
  <c r="X610" i="5"/>
  <c r="B611" i="5"/>
  <c r="C611" i="5"/>
  <c r="D611" i="5"/>
  <c r="E611" i="5"/>
  <c r="F611" i="5"/>
  <c r="G611" i="5"/>
  <c r="H611" i="5"/>
  <c r="I611" i="5"/>
  <c r="J611" i="5"/>
  <c r="K611" i="5"/>
  <c r="L611" i="5"/>
  <c r="M611" i="5"/>
  <c r="N611" i="5"/>
  <c r="O611" i="5"/>
  <c r="P611" i="5"/>
  <c r="Q611" i="5"/>
  <c r="R611" i="5"/>
  <c r="S611" i="5"/>
  <c r="T611" i="5"/>
  <c r="U611" i="5"/>
  <c r="V611" i="5"/>
  <c r="W611" i="5"/>
  <c r="X611" i="5"/>
  <c r="B612" i="5"/>
  <c r="C612" i="5"/>
  <c r="D612" i="5"/>
  <c r="E612" i="5"/>
  <c r="F612" i="5"/>
  <c r="G612" i="5"/>
  <c r="H612" i="5"/>
  <c r="I612" i="5"/>
  <c r="J612" i="5"/>
  <c r="K612" i="5"/>
  <c r="L612" i="5"/>
  <c r="M612" i="5"/>
  <c r="N612" i="5"/>
  <c r="O612" i="5"/>
  <c r="P612" i="5"/>
  <c r="Q612" i="5"/>
  <c r="R612" i="5"/>
  <c r="S612" i="5"/>
  <c r="T612" i="5"/>
  <c r="U612" i="5"/>
  <c r="V612" i="5"/>
  <c r="W612" i="5"/>
  <c r="X612" i="5"/>
  <c r="B613" i="5"/>
  <c r="C613" i="5"/>
  <c r="D613" i="5"/>
  <c r="E613" i="5"/>
  <c r="F613" i="5"/>
  <c r="G613" i="5"/>
  <c r="H613" i="5"/>
  <c r="I613" i="5"/>
  <c r="J613" i="5"/>
  <c r="K613" i="5"/>
  <c r="L613" i="5"/>
  <c r="M613" i="5"/>
  <c r="N613" i="5"/>
  <c r="AC613" i="5" s="1"/>
  <c r="O613" i="5"/>
  <c r="P613" i="5"/>
  <c r="Q613" i="5"/>
  <c r="R613" i="5"/>
  <c r="S613" i="5"/>
  <c r="T613" i="5"/>
  <c r="U613" i="5"/>
  <c r="V613" i="5"/>
  <c r="W613" i="5"/>
  <c r="X613" i="5"/>
  <c r="B614" i="5"/>
  <c r="AB614" i="5" s="1"/>
  <c r="C614" i="5"/>
  <c r="D614" i="5"/>
  <c r="E614" i="5"/>
  <c r="F614" i="5"/>
  <c r="G614" i="5"/>
  <c r="H614" i="5"/>
  <c r="I614" i="5"/>
  <c r="J614" i="5"/>
  <c r="K614" i="5"/>
  <c r="L614" i="5"/>
  <c r="M614" i="5"/>
  <c r="N614" i="5"/>
  <c r="AC614" i="5" s="1"/>
  <c r="O614" i="5"/>
  <c r="P614" i="5"/>
  <c r="Q614" i="5"/>
  <c r="R614" i="5"/>
  <c r="S614" i="5"/>
  <c r="T614" i="5"/>
  <c r="U614" i="5"/>
  <c r="V614" i="5"/>
  <c r="W614" i="5"/>
  <c r="X614" i="5"/>
  <c r="B615" i="5"/>
  <c r="C615" i="5"/>
  <c r="D615" i="5"/>
  <c r="E615" i="5"/>
  <c r="F615" i="5"/>
  <c r="G615" i="5"/>
  <c r="H615" i="5"/>
  <c r="I615" i="5"/>
  <c r="J615" i="5"/>
  <c r="K615" i="5"/>
  <c r="L615" i="5"/>
  <c r="M615" i="5"/>
  <c r="N615" i="5"/>
  <c r="AC615" i="5" s="1"/>
  <c r="O615" i="5"/>
  <c r="P615" i="5"/>
  <c r="Q615" i="5"/>
  <c r="R615" i="5"/>
  <c r="S615" i="5"/>
  <c r="T615" i="5"/>
  <c r="U615" i="5"/>
  <c r="V615" i="5"/>
  <c r="W615" i="5"/>
  <c r="X615" i="5"/>
  <c r="B616" i="5"/>
  <c r="AB616" i="5" s="1"/>
  <c r="C616" i="5"/>
  <c r="D616" i="5"/>
  <c r="E616" i="5"/>
  <c r="F616" i="5"/>
  <c r="G616" i="5"/>
  <c r="H616" i="5"/>
  <c r="I616" i="5"/>
  <c r="J616" i="5"/>
  <c r="K616" i="5"/>
  <c r="L616" i="5"/>
  <c r="M616" i="5"/>
  <c r="N616" i="5"/>
  <c r="AC616" i="5" s="1"/>
  <c r="O616" i="5"/>
  <c r="P616" i="5"/>
  <c r="Q616" i="5"/>
  <c r="R616" i="5"/>
  <c r="S616" i="5"/>
  <c r="T616" i="5"/>
  <c r="U616" i="5"/>
  <c r="V616" i="5"/>
  <c r="W616" i="5"/>
  <c r="X616" i="5"/>
  <c r="B617" i="5"/>
  <c r="C617" i="5"/>
  <c r="D617" i="5"/>
  <c r="E617" i="5"/>
  <c r="F617" i="5"/>
  <c r="G617" i="5"/>
  <c r="H617" i="5"/>
  <c r="I617" i="5"/>
  <c r="J617" i="5"/>
  <c r="K617" i="5"/>
  <c r="L617" i="5"/>
  <c r="M617" i="5"/>
  <c r="N617" i="5"/>
  <c r="O617" i="5"/>
  <c r="P617" i="5"/>
  <c r="Q617" i="5"/>
  <c r="R617" i="5"/>
  <c r="S617" i="5"/>
  <c r="T617" i="5"/>
  <c r="U617" i="5"/>
  <c r="V617" i="5"/>
  <c r="W617" i="5"/>
  <c r="X617" i="5"/>
  <c r="B618" i="5"/>
  <c r="C618" i="5"/>
  <c r="D618" i="5"/>
  <c r="E618" i="5"/>
  <c r="F618" i="5"/>
  <c r="G618" i="5"/>
  <c r="H618" i="5"/>
  <c r="I618" i="5"/>
  <c r="J618" i="5"/>
  <c r="K618" i="5"/>
  <c r="L618" i="5"/>
  <c r="M618" i="5"/>
  <c r="N618" i="5"/>
  <c r="O618" i="5"/>
  <c r="AC618" i="5" s="1"/>
  <c r="P618" i="5"/>
  <c r="Q618" i="5"/>
  <c r="R618" i="5"/>
  <c r="S618" i="5"/>
  <c r="T618" i="5"/>
  <c r="U618" i="5"/>
  <c r="V618" i="5"/>
  <c r="W618" i="5"/>
  <c r="X618" i="5"/>
  <c r="B619" i="5"/>
  <c r="C619" i="5"/>
  <c r="D619" i="5"/>
  <c r="AB619" i="5" s="1"/>
  <c r="E619" i="5"/>
  <c r="F619" i="5"/>
  <c r="G619" i="5"/>
  <c r="H619" i="5"/>
  <c r="I619" i="5"/>
  <c r="J619" i="5"/>
  <c r="K619" i="5"/>
  <c r="L619" i="5"/>
  <c r="M619" i="5"/>
  <c r="N619" i="5"/>
  <c r="O619" i="5"/>
  <c r="P619" i="5"/>
  <c r="Q619" i="5"/>
  <c r="R619" i="5"/>
  <c r="S619" i="5"/>
  <c r="T619" i="5"/>
  <c r="U619" i="5"/>
  <c r="V619" i="5"/>
  <c r="W619" i="5"/>
  <c r="X619" i="5"/>
  <c r="B620" i="5"/>
  <c r="C620" i="5"/>
  <c r="D620" i="5"/>
  <c r="E620" i="5"/>
  <c r="F620" i="5"/>
  <c r="G620" i="5"/>
  <c r="H620" i="5"/>
  <c r="I620" i="5"/>
  <c r="J620" i="5"/>
  <c r="K620" i="5"/>
  <c r="L620" i="5"/>
  <c r="M620" i="5"/>
  <c r="N620" i="5"/>
  <c r="O620" i="5"/>
  <c r="P620" i="5"/>
  <c r="Q620" i="5"/>
  <c r="R620" i="5"/>
  <c r="S620" i="5"/>
  <c r="T620" i="5"/>
  <c r="U620" i="5"/>
  <c r="V620" i="5"/>
  <c r="W620" i="5"/>
  <c r="X620" i="5"/>
  <c r="B621" i="5"/>
  <c r="C621" i="5"/>
  <c r="D621" i="5"/>
  <c r="E621" i="5"/>
  <c r="F621" i="5"/>
  <c r="G621" i="5"/>
  <c r="H621" i="5"/>
  <c r="I621" i="5"/>
  <c r="J621" i="5"/>
  <c r="K621" i="5"/>
  <c r="L621" i="5"/>
  <c r="M621" i="5"/>
  <c r="N621" i="5"/>
  <c r="O621" i="5"/>
  <c r="P621" i="5"/>
  <c r="Q621" i="5"/>
  <c r="R621" i="5"/>
  <c r="S621" i="5"/>
  <c r="T621" i="5"/>
  <c r="U621" i="5"/>
  <c r="V621" i="5"/>
  <c r="W621" i="5"/>
  <c r="X621" i="5"/>
  <c r="AC621" i="5"/>
  <c r="B622" i="5"/>
  <c r="C622" i="5"/>
  <c r="D622" i="5"/>
  <c r="E622" i="5"/>
  <c r="F622" i="5"/>
  <c r="G622" i="5"/>
  <c r="H622" i="5"/>
  <c r="I622" i="5"/>
  <c r="J622" i="5"/>
  <c r="K622" i="5"/>
  <c r="L622" i="5"/>
  <c r="M622" i="5"/>
  <c r="N622" i="5"/>
  <c r="O622" i="5"/>
  <c r="P622" i="5"/>
  <c r="Q622" i="5"/>
  <c r="R622" i="5"/>
  <c r="S622" i="5"/>
  <c r="T622" i="5"/>
  <c r="U622" i="5"/>
  <c r="V622" i="5"/>
  <c r="W622" i="5"/>
  <c r="X622" i="5"/>
  <c r="AB622" i="5"/>
  <c r="B623" i="5"/>
  <c r="C623" i="5"/>
  <c r="D623" i="5"/>
  <c r="E623" i="5"/>
  <c r="F623" i="5"/>
  <c r="G623" i="5"/>
  <c r="H623" i="5"/>
  <c r="I623" i="5"/>
  <c r="J623" i="5"/>
  <c r="K623" i="5"/>
  <c r="L623" i="5"/>
  <c r="M623" i="5"/>
  <c r="N623" i="5"/>
  <c r="O623" i="5"/>
  <c r="P623" i="5"/>
  <c r="Q623" i="5"/>
  <c r="R623" i="5"/>
  <c r="S623" i="5"/>
  <c r="T623" i="5"/>
  <c r="U623" i="5"/>
  <c r="V623" i="5"/>
  <c r="W623" i="5"/>
  <c r="X623" i="5"/>
  <c r="B624" i="5"/>
  <c r="AB624" i="5" s="1"/>
  <c r="C624" i="5"/>
  <c r="D624" i="5"/>
  <c r="E624" i="5"/>
  <c r="F624" i="5"/>
  <c r="G624" i="5"/>
  <c r="H624" i="5"/>
  <c r="I624" i="5"/>
  <c r="J624" i="5"/>
  <c r="K624" i="5"/>
  <c r="L624" i="5"/>
  <c r="M624" i="5"/>
  <c r="N624" i="5"/>
  <c r="O624" i="5"/>
  <c r="P624" i="5"/>
  <c r="Q624" i="5"/>
  <c r="R624" i="5"/>
  <c r="S624" i="5"/>
  <c r="T624" i="5"/>
  <c r="U624" i="5"/>
  <c r="V624" i="5"/>
  <c r="W624" i="5"/>
  <c r="X624" i="5"/>
  <c r="B625" i="5"/>
  <c r="C625" i="5"/>
  <c r="D625" i="5"/>
  <c r="E625" i="5"/>
  <c r="F625" i="5"/>
  <c r="G625" i="5"/>
  <c r="H625" i="5"/>
  <c r="I625" i="5"/>
  <c r="J625" i="5"/>
  <c r="K625" i="5"/>
  <c r="L625" i="5"/>
  <c r="M625" i="5"/>
  <c r="N625" i="5"/>
  <c r="O625" i="5"/>
  <c r="P625" i="5"/>
  <c r="Q625" i="5"/>
  <c r="R625" i="5"/>
  <c r="S625" i="5"/>
  <c r="T625" i="5"/>
  <c r="U625" i="5"/>
  <c r="V625" i="5"/>
  <c r="W625" i="5"/>
  <c r="X625" i="5"/>
  <c r="B626" i="5"/>
  <c r="C626" i="5"/>
  <c r="D626" i="5"/>
  <c r="E626" i="5"/>
  <c r="F626" i="5"/>
  <c r="G626" i="5"/>
  <c r="H626" i="5"/>
  <c r="I626" i="5"/>
  <c r="J626" i="5"/>
  <c r="K626" i="5"/>
  <c r="L626" i="5"/>
  <c r="M626" i="5"/>
  <c r="N626" i="5"/>
  <c r="AC626" i="5" s="1"/>
  <c r="O626" i="5"/>
  <c r="P626" i="5"/>
  <c r="Q626" i="5"/>
  <c r="R626" i="5"/>
  <c r="S626" i="5"/>
  <c r="T626" i="5"/>
  <c r="U626" i="5"/>
  <c r="V626" i="5"/>
  <c r="W626" i="5"/>
  <c r="X626" i="5"/>
  <c r="B627" i="5"/>
  <c r="AB627" i="5" s="1"/>
  <c r="C627" i="5"/>
  <c r="D627" i="5"/>
  <c r="E627" i="5"/>
  <c r="F627" i="5"/>
  <c r="G627" i="5"/>
  <c r="H627" i="5"/>
  <c r="I627" i="5"/>
  <c r="J627" i="5"/>
  <c r="K627" i="5"/>
  <c r="L627" i="5"/>
  <c r="M627" i="5"/>
  <c r="N627" i="5"/>
  <c r="O627" i="5"/>
  <c r="P627" i="5"/>
  <c r="Q627" i="5"/>
  <c r="R627" i="5"/>
  <c r="S627" i="5"/>
  <c r="T627" i="5"/>
  <c r="U627" i="5"/>
  <c r="V627" i="5"/>
  <c r="W627" i="5"/>
  <c r="X627" i="5"/>
  <c r="B628" i="5"/>
  <c r="C628" i="5"/>
  <c r="D628" i="5"/>
  <c r="E628" i="5"/>
  <c r="F628" i="5"/>
  <c r="G628" i="5"/>
  <c r="H628" i="5"/>
  <c r="I628" i="5"/>
  <c r="J628" i="5"/>
  <c r="K628" i="5"/>
  <c r="L628" i="5"/>
  <c r="M628" i="5"/>
  <c r="N628" i="5"/>
  <c r="O628" i="5"/>
  <c r="P628" i="5"/>
  <c r="Q628" i="5"/>
  <c r="R628" i="5"/>
  <c r="S628" i="5"/>
  <c r="T628" i="5"/>
  <c r="U628" i="5"/>
  <c r="V628" i="5"/>
  <c r="W628" i="5"/>
  <c r="X628" i="5"/>
  <c r="B629" i="5"/>
  <c r="C629" i="5"/>
  <c r="D629" i="5"/>
  <c r="E629" i="5"/>
  <c r="F629" i="5"/>
  <c r="G629" i="5"/>
  <c r="H629" i="5"/>
  <c r="I629" i="5"/>
  <c r="J629" i="5"/>
  <c r="K629" i="5"/>
  <c r="L629" i="5"/>
  <c r="M629" i="5"/>
  <c r="N629" i="5"/>
  <c r="O629" i="5"/>
  <c r="P629" i="5"/>
  <c r="Q629" i="5"/>
  <c r="R629" i="5"/>
  <c r="S629" i="5"/>
  <c r="T629" i="5"/>
  <c r="U629" i="5"/>
  <c r="V629" i="5"/>
  <c r="W629" i="5"/>
  <c r="X629" i="5"/>
  <c r="B630" i="5"/>
  <c r="C630" i="5"/>
  <c r="D630" i="5"/>
  <c r="E630" i="5"/>
  <c r="F630" i="5"/>
  <c r="G630" i="5"/>
  <c r="H630" i="5"/>
  <c r="I630" i="5"/>
  <c r="J630" i="5"/>
  <c r="K630" i="5"/>
  <c r="L630" i="5"/>
  <c r="M630" i="5"/>
  <c r="N630" i="5"/>
  <c r="O630" i="5"/>
  <c r="P630" i="5"/>
  <c r="Q630" i="5"/>
  <c r="R630" i="5"/>
  <c r="S630" i="5"/>
  <c r="T630" i="5"/>
  <c r="U630" i="5"/>
  <c r="V630" i="5"/>
  <c r="W630" i="5"/>
  <c r="X630" i="5"/>
  <c r="B631" i="5"/>
  <c r="C631" i="5"/>
  <c r="D631" i="5"/>
  <c r="E631" i="5"/>
  <c r="F631" i="5"/>
  <c r="G631" i="5"/>
  <c r="H631" i="5"/>
  <c r="I631" i="5"/>
  <c r="J631" i="5"/>
  <c r="K631" i="5"/>
  <c r="L631" i="5"/>
  <c r="M631" i="5"/>
  <c r="N631" i="5"/>
  <c r="O631" i="5"/>
  <c r="P631" i="5"/>
  <c r="Q631" i="5"/>
  <c r="R631" i="5"/>
  <c r="S631" i="5"/>
  <c r="T631" i="5"/>
  <c r="U631" i="5"/>
  <c r="V631" i="5"/>
  <c r="W631" i="5"/>
  <c r="X631" i="5"/>
  <c r="B632" i="5"/>
  <c r="C632" i="5"/>
  <c r="D632" i="5"/>
  <c r="E632" i="5"/>
  <c r="F632" i="5"/>
  <c r="G632" i="5"/>
  <c r="H632" i="5"/>
  <c r="I632" i="5"/>
  <c r="J632" i="5"/>
  <c r="K632" i="5"/>
  <c r="L632" i="5"/>
  <c r="M632" i="5"/>
  <c r="N632" i="5"/>
  <c r="O632" i="5"/>
  <c r="P632" i="5"/>
  <c r="Q632" i="5"/>
  <c r="R632" i="5"/>
  <c r="S632" i="5"/>
  <c r="T632" i="5"/>
  <c r="U632" i="5"/>
  <c r="V632" i="5"/>
  <c r="W632" i="5"/>
  <c r="X632" i="5"/>
  <c r="B633" i="5"/>
  <c r="C633" i="5"/>
  <c r="D633" i="5"/>
  <c r="E633" i="5"/>
  <c r="F633" i="5"/>
  <c r="G633" i="5"/>
  <c r="H633" i="5"/>
  <c r="I633" i="5"/>
  <c r="J633" i="5"/>
  <c r="K633" i="5"/>
  <c r="L633" i="5"/>
  <c r="M633" i="5"/>
  <c r="N633" i="5"/>
  <c r="O633" i="5"/>
  <c r="P633" i="5"/>
  <c r="Q633" i="5"/>
  <c r="R633" i="5"/>
  <c r="S633" i="5"/>
  <c r="T633" i="5"/>
  <c r="U633" i="5"/>
  <c r="V633" i="5"/>
  <c r="W633" i="5"/>
  <c r="X633" i="5"/>
  <c r="B634" i="5"/>
  <c r="C634" i="5"/>
  <c r="D634" i="5"/>
  <c r="E634" i="5"/>
  <c r="F634" i="5"/>
  <c r="G634" i="5"/>
  <c r="H634" i="5"/>
  <c r="I634" i="5"/>
  <c r="J634" i="5"/>
  <c r="K634" i="5"/>
  <c r="L634" i="5"/>
  <c r="M634" i="5"/>
  <c r="AC634" i="5" s="1"/>
  <c r="N634" i="5"/>
  <c r="O634" i="5"/>
  <c r="P634" i="5"/>
  <c r="Q634" i="5"/>
  <c r="R634" i="5"/>
  <c r="S634" i="5"/>
  <c r="T634" i="5"/>
  <c r="U634" i="5"/>
  <c r="V634" i="5"/>
  <c r="W634" i="5"/>
  <c r="X634" i="5"/>
  <c r="B635" i="5"/>
  <c r="C635" i="5"/>
  <c r="D635" i="5"/>
  <c r="E635" i="5"/>
  <c r="F635" i="5"/>
  <c r="G635" i="5"/>
  <c r="H635" i="5"/>
  <c r="I635" i="5"/>
  <c r="J635" i="5"/>
  <c r="K635" i="5"/>
  <c r="L635" i="5"/>
  <c r="M635" i="5"/>
  <c r="N635" i="5"/>
  <c r="O635" i="5"/>
  <c r="P635" i="5"/>
  <c r="Q635" i="5"/>
  <c r="R635" i="5"/>
  <c r="S635" i="5"/>
  <c r="T635" i="5"/>
  <c r="U635" i="5"/>
  <c r="V635" i="5"/>
  <c r="W635" i="5"/>
  <c r="X635" i="5"/>
  <c r="B636" i="5"/>
  <c r="C636" i="5"/>
  <c r="D636" i="5"/>
  <c r="E636" i="5"/>
  <c r="F636" i="5"/>
  <c r="G636" i="5"/>
  <c r="H636" i="5"/>
  <c r="I636" i="5"/>
  <c r="J636" i="5"/>
  <c r="K636" i="5"/>
  <c r="L636" i="5"/>
  <c r="M636" i="5"/>
  <c r="N636" i="5"/>
  <c r="O636" i="5"/>
  <c r="P636" i="5"/>
  <c r="Q636" i="5"/>
  <c r="R636" i="5"/>
  <c r="S636" i="5"/>
  <c r="T636" i="5"/>
  <c r="U636" i="5"/>
  <c r="V636" i="5"/>
  <c r="W636" i="5"/>
  <c r="X636" i="5"/>
  <c r="B637" i="5"/>
  <c r="C637" i="5"/>
  <c r="D637" i="5"/>
  <c r="E637" i="5"/>
  <c r="F637" i="5"/>
  <c r="G637" i="5"/>
  <c r="H637" i="5"/>
  <c r="I637" i="5"/>
  <c r="J637" i="5"/>
  <c r="K637" i="5"/>
  <c r="L637" i="5"/>
  <c r="M637" i="5"/>
  <c r="N637" i="5"/>
  <c r="O637" i="5"/>
  <c r="P637" i="5"/>
  <c r="Q637" i="5"/>
  <c r="R637" i="5"/>
  <c r="S637" i="5"/>
  <c r="T637" i="5"/>
  <c r="U637" i="5"/>
  <c r="V637" i="5"/>
  <c r="W637" i="5"/>
  <c r="X637" i="5"/>
  <c r="B638" i="5"/>
  <c r="C638" i="5"/>
  <c r="D638" i="5"/>
  <c r="E638" i="5"/>
  <c r="F638" i="5"/>
  <c r="G638" i="5"/>
  <c r="H638" i="5"/>
  <c r="I638" i="5"/>
  <c r="J638" i="5"/>
  <c r="K638" i="5"/>
  <c r="L638" i="5"/>
  <c r="M638" i="5"/>
  <c r="N638" i="5"/>
  <c r="O638" i="5"/>
  <c r="P638" i="5"/>
  <c r="Q638" i="5"/>
  <c r="R638" i="5"/>
  <c r="S638" i="5"/>
  <c r="T638" i="5"/>
  <c r="U638" i="5"/>
  <c r="V638" i="5"/>
  <c r="W638" i="5"/>
  <c r="X638" i="5"/>
  <c r="B639" i="5"/>
  <c r="C639" i="5"/>
  <c r="D639" i="5"/>
  <c r="E639" i="5"/>
  <c r="F639" i="5"/>
  <c r="G639" i="5"/>
  <c r="H639" i="5"/>
  <c r="I639" i="5"/>
  <c r="J639" i="5"/>
  <c r="K639" i="5"/>
  <c r="L639" i="5"/>
  <c r="M639" i="5"/>
  <c r="N639" i="5"/>
  <c r="O639" i="5"/>
  <c r="P639" i="5"/>
  <c r="Q639" i="5"/>
  <c r="R639" i="5"/>
  <c r="S639" i="5"/>
  <c r="T639" i="5"/>
  <c r="U639" i="5"/>
  <c r="V639" i="5"/>
  <c r="W639" i="5"/>
  <c r="X639" i="5"/>
  <c r="B640" i="5"/>
  <c r="C640" i="5"/>
  <c r="D640" i="5"/>
  <c r="E640" i="5"/>
  <c r="F640" i="5"/>
  <c r="G640" i="5"/>
  <c r="H640" i="5"/>
  <c r="I640" i="5"/>
  <c r="J640" i="5"/>
  <c r="K640" i="5"/>
  <c r="L640" i="5"/>
  <c r="M640" i="5"/>
  <c r="N640" i="5"/>
  <c r="O640" i="5"/>
  <c r="P640" i="5"/>
  <c r="Q640" i="5"/>
  <c r="R640" i="5"/>
  <c r="S640" i="5"/>
  <c r="T640" i="5"/>
  <c r="U640" i="5"/>
  <c r="V640" i="5"/>
  <c r="W640" i="5"/>
  <c r="X640" i="5"/>
  <c r="B641" i="5"/>
  <c r="C641" i="5"/>
  <c r="D641" i="5"/>
  <c r="E641" i="5"/>
  <c r="F641" i="5"/>
  <c r="G641" i="5"/>
  <c r="H641" i="5"/>
  <c r="I641" i="5"/>
  <c r="J641" i="5"/>
  <c r="K641" i="5"/>
  <c r="L641" i="5"/>
  <c r="M641" i="5"/>
  <c r="N641" i="5"/>
  <c r="O641" i="5"/>
  <c r="P641" i="5"/>
  <c r="Q641" i="5"/>
  <c r="R641" i="5"/>
  <c r="S641" i="5"/>
  <c r="T641" i="5"/>
  <c r="U641" i="5"/>
  <c r="V641" i="5"/>
  <c r="W641" i="5"/>
  <c r="X641" i="5"/>
  <c r="B642" i="5"/>
  <c r="C642" i="5"/>
  <c r="D642" i="5"/>
  <c r="E642" i="5"/>
  <c r="F642" i="5"/>
  <c r="G642" i="5"/>
  <c r="H642" i="5"/>
  <c r="I642" i="5"/>
  <c r="J642" i="5"/>
  <c r="K642" i="5"/>
  <c r="L642" i="5"/>
  <c r="M642" i="5"/>
  <c r="AC642" i="5" s="1"/>
  <c r="N642" i="5"/>
  <c r="O642" i="5"/>
  <c r="P642" i="5"/>
  <c r="Q642" i="5"/>
  <c r="R642" i="5"/>
  <c r="S642" i="5"/>
  <c r="T642" i="5"/>
  <c r="U642" i="5"/>
  <c r="V642" i="5"/>
  <c r="W642" i="5"/>
  <c r="X642" i="5"/>
  <c r="B643" i="5"/>
  <c r="C643" i="5"/>
  <c r="D643" i="5"/>
  <c r="E643" i="5"/>
  <c r="F643" i="5"/>
  <c r="G643" i="5"/>
  <c r="H643" i="5"/>
  <c r="I643" i="5"/>
  <c r="J643" i="5"/>
  <c r="K643" i="5"/>
  <c r="L643" i="5"/>
  <c r="M643" i="5"/>
  <c r="N643" i="5"/>
  <c r="O643" i="5"/>
  <c r="P643" i="5"/>
  <c r="Q643" i="5"/>
  <c r="R643" i="5"/>
  <c r="S643" i="5"/>
  <c r="T643" i="5"/>
  <c r="U643" i="5"/>
  <c r="V643" i="5"/>
  <c r="W643" i="5"/>
  <c r="X643" i="5"/>
  <c r="B644" i="5"/>
  <c r="C644" i="5"/>
  <c r="D644" i="5"/>
  <c r="E644" i="5"/>
  <c r="F644" i="5"/>
  <c r="G644" i="5"/>
  <c r="H644" i="5"/>
  <c r="I644" i="5"/>
  <c r="J644" i="5"/>
  <c r="K644" i="5"/>
  <c r="L644" i="5"/>
  <c r="M644" i="5"/>
  <c r="N644" i="5"/>
  <c r="O644" i="5"/>
  <c r="P644" i="5"/>
  <c r="Q644" i="5"/>
  <c r="R644" i="5"/>
  <c r="S644" i="5"/>
  <c r="T644" i="5"/>
  <c r="U644" i="5"/>
  <c r="V644" i="5"/>
  <c r="W644" i="5"/>
  <c r="X644" i="5"/>
  <c r="B645" i="5"/>
  <c r="C645" i="5"/>
  <c r="D645" i="5"/>
  <c r="E645" i="5"/>
  <c r="F645" i="5"/>
  <c r="G645" i="5"/>
  <c r="H645" i="5"/>
  <c r="I645" i="5"/>
  <c r="J645" i="5"/>
  <c r="K645" i="5"/>
  <c r="L645" i="5"/>
  <c r="M645" i="5"/>
  <c r="N645" i="5"/>
  <c r="O645" i="5"/>
  <c r="P645" i="5"/>
  <c r="AC645" i="5" s="1"/>
  <c r="Q645" i="5"/>
  <c r="R645" i="5"/>
  <c r="S645" i="5"/>
  <c r="T645" i="5"/>
  <c r="U645" i="5"/>
  <c r="V645" i="5"/>
  <c r="W645" i="5"/>
  <c r="X645" i="5"/>
  <c r="B646" i="5"/>
  <c r="C646" i="5"/>
  <c r="D646" i="5"/>
  <c r="AB646" i="5" s="1"/>
  <c r="E646" i="5"/>
  <c r="F646" i="5"/>
  <c r="G646" i="5"/>
  <c r="H646" i="5"/>
  <c r="I646" i="5"/>
  <c r="J646" i="5"/>
  <c r="K646" i="5"/>
  <c r="L646" i="5"/>
  <c r="M646" i="5"/>
  <c r="N646" i="5"/>
  <c r="O646" i="5"/>
  <c r="P646" i="5"/>
  <c r="Q646" i="5"/>
  <c r="R646" i="5"/>
  <c r="S646" i="5"/>
  <c r="T646" i="5"/>
  <c r="U646" i="5"/>
  <c r="V646" i="5"/>
  <c r="W646" i="5"/>
  <c r="X646" i="5"/>
  <c r="B647" i="5"/>
  <c r="C647" i="5"/>
  <c r="D647" i="5"/>
  <c r="E647" i="5"/>
  <c r="F647" i="5"/>
  <c r="G647" i="5"/>
  <c r="H647" i="5"/>
  <c r="I647" i="5"/>
  <c r="J647" i="5"/>
  <c r="K647" i="5"/>
  <c r="L647" i="5"/>
  <c r="M647" i="5"/>
  <c r="N647" i="5"/>
  <c r="O647" i="5"/>
  <c r="P647" i="5"/>
  <c r="AC647" i="5" s="1"/>
  <c r="Q647" i="5"/>
  <c r="R647" i="5"/>
  <c r="S647" i="5"/>
  <c r="T647" i="5"/>
  <c r="U647" i="5"/>
  <c r="V647" i="5"/>
  <c r="W647" i="5"/>
  <c r="X647" i="5"/>
  <c r="B648" i="5"/>
  <c r="C648" i="5"/>
  <c r="D648" i="5"/>
  <c r="AB648" i="5" s="1"/>
  <c r="E648" i="5"/>
  <c r="F648" i="5"/>
  <c r="G648" i="5"/>
  <c r="H648" i="5"/>
  <c r="I648" i="5"/>
  <c r="J648" i="5"/>
  <c r="K648" i="5"/>
  <c r="L648" i="5"/>
  <c r="M648" i="5"/>
  <c r="N648" i="5"/>
  <c r="O648" i="5"/>
  <c r="P648" i="5"/>
  <c r="Q648" i="5"/>
  <c r="R648" i="5"/>
  <c r="S648" i="5"/>
  <c r="T648" i="5"/>
  <c r="U648" i="5"/>
  <c r="V648" i="5"/>
  <c r="W648" i="5"/>
  <c r="X648" i="5"/>
  <c r="B649" i="5"/>
  <c r="C649" i="5"/>
  <c r="D649" i="5"/>
  <c r="E649" i="5"/>
  <c r="F649" i="5"/>
  <c r="G649" i="5"/>
  <c r="H649" i="5"/>
  <c r="I649" i="5"/>
  <c r="J649" i="5"/>
  <c r="K649" i="5"/>
  <c r="L649" i="5"/>
  <c r="M649" i="5"/>
  <c r="N649" i="5"/>
  <c r="O649" i="5"/>
  <c r="P649" i="5"/>
  <c r="Q649" i="5"/>
  <c r="R649" i="5"/>
  <c r="S649" i="5"/>
  <c r="T649" i="5"/>
  <c r="U649" i="5"/>
  <c r="V649" i="5"/>
  <c r="W649" i="5"/>
  <c r="X649" i="5"/>
  <c r="B650" i="5"/>
  <c r="C650" i="5"/>
  <c r="D650" i="5"/>
  <c r="E650" i="5"/>
  <c r="F650" i="5"/>
  <c r="G650" i="5"/>
  <c r="H650" i="5"/>
  <c r="I650" i="5"/>
  <c r="J650" i="5"/>
  <c r="K650" i="5"/>
  <c r="L650" i="5"/>
  <c r="M650" i="5"/>
  <c r="N650" i="5"/>
  <c r="O650" i="5"/>
  <c r="P650" i="5"/>
  <c r="Q650" i="5"/>
  <c r="R650" i="5"/>
  <c r="S650" i="5"/>
  <c r="T650" i="5"/>
  <c r="U650" i="5"/>
  <c r="V650" i="5"/>
  <c r="W650" i="5"/>
  <c r="X650" i="5"/>
  <c r="B651" i="5"/>
  <c r="AB651" i="5" s="1"/>
  <c r="C651" i="5"/>
  <c r="D651" i="5"/>
  <c r="E651" i="5"/>
  <c r="F651" i="5"/>
  <c r="G651" i="5"/>
  <c r="H651" i="5"/>
  <c r="I651" i="5"/>
  <c r="J651" i="5"/>
  <c r="K651" i="5"/>
  <c r="L651" i="5"/>
  <c r="M651" i="5"/>
  <c r="N651" i="5"/>
  <c r="O651" i="5"/>
  <c r="P651" i="5"/>
  <c r="Q651" i="5"/>
  <c r="R651" i="5"/>
  <c r="S651" i="5"/>
  <c r="T651" i="5"/>
  <c r="U651" i="5"/>
  <c r="V651" i="5"/>
  <c r="W651" i="5"/>
  <c r="X651" i="5"/>
  <c r="B652" i="5"/>
  <c r="C652" i="5"/>
  <c r="D652" i="5"/>
  <c r="E652" i="5"/>
  <c r="F652" i="5"/>
  <c r="G652" i="5"/>
  <c r="H652" i="5"/>
  <c r="I652" i="5"/>
  <c r="J652" i="5"/>
  <c r="K652" i="5"/>
  <c r="L652" i="5"/>
  <c r="M652" i="5"/>
  <c r="N652" i="5"/>
  <c r="O652" i="5"/>
  <c r="P652" i="5"/>
  <c r="Q652" i="5"/>
  <c r="R652" i="5"/>
  <c r="S652" i="5"/>
  <c r="T652" i="5"/>
  <c r="U652" i="5"/>
  <c r="V652" i="5"/>
  <c r="W652" i="5"/>
  <c r="X652" i="5"/>
  <c r="B653" i="5"/>
  <c r="C653" i="5"/>
  <c r="D653" i="5"/>
  <c r="E653" i="5"/>
  <c r="F653" i="5"/>
  <c r="G653" i="5"/>
  <c r="H653" i="5"/>
  <c r="I653" i="5"/>
  <c r="J653" i="5"/>
  <c r="K653" i="5"/>
  <c r="L653" i="5"/>
  <c r="M653" i="5"/>
  <c r="N653" i="5"/>
  <c r="AC653" i="5" s="1"/>
  <c r="O653" i="5"/>
  <c r="P653" i="5"/>
  <c r="Q653" i="5"/>
  <c r="R653" i="5"/>
  <c r="S653" i="5"/>
  <c r="T653" i="5"/>
  <c r="U653" i="5"/>
  <c r="V653" i="5"/>
  <c r="W653" i="5"/>
  <c r="X653" i="5"/>
  <c r="B654" i="5"/>
  <c r="C654" i="5"/>
  <c r="D654" i="5"/>
  <c r="E654" i="5"/>
  <c r="F654" i="5"/>
  <c r="G654" i="5"/>
  <c r="H654" i="5"/>
  <c r="I654" i="5"/>
  <c r="J654" i="5"/>
  <c r="K654" i="5"/>
  <c r="L654" i="5"/>
  <c r="M654" i="5"/>
  <c r="N654" i="5"/>
  <c r="O654" i="5"/>
  <c r="P654" i="5"/>
  <c r="Q654" i="5"/>
  <c r="R654" i="5"/>
  <c r="S654" i="5"/>
  <c r="T654" i="5"/>
  <c r="U654" i="5"/>
  <c r="V654" i="5"/>
  <c r="W654" i="5"/>
  <c r="X654" i="5"/>
  <c r="B655" i="5"/>
  <c r="C655" i="5"/>
  <c r="D655" i="5"/>
  <c r="E655" i="5"/>
  <c r="F655" i="5"/>
  <c r="G655" i="5"/>
  <c r="H655" i="5"/>
  <c r="I655" i="5"/>
  <c r="J655" i="5"/>
  <c r="K655" i="5"/>
  <c r="L655" i="5"/>
  <c r="M655" i="5"/>
  <c r="N655" i="5"/>
  <c r="O655" i="5"/>
  <c r="P655" i="5"/>
  <c r="AC655" i="5" s="1"/>
  <c r="Q655" i="5"/>
  <c r="R655" i="5"/>
  <c r="S655" i="5"/>
  <c r="T655" i="5"/>
  <c r="U655" i="5"/>
  <c r="V655" i="5"/>
  <c r="W655" i="5"/>
  <c r="X655" i="5"/>
  <c r="B656" i="5"/>
  <c r="C656" i="5"/>
  <c r="D656" i="5"/>
  <c r="AB656" i="5" s="1"/>
  <c r="E656" i="5"/>
  <c r="F656" i="5"/>
  <c r="G656" i="5"/>
  <c r="H656" i="5"/>
  <c r="I656" i="5"/>
  <c r="J656" i="5"/>
  <c r="K656" i="5"/>
  <c r="L656" i="5"/>
  <c r="M656" i="5"/>
  <c r="N656" i="5"/>
  <c r="O656" i="5"/>
  <c r="P656" i="5"/>
  <c r="Q656" i="5"/>
  <c r="R656" i="5"/>
  <c r="S656" i="5"/>
  <c r="T656" i="5"/>
  <c r="U656" i="5"/>
  <c r="V656" i="5"/>
  <c r="W656" i="5"/>
  <c r="X656" i="5"/>
  <c r="B657" i="5"/>
  <c r="C657" i="5"/>
  <c r="D657" i="5"/>
  <c r="E657" i="5"/>
  <c r="F657" i="5"/>
  <c r="G657" i="5"/>
  <c r="H657" i="5"/>
  <c r="I657" i="5"/>
  <c r="J657" i="5"/>
  <c r="K657" i="5"/>
  <c r="L657" i="5"/>
  <c r="M657" i="5"/>
  <c r="N657" i="5"/>
  <c r="O657" i="5"/>
  <c r="P657" i="5"/>
  <c r="Q657" i="5"/>
  <c r="R657" i="5"/>
  <c r="S657" i="5"/>
  <c r="T657" i="5"/>
  <c r="U657" i="5"/>
  <c r="V657" i="5"/>
  <c r="W657" i="5"/>
  <c r="X657" i="5"/>
  <c r="B658" i="5"/>
  <c r="C658" i="5"/>
  <c r="D658" i="5"/>
  <c r="E658" i="5"/>
  <c r="F658" i="5"/>
  <c r="G658" i="5"/>
  <c r="H658" i="5"/>
  <c r="I658" i="5"/>
  <c r="J658" i="5"/>
  <c r="K658" i="5"/>
  <c r="L658" i="5"/>
  <c r="M658" i="5"/>
  <c r="N658" i="5"/>
  <c r="O658" i="5"/>
  <c r="P658" i="5"/>
  <c r="Q658" i="5"/>
  <c r="R658" i="5"/>
  <c r="S658" i="5"/>
  <c r="T658" i="5"/>
  <c r="U658" i="5"/>
  <c r="V658" i="5"/>
  <c r="W658" i="5"/>
  <c r="X658" i="5"/>
  <c r="AC658" i="5"/>
  <c r="B659" i="5"/>
  <c r="C659" i="5"/>
  <c r="D659" i="5"/>
  <c r="E659" i="5"/>
  <c r="F659" i="5"/>
  <c r="G659" i="5"/>
  <c r="H659" i="5"/>
  <c r="I659" i="5"/>
  <c r="J659" i="5"/>
  <c r="K659" i="5"/>
  <c r="L659" i="5"/>
  <c r="M659" i="5"/>
  <c r="N659" i="5"/>
  <c r="O659" i="5"/>
  <c r="P659" i="5"/>
  <c r="Q659" i="5"/>
  <c r="R659" i="5"/>
  <c r="S659" i="5"/>
  <c r="T659" i="5"/>
  <c r="U659" i="5"/>
  <c r="V659" i="5"/>
  <c r="W659" i="5"/>
  <c r="X659" i="5"/>
  <c r="B660" i="5"/>
  <c r="C660" i="5"/>
  <c r="D660" i="5"/>
  <c r="E660" i="5"/>
  <c r="F660" i="5"/>
  <c r="G660" i="5"/>
  <c r="H660" i="5"/>
  <c r="I660" i="5"/>
  <c r="J660" i="5"/>
  <c r="K660" i="5"/>
  <c r="L660" i="5"/>
  <c r="M660" i="5"/>
  <c r="N660" i="5"/>
  <c r="O660" i="5"/>
  <c r="P660" i="5"/>
  <c r="Q660" i="5"/>
  <c r="R660" i="5"/>
  <c r="S660" i="5"/>
  <c r="T660" i="5"/>
  <c r="U660" i="5"/>
  <c r="V660" i="5"/>
  <c r="W660" i="5"/>
  <c r="X660" i="5"/>
  <c r="B661" i="5"/>
  <c r="C661" i="5"/>
  <c r="D661" i="5"/>
  <c r="E661" i="5"/>
  <c r="F661" i="5"/>
  <c r="G661" i="5"/>
  <c r="H661" i="5"/>
  <c r="I661" i="5"/>
  <c r="J661" i="5"/>
  <c r="K661" i="5"/>
  <c r="L661" i="5"/>
  <c r="M661" i="5"/>
  <c r="N661" i="5"/>
  <c r="O661" i="5"/>
  <c r="P661" i="5"/>
  <c r="Q661" i="5"/>
  <c r="R661" i="5"/>
  <c r="S661" i="5"/>
  <c r="T661" i="5"/>
  <c r="U661" i="5"/>
  <c r="V661" i="5"/>
  <c r="W661" i="5"/>
  <c r="X661" i="5"/>
  <c r="B662" i="5"/>
  <c r="C662" i="5"/>
  <c r="D662" i="5"/>
  <c r="E662" i="5"/>
  <c r="F662" i="5"/>
  <c r="G662" i="5"/>
  <c r="H662" i="5"/>
  <c r="I662" i="5"/>
  <c r="J662" i="5"/>
  <c r="K662" i="5"/>
  <c r="L662" i="5"/>
  <c r="M662" i="5"/>
  <c r="N662" i="5"/>
  <c r="O662" i="5"/>
  <c r="P662" i="5"/>
  <c r="Q662" i="5"/>
  <c r="R662" i="5"/>
  <c r="S662" i="5"/>
  <c r="T662" i="5"/>
  <c r="U662" i="5"/>
  <c r="V662" i="5"/>
  <c r="W662" i="5"/>
  <c r="X662" i="5"/>
  <c r="B663" i="5"/>
  <c r="C663" i="5"/>
  <c r="D663" i="5"/>
  <c r="E663" i="5"/>
  <c r="F663" i="5"/>
  <c r="G663" i="5"/>
  <c r="H663" i="5"/>
  <c r="I663" i="5"/>
  <c r="J663" i="5"/>
  <c r="K663" i="5"/>
  <c r="L663" i="5"/>
  <c r="M663" i="5"/>
  <c r="AC663" i="5" s="1"/>
  <c r="N663" i="5"/>
  <c r="O663" i="5"/>
  <c r="P663" i="5"/>
  <c r="Q663" i="5"/>
  <c r="R663" i="5"/>
  <c r="S663" i="5"/>
  <c r="T663" i="5"/>
  <c r="U663" i="5"/>
  <c r="V663" i="5"/>
  <c r="W663" i="5"/>
  <c r="X663" i="5"/>
  <c r="B664" i="5"/>
  <c r="C664" i="5"/>
  <c r="D664" i="5"/>
  <c r="E664" i="5"/>
  <c r="F664" i="5"/>
  <c r="G664" i="5"/>
  <c r="H664" i="5"/>
  <c r="I664" i="5"/>
  <c r="J664" i="5"/>
  <c r="K664" i="5"/>
  <c r="L664" i="5"/>
  <c r="M664" i="5"/>
  <c r="N664" i="5"/>
  <c r="O664" i="5"/>
  <c r="P664" i="5"/>
  <c r="Q664" i="5"/>
  <c r="R664" i="5"/>
  <c r="S664" i="5"/>
  <c r="T664" i="5"/>
  <c r="U664" i="5"/>
  <c r="V664" i="5"/>
  <c r="W664" i="5"/>
  <c r="X664" i="5"/>
  <c r="B665" i="5"/>
  <c r="C665" i="5"/>
  <c r="D665" i="5"/>
  <c r="E665" i="5"/>
  <c r="F665" i="5"/>
  <c r="G665" i="5"/>
  <c r="H665" i="5"/>
  <c r="I665" i="5"/>
  <c r="J665" i="5"/>
  <c r="K665" i="5"/>
  <c r="L665" i="5"/>
  <c r="M665" i="5"/>
  <c r="N665" i="5"/>
  <c r="O665" i="5"/>
  <c r="P665" i="5"/>
  <c r="Q665" i="5"/>
  <c r="R665" i="5"/>
  <c r="S665" i="5"/>
  <c r="T665" i="5"/>
  <c r="U665" i="5"/>
  <c r="V665" i="5"/>
  <c r="W665" i="5"/>
  <c r="X665" i="5"/>
  <c r="B666" i="5"/>
  <c r="C666" i="5"/>
  <c r="D666" i="5"/>
  <c r="E666" i="5"/>
  <c r="F666" i="5"/>
  <c r="G666" i="5"/>
  <c r="H666" i="5"/>
  <c r="I666" i="5"/>
  <c r="J666" i="5"/>
  <c r="K666" i="5"/>
  <c r="L666" i="5"/>
  <c r="M666" i="5"/>
  <c r="N666" i="5"/>
  <c r="O666" i="5"/>
  <c r="P666" i="5"/>
  <c r="Q666" i="5"/>
  <c r="R666" i="5"/>
  <c r="S666" i="5"/>
  <c r="T666" i="5"/>
  <c r="U666" i="5"/>
  <c r="V666" i="5"/>
  <c r="W666" i="5"/>
  <c r="X666" i="5"/>
  <c r="B667" i="5"/>
  <c r="C667" i="5"/>
  <c r="D667" i="5"/>
  <c r="E667" i="5"/>
  <c r="F667" i="5"/>
  <c r="G667" i="5"/>
  <c r="H667" i="5"/>
  <c r="I667" i="5"/>
  <c r="J667" i="5"/>
  <c r="K667" i="5"/>
  <c r="L667" i="5"/>
  <c r="M667" i="5"/>
  <c r="N667" i="5"/>
  <c r="O667" i="5"/>
  <c r="P667" i="5"/>
  <c r="Q667" i="5"/>
  <c r="R667" i="5"/>
  <c r="S667" i="5"/>
  <c r="T667" i="5"/>
  <c r="U667" i="5"/>
  <c r="V667" i="5"/>
  <c r="W667" i="5"/>
  <c r="X667" i="5"/>
  <c r="B668" i="5"/>
  <c r="C668" i="5"/>
  <c r="D668" i="5"/>
  <c r="E668" i="5"/>
  <c r="F668" i="5"/>
  <c r="G668" i="5"/>
  <c r="H668" i="5"/>
  <c r="I668" i="5"/>
  <c r="J668" i="5"/>
  <c r="K668" i="5"/>
  <c r="L668" i="5"/>
  <c r="M668" i="5"/>
  <c r="N668" i="5"/>
  <c r="O668" i="5"/>
  <c r="P668" i="5"/>
  <c r="Q668" i="5"/>
  <c r="R668" i="5"/>
  <c r="S668" i="5"/>
  <c r="T668" i="5"/>
  <c r="U668" i="5"/>
  <c r="V668" i="5"/>
  <c r="W668" i="5"/>
  <c r="X668" i="5"/>
  <c r="B669" i="5"/>
  <c r="C669" i="5"/>
  <c r="D669" i="5"/>
  <c r="E669" i="5"/>
  <c r="F669" i="5"/>
  <c r="G669" i="5"/>
  <c r="H669" i="5"/>
  <c r="I669" i="5"/>
  <c r="J669" i="5"/>
  <c r="K669" i="5"/>
  <c r="L669" i="5"/>
  <c r="M669" i="5"/>
  <c r="N669" i="5"/>
  <c r="O669" i="5"/>
  <c r="AC669" i="5" s="1"/>
  <c r="P669" i="5"/>
  <c r="Q669" i="5"/>
  <c r="R669" i="5"/>
  <c r="S669" i="5"/>
  <c r="T669" i="5"/>
  <c r="U669" i="5"/>
  <c r="V669" i="5"/>
  <c r="W669" i="5"/>
  <c r="X669" i="5"/>
  <c r="B670" i="5"/>
  <c r="C670" i="5"/>
  <c r="D670" i="5"/>
  <c r="E670" i="5"/>
  <c r="F670" i="5"/>
  <c r="G670" i="5"/>
  <c r="H670" i="5"/>
  <c r="I670" i="5"/>
  <c r="J670" i="5"/>
  <c r="K670" i="5"/>
  <c r="L670" i="5"/>
  <c r="M670" i="5"/>
  <c r="N670" i="5"/>
  <c r="O670" i="5"/>
  <c r="P670" i="5"/>
  <c r="Q670" i="5"/>
  <c r="R670" i="5"/>
  <c r="S670" i="5"/>
  <c r="T670" i="5"/>
  <c r="U670" i="5"/>
  <c r="V670" i="5"/>
  <c r="W670" i="5"/>
  <c r="X670" i="5"/>
  <c r="B671" i="5"/>
  <c r="C671" i="5"/>
  <c r="D671" i="5"/>
  <c r="E671" i="5"/>
  <c r="F671" i="5"/>
  <c r="G671" i="5"/>
  <c r="H671" i="5"/>
  <c r="I671" i="5"/>
  <c r="J671" i="5"/>
  <c r="K671" i="5"/>
  <c r="L671" i="5"/>
  <c r="M671" i="5"/>
  <c r="AC671" i="5" s="1"/>
  <c r="N671" i="5"/>
  <c r="O671" i="5"/>
  <c r="P671" i="5"/>
  <c r="Q671" i="5"/>
  <c r="R671" i="5"/>
  <c r="S671" i="5"/>
  <c r="T671" i="5"/>
  <c r="U671" i="5"/>
  <c r="V671" i="5"/>
  <c r="W671" i="5"/>
  <c r="X671" i="5"/>
  <c r="B672" i="5"/>
  <c r="C672" i="5"/>
  <c r="D672" i="5"/>
  <c r="E672" i="5"/>
  <c r="F672" i="5"/>
  <c r="G672" i="5"/>
  <c r="H672" i="5"/>
  <c r="I672" i="5"/>
  <c r="J672" i="5"/>
  <c r="K672" i="5"/>
  <c r="L672" i="5"/>
  <c r="M672" i="5"/>
  <c r="N672" i="5"/>
  <c r="O672" i="5"/>
  <c r="P672" i="5"/>
  <c r="Q672" i="5"/>
  <c r="R672" i="5"/>
  <c r="S672" i="5"/>
  <c r="T672" i="5"/>
  <c r="U672" i="5"/>
  <c r="V672" i="5"/>
  <c r="W672" i="5"/>
  <c r="X672" i="5"/>
  <c r="B673" i="5"/>
  <c r="C673" i="5"/>
  <c r="D673" i="5"/>
  <c r="E673" i="5"/>
  <c r="F673" i="5"/>
  <c r="G673" i="5"/>
  <c r="H673" i="5"/>
  <c r="I673" i="5"/>
  <c r="J673" i="5"/>
  <c r="K673" i="5"/>
  <c r="L673" i="5"/>
  <c r="M673" i="5"/>
  <c r="N673" i="5"/>
  <c r="O673" i="5"/>
  <c r="P673" i="5"/>
  <c r="Q673" i="5"/>
  <c r="R673" i="5"/>
  <c r="S673" i="5"/>
  <c r="T673" i="5"/>
  <c r="U673" i="5"/>
  <c r="V673" i="5"/>
  <c r="W673" i="5"/>
  <c r="X673" i="5"/>
  <c r="B674" i="5"/>
  <c r="C674" i="5"/>
  <c r="D674" i="5"/>
  <c r="E674" i="5"/>
  <c r="F674" i="5"/>
  <c r="G674" i="5"/>
  <c r="H674" i="5"/>
  <c r="I674" i="5"/>
  <c r="J674" i="5"/>
  <c r="K674" i="5"/>
  <c r="L674" i="5"/>
  <c r="M674" i="5"/>
  <c r="N674" i="5"/>
  <c r="O674" i="5"/>
  <c r="P674" i="5"/>
  <c r="Q674" i="5"/>
  <c r="R674" i="5"/>
  <c r="S674" i="5"/>
  <c r="T674" i="5"/>
  <c r="U674" i="5"/>
  <c r="V674" i="5"/>
  <c r="W674" i="5"/>
  <c r="X674" i="5"/>
  <c r="B675" i="5"/>
  <c r="C675" i="5"/>
  <c r="D675" i="5"/>
  <c r="E675" i="5"/>
  <c r="F675" i="5"/>
  <c r="G675" i="5"/>
  <c r="H675" i="5"/>
  <c r="I675" i="5"/>
  <c r="J675" i="5"/>
  <c r="K675" i="5"/>
  <c r="L675" i="5"/>
  <c r="M675" i="5"/>
  <c r="AC675" i="5" s="1"/>
  <c r="N675" i="5"/>
  <c r="O675" i="5"/>
  <c r="P675" i="5"/>
  <c r="Q675" i="5"/>
  <c r="R675" i="5"/>
  <c r="S675" i="5"/>
  <c r="T675" i="5"/>
  <c r="U675" i="5"/>
  <c r="V675" i="5"/>
  <c r="W675" i="5"/>
  <c r="X675" i="5"/>
  <c r="B676" i="5"/>
  <c r="C676" i="5"/>
  <c r="D676" i="5"/>
  <c r="E676" i="5"/>
  <c r="F676" i="5"/>
  <c r="G676" i="5"/>
  <c r="H676" i="5"/>
  <c r="I676" i="5"/>
  <c r="J676" i="5"/>
  <c r="K676" i="5"/>
  <c r="L676" i="5"/>
  <c r="M676" i="5"/>
  <c r="N676" i="5"/>
  <c r="O676" i="5"/>
  <c r="P676" i="5"/>
  <c r="Q676" i="5"/>
  <c r="R676" i="5"/>
  <c r="S676" i="5"/>
  <c r="T676" i="5"/>
  <c r="U676" i="5"/>
  <c r="V676" i="5"/>
  <c r="W676" i="5"/>
  <c r="X676" i="5"/>
  <c r="B677" i="5"/>
  <c r="C677" i="5"/>
  <c r="D677" i="5"/>
  <c r="E677" i="5"/>
  <c r="F677" i="5"/>
  <c r="G677" i="5"/>
  <c r="H677" i="5"/>
  <c r="I677" i="5"/>
  <c r="J677" i="5"/>
  <c r="K677" i="5"/>
  <c r="L677" i="5"/>
  <c r="M677" i="5"/>
  <c r="N677" i="5"/>
  <c r="O677" i="5"/>
  <c r="AC677" i="5" s="1"/>
  <c r="P677" i="5"/>
  <c r="Q677" i="5"/>
  <c r="R677" i="5"/>
  <c r="S677" i="5"/>
  <c r="T677" i="5"/>
  <c r="U677" i="5"/>
  <c r="V677" i="5"/>
  <c r="W677" i="5"/>
  <c r="X677" i="5"/>
  <c r="B678" i="5"/>
  <c r="C678" i="5"/>
  <c r="D678" i="5"/>
  <c r="E678" i="5"/>
  <c r="F678" i="5"/>
  <c r="G678" i="5"/>
  <c r="H678" i="5"/>
  <c r="I678" i="5"/>
  <c r="J678" i="5"/>
  <c r="K678" i="5"/>
  <c r="L678" i="5"/>
  <c r="M678" i="5"/>
  <c r="N678" i="5"/>
  <c r="O678" i="5"/>
  <c r="P678" i="5"/>
  <c r="Q678" i="5"/>
  <c r="R678" i="5"/>
  <c r="S678" i="5"/>
  <c r="T678" i="5"/>
  <c r="U678" i="5"/>
  <c r="V678" i="5"/>
  <c r="W678" i="5"/>
  <c r="X678" i="5"/>
  <c r="B679" i="5"/>
  <c r="C679" i="5"/>
  <c r="D679" i="5"/>
  <c r="E679" i="5"/>
  <c r="F679" i="5"/>
  <c r="G679" i="5"/>
  <c r="H679" i="5"/>
  <c r="I679" i="5"/>
  <c r="J679" i="5"/>
  <c r="K679" i="5"/>
  <c r="L679" i="5"/>
  <c r="M679" i="5"/>
  <c r="N679" i="5"/>
  <c r="O679" i="5"/>
  <c r="P679" i="5"/>
  <c r="Q679" i="5"/>
  <c r="R679" i="5"/>
  <c r="S679" i="5"/>
  <c r="T679" i="5"/>
  <c r="U679" i="5"/>
  <c r="V679" i="5"/>
  <c r="W679" i="5"/>
  <c r="X679" i="5"/>
  <c r="AC679" i="5"/>
  <c r="B680" i="5"/>
  <c r="C680" i="5"/>
  <c r="D680" i="5"/>
  <c r="E680" i="5"/>
  <c r="F680" i="5"/>
  <c r="G680" i="5"/>
  <c r="H680" i="5"/>
  <c r="I680" i="5"/>
  <c r="J680" i="5"/>
  <c r="K680" i="5"/>
  <c r="L680" i="5"/>
  <c r="M680" i="5"/>
  <c r="N680" i="5"/>
  <c r="O680" i="5"/>
  <c r="P680" i="5"/>
  <c r="Q680" i="5"/>
  <c r="R680" i="5"/>
  <c r="S680" i="5"/>
  <c r="T680" i="5"/>
  <c r="U680" i="5"/>
  <c r="V680" i="5"/>
  <c r="W680" i="5"/>
  <c r="X680" i="5"/>
  <c r="B681" i="5"/>
  <c r="C681" i="5"/>
  <c r="D681" i="5"/>
  <c r="E681" i="5"/>
  <c r="F681" i="5"/>
  <c r="G681" i="5"/>
  <c r="H681" i="5"/>
  <c r="I681" i="5"/>
  <c r="J681" i="5"/>
  <c r="K681" i="5"/>
  <c r="L681" i="5"/>
  <c r="M681" i="5"/>
  <c r="N681" i="5"/>
  <c r="O681" i="5"/>
  <c r="P681" i="5"/>
  <c r="Q681" i="5"/>
  <c r="R681" i="5"/>
  <c r="S681" i="5"/>
  <c r="T681" i="5"/>
  <c r="U681" i="5"/>
  <c r="V681" i="5"/>
  <c r="W681" i="5"/>
  <c r="X681" i="5"/>
  <c r="B682" i="5"/>
  <c r="C682" i="5"/>
  <c r="D682" i="5"/>
  <c r="E682" i="5"/>
  <c r="F682" i="5"/>
  <c r="G682" i="5"/>
  <c r="H682" i="5"/>
  <c r="I682" i="5"/>
  <c r="J682" i="5"/>
  <c r="K682" i="5"/>
  <c r="L682" i="5"/>
  <c r="M682" i="5"/>
  <c r="N682" i="5"/>
  <c r="O682" i="5"/>
  <c r="AC682" i="5" s="1"/>
  <c r="P682" i="5"/>
  <c r="Q682" i="5"/>
  <c r="R682" i="5"/>
  <c r="S682" i="5"/>
  <c r="T682" i="5"/>
  <c r="U682" i="5"/>
  <c r="V682" i="5"/>
  <c r="W682" i="5"/>
  <c r="X682" i="5"/>
  <c r="B683" i="5"/>
  <c r="C683" i="5"/>
  <c r="D683" i="5"/>
  <c r="AB683" i="5" s="1"/>
  <c r="E683" i="5"/>
  <c r="F683" i="5"/>
  <c r="G683" i="5"/>
  <c r="H683" i="5"/>
  <c r="I683" i="5"/>
  <c r="J683" i="5"/>
  <c r="K683" i="5"/>
  <c r="L683" i="5"/>
  <c r="M683" i="5"/>
  <c r="N683" i="5"/>
  <c r="O683" i="5"/>
  <c r="P683" i="5"/>
  <c r="Q683" i="5"/>
  <c r="R683" i="5"/>
  <c r="S683" i="5"/>
  <c r="T683" i="5"/>
  <c r="U683" i="5"/>
  <c r="V683" i="5"/>
  <c r="W683" i="5"/>
  <c r="X683" i="5"/>
  <c r="B684" i="5"/>
  <c r="C684" i="5"/>
  <c r="D684" i="5"/>
  <c r="E684" i="5"/>
  <c r="F684" i="5"/>
  <c r="G684" i="5"/>
  <c r="H684" i="5"/>
  <c r="I684" i="5"/>
  <c r="J684" i="5"/>
  <c r="K684" i="5"/>
  <c r="L684" i="5"/>
  <c r="M684" i="5"/>
  <c r="N684" i="5"/>
  <c r="O684" i="5"/>
  <c r="P684" i="5"/>
  <c r="Q684" i="5"/>
  <c r="R684" i="5"/>
  <c r="S684" i="5"/>
  <c r="T684" i="5"/>
  <c r="U684" i="5"/>
  <c r="V684" i="5"/>
  <c r="W684" i="5"/>
  <c r="X684" i="5"/>
  <c r="B685" i="5"/>
  <c r="C685" i="5"/>
  <c r="D685" i="5"/>
  <c r="E685" i="5"/>
  <c r="F685" i="5"/>
  <c r="G685" i="5"/>
  <c r="H685" i="5"/>
  <c r="I685" i="5"/>
  <c r="J685" i="5"/>
  <c r="K685" i="5"/>
  <c r="L685" i="5"/>
  <c r="M685" i="5"/>
  <c r="N685" i="5"/>
  <c r="O685" i="5"/>
  <c r="P685" i="5"/>
  <c r="Q685" i="5"/>
  <c r="R685" i="5"/>
  <c r="S685" i="5"/>
  <c r="T685" i="5"/>
  <c r="U685" i="5"/>
  <c r="V685" i="5"/>
  <c r="W685" i="5"/>
  <c r="X685" i="5"/>
  <c r="AC685" i="5"/>
  <c r="B686" i="5"/>
  <c r="C686" i="5"/>
  <c r="D686" i="5"/>
  <c r="E686" i="5"/>
  <c r="F686" i="5"/>
  <c r="G686" i="5"/>
  <c r="H686" i="5"/>
  <c r="I686" i="5"/>
  <c r="J686" i="5"/>
  <c r="K686" i="5"/>
  <c r="L686" i="5"/>
  <c r="M686" i="5"/>
  <c r="N686" i="5"/>
  <c r="O686" i="5"/>
  <c r="P686" i="5"/>
  <c r="Q686" i="5"/>
  <c r="R686" i="5"/>
  <c r="S686" i="5"/>
  <c r="T686" i="5"/>
  <c r="U686" i="5"/>
  <c r="V686" i="5"/>
  <c r="W686" i="5"/>
  <c r="X686" i="5"/>
  <c r="AB686" i="5"/>
  <c r="B687" i="5"/>
  <c r="C687" i="5"/>
  <c r="D687" i="5"/>
  <c r="E687" i="5"/>
  <c r="F687" i="5"/>
  <c r="G687" i="5"/>
  <c r="H687" i="5"/>
  <c r="I687" i="5"/>
  <c r="J687" i="5"/>
  <c r="K687" i="5"/>
  <c r="L687" i="5"/>
  <c r="M687" i="5"/>
  <c r="N687" i="5"/>
  <c r="O687" i="5"/>
  <c r="P687" i="5"/>
  <c r="Q687" i="5"/>
  <c r="R687" i="5"/>
  <c r="S687" i="5"/>
  <c r="T687" i="5"/>
  <c r="U687" i="5"/>
  <c r="V687" i="5"/>
  <c r="W687" i="5"/>
  <c r="X687" i="5"/>
  <c r="B688" i="5"/>
  <c r="AB688" i="5" s="1"/>
  <c r="C688" i="5"/>
  <c r="D688" i="5"/>
  <c r="E688" i="5"/>
  <c r="F688" i="5"/>
  <c r="G688" i="5"/>
  <c r="H688" i="5"/>
  <c r="I688" i="5"/>
  <c r="J688" i="5"/>
  <c r="K688" i="5"/>
  <c r="L688" i="5"/>
  <c r="M688" i="5"/>
  <c r="N688" i="5"/>
  <c r="O688" i="5"/>
  <c r="P688" i="5"/>
  <c r="Q688" i="5"/>
  <c r="R688" i="5"/>
  <c r="S688" i="5"/>
  <c r="T688" i="5"/>
  <c r="U688" i="5"/>
  <c r="V688" i="5"/>
  <c r="W688" i="5"/>
  <c r="X688" i="5"/>
  <c r="B689" i="5"/>
  <c r="C689" i="5"/>
  <c r="D689" i="5"/>
  <c r="E689" i="5"/>
  <c r="F689" i="5"/>
  <c r="G689" i="5"/>
  <c r="H689" i="5"/>
  <c r="I689" i="5"/>
  <c r="J689" i="5"/>
  <c r="K689" i="5"/>
  <c r="L689" i="5"/>
  <c r="M689" i="5"/>
  <c r="N689" i="5"/>
  <c r="O689" i="5"/>
  <c r="P689" i="5"/>
  <c r="Q689" i="5"/>
  <c r="R689" i="5"/>
  <c r="S689" i="5"/>
  <c r="T689" i="5"/>
  <c r="U689" i="5"/>
  <c r="V689" i="5"/>
  <c r="W689" i="5"/>
  <c r="X689" i="5"/>
  <c r="B690" i="5"/>
  <c r="C690" i="5"/>
  <c r="D690" i="5"/>
  <c r="E690" i="5"/>
  <c r="F690" i="5"/>
  <c r="G690" i="5"/>
  <c r="H690" i="5"/>
  <c r="I690" i="5"/>
  <c r="J690" i="5"/>
  <c r="K690" i="5"/>
  <c r="L690" i="5"/>
  <c r="M690" i="5"/>
  <c r="N690" i="5"/>
  <c r="AC690" i="5" s="1"/>
  <c r="O690" i="5"/>
  <c r="P690" i="5"/>
  <c r="Q690" i="5"/>
  <c r="R690" i="5"/>
  <c r="S690" i="5"/>
  <c r="T690" i="5"/>
  <c r="U690" i="5"/>
  <c r="V690" i="5"/>
  <c r="W690" i="5"/>
  <c r="X690" i="5"/>
  <c r="B691" i="5"/>
  <c r="AB691" i="5" s="1"/>
  <c r="C691" i="5"/>
  <c r="D691" i="5"/>
  <c r="E691" i="5"/>
  <c r="F691" i="5"/>
  <c r="G691" i="5"/>
  <c r="H691" i="5"/>
  <c r="I691" i="5"/>
  <c r="J691" i="5"/>
  <c r="K691" i="5"/>
  <c r="L691" i="5"/>
  <c r="M691" i="5"/>
  <c r="N691" i="5"/>
  <c r="O691" i="5"/>
  <c r="P691" i="5"/>
  <c r="Q691" i="5"/>
  <c r="R691" i="5"/>
  <c r="S691" i="5"/>
  <c r="T691" i="5"/>
  <c r="U691" i="5"/>
  <c r="V691" i="5"/>
  <c r="W691" i="5"/>
  <c r="X691" i="5"/>
  <c r="B692" i="5"/>
  <c r="C692" i="5"/>
  <c r="D692" i="5"/>
  <c r="E692" i="5"/>
  <c r="F692" i="5"/>
  <c r="G692" i="5"/>
  <c r="H692" i="5"/>
  <c r="I692" i="5"/>
  <c r="J692" i="5"/>
  <c r="K692" i="5"/>
  <c r="L692" i="5"/>
  <c r="M692" i="5"/>
  <c r="N692" i="5"/>
  <c r="O692" i="5"/>
  <c r="P692" i="5"/>
  <c r="Q692" i="5"/>
  <c r="R692" i="5"/>
  <c r="S692" i="5"/>
  <c r="T692" i="5"/>
  <c r="U692" i="5"/>
  <c r="V692" i="5"/>
  <c r="W692" i="5"/>
  <c r="X692" i="5"/>
  <c r="B693" i="5"/>
  <c r="C693" i="5"/>
  <c r="D693" i="5"/>
  <c r="E693" i="5"/>
  <c r="F693" i="5"/>
  <c r="G693" i="5"/>
  <c r="H693" i="5"/>
  <c r="I693" i="5"/>
  <c r="J693" i="5"/>
  <c r="K693" i="5"/>
  <c r="L693" i="5"/>
  <c r="M693" i="5"/>
  <c r="N693" i="5"/>
  <c r="O693" i="5"/>
  <c r="P693" i="5"/>
  <c r="Q693" i="5"/>
  <c r="R693" i="5"/>
  <c r="S693" i="5"/>
  <c r="T693" i="5"/>
  <c r="U693" i="5"/>
  <c r="V693" i="5"/>
  <c r="W693" i="5"/>
  <c r="X693" i="5"/>
  <c r="B694" i="5"/>
  <c r="C694" i="5"/>
  <c r="D694" i="5"/>
  <c r="E694" i="5"/>
  <c r="F694" i="5"/>
  <c r="G694" i="5"/>
  <c r="H694" i="5"/>
  <c r="I694" i="5"/>
  <c r="J694" i="5"/>
  <c r="K694" i="5"/>
  <c r="L694" i="5"/>
  <c r="M694" i="5"/>
  <c r="N694" i="5"/>
  <c r="O694" i="5"/>
  <c r="P694" i="5"/>
  <c r="Q694" i="5"/>
  <c r="R694" i="5"/>
  <c r="S694" i="5"/>
  <c r="T694" i="5"/>
  <c r="U694" i="5"/>
  <c r="V694" i="5"/>
  <c r="W694" i="5"/>
  <c r="X694" i="5"/>
  <c r="B695" i="5"/>
  <c r="C695" i="5"/>
  <c r="D695" i="5"/>
  <c r="E695" i="5"/>
  <c r="F695" i="5"/>
  <c r="G695" i="5"/>
  <c r="H695" i="5"/>
  <c r="I695" i="5"/>
  <c r="J695" i="5"/>
  <c r="K695" i="5"/>
  <c r="L695" i="5"/>
  <c r="M695" i="5"/>
  <c r="N695" i="5"/>
  <c r="O695" i="5"/>
  <c r="P695" i="5"/>
  <c r="Q695" i="5"/>
  <c r="R695" i="5"/>
  <c r="S695" i="5"/>
  <c r="T695" i="5"/>
  <c r="U695" i="5"/>
  <c r="V695" i="5"/>
  <c r="W695" i="5"/>
  <c r="X695" i="5"/>
  <c r="B696" i="5"/>
  <c r="C696" i="5"/>
  <c r="D696" i="5"/>
  <c r="E696" i="5"/>
  <c r="F696" i="5"/>
  <c r="G696" i="5"/>
  <c r="H696" i="5"/>
  <c r="I696" i="5"/>
  <c r="J696" i="5"/>
  <c r="K696" i="5"/>
  <c r="L696" i="5"/>
  <c r="M696" i="5"/>
  <c r="N696" i="5"/>
  <c r="O696" i="5"/>
  <c r="P696" i="5"/>
  <c r="Q696" i="5"/>
  <c r="R696" i="5"/>
  <c r="S696" i="5"/>
  <c r="T696" i="5"/>
  <c r="U696" i="5"/>
  <c r="V696" i="5"/>
  <c r="W696" i="5"/>
  <c r="X696" i="5"/>
  <c r="B697" i="5"/>
  <c r="C697" i="5"/>
  <c r="D697" i="5"/>
  <c r="E697" i="5"/>
  <c r="F697" i="5"/>
  <c r="G697" i="5"/>
  <c r="H697" i="5"/>
  <c r="I697" i="5"/>
  <c r="J697" i="5"/>
  <c r="K697" i="5"/>
  <c r="L697" i="5"/>
  <c r="M697" i="5"/>
  <c r="N697" i="5"/>
  <c r="O697" i="5"/>
  <c r="P697" i="5"/>
  <c r="Q697" i="5"/>
  <c r="R697" i="5"/>
  <c r="S697" i="5"/>
  <c r="T697" i="5"/>
  <c r="U697" i="5"/>
  <c r="V697" i="5"/>
  <c r="W697" i="5"/>
  <c r="X697" i="5"/>
  <c r="B698" i="5"/>
  <c r="C698" i="5"/>
  <c r="D698" i="5"/>
  <c r="E698" i="5"/>
  <c r="F698" i="5"/>
  <c r="G698" i="5"/>
  <c r="H698" i="5"/>
  <c r="I698" i="5"/>
  <c r="J698" i="5"/>
  <c r="K698" i="5"/>
  <c r="L698" i="5"/>
  <c r="M698" i="5"/>
  <c r="AC698" i="5" s="1"/>
  <c r="N698" i="5"/>
  <c r="O698" i="5"/>
  <c r="P698" i="5"/>
  <c r="Q698" i="5"/>
  <c r="R698" i="5"/>
  <c r="S698" i="5"/>
  <c r="T698" i="5"/>
  <c r="U698" i="5"/>
  <c r="V698" i="5"/>
  <c r="W698" i="5"/>
  <c r="X698" i="5"/>
  <c r="B699" i="5"/>
  <c r="C699" i="5"/>
  <c r="D699" i="5"/>
  <c r="E699" i="5"/>
  <c r="F699" i="5"/>
  <c r="G699" i="5"/>
  <c r="H699" i="5"/>
  <c r="I699" i="5"/>
  <c r="J699" i="5"/>
  <c r="K699" i="5"/>
  <c r="L699" i="5"/>
  <c r="M699" i="5"/>
  <c r="N699" i="5"/>
  <c r="O699" i="5"/>
  <c r="P699" i="5"/>
  <c r="Q699" i="5"/>
  <c r="R699" i="5"/>
  <c r="S699" i="5"/>
  <c r="T699" i="5"/>
  <c r="U699" i="5"/>
  <c r="V699" i="5"/>
  <c r="W699" i="5"/>
  <c r="X699" i="5"/>
  <c r="B700" i="5"/>
  <c r="C700" i="5"/>
  <c r="D700" i="5"/>
  <c r="E700" i="5"/>
  <c r="F700" i="5"/>
  <c r="G700" i="5"/>
  <c r="H700" i="5"/>
  <c r="I700" i="5"/>
  <c r="J700" i="5"/>
  <c r="K700" i="5"/>
  <c r="L700" i="5"/>
  <c r="M700" i="5"/>
  <c r="N700" i="5"/>
  <c r="O700" i="5"/>
  <c r="P700" i="5"/>
  <c r="Q700" i="5"/>
  <c r="R700" i="5"/>
  <c r="S700" i="5"/>
  <c r="T700" i="5"/>
  <c r="U700" i="5"/>
  <c r="V700" i="5"/>
  <c r="W700" i="5"/>
  <c r="X700" i="5"/>
  <c r="B701" i="5"/>
  <c r="C701" i="5"/>
  <c r="D701" i="5"/>
  <c r="E701" i="5"/>
  <c r="F701" i="5"/>
  <c r="G701" i="5"/>
  <c r="H701" i="5"/>
  <c r="I701" i="5"/>
  <c r="J701" i="5"/>
  <c r="K701" i="5"/>
  <c r="L701" i="5"/>
  <c r="M701" i="5"/>
  <c r="N701" i="5"/>
  <c r="O701" i="5"/>
  <c r="P701" i="5"/>
  <c r="Q701" i="5"/>
  <c r="R701" i="5"/>
  <c r="S701" i="5"/>
  <c r="T701" i="5"/>
  <c r="U701" i="5"/>
  <c r="V701" i="5"/>
  <c r="W701" i="5"/>
  <c r="X701" i="5"/>
  <c r="B702" i="5"/>
  <c r="C702" i="5"/>
  <c r="D702" i="5"/>
  <c r="E702" i="5"/>
  <c r="F702" i="5"/>
  <c r="G702" i="5"/>
  <c r="H702" i="5"/>
  <c r="I702" i="5"/>
  <c r="J702" i="5"/>
  <c r="K702" i="5"/>
  <c r="L702" i="5"/>
  <c r="M702" i="5"/>
  <c r="N702" i="5"/>
  <c r="O702" i="5"/>
  <c r="P702" i="5"/>
  <c r="Q702" i="5"/>
  <c r="R702" i="5"/>
  <c r="S702" i="5"/>
  <c r="T702" i="5"/>
  <c r="U702" i="5"/>
  <c r="V702" i="5"/>
  <c r="W702" i="5"/>
  <c r="X702" i="5"/>
  <c r="B703" i="5"/>
  <c r="C703" i="5"/>
  <c r="D703" i="5"/>
  <c r="E703" i="5"/>
  <c r="F703" i="5"/>
  <c r="G703" i="5"/>
  <c r="H703" i="5"/>
  <c r="I703" i="5"/>
  <c r="J703" i="5"/>
  <c r="K703" i="5"/>
  <c r="L703" i="5"/>
  <c r="M703" i="5"/>
  <c r="N703" i="5"/>
  <c r="O703" i="5"/>
  <c r="P703" i="5"/>
  <c r="Q703" i="5"/>
  <c r="R703" i="5"/>
  <c r="S703" i="5"/>
  <c r="T703" i="5"/>
  <c r="U703" i="5"/>
  <c r="V703" i="5"/>
  <c r="W703" i="5"/>
  <c r="X703" i="5"/>
  <c r="B704" i="5"/>
  <c r="C704" i="5"/>
  <c r="D704" i="5"/>
  <c r="E704" i="5"/>
  <c r="F704" i="5"/>
  <c r="G704" i="5"/>
  <c r="H704" i="5"/>
  <c r="I704" i="5"/>
  <c r="J704" i="5"/>
  <c r="K704" i="5"/>
  <c r="L704" i="5"/>
  <c r="M704" i="5"/>
  <c r="N704" i="5"/>
  <c r="O704" i="5"/>
  <c r="P704" i="5"/>
  <c r="Q704" i="5"/>
  <c r="R704" i="5"/>
  <c r="S704" i="5"/>
  <c r="T704" i="5"/>
  <c r="U704" i="5"/>
  <c r="V704" i="5"/>
  <c r="W704" i="5"/>
  <c r="X704" i="5"/>
  <c r="B705" i="5"/>
  <c r="C705" i="5"/>
  <c r="D705" i="5"/>
  <c r="E705" i="5"/>
  <c r="F705" i="5"/>
  <c r="G705" i="5"/>
  <c r="H705" i="5"/>
  <c r="I705" i="5"/>
  <c r="J705" i="5"/>
  <c r="K705" i="5"/>
  <c r="L705" i="5"/>
  <c r="M705" i="5"/>
  <c r="N705" i="5"/>
  <c r="O705" i="5"/>
  <c r="P705" i="5"/>
  <c r="Q705" i="5"/>
  <c r="R705" i="5"/>
  <c r="S705" i="5"/>
  <c r="T705" i="5"/>
  <c r="U705" i="5"/>
  <c r="V705" i="5"/>
  <c r="W705" i="5"/>
  <c r="X705" i="5"/>
  <c r="B706" i="5"/>
  <c r="C706" i="5"/>
  <c r="D706" i="5"/>
  <c r="E706" i="5"/>
  <c r="F706" i="5"/>
  <c r="G706" i="5"/>
  <c r="H706" i="5"/>
  <c r="I706" i="5"/>
  <c r="J706" i="5"/>
  <c r="K706" i="5"/>
  <c r="L706" i="5"/>
  <c r="M706" i="5"/>
  <c r="AC706" i="5" s="1"/>
  <c r="N706" i="5"/>
  <c r="O706" i="5"/>
  <c r="P706" i="5"/>
  <c r="Q706" i="5"/>
  <c r="R706" i="5"/>
  <c r="S706" i="5"/>
  <c r="T706" i="5"/>
  <c r="U706" i="5"/>
  <c r="V706" i="5"/>
  <c r="W706" i="5"/>
  <c r="X706" i="5"/>
  <c r="B707" i="5"/>
  <c r="C707" i="5"/>
  <c r="D707" i="5"/>
  <c r="E707" i="5"/>
  <c r="F707" i="5"/>
  <c r="G707" i="5"/>
  <c r="H707" i="5"/>
  <c r="I707" i="5"/>
  <c r="J707" i="5"/>
  <c r="K707" i="5"/>
  <c r="L707" i="5"/>
  <c r="M707" i="5"/>
  <c r="N707" i="5"/>
  <c r="O707" i="5"/>
  <c r="P707" i="5"/>
  <c r="Q707" i="5"/>
  <c r="R707" i="5"/>
  <c r="S707" i="5"/>
  <c r="T707" i="5"/>
  <c r="U707" i="5"/>
  <c r="V707" i="5"/>
  <c r="W707" i="5"/>
  <c r="X707" i="5"/>
  <c r="B708" i="5"/>
  <c r="C708" i="5"/>
  <c r="D708" i="5"/>
  <c r="E708" i="5"/>
  <c r="F708" i="5"/>
  <c r="G708" i="5"/>
  <c r="H708" i="5"/>
  <c r="I708" i="5"/>
  <c r="J708" i="5"/>
  <c r="K708" i="5"/>
  <c r="L708" i="5"/>
  <c r="M708" i="5"/>
  <c r="N708" i="5"/>
  <c r="O708" i="5"/>
  <c r="P708" i="5"/>
  <c r="Q708" i="5"/>
  <c r="R708" i="5"/>
  <c r="S708" i="5"/>
  <c r="T708" i="5"/>
  <c r="U708" i="5"/>
  <c r="V708" i="5"/>
  <c r="W708" i="5"/>
  <c r="X708" i="5"/>
  <c r="B709" i="5"/>
  <c r="C709" i="5"/>
  <c r="D709" i="5"/>
  <c r="E709" i="5"/>
  <c r="F709" i="5"/>
  <c r="G709" i="5"/>
  <c r="H709" i="5"/>
  <c r="I709" i="5"/>
  <c r="J709" i="5"/>
  <c r="K709" i="5"/>
  <c r="L709" i="5"/>
  <c r="M709" i="5"/>
  <c r="N709" i="5"/>
  <c r="O709" i="5"/>
  <c r="P709" i="5"/>
  <c r="AC709" i="5" s="1"/>
  <c r="Q709" i="5"/>
  <c r="R709" i="5"/>
  <c r="S709" i="5"/>
  <c r="T709" i="5"/>
  <c r="U709" i="5"/>
  <c r="V709" i="5"/>
  <c r="W709" i="5"/>
  <c r="X709" i="5"/>
  <c r="B710" i="5"/>
  <c r="C710" i="5"/>
  <c r="D710" i="5"/>
  <c r="AB710" i="5" s="1"/>
  <c r="E710" i="5"/>
  <c r="F710" i="5"/>
  <c r="G710" i="5"/>
  <c r="H710" i="5"/>
  <c r="I710" i="5"/>
  <c r="J710" i="5"/>
  <c r="K710" i="5"/>
  <c r="L710" i="5"/>
  <c r="M710" i="5"/>
  <c r="N710" i="5"/>
  <c r="O710" i="5"/>
  <c r="P710" i="5"/>
  <c r="Q710" i="5"/>
  <c r="R710" i="5"/>
  <c r="S710" i="5"/>
  <c r="T710" i="5"/>
  <c r="U710" i="5"/>
  <c r="V710" i="5"/>
  <c r="W710" i="5"/>
  <c r="X710" i="5"/>
  <c r="B711" i="5"/>
  <c r="C711" i="5"/>
  <c r="D711" i="5"/>
  <c r="E711" i="5"/>
  <c r="F711" i="5"/>
  <c r="G711" i="5"/>
  <c r="H711" i="5"/>
  <c r="I711" i="5"/>
  <c r="J711" i="5"/>
  <c r="K711" i="5"/>
  <c r="L711" i="5"/>
  <c r="M711" i="5"/>
  <c r="N711" i="5"/>
  <c r="O711" i="5"/>
  <c r="P711" i="5"/>
  <c r="AC711" i="5" s="1"/>
  <c r="Q711" i="5"/>
  <c r="R711" i="5"/>
  <c r="S711" i="5"/>
  <c r="T711" i="5"/>
  <c r="U711" i="5"/>
  <c r="V711" i="5"/>
  <c r="W711" i="5"/>
  <c r="X711" i="5"/>
  <c r="B712" i="5"/>
  <c r="C712" i="5"/>
  <c r="D712" i="5"/>
  <c r="AB712" i="5" s="1"/>
  <c r="E712" i="5"/>
  <c r="F712" i="5"/>
  <c r="G712" i="5"/>
  <c r="H712" i="5"/>
  <c r="I712" i="5"/>
  <c r="J712" i="5"/>
  <c r="K712" i="5"/>
  <c r="L712" i="5"/>
  <c r="M712" i="5"/>
  <c r="N712" i="5"/>
  <c r="O712" i="5"/>
  <c r="P712" i="5"/>
  <c r="Q712" i="5"/>
  <c r="R712" i="5"/>
  <c r="S712" i="5"/>
  <c r="T712" i="5"/>
  <c r="U712" i="5"/>
  <c r="V712" i="5"/>
  <c r="W712" i="5"/>
  <c r="X712" i="5"/>
  <c r="B713" i="5"/>
  <c r="C713" i="5"/>
  <c r="D713" i="5"/>
  <c r="E713" i="5"/>
  <c r="F713" i="5"/>
  <c r="G713" i="5"/>
  <c r="H713" i="5"/>
  <c r="I713" i="5"/>
  <c r="J713" i="5"/>
  <c r="K713" i="5"/>
  <c r="L713" i="5"/>
  <c r="M713" i="5"/>
  <c r="N713" i="5"/>
  <c r="O713" i="5"/>
  <c r="P713" i="5"/>
  <c r="Q713" i="5"/>
  <c r="R713" i="5"/>
  <c r="S713" i="5"/>
  <c r="T713" i="5"/>
  <c r="U713" i="5"/>
  <c r="V713" i="5"/>
  <c r="W713" i="5"/>
  <c r="X713" i="5"/>
  <c r="B714" i="5"/>
  <c r="C714" i="5"/>
  <c r="D714" i="5"/>
  <c r="E714" i="5"/>
  <c r="F714" i="5"/>
  <c r="G714" i="5"/>
  <c r="H714" i="5"/>
  <c r="I714" i="5"/>
  <c r="J714" i="5"/>
  <c r="K714" i="5"/>
  <c r="L714" i="5"/>
  <c r="M714" i="5"/>
  <c r="N714" i="5"/>
  <c r="O714" i="5"/>
  <c r="P714" i="5"/>
  <c r="Q714" i="5"/>
  <c r="R714" i="5"/>
  <c r="S714" i="5"/>
  <c r="T714" i="5"/>
  <c r="U714" i="5"/>
  <c r="V714" i="5"/>
  <c r="W714" i="5"/>
  <c r="X714" i="5"/>
  <c r="B715" i="5"/>
  <c r="AB715" i="5" s="1"/>
  <c r="C715" i="5"/>
  <c r="D715" i="5"/>
  <c r="E715" i="5"/>
  <c r="F715" i="5"/>
  <c r="G715" i="5"/>
  <c r="H715" i="5"/>
  <c r="I715" i="5"/>
  <c r="J715" i="5"/>
  <c r="K715" i="5"/>
  <c r="L715" i="5"/>
  <c r="M715" i="5"/>
  <c r="N715" i="5"/>
  <c r="O715" i="5"/>
  <c r="P715" i="5"/>
  <c r="Q715" i="5"/>
  <c r="R715" i="5"/>
  <c r="S715" i="5"/>
  <c r="T715" i="5"/>
  <c r="U715" i="5"/>
  <c r="V715" i="5"/>
  <c r="W715" i="5"/>
  <c r="X715" i="5"/>
  <c r="B716" i="5"/>
  <c r="C716" i="5"/>
  <c r="D716" i="5"/>
  <c r="E716" i="5"/>
  <c r="F716" i="5"/>
  <c r="G716" i="5"/>
  <c r="H716" i="5"/>
  <c r="I716" i="5"/>
  <c r="J716" i="5"/>
  <c r="K716" i="5"/>
  <c r="L716" i="5"/>
  <c r="M716" i="5"/>
  <c r="N716" i="5"/>
  <c r="O716" i="5"/>
  <c r="P716" i="5"/>
  <c r="Q716" i="5"/>
  <c r="R716" i="5"/>
  <c r="S716" i="5"/>
  <c r="T716" i="5"/>
  <c r="U716" i="5"/>
  <c r="V716" i="5"/>
  <c r="W716" i="5"/>
  <c r="X716" i="5"/>
  <c r="B717" i="5"/>
  <c r="C717" i="5"/>
  <c r="D717" i="5"/>
  <c r="E717" i="5"/>
  <c r="F717" i="5"/>
  <c r="G717" i="5"/>
  <c r="H717" i="5"/>
  <c r="I717" i="5"/>
  <c r="J717" i="5"/>
  <c r="K717" i="5"/>
  <c r="L717" i="5"/>
  <c r="M717" i="5"/>
  <c r="N717" i="5"/>
  <c r="AC717" i="5" s="1"/>
  <c r="O717" i="5"/>
  <c r="P717" i="5"/>
  <c r="Q717" i="5"/>
  <c r="R717" i="5"/>
  <c r="S717" i="5"/>
  <c r="T717" i="5"/>
  <c r="U717" i="5"/>
  <c r="V717" i="5"/>
  <c r="W717" i="5"/>
  <c r="X717" i="5"/>
  <c r="B718" i="5"/>
  <c r="C718" i="5"/>
  <c r="D718" i="5"/>
  <c r="E718" i="5"/>
  <c r="F718" i="5"/>
  <c r="G718" i="5"/>
  <c r="H718" i="5"/>
  <c r="I718" i="5"/>
  <c r="J718" i="5"/>
  <c r="K718" i="5"/>
  <c r="L718" i="5"/>
  <c r="M718" i="5"/>
  <c r="N718" i="5"/>
  <c r="O718" i="5"/>
  <c r="P718" i="5"/>
  <c r="Q718" i="5"/>
  <c r="R718" i="5"/>
  <c r="S718" i="5"/>
  <c r="T718" i="5"/>
  <c r="U718" i="5"/>
  <c r="V718" i="5"/>
  <c r="W718" i="5"/>
  <c r="X718" i="5"/>
  <c r="B719" i="5"/>
  <c r="C719" i="5"/>
  <c r="D719" i="5"/>
  <c r="E719" i="5"/>
  <c r="F719" i="5"/>
  <c r="G719" i="5"/>
  <c r="H719" i="5"/>
  <c r="I719" i="5"/>
  <c r="J719" i="5"/>
  <c r="K719" i="5"/>
  <c r="L719" i="5"/>
  <c r="M719" i="5"/>
  <c r="N719" i="5"/>
  <c r="O719" i="5"/>
  <c r="P719" i="5"/>
  <c r="AC719" i="5" s="1"/>
  <c r="Q719" i="5"/>
  <c r="R719" i="5"/>
  <c r="S719" i="5"/>
  <c r="T719" i="5"/>
  <c r="U719" i="5"/>
  <c r="V719" i="5"/>
  <c r="W719" i="5"/>
  <c r="X719" i="5"/>
  <c r="B720" i="5"/>
  <c r="C720" i="5"/>
  <c r="D720" i="5"/>
  <c r="E720" i="5"/>
  <c r="F720" i="5"/>
  <c r="G720" i="5"/>
  <c r="H720" i="5"/>
  <c r="I720" i="5"/>
  <c r="J720" i="5"/>
  <c r="K720" i="5"/>
  <c r="L720" i="5"/>
  <c r="M720" i="5"/>
  <c r="N720" i="5"/>
  <c r="O720" i="5"/>
  <c r="P720" i="5"/>
  <c r="Q720" i="5"/>
  <c r="R720" i="5"/>
  <c r="S720" i="5"/>
  <c r="T720" i="5"/>
  <c r="U720" i="5"/>
  <c r="V720" i="5"/>
  <c r="W720" i="5"/>
  <c r="X720" i="5"/>
  <c r="AB720" i="5"/>
  <c r="B721" i="5"/>
  <c r="C721" i="5"/>
  <c r="D721" i="5"/>
  <c r="E721" i="5"/>
  <c r="F721" i="5"/>
  <c r="G721" i="5"/>
  <c r="H721" i="5"/>
  <c r="I721" i="5"/>
  <c r="J721" i="5"/>
  <c r="K721" i="5"/>
  <c r="L721" i="5"/>
  <c r="M721" i="5"/>
  <c r="N721" i="5"/>
  <c r="O721" i="5"/>
  <c r="P721" i="5"/>
  <c r="Q721" i="5"/>
  <c r="R721" i="5"/>
  <c r="S721" i="5"/>
  <c r="T721" i="5"/>
  <c r="U721" i="5"/>
  <c r="V721" i="5"/>
  <c r="W721" i="5"/>
  <c r="X721" i="5"/>
  <c r="B722" i="5"/>
  <c r="C722" i="5"/>
  <c r="D722" i="5"/>
  <c r="E722" i="5"/>
  <c r="F722" i="5"/>
  <c r="G722" i="5"/>
  <c r="H722" i="5"/>
  <c r="I722" i="5"/>
  <c r="J722" i="5"/>
  <c r="K722" i="5"/>
  <c r="L722" i="5"/>
  <c r="M722" i="5"/>
  <c r="N722" i="5"/>
  <c r="AC722" i="5" s="1"/>
  <c r="O722" i="5"/>
  <c r="P722" i="5"/>
  <c r="Q722" i="5"/>
  <c r="R722" i="5"/>
  <c r="S722" i="5"/>
  <c r="T722" i="5"/>
  <c r="U722" i="5"/>
  <c r="V722" i="5"/>
  <c r="W722" i="5"/>
  <c r="X722" i="5"/>
  <c r="B723" i="5"/>
  <c r="C723" i="5"/>
  <c r="D723" i="5"/>
  <c r="E723" i="5"/>
  <c r="F723" i="5"/>
  <c r="G723" i="5"/>
  <c r="H723" i="5"/>
  <c r="I723" i="5"/>
  <c r="J723" i="5"/>
  <c r="K723" i="5"/>
  <c r="L723" i="5"/>
  <c r="M723" i="5"/>
  <c r="N723" i="5"/>
  <c r="O723" i="5"/>
  <c r="P723" i="5"/>
  <c r="Q723" i="5"/>
  <c r="R723" i="5"/>
  <c r="S723" i="5"/>
  <c r="T723" i="5"/>
  <c r="U723" i="5"/>
  <c r="V723" i="5"/>
  <c r="W723" i="5"/>
  <c r="X723" i="5"/>
  <c r="B724" i="5"/>
  <c r="C724" i="5"/>
  <c r="D724" i="5"/>
  <c r="E724" i="5"/>
  <c r="F724" i="5"/>
  <c r="G724" i="5"/>
  <c r="H724" i="5"/>
  <c r="I724" i="5"/>
  <c r="J724" i="5"/>
  <c r="K724" i="5"/>
  <c r="L724" i="5"/>
  <c r="M724" i="5"/>
  <c r="N724" i="5"/>
  <c r="O724" i="5"/>
  <c r="P724" i="5"/>
  <c r="Q724" i="5"/>
  <c r="R724" i="5"/>
  <c r="S724" i="5"/>
  <c r="T724" i="5"/>
  <c r="U724" i="5"/>
  <c r="V724" i="5"/>
  <c r="W724" i="5"/>
  <c r="X724" i="5"/>
  <c r="B725" i="5"/>
  <c r="C725" i="5"/>
  <c r="D725" i="5"/>
  <c r="E725" i="5"/>
  <c r="F725" i="5"/>
  <c r="G725" i="5"/>
  <c r="H725" i="5"/>
  <c r="I725" i="5"/>
  <c r="J725" i="5"/>
  <c r="K725" i="5"/>
  <c r="L725" i="5"/>
  <c r="M725" i="5"/>
  <c r="N725" i="5"/>
  <c r="O725" i="5"/>
  <c r="P725" i="5"/>
  <c r="Q725" i="5"/>
  <c r="R725" i="5"/>
  <c r="S725" i="5"/>
  <c r="T725" i="5"/>
  <c r="U725" i="5"/>
  <c r="V725" i="5"/>
  <c r="W725" i="5"/>
  <c r="X725" i="5"/>
  <c r="B726" i="5"/>
  <c r="C726" i="5"/>
  <c r="D726" i="5"/>
  <c r="E726" i="5"/>
  <c r="F726" i="5"/>
  <c r="G726" i="5"/>
  <c r="H726" i="5"/>
  <c r="I726" i="5"/>
  <c r="J726" i="5"/>
  <c r="K726" i="5"/>
  <c r="L726" i="5"/>
  <c r="M726" i="5"/>
  <c r="N726" i="5"/>
  <c r="O726" i="5"/>
  <c r="P726" i="5"/>
  <c r="Q726" i="5"/>
  <c r="R726" i="5"/>
  <c r="S726" i="5"/>
  <c r="T726" i="5"/>
  <c r="U726" i="5"/>
  <c r="V726" i="5"/>
  <c r="W726" i="5"/>
  <c r="X726" i="5"/>
  <c r="B727" i="5"/>
  <c r="C727" i="5"/>
  <c r="D727" i="5"/>
  <c r="E727" i="5"/>
  <c r="F727" i="5"/>
  <c r="G727" i="5"/>
  <c r="H727" i="5"/>
  <c r="I727" i="5"/>
  <c r="J727" i="5"/>
  <c r="K727" i="5"/>
  <c r="L727" i="5"/>
  <c r="M727" i="5"/>
  <c r="N727" i="5"/>
  <c r="O727" i="5"/>
  <c r="P727" i="5"/>
  <c r="Q727" i="5"/>
  <c r="R727" i="5"/>
  <c r="S727" i="5"/>
  <c r="T727" i="5"/>
  <c r="U727" i="5"/>
  <c r="V727" i="5"/>
  <c r="W727" i="5"/>
  <c r="X727" i="5"/>
  <c r="B728" i="5"/>
  <c r="C728" i="5"/>
  <c r="D728" i="5"/>
  <c r="E728" i="5"/>
  <c r="F728" i="5"/>
  <c r="G728" i="5"/>
  <c r="H728" i="5"/>
  <c r="I728" i="5"/>
  <c r="J728" i="5"/>
  <c r="K728" i="5"/>
  <c r="L728" i="5"/>
  <c r="M728" i="5"/>
  <c r="N728" i="5"/>
  <c r="O728" i="5"/>
  <c r="P728" i="5"/>
  <c r="Q728" i="5"/>
  <c r="R728" i="5"/>
  <c r="S728" i="5"/>
  <c r="T728" i="5"/>
  <c r="U728" i="5"/>
  <c r="V728" i="5"/>
  <c r="W728" i="5"/>
  <c r="X728" i="5"/>
  <c r="B729" i="5"/>
  <c r="C729" i="5"/>
  <c r="D729" i="5"/>
  <c r="E729" i="5"/>
  <c r="F729" i="5"/>
  <c r="G729" i="5"/>
  <c r="H729" i="5"/>
  <c r="I729" i="5"/>
  <c r="J729" i="5"/>
  <c r="K729" i="5"/>
  <c r="L729" i="5"/>
  <c r="M729" i="5"/>
  <c r="N729" i="5"/>
  <c r="O729" i="5"/>
  <c r="P729" i="5"/>
  <c r="Q729" i="5"/>
  <c r="R729" i="5"/>
  <c r="S729" i="5"/>
  <c r="T729" i="5"/>
  <c r="U729" i="5"/>
  <c r="V729" i="5"/>
  <c r="W729" i="5"/>
  <c r="X729" i="5"/>
  <c r="B730" i="5"/>
  <c r="C730" i="5"/>
  <c r="D730" i="5"/>
  <c r="E730" i="5"/>
  <c r="F730" i="5"/>
  <c r="G730" i="5"/>
  <c r="H730" i="5"/>
  <c r="I730" i="5"/>
  <c r="J730" i="5"/>
  <c r="K730" i="5"/>
  <c r="L730" i="5"/>
  <c r="M730" i="5"/>
  <c r="AC730" i="5" s="1"/>
  <c r="N730" i="5"/>
  <c r="O730" i="5"/>
  <c r="P730" i="5"/>
  <c r="Q730" i="5"/>
  <c r="R730" i="5"/>
  <c r="S730" i="5"/>
  <c r="T730" i="5"/>
  <c r="U730" i="5"/>
  <c r="V730" i="5"/>
  <c r="W730" i="5"/>
  <c r="X730" i="5"/>
  <c r="B731" i="5"/>
  <c r="C731" i="5"/>
  <c r="D731" i="5"/>
  <c r="E731" i="5"/>
  <c r="F731" i="5"/>
  <c r="G731" i="5"/>
  <c r="H731" i="5"/>
  <c r="I731" i="5"/>
  <c r="J731" i="5"/>
  <c r="K731" i="5"/>
  <c r="L731" i="5"/>
  <c r="M731" i="5"/>
  <c r="N731" i="5"/>
  <c r="O731" i="5"/>
  <c r="P731" i="5"/>
  <c r="Q731" i="5"/>
  <c r="R731" i="5"/>
  <c r="S731" i="5"/>
  <c r="T731" i="5"/>
  <c r="U731" i="5"/>
  <c r="V731" i="5"/>
  <c r="W731" i="5"/>
  <c r="X731" i="5"/>
  <c r="B732" i="5"/>
  <c r="C732" i="5"/>
  <c r="D732" i="5"/>
  <c r="E732" i="5"/>
  <c r="F732" i="5"/>
  <c r="G732" i="5"/>
  <c r="H732" i="5"/>
  <c r="I732" i="5"/>
  <c r="J732" i="5"/>
  <c r="K732" i="5"/>
  <c r="L732" i="5"/>
  <c r="M732" i="5"/>
  <c r="N732" i="5"/>
  <c r="O732" i="5"/>
  <c r="P732" i="5"/>
  <c r="Q732" i="5"/>
  <c r="R732" i="5"/>
  <c r="S732" i="5"/>
  <c r="T732" i="5"/>
  <c r="U732" i="5"/>
  <c r="V732" i="5"/>
  <c r="W732" i="5"/>
  <c r="X732" i="5"/>
  <c r="B733" i="5"/>
  <c r="C733" i="5"/>
  <c r="D733" i="5"/>
  <c r="E733" i="5"/>
  <c r="F733" i="5"/>
  <c r="G733" i="5"/>
  <c r="H733" i="5"/>
  <c r="I733" i="5"/>
  <c r="J733" i="5"/>
  <c r="K733" i="5"/>
  <c r="L733" i="5"/>
  <c r="M733" i="5"/>
  <c r="N733" i="5"/>
  <c r="O733" i="5"/>
  <c r="P733" i="5"/>
  <c r="Q733" i="5"/>
  <c r="R733" i="5"/>
  <c r="S733" i="5"/>
  <c r="T733" i="5"/>
  <c r="U733" i="5"/>
  <c r="V733" i="5"/>
  <c r="W733" i="5"/>
  <c r="X733" i="5"/>
  <c r="B734" i="5"/>
  <c r="C734" i="5"/>
  <c r="D734" i="5"/>
  <c r="E734" i="5"/>
  <c r="F734" i="5"/>
  <c r="G734" i="5"/>
  <c r="H734" i="5"/>
  <c r="I734" i="5"/>
  <c r="J734" i="5"/>
  <c r="K734" i="5"/>
  <c r="L734" i="5"/>
  <c r="M734" i="5"/>
  <c r="N734" i="5"/>
  <c r="O734" i="5"/>
  <c r="P734" i="5"/>
  <c r="Q734" i="5"/>
  <c r="R734" i="5"/>
  <c r="S734" i="5"/>
  <c r="T734" i="5"/>
  <c r="U734" i="5"/>
  <c r="V734" i="5"/>
  <c r="W734" i="5"/>
  <c r="X734" i="5"/>
  <c r="B735" i="5"/>
  <c r="C735" i="5"/>
  <c r="D735" i="5"/>
  <c r="E735" i="5"/>
  <c r="F735" i="5"/>
  <c r="G735" i="5"/>
  <c r="H735" i="5"/>
  <c r="I735" i="5"/>
  <c r="J735" i="5"/>
  <c r="K735" i="5"/>
  <c r="L735" i="5"/>
  <c r="M735" i="5"/>
  <c r="N735" i="5"/>
  <c r="O735" i="5"/>
  <c r="P735" i="5"/>
  <c r="Q735" i="5"/>
  <c r="R735" i="5"/>
  <c r="S735" i="5"/>
  <c r="T735" i="5"/>
  <c r="U735" i="5"/>
  <c r="V735" i="5"/>
  <c r="W735" i="5"/>
  <c r="X735" i="5"/>
  <c r="B736" i="5"/>
  <c r="C736" i="5"/>
  <c r="D736" i="5"/>
  <c r="E736" i="5"/>
  <c r="F736" i="5"/>
  <c r="G736" i="5"/>
  <c r="H736" i="5"/>
  <c r="I736" i="5"/>
  <c r="J736" i="5"/>
  <c r="K736" i="5"/>
  <c r="L736" i="5"/>
  <c r="M736" i="5"/>
  <c r="N736" i="5"/>
  <c r="O736" i="5"/>
  <c r="P736" i="5"/>
  <c r="Q736" i="5"/>
  <c r="R736" i="5"/>
  <c r="S736" i="5"/>
  <c r="T736" i="5"/>
  <c r="U736" i="5"/>
  <c r="V736" i="5"/>
  <c r="W736" i="5"/>
  <c r="X736" i="5"/>
  <c r="B737" i="5"/>
  <c r="C737" i="5"/>
  <c r="D737" i="5"/>
  <c r="E737" i="5"/>
  <c r="F737" i="5"/>
  <c r="G737" i="5"/>
  <c r="H737" i="5"/>
  <c r="I737" i="5"/>
  <c r="J737" i="5"/>
  <c r="K737" i="5"/>
  <c r="L737" i="5"/>
  <c r="M737" i="5"/>
  <c r="N737" i="5"/>
  <c r="O737" i="5"/>
  <c r="P737" i="5"/>
  <c r="Q737" i="5"/>
  <c r="R737" i="5"/>
  <c r="S737" i="5"/>
  <c r="T737" i="5"/>
  <c r="U737" i="5"/>
  <c r="V737" i="5"/>
  <c r="W737" i="5"/>
  <c r="X737" i="5"/>
  <c r="B738" i="5"/>
  <c r="C738" i="5"/>
  <c r="D738" i="5"/>
  <c r="E738" i="5"/>
  <c r="F738" i="5"/>
  <c r="G738" i="5"/>
  <c r="H738" i="5"/>
  <c r="I738" i="5"/>
  <c r="J738" i="5"/>
  <c r="K738" i="5"/>
  <c r="L738" i="5"/>
  <c r="M738" i="5"/>
  <c r="AC738" i="5" s="1"/>
  <c r="N738" i="5"/>
  <c r="O738" i="5"/>
  <c r="P738" i="5"/>
  <c r="Q738" i="5"/>
  <c r="R738" i="5"/>
  <c r="S738" i="5"/>
  <c r="T738" i="5"/>
  <c r="U738" i="5"/>
  <c r="V738" i="5"/>
  <c r="W738" i="5"/>
  <c r="X738" i="5"/>
  <c r="B739" i="5"/>
  <c r="C739" i="5"/>
  <c r="D739" i="5"/>
  <c r="E739" i="5"/>
  <c r="F739" i="5"/>
  <c r="G739" i="5"/>
  <c r="H739" i="5"/>
  <c r="I739" i="5"/>
  <c r="J739" i="5"/>
  <c r="K739" i="5"/>
  <c r="L739" i="5"/>
  <c r="M739" i="5"/>
  <c r="N739" i="5"/>
  <c r="O739" i="5"/>
  <c r="P739" i="5"/>
  <c r="Q739" i="5"/>
  <c r="R739" i="5"/>
  <c r="S739" i="5"/>
  <c r="T739" i="5"/>
  <c r="U739" i="5"/>
  <c r="V739" i="5"/>
  <c r="W739" i="5"/>
  <c r="X739" i="5"/>
  <c r="B740" i="5"/>
  <c r="C740" i="5"/>
  <c r="D740" i="5"/>
  <c r="E740" i="5"/>
  <c r="F740" i="5"/>
  <c r="G740" i="5"/>
  <c r="H740" i="5"/>
  <c r="I740" i="5"/>
  <c r="J740" i="5"/>
  <c r="K740" i="5"/>
  <c r="L740" i="5"/>
  <c r="M740" i="5"/>
  <c r="N740" i="5"/>
  <c r="O740" i="5"/>
  <c r="P740" i="5"/>
  <c r="Q740" i="5"/>
  <c r="R740" i="5"/>
  <c r="S740" i="5"/>
  <c r="T740" i="5"/>
  <c r="U740" i="5"/>
  <c r="V740" i="5"/>
  <c r="W740" i="5"/>
  <c r="X740" i="5"/>
  <c r="B741" i="5"/>
  <c r="C741" i="5"/>
  <c r="D741" i="5"/>
  <c r="E741" i="5"/>
  <c r="F741" i="5"/>
  <c r="G741" i="5"/>
  <c r="H741" i="5"/>
  <c r="I741" i="5"/>
  <c r="J741" i="5"/>
  <c r="K741" i="5"/>
  <c r="L741" i="5"/>
  <c r="M741" i="5"/>
  <c r="N741" i="5"/>
  <c r="O741" i="5"/>
  <c r="P741" i="5"/>
  <c r="Q741" i="5"/>
  <c r="R741" i="5"/>
  <c r="S741" i="5"/>
  <c r="T741" i="5"/>
  <c r="U741" i="5"/>
  <c r="V741" i="5"/>
  <c r="W741" i="5"/>
  <c r="X741" i="5"/>
  <c r="B742" i="5"/>
  <c r="C742" i="5"/>
  <c r="D742" i="5"/>
  <c r="E742" i="5"/>
  <c r="F742" i="5"/>
  <c r="G742" i="5"/>
  <c r="H742" i="5"/>
  <c r="I742" i="5"/>
  <c r="J742" i="5"/>
  <c r="K742" i="5"/>
  <c r="L742" i="5"/>
  <c r="M742" i="5"/>
  <c r="N742" i="5"/>
  <c r="O742" i="5"/>
  <c r="P742" i="5"/>
  <c r="Q742" i="5"/>
  <c r="R742" i="5"/>
  <c r="S742" i="5"/>
  <c r="T742" i="5"/>
  <c r="U742" i="5"/>
  <c r="V742" i="5"/>
  <c r="W742" i="5"/>
  <c r="X742" i="5"/>
  <c r="B743" i="5"/>
  <c r="C743" i="5"/>
  <c r="D743" i="5"/>
  <c r="E743" i="5"/>
  <c r="F743" i="5"/>
  <c r="G743" i="5"/>
  <c r="H743" i="5"/>
  <c r="I743" i="5"/>
  <c r="J743" i="5"/>
  <c r="K743" i="5"/>
  <c r="L743" i="5"/>
  <c r="M743" i="5"/>
  <c r="N743" i="5"/>
  <c r="O743" i="5"/>
  <c r="P743" i="5"/>
  <c r="Q743" i="5"/>
  <c r="R743" i="5"/>
  <c r="S743" i="5"/>
  <c r="T743" i="5"/>
  <c r="U743" i="5"/>
  <c r="V743" i="5"/>
  <c r="W743" i="5"/>
  <c r="X743" i="5"/>
  <c r="B744" i="5"/>
  <c r="C744" i="5"/>
  <c r="D744" i="5"/>
  <c r="E744" i="5"/>
  <c r="F744" i="5"/>
  <c r="G744" i="5"/>
  <c r="H744" i="5"/>
  <c r="I744" i="5"/>
  <c r="J744" i="5"/>
  <c r="K744" i="5"/>
  <c r="L744" i="5"/>
  <c r="M744" i="5"/>
  <c r="N744" i="5"/>
  <c r="O744" i="5"/>
  <c r="P744" i="5"/>
  <c r="Q744" i="5"/>
  <c r="R744" i="5"/>
  <c r="S744" i="5"/>
  <c r="T744" i="5"/>
  <c r="U744" i="5"/>
  <c r="V744" i="5"/>
  <c r="W744" i="5"/>
  <c r="X744" i="5"/>
  <c r="B745" i="5"/>
  <c r="C745" i="5"/>
  <c r="D745" i="5"/>
  <c r="E745" i="5"/>
  <c r="F745" i="5"/>
  <c r="G745" i="5"/>
  <c r="H745" i="5"/>
  <c r="I745" i="5"/>
  <c r="J745" i="5"/>
  <c r="K745" i="5"/>
  <c r="L745" i="5"/>
  <c r="M745" i="5"/>
  <c r="N745" i="5"/>
  <c r="O745" i="5"/>
  <c r="P745" i="5"/>
  <c r="Q745" i="5"/>
  <c r="R745" i="5"/>
  <c r="S745" i="5"/>
  <c r="T745" i="5"/>
  <c r="U745" i="5"/>
  <c r="V745" i="5"/>
  <c r="W745" i="5"/>
  <c r="X745" i="5"/>
  <c r="B746" i="5"/>
  <c r="C746" i="5"/>
  <c r="D746" i="5"/>
  <c r="E746" i="5"/>
  <c r="F746" i="5"/>
  <c r="G746" i="5"/>
  <c r="H746" i="5"/>
  <c r="I746" i="5"/>
  <c r="J746" i="5"/>
  <c r="K746" i="5"/>
  <c r="L746" i="5"/>
  <c r="M746" i="5"/>
  <c r="AC746" i="5" s="1"/>
  <c r="N746" i="5"/>
  <c r="O746" i="5"/>
  <c r="P746" i="5"/>
  <c r="Q746" i="5"/>
  <c r="R746" i="5"/>
  <c r="S746" i="5"/>
  <c r="T746" i="5"/>
  <c r="U746" i="5"/>
  <c r="V746" i="5"/>
  <c r="W746" i="5"/>
  <c r="X746" i="5"/>
  <c r="B747" i="5"/>
  <c r="C747" i="5"/>
  <c r="D747" i="5"/>
  <c r="E747" i="5"/>
  <c r="F747" i="5"/>
  <c r="G747" i="5"/>
  <c r="H747" i="5"/>
  <c r="I747" i="5"/>
  <c r="J747" i="5"/>
  <c r="K747" i="5"/>
  <c r="L747" i="5"/>
  <c r="M747" i="5"/>
  <c r="N747" i="5"/>
  <c r="O747" i="5"/>
  <c r="P747" i="5"/>
  <c r="Q747" i="5"/>
  <c r="R747" i="5"/>
  <c r="S747" i="5"/>
  <c r="T747" i="5"/>
  <c r="U747" i="5"/>
  <c r="V747" i="5"/>
  <c r="W747" i="5"/>
  <c r="X747" i="5"/>
  <c r="B748" i="5"/>
  <c r="C748" i="5"/>
  <c r="D748" i="5"/>
  <c r="E748" i="5"/>
  <c r="F748" i="5"/>
  <c r="G748" i="5"/>
  <c r="H748" i="5"/>
  <c r="I748" i="5"/>
  <c r="J748" i="5"/>
  <c r="K748" i="5"/>
  <c r="L748" i="5"/>
  <c r="M748" i="5"/>
  <c r="N748" i="5"/>
  <c r="O748" i="5"/>
  <c r="P748" i="5"/>
  <c r="Q748" i="5"/>
  <c r="R748" i="5"/>
  <c r="S748" i="5"/>
  <c r="T748" i="5"/>
  <c r="U748" i="5"/>
  <c r="V748" i="5"/>
  <c r="W748" i="5"/>
  <c r="X748" i="5"/>
  <c r="B749" i="5"/>
  <c r="C749" i="5"/>
  <c r="D749" i="5"/>
  <c r="E749" i="5"/>
  <c r="F749" i="5"/>
  <c r="G749" i="5"/>
  <c r="H749" i="5"/>
  <c r="I749" i="5"/>
  <c r="J749" i="5"/>
  <c r="K749" i="5"/>
  <c r="L749" i="5"/>
  <c r="M749" i="5"/>
  <c r="N749" i="5"/>
  <c r="O749" i="5"/>
  <c r="P749" i="5"/>
  <c r="Q749" i="5"/>
  <c r="R749" i="5"/>
  <c r="S749" i="5"/>
  <c r="T749" i="5"/>
  <c r="U749" i="5"/>
  <c r="V749" i="5"/>
  <c r="W749" i="5"/>
  <c r="X749" i="5"/>
  <c r="B750" i="5"/>
  <c r="C750" i="5"/>
  <c r="D750" i="5"/>
  <c r="E750" i="5"/>
  <c r="F750" i="5"/>
  <c r="G750" i="5"/>
  <c r="H750" i="5"/>
  <c r="I750" i="5"/>
  <c r="J750" i="5"/>
  <c r="K750" i="5"/>
  <c r="L750" i="5"/>
  <c r="M750" i="5"/>
  <c r="N750" i="5"/>
  <c r="O750" i="5"/>
  <c r="P750" i="5"/>
  <c r="Q750" i="5"/>
  <c r="R750" i="5"/>
  <c r="S750" i="5"/>
  <c r="T750" i="5"/>
  <c r="U750" i="5"/>
  <c r="V750" i="5"/>
  <c r="W750" i="5"/>
  <c r="X750" i="5"/>
  <c r="B751" i="5"/>
  <c r="C751" i="5"/>
  <c r="D751" i="5"/>
  <c r="E751" i="5"/>
  <c r="F751" i="5"/>
  <c r="G751" i="5"/>
  <c r="H751" i="5"/>
  <c r="I751" i="5"/>
  <c r="J751" i="5"/>
  <c r="K751" i="5"/>
  <c r="L751" i="5"/>
  <c r="M751" i="5"/>
  <c r="N751" i="5"/>
  <c r="O751" i="5"/>
  <c r="P751" i="5"/>
  <c r="Q751" i="5"/>
  <c r="R751" i="5"/>
  <c r="S751" i="5"/>
  <c r="T751" i="5"/>
  <c r="U751" i="5"/>
  <c r="V751" i="5"/>
  <c r="W751" i="5"/>
  <c r="X751" i="5"/>
  <c r="B752" i="5"/>
  <c r="C752" i="5"/>
  <c r="D752" i="5"/>
  <c r="E752" i="5"/>
  <c r="F752" i="5"/>
  <c r="G752" i="5"/>
  <c r="H752" i="5"/>
  <c r="I752" i="5"/>
  <c r="J752" i="5"/>
  <c r="K752" i="5"/>
  <c r="L752" i="5"/>
  <c r="M752" i="5"/>
  <c r="N752" i="5"/>
  <c r="O752" i="5"/>
  <c r="P752" i="5"/>
  <c r="Q752" i="5"/>
  <c r="R752" i="5"/>
  <c r="S752" i="5"/>
  <c r="T752" i="5"/>
  <c r="U752" i="5"/>
  <c r="V752" i="5"/>
  <c r="W752" i="5"/>
  <c r="X752" i="5"/>
  <c r="B753" i="5"/>
  <c r="C753" i="5"/>
  <c r="D753" i="5"/>
  <c r="E753" i="5"/>
  <c r="F753" i="5"/>
  <c r="G753" i="5"/>
  <c r="H753" i="5"/>
  <c r="I753" i="5"/>
  <c r="J753" i="5"/>
  <c r="K753" i="5"/>
  <c r="L753" i="5"/>
  <c r="M753" i="5"/>
  <c r="N753" i="5"/>
  <c r="O753" i="5"/>
  <c r="P753" i="5"/>
  <c r="Q753" i="5"/>
  <c r="R753" i="5"/>
  <c r="S753" i="5"/>
  <c r="T753" i="5"/>
  <c r="U753" i="5"/>
  <c r="V753" i="5"/>
  <c r="W753" i="5"/>
  <c r="X753" i="5"/>
  <c r="B754" i="5"/>
  <c r="C754" i="5"/>
  <c r="D754" i="5"/>
  <c r="E754" i="5"/>
  <c r="F754" i="5"/>
  <c r="G754" i="5"/>
  <c r="H754" i="5"/>
  <c r="I754" i="5"/>
  <c r="J754" i="5"/>
  <c r="K754" i="5"/>
  <c r="L754" i="5"/>
  <c r="M754" i="5"/>
  <c r="AC754" i="5" s="1"/>
  <c r="N754" i="5"/>
  <c r="O754" i="5"/>
  <c r="P754" i="5"/>
  <c r="Q754" i="5"/>
  <c r="R754" i="5"/>
  <c r="S754" i="5"/>
  <c r="T754" i="5"/>
  <c r="U754" i="5"/>
  <c r="V754" i="5"/>
  <c r="W754" i="5"/>
  <c r="X754" i="5"/>
  <c r="B755" i="5"/>
  <c r="C755" i="5"/>
  <c r="D755" i="5"/>
  <c r="E755" i="5"/>
  <c r="F755" i="5"/>
  <c r="G755" i="5"/>
  <c r="H755" i="5"/>
  <c r="I755" i="5"/>
  <c r="J755" i="5"/>
  <c r="K755" i="5"/>
  <c r="L755" i="5"/>
  <c r="M755" i="5"/>
  <c r="N755" i="5"/>
  <c r="O755" i="5"/>
  <c r="P755" i="5"/>
  <c r="Q755" i="5"/>
  <c r="R755" i="5"/>
  <c r="S755" i="5"/>
  <c r="T755" i="5"/>
  <c r="U755" i="5"/>
  <c r="V755" i="5"/>
  <c r="W755" i="5"/>
  <c r="X755" i="5"/>
  <c r="B756" i="5"/>
  <c r="C756" i="5"/>
  <c r="D756" i="5"/>
  <c r="E756" i="5"/>
  <c r="F756" i="5"/>
  <c r="G756" i="5"/>
  <c r="H756" i="5"/>
  <c r="I756" i="5"/>
  <c r="J756" i="5"/>
  <c r="K756" i="5"/>
  <c r="L756" i="5"/>
  <c r="M756" i="5"/>
  <c r="N756" i="5"/>
  <c r="O756" i="5"/>
  <c r="P756" i="5"/>
  <c r="Q756" i="5"/>
  <c r="R756" i="5"/>
  <c r="S756" i="5"/>
  <c r="T756" i="5"/>
  <c r="U756" i="5"/>
  <c r="V756" i="5"/>
  <c r="W756" i="5"/>
  <c r="X756" i="5"/>
  <c r="B757" i="5"/>
  <c r="C757" i="5"/>
  <c r="D757" i="5"/>
  <c r="E757" i="5"/>
  <c r="F757" i="5"/>
  <c r="G757" i="5"/>
  <c r="H757" i="5"/>
  <c r="I757" i="5"/>
  <c r="J757" i="5"/>
  <c r="K757" i="5"/>
  <c r="L757" i="5"/>
  <c r="M757" i="5"/>
  <c r="N757" i="5"/>
  <c r="O757" i="5"/>
  <c r="P757" i="5"/>
  <c r="Q757" i="5"/>
  <c r="R757" i="5"/>
  <c r="S757" i="5"/>
  <c r="T757" i="5"/>
  <c r="U757" i="5"/>
  <c r="V757" i="5"/>
  <c r="W757" i="5"/>
  <c r="X757" i="5"/>
  <c r="B758" i="5"/>
  <c r="C758" i="5"/>
  <c r="D758" i="5"/>
  <c r="E758" i="5"/>
  <c r="F758" i="5"/>
  <c r="G758" i="5"/>
  <c r="H758" i="5"/>
  <c r="I758" i="5"/>
  <c r="J758" i="5"/>
  <c r="K758" i="5"/>
  <c r="L758" i="5"/>
  <c r="M758" i="5"/>
  <c r="N758" i="5"/>
  <c r="O758" i="5"/>
  <c r="P758" i="5"/>
  <c r="Q758" i="5"/>
  <c r="R758" i="5"/>
  <c r="S758" i="5"/>
  <c r="T758" i="5"/>
  <c r="U758" i="5"/>
  <c r="V758" i="5"/>
  <c r="W758" i="5"/>
  <c r="X758" i="5"/>
  <c r="B759" i="5"/>
  <c r="C759" i="5"/>
  <c r="D759" i="5"/>
  <c r="E759" i="5"/>
  <c r="F759" i="5"/>
  <c r="G759" i="5"/>
  <c r="H759" i="5"/>
  <c r="I759" i="5"/>
  <c r="J759" i="5"/>
  <c r="K759" i="5"/>
  <c r="L759" i="5"/>
  <c r="M759" i="5"/>
  <c r="N759" i="5"/>
  <c r="O759" i="5"/>
  <c r="P759" i="5"/>
  <c r="Q759" i="5"/>
  <c r="R759" i="5"/>
  <c r="S759" i="5"/>
  <c r="T759" i="5"/>
  <c r="U759" i="5"/>
  <c r="V759" i="5"/>
  <c r="W759" i="5"/>
  <c r="X759" i="5"/>
  <c r="B760" i="5"/>
  <c r="C760" i="5"/>
  <c r="D760" i="5"/>
  <c r="E760" i="5"/>
  <c r="F760" i="5"/>
  <c r="G760" i="5"/>
  <c r="H760" i="5"/>
  <c r="I760" i="5"/>
  <c r="J760" i="5"/>
  <c r="K760" i="5"/>
  <c r="L760" i="5"/>
  <c r="M760" i="5"/>
  <c r="N760" i="5"/>
  <c r="O760" i="5"/>
  <c r="P760" i="5"/>
  <c r="Q760" i="5"/>
  <c r="R760" i="5"/>
  <c r="S760" i="5"/>
  <c r="T760" i="5"/>
  <c r="U760" i="5"/>
  <c r="V760" i="5"/>
  <c r="W760" i="5"/>
  <c r="X760" i="5"/>
  <c r="B761" i="5"/>
  <c r="C761" i="5"/>
  <c r="D761" i="5"/>
  <c r="E761" i="5"/>
  <c r="F761" i="5"/>
  <c r="G761" i="5"/>
  <c r="H761" i="5"/>
  <c r="I761" i="5"/>
  <c r="J761" i="5"/>
  <c r="K761" i="5"/>
  <c r="L761" i="5"/>
  <c r="M761" i="5"/>
  <c r="N761" i="5"/>
  <c r="O761" i="5"/>
  <c r="P761" i="5"/>
  <c r="Q761" i="5"/>
  <c r="R761" i="5"/>
  <c r="S761" i="5"/>
  <c r="T761" i="5"/>
  <c r="U761" i="5"/>
  <c r="V761" i="5"/>
  <c r="W761" i="5"/>
  <c r="X761" i="5"/>
  <c r="B762" i="5"/>
  <c r="C762" i="5"/>
  <c r="D762" i="5"/>
  <c r="E762" i="5"/>
  <c r="F762" i="5"/>
  <c r="G762" i="5"/>
  <c r="H762" i="5"/>
  <c r="I762" i="5"/>
  <c r="J762" i="5"/>
  <c r="K762" i="5"/>
  <c r="L762" i="5"/>
  <c r="M762" i="5"/>
  <c r="AC762" i="5" s="1"/>
  <c r="N762" i="5"/>
  <c r="O762" i="5"/>
  <c r="P762" i="5"/>
  <c r="Q762" i="5"/>
  <c r="R762" i="5"/>
  <c r="S762" i="5"/>
  <c r="T762" i="5"/>
  <c r="U762" i="5"/>
  <c r="V762" i="5"/>
  <c r="W762" i="5"/>
  <c r="X762" i="5"/>
  <c r="B763" i="5"/>
  <c r="C763" i="5"/>
  <c r="D763" i="5"/>
  <c r="E763" i="5"/>
  <c r="F763" i="5"/>
  <c r="G763" i="5"/>
  <c r="H763" i="5"/>
  <c r="I763" i="5"/>
  <c r="J763" i="5"/>
  <c r="K763" i="5"/>
  <c r="L763" i="5"/>
  <c r="M763" i="5"/>
  <c r="N763" i="5"/>
  <c r="O763" i="5"/>
  <c r="P763" i="5"/>
  <c r="Q763" i="5"/>
  <c r="R763" i="5"/>
  <c r="S763" i="5"/>
  <c r="T763" i="5"/>
  <c r="U763" i="5"/>
  <c r="V763" i="5"/>
  <c r="W763" i="5"/>
  <c r="X763" i="5"/>
  <c r="B764" i="5"/>
  <c r="C764" i="5"/>
  <c r="D764" i="5"/>
  <c r="E764" i="5"/>
  <c r="F764" i="5"/>
  <c r="G764" i="5"/>
  <c r="H764" i="5"/>
  <c r="I764" i="5"/>
  <c r="J764" i="5"/>
  <c r="K764" i="5"/>
  <c r="L764" i="5"/>
  <c r="M764" i="5"/>
  <c r="N764" i="5"/>
  <c r="O764" i="5"/>
  <c r="P764" i="5"/>
  <c r="Q764" i="5"/>
  <c r="R764" i="5"/>
  <c r="S764" i="5"/>
  <c r="T764" i="5"/>
  <c r="U764" i="5"/>
  <c r="V764" i="5"/>
  <c r="W764" i="5"/>
  <c r="X764" i="5"/>
  <c r="B765" i="5"/>
  <c r="C765" i="5"/>
  <c r="D765" i="5"/>
  <c r="E765" i="5"/>
  <c r="F765" i="5"/>
  <c r="G765" i="5"/>
  <c r="H765" i="5"/>
  <c r="I765" i="5"/>
  <c r="J765" i="5"/>
  <c r="K765" i="5"/>
  <c r="L765" i="5"/>
  <c r="M765" i="5"/>
  <c r="N765" i="5"/>
  <c r="O765" i="5"/>
  <c r="P765" i="5"/>
  <c r="Q765" i="5"/>
  <c r="R765" i="5"/>
  <c r="S765" i="5"/>
  <c r="T765" i="5"/>
  <c r="U765" i="5"/>
  <c r="V765" i="5"/>
  <c r="W765" i="5"/>
  <c r="X765" i="5"/>
  <c r="B766" i="5"/>
  <c r="C766" i="5"/>
  <c r="D766" i="5"/>
  <c r="E766" i="5"/>
  <c r="F766" i="5"/>
  <c r="G766" i="5"/>
  <c r="H766" i="5"/>
  <c r="I766" i="5"/>
  <c r="J766" i="5"/>
  <c r="K766" i="5"/>
  <c r="L766" i="5"/>
  <c r="M766" i="5"/>
  <c r="N766" i="5"/>
  <c r="O766" i="5"/>
  <c r="P766" i="5"/>
  <c r="Q766" i="5"/>
  <c r="R766" i="5"/>
  <c r="S766" i="5"/>
  <c r="T766" i="5"/>
  <c r="U766" i="5"/>
  <c r="V766" i="5"/>
  <c r="W766" i="5"/>
  <c r="X766" i="5"/>
  <c r="B767" i="5"/>
  <c r="C767" i="5"/>
  <c r="D767" i="5"/>
  <c r="E767" i="5"/>
  <c r="F767" i="5"/>
  <c r="G767" i="5"/>
  <c r="H767" i="5"/>
  <c r="I767" i="5"/>
  <c r="J767" i="5"/>
  <c r="K767" i="5"/>
  <c r="L767" i="5"/>
  <c r="M767" i="5"/>
  <c r="N767" i="5"/>
  <c r="O767" i="5"/>
  <c r="P767" i="5"/>
  <c r="Q767" i="5"/>
  <c r="R767" i="5"/>
  <c r="S767" i="5"/>
  <c r="T767" i="5"/>
  <c r="U767" i="5"/>
  <c r="V767" i="5"/>
  <c r="W767" i="5"/>
  <c r="X767" i="5"/>
  <c r="B768" i="5"/>
  <c r="C768" i="5"/>
  <c r="D768" i="5"/>
  <c r="E768" i="5"/>
  <c r="F768" i="5"/>
  <c r="G768" i="5"/>
  <c r="H768" i="5"/>
  <c r="I768" i="5"/>
  <c r="J768" i="5"/>
  <c r="K768" i="5"/>
  <c r="L768" i="5"/>
  <c r="M768" i="5"/>
  <c r="N768" i="5"/>
  <c r="O768" i="5"/>
  <c r="P768" i="5"/>
  <c r="Q768" i="5"/>
  <c r="R768" i="5"/>
  <c r="S768" i="5"/>
  <c r="T768" i="5"/>
  <c r="U768" i="5"/>
  <c r="V768" i="5"/>
  <c r="W768" i="5"/>
  <c r="X768" i="5"/>
  <c r="B769" i="5"/>
  <c r="C769" i="5"/>
  <c r="D769" i="5"/>
  <c r="E769" i="5"/>
  <c r="F769" i="5"/>
  <c r="G769" i="5"/>
  <c r="H769" i="5"/>
  <c r="I769" i="5"/>
  <c r="J769" i="5"/>
  <c r="K769" i="5"/>
  <c r="L769" i="5"/>
  <c r="M769" i="5"/>
  <c r="N769" i="5"/>
  <c r="O769" i="5"/>
  <c r="P769" i="5"/>
  <c r="Q769" i="5"/>
  <c r="R769" i="5"/>
  <c r="S769" i="5"/>
  <c r="T769" i="5"/>
  <c r="U769" i="5"/>
  <c r="V769" i="5"/>
  <c r="W769" i="5"/>
  <c r="X769" i="5"/>
  <c r="B770" i="5"/>
  <c r="C770" i="5"/>
  <c r="D770" i="5"/>
  <c r="E770" i="5"/>
  <c r="F770" i="5"/>
  <c r="G770" i="5"/>
  <c r="H770" i="5"/>
  <c r="I770" i="5"/>
  <c r="J770" i="5"/>
  <c r="K770" i="5"/>
  <c r="L770" i="5"/>
  <c r="M770" i="5"/>
  <c r="AC770" i="5" s="1"/>
  <c r="N770" i="5"/>
  <c r="O770" i="5"/>
  <c r="P770" i="5"/>
  <c r="Q770" i="5"/>
  <c r="R770" i="5"/>
  <c r="S770" i="5"/>
  <c r="T770" i="5"/>
  <c r="U770" i="5"/>
  <c r="V770" i="5"/>
  <c r="W770" i="5"/>
  <c r="X770" i="5"/>
  <c r="B771" i="5"/>
  <c r="C771" i="5"/>
  <c r="D771" i="5"/>
  <c r="E771" i="5"/>
  <c r="F771" i="5"/>
  <c r="G771" i="5"/>
  <c r="H771" i="5"/>
  <c r="I771" i="5"/>
  <c r="J771" i="5"/>
  <c r="K771" i="5"/>
  <c r="L771" i="5"/>
  <c r="M771" i="5"/>
  <c r="N771" i="5"/>
  <c r="O771" i="5"/>
  <c r="P771" i="5"/>
  <c r="Q771" i="5"/>
  <c r="R771" i="5"/>
  <c r="S771" i="5"/>
  <c r="T771" i="5"/>
  <c r="U771" i="5"/>
  <c r="V771" i="5"/>
  <c r="W771" i="5"/>
  <c r="X771" i="5"/>
  <c r="B772" i="5"/>
  <c r="C772" i="5"/>
  <c r="D772" i="5"/>
  <c r="E772" i="5"/>
  <c r="F772" i="5"/>
  <c r="G772" i="5"/>
  <c r="H772" i="5"/>
  <c r="I772" i="5"/>
  <c r="J772" i="5"/>
  <c r="K772" i="5"/>
  <c r="L772" i="5"/>
  <c r="M772" i="5"/>
  <c r="N772" i="5"/>
  <c r="O772" i="5"/>
  <c r="P772" i="5"/>
  <c r="Q772" i="5"/>
  <c r="R772" i="5"/>
  <c r="S772" i="5"/>
  <c r="T772" i="5"/>
  <c r="U772" i="5"/>
  <c r="V772" i="5"/>
  <c r="W772" i="5"/>
  <c r="X772" i="5"/>
  <c r="B773" i="5"/>
  <c r="C773" i="5"/>
  <c r="D773" i="5"/>
  <c r="E773" i="5"/>
  <c r="F773" i="5"/>
  <c r="G773" i="5"/>
  <c r="H773" i="5"/>
  <c r="I773" i="5"/>
  <c r="J773" i="5"/>
  <c r="K773" i="5"/>
  <c r="L773" i="5"/>
  <c r="M773" i="5"/>
  <c r="N773" i="5"/>
  <c r="O773" i="5"/>
  <c r="P773" i="5"/>
  <c r="Q773" i="5"/>
  <c r="R773" i="5"/>
  <c r="S773" i="5"/>
  <c r="T773" i="5"/>
  <c r="U773" i="5"/>
  <c r="V773" i="5"/>
  <c r="W773" i="5"/>
  <c r="X773" i="5"/>
  <c r="B774" i="5"/>
  <c r="C774" i="5"/>
  <c r="D774" i="5"/>
  <c r="E774" i="5"/>
  <c r="F774" i="5"/>
  <c r="G774" i="5"/>
  <c r="H774" i="5"/>
  <c r="I774" i="5"/>
  <c r="J774" i="5"/>
  <c r="K774" i="5"/>
  <c r="L774" i="5"/>
  <c r="M774" i="5"/>
  <c r="N774" i="5"/>
  <c r="O774" i="5"/>
  <c r="P774" i="5"/>
  <c r="Q774" i="5"/>
  <c r="R774" i="5"/>
  <c r="S774" i="5"/>
  <c r="T774" i="5"/>
  <c r="U774" i="5"/>
  <c r="V774" i="5"/>
  <c r="W774" i="5"/>
  <c r="X774" i="5"/>
  <c r="B775" i="5"/>
  <c r="C775" i="5"/>
  <c r="D775" i="5"/>
  <c r="E775" i="5"/>
  <c r="F775" i="5"/>
  <c r="G775" i="5"/>
  <c r="H775" i="5"/>
  <c r="I775" i="5"/>
  <c r="J775" i="5"/>
  <c r="K775" i="5"/>
  <c r="L775" i="5"/>
  <c r="M775" i="5"/>
  <c r="N775" i="5"/>
  <c r="O775" i="5"/>
  <c r="P775" i="5"/>
  <c r="Q775" i="5"/>
  <c r="R775" i="5"/>
  <c r="S775" i="5"/>
  <c r="T775" i="5"/>
  <c r="U775" i="5"/>
  <c r="V775" i="5"/>
  <c r="W775" i="5"/>
  <c r="X775" i="5"/>
  <c r="B776" i="5"/>
  <c r="C776" i="5"/>
  <c r="D776" i="5"/>
  <c r="E776" i="5"/>
  <c r="F776" i="5"/>
  <c r="G776" i="5"/>
  <c r="H776" i="5"/>
  <c r="I776" i="5"/>
  <c r="J776" i="5"/>
  <c r="K776" i="5"/>
  <c r="L776" i="5"/>
  <c r="M776" i="5"/>
  <c r="N776" i="5"/>
  <c r="AC776" i="5" s="1"/>
  <c r="O776" i="5"/>
  <c r="P776" i="5"/>
  <c r="Q776" i="5"/>
  <c r="R776" i="5"/>
  <c r="S776" i="5"/>
  <c r="T776" i="5"/>
  <c r="U776" i="5"/>
  <c r="V776" i="5"/>
  <c r="W776" i="5"/>
  <c r="X776" i="5"/>
  <c r="B777" i="5"/>
  <c r="AB777" i="5" s="1"/>
  <c r="C777" i="5"/>
  <c r="D777" i="5"/>
  <c r="E777" i="5"/>
  <c r="F777" i="5"/>
  <c r="G777" i="5"/>
  <c r="H777" i="5"/>
  <c r="I777" i="5"/>
  <c r="J777" i="5"/>
  <c r="K777" i="5"/>
  <c r="L777" i="5"/>
  <c r="M777" i="5"/>
  <c r="N777" i="5"/>
  <c r="O777" i="5"/>
  <c r="P777" i="5"/>
  <c r="Q777" i="5"/>
  <c r="R777" i="5"/>
  <c r="S777" i="5"/>
  <c r="T777" i="5"/>
  <c r="U777" i="5"/>
  <c r="V777" i="5"/>
  <c r="W777" i="5"/>
  <c r="X777" i="5"/>
  <c r="B778" i="5"/>
  <c r="C778" i="5"/>
  <c r="D778" i="5"/>
  <c r="E778" i="5"/>
  <c r="F778" i="5"/>
  <c r="G778" i="5"/>
  <c r="H778" i="5"/>
  <c r="I778" i="5"/>
  <c r="J778" i="5"/>
  <c r="K778" i="5"/>
  <c r="L778" i="5"/>
  <c r="M778" i="5"/>
  <c r="N778" i="5"/>
  <c r="AC778" i="5" s="1"/>
  <c r="O778" i="5"/>
  <c r="P778" i="5"/>
  <c r="Q778" i="5"/>
  <c r="R778" i="5"/>
  <c r="S778" i="5"/>
  <c r="T778" i="5"/>
  <c r="U778" i="5"/>
  <c r="V778" i="5"/>
  <c r="W778" i="5"/>
  <c r="X778" i="5"/>
  <c r="B779" i="5"/>
  <c r="AB779" i="5" s="1"/>
  <c r="C779" i="5"/>
  <c r="D779" i="5"/>
  <c r="E779" i="5"/>
  <c r="F779" i="5"/>
  <c r="G779" i="5"/>
  <c r="H779" i="5"/>
  <c r="I779" i="5"/>
  <c r="J779" i="5"/>
  <c r="K779" i="5"/>
  <c r="L779" i="5"/>
  <c r="M779" i="5"/>
  <c r="N779" i="5"/>
  <c r="O779" i="5"/>
  <c r="P779" i="5"/>
  <c r="Q779" i="5"/>
  <c r="R779" i="5"/>
  <c r="S779" i="5"/>
  <c r="T779" i="5"/>
  <c r="U779" i="5"/>
  <c r="V779" i="5"/>
  <c r="W779" i="5"/>
  <c r="X779" i="5"/>
  <c r="B780" i="5"/>
  <c r="C780" i="5"/>
  <c r="D780" i="5"/>
  <c r="E780" i="5"/>
  <c r="F780" i="5"/>
  <c r="G780" i="5"/>
  <c r="H780" i="5"/>
  <c r="I780" i="5"/>
  <c r="J780" i="5"/>
  <c r="K780" i="5"/>
  <c r="L780" i="5"/>
  <c r="M780" i="5"/>
  <c r="N780" i="5"/>
  <c r="AC780" i="5" s="1"/>
  <c r="O780" i="5"/>
  <c r="P780" i="5"/>
  <c r="Q780" i="5"/>
  <c r="R780" i="5"/>
  <c r="S780" i="5"/>
  <c r="T780" i="5"/>
  <c r="U780" i="5"/>
  <c r="V780" i="5"/>
  <c r="W780" i="5"/>
  <c r="X780" i="5"/>
  <c r="B781" i="5"/>
  <c r="C781" i="5"/>
  <c r="D781" i="5"/>
  <c r="E781" i="5"/>
  <c r="F781" i="5"/>
  <c r="G781" i="5"/>
  <c r="H781" i="5"/>
  <c r="I781" i="5"/>
  <c r="J781" i="5"/>
  <c r="K781" i="5"/>
  <c r="L781" i="5"/>
  <c r="M781" i="5"/>
  <c r="N781" i="5"/>
  <c r="AC781" i="5" s="1"/>
  <c r="O781" i="5"/>
  <c r="P781" i="5"/>
  <c r="Q781" i="5"/>
  <c r="R781" i="5"/>
  <c r="S781" i="5"/>
  <c r="T781" i="5"/>
  <c r="U781" i="5"/>
  <c r="V781" i="5"/>
  <c r="W781" i="5"/>
  <c r="X781" i="5"/>
  <c r="B782" i="5"/>
  <c r="AB782" i="5" s="1"/>
  <c r="C782" i="5"/>
  <c r="D782" i="5"/>
  <c r="E782" i="5"/>
  <c r="F782" i="5"/>
  <c r="G782" i="5"/>
  <c r="H782" i="5"/>
  <c r="I782" i="5"/>
  <c r="J782" i="5"/>
  <c r="K782" i="5"/>
  <c r="L782" i="5"/>
  <c r="M782" i="5"/>
  <c r="N782" i="5"/>
  <c r="O782" i="5"/>
  <c r="P782" i="5"/>
  <c r="Q782" i="5"/>
  <c r="R782" i="5"/>
  <c r="S782" i="5"/>
  <c r="T782" i="5"/>
  <c r="U782" i="5"/>
  <c r="V782" i="5"/>
  <c r="W782" i="5"/>
  <c r="X782" i="5"/>
  <c r="B783" i="5"/>
  <c r="C783" i="5"/>
  <c r="D783" i="5"/>
  <c r="E783" i="5"/>
  <c r="F783" i="5"/>
  <c r="G783" i="5"/>
  <c r="H783" i="5"/>
  <c r="I783" i="5"/>
  <c r="J783" i="5"/>
  <c r="K783" i="5"/>
  <c r="L783" i="5"/>
  <c r="M783" i="5"/>
  <c r="N783" i="5"/>
  <c r="AC783" i="5" s="1"/>
  <c r="O783" i="5"/>
  <c r="P783" i="5"/>
  <c r="Q783" i="5"/>
  <c r="R783" i="5"/>
  <c r="S783" i="5"/>
  <c r="T783" i="5"/>
  <c r="U783" i="5"/>
  <c r="V783" i="5"/>
  <c r="W783" i="5"/>
  <c r="X783" i="5"/>
  <c r="B784" i="5"/>
  <c r="AB784" i="5" s="1"/>
  <c r="C784" i="5"/>
  <c r="D784" i="5"/>
  <c r="E784" i="5"/>
  <c r="F784" i="5"/>
  <c r="G784" i="5"/>
  <c r="H784" i="5"/>
  <c r="I784" i="5"/>
  <c r="J784" i="5"/>
  <c r="K784" i="5"/>
  <c r="L784" i="5"/>
  <c r="M784" i="5"/>
  <c r="N784" i="5"/>
  <c r="O784" i="5"/>
  <c r="AC784" i="5" s="1"/>
  <c r="P784" i="5"/>
  <c r="Q784" i="5"/>
  <c r="R784" i="5"/>
  <c r="S784" i="5"/>
  <c r="T784" i="5"/>
  <c r="U784" i="5"/>
  <c r="V784" i="5"/>
  <c r="W784" i="5"/>
  <c r="X784" i="5"/>
  <c r="B785" i="5"/>
  <c r="C785" i="5"/>
  <c r="D785" i="5"/>
  <c r="E785" i="5"/>
  <c r="F785" i="5"/>
  <c r="G785" i="5"/>
  <c r="H785" i="5"/>
  <c r="I785" i="5"/>
  <c r="J785" i="5"/>
  <c r="K785" i="5"/>
  <c r="L785" i="5"/>
  <c r="M785" i="5"/>
  <c r="N785" i="5"/>
  <c r="O785" i="5"/>
  <c r="P785" i="5"/>
  <c r="Q785" i="5"/>
  <c r="R785" i="5"/>
  <c r="S785" i="5"/>
  <c r="T785" i="5"/>
  <c r="U785" i="5"/>
  <c r="V785" i="5"/>
  <c r="W785" i="5"/>
  <c r="X785" i="5"/>
  <c r="B786" i="5"/>
  <c r="C786" i="5"/>
  <c r="D786" i="5"/>
  <c r="E786" i="5"/>
  <c r="F786" i="5"/>
  <c r="G786" i="5"/>
  <c r="H786" i="5"/>
  <c r="I786" i="5"/>
  <c r="J786" i="5"/>
  <c r="K786" i="5"/>
  <c r="L786" i="5"/>
  <c r="M786" i="5"/>
  <c r="N786" i="5"/>
  <c r="O786" i="5"/>
  <c r="P786" i="5"/>
  <c r="Q786" i="5"/>
  <c r="R786" i="5"/>
  <c r="S786" i="5"/>
  <c r="T786" i="5"/>
  <c r="U786" i="5"/>
  <c r="V786" i="5"/>
  <c r="W786" i="5"/>
  <c r="X786" i="5"/>
  <c r="B787" i="5"/>
  <c r="C787" i="5"/>
  <c r="D787" i="5"/>
  <c r="E787" i="5"/>
  <c r="F787" i="5"/>
  <c r="G787" i="5"/>
  <c r="H787" i="5"/>
  <c r="I787" i="5"/>
  <c r="J787" i="5"/>
  <c r="K787" i="5"/>
  <c r="L787" i="5"/>
  <c r="M787" i="5"/>
  <c r="N787" i="5"/>
  <c r="O787" i="5"/>
  <c r="P787" i="5"/>
  <c r="Q787" i="5"/>
  <c r="R787" i="5"/>
  <c r="S787" i="5"/>
  <c r="T787" i="5"/>
  <c r="U787" i="5"/>
  <c r="V787" i="5"/>
  <c r="W787" i="5"/>
  <c r="X787" i="5"/>
  <c r="B788" i="5"/>
  <c r="C788" i="5"/>
  <c r="D788" i="5"/>
  <c r="E788" i="5"/>
  <c r="F788" i="5"/>
  <c r="G788" i="5"/>
  <c r="H788" i="5"/>
  <c r="I788" i="5"/>
  <c r="J788" i="5"/>
  <c r="K788" i="5"/>
  <c r="L788" i="5"/>
  <c r="M788" i="5"/>
  <c r="N788" i="5"/>
  <c r="O788" i="5"/>
  <c r="P788" i="5"/>
  <c r="Q788" i="5"/>
  <c r="R788" i="5"/>
  <c r="S788" i="5"/>
  <c r="T788" i="5"/>
  <c r="U788" i="5"/>
  <c r="V788" i="5"/>
  <c r="W788" i="5"/>
  <c r="X788" i="5"/>
  <c r="B789" i="5"/>
  <c r="C789" i="5"/>
  <c r="D789" i="5"/>
  <c r="E789" i="5"/>
  <c r="F789" i="5"/>
  <c r="G789" i="5"/>
  <c r="H789" i="5"/>
  <c r="I789" i="5"/>
  <c r="J789" i="5"/>
  <c r="K789" i="5"/>
  <c r="L789" i="5"/>
  <c r="M789" i="5"/>
  <c r="N789" i="5"/>
  <c r="O789" i="5"/>
  <c r="P789" i="5"/>
  <c r="Q789" i="5"/>
  <c r="R789" i="5"/>
  <c r="S789" i="5"/>
  <c r="T789" i="5"/>
  <c r="U789" i="5"/>
  <c r="V789" i="5"/>
  <c r="W789" i="5"/>
  <c r="X789" i="5"/>
  <c r="B790" i="5"/>
  <c r="C790" i="5"/>
  <c r="D790" i="5"/>
  <c r="E790" i="5"/>
  <c r="F790" i="5"/>
  <c r="G790" i="5"/>
  <c r="H790" i="5"/>
  <c r="I790" i="5"/>
  <c r="J790" i="5"/>
  <c r="K790" i="5"/>
  <c r="L790" i="5"/>
  <c r="M790" i="5"/>
  <c r="N790" i="5"/>
  <c r="O790" i="5"/>
  <c r="P790" i="5"/>
  <c r="Q790" i="5"/>
  <c r="R790" i="5"/>
  <c r="S790" i="5"/>
  <c r="T790" i="5"/>
  <c r="U790" i="5"/>
  <c r="V790" i="5"/>
  <c r="W790" i="5"/>
  <c r="X790" i="5"/>
  <c r="B791" i="5"/>
  <c r="C791" i="5"/>
  <c r="D791" i="5"/>
  <c r="E791" i="5"/>
  <c r="F791" i="5"/>
  <c r="G791" i="5"/>
  <c r="H791" i="5"/>
  <c r="I791" i="5"/>
  <c r="J791" i="5"/>
  <c r="K791" i="5"/>
  <c r="L791" i="5"/>
  <c r="M791" i="5"/>
  <c r="N791" i="5"/>
  <c r="O791" i="5"/>
  <c r="P791" i="5"/>
  <c r="Q791" i="5"/>
  <c r="R791" i="5"/>
  <c r="S791" i="5"/>
  <c r="T791" i="5"/>
  <c r="U791" i="5"/>
  <c r="V791" i="5"/>
  <c r="W791" i="5"/>
  <c r="X791" i="5"/>
  <c r="B792" i="5"/>
  <c r="C792" i="5"/>
  <c r="D792" i="5"/>
  <c r="E792" i="5"/>
  <c r="F792" i="5"/>
  <c r="G792" i="5"/>
  <c r="H792" i="5"/>
  <c r="I792" i="5"/>
  <c r="J792" i="5"/>
  <c r="K792" i="5"/>
  <c r="L792" i="5"/>
  <c r="M792" i="5"/>
  <c r="N792" i="5"/>
  <c r="O792" i="5"/>
  <c r="P792" i="5"/>
  <c r="Q792" i="5"/>
  <c r="R792" i="5"/>
  <c r="S792" i="5"/>
  <c r="T792" i="5"/>
  <c r="U792" i="5"/>
  <c r="V792" i="5"/>
  <c r="W792" i="5"/>
  <c r="X792" i="5"/>
  <c r="B793" i="5"/>
  <c r="C793" i="5"/>
  <c r="D793" i="5"/>
  <c r="E793" i="5"/>
  <c r="F793" i="5"/>
  <c r="G793" i="5"/>
  <c r="H793" i="5"/>
  <c r="I793" i="5"/>
  <c r="J793" i="5"/>
  <c r="K793" i="5"/>
  <c r="L793" i="5"/>
  <c r="M793" i="5"/>
  <c r="N793" i="5"/>
  <c r="O793" i="5"/>
  <c r="P793" i="5"/>
  <c r="Q793" i="5"/>
  <c r="R793" i="5"/>
  <c r="S793" i="5"/>
  <c r="T793" i="5"/>
  <c r="U793" i="5"/>
  <c r="V793" i="5"/>
  <c r="W793" i="5"/>
  <c r="X793" i="5"/>
  <c r="B794" i="5"/>
  <c r="C794" i="5"/>
  <c r="D794" i="5"/>
  <c r="E794" i="5"/>
  <c r="F794" i="5"/>
  <c r="G794" i="5"/>
  <c r="H794" i="5"/>
  <c r="I794" i="5"/>
  <c r="J794" i="5"/>
  <c r="K794" i="5"/>
  <c r="L794" i="5"/>
  <c r="M794" i="5"/>
  <c r="N794" i="5"/>
  <c r="O794" i="5"/>
  <c r="P794" i="5"/>
  <c r="Q794" i="5"/>
  <c r="R794" i="5"/>
  <c r="S794" i="5"/>
  <c r="T794" i="5"/>
  <c r="U794" i="5"/>
  <c r="V794" i="5"/>
  <c r="W794" i="5"/>
  <c r="X794" i="5"/>
  <c r="B795" i="5"/>
  <c r="C795" i="5"/>
  <c r="D795" i="5"/>
  <c r="E795" i="5"/>
  <c r="F795" i="5"/>
  <c r="G795" i="5"/>
  <c r="H795" i="5"/>
  <c r="I795" i="5"/>
  <c r="J795" i="5"/>
  <c r="K795" i="5"/>
  <c r="L795" i="5"/>
  <c r="M795" i="5"/>
  <c r="N795" i="5"/>
  <c r="O795" i="5"/>
  <c r="P795" i="5"/>
  <c r="Q795" i="5"/>
  <c r="R795" i="5"/>
  <c r="S795" i="5"/>
  <c r="T795" i="5"/>
  <c r="U795" i="5"/>
  <c r="V795" i="5"/>
  <c r="W795" i="5"/>
  <c r="X795" i="5"/>
  <c r="B796" i="5"/>
  <c r="C796" i="5"/>
  <c r="D796" i="5"/>
  <c r="E796" i="5"/>
  <c r="F796" i="5"/>
  <c r="G796" i="5"/>
  <c r="H796" i="5"/>
  <c r="I796" i="5"/>
  <c r="J796" i="5"/>
  <c r="K796" i="5"/>
  <c r="L796" i="5"/>
  <c r="M796" i="5"/>
  <c r="N796" i="5"/>
  <c r="O796" i="5"/>
  <c r="P796" i="5"/>
  <c r="Q796" i="5"/>
  <c r="R796" i="5"/>
  <c r="S796" i="5"/>
  <c r="T796" i="5"/>
  <c r="U796" i="5"/>
  <c r="V796" i="5"/>
  <c r="W796" i="5"/>
  <c r="X796" i="5"/>
  <c r="B797" i="5"/>
  <c r="C797" i="5"/>
  <c r="D797" i="5"/>
  <c r="E797" i="5"/>
  <c r="F797" i="5"/>
  <c r="G797" i="5"/>
  <c r="H797" i="5"/>
  <c r="I797" i="5"/>
  <c r="J797" i="5"/>
  <c r="K797" i="5"/>
  <c r="L797" i="5"/>
  <c r="M797" i="5"/>
  <c r="N797" i="5"/>
  <c r="O797" i="5"/>
  <c r="P797" i="5"/>
  <c r="Q797" i="5"/>
  <c r="R797" i="5"/>
  <c r="S797" i="5"/>
  <c r="T797" i="5"/>
  <c r="U797" i="5"/>
  <c r="V797" i="5"/>
  <c r="W797" i="5"/>
  <c r="X797" i="5"/>
  <c r="B798" i="5"/>
  <c r="C798" i="5"/>
  <c r="D798" i="5"/>
  <c r="E798" i="5"/>
  <c r="F798" i="5"/>
  <c r="G798" i="5"/>
  <c r="H798" i="5"/>
  <c r="I798" i="5"/>
  <c r="J798" i="5"/>
  <c r="K798" i="5"/>
  <c r="L798" i="5"/>
  <c r="M798" i="5"/>
  <c r="N798" i="5"/>
  <c r="O798" i="5"/>
  <c r="P798" i="5"/>
  <c r="Q798" i="5"/>
  <c r="R798" i="5"/>
  <c r="S798" i="5"/>
  <c r="T798" i="5"/>
  <c r="U798" i="5"/>
  <c r="V798" i="5"/>
  <c r="W798" i="5"/>
  <c r="X798" i="5"/>
  <c r="B799" i="5"/>
  <c r="C799" i="5"/>
  <c r="D799" i="5"/>
  <c r="E799" i="5"/>
  <c r="F799" i="5"/>
  <c r="G799" i="5"/>
  <c r="H799" i="5"/>
  <c r="I799" i="5"/>
  <c r="J799" i="5"/>
  <c r="K799" i="5"/>
  <c r="L799" i="5"/>
  <c r="M799" i="5"/>
  <c r="N799" i="5"/>
  <c r="O799" i="5"/>
  <c r="P799" i="5"/>
  <c r="Q799" i="5"/>
  <c r="R799" i="5"/>
  <c r="S799" i="5"/>
  <c r="T799" i="5"/>
  <c r="U799" i="5"/>
  <c r="V799" i="5"/>
  <c r="W799" i="5"/>
  <c r="X799" i="5"/>
  <c r="B800" i="5"/>
  <c r="C800" i="5"/>
  <c r="D800" i="5"/>
  <c r="E800" i="5"/>
  <c r="F800" i="5"/>
  <c r="G800" i="5"/>
  <c r="H800" i="5"/>
  <c r="I800" i="5"/>
  <c r="J800" i="5"/>
  <c r="K800" i="5"/>
  <c r="L800" i="5"/>
  <c r="M800" i="5"/>
  <c r="N800" i="5"/>
  <c r="O800" i="5"/>
  <c r="P800" i="5"/>
  <c r="Q800" i="5"/>
  <c r="R800" i="5"/>
  <c r="S800" i="5"/>
  <c r="T800" i="5"/>
  <c r="U800" i="5"/>
  <c r="V800" i="5"/>
  <c r="W800" i="5"/>
  <c r="X800" i="5"/>
  <c r="B801" i="5"/>
  <c r="C801" i="5"/>
  <c r="D801" i="5"/>
  <c r="E801" i="5"/>
  <c r="F801" i="5"/>
  <c r="G801" i="5"/>
  <c r="H801" i="5"/>
  <c r="I801" i="5"/>
  <c r="J801" i="5"/>
  <c r="K801" i="5"/>
  <c r="L801" i="5"/>
  <c r="M801" i="5"/>
  <c r="N801" i="5"/>
  <c r="O801" i="5"/>
  <c r="P801" i="5"/>
  <c r="Q801" i="5"/>
  <c r="R801" i="5"/>
  <c r="S801" i="5"/>
  <c r="T801" i="5"/>
  <c r="U801" i="5"/>
  <c r="V801" i="5"/>
  <c r="W801" i="5"/>
  <c r="X801" i="5"/>
  <c r="B802" i="5"/>
  <c r="C802" i="5"/>
  <c r="D802" i="5"/>
  <c r="E802" i="5"/>
  <c r="F802" i="5"/>
  <c r="G802" i="5"/>
  <c r="H802" i="5"/>
  <c r="I802" i="5"/>
  <c r="J802" i="5"/>
  <c r="K802" i="5"/>
  <c r="L802" i="5"/>
  <c r="M802" i="5"/>
  <c r="N802" i="5"/>
  <c r="O802" i="5"/>
  <c r="P802" i="5"/>
  <c r="Q802" i="5"/>
  <c r="R802" i="5"/>
  <c r="S802" i="5"/>
  <c r="T802" i="5"/>
  <c r="U802" i="5"/>
  <c r="V802" i="5"/>
  <c r="W802" i="5"/>
  <c r="X802" i="5"/>
  <c r="B803" i="5"/>
  <c r="C803" i="5"/>
  <c r="D803" i="5"/>
  <c r="E803" i="5"/>
  <c r="F803" i="5"/>
  <c r="G803" i="5"/>
  <c r="H803" i="5"/>
  <c r="I803" i="5"/>
  <c r="J803" i="5"/>
  <c r="K803" i="5"/>
  <c r="L803" i="5"/>
  <c r="M803" i="5"/>
  <c r="N803" i="5"/>
  <c r="O803" i="5"/>
  <c r="P803" i="5"/>
  <c r="Q803" i="5"/>
  <c r="R803" i="5"/>
  <c r="S803" i="5"/>
  <c r="T803" i="5"/>
  <c r="U803" i="5"/>
  <c r="V803" i="5"/>
  <c r="W803" i="5"/>
  <c r="X803" i="5"/>
  <c r="B804" i="5"/>
  <c r="C804" i="5"/>
  <c r="D804" i="5"/>
  <c r="E804" i="5"/>
  <c r="F804" i="5"/>
  <c r="G804" i="5"/>
  <c r="H804" i="5"/>
  <c r="I804" i="5"/>
  <c r="J804" i="5"/>
  <c r="K804" i="5"/>
  <c r="L804" i="5"/>
  <c r="M804" i="5"/>
  <c r="N804" i="5"/>
  <c r="O804" i="5"/>
  <c r="P804" i="5"/>
  <c r="Q804" i="5"/>
  <c r="R804" i="5"/>
  <c r="S804" i="5"/>
  <c r="T804" i="5"/>
  <c r="U804" i="5"/>
  <c r="V804" i="5"/>
  <c r="W804" i="5"/>
  <c r="X804" i="5"/>
  <c r="B805" i="5"/>
  <c r="C805" i="5"/>
  <c r="D805" i="5"/>
  <c r="E805" i="5"/>
  <c r="F805" i="5"/>
  <c r="G805" i="5"/>
  <c r="H805" i="5"/>
  <c r="I805" i="5"/>
  <c r="J805" i="5"/>
  <c r="K805" i="5"/>
  <c r="L805" i="5"/>
  <c r="M805" i="5"/>
  <c r="N805" i="5"/>
  <c r="O805" i="5"/>
  <c r="P805" i="5"/>
  <c r="Q805" i="5"/>
  <c r="R805" i="5"/>
  <c r="S805" i="5"/>
  <c r="T805" i="5"/>
  <c r="U805" i="5"/>
  <c r="V805" i="5"/>
  <c r="W805" i="5"/>
  <c r="X805" i="5"/>
  <c r="B806" i="5"/>
  <c r="C806" i="5"/>
  <c r="D806" i="5"/>
  <c r="E806" i="5"/>
  <c r="F806" i="5"/>
  <c r="G806" i="5"/>
  <c r="H806" i="5"/>
  <c r="I806" i="5"/>
  <c r="J806" i="5"/>
  <c r="K806" i="5"/>
  <c r="L806" i="5"/>
  <c r="M806" i="5"/>
  <c r="N806" i="5"/>
  <c r="O806" i="5"/>
  <c r="P806" i="5"/>
  <c r="Q806" i="5"/>
  <c r="R806" i="5"/>
  <c r="S806" i="5"/>
  <c r="T806" i="5"/>
  <c r="U806" i="5"/>
  <c r="V806" i="5"/>
  <c r="W806" i="5"/>
  <c r="X806" i="5"/>
  <c r="B807" i="5"/>
  <c r="C807" i="5"/>
  <c r="D807" i="5"/>
  <c r="E807" i="5"/>
  <c r="F807" i="5"/>
  <c r="G807" i="5"/>
  <c r="H807" i="5"/>
  <c r="I807" i="5"/>
  <c r="J807" i="5"/>
  <c r="K807" i="5"/>
  <c r="L807" i="5"/>
  <c r="M807" i="5"/>
  <c r="N807" i="5"/>
  <c r="O807" i="5"/>
  <c r="P807" i="5"/>
  <c r="Q807" i="5"/>
  <c r="R807" i="5"/>
  <c r="S807" i="5"/>
  <c r="T807" i="5"/>
  <c r="U807" i="5"/>
  <c r="V807" i="5"/>
  <c r="W807" i="5"/>
  <c r="X807" i="5"/>
  <c r="B808" i="5"/>
  <c r="C808" i="5"/>
  <c r="D808" i="5"/>
  <c r="E808" i="5"/>
  <c r="F808" i="5"/>
  <c r="G808" i="5"/>
  <c r="H808" i="5"/>
  <c r="I808" i="5"/>
  <c r="J808" i="5"/>
  <c r="K808" i="5"/>
  <c r="L808" i="5"/>
  <c r="M808" i="5"/>
  <c r="N808" i="5"/>
  <c r="O808" i="5"/>
  <c r="P808" i="5"/>
  <c r="Q808" i="5"/>
  <c r="R808" i="5"/>
  <c r="S808" i="5"/>
  <c r="T808" i="5"/>
  <c r="U808" i="5"/>
  <c r="V808" i="5"/>
  <c r="W808" i="5"/>
  <c r="X808" i="5"/>
  <c r="AC808" i="5"/>
  <c r="B809" i="5"/>
  <c r="C809" i="5"/>
  <c r="D809" i="5"/>
  <c r="E809" i="5"/>
  <c r="F809" i="5"/>
  <c r="G809" i="5"/>
  <c r="H809" i="5"/>
  <c r="I809" i="5"/>
  <c r="J809" i="5"/>
  <c r="K809" i="5"/>
  <c r="L809" i="5"/>
  <c r="M809" i="5"/>
  <c r="N809" i="5"/>
  <c r="O809" i="5"/>
  <c r="P809" i="5"/>
  <c r="Q809" i="5"/>
  <c r="R809" i="5"/>
  <c r="S809" i="5"/>
  <c r="T809" i="5"/>
  <c r="U809" i="5"/>
  <c r="V809" i="5"/>
  <c r="W809" i="5"/>
  <c r="X809" i="5"/>
  <c r="AB809" i="5"/>
  <c r="B810" i="5"/>
  <c r="C810" i="5"/>
  <c r="D810" i="5"/>
  <c r="E810" i="5"/>
  <c r="F810" i="5"/>
  <c r="G810" i="5"/>
  <c r="H810" i="5"/>
  <c r="I810" i="5"/>
  <c r="J810" i="5"/>
  <c r="K810" i="5"/>
  <c r="L810" i="5"/>
  <c r="M810" i="5"/>
  <c r="N810" i="5"/>
  <c r="O810" i="5"/>
  <c r="P810" i="5"/>
  <c r="Q810" i="5"/>
  <c r="R810" i="5"/>
  <c r="S810" i="5"/>
  <c r="T810" i="5"/>
  <c r="U810" i="5"/>
  <c r="V810" i="5"/>
  <c r="W810" i="5"/>
  <c r="X810" i="5"/>
  <c r="AC810" i="5"/>
  <c r="B811" i="5"/>
  <c r="C811" i="5"/>
  <c r="D811" i="5"/>
  <c r="E811" i="5"/>
  <c r="F811" i="5"/>
  <c r="G811" i="5"/>
  <c r="H811" i="5"/>
  <c r="I811" i="5"/>
  <c r="J811" i="5"/>
  <c r="K811" i="5"/>
  <c r="L811" i="5"/>
  <c r="M811" i="5"/>
  <c r="N811" i="5"/>
  <c r="O811" i="5"/>
  <c r="P811" i="5"/>
  <c r="Q811" i="5"/>
  <c r="R811" i="5"/>
  <c r="S811" i="5"/>
  <c r="T811" i="5"/>
  <c r="U811" i="5"/>
  <c r="V811" i="5"/>
  <c r="W811" i="5"/>
  <c r="X811" i="5"/>
  <c r="B812" i="5"/>
  <c r="C812" i="5"/>
  <c r="D812" i="5"/>
  <c r="E812" i="5"/>
  <c r="F812" i="5"/>
  <c r="G812" i="5"/>
  <c r="H812" i="5"/>
  <c r="I812" i="5"/>
  <c r="J812" i="5"/>
  <c r="K812" i="5"/>
  <c r="L812" i="5"/>
  <c r="M812" i="5"/>
  <c r="N812" i="5"/>
  <c r="AC812" i="5" s="1"/>
  <c r="O812" i="5"/>
  <c r="P812" i="5"/>
  <c r="Q812" i="5"/>
  <c r="R812" i="5"/>
  <c r="S812" i="5"/>
  <c r="T812" i="5"/>
  <c r="U812" i="5"/>
  <c r="V812" i="5"/>
  <c r="W812" i="5"/>
  <c r="X812" i="5"/>
  <c r="B813" i="5"/>
  <c r="C813" i="5"/>
  <c r="D813" i="5"/>
  <c r="E813" i="5"/>
  <c r="F813" i="5"/>
  <c r="G813" i="5"/>
  <c r="H813" i="5"/>
  <c r="I813" i="5"/>
  <c r="J813" i="5"/>
  <c r="K813" i="5"/>
  <c r="L813" i="5"/>
  <c r="M813" i="5"/>
  <c r="N813" i="5"/>
  <c r="AC813" i="5" s="1"/>
  <c r="O813" i="5"/>
  <c r="P813" i="5"/>
  <c r="Q813" i="5"/>
  <c r="R813" i="5"/>
  <c r="S813" i="5"/>
  <c r="T813" i="5"/>
  <c r="U813" i="5"/>
  <c r="V813" i="5"/>
  <c r="W813" i="5"/>
  <c r="X813" i="5"/>
  <c r="B814" i="5"/>
  <c r="C814" i="5"/>
  <c r="D814" i="5"/>
  <c r="E814" i="5"/>
  <c r="F814" i="5"/>
  <c r="G814" i="5"/>
  <c r="H814" i="5"/>
  <c r="I814" i="5"/>
  <c r="J814" i="5"/>
  <c r="K814" i="5"/>
  <c r="L814" i="5"/>
  <c r="M814" i="5"/>
  <c r="N814" i="5"/>
  <c r="O814" i="5"/>
  <c r="P814" i="5"/>
  <c r="Q814" i="5"/>
  <c r="R814" i="5"/>
  <c r="S814" i="5"/>
  <c r="T814" i="5"/>
  <c r="U814" i="5"/>
  <c r="V814" i="5"/>
  <c r="W814" i="5"/>
  <c r="X814" i="5"/>
  <c r="B815" i="5"/>
  <c r="C815" i="5"/>
  <c r="D815" i="5"/>
  <c r="E815" i="5"/>
  <c r="F815" i="5"/>
  <c r="G815" i="5"/>
  <c r="H815" i="5"/>
  <c r="I815" i="5"/>
  <c r="J815" i="5"/>
  <c r="K815" i="5"/>
  <c r="L815" i="5"/>
  <c r="M815" i="5"/>
  <c r="N815" i="5"/>
  <c r="AC815" i="5" s="1"/>
  <c r="O815" i="5"/>
  <c r="P815" i="5"/>
  <c r="Q815" i="5"/>
  <c r="R815" i="5"/>
  <c r="S815" i="5"/>
  <c r="T815" i="5"/>
  <c r="U815" i="5"/>
  <c r="V815" i="5"/>
  <c r="W815" i="5"/>
  <c r="X815" i="5"/>
  <c r="B816" i="5"/>
  <c r="AB816" i="5" s="1"/>
  <c r="C816" i="5"/>
  <c r="D816" i="5"/>
  <c r="E816" i="5"/>
  <c r="F816" i="5"/>
  <c r="G816" i="5"/>
  <c r="H816" i="5"/>
  <c r="I816" i="5"/>
  <c r="J816" i="5"/>
  <c r="K816" i="5"/>
  <c r="L816" i="5"/>
  <c r="M816" i="5"/>
  <c r="N816" i="5"/>
  <c r="O816" i="5"/>
  <c r="AC816" i="5" s="1"/>
  <c r="P816" i="5"/>
  <c r="Q816" i="5"/>
  <c r="R816" i="5"/>
  <c r="S816" i="5"/>
  <c r="T816" i="5"/>
  <c r="U816" i="5"/>
  <c r="V816" i="5"/>
  <c r="W816" i="5"/>
  <c r="X816" i="5"/>
  <c r="B817" i="5"/>
  <c r="C817" i="5"/>
  <c r="D817" i="5"/>
  <c r="E817" i="5"/>
  <c r="F817" i="5"/>
  <c r="G817" i="5"/>
  <c r="H817" i="5"/>
  <c r="I817" i="5"/>
  <c r="J817" i="5"/>
  <c r="K817" i="5"/>
  <c r="L817" i="5"/>
  <c r="M817" i="5"/>
  <c r="N817" i="5"/>
  <c r="O817" i="5"/>
  <c r="P817" i="5"/>
  <c r="Q817" i="5"/>
  <c r="R817" i="5"/>
  <c r="S817" i="5"/>
  <c r="T817" i="5"/>
  <c r="U817" i="5"/>
  <c r="V817" i="5"/>
  <c r="W817" i="5"/>
  <c r="X817" i="5"/>
  <c r="B818" i="5"/>
  <c r="C818" i="5"/>
  <c r="D818" i="5"/>
  <c r="E818" i="5"/>
  <c r="F818" i="5"/>
  <c r="G818" i="5"/>
  <c r="H818" i="5"/>
  <c r="I818" i="5"/>
  <c r="J818" i="5"/>
  <c r="K818" i="5"/>
  <c r="L818" i="5"/>
  <c r="M818" i="5"/>
  <c r="N818" i="5"/>
  <c r="O818" i="5"/>
  <c r="P818" i="5"/>
  <c r="Q818" i="5"/>
  <c r="R818" i="5"/>
  <c r="S818" i="5"/>
  <c r="T818" i="5"/>
  <c r="U818" i="5"/>
  <c r="V818" i="5"/>
  <c r="W818" i="5"/>
  <c r="X818" i="5"/>
  <c r="B819" i="5"/>
  <c r="C819" i="5"/>
  <c r="D819" i="5"/>
  <c r="E819" i="5"/>
  <c r="F819" i="5"/>
  <c r="G819" i="5"/>
  <c r="H819" i="5"/>
  <c r="I819" i="5"/>
  <c r="J819" i="5"/>
  <c r="K819" i="5"/>
  <c r="L819" i="5"/>
  <c r="M819" i="5"/>
  <c r="N819" i="5"/>
  <c r="O819" i="5"/>
  <c r="P819" i="5"/>
  <c r="Q819" i="5"/>
  <c r="R819" i="5"/>
  <c r="S819" i="5"/>
  <c r="T819" i="5"/>
  <c r="U819" i="5"/>
  <c r="V819" i="5"/>
  <c r="W819" i="5"/>
  <c r="X819" i="5"/>
  <c r="B820" i="5"/>
  <c r="C820" i="5"/>
  <c r="D820" i="5"/>
  <c r="E820" i="5"/>
  <c r="F820" i="5"/>
  <c r="G820" i="5"/>
  <c r="H820" i="5"/>
  <c r="I820" i="5"/>
  <c r="J820" i="5"/>
  <c r="K820" i="5"/>
  <c r="L820" i="5"/>
  <c r="M820" i="5"/>
  <c r="N820" i="5"/>
  <c r="O820" i="5"/>
  <c r="P820" i="5"/>
  <c r="Q820" i="5"/>
  <c r="R820" i="5"/>
  <c r="S820" i="5"/>
  <c r="T820" i="5"/>
  <c r="U820" i="5"/>
  <c r="V820" i="5"/>
  <c r="W820" i="5"/>
  <c r="X820" i="5"/>
  <c r="B821" i="5"/>
  <c r="C821" i="5"/>
  <c r="D821" i="5"/>
  <c r="E821" i="5"/>
  <c r="F821" i="5"/>
  <c r="G821" i="5"/>
  <c r="H821" i="5"/>
  <c r="I821" i="5"/>
  <c r="J821" i="5"/>
  <c r="K821" i="5"/>
  <c r="L821" i="5"/>
  <c r="M821" i="5"/>
  <c r="N821" i="5"/>
  <c r="O821" i="5"/>
  <c r="P821" i="5"/>
  <c r="Q821" i="5"/>
  <c r="R821" i="5"/>
  <c r="S821" i="5"/>
  <c r="T821" i="5"/>
  <c r="U821" i="5"/>
  <c r="V821" i="5"/>
  <c r="W821" i="5"/>
  <c r="X821" i="5"/>
  <c r="B822" i="5"/>
  <c r="C822" i="5"/>
  <c r="D822" i="5"/>
  <c r="E822" i="5"/>
  <c r="F822" i="5"/>
  <c r="G822" i="5"/>
  <c r="H822" i="5"/>
  <c r="I822" i="5"/>
  <c r="J822" i="5"/>
  <c r="K822" i="5"/>
  <c r="L822" i="5"/>
  <c r="M822" i="5"/>
  <c r="N822" i="5"/>
  <c r="O822" i="5"/>
  <c r="P822" i="5"/>
  <c r="Q822" i="5"/>
  <c r="R822" i="5"/>
  <c r="S822" i="5"/>
  <c r="T822" i="5"/>
  <c r="U822" i="5"/>
  <c r="V822" i="5"/>
  <c r="W822" i="5"/>
  <c r="X822" i="5"/>
  <c r="B823" i="5"/>
  <c r="C823" i="5"/>
  <c r="D823" i="5"/>
  <c r="E823" i="5"/>
  <c r="F823" i="5"/>
  <c r="G823" i="5"/>
  <c r="H823" i="5"/>
  <c r="I823" i="5"/>
  <c r="J823" i="5"/>
  <c r="K823" i="5"/>
  <c r="L823" i="5"/>
  <c r="M823" i="5"/>
  <c r="N823" i="5"/>
  <c r="O823" i="5"/>
  <c r="P823" i="5"/>
  <c r="Q823" i="5"/>
  <c r="R823" i="5"/>
  <c r="S823" i="5"/>
  <c r="T823" i="5"/>
  <c r="U823" i="5"/>
  <c r="V823" i="5"/>
  <c r="W823" i="5"/>
  <c r="X823" i="5"/>
  <c r="B824" i="5"/>
  <c r="C824" i="5"/>
  <c r="D824" i="5"/>
  <c r="E824" i="5"/>
  <c r="F824" i="5"/>
  <c r="G824" i="5"/>
  <c r="H824" i="5"/>
  <c r="I824" i="5"/>
  <c r="J824" i="5"/>
  <c r="K824" i="5"/>
  <c r="L824" i="5"/>
  <c r="M824" i="5"/>
  <c r="N824" i="5"/>
  <c r="O824" i="5"/>
  <c r="P824" i="5"/>
  <c r="Q824" i="5"/>
  <c r="R824" i="5"/>
  <c r="S824" i="5"/>
  <c r="T824" i="5"/>
  <c r="U824" i="5"/>
  <c r="V824" i="5"/>
  <c r="W824" i="5"/>
  <c r="X824" i="5"/>
  <c r="B825" i="5"/>
  <c r="C825" i="5"/>
  <c r="D825" i="5"/>
  <c r="E825" i="5"/>
  <c r="F825" i="5"/>
  <c r="G825" i="5"/>
  <c r="H825" i="5"/>
  <c r="I825" i="5"/>
  <c r="J825" i="5"/>
  <c r="K825" i="5"/>
  <c r="L825" i="5"/>
  <c r="M825" i="5"/>
  <c r="N825" i="5"/>
  <c r="O825" i="5"/>
  <c r="P825" i="5"/>
  <c r="Q825" i="5"/>
  <c r="R825" i="5"/>
  <c r="S825" i="5"/>
  <c r="T825" i="5"/>
  <c r="U825" i="5"/>
  <c r="V825" i="5"/>
  <c r="W825" i="5"/>
  <c r="X825" i="5"/>
  <c r="B826" i="5"/>
  <c r="C826" i="5"/>
  <c r="D826" i="5"/>
  <c r="E826" i="5"/>
  <c r="F826" i="5"/>
  <c r="G826" i="5"/>
  <c r="H826" i="5"/>
  <c r="I826" i="5"/>
  <c r="J826" i="5"/>
  <c r="K826" i="5"/>
  <c r="L826" i="5"/>
  <c r="M826" i="5"/>
  <c r="N826" i="5"/>
  <c r="O826" i="5"/>
  <c r="P826" i="5"/>
  <c r="Q826" i="5"/>
  <c r="R826" i="5"/>
  <c r="S826" i="5"/>
  <c r="T826" i="5"/>
  <c r="U826" i="5"/>
  <c r="V826" i="5"/>
  <c r="W826" i="5"/>
  <c r="X826" i="5"/>
  <c r="B827" i="5"/>
  <c r="C827" i="5"/>
  <c r="D827" i="5"/>
  <c r="E827" i="5"/>
  <c r="F827" i="5"/>
  <c r="G827" i="5"/>
  <c r="H827" i="5"/>
  <c r="I827" i="5"/>
  <c r="J827" i="5"/>
  <c r="K827" i="5"/>
  <c r="L827" i="5"/>
  <c r="M827" i="5"/>
  <c r="N827" i="5"/>
  <c r="O827" i="5"/>
  <c r="P827" i="5"/>
  <c r="Q827" i="5"/>
  <c r="R827" i="5"/>
  <c r="S827" i="5"/>
  <c r="T827" i="5"/>
  <c r="U827" i="5"/>
  <c r="V827" i="5"/>
  <c r="W827" i="5"/>
  <c r="X827" i="5"/>
  <c r="B828" i="5"/>
  <c r="C828" i="5"/>
  <c r="D828" i="5"/>
  <c r="E828" i="5"/>
  <c r="F828" i="5"/>
  <c r="G828" i="5"/>
  <c r="H828" i="5"/>
  <c r="I828" i="5"/>
  <c r="J828" i="5"/>
  <c r="K828" i="5"/>
  <c r="L828" i="5"/>
  <c r="M828" i="5"/>
  <c r="N828" i="5"/>
  <c r="O828" i="5"/>
  <c r="P828" i="5"/>
  <c r="Q828" i="5"/>
  <c r="R828" i="5"/>
  <c r="S828" i="5"/>
  <c r="T828" i="5"/>
  <c r="U828" i="5"/>
  <c r="V828" i="5"/>
  <c r="W828" i="5"/>
  <c r="X828" i="5"/>
  <c r="B829" i="5"/>
  <c r="C829" i="5"/>
  <c r="D829" i="5"/>
  <c r="E829" i="5"/>
  <c r="F829" i="5"/>
  <c r="G829" i="5"/>
  <c r="H829" i="5"/>
  <c r="I829" i="5"/>
  <c r="J829" i="5"/>
  <c r="K829" i="5"/>
  <c r="L829" i="5"/>
  <c r="M829" i="5"/>
  <c r="N829" i="5"/>
  <c r="O829" i="5"/>
  <c r="P829" i="5"/>
  <c r="Q829" i="5"/>
  <c r="R829" i="5"/>
  <c r="S829" i="5"/>
  <c r="T829" i="5"/>
  <c r="U829" i="5"/>
  <c r="V829" i="5"/>
  <c r="W829" i="5"/>
  <c r="X829" i="5"/>
  <c r="B830" i="5"/>
  <c r="C830" i="5"/>
  <c r="D830" i="5"/>
  <c r="E830" i="5"/>
  <c r="F830" i="5"/>
  <c r="G830" i="5"/>
  <c r="H830" i="5"/>
  <c r="I830" i="5"/>
  <c r="J830" i="5"/>
  <c r="K830" i="5"/>
  <c r="L830" i="5"/>
  <c r="M830" i="5"/>
  <c r="N830" i="5"/>
  <c r="O830" i="5"/>
  <c r="P830" i="5"/>
  <c r="Q830" i="5"/>
  <c r="R830" i="5"/>
  <c r="S830" i="5"/>
  <c r="T830" i="5"/>
  <c r="U830" i="5"/>
  <c r="V830" i="5"/>
  <c r="W830" i="5"/>
  <c r="X830" i="5"/>
  <c r="B831" i="5"/>
  <c r="C831" i="5"/>
  <c r="D831" i="5"/>
  <c r="E831" i="5"/>
  <c r="F831" i="5"/>
  <c r="G831" i="5"/>
  <c r="H831" i="5"/>
  <c r="I831" i="5"/>
  <c r="J831" i="5"/>
  <c r="K831" i="5"/>
  <c r="L831" i="5"/>
  <c r="M831" i="5"/>
  <c r="N831" i="5"/>
  <c r="O831" i="5"/>
  <c r="P831" i="5"/>
  <c r="Q831" i="5"/>
  <c r="R831" i="5"/>
  <c r="S831" i="5"/>
  <c r="T831" i="5"/>
  <c r="U831" i="5"/>
  <c r="V831" i="5"/>
  <c r="W831" i="5"/>
  <c r="X831" i="5"/>
  <c r="B832" i="5"/>
  <c r="C832" i="5"/>
  <c r="D832" i="5"/>
  <c r="E832" i="5"/>
  <c r="F832" i="5"/>
  <c r="G832" i="5"/>
  <c r="H832" i="5"/>
  <c r="I832" i="5"/>
  <c r="J832" i="5"/>
  <c r="K832" i="5"/>
  <c r="L832" i="5"/>
  <c r="M832" i="5"/>
  <c r="N832" i="5"/>
  <c r="O832" i="5"/>
  <c r="P832" i="5"/>
  <c r="Q832" i="5"/>
  <c r="R832" i="5"/>
  <c r="S832" i="5"/>
  <c r="T832" i="5"/>
  <c r="U832" i="5"/>
  <c r="V832" i="5"/>
  <c r="W832" i="5"/>
  <c r="X832" i="5"/>
  <c r="B833" i="5"/>
  <c r="C833" i="5"/>
  <c r="D833" i="5"/>
  <c r="E833" i="5"/>
  <c r="F833" i="5"/>
  <c r="G833" i="5"/>
  <c r="H833" i="5"/>
  <c r="I833" i="5"/>
  <c r="J833" i="5"/>
  <c r="K833" i="5"/>
  <c r="L833" i="5"/>
  <c r="M833" i="5"/>
  <c r="N833" i="5"/>
  <c r="O833" i="5"/>
  <c r="P833" i="5"/>
  <c r="Q833" i="5"/>
  <c r="R833" i="5"/>
  <c r="S833" i="5"/>
  <c r="T833" i="5"/>
  <c r="U833" i="5"/>
  <c r="V833" i="5"/>
  <c r="W833" i="5"/>
  <c r="X833" i="5"/>
  <c r="B834" i="5"/>
  <c r="C834" i="5"/>
  <c r="D834" i="5"/>
  <c r="E834" i="5"/>
  <c r="F834" i="5"/>
  <c r="G834" i="5"/>
  <c r="H834" i="5"/>
  <c r="I834" i="5"/>
  <c r="J834" i="5"/>
  <c r="K834" i="5"/>
  <c r="L834" i="5"/>
  <c r="M834" i="5"/>
  <c r="N834" i="5"/>
  <c r="O834" i="5"/>
  <c r="P834" i="5"/>
  <c r="Q834" i="5"/>
  <c r="R834" i="5"/>
  <c r="S834" i="5"/>
  <c r="T834" i="5"/>
  <c r="U834" i="5"/>
  <c r="V834" i="5"/>
  <c r="W834" i="5"/>
  <c r="X834" i="5"/>
  <c r="B835" i="5"/>
  <c r="C835" i="5"/>
  <c r="D835" i="5"/>
  <c r="E835" i="5"/>
  <c r="F835" i="5"/>
  <c r="G835" i="5"/>
  <c r="H835" i="5"/>
  <c r="I835" i="5"/>
  <c r="J835" i="5"/>
  <c r="K835" i="5"/>
  <c r="L835" i="5"/>
  <c r="M835" i="5"/>
  <c r="N835" i="5"/>
  <c r="O835" i="5"/>
  <c r="P835" i="5"/>
  <c r="Q835" i="5"/>
  <c r="R835" i="5"/>
  <c r="S835" i="5"/>
  <c r="T835" i="5"/>
  <c r="U835" i="5"/>
  <c r="V835" i="5"/>
  <c r="W835" i="5"/>
  <c r="X835" i="5"/>
  <c r="B836" i="5"/>
  <c r="C836" i="5"/>
  <c r="D836" i="5"/>
  <c r="E836" i="5"/>
  <c r="F836" i="5"/>
  <c r="G836" i="5"/>
  <c r="H836" i="5"/>
  <c r="I836" i="5"/>
  <c r="J836" i="5"/>
  <c r="K836" i="5"/>
  <c r="L836" i="5"/>
  <c r="M836" i="5"/>
  <c r="N836" i="5"/>
  <c r="O836" i="5"/>
  <c r="P836" i="5"/>
  <c r="Q836" i="5"/>
  <c r="R836" i="5"/>
  <c r="S836" i="5"/>
  <c r="T836" i="5"/>
  <c r="U836" i="5"/>
  <c r="V836" i="5"/>
  <c r="W836" i="5"/>
  <c r="X836" i="5"/>
  <c r="B837" i="5"/>
  <c r="C837" i="5"/>
  <c r="D837" i="5"/>
  <c r="E837" i="5"/>
  <c r="F837" i="5"/>
  <c r="G837" i="5"/>
  <c r="H837" i="5"/>
  <c r="I837" i="5"/>
  <c r="J837" i="5"/>
  <c r="K837" i="5"/>
  <c r="L837" i="5"/>
  <c r="M837" i="5"/>
  <c r="N837" i="5"/>
  <c r="O837" i="5"/>
  <c r="P837" i="5"/>
  <c r="Q837" i="5"/>
  <c r="R837" i="5"/>
  <c r="S837" i="5"/>
  <c r="T837" i="5"/>
  <c r="U837" i="5"/>
  <c r="V837" i="5"/>
  <c r="W837" i="5"/>
  <c r="X837" i="5"/>
  <c r="B838" i="5"/>
  <c r="C838" i="5"/>
  <c r="D838" i="5"/>
  <c r="E838" i="5"/>
  <c r="F838" i="5"/>
  <c r="G838" i="5"/>
  <c r="H838" i="5"/>
  <c r="I838" i="5"/>
  <c r="J838" i="5"/>
  <c r="K838" i="5"/>
  <c r="L838" i="5"/>
  <c r="M838" i="5"/>
  <c r="N838" i="5"/>
  <c r="O838" i="5"/>
  <c r="P838" i="5"/>
  <c r="Q838" i="5"/>
  <c r="R838" i="5"/>
  <c r="S838" i="5"/>
  <c r="T838" i="5"/>
  <c r="U838" i="5"/>
  <c r="V838" i="5"/>
  <c r="W838" i="5"/>
  <c r="X838" i="5"/>
  <c r="B839" i="5"/>
  <c r="C839" i="5"/>
  <c r="D839" i="5"/>
  <c r="E839" i="5"/>
  <c r="F839" i="5"/>
  <c r="G839" i="5"/>
  <c r="H839" i="5"/>
  <c r="I839" i="5"/>
  <c r="J839" i="5"/>
  <c r="K839" i="5"/>
  <c r="L839" i="5"/>
  <c r="M839" i="5"/>
  <c r="N839" i="5"/>
  <c r="O839" i="5"/>
  <c r="P839" i="5"/>
  <c r="Q839" i="5"/>
  <c r="R839" i="5"/>
  <c r="S839" i="5"/>
  <c r="T839" i="5"/>
  <c r="U839" i="5"/>
  <c r="V839" i="5"/>
  <c r="W839" i="5"/>
  <c r="X839" i="5"/>
  <c r="B840" i="5"/>
  <c r="C840" i="5"/>
  <c r="D840" i="5"/>
  <c r="E840" i="5"/>
  <c r="F840" i="5"/>
  <c r="G840" i="5"/>
  <c r="H840" i="5"/>
  <c r="I840" i="5"/>
  <c r="J840" i="5"/>
  <c r="K840" i="5"/>
  <c r="L840" i="5"/>
  <c r="M840" i="5"/>
  <c r="N840" i="5"/>
  <c r="O840" i="5"/>
  <c r="P840" i="5"/>
  <c r="Q840" i="5"/>
  <c r="R840" i="5"/>
  <c r="S840" i="5"/>
  <c r="T840" i="5"/>
  <c r="U840" i="5"/>
  <c r="V840" i="5"/>
  <c r="W840" i="5"/>
  <c r="X840" i="5"/>
  <c r="AC840" i="5"/>
  <c r="B841" i="5"/>
  <c r="C841" i="5"/>
  <c r="D841" i="5"/>
  <c r="E841" i="5"/>
  <c r="F841" i="5"/>
  <c r="G841" i="5"/>
  <c r="H841" i="5"/>
  <c r="I841" i="5"/>
  <c r="J841" i="5"/>
  <c r="K841" i="5"/>
  <c r="L841" i="5"/>
  <c r="M841" i="5"/>
  <c r="N841" i="5"/>
  <c r="O841" i="5"/>
  <c r="P841" i="5"/>
  <c r="Q841" i="5"/>
  <c r="R841" i="5"/>
  <c r="S841" i="5"/>
  <c r="T841" i="5"/>
  <c r="U841" i="5"/>
  <c r="V841" i="5"/>
  <c r="W841" i="5"/>
  <c r="X841" i="5"/>
  <c r="AB841" i="5"/>
  <c r="B842" i="5"/>
  <c r="C842" i="5"/>
  <c r="D842" i="5"/>
  <c r="E842" i="5"/>
  <c r="F842" i="5"/>
  <c r="G842" i="5"/>
  <c r="H842" i="5"/>
  <c r="I842" i="5"/>
  <c r="J842" i="5"/>
  <c r="K842" i="5"/>
  <c r="L842" i="5"/>
  <c r="M842" i="5"/>
  <c r="N842" i="5"/>
  <c r="O842" i="5"/>
  <c r="P842" i="5"/>
  <c r="Q842" i="5"/>
  <c r="R842" i="5"/>
  <c r="S842" i="5"/>
  <c r="T842" i="5"/>
  <c r="U842" i="5"/>
  <c r="V842" i="5"/>
  <c r="W842" i="5"/>
  <c r="X842" i="5"/>
  <c r="AC842" i="5"/>
  <c r="B843" i="5"/>
  <c r="C843" i="5"/>
  <c r="D843" i="5"/>
  <c r="E843" i="5"/>
  <c r="F843" i="5"/>
  <c r="G843" i="5"/>
  <c r="H843" i="5"/>
  <c r="I843" i="5"/>
  <c r="J843" i="5"/>
  <c r="K843" i="5"/>
  <c r="L843" i="5"/>
  <c r="M843" i="5"/>
  <c r="N843" i="5"/>
  <c r="O843" i="5"/>
  <c r="P843" i="5"/>
  <c r="Q843" i="5"/>
  <c r="R843" i="5"/>
  <c r="S843" i="5"/>
  <c r="T843" i="5"/>
  <c r="U843" i="5"/>
  <c r="V843" i="5"/>
  <c r="W843" i="5"/>
  <c r="X843" i="5"/>
  <c r="B844" i="5"/>
  <c r="C844" i="5"/>
  <c r="D844" i="5"/>
  <c r="E844" i="5"/>
  <c r="F844" i="5"/>
  <c r="G844" i="5"/>
  <c r="H844" i="5"/>
  <c r="I844" i="5"/>
  <c r="J844" i="5"/>
  <c r="K844" i="5"/>
  <c r="L844" i="5"/>
  <c r="M844" i="5"/>
  <c r="N844" i="5"/>
  <c r="AC844" i="5" s="1"/>
  <c r="O844" i="5"/>
  <c r="P844" i="5"/>
  <c r="Q844" i="5"/>
  <c r="R844" i="5"/>
  <c r="S844" i="5"/>
  <c r="T844" i="5"/>
  <c r="U844" i="5"/>
  <c r="V844" i="5"/>
  <c r="W844" i="5"/>
  <c r="X844" i="5"/>
  <c r="B845" i="5"/>
  <c r="C845" i="5"/>
  <c r="D845" i="5"/>
  <c r="E845" i="5"/>
  <c r="F845" i="5"/>
  <c r="G845" i="5"/>
  <c r="H845" i="5"/>
  <c r="I845" i="5"/>
  <c r="J845" i="5"/>
  <c r="K845" i="5"/>
  <c r="L845" i="5"/>
  <c r="M845" i="5"/>
  <c r="N845" i="5"/>
  <c r="AC845" i="5" s="1"/>
  <c r="O845" i="5"/>
  <c r="P845" i="5"/>
  <c r="Q845" i="5"/>
  <c r="R845" i="5"/>
  <c r="S845" i="5"/>
  <c r="T845" i="5"/>
  <c r="U845" i="5"/>
  <c r="V845" i="5"/>
  <c r="W845" i="5"/>
  <c r="X845" i="5"/>
  <c r="B846" i="5"/>
  <c r="C846" i="5"/>
  <c r="D846" i="5"/>
  <c r="E846" i="5"/>
  <c r="F846" i="5"/>
  <c r="G846" i="5"/>
  <c r="H846" i="5"/>
  <c r="I846" i="5"/>
  <c r="J846" i="5"/>
  <c r="K846" i="5"/>
  <c r="L846" i="5"/>
  <c r="M846" i="5"/>
  <c r="N846" i="5"/>
  <c r="O846" i="5"/>
  <c r="P846" i="5"/>
  <c r="Q846" i="5"/>
  <c r="R846" i="5"/>
  <c r="S846" i="5"/>
  <c r="T846" i="5"/>
  <c r="U846" i="5"/>
  <c r="V846" i="5"/>
  <c r="W846" i="5"/>
  <c r="X846" i="5"/>
  <c r="B847" i="5"/>
  <c r="C847" i="5"/>
  <c r="D847" i="5"/>
  <c r="E847" i="5"/>
  <c r="F847" i="5"/>
  <c r="G847" i="5"/>
  <c r="H847" i="5"/>
  <c r="I847" i="5"/>
  <c r="J847" i="5"/>
  <c r="K847" i="5"/>
  <c r="L847" i="5"/>
  <c r="M847" i="5"/>
  <c r="N847" i="5"/>
  <c r="AC847" i="5" s="1"/>
  <c r="O847" i="5"/>
  <c r="P847" i="5"/>
  <c r="Q847" i="5"/>
  <c r="R847" i="5"/>
  <c r="S847" i="5"/>
  <c r="T847" i="5"/>
  <c r="U847" i="5"/>
  <c r="V847" i="5"/>
  <c r="W847" i="5"/>
  <c r="X847" i="5"/>
  <c r="B848" i="5"/>
  <c r="AB848" i="5" s="1"/>
  <c r="C848" i="5"/>
  <c r="D848" i="5"/>
  <c r="E848" i="5"/>
  <c r="F848" i="5"/>
  <c r="G848" i="5"/>
  <c r="H848" i="5"/>
  <c r="I848" i="5"/>
  <c r="J848" i="5"/>
  <c r="K848" i="5"/>
  <c r="L848" i="5"/>
  <c r="M848" i="5"/>
  <c r="N848" i="5"/>
  <c r="O848" i="5"/>
  <c r="AC848" i="5" s="1"/>
  <c r="P848" i="5"/>
  <c r="Q848" i="5"/>
  <c r="R848" i="5"/>
  <c r="S848" i="5"/>
  <c r="T848" i="5"/>
  <c r="U848" i="5"/>
  <c r="V848" i="5"/>
  <c r="W848" i="5"/>
  <c r="X848" i="5"/>
  <c r="B849" i="5"/>
  <c r="C849" i="5"/>
  <c r="D849" i="5"/>
  <c r="E849" i="5"/>
  <c r="F849" i="5"/>
  <c r="G849" i="5"/>
  <c r="H849" i="5"/>
  <c r="I849" i="5"/>
  <c r="J849" i="5"/>
  <c r="K849" i="5"/>
  <c r="L849" i="5"/>
  <c r="M849" i="5"/>
  <c r="N849" i="5"/>
  <c r="O849" i="5"/>
  <c r="P849" i="5"/>
  <c r="Q849" i="5"/>
  <c r="R849" i="5"/>
  <c r="S849" i="5"/>
  <c r="T849" i="5"/>
  <c r="U849" i="5"/>
  <c r="V849" i="5"/>
  <c r="W849" i="5"/>
  <c r="X849" i="5"/>
  <c r="B850" i="5"/>
  <c r="C850" i="5"/>
  <c r="D850" i="5"/>
  <c r="E850" i="5"/>
  <c r="F850" i="5"/>
  <c r="G850" i="5"/>
  <c r="H850" i="5"/>
  <c r="I850" i="5"/>
  <c r="J850" i="5"/>
  <c r="K850" i="5"/>
  <c r="L850" i="5"/>
  <c r="M850" i="5"/>
  <c r="N850" i="5"/>
  <c r="O850" i="5"/>
  <c r="AC850" i="5" s="1"/>
  <c r="P850" i="5"/>
  <c r="Q850" i="5"/>
  <c r="R850" i="5"/>
  <c r="S850" i="5"/>
  <c r="T850" i="5"/>
  <c r="U850" i="5"/>
  <c r="V850" i="5"/>
  <c r="W850" i="5"/>
  <c r="X850" i="5"/>
  <c r="B851" i="5"/>
  <c r="C851" i="5"/>
  <c r="D851" i="5"/>
  <c r="E851" i="5"/>
  <c r="F851" i="5"/>
  <c r="G851" i="5"/>
  <c r="H851" i="5"/>
  <c r="I851" i="5"/>
  <c r="J851" i="5"/>
  <c r="K851" i="5"/>
  <c r="L851" i="5"/>
  <c r="M851" i="5"/>
  <c r="N851" i="5"/>
  <c r="O851" i="5"/>
  <c r="P851" i="5"/>
  <c r="Q851" i="5"/>
  <c r="R851" i="5"/>
  <c r="S851" i="5"/>
  <c r="T851" i="5"/>
  <c r="U851" i="5"/>
  <c r="V851" i="5"/>
  <c r="W851" i="5"/>
  <c r="X851" i="5"/>
  <c r="B852" i="5"/>
  <c r="C852" i="5"/>
  <c r="D852" i="5"/>
  <c r="E852" i="5"/>
  <c r="F852" i="5"/>
  <c r="G852" i="5"/>
  <c r="H852" i="5"/>
  <c r="I852" i="5"/>
  <c r="J852" i="5"/>
  <c r="K852" i="5"/>
  <c r="L852" i="5"/>
  <c r="M852" i="5"/>
  <c r="N852" i="5"/>
  <c r="O852" i="5"/>
  <c r="P852" i="5"/>
  <c r="Q852" i="5"/>
  <c r="R852" i="5"/>
  <c r="S852" i="5"/>
  <c r="T852" i="5"/>
  <c r="U852" i="5"/>
  <c r="V852" i="5"/>
  <c r="W852" i="5"/>
  <c r="X852" i="5"/>
  <c r="B853" i="5"/>
  <c r="C853" i="5"/>
  <c r="D853" i="5"/>
  <c r="E853" i="5"/>
  <c r="F853" i="5"/>
  <c r="G853" i="5"/>
  <c r="H853" i="5"/>
  <c r="I853" i="5"/>
  <c r="J853" i="5"/>
  <c r="K853" i="5"/>
  <c r="L853" i="5"/>
  <c r="M853" i="5"/>
  <c r="N853" i="5"/>
  <c r="O853" i="5"/>
  <c r="P853" i="5"/>
  <c r="Q853" i="5"/>
  <c r="R853" i="5"/>
  <c r="S853" i="5"/>
  <c r="T853" i="5"/>
  <c r="U853" i="5"/>
  <c r="V853" i="5"/>
  <c r="W853" i="5"/>
  <c r="X853" i="5"/>
  <c r="B854" i="5"/>
  <c r="C854" i="5"/>
  <c r="D854" i="5"/>
  <c r="E854" i="5"/>
  <c r="F854" i="5"/>
  <c r="G854" i="5"/>
  <c r="H854" i="5"/>
  <c r="I854" i="5"/>
  <c r="J854" i="5"/>
  <c r="K854" i="5"/>
  <c r="L854" i="5"/>
  <c r="M854" i="5"/>
  <c r="N854" i="5"/>
  <c r="O854" i="5"/>
  <c r="P854" i="5"/>
  <c r="Q854" i="5"/>
  <c r="R854" i="5"/>
  <c r="S854" i="5"/>
  <c r="T854" i="5"/>
  <c r="U854" i="5"/>
  <c r="V854" i="5"/>
  <c r="W854" i="5"/>
  <c r="X854" i="5"/>
  <c r="B855" i="5"/>
  <c r="C855" i="5"/>
  <c r="D855" i="5"/>
  <c r="E855" i="5"/>
  <c r="F855" i="5"/>
  <c r="G855" i="5"/>
  <c r="H855" i="5"/>
  <c r="I855" i="5"/>
  <c r="J855" i="5"/>
  <c r="K855" i="5"/>
  <c r="L855" i="5"/>
  <c r="M855" i="5"/>
  <c r="N855" i="5"/>
  <c r="O855" i="5"/>
  <c r="P855" i="5"/>
  <c r="Q855" i="5"/>
  <c r="R855" i="5"/>
  <c r="S855" i="5"/>
  <c r="T855" i="5"/>
  <c r="U855" i="5"/>
  <c r="V855" i="5"/>
  <c r="W855" i="5"/>
  <c r="X855" i="5"/>
  <c r="B856" i="5"/>
  <c r="C856" i="5"/>
  <c r="D856" i="5"/>
  <c r="E856" i="5"/>
  <c r="F856" i="5"/>
  <c r="G856" i="5"/>
  <c r="H856" i="5"/>
  <c r="I856" i="5"/>
  <c r="J856" i="5"/>
  <c r="K856" i="5"/>
  <c r="L856" i="5"/>
  <c r="M856" i="5"/>
  <c r="N856" i="5"/>
  <c r="O856" i="5"/>
  <c r="P856" i="5"/>
  <c r="Q856" i="5"/>
  <c r="R856" i="5"/>
  <c r="S856" i="5"/>
  <c r="T856" i="5"/>
  <c r="U856" i="5"/>
  <c r="V856" i="5"/>
  <c r="W856" i="5"/>
  <c r="X856" i="5"/>
  <c r="B857" i="5"/>
  <c r="C857" i="5"/>
  <c r="D857" i="5"/>
  <c r="E857" i="5"/>
  <c r="F857" i="5"/>
  <c r="G857" i="5"/>
  <c r="H857" i="5"/>
  <c r="I857" i="5"/>
  <c r="J857" i="5"/>
  <c r="K857" i="5"/>
  <c r="L857" i="5"/>
  <c r="M857" i="5"/>
  <c r="N857" i="5"/>
  <c r="O857" i="5"/>
  <c r="P857" i="5"/>
  <c r="Q857" i="5"/>
  <c r="R857" i="5"/>
  <c r="S857" i="5"/>
  <c r="T857" i="5"/>
  <c r="U857" i="5"/>
  <c r="V857" i="5"/>
  <c r="W857" i="5"/>
  <c r="X857" i="5"/>
  <c r="B858" i="5"/>
  <c r="C858" i="5"/>
  <c r="D858" i="5"/>
  <c r="E858" i="5"/>
  <c r="F858" i="5"/>
  <c r="G858" i="5"/>
  <c r="H858" i="5"/>
  <c r="I858" i="5"/>
  <c r="J858" i="5"/>
  <c r="K858" i="5"/>
  <c r="L858" i="5"/>
  <c r="M858" i="5"/>
  <c r="N858" i="5"/>
  <c r="O858" i="5"/>
  <c r="P858" i="5"/>
  <c r="Q858" i="5"/>
  <c r="R858" i="5"/>
  <c r="S858" i="5"/>
  <c r="T858" i="5"/>
  <c r="U858" i="5"/>
  <c r="V858" i="5"/>
  <c r="W858" i="5"/>
  <c r="X858" i="5"/>
  <c r="B859" i="5"/>
  <c r="C859" i="5"/>
  <c r="D859" i="5"/>
  <c r="E859" i="5"/>
  <c r="F859" i="5"/>
  <c r="G859" i="5"/>
  <c r="H859" i="5"/>
  <c r="I859" i="5"/>
  <c r="J859" i="5"/>
  <c r="K859" i="5"/>
  <c r="L859" i="5"/>
  <c r="M859" i="5"/>
  <c r="N859" i="5"/>
  <c r="O859" i="5"/>
  <c r="P859" i="5"/>
  <c r="Q859" i="5"/>
  <c r="R859" i="5"/>
  <c r="S859" i="5"/>
  <c r="T859" i="5"/>
  <c r="U859" i="5"/>
  <c r="V859" i="5"/>
  <c r="W859" i="5"/>
  <c r="X859" i="5"/>
  <c r="B860" i="5"/>
  <c r="C860" i="5"/>
  <c r="D860" i="5"/>
  <c r="E860" i="5"/>
  <c r="F860" i="5"/>
  <c r="G860" i="5"/>
  <c r="H860" i="5"/>
  <c r="I860" i="5"/>
  <c r="J860" i="5"/>
  <c r="K860" i="5"/>
  <c r="L860" i="5"/>
  <c r="M860" i="5"/>
  <c r="N860" i="5"/>
  <c r="O860" i="5"/>
  <c r="P860" i="5"/>
  <c r="Q860" i="5"/>
  <c r="R860" i="5"/>
  <c r="S860" i="5"/>
  <c r="T860" i="5"/>
  <c r="U860" i="5"/>
  <c r="V860" i="5"/>
  <c r="W860" i="5"/>
  <c r="X860" i="5"/>
  <c r="B861" i="5"/>
  <c r="C861" i="5"/>
  <c r="D861" i="5"/>
  <c r="E861" i="5"/>
  <c r="F861" i="5"/>
  <c r="G861" i="5"/>
  <c r="H861" i="5"/>
  <c r="I861" i="5"/>
  <c r="J861" i="5"/>
  <c r="K861" i="5"/>
  <c r="L861" i="5"/>
  <c r="M861" i="5"/>
  <c r="N861" i="5"/>
  <c r="O861" i="5"/>
  <c r="P861" i="5"/>
  <c r="Q861" i="5"/>
  <c r="R861" i="5"/>
  <c r="S861" i="5"/>
  <c r="T861" i="5"/>
  <c r="U861" i="5"/>
  <c r="V861" i="5"/>
  <c r="W861" i="5"/>
  <c r="X861" i="5"/>
  <c r="B862" i="5"/>
  <c r="C862" i="5"/>
  <c r="D862" i="5"/>
  <c r="E862" i="5"/>
  <c r="F862" i="5"/>
  <c r="G862" i="5"/>
  <c r="H862" i="5"/>
  <c r="I862" i="5"/>
  <c r="J862" i="5"/>
  <c r="K862" i="5"/>
  <c r="L862" i="5"/>
  <c r="M862" i="5"/>
  <c r="N862" i="5"/>
  <c r="O862" i="5"/>
  <c r="P862" i="5"/>
  <c r="Q862" i="5"/>
  <c r="R862" i="5"/>
  <c r="S862" i="5"/>
  <c r="T862" i="5"/>
  <c r="U862" i="5"/>
  <c r="V862" i="5"/>
  <c r="W862" i="5"/>
  <c r="X862" i="5"/>
  <c r="B863" i="5"/>
  <c r="C863" i="5"/>
  <c r="D863" i="5"/>
  <c r="E863" i="5"/>
  <c r="F863" i="5"/>
  <c r="G863" i="5"/>
  <c r="H863" i="5"/>
  <c r="I863" i="5"/>
  <c r="J863" i="5"/>
  <c r="K863" i="5"/>
  <c r="L863" i="5"/>
  <c r="M863" i="5"/>
  <c r="N863" i="5"/>
  <c r="O863" i="5"/>
  <c r="P863" i="5"/>
  <c r="Q863" i="5"/>
  <c r="R863" i="5"/>
  <c r="S863" i="5"/>
  <c r="T863" i="5"/>
  <c r="U863" i="5"/>
  <c r="V863" i="5"/>
  <c r="W863" i="5"/>
  <c r="X863" i="5"/>
  <c r="B864" i="5"/>
  <c r="C864" i="5"/>
  <c r="D864" i="5"/>
  <c r="E864" i="5"/>
  <c r="F864" i="5"/>
  <c r="G864" i="5"/>
  <c r="H864" i="5"/>
  <c r="I864" i="5"/>
  <c r="J864" i="5"/>
  <c r="K864" i="5"/>
  <c r="L864" i="5"/>
  <c r="M864" i="5"/>
  <c r="N864" i="5"/>
  <c r="O864" i="5"/>
  <c r="P864" i="5"/>
  <c r="Q864" i="5"/>
  <c r="R864" i="5"/>
  <c r="S864" i="5"/>
  <c r="T864" i="5"/>
  <c r="U864" i="5"/>
  <c r="V864" i="5"/>
  <c r="W864" i="5"/>
  <c r="X864" i="5"/>
  <c r="B865" i="5"/>
  <c r="C865" i="5"/>
  <c r="D865" i="5"/>
  <c r="E865" i="5"/>
  <c r="F865" i="5"/>
  <c r="G865" i="5"/>
  <c r="H865" i="5"/>
  <c r="I865" i="5"/>
  <c r="J865" i="5"/>
  <c r="K865" i="5"/>
  <c r="L865" i="5"/>
  <c r="M865" i="5"/>
  <c r="N865" i="5"/>
  <c r="O865" i="5"/>
  <c r="P865" i="5"/>
  <c r="Q865" i="5"/>
  <c r="R865" i="5"/>
  <c r="S865" i="5"/>
  <c r="T865" i="5"/>
  <c r="U865" i="5"/>
  <c r="V865" i="5"/>
  <c r="W865" i="5"/>
  <c r="X865" i="5"/>
  <c r="B866" i="5"/>
  <c r="C866" i="5"/>
  <c r="D866" i="5"/>
  <c r="E866" i="5"/>
  <c r="F866" i="5"/>
  <c r="G866" i="5"/>
  <c r="H866" i="5"/>
  <c r="I866" i="5"/>
  <c r="J866" i="5"/>
  <c r="K866" i="5"/>
  <c r="L866" i="5"/>
  <c r="M866" i="5"/>
  <c r="N866" i="5"/>
  <c r="O866" i="5"/>
  <c r="P866" i="5"/>
  <c r="Q866" i="5"/>
  <c r="R866" i="5"/>
  <c r="S866" i="5"/>
  <c r="T866" i="5"/>
  <c r="U866" i="5"/>
  <c r="V866" i="5"/>
  <c r="W866" i="5"/>
  <c r="X866" i="5"/>
  <c r="B867" i="5"/>
  <c r="C867" i="5"/>
  <c r="D867" i="5"/>
  <c r="E867" i="5"/>
  <c r="F867" i="5"/>
  <c r="G867" i="5"/>
  <c r="H867" i="5"/>
  <c r="I867" i="5"/>
  <c r="J867" i="5"/>
  <c r="K867" i="5"/>
  <c r="L867" i="5"/>
  <c r="M867" i="5"/>
  <c r="N867" i="5"/>
  <c r="O867" i="5"/>
  <c r="P867" i="5"/>
  <c r="Q867" i="5"/>
  <c r="R867" i="5"/>
  <c r="S867" i="5"/>
  <c r="T867" i="5"/>
  <c r="U867" i="5"/>
  <c r="V867" i="5"/>
  <c r="W867" i="5"/>
  <c r="X867" i="5"/>
  <c r="B868" i="5"/>
  <c r="C868" i="5"/>
  <c r="D868" i="5"/>
  <c r="E868" i="5"/>
  <c r="F868" i="5"/>
  <c r="G868" i="5"/>
  <c r="H868" i="5"/>
  <c r="I868" i="5"/>
  <c r="J868" i="5"/>
  <c r="K868" i="5"/>
  <c r="L868" i="5"/>
  <c r="M868" i="5"/>
  <c r="AC868" i="5" s="1"/>
  <c r="N868" i="5"/>
  <c r="O868" i="5"/>
  <c r="P868" i="5"/>
  <c r="Q868" i="5"/>
  <c r="R868" i="5"/>
  <c r="S868" i="5"/>
  <c r="T868" i="5"/>
  <c r="U868" i="5"/>
  <c r="V868" i="5"/>
  <c r="W868" i="5"/>
  <c r="X868" i="5"/>
  <c r="B869" i="5"/>
  <c r="C869" i="5"/>
  <c r="D869" i="5"/>
  <c r="E869" i="5"/>
  <c r="F869" i="5"/>
  <c r="G869" i="5"/>
  <c r="H869" i="5"/>
  <c r="I869" i="5"/>
  <c r="J869" i="5"/>
  <c r="K869" i="5"/>
  <c r="L869" i="5"/>
  <c r="M869" i="5"/>
  <c r="N869" i="5"/>
  <c r="O869" i="5"/>
  <c r="P869" i="5"/>
  <c r="Q869" i="5"/>
  <c r="R869" i="5"/>
  <c r="S869" i="5"/>
  <c r="T869" i="5"/>
  <c r="U869" i="5"/>
  <c r="V869" i="5"/>
  <c r="W869" i="5"/>
  <c r="X869" i="5"/>
  <c r="B870" i="5"/>
  <c r="C870" i="5"/>
  <c r="D870" i="5"/>
  <c r="E870" i="5"/>
  <c r="F870" i="5"/>
  <c r="G870" i="5"/>
  <c r="H870" i="5"/>
  <c r="I870" i="5"/>
  <c r="J870" i="5"/>
  <c r="K870" i="5"/>
  <c r="L870" i="5"/>
  <c r="M870" i="5"/>
  <c r="N870" i="5"/>
  <c r="O870" i="5"/>
  <c r="P870" i="5"/>
  <c r="Q870" i="5"/>
  <c r="R870" i="5"/>
  <c r="S870" i="5"/>
  <c r="T870" i="5"/>
  <c r="U870" i="5"/>
  <c r="V870" i="5"/>
  <c r="W870" i="5"/>
  <c r="X870" i="5"/>
  <c r="B871" i="5"/>
  <c r="C871" i="5"/>
  <c r="D871" i="5"/>
  <c r="E871" i="5"/>
  <c r="F871" i="5"/>
  <c r="G871" i="5"/>
  <c r="H871" i="5"/>
  <c r="I871" i="5"/>
  <c r="J871" i="5"/>
  <c r="K871" i="5"/>
  <c r="L871" i="5"/>
  <c r="M871" i="5"/>
  <c r="N871" i="5"/>
  <c r="O871" i="5"/>
  <c r="P871" i="5"/>
  <c r="Q871" i="5"/>
  <c r="R871" i="5"/>
  <c r="S871" i="5"/>
  <c r="T871" i="5"/>
  <c r="U871" i="5"/>
  <c r="V871" i="5"/>
  <c r="W871" i="5"/>
  <c r="X871" i="5"/>
  <c r="B872" i="5"/>
  <c r="C872" i="5"/>
  <c r="D872" i="5"/>
  <c r="E872" i="5"/>
  <c r="F872" i="5"/>
  <c r="G872" i="5"/>
  <c r="H872" i="5"/>
  <c r="I872" i="5"/>
  <c r="J872" i="5"/>
  <c r="K872" i="5"/>
  <c r="L872" i="5"/>
  <c r="M872" i="5"/>
  <c r="N872" i="5"/>
  <c r="O872" i="5"/>
  <c r="P872" i="5"/>
  <c r="Q872" i="5"/>
  <c r="R872" i="5"/>
  <c r="S872" i="5"/>
  <c r="T872" i="5"/>
  <c r="U872" i="5"/>
  <c r="V872" i="5"/>
  <c r="W872" i="5"/>
  <c r="X872" i="5"/>
  <c r="AC872" i="5"/>
  <c r="B873" i="5"/>
  <c r="C873" i="5"/>
  <c r="D873" i="5"/>
  <c r="E873" i="5"/>
  <c r="F873" i="5"/>
  <c r="G873" i="5"/>
  <c r="H873" i="5"/>
  <c r="I873" i="5"/>
  <c r="J873" i="5"/>
  <c r="K873" i="5"/>
  <c r="L873" i="5"/>
  <c r="M873" i="5"/>
  <c r="N873" i="5"/>
  <c r="O873" i="5"/>
  <c r="P873" i="5"/>
  <c r="Q873" i="5"/>
  <c r="R873" i="5"/>
  <c r="S873" i="5"/>
  <c r="T873" i="5"/>
  <c r="U873" i="5"/>
  <c r="V873" i="5"/>
  <c r="W873" i="5"/>
  <c r="X873" i="5"/>
  <c r="AB873" i="5"/>
  <c r="B874" i="5"/>
  <c r="C874" i="5"/>
  <c r="D874" i="5"/>
  <c r="E874" i="5"/>
  <c r="F874" i="5"/>
  <c r="G874" i="5"/>
  <c r="H874" i="5"/>
  <c r="I874" i="5"/>
  <c r="J874" i="5"/>
  <c r="K874" i="5"/>
  <c r="L874" i="5"/>
  <c r="M874" i="5"/>
  <c r="N874" i="5"/>
  <c r="O874" i="5"/>
  <c r="P874" i="5"/>
  <c r="Q874" i="5"/>
  <c r="R874" i="5"/>
  <c r="S874" i="5"/>
  <c r="T874" i="5"/>
  <c r="U874" i="5"/>
  <c r="V874" i="5"/>
  <c r="W874" i="5"/>
  <c r="X874" i="5"/>
  <c r="AC874" i="5"/>
  <c r="B875" i="5"/>
  <c r="C875" i="5"/>
  <c r="D875" i="5"/>
  <c r="E875" i="5"/>
  <c r="F875" i="5"/>
  <c r="G875" i="5"/>
  <c r="H875" i="5"/>
  <c r="I875" i="5"/>
  <c r="J875" i="5"/>
  <c r="K875" i="5"/>
  <c r="L875" i="5"/>
  <c r="M875" i="5"/>
  <c r="N875" i="5"/>
  <c r="O875" i="5"/>
  <c r="P875" i="5"/>
  <c r="Q875" i="5"/>
  <c r="R875" i="5"/>
  <c r="S875" i="5"/>
  <c r="T875" i="5"/>
  <c r="U875" i="5"/>
  <c r="V875" i="5"/>
  <c r="W875" i="5"/>
  <c r="X875" i="5"/>
  <c r="B876" i="5"/>
  <c r="C876" i="5"/>
  <c r="D876" i="5"/>
  <c r="E876" i="5"/>
  <c r="F876" i="5"/>
  <c r="G876" i="5"/>
  <c r="H876" i="5"/>
  <c r="I876" i="5"/>
  <c r="J876" i="5"/>
  <c r="K876" i="5"/>
  <c r="L876" i="5"/>
  <c r="M876" i="5"/>
  <c r="N876" i="5"/>
  <c r="AC876" i="5" s="1"/>
  <c r="O876" i="5"/>
  <c r="P876" i="5"/>
  <c r="Q876" i="5"/>
  <c r="R876" i="5"/>
  <c r="S876" i="5"/>
  <c r="T876" i="5"/>
  <c r="U876" i="5"/>
  <c r="V876" i="5"/>
  <c r="W876" i="5"/>
  <c r="X876" i="5"/>
  <c r="B877" i="5"/>
  <c r="C877" i="5"/>
  <c r="D877" i="5"/>
  <c r="E877" i="5"/>
  <c r="F877" i="5"/>
  <c r="G877" i="5"/>
  <c r="H877" i="5"/>
  <c r="I877" i="5"/>
  <c r="J877" i="5"/>
  <c r="K877" i="5"/>
  <c r="L877" i="5"/>
  <c r="M877" i="5"/>
  <c r="N877" i="5"/>
  <c r="AC877" i="5" s="1"/>
  <c r="O877" i="5"/>
  <c r="P877" i="5"/>
  <c r="Q877" i="5"/>
  <c r="R877" i="5"/>
  <c r="S877" i="5"/>
  <c r="T877" i="5"/>
  <c r="U877" i="5"/>
  <c r="V877" i="5"/>
  <c r="W877" i="5"/>
  <c r="X877" i="5"/>
  <c r="B878" i="5"/>
  <c r="C878" i="5"/>
  <c r="D878" i="5"/>
  <c r="E878" i="5"/>
  <c r="F878" i="5"/>
  <c r="G878" i="5"/>
  <c r="H878" i="5"/>
  <c r="I878" i="5"/>
  <c r="J878" i="5"/>
  <c r="K878" i="5"/>
  <c r="L878" i="5"/>
  <c r="M878" i="5"/>
  <c r="N878" i="5"/>
  <c r="O878" i="5"/>
  <c r="P878" i="5"/>
  <c r="Q878" i="5"/>
  <c r="R878" i="5"/>
  <c r="S878" i="5"/>
  <c r="T878" i="5"/>
  <c r="U878" i="5"/>
  <c r="V878" i="5"/>
  <c r="W878" i="5"/>
  <c r="X878" i="5"/>
  <c r="B879" i="5"/>
  <c r="C879" i="5"/>
  <c r="D879" i="5"/>
  <c r="E879" i="5"/>
  <c r="F879" i="5"/>
  <c r="G879" i="5"/>
  <c r="H879" i="5"/>
  <c r="I879" i="5"/>
  <c r="J879" i="5"/>
  <c r="K879" i="5"/>
  <c r="L879" i="5"/>
  <c r="M879" i="5"/>
  <c r="N879" i="5"/>
  <c r="O879" i="5"/>
  <c r="P879" i="5"/>
  <c r="Q879" i="5"/>
  <c r="R879" i="5"/>
  <c r="S879" i="5"/>
  <c r="T879" i="5"/>
  <c r="U879" i="5"/>
  <c r="V879" i="5"/>
  <c r="W879" i="5"/>
  <c r="X879" i="5"/>
  <c r="B880" i="5"/>
  <c r="C880" i="5"/>
  <c r="D880" i="5"/>
  <c r="AB880" i="5" s="1"/>
  <c r="E880" i="5"/>
  <c r="F880" i="5"/>
  <c r="G880" i="5"/>
  <c r="H880" i="5"/>
  <c r="I880" i="5"/>
  <c r="J880" i="5"/>
  <c r="K880" i="5"/>
  <c r="L880" i="5"/>
  <c r="M880" i="5"/>
  <c r="AC880" i="5" s="1"/>
  <c r="N880" i="5"/>
  <c r="O880" i="5"/>
  <c r="P880" i="5"/>
  <c r="Q880" i="5"/>
  <c r="R880" i="5"/>
  <c r="S880" i="5"/>
  <c r="T880" i="5"/>
  <c r="U880" i="5"/>
  <c r="V880" i="5"/>
  <c r="W880" i="5"/>
  <c r="X880" i="5"/>
  <c r="B881" i="5"/>
  <c r="C881" i="5"/>
  <c r="D881" i="5"/>
  <c r="E881" i="5"/>
  <c r="F881" i="5"/>
  <c r="G881" i="5"/>
  <c r="H881" i="5"/>
  <c r="I881" i="5"/>
  <c r="J881" i="5"/>
  <c r="K881" i="5"/>
  <c r="L881" i="5"/>
  <c r="M881" i="5"/>
  <c r="N881" i="5"/>
  <c r="O881" i="5"/>
  <c r="P881" i="5"/>
  <c r="Q881" i="5"/>
  <c r="R881" i="5"/>
  <c r="S881" i="5"/>
  <c r="T881" i="5"/>
  <c r="U881" i="5"/>
  <c r="V881" i="5"/>
  <c r="W881" i="5"/>
  <c r="X881" i="5"/>
  <c r="B882" i="5"/>
  <c r="C882" i="5"/>
  <c r="D882" i="5"/>
  <c r="E882" i="5"/>
  <c r="F882" i="5"/>
  <c r="G882" i="5"/>
  <c r="H882" i="5"/>
  <c r="I882" i="5"/>
  <c r="J882" i="5"/>
  <c r="K882" i="5"/>
  <c r="L882" i="5"/>
  <c r="M882" i="5"/>
  <c r="N882" i="5"/>
  <c r="O882" i="5"/>
  <c r="P882" i="5"/>
  <c r="Q882" i="5"/>
  <c r="R882" i="5"/>
  <c r="S882" i="5"/>
  <c r="T882" i="5"/>
  <c r="U882" i="5"/>
  <c r="V882" i="5"/>
  <c r="W882" i="5"/>
  <c r="X882" i="5"/>
  <c r="B883" i="5"/>
  <c r="C883" i="5"/>
  <c r="D883" i="5"/>
  <c r="E883" i="5"/>
  <c r="F883" i="5"/>
  <c r="G883" i="5"/>
  <c r="H883" i="5"/>
  <c r="I883" i="5"/>
  <c r="J883" i="5"/>
  <c r="K883" i="5"/>
  <c r="L883" i="5"/>
  <c r="M883" i="5"/>
  <c r="N883" i="5"/>
  <c r="O883" i="5"/>
  <c r="P883" i="5"/>
  <c r="Q883" i="5"/>
  <c r="R883" i="5"/>
  <c r="S883" i="5"/>
  <c r="T883" i="5"/>
  <c r="U883" i="5"/>
  <c r="V883" i="5"/>
  <c r="W883" i="5"/>
  <c r="X883" i="5"/>
  <c r="B884" i="5"/>
  <c r="C884" i="5"/>
  <c r="D884" i="5"/>
  <c r="E884" i="5"/>
  <c r="F884" i="5"/>
  <c r="G884" i="5"/>
  <c r="H884" i="5"/>
  <c r="I884" i="5"/>
  <c r="J884" i="5"/>
  <c r="K884" i="5"/>
  <c r="L884" i="5"/>
  <c r="M884" i="5"/>
  <c r="N884" i="5"/>
  <c r="O884" i="5"/>
  <c r="P884" i="5"/>
  <c r="Q884" i="5"/>
  <c r="R884" i="5"/>
  <c r="S884" i="5"/>
  <c r="T884" i="5"/>
  <c r="U884" i="5"/>
  <c r="V884" i="5"/>
  <c r="W884" i="5"/>
  <c r="X884" i="5"/>
  <c r="B885" i="5"/>
  <c r="C885" i="5"/>
  <c r="D885" i="5"/>
  <c r="E885" i="5"/>
  <c r="F885" i="5"/>
  <c r="G885" i="5"/>
  <c r="H885" i="5"/>
  <c r="I885" i="5"/>
  <c r="J885" i="5"/>
  <c r="K885" i="5"/>
  <c r="L885" i="5"/>
  <c r="M885" i="5"/>
  <c r="N885" i="5"/>
  <c r="O885" i="5"/>
  <c r="AC885" i="5" s="1"/>
  <c r="P885" i="5"/>
  <c r="Q885" i="5"/>
  <c r="R885" i="5"/>
  <c r="S885" i="5"/>
  <c r="T885" i="5"/>
  <c r="U885" i="5"/>
  <c r="V885" i="5"/>
  <c r="W885" i="5"/>
  <c r="X885" i="5"/>
  <c r="B886" i="5"/>
  <c r="C886" i="5"/>
  <c r="D886" i="5"/>
  <c r="E886" i="5"/>
  <c r="F886" i="5"/>
  <c r="G886" i="5"/>
  <c r="H886" i="5"/>
  <c r="I886" i="5"/>
  <c r="J886" i="5"/>
  <c r="K886" i="5"/>
  <c r="L886" i="5"/>
  <c r="M886" i="5"/>
  <c r="N886" i="5"/>
  <c r="O886" i="5"/>
  <c r="P886" i="5"/>
  <c r="Q886" i="5"/>
  <c r="R886" i="5"/>
  <c r="S886" i="5"/>
  <c r="T886" i="5"/>
  <c r="U886" i="5"/>
  <c r="V886" i="5"/>
  <c r="W886" i="5"/>
  <c r="X886" i="5"/>
  <c r="B887" i="5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U887" i="5"/>
  <c r="V887" i="5"/>
  <c r="W887" i="5"/>
  <c r="X887" i="5"/>
  <c r="B888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U888" i="5"/>
  <c r="V888" i="5"/>
  <c r="W888" i="5"/>
  <c r="X888" i="5"/>
  <c r="B889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U889" i="5"/>
  <c r="V889" i="5"/>
  <c r="W889" i="5"/>
  <c r="X889" i="5"/>
  <c r="B890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U890" i="5"/>
  <c r="V890" i="5"/>
  <c r="W890" i="5"/>
  <c r="X890" i="5"/>
  <c r="B891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U891" i="5"/>
  <c r="V891" i="5"/>
  <c r="W891" i="5"/>
  <c r="X891" i="5"/>
  <c r="B892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U892" i="5"/>
  <c r="V892" i="5"/>
  <c r="W892" i="5"/>
  <c r="X892" i="5"/>
  <c r="B893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U893" i="5"/>
  <c r="V893" i="5"/>
  <c r="W893" i="5"/>
  <c r="X893" i="5"/>
  <c r="B894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U894" i="5"/>
  <c r="V894" i="5"/>
  <c r="W894" i="5"/>
  <c r="X894" i="5"/>
  <c r="B895" i="5"/>
  <c r="C895" i="5"/>
  <c r="D895" i="5"/>
  <c r="E895" i="5"/>
  <c r="F895" i="5"/>
  <c r="G895" i="5"/>
  <c r="H895" i="5"/>
  <c r="I895" i="5"/>
  <c r="J895" i="5"/>
  <c r="K895" i="5"/>
  <c r="L895" i="5"/>
  <c r="M895" i="5"/>
  <c r="AC895" i="5" s="1"/>
  <c r="N895" i="5"/>
  <c r="O895" i="5"/>
  <c r="P895" i="5"/>
  <c r="Q895" i="5"/>
  <c r="R895" i="5"/>
  <c r="S895" i="5"/>
  <c r="T895" i="5"/>
  <c r="U895" i="5"/>
  <c r="V895" i="5"/>
  <c r="W895" i="5"/>
  <c r="X895" i="5"/>
  <c r="B896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U896" i="5"/>
  <c r="V896" i="5"/>
  <c r="W896" i="5"/>
  <c r="X896" i="5"/>
  <c r="B897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U897" i="5"/>
  <c r="V897" i="5"/>
  <c r="W897" i="5"/>
  <c r="X897" i="5"/>
  <c r="B898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U898" i="5"/>
  <c r="V898" i="5"/>
  <c r="W898" i="5"/>
  <c r="X898" i="5"/>
  <c r="B899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U899" i="5"/>
  <c r="V899" i="5"/>
  <c r="W899" i="5"/>
  <c r="X899" i="5"/>
  <c r="B900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U900" i="5"/>
  <c r="V900" i="5"/>
  <c r="W900" i="5"/>
  <c r="X900" i="5"/>
  <c r="B901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U901" i="5"/>
  <c r="V901" i="5"/>
  <c r="W901" i="5"/>
  <c r="X901" i="5"/>
  <c r="B902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U902" i="5"/>
  <c r="V902" i="5"/>
  <c r="W902" i="5"/>
  <c r="X902" i="5"/>
  <c r="B903" i="5"/>
  <c r="C903" i="5"/>
  <c r="D903" i="5"/>
  <c r="E903" i="5"/>
  <c r="F903" i="5"/>
  <c r="G903" i="5"/>
  <c r="H903" i="5"/>
  <c r="I903" i="5"/>
  <c r="J903" i="5"/>
  <c r="K903" i="5"/>
  <c r="L903" i="5"/>
  <c r="M903" i="5"/>
  <c r="AC903" i="5" s="1"/>
  <c r="N903" i="5"/>
  <c r="O903" i="5"/>
  <c r="P903" i="5"/>
  <c r="Q903" i="5"/>
  <c r="R903" i="5"/>
  <c r="S903" i="5"/>
  <c r="T903" i="5"/>
  <c r="U903" i="5"/>
  <c r="V903" i="5"/>
  <c r="W903" i="5"/>
  <c r="X903" i="5"/>
  <c r="B904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AC904" i="5" s="1"/>
  <c r="O904" i="5"/>
  <c r="P904" i="5"/>
  <c r="Q904" i="5"/>
  <c r="R904" i="5"/>
  <c r="S904" i="5"/>
  <c r="T904" i="5"/>
  <c r="U904" i="5"/>
  <c r="V904" i="5"/>
  <c r="W904" i="5"/>
  <c r="X904" i="5"/>
  <c r="B905" i="5"/>
  <c r="AB905" i="5" s="1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U905" i="5"/>
  <c r="V905" i="5"/>
  <c r="W905" i="5"/>
  <c r="X905" i="5"/>
  <c r="B906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AC906" i="5" s="1"/>
  <c r="O906" i="5"/>
  <c r="P906" i="5"/>
  <c r="Q906" i="5"/>
  <c r="R906" i="5"/>
  <c r="S906" i="5"/>
  <c r="T906" i="5"/>
  <c r="U906" i="5"/>
  <c r="V906" i="5"/>
  <c r="W906" i="5"/>
  <c r="X906" i="5"/>
  <c r="B907" i="5"/>
  <c r="C907" i="5"/>
  <c r="D907" i="5"/>
  <c r="E907" i="5"/>
  <c r="F907" i="5"/>
  <c r="G907" i="5"/>
  <c r="H907" i="5"/>
  <c r="I907" i="5"/>
  <c r="J907" i="5"/>
  <c r="K907" i="5"/>
  <c r="L907" i="5"/>
  <c r="M907" i="5"/>
  <c r="N907" i="5"/>
  <c r="AC907" i="5" s="1"/>
  <c r="O907" i="5"/>
  <c r="P907" i="5"/>
  <c r="Q907" i="5"/>
  <c r="R907" i="5"/>
  <c r="S907" i="5"/>
  <c r="T907" i="5"/>
  <c r="U907" i="5"/>
  <c r="V907" i="5"/>
  <c r="W907" i="5"/>
  <c r="X907" i="5"/>
  <c r="B908" i="5"/>
  <c r="C908" i="5"/>
  <c r="D908" i="5"/>
  <c r="E908" i="5"/>
  <c r="F908" i="5"/>
  <c r="G908" i="5"/>
  <c r="H908" i="5"/>
  <c r="I908" i="5"/>
  <c r="J908" i="5"/>
  <c r="K908" i="5"/>
  <c r="L908" i="5"/>
  <c r="M908" i="5"/>
  <c r="N908" i="5"/>
  <c r="AC908" i="5" s="1"/>
  <c r="O908" i="5"/>
  <c r="P908" i="5"/>
  <c r="Q908" i="5"/>
  <c r="R908" i="5"/>
  <c r="S908" i="5"/>
  <c r="T908" i="5"/>
  <c r="U908" i="5"/>
  <c r="V908" i="5"/>
  <c r="W908" i="5"/>
  <c r="X908" i="5"/>
  <c r="B909" i="5"/>
  <c r="C909" i="5"/>
  <c r="D909" i="5"/>
  <c r="E909" i="5"/>
  <c r="F909" i="5"/>
  <c r="G909" i="5"/>
  <c r="H909" i="5"/>
  <c r="I909" i="5"/>
  <c r="J909" i="5"/>
  <c r="K909" i="5"/>
  <c r="L909" i="5"/>
  <c r="M909" i="5"/>
  <c r="N909" i="5"/>
  <c r="AC909" i="5" s="1"/>
  <c r="O909" i="5"/>
  <c r="P909" i="5"/>
  <c r="Q909" i="5"/>
  <c r="R909" i="5"/>
  <c r="S909" i="5"/>
  <c r="T909" i="5"/>
  <c r="U909" i="5"/>
  <c r="V909" i="5"/>
  <c r="W909" i="5"/>
  <c r="X909" i="5"/>
  <c r="B910" i="5"/>
  <c r="C910" i="5"/>
  <c r="D910" i="5"/>
  <c r="E910" i="5"/>
  <c r="F910" i="5"/>
  <c r="G910" i="5"/>
  <c r="H910" i="5"/>
  <c r="I910" i="5"/>
  <c r="J910" i="5"/>
  <c r="K910" i="5"/>
  <c r="L910" i="5"/>
  <c r="M910" i="5"/>
  <c r="N910" i="5"/>
  <c r="O910" i="5"/>
  <c r="P910" i="5"/>
  <c r="Q910" i="5"/>
  <c r="R910" i="5"/>
  <c r="S910" i="5"/>
  <c r="T910" i="5"/>
  <c r="U910" i="5"/>
  <c r="V910" i="5"/>
  <c r="W910" i="5"/>
  <c r="X910" i="5"/>
  <c r="B911" i="5"/>
  <c r="C911" i="5"/>
  <c r="D911" i="5"/>
  <c r="E911" i="5"/>
  <c r="F911" i="5"/>
  <c r="G911" i="5"/>
  <c r="H911" i="5"/>
  <c r="I911" i="5"/>
  <c r="J911" i="5"/>
  <c r="K911" i="5"/>
  <c r="L911" i="5"/>
  <c r="M911" i="5"/>
  <c r="N911" i="5"/>
  <c r="O911" i="5"/>
  <c r="P911" i="5"/>
  <c r="AC911" i="5" s="1"/>
  <c r="Q911" i="5"/>
  <c r="R911" i="5"/>
  <c r="S911" i="5"/>
  <c r="T911" i="5"/>
  <c r="U911" i="5"/>
  <c r="V911" i="5"/>
  <c r="W911" i="5"/>
  <c r="X911" i="5"/>
  <c r="B912" i="5"/>
  <c r="C912" i="5"/>
  <c r="D912" i="5"/>
  <c r="E912" i="5"/>
  <c r="F912" i="5"/>
  <c r="G912" i="5"/>
  <c r="H912" i="5"/>
  <c r="I912" i="5"/>
  <c r="J912" i="5"/>
  <c r="K912" i="5"/>
  <c r="L912" i="5"/>
  <c r="M912" i="5"/>
  <c r="N912" i="5"/>
  <c r="O912" i="5"/>
  <c r="P912" i="5"/>
  <c r="Q912" i="5"/>
  <c r="R912" i="5"/>
  <c r="S912" i="5"/>
  <c r="T912" i="5"/>
  <c r="U912" i="5"/>
  <c r="V912" i="5"/>
  <c r="W912" i="5"/>
  <c r="X912" i="5"/>
  <c r="B913" i="5"/>
  <c r="C913" i="5"/>
  <c r="D913" i="5"/>
  <c r="E913" i="5"/>
  <c r="F913" i="5"/>
  <c r="G913" i="5"/>
  <c r="H913" i="5"/>
  <c r="I913" i="5"/>
  <c r="J913" i="5"/>
  <c r="K913" i="5"/>
  <c r="L913" i="5"/>
  <c r="M913" i="5"/>
  <c r="N913" i="5"/>
  <c r="AC913" i="5" s="1"/>
  <c r="O913" i="5"/>
  <c r="P913" i="5"/>
  <c r="Q913" i="5"/>
  <c r="R913" i="5"/>
  <c r="S913" i="5"/>
  <c r="T913" i="5"/>
  <c r="U913" i="5"/>
  <c r="V913" i="5"/>
  <c r="W913" i="5"/>
  <c r="X913" i="5"/>
  <c r="B914" i="5"/>
  <c r="C914" i="5"/>
  <c r="D914" i="5"/>
  <c r="E914" i="5"/>
  <c r="F914" i="5"/>
  <c r="G914" i="5"/>
  <c r="H914" i="5"/>
  <c r="I914" i="5"/>
  <c r="J914" i="5"/>
  <c r="K914" i="5"/>
  <c r="L914" i="5"/>
  <c r="M914" i="5"/>
  <c r="N914" i="5"/>
  <c r="O914" i="5"/>
  <c r="P914" i="5"/>
  <c r="Q914" i="5"/>
  <c r="R914" i="5"/>
  <c r="S914" i="5"/>
  <c r="T914" i="5"/>
  <c r="U914" i="5"/>
  <c r="V914" i="5"/>
  <c r="W914" i="5"/>
  <c r="X914" i="5"/>
  <c r="B915" i="5"/>
  <c r="C915" i="5"/>
  <c r="D915" i="5"/>
  <c r="E915" i="5"/>
  <c r="F915" i="5"/>
  <c r="G915" i="5"/>
  <c r="H915" i="5"/>
  <c r="I915" i="5"/>
  <c r="J915" i="5"/>
  <c r="K915" i="5"/>
  <c r="L915" i="5"/>
  <c r="M915" i="5"/>
  <c r="N915" i="5"/>
  <c r="O915" i="5"/>
  <c r="P915" i="5"/>
  <c r="Q915" i="5"/>
  <c r="R915" i="5"/>
  <c r="S915" i="5"/>
  <c r="T915" i="5"/>
  <c r="U915" i="5"/>
  <c r="V915" i="5"/>
  <c r="W915" i="5"/>
  <c r="X915" i="5"/>
  <c r="B916" i="5"/>
  <c r="C916" i="5"/>
  <c r="D916" i="5"/>
  <c r="E916" i="5"/>
  <c r="F916" i="5"/>
  <c r="G916" i="5"/>
  <c r="H916" i="5"/>
  <c r="I916" i="5"/>
  <c r="J916" i="5"/>
  <c r="K916" i="5"/>
  <c r="L916" i="5"/>
  <c r="M916" i="5"/>
  <c r="N916" i="5"/>
  <c r="O916" i="5"/>
  <c r="P916" i="5"/>
  <c r="Q916" i="5"/>
  <c r="R916" i="5"/>
  <c r="S916" i="5"/>
  <c r="T916" i="5"/>
  <c r="U916" i="5"/>
  <c r="V916" i="5"/>
  <c r="W916" i="5"/>
  <c r="X916" i="5"/>
  <c r="B917" i="5"/>
  <c r="C917" i="5"/>
  <c r="D917" i="5"/>
  <c r="E917" i="5"/>
  <c r="F917" i="5"/>
  <c r="G917" i="5"/>
  <c r="H917" i="5"/>
  <c r="I917" i="5"/>
  <c r="J917" i="5"/>
  <c r="K917" i="5"/>
  <c r="L917" i="5"/>
  <c r="M917" i="5"/>
  <c r="N917" i="5"/>
  <c r="AC917" i="5" s="1"/>
  <c r="O917" i="5"/>
  <c r="P917" i="5"/>
  <c r="Q917" i="5"/>
  <c r="R917" i="5"/>
  <c r="S917" i="5"/>
  <c r="T917" i="5"/>
  <c r="U917" i="5"/>
  <c r="V917" i="5"/>
  <c r="W917" i="5"/>
  <c r="X917" i="5"/>
  <c r="B918" i="5"/>
  <c r="AB918" i="5" s="1"/>
  <c r="C918" i="5"/>
  <c r="D918" i="5"/>
  <c r="E918" i="5"/>
  <c r="F918" i="5"/>
  <c r="G918" i="5"/>
  <c r="H918" i="5"/>
  <c r="I918" i="5"/>
  <c r="J918" i="5"/>
  <c r="K918" i="5"/>
  <c r="L918" i="5"/>
  <c r="M918" i="5"/>
  <c r="N918" i="5"/>
  <c r="O918" i="5"/>
  <c r="P918" i="5"/>
  <c r="Q918" i="5"/>
  <c r="R918" i="5"/>
  <c r="S918" i="5"/>
  <c r="T918" i="5"/>
  <c r="U918" i="5"/>
  <c r="V918" i="5"/>
  <c r="W918" i="5"/>
  <c r="X918" i="5"/>
  <c r="AC918" i="5"/>
  <c r="B919" i="5"/>
  <c r="C919" i="5"/>
  <c r="D919" i="5"/>
  <c r="E919" i="5"/>
  <c r="F919" i="5"/>
  <c r="G919" i="5"/>
  <c r="H919" i="5"/>
  <c r="I919" i="5"/>
  <c r="J919" i="5"/>
  <c r="K919" i="5"/>
  <c r="L919" i="5"/>
  <c r="M919" i="5"/>
  <c r="N919" i="5"/>
  <c r="O919" i="5"/>
  <c r="P919" i="5"/>
  <c r="Q919" i="5"/>
  <c r="R919" i="5"/>
  <c r="S919" i="5"/>
  <c r="T919" i="5"/>
  <c r="U919" i="5"/>
  <c r="V919" i="5"/>
  <c r="W919" i="5"/>
  <c r="X919" i="5"/>
  <c r="B920" i="5"/>
  <c r="C920" i="5"/>
  <c r="D920" i="5"/>
  <c r="E920" i="5"/>
  <c r="F920" i="5"/>
  <c r="G920" i="5"/>
  <c r="H920" i="5"/>
  <c r="I920" i="5"/>
  <c r="J920" i="5"/>
  <c r="K920" i="5"/>
  <c r="L920" i="5"/>
  <c r="M920" i="5"/>
  <c r="N920" i="5"/>
  <c r="O920" i="5"/>
  <c r="P920" i="5"/>
  <c r="Q920" i="5"/>
  <c r="R920" i="5"/>
  <c r="S920" i="5"/>
  <c r="T920" i="5"/>
  <c r="U920" i="5"/>
  <c r="V920" i="5"/>
  <c r="W920" i="5"/>
  <c r="X920" i="5"/>
  <c r="B921" i="5"/>
  <c r="C921" i="5"/>
  <c r="D921" i="5"/>
  <c r="E921" i="5"/>
  <c r="F921" i="5"/>
  <c r="G921" i="5"/>
  <c r="H921" i="5"/>
  <c r="I921" i="5"/>
  <c r="J921" i="5"/>
  <c r="K921" i="5"/>
  <c r="L921" i="5"/>
  <c r="M921" i="5"/>
  <c r="N921" i="5"/>
  <c r="O921" i="5"/>
  <c r="P921" i="5"/>
  <c r="Q921" i="5"/>
  <c r="R921" i="5"/>
  <c r="S921" i="5"/>
  <c r="T921" i="5"/>
  <c r="U921" i="5"/>
  <c r="V921" i="5"/>
  <c r="W921" i="5"/>
  <c r="X921" i="5"/>
  <c r="B922" i="5"/>
  <c r="C922" i="5"/>
  <c r="D922" i="5"/>
  <c r="E922" i="5"/>
  <c r="F922" i="5"/>
  <c r="G922" i="5"/>
  <c r="H922" i="5"/>
  <c r="I922" i="5"/>
  <c r="J922" i="5"/>
  <c r="K922" i="5"/>
  <c r="L922" i="5"/>
  <c r="M922" i="5"/>
  <c r="N922" i="5"/>
  <c r="O922" i="5"/>
  <c r="P922" i="5"/>
  <c r="Q922" i="5"/>
  <c r="R922" i="5"/>
  <c r="S922" i="5"/>
  <c r="T922" i="5"/>
  <c r="U922" i="5"/>
  <c r="V922" i="5"/>
  <c r="W922" i="5"/>
  <c r="X922" i="5"/>
  <c r="B923" i="5"/>
  <c r="C923" i="5"/>
  <c r="D923" i="5"/>
  <c r="E923" i="5"/>
  <c r="F923" i="5"/>
  <c r="G923" i="5"/>
  <c r="H923" i="5"/>
  <c r="I923" i="5"/>
  <c r="J923" i="5"/>
  <c r="K923" i="5"/>
  <c r="L923" i="5"/>
  <c r="M923" i="5"/>
  <c r="N923" i="5"/>
  <c r="O923" i="5"/>
  <c r="P923" i="5"/>
  <c r="Q923" i="5"/>
  <c r="R923" i="5"/>
  <c r="S923" i="5"/>
  <c r="T923" i="5"/>
  <c r="U923" i="5"/>
  <c r="V923" i="5"/>
  <c r="W923" i="5"/>
  <c r="X923" i="5"/>
  <c r="B924" i="5"/>
  <c r="C924" i="5"/>
  <c r="D924" i="5"/>
  <c r="E924" i="5"/>
  <c r="F924" i="5"/>
  <c r="G924" i="5"/>
  <c r="H924" i="5"/>
  <c r="I924" i="5"/>
  <c r="J924" i="5"/>
  <c r="K924" i="5"/>
  <c r="L924" i="5"/>
  <c r="M924" i="5"/>
  <c r="N924" i="5"/>
  <c r="O924" i="5"/>
  <c r="P924" i="5"/>
  <c r="Q924" i="5"/>
  <c r="R924" i="5"/>
  <c r="S924" i="5"/>
  <c r="T924" i="5"/>
  <c r="U924" i="5"/>
  <c r="V924" i="5"/>
  <c r="W924" i="5"/>
  <c r="X924" i="5"/>
  <c r="B925" i="5"/>
  <c r="C925" i="5"/>
  <c r="D925" i="5"/>
  <c r="E925" i="5"/>
  <c r="F925" i="5"/>
  <c r="G925" i="5"/>
  <c r="H925" i="5"/>
  <c r="I925" i="5"/>
  <c r="J925" i="5"/>
  <c r="K925" i="5"/>
  <c r="L925" i="5"/>
  <c r="M925" i="5"/>
  <c r="N925" i="5"/>
  <c r="AC925" i="5" s="1"/>
  <c r="O925" i="5"/>
  <c r="P925" i="5"/>
  <c r="Q925" i="5"/>
  <c r="R925" i="5"/>
  <c r="S925" i="5"/>
  <c r="T925" i="5"/>
  <c r="U925" i="5"/>
  <c r="V925" i="5"/>
  <c r="W925" i="5"/>
  <c r="X925" i="5"/>
  <c r="B926" i="5"/>
  <c r="C926" i="5"/>
  <c r="D926" i="5"/>
  <c r="E926" i="5"/>
  <c r="F926" i="5"/>
  <c r="G926" i="5"/>
  <c r="H926" i="5"/>
  <c r="I926" i="5"/>
  <c r="J926" i="5"/>
  <c r="K926" i="5"/>
  <c r="L926" i="5"/>
  <c r="M926" i="5"/>
  <c r="N926" i="5"/>
  <c r="AC926" i="5" s="1"/>
  <c r="O926" i="5"/>
  <c r="P926" i="5"/>
  <c r="Q926" i="5"/>
  <c r="R926" i="5"/>
  <c r="S926" i="5"/>
  <c r="T926" i="5"/>
  <c r="U926" i="5"/>
  <c r="V926" i="5"/>
  <c r="W926" i="5"/>
  <c r="X926" i="5"/>
  <c r="B927" i="5"/>
  <c r="AB927" i="5" s="1"/>
  <c r="C927" i="5"/>
  <c r="D927" i="5"/>
  <c r="E927" i="5"/>
  <c r="F927" i="5"/>
  <c r="G927" i="5"/>
  <c r="H927" i="5"/>
  <c r="I927" i="5"/>
  <c r="J927" i="5"/>
  <c r="K927" i="5"/>
  <c r="L927" i="5"/>
  <c r="M927" i="5"/>
  <c r="N927" i="5"/>
  <c r="O927" i="5"/>
  <c r="P927" i="5"/>
  <c r="Q927" i="5"/>
  <c r="R927" i="5"/>
  <c r="S927" i="5"/>
  <c r="T927" i="5"/>
  <c r="U927" i="5"/>
  <c r="V927" i="5"/>
  <c r="W927" i="5"/>
  <c r="X927" i="5"/>
  <c r="B928" i="5"/>
  <c r="C928" i="5"/>
  <c r="D928" i="5"/>
  <c r="E928" i="5"/>
  <c r="F928" i="5"/>
  <c r="G928" i="5"/>
  <c r="H928" i="5"/>
  <c r="I928" i="5"/>
  <c r="J928" i="5"/>
  <c r="K928" i="5"/>
  <c r="L928" i="5"/>
  <c r="M928" i="5"/>
  <c r="N928" i="5"/>
  <c r="AC928" i="5" s="1"/>
  <c r="O928" i="5"/>
  <c r="P928" i="5"/>
  <c r="Q928" i="5"/>
  <c r="R928" i="5"/>
  <c r="S928" i="5"/>
  <c r="T928" i="5"/>
  <c r="U928" i="5"/>
  <c r="V928" i="5"/>
  <c r="W928" i="5"/>
  <c r="X928" i="5"/>
  <c r="B929" i="5"/>
  <c r="AB929" i="5" s="1"/>
  <c r="C929" i="5"/>
  <c r="D929" i="5"/>
  <c r="E929" i="5"/>
  <c r="F929" i="5"/>
  <c r="G929" i="5"/>
  <c r="H929" i="5"/>
  <c r="I929" i="5"/>
  <c r="J929" i="5"/>
  <c r="K929" i="5"/>
  <c r="L929" i="5"/>
  <c r="M929" i="5"/>
  <c r="N929" i="5"/>
  <c r="O929" i="5"/>
  <c r="P929" i="5"/>
  <c r="Q929" i="5"/>
  <c r="R929" i="5"/>
  <c r="S929" i="5"/>
  <c r="T929" i="5"/>
  <c r="U929" i="5"/>
  <c r="V929" i="5"/>
  <c r="W929" i="5"/>
  <c r="X929" i="5"/>
  <c r="B930" i="5"/>
  <c r="C930" i="5"/>
  <c r="D930" i="5"/>
  <c r="E930" i="5"/>
  <c r="F930" i="5"/>
  <c r="G930" i="5"/>
  <c r="H930" i="5"/>
  <c r="I930" i="5"/>
  <c r="J930" i="5"/>
  <c r="K930" i="5"/>
  <c r="L930" i="5"/>
  <c r="M930" i="5"/>
  <c r="N930" i="5"/>
  <c r="O930" i="5"/>
  <c r="P930" i="5"/>
  <c r="Q930" i="5"/>
  <c r="R930" i="5"/>
  <c r="S930" i="5"/>
  <c r="T930" i="5"/>
  <c r="U930" i="5"/>
  <c r="V930" i="5"/>
  <c r="W930" i="5"/>
  <c r="X930" i="5"/>
  <c r="B931" i="5"/>
  <c r="C931" i="5"/>
  <c r="D931" i="5"/>
  <c r="E931" i="5"/>
  <c r="F931" i="5"/>
  <c r="G931" i="5"/>
  <c r="H931" i="5"/>
  <c r="I931" i="5"/>
  <c r="J931" i="5"/>
  <c r="K931" i="5"/>
  <c r="L931" i="5"/>
  <c r="M931" i="5"/>
  <c r="N931" i="5"/>
  <c r="O931" i="5"/>
  <c r="P931" i="5"/>
  <c r="Q931" i="5"/>
  <c r="R931" i="5"/>
  <c r="S931" i="5"/>
  <c r="T931" i="5"/>
  <c r="U931" i="5"/>
  <c r="V931" i="5"/>
  <c r="W931" i="5"/>
  <c r="X931" i="5"/>
  <c r="B932" i="5"/>
  <c r="C932" i="5"/>
  <c r="D932" i="5"/>
  <c r="E932" i="5"/>
  <c r="F932" i="5"/>
  <c r="G932" i="5"/>
  <c r="H932" i="5"/>
  <c r="I932" i="5"/>
  <c r="J932" i="5"/>
  <c r="K932" i="5"/>
  <c r="L932" i="5"/>
  <c r="M932" i="5"/>
  <c r="AC932" i="5" s="1"/>
  <c r="N932" i="5"/>
  <c r="O932" i="5"/>
  <c r="P932" i="5"/>
  <c r="Q932" i="5"/>
  <c r="R932" i="5"/>
  <c r="S932" i="5"/>
  <c r="T932" i="5"/>
  <c r="U932" i="5"/>
  <c r="V932" i="5"/>
  <c r="W932" i="5"/>
  <c r="X932" i="5"/>
  <c r="B933" i="5"/>
  <c r="C933" i="5"/>
  <c r="D933" i="5"/>
  <c r="E933" i="5"/>
  <c r="F933" i="5"/>
  <c r="G933" i="5"/>
  <c r="H933" i="5"/>
  <c r="I933" i="5"/>
  <c r="J933" i="5"/>
  <c r="K933" i="5"/>
  <c r="L933" i="5"/>
  <c r="M933" i="5"/>
  <c r="N933" i="5"/>
  <c r="O933" i="5"/>
  <c r="P933" i="5"/>
  <c r="Q933" i="5"/>
  <c r="R933" i="5"/>
  <c r="S933" i="5"/>
  <c r="T933" i="5"/>
  <c r="U933" i="5"/>
  <c r="V933" i="5"/>
  <c r="W933" i="5"/>
  <c r="X933" i="5"/>
  <c r="B934" i="5"/>
  <c r="C934" i="5"/>
  <c r="D934" i="5"/>
  <c r="E934" i="5"/>
  <c r="F934" i="5"/>
  <c r="G934" i="5"/>
  <c r="H934" i="5"/>
  <c r="I934" i="5"/>
  <c r="J934" i="5"/>
  <c r="K934" i="5"/>
  <c r="L934" i="5"/>
  <c r="M934" i="5"/>
  <c r="N934" i="5"/>
  <c r="AC934" i="5" s="1"/>
  <c r="O934" i="5"/>
  <c r="P934" i="5"/>
  <c r="Q934" i="5"/>
  <c r="R934" i="5"/>
  <c r="S934" i="5"/>
  <c r="T934" i="5"/>
  <c r="U934" i="5"/>
  <c r="V934" i="5"/>
  <c r="W934" i="5"/>
  <c r="X934" i="5"/>
  <c r="B935" i="5"/>
  <c r="C935" i="5"/>
  <c r="D935" i="5"/>
  <c r="E935" i="5"/>
  <c r="F935" i="5"/>
  <c r="G935" i="5"/>
  <c r="H935" i="5"/>
  <c r="I935" i="5"/>
  <c r="J935" i="5"/>
  <c r="K935" i="5"/>
  <c r="L935" i="5"/>
  <c r="M935" i="5"/>
  <c r="N935" i="5"/>
  <c r="O935" i="5"/>
  <c r="P935" i="5"/>
  <c r="Q935" i="5"/>
  <c r="R935" i="5"/>
  <c r="S935" i="5"/>
  <c r="T935" i="5"/>
  <c r="U935" i="5"/>
  <c r="V935" i="5"/>
  <c r="W935" i="5"/>
  <c r="X935" i="5"/>
  <c r="B936" i="5"/>
  <c r="C936" i="5"/>
  <c r="D936" i="5"/>
  <c r="E936" i="5"/>
  <c r="F936" i="5"/>
  <c r="G936" i="5"/>
  <c r="H936" i="5"/>
  <c r="I936" i="5"/>
  <c r="J936" i="5"/>
  <c r="K936" i="5"/>
  <c r="L936" i="5"/>
  <c r="M936" i="5"/>
  <c r="N936" i="5"/>
  <c r="O936" i="5"/>
  <c r="P936" i="5"/>
  <c r="AC936" i="5" s="1"/>
  <c r="Q936" i="5"/>
  <c r="R936" i="5"/>
  <c r="S936" i="5"/>
  <c r="T936" i="5"/>
  <c r="U936" i="5"/>
  <c r="V936" i="5"/>
  <c r="W936" i="5"/>
  <c r="X936" i="5"/>
  <c r="B937" i="5"/>
  <c r="C937" i="5"/>
  <c r="D937" i="5"/>
  <c r="AB937" i="5" s="1"/>
  <c r="E937" i="5"/>
  <c r="F937" i="5"/>
  <c r="G937" i="5"/>
  <c r="H937" i="5"/>
  <c r="I937" i="5"/>
  <c r="J937" i="5"/>
  <c r="K937" i="5"/>
  <c r="L937" i="5"/>
  <c r="M937" i="5"/>
  <c r="N937" i="5"/>
  <c r="O937" i="5"/>
  <c r="P937" i="5"/>
  <c r="Q937" i="5"/>
  <c r="R937" i="5"/>
  <c r="S937" i="5"/>
  <c r="T937" i="5"/>
  <c r="U937" i="5"/>
  <c r="V937" i="5"/>
  <c r="W937" i="5"/>
  <c r="X937" i="5"/>
  <c r="B938" i="5"/>
  <c r="C938" i="5"/>
  <c r="D938" i="5"/>
  <c r="E938" i="5"/>
  <c r="F938" i="5"/>
  <c r="G938" i="5"/>
  <c r="H938" i="5"/>
  <c r="I938" i="5"/>
  <c r="J938" i="5"/>
  <c r="K938" i="5"/>
  <c r="L938" i="5"/>
  <c r="M938" i="5"/>
  <c r="N938" i="5"/>
  <c r="O938" i="5"/>
  <c r="P938" i="5"/>
  <c r="Q938" i="5"/>
  <c r="R938" i="5"/>
  <c r="S938" i="5"/>
  <c r="T938" i="5"/>
  <c r="U938" i="5"/>
  <c r="V938" i="5"/>
  <c r="W938" i="5"/>
  <c r="X938" i="5"/>
  <c r="B939" i="5"/>
  <c r="C939" i="5"/>
  <c r="D939" i="5"/>
  <c r="E939" i="5"/>
  <c r="F939" i="5"/>
  <c r="G939" i="5"/>
  <c r="H939" i="5"/>
  <c r="I939" i="5"/>
  <c r="J939" i="5"/>
  <c r="K939" i="5"/>
  <c r="L939" i="5"/>
  <c r="M939" i="5"/>
  <c r="AC939" i="5" s="1"/>
  <c r="N939" i="5"/>
  <c r="O939" i="5"/>
  <c r="P939" i="5"/>
  <c r="Q939" i="5"/>
  <c r="R939" i="5"/>
  <c r="S939" i="5"/>
  <c r="T939" i="5"/>
  <c r="U939" i="5"/>
  <c r="V939" i="5"/>
  <c r="W939" i="5"/>
  <c r="X939" i="5"/>
  <c r="B940" i="5"/>
  <c r="C940" i="5"/>
  <c r="D940" i="5"/>
  <c r="E940" i="5"/>
  <c r="F940" i="5"/>
  <c r="G940" i="5"/>
  <c r="H940" i="5"/>
  <c r="I940" i="5"/>
  <c r="J940" i="5"/>
  <c r="K940" i="5"/>
  <c r="L940" i="5"/>
  <c r="M940" i="5"/>
  <c r="N940" i="5"/>
  <c r="O940" i="5"/>
  <c r="P940" i="5"/>
  <c r="Q940" i="5"/>
  <c r="R940" i="5"/>
  <c r="S940" i="5"/>
  <c r="T940" i="5"/>
  <c r="U940" i="5"/>
  <c r="V940" i="5"/>
  <c r="W940" i="5"/>
  <c r="X940" i="5"/>
  <c r="B941" i="5"/>
  <c r="C941" i="5"/>
  <c r="D941" i="5"/>
  <c r="E941" i="5"/>
  <c r="F941" i="5"/>
  <c r="G941" i="5"/>
  <c r="H941" i="5"/>
  <c r="I941" i="5"/>
  <c r="J941" i="5"/>
  <c r="K941" i="5"/>
  <c r="L941" i="5"/>
  <c r="M941" i="5"/>
  <c r="N941" i="5"/>
  <c r="O941" i="5"/>
  <c r="P941" i="5"/>
  <c r="Q941" i="5"/>
  <c r="R941" i="5"/>
  <c r="S941" i="5"/>
  <c r="T941" i="5"/>
  <c r="U941" i="5"/>
  <c r="V941" i="5"/>
  <c r="W941" i="5"/>
  <c r="X941" i="5"/>
  <c r="B942" i="5"/>
  <c r="C942" i="5"/>
  <c r="D942" i="5"/>
  <c r="E942" i="5"/>
  <c r="F942" i="5"/>
  <c r="G942" i="5"/>
  <c r="H942" i="5"/>
  <c r="I942" i="5"/>
  <c r="J942" i="5"/>
  <c r="K942" i="5"/>
  <c r="L942" i="5"/>
  <c r="M942" i="5"/>
  <c r="N942" i="5"/>
  <c r="O942" i="5"/>
  <c r="P942" i="5"/>
  <c r="AC942" i="5" s="1"/>
  <c r="Q942" i="5"/>
  <c r="R942" i="5"/>
  <c r="S942" i="5"/>
  <c r="T942" i="5"/>
  <c r="U942" i="5"/>
  <c r="V942" i="5"/>
  <c r="W942" i="5"/>
  <c r="X942" i="5"/>
  <c r="B943" i="5"/>
  <c r="C943" i="5"/>
  <c r="D943" i="5"/>
  <c r="E943" i="5"/>
  <c r="F943" i="5"/>
  <c r="G943" i="5"/>
  <c r="H943" i="5"/>
  <c r="I943" i="5"/>
  <c r="J943" i="5"/>
  <c r="K943" i="5"/>
  <c r="L943" i="5"/>
  <c r="M943" i="5"/>
  <c r="N943" i="5"/>
  <c r="O943" i="5"/>
  <c r="P943" i="5"/>
  <c r="AC943" i="5" s="1"/>
  <c r="Q943" i="5"/>
  <c r="R943" i="5"/>
  <c r="S943" i="5"/>
  <c r="T943" i="5"/>
  <c r="U943" i="5"/>
  <c r="V943" i="5"/>
  <c r="W943" i="5"/>
  <c r="X943" i="5"/>
  <c r="B944" i="5"/>
  <c r="C944" i="5"/>
  <c r="D944" i="5"/>
  <c r="E944" i="5"/>
  <c r="F944" i="5"/>
  <c r="G944" i="5"/>
  <c r="H944" i="5"/>
  <c r="I944" i="5"/>
  <c r="J944" i="5"/>
  <c r="K944" i="5"/>
  <c r="L944" i="5"/>
  <c r="M944" i="5"/>
  <c r="N944" i="5"/>
  <c r="O944" i="5"/>
  <c r="P944" i="5"/>
  <c r="Q944" i="5"/>
  <c r="R944" i="5"/>
  <c r="S944" i="5"/>
  <c r="T944" i="5"/>
  <c r="U944" i="5"/>
  <c r="V944" i="5"/>
  <c r="W944" i="5"/>
  <c r="X944" i="5"/>
  <c r="AC944" i="5"/>
  <c r="B945" i="5"/>
  <c r="C945" i="5"/>
  <c r="D945" i="5"/>
  <c r="E945" i="5"/>
  <c r="F945" i="5"/>
  <c r="G945" i="5"/>
  <c r="H945" i="5"/>
  <c r="I945" i="5"/>
  <c r="J945" i="5"/>
  <c r="K945" i="5"/>
  <c r="L945" i="5"/>
  <c r="M945" i="5"/>
  <c r="N945" i="5"/>
  <c r="O945" i="5"/>
  <c r="P945" i="5"/>
  <c r="Q945" i="5"/>
  <c r="R945" i="5"/>
  <c r="S945" i="5"/>
  <c r="T945" i="5"/>
  <c r="U945" i="5"/>
  <c r="V945" i="5"/>
  <c r="W945" i="5"/>
  <c r="X945" i="5"/>
  <c r="AB945" i="5"/>
  <c r="B946" i="5"/>
  <c r="C946" i="5"/>
  <c r="D946" i="5"/>
  <c r="E946" i="5"/>
  <c r="F946" i="5"/>
  <c r="G946" i="5"/>
  <c r="H946" i="5"/>
  <c r="I946" i="5"/>
  <c r="J946" i="5"/>
  <c r="K946" i="5"/>
  <c r="L946" i="5"/>
  <c r="M946" i="5"/>
  <c r="AC946" i="5" s="1"/>
  <c r="N946" i="5"/>
  <c r="O946" i="5"/>
  <c r="P946" i="5"/>
  <c r="Q946" i="5"/>
  <c r="R946" i="5"/>
  <c r="S946" i="5"/>
  <c r="T946" i="5"/>
  <c r="U946" i="5"/>
  <c r="V946" i="5"/>
  <c r="W946" i="5"/>
  <c r="X946" i="5"/>
  <c r="B947" i="5"/>
  <c r="C947" i="5"/>
  <c r="D947" i="5"/>
  <c r="E947" i="5"/>
  <c r="F947" i="5"/>
  <c r="G947" i="5"/>
  <c r="H947" i="5"/>
  <c r="I947" i="5"/>
  <c r="J947" i="5"/>
  <c r="K947" i="5"/>
  <c r="L947" i="5"/>
  <c r="M947" i="5"/>
  <c r="N947" i="5"/>
  <c r="O947" i="5"/>
  <c r="P947" i="5"/>
  <c r="Q947" i="5"/>
  <c r="R947" i="5"/>
  <c r="S947" i="5"/>
  <c r="T947" i="5"/>
  <c r="U947" i="5"/>
  <c r="V947" i="5"/>
  <c r="W947" i="5"/>
  <c r="X947" i="5"/>
  <c r="B948" i="5"/>
  <c r="C948" i="5"/>
  <c r="D948" i="5"/>
  <c r="E948" i="5"/>
  <c r="F948" i="5"/>
  <c r="G948" i="5"/>
  <c r="H948" i="5"/>
  <c r="I948" i="5"/>
  <c r="J948" i="5"/>
  <c r="K948" i="5"/>
  <c r="L948" i="5"/>
  <c r="M948" i="5"/>
  <c r="N948" i="5"/>
  <c r="O948" i="5"/>
  <c r="P948" i="5"/>
  <c r="Q948" i="5"/>
  <c r="R948" i="5"/>
  <c r="S948" i="5"/>
  <c r="T948" i="5"/>
  <c r="U948" i="5"/>
  <c r="V948" i="5"/>
  <c r="W948" i="5"/>
  <c r="X948" i="5"/>
  <c r="B949" i="5"/>
  <c r="C949" i="5"/>
  <c r="D949" i="5"/>
  <c r="E949" i="5"/>
  <c r="F949" i="5"/>
  <c r="G949" i="5"/>
  <c r="H949" i="5"/>
  <c r="I949" i="5"/>
  <c r="J949" i="5"/>
  <c r="K949" i="5"/>
  <c r="L949" i="5"/>
  <c r="M949" i="5"/>
  <c r="N949" i="5"/>
  <c r="O949" i="5"/>
  <c r="P949" i="5"/>
  <c r="Q949" i="5"/>
  <c r="R949" i="5"/>
  <c r="S949" i="5"/>
  <c r="T949" i="5"/>
  <c r="U949" i="5"/>
  <c r="V949" i="5"/>
  <c r="W949" i="5"/>
  <c r="X949" i="5"/>
  <c r="B950" i="5"/>
  <c r="C950" i="5"/>
  <c r="D950" i="5"/>
  <c r="E950" i="5"/>
  <c r="F950" i="5"/>
  <c r="G950" i="5"/>
  <c r="H950" i="5"/>
  <c r="I950" i="5"/>
  <c r="J950" i="5"/>
  <c r="K950" i="5"/>
  <c r="L950" i="5"/>
  <c r="M950" i="5"/>
  <c r="N950" i="5"/>
  <c r="O950" i="5"/>
  <c r="P950" i="5"/>
  <c r="Q950" i="5"/>
  <c r="R950" i="5"/>
  <c r="S950" i="5"/>
  <c r="T950" i="5"/>
  <c r="U950" i="5"/>
  <c r="V950" i="5"/>
  <c r="W950" i="5"/>
  <c r="X950" i="5"/>
  <c r="AC950" i="5"/>
  <c r="B951" i="5"/>
  <c r="C951" i="5"/>
  <c r="D951" i="5"/>
  <c r="E951" i="5"/>
  <c r="F951" i="5"/>
  <c r="G951" i="5"/>
  <c r="H951" i="5"/>
  <c r="I951" i="5"/>
  <c r="J951" i="5"/>
  <c r="K951" i="5"/>
  <c r="L951" i="5"/>
  <c r="M951" i="5"/>
  <c r="N951" i="5"/>
  <c r="O951" i="5"/>
  <c r="P951" i="5"/>
  <c r="Q951" i="5"/>
  <c r="R951" i="5"/>
  <c r="S951" i="5"/>
  <c r="T951" i="5"/>
  <c r="U951" i="5"/>
  <c r="V951" i="5"/>
  <c r="W951" i="5"/>
  <c r="X951" i="5"/>
  <c r="B952" i="5"/>
  <c r="C952" i="5"/>
  <c r="D952" i="5"/>
  <c r="E952" i="5"/>
  <c r="F952" i="5"/>
  <c r="G952" i="5"/>
  <c r="H952" i="5"/>
  <c r="I952" i="5"/>
  <c r="J952" i="5"/>
  <c r="K952" i="5"/>
  <c r="L952" i="5"/>
  <c r="M952" i="5"/>
  <c r="N952" i="5"/>
  <c r="AC952" i="5" s="1"/>
  <c r="O952" i="5"/>
  <c r="P952" i="5"/>
  <c r="Q952" i="5"/>
  <c r="R952" i="5"/>
  <c r="S952" i="5"/>
  <c r="T952" i="5"/>
  <c r="U952" i="5"/>
  <c r="V952" i="5"/>
  <c r="W952" i="5"/>
  <c r="X952" i="5"/>
  <c r="B953" i="5"/>
  <c r="C953" i="5"/>
  <c r="D953" i="5"/>
  <c r="E953" i="5"/>
  <c r="F953" i="5"/>
  <c r="G953" i="5"/>
  <c r="H953" i="5"/>
  <c r="I953" i="5"/>
  <c r="J953" i="5"/>
  <c r="K953" i="5"/>
  <c r="L953" i="5"/>
  <c r="M953" i="5"/>
  <c r="N953" i="5"/>
  <c r="AC953" i="5" s="1"/>
  <c r="O953" i="5"/>
  <c r="P953" i="5"/>
  <c r="Q953" i="5"/>
  <c r="R953" i="5"/>
  <c r="S953" i="5"/>
  <c r="T953" i="5"/>
  <c r="U953" i="5"/>
  <c r="V953" i="5"/>
  <c r="W953" i="5"/>
  <c r="X953" i="5"/>
  <c r="B954" i="5"/>
  <c r="C954" i="5"/>
  <c r="D954" i="5"/>
  <c r="E954" i="5"/>
  <c r="F954" i="5"/>
  <c r="G954" i="5"/>
  <c r="H954" i="5"/>
  <c r="I954" i="5"/>
  <c r="J954" i="5"/>
  <c r="K954" i="5"/>
  <c r="L954" i="5"/>
  <c r="M954" i="5"/>
  <c r="N954" i="5"/>
  <c r="O954" i="5"/>
  <c r="P954" i="5"/>
  <c r="Q954" i="5"/>
  <c r="R954" i="5"/>
  <c r="S954" i="5"/>
  <c r="T954" i="5"/>
  <c r="U954" i="5"/>
  <c r="V954" i="5"/>
  <c r="W954" i="5"/>
  <c r="X954" i="5"/>
  <c r="B955" i="5"/>
  <c r="C955" i="5"/>
  <c r="D955" i="5"/>
  <c r="E955" i="5"/>
  <c r="F955" i="5"/>
  <c r="G955" i="5"/>
  <c r="H955" i="5"/>
  <c r="I955" i="5"/>
  <c r="J955" i="5"/>
  <c r="K955" i="5"/>
  <c r="L955" i="5"/>
  <c r="M955" i="5"/>
  <c r="N955" i="5"/>
  <c r="O955" i="5"/>
  <c r="P955" i="5"/>
  <c r="Q955" i="5"/>
  <c r="R955" i="5"/>
  <c r="S955" i="5"/>
  <c r="T955" i="5"/>
  <c r="U955" i="5"/>
  <c r="V955" i="5"/>
  <c r="W955" i="5"/>
  <c r="X955" i="5"/>
  <c r="B956" i="5"/>
  <c r="C956" i="5"/>
  <c r="D956" i="5"/>
  <c r="E956" i="5"/>
  <c r="F956" i="5"/>
  <c r="G956" i="5"/>
  <c r="H956" i="5"/>
  <c r="I956" i="5"/>
  <c r="J956" i="5"/>
  <c r="K956" i="5"/>
  <c r="L956" i="5"/>
  <c r="M956" i="5"/>
  <c r="N956" i="5"/>
  <c r="O956" i="5"/>
  <c r="P956" i="5"/>
  <c r="Q956" i="5"/>
  <c r="R956" i="5"/>
  <c r="S956" i="5"/>
  <c r="T956" i="5"/>
  <c r="U956" i="5"/>
  <c r="V956" i="5"/>
  <c r="W956" i="5"/>
  <c r="X956" i="5"/>
  <c r="B957" i="5"/>
  <c r="C957" i="5"/>
  <c r="D957" i="5"/>
  <c r="E957" i="5"/>
  <c r="F957" i="5"/>
  <c r="G957" i="5"/>
  <c r="H957" i="5"/>
  <c r="I957" i="5"/>
  <c r="J957" i="5"/>
  <c r="K957" i="5"/>
  <c r="L957" i="5"/>
  <c r="M957" i="5"/>
  <c r="AC957" i="5" s="1"/>
  <c r="N957" i="5"/>
  <c r="O957" i="5"/>
  <c r="P957" i="5"/>
  <c r="Q957" i="5"/>
  <c r="R957" i="5"/>
  <c r="S957" i="5"/>
  <c r="T957" i="5"/>
  <c r="U957" i="5"/>
  <c r="V957" i="5"/>
  <c r="W957" i="5"/>
  <c r="X957" i="5"/>
  <c r="B958" i="5"/>
  <c r="C958" i="5"/>
  <c r="D958" i="5"/>
  <c r="E958" i="5"/>
  <c r="F958" i="5"/>
  <c r="G958" i="5"/>
  <c r="H958" i="5"/>
  <c r="I958" i="5"/>
  <c r="J958" i="5"/>
  <c r="K958" i="5"/>
  <c r="L958" i="5"/>
  <c r="M958" i="5"/>
  <c r="N958" i="5"/>
  <c r="AC958" i="5" s="1"/>
  <c r="O958" i="5"/>
  <c r="P958" i="5"/>
  <c r="Q958" i="5"/>
  <c r="R958" i="5"/>
  <c r="S958" i="5"/>
  <c r="T958" i="5"/>
  <c r="U958" i="5"/>
  <c r="V958" i="5"/>
  <c r="W958" i="5"/>
  <c r="X958" i="5"/>
  <c r="B959" i="5"/>
  <c r="C959" i="5"/>
  <c r="D959" i="5"/>
  <c r="E959" i="5"/>
  <c r="F959" i="5"/>
  <c r="G959" i="5"/>
  <c r="H959" i="5"/>
  <c r="I959" i="5"/>
  <c r="J959" i="5"/>
  <c r="K959" i="5"/>
  <c r="L959" i="5"/>
  <c r="M959" i="5"/>
  <c r="N959" i="5"/>
  <c r="O959" i="5"/>
  <c r="P959" i="5"/>
  <c r="Q959" i="5"/>
  <c r="R959" i="5"/>
  <c r="S959" i="5"/>
  <c r="T959" i="5"/>
  <c r="U959" i="5"/>
  <c r="V959" i="5"/>
  <c r="W959" i="5"/>
  <c r="X959" i="5"/>
  <c r="B960" i="5"/>
  <c r="C960" i="5"/>
  <c r="D960" i="5"/>
  <c r="E960" i="5"/>
  <c r="F960" i="5"/>
  <c r="G960" i="5"/>
  <c r="H960" i="5"/>
  <c r="I960" i="5"/>
  <c r="J960" i="5"/>
  <c r="K960" i="5"/>
  <c r="L960" i="5"/>
  <c r="M960" i="5"/>
  <c r="N960" i="5"/>
  <c r="AC960" i="5" s="1"/>
  <c r="O960" i="5"/>
  <c r="P960" i="5"/>
  <c r="Q960" i="5"/>
  <c r="R960" i="5"/>
  <c r="S960" i="5"/>
  <c r="T960" i="5"/>
  <c r="U960" i="5"/>
  <c r="V960" i="5"/>
  <c r="W960" i="5"/>
  <c r="X960" i="5"/>
  <c r="B961" i="5"/>
  <c r="C961" i="5"/>
  <c r="D961" i="5"/>
  <c r="E961" i="5"/>
  <c r="F961" i="5"/>
  <c r="G961" i="5"/>
  <c r="H961" i="5"/>
  <c r="I961" i="5"/>
  <c r="J961" i="5"/>
  <c r="K961" i="5"/>
  <c r="L961" i="5"/>
  <c r="M961" i="5"/>
  <c r="N961" i="5"/>
  <c r="O961" i="5"/>
  <c r="P961" i="5"/>
  <c r="Q961" i="5"/>
  <c r="R961" i="5"/>
  <c r="S961" i="5"/>
  <c r="T961" i="5"/>
  <c r="U961" i="5"/>
  <c r="V961" i="5"/>
  <c r="W961" i="5"/>
  <c r="X961" i="5"/>
  <c r="B962" i="5"/>
  <c r="C962" i="5"/>
  <c r="D962" i="5"/>
  <c r="E962" i="5"/>
  <c r="F962" i="5"/>
  <c r="G962" i="5"/>
  <c r="H962" i="5"/>
  <c r="I962" i="5"/>
  <c r="J962" i="5"/>
  <c r="K962" i="5"/>
  <c r="L962" i="5"/>
  <c r="M962" i="5"/>
  <c r="N962" i="5"/>
  <c r="O962" i="5"/>
  <c r="P962" i="5"/>
  <c r="Q962" i="5"/>
  <c r="R962" i="5"/>
  <c r="S962" i="5"/>
  <c r="T962" i="5"/>
  <c r="U962" i="5"/>
  <c r="V962" i="5"/>
  <c r="W962" i="5"/>
  <c r="X962" i="5"/>
  <c r="B963" i="5"/>
  <c r="C963" i="5"/>
  <c r="D963" i="5"/>
  <c r="E963" i="5"/>
  <c r="F963" i="5"/>
  <c r="G963" i="5"/>
  <c r="H963" i="5"/>
  <c r="I963" i="5"/>
  <c r="J963" i="5"/>
  <c r="K963" i="5"/>
  <c r="L963" i="5"/>
  <c r="M963" i="5"/>
  <c r="N963" i="5"/>
  <c r="O963" i="5"/>
  <c r="P963" i="5"/>
  <c r="Q963" i="5"/>
  <c r="R963" i="5"/>
  <c r="S963" i="5"/>
  <c r="T963" i="5"/>
  <c r="U963" i="5"/>
  <c r="V963" i="5"/>
  <c r="W963" i="5"/>
  <c r="X963" i="5"/>
  <c r="B964" i="5"/>
  <c r="C964" i="5"/>
  <c r="D964" i="5"/>
  <c r="E964" i="5"/>
  <c r="F964" i="5"/>
  <c r="G964" i="5"/>
  <c r="H964" i="5"/>
  <c r="I964" i="5"/>
  <c r="J964" i="5"/>
  <c r="K964" i="5"/>
  <c r="L964" i="5"/>
  <c r="M964" i="5"/>
  <c r="N964" i="5"/>
  <c r="O964" i="5"/>
  <c r="P964" i="5"/>
  <c r="Q964" i="5"/>
  <c r="R964" i="5"/>
  <c r="S964" i="5"/>
  <c r="T964" i="5"/>
  <c r="U964" i="5"/>
  <c r="V964" i="5"/>
  <c r="W964" i="5"/>
  <c r="X964" i="5"/>
  <c r="B965" i="5"/>
  <c r="C965" i="5"/>
  <c r="D965" i="5"/>
  <c r="E965" i="5"/>
  <c r="F965" i="5"/>
  <c r="G965" i="5"/>
  <c r="H965" i="5"/>
  <c r="I965" i="5"/>
  <c r="J965" i="5"/>
  <c r="K965" i="5"/>
  <c r="L965" i="5"/>
  <c r="M965" i="5"/>
  <c r="N965" i="5"/>
  <c r="O965" i="5"/>
  <c r="P965" i="5"/>
  <c r="Q965" i="5"/>
  <c r="R965" i="5"/>
  <c r="S965" i="5"/>
  <c r="T965" i="5"/>
  <c r="U965" i="5"/>
  <c r="V965" i="5"/>
  <c r="W965" i="5"/>
  <c r="X965" i="5"/>
  <c r="B966" i="5"/>
  <c r="C966" i="5"/>
  <c r="D966" i="5"/>
  <c r="E966" i="5"/>
  <c r="F966" i="5"/>
  <c r="G966" i="5"/>
  <c r="H966" i="5"/>
  <c r="I966" i="5"/>
  <c r="J966" i="5"/>
  <c r="K966" i="5"/>
  <c r="L966" i="5"/>
  <c r="M966" i="5"/>
  <c r="N966" i="5"/>
  <c r="O966" i="5"/>
  <c r="P966" i="5"/>
  <c r="Q966" i="5"/>
  <c r="R966" i="5"/>
  <c r="S966" i="5"/>
  <c r="T966" i="5"/>
  <c r="U966" i="5"/>
  <c r="V966" i="5"/>
  <c r="W966" i="5"/>
  <c r="X966" i="5"/>
  <c r="B967" i="5"/>
  <c r="C967" i="5"/>
  <c r="D967" i="5"/>
  <c r="E967" i="5"/>
  <c r="F967" i="5"/>
  <c r="G967" i="5"/>
  <c r="H967" i="5"/>
  <c r="I967" i="5"/>
  <c r="J967" i="5"/>
  <c r="K967" i="5"/>
  <c r="L967" i="5"/>
  <c r="M967" i="5"/>
  <c r="N967" i="5"/>
  <c r="O967" i="5"/>
  <c r="P967" i="5"/>
  <c r="Q967" i="5"/>
  <c r="R967" i="5"/>
  <c r="S967" i="5"/>
  <c r="T967" i="5"/>
  <c r="U967" i="5"/>
  <c r="V967" i="5"/>
  <c r="W967" i="5"/>
  <c r="X967" i="5"/>
  <c r="B968" i="5"/>
  <c r="C968" i="5"/>
  <c r="D968" i="5"/>
  <c r="E968" i="5"/>
  <c r="F968" i="5"/>
  <c r="G968" i="5"/>
  <c r="H968" i="5"/>
  <c r="I968" i="5"/>
  <c r="J968" i="5"/>
  <c r="K968" i="5"/>
  <c r="L968" i="5"/>
  <c r="M968" i="5"/>
  <c r="N968" i="5"/>
  <c r="O968" i="5"/>
  <c r="P968" i="5"/>
  <c r="AC968" i="5" s="1"/>
  <c r="Q968" i="5"/>
  <c r="R968" i="5"/>
  <c r="S968" i="5"/>
  <c r="T968" i="5"/>
  <c r="U968" i="5"/>
  <c r="V968" i="5"/>
  <c r="W968" i="5"/>
  <c r="X968" i="5"/>
  <c r="B969" i="5"/>
  <c r="C969" i="5"/>
  <c r="D969" i="5"/>
  <c r="E969" i="5"/>
  <c r="F969" i="5"/>
  <c r="G969" i="5"/>
  <c r="H969" i="5"/>
  <c r="I969" i="5"/>
  <c r="J969" i="5"/>
  <c r="K969" i="5"/>
  <c r="L969" i="5"/>
  <c r="M969" i="5"/>
  <c r="N969" i="5"/>
  <c r="O969" i="5"/>
  <c r="P969" i="5"/>
  <c r="Q969" i="5"/>
  <c r="R969" i="5"/>
  <c r="S969" i="5"/>
  <c r="T969" i="5"/>
  <c r="U969" i="5"/>
  <c r="V969" i="5"/>
  <c r="W969" i="5"/>
  <c r="X969" i="5"/>
  <c r="B970" i="5"/>
  <c r="C970" i="5"/>
  <c r="D970" i="5"/>
  <c r="E970" i="5"/>
  <c r="F970" i="5"/>
  <c r="G970" i="5"/>
  <c r="H970" i="5"/>
  <c r="I970" i="5"/>
  <c r="J970" i="5"/>
  <c r="K970" i="5"/>
  <c r="L970" i="5"/>
  <c r="M970" i="5"/>
  <c r="N970" i="5"/>
  <c r="O970" i="5"/>
  <c r="P970" i="5"/>
  <c r="Q970" i="5"/>
  <c r="R970" i="5"/>
  <c r="S970" i="5"/>
  <c r="T970" i="5"/>
  <c r="U970" i="5"/>
  <c r="V970" i="5"/>
  <c r="W970" i="5"/>
  <c r="X970" i="5"/>
  <c r="B971" i="5"/>
  <c r="C971" i="5"/>
  <c r="D971" i="5"/>
  <c r="E971" i="5"/>
  <c r="F971" i="5"/>
  <c r="G971" i="5"/>
  <c r="H971" i="5"/>
  <c r="I971" i="5"/>
  <c r="J971" i="5"/>
  <c r="K971" i="5"/>
  <c r="L971" i="5"/>
  <c r="M971" i="5"/>
  <c r="AC971" i="5" s="1"/>
  <c r="N971" i="5"/>
  <c r="O971" i="5"/>
  <c r="P971" i="5"/>
  <c r="Q971" i="5"/>
  <c r="R971" i="5"/>
  <c r="S971" i="5"/>
  <c r="T971" i="5"/>
  <c r="U971" i="5"/>
  <c r="V971" i="5"/>
  <c r="W971" i="5"/>
  <c r="X971" i="5"/>
  <c r="B972" i="5"/>
  <c r="C972" i="5"/>
  <c r="D972" i="5"/>
  <c r="E972" i="5"/>
  <c r="F972" i="5"/>
  <c r="G972" i="5"/>
  <c r="H972" i="5"/>
  <c r="I972" i="5"/>
  <c r="J972" i="5"/>
  <c r="K972" i="5"/>
  <c r="L972" i="5"/>
  <c r="M972" i="5"/>
  <c r="N972" i="5"/>
  <c r="O972" i="5"/>
  <c r="P972" i="5"/>
  <c r="Q972" i="5"/>
  <c r="R972" i="5"/>
  <c r="S972" i="5"/>
  <c r="T972" i="5"/>
  <c r="U972" i="5"/>
  <c r="V972" i="5"/>
  <c r="W972" i="5"/>
  <c r="X972" i="5"/>
  <c r="B973" i="5"/>
  <c r="C973" i="5"/>
  <c r="D973" i="5"/>
  <c r="E973" i="5"/>
  <c r="F973" i="5"/>
  <c r="G973" i="5"/>
  <c r="H973" i="5"/>
  <c r="I973" i="5"/>
  <c r="J973" i="5"/>
  <c r="K973" i="5"/>
  <c r="L973" i="5"/>
  <c r="M973" i="5"/>
  <c r="N973" i="5"/>
  <c r="O973" i="5"/>
  <c r="P973" i="5"/>
  <c r="Q973" i="5"/>
  <c r="R973" i="5"/>
  <c r="S973" i="5"/>
  <c r="T973" i="5"/>
  <c r="U973" i="5"/>
  <c r="V973" i="5"/>
  <c r="W973" i="5"/>
  <c r="X973" i="5"/>
  <c r="B974" i="5"/>
  <c r="C974" i="5"/>
  <c r="D974" i="5"/>
  <c r="E974" i="5"/>
  <c r="F974" i="5"/>
  <c r="G974" i="5"/>
  <c r="H974" i="5"/>
  <c r="I974" i="5"/>
  <c r="J974" i="5"/>
  <c r="K974" i="5"/>
  <c r="L974" i="5"/>
  <c r="M974" i="5"/>
  <c r="N974" i="5"/>
  <c r="O974" i="5"/>
  <c r="P974" i="5"/>
  <c r="AC974" i="5" s="1"/>
  <c r="Q974" i="5"/>
  <c r="R974" i="5"/>
  <c r="S974" i="5"/>
  <c r="T974" i="5"/>
  <c r="U974" i="5"/>
  <c r="V974" i="5"/>
  <c r="W974" i="5"/>
  <c r="X974" i="5"/>
  <c r="B975" i="5"/>
  <c r="C975" i="5"/>
  <c r="D975" i="5"/>
  <c r="E975" i="5"/>
  <c r="F975" i="5"/>
  <c r="G975" i="5"/>
  <c r="H975" i="5"/>
  <c r="I975" i="5"/>
  <c r="J975" i="5"/>
  <c r="K975" i="5"/>
  <c r="L975" i="5"/>
  <c r="M975" i="5"/>
  <c r="N975" i="5"/>
  <c r="O975" i="5"/>
  <c r="P975" i="5"/>
  <c r="AC975" i="5" s="1"/>
  <c r="Q975" i="5"/>
  <c r="R975" i="5"/>
  <c r="S975" i="5"/>
  <c r="T975" i="5"/>
  <c r="U975" i="5"/>
  <c r="V975" i="5"/>
  <c r="W975" i="5"/>
  <c r="X975" i="5"/>
  <c r="B976" i="5"/>
  <c r="C976" i="5"/>
  <c r="D976" i="5"/>
  <c r="E976" i="5"/>
  <c r="F976" i="5"/>
  <c r="G976" i="5"/>
  <c r="H976" i="5"/>
  <c r="I976" i="5"/>
  <c r="J976" i="5"/>
  <c r="K976" i="5"/>
  <c r="L976" i="5"/>
  <c r="M976" i="5"/>
  <c r="N976" i="5"/>
  <c r="O976" i="5"/>
  <c r="P976" i="5"/>
  <c r="Q976" i="5"/>
  <c r="R976" i="5"/>
  <c r="S976" i="5"/>
  <c r="T976" i="5"/>
  <c r="U976" i="5"/>
  <c r="V976" i="5"/>
  <c r="W976" i="5"/>
  <c r="X976" i="5"/>
  <c r="AC976" i="5"/>
  <c r="B977" i="5"/>
  <c r="C977" i="5"/>
  <c r="D977" i="5"/>
  <c r="E977" i="5"/>
  <c r="F977" i="5"/>
  <c r="G977" i="5"/>
  <c r="H977" i="5"/>
  <c r="I977" i="5"/>
  <c r="J977" i="5"/>
  <c r="K977" i="5"/>
  <c r="L977" i="5"/>
  <c r="M977" i="5"/>
  <c r="N977" i="5"/>
  <c r="O977" i="5"/>
  <c r="P977" i="5"/>
  <c r="Q977" i="5"/>
  <c r="R977" i="5"/>
  <c r="S977" i="5"/>
  <c r="T977" i="5"/>
  <c r="U977" i="5"/>
  <c r="V977" i="5"/>
  <c r="W977" i="5"/>
  <c r="X977" i="5"/>
  <c r="AB977" i="5"/>
  <c r="B978" i="5"/>
  <c r="C978" i="5"/>
  <c r="D978" i="5"/>
  <c r="E978" i="5"/>
  <c r="F978" i="5"/>
  <c r="G978" i="5"/>
  <c r="H978" i="5"/>
  <c r="I978" i="5"/>
  <c r="J978" i="5"/>
  <c r="K978" i="5"/>
  <c r="L978" i="5"/>
  <c r="M978" i="5"/>
  <c r="AC978" i="5" s="1"/>
  <c r="N978" i="5"/>
  <c r="O978" i="5"/>
  <c r="P978" i="5"/>
  <c r="Q978" i="5"/>
  <c r="R978" i="5"/>
  <c r="S978" i="5"/>
  <c r="T978" i="5"/>
  <c r="U978" i="5"/>
  <c r="V978" i="5"/>
  <c r="W978" i="5"/>
  <c r="X978" i="5"/>
  <c r="B979" i="5"/>
  <c r="C979" i="5"/>
  <c r="D979" i="5"/>
  <c r="E979" i="5"/>
  <c r="F979" i="5"/>
  <c r="G979" i="5"/>
  <c r="H979" i="5"/>
  <c r="I979" i="5"/>
  <c r="J979" i="5"/>
  <c r="K979" i="5"/>
  <c r="L979" i="5"/>
  <c r="M979" i="5"/>
  <c r="N979" i="5"/>
  <c r="O979" i="5"/>
  <c r="P979" i="5"/>
  <c r="Q979" i="5"/>
  <c r="R979" i="5"/>
  <c r="S979" i="5"/>
  <c r="T979" i="5"/>
  <c r="U979" i="5"/>
  <c r="V979" i="5"/>
  <c r="W979" i="5"/>
  <c r="X979" i="5"/>
  <c r="B980" i="5"/>
  <c r="C980" i="5"/>
  <c r="D980" i="5"/>
  <c r="E980" i="5"/>
  <c r="F980" i="5"/>
  <c r="G980" i="5"/>
  <c r="H980" i="5"/>
  <c r="I980" i="5"/>
  <c r="J980" i="5"/>
  <c r="K980" i="5"/>
  <c r="L980" i="5"/>
  <c r="M980" i="5"/>
  <c r="N980" i="5"/>
  <c r="O980" i="5"/>
  <c r="P980" i="5"/>
  <c r="Q980" i="5"/>
  <c r="R980" i="5"/>
  <c r="S980" i="5"/>
  <c r="T980" i="5"/>
  <c r="U980" i="5"/>
  <c r="V980" i="5"/>
  <c r="W980" i="5"/>
  <c r="X980" i="5"/>
  <c r="B981" i="5"/>
  <c r="C981" i="5"/>
  <c r="D981" i="5"/>
  <c r="E981" i="5"/>
  <c r="F981" i="5"/>
  <c r="G981" i="5"/>
  <c r="H981" i="5"/>
  <c r="I981" i="5"/>
  <c r="J981" i="5"/>
  <c r="K981" i="5"/>
  <c r="L981" i="5"/>
  <c r="M981" i="5"/>
  <c r="N981" i="5"/>
  <c r="O981" i="5"/>
  <c r="P981" i="5"/>
  <c r="Q981" i="5"/>
  <c r="R981" i="5"/>
  <c r="S981" i="5"/>
  <c r="T981" i="5"/>
  <c r="U981" i="5"/>
  <c r="V981" i="5"/>
  <c r="W981" i="5"/>
  <c r="X981" i="5"/>
  <c r="B982" i="5"/>
  <c r="C982" i="5"/>
  <c r="D982" i="5"/>
  <c r="E982" i="5"/>
  <c r="F982" i="5"/>
  <c r="G982" i="5"/>
  <c r="H982" i="5"/>
  <c r="I982" i="5"/>
  <c r="J982" i="5"/>
  <c r="K982" i="5"/>
  <c r="L982" i="5"/>
  <c r="M982" i="5"/>
  <c r="N982" i="5"/>
  <c r="O982" i="5"/>
  <c r="P982" i="5"/>
  <c r="Q982" i="5"/>
  <c r="R982" i="5"/>
  <c r="S982" i="5"/>
  <c r="T982" i="5"/>
  <c r="U982" i="5"/>
  <c r="V982" i="5"/>
  <c r="W982" i="5"/>
  <c r="X982" i="5"/>
  <c r="AC982" i="5"/>
  <c r="B983" i="5"/>
  <c r="C983" i="5"/>
  <c r="D983" i="5"/>
  <c r="E983" i="5"/>
  <c r="F983" i="5"/>
  <c r="G983" i="5"/>
  <c r="H983" i="5"/>
  <c r="I983" i="5"/>
  <c r="J983" i="5"/>
  <c r="K983" i="5"/>
  <c r="L983" i="5"/>
  <c r="M983" i="5"/>
  <c r="N983" i="5"/>
  <c r="O983" i="5"/>
  <c r="P983" i="5"/>
  <c r="Q983" i="5"/>
  <c r="R983" i="5"/>
  <c r="S983" i="5"/>
  <c r="T983" i="5"/>
  <c r="U983" i="5"/>
  <c r="V983" i="5"/>
  <c r="W983" i="5"/>
  <c r="X983" i="5"/>
  <c r="B984" i="5"/>
  <c r="C984" i="5"/>
  <c r="D984" i="5"/>
  <c r="E984" i="5"/>
  <c r="F984" i="5"/>
  <c r="G984" i="5"/>
  <c r="H984" i="5"/>
  <c r="I984" i="5"/>
  <c r="J984" i="5"/>
  <c r="K984" i="5"/>
  <c r="L984" i="5"/>
  <c r="M984" i="5"/>
  <c r="N984" i="5"/>
  <c r="AC984" i="5" s="1"/>
  <c r="O984" i="5"/>
  <c r="P984" i="5"/>
  <c r="Q984" i="5"/>
  <c r="R984" i="5"/>
  <c r="S984" i="5"/>
  <c r="T984" i="5"/>
  <c r="U984" i="5"/>
  <c r="V984" i="5"/>
  <c r="W984" i="5"/>
  <c r="X984" i="5"/>
  <c r="B985" i="5"/>
  <c r="AB985" i="5" s="1"/>
  <c r="C985" i="5"/>
  <c r="D985" i="5"/>
  <c r="E985" i="5"/>
  <c r="F985" i="5"/>
  <c r="G985" i="5"/>
  <c r="H985" i="5"/>
  <c r="I985" i="5"/>
  <c r="J985" i="5"/>
  <c r="K985" i="5"/>
  <c r="L985" i="5"/>
  <c r="M985" i="5"/>
  <c r="N985" i="5"/>
  <c r="O985" i="5"/>
  <c r="P985" i="5"/>
  <c r="Q985" i="5"/>
  <c r="R985" i="5"/>
  <c r="S985" i="5"/>
  <c r="T985" i="5"/>
  <c r="U985" i="5"/>
  <c r="V985" i="5"/>
  <c r="W985" i="5"/>
  <c r="X985" i="5"/>
  <c r="B986" i="5"/>
  <c r="C986" i="5"/>
  <c r="D986" i="5"/>
  <c r="E986" i="5"/>
  <c r="F986" i="5"/>
  <c r="G986" i="5"/>
  <c r="H986" i="5"/>
  <c r="I986" i="5"/>
  <c r="J986" i="5"/>
  <c r="K986" i="5"/>
  <c r="L986" i="5"/>
  <c r="M986" i="5"/>
  <c r="N986" i="5"/>
  <c r="O986" i="5"/>
  <c r="P986" i="5"/>
  <c r="Q986" i="5"/>
  <c r="R986" i="5"/>
  <c r="S986" i="5"/>
  <c r="T986" i="5"/>
  <c r="U986" i="5"/>
  <c r="V986" i="5"/>
  <c r="W986" i="5"/>
  <c r="X986" i="5"/>
  <c r="B987" i="5"/>
  <c r="C987" i="5"/>
  <c r="D987" i="5"/>
  <c r="E987" i="5"/>
  <c r="F987" i="5"/>
  <c r="G987" i="5"/>
  <c r="H987" i="5"/>
  <c r="I987" i="5"/>
  <c r="J987" i="5"/>
  <c r="K987" i="5"/>
  <c r="L987" i="5"/>
  <c r="M987" i="5"/>
  <c r="N987" i="5"/>
  <c r="O987" i="5"/>
  <c r="P987" i="5"/>
  <c r="Q987" i="5"/>
  <c r="R987" i="5"/>
  <c r="S987" i="5"/>
  <c r="T987" i="5"/>
  <c r="U987" i="5"/>
  <c r="V987" i="5"/>
  <c r="W987" i="5"/>
  <c r="X987" i="5"/>
  <c r="B988" i="5"/>
  <c r="C988" i="5"/>
  <c r="D988" i="5"/>
  <c r="E988" i="5"/>
  <c r="F988" i="5"/>
  <c r="G988" i="5"/>
  <c r="H988" i="5"/>
  <c r="I988" i="5"/>
  <c r="J988" i="5"/>
  <c r="K988" i="5"/>
  <c r="L988" i="5"/>
  <c r="M988" i="5"/>
  <c r="N988" i="5"/>
  <c r="O988" i="5"/>
  <c r="P988" i="5"/>
  <c r="Q988" i="5"/>
  <c r="R988" i="5"/>
  <c r="S988" i="5"/>
  <c r="T988" i="5"/>
  <c r="U988" i="5"/>
  <c r="V988" i="5"/>
  <c r="W988" i="5"/>
  <c r="X988" i="5"/>
  <c r="B989" i="5"/>
  <c r="C989" i="5"/>
  <c r="D989" i="5"/>
  <c r="E989" i="5"/>
  <c r="F989" i="5"/>
  <c r="G989" i="5"/>
  <c r="H989" i="5"/>
  <c r="I989" i="5"/>
  <c r="J989" i="5"/>
  <c r="K989" i="5"/>
  <c r="L989" i="5"/>
  <c r="M989" i="5"/>
  <c r="N989" i="5"/>
  <c r="O989" i="5"/>
  <c r="P989" i="5"/>
  <c r="Q989" i="5"/>
  <c r="R989" i="5"/>
  <c r="S989" i="5"/>
  <c r="T989" i="5"/>
  <c r="U989" i="5"/>
  <c r="V989" i="5"/>
  <c r="W989" i="5"/>
  <c r="X989" i="5"/>
  <c r="B990" i="5"/>
  <c r="C990" i="5"/>
  <c r="D990" i="5"/>
  <c r="E990" i="5"/>
  <c r="F990" i="5"/>
  <c r="G990" i="5"/>
  <c r="H990" i="5"/>
  <c r="I990" i="5"/>
  <c r="J990" i="5"/>
  <c r="K990" i="5"/>
  <c r="L990" i="5"/>
  <c r="M990" i="5"/>
  <c r="N990" i="5"/>
  <c r="AC990" i="5" s="1"/>
  <c r="O990" i="5"/>
  <c r="P990" i="5"/>
  <c r="Q990" i="5"/>
  <c r="R990" i="5"/>
  <c r="S990" i="5"/>
  <c r="T990" i="5"/>
  <c r="U990" i="5"/>
  <c r="V990" i="5"/>
  <c r="W990" i="5"/>
  <c r="X990" i="5"/>
  <c r="B991" i="5"/>
  <c r="C991" i="5"/>
  <c r="D991" i="5"/>
  <c r="E991" i="5"/>
  <c r="F991" i="5"/>
  <c r="G991" i="5"/>
  <c r="H991" i="5"/>
  <c r="I991" i="5"/>
  <c r="J991" i="5"/>
  <c r="K991" i="5"/>
  <c r="L991" i="5"/>
  <c r="M991" i="5"/>
  <c r="N991" i="5"/>
  <c r="O991" i="5"/>
  <c r="P991" i="5"/>
  <c r="Q991" i="5"/>
  <c r="R991" i="5"/>
  <c r="S991" i="5"/>
  <c r="T991" i="5"/>
  <c r="U991" i="5"/>
  <c r="V991" i="5"/>
  <c r="W991" i="5"/>
  <c r="X991" i="5"/>
  <c r="B992" i="5"/>
  <c r="C992" i="5"/>
  <c r="D992" i="5"/>
  <c r="E992" i="5"/>
  <c r="F992" i="5"/>
  <c r="G992" i="5"/>
  <c r="H992" i="5"/>
  <c r="I992" i="5"/>
  <c r="J992" i="5"/>
  <c r="K992" i="5"/>
  <c r="L992" i="5"/>
  <c r="M992" i="5"/>
  <c r="N992" i="5"/>
  <c r="O992" i="5"/>
  <c r="P992" i="5"/>
  <c r="AC992" i="5" s="1"/>
  <c r="Q992" i="5"/>
  <c r="R992" i="5"/>
  <c r="S992" i="5"/>
  <c r="T992" i="5"/>
  <c r="U992" i="5"/>
  <c r="V992" i="5"/>
  <c r="W992" i="5"/>
  <c r="X992" i="5"/>
  <c r="B993" i="5"/>
  <c r="C993" i="5"/>
  <c r="D993" i="5"/>
  <c r="AB993" i="5" s="1"/>
  <c r="E993" i="5"/>
  <c r="F993" i="5"/>
  <c r="G993" i="5"/>
  <c r="H993" i="5"/>
  <c r="I993" i="5"/>
  <c r="J993" i="5"/>
  <c r="K993" i="5"/>
  <c r="L993" i="5"/>
  <c r="M993" i="5"/>
  <c r="N993" i="5"/>
  <c r="O993" i="5"/>
  <c r="P993" i="5"/>
  <c r="Q993" i="5"/>
  <c r="R993" i="5"/>
  <c r="S993" i="5"/>
  <c r="T993" i="5"/>
  <c r="U993" i="5"/>
  <c r="V993" i="5"/>
  <c r="W993" i="5"/>
  <c r="X993" i="5"/>
  <c r="B994" i="5"/>
  <c r="C994" i="5"/>
  <c r="D994" i="5"/>
  <c r="E994" i="5"/>
  <c r="F994" i="5"/>
  <c r="G994" i="5"/>
  <c r="H994" i="5"/>
  <c r="I994" i="5"/>
  <c r="J994" i="5"/>
  <c r="K994" i="5"/>
  <c r="L994" i="5"/>
  <c r="M994" i="5"/>
  <c r="N994" i="5"/>
  <c r="O994" i="5"/>
  <c r="P994" i="5"/>
  <c r="AC994" i="5" s="1"/>
  <c r="Q994" i="5"/>
  <c r="R994" i="5"/>
  <c r="S994" i="5"/>
  <c r="T994" i="5"/>
  <c r="U994" i="5"/>
  <c r="V994" i="5"/>
  <c r="W994" i="5"/>
  <c r="X994" i="5"/>
  <c r="B995" i="5"/>
  <c r="C995" i="5"/>
  <c r="D995" i="5"/>
  <c r="AB995" i="5" s="1"/>
  <c r="E995" i="5"/>
  <c r="F995" i="5"/>
  <c r="G995" i="5"/>
  <c r="H995" i="5"/>
  <c r="I995" i="5"/>
  <c r="J995" i="5"/>
  <c r="K995" i="5"/>
  <c r="L995" i="5"/>
  <c r="M995" i="5"/>
  <c r="N995" i="5"/>
  <c r="O995" i="5"/>
  <c r="P995" i="5"/>
  <c r="Q995" i="5"/>
  <c r="R995" i="5"/>
  <c r="S995" i="5"/>
  <c r="T995" i="5"/>
  <c r="U995" i="5"/>
  <c r="V995" i="5"/>
  <c r="W995" i="5"/>
  <c r="X995" i="5"/>
  <c r="B996" i="5"/>
  <c r="C996" i="5"/>
  <c r="D996" i="5"/>
  <c r="E996" i="5"/>
  <c r="F996" i="5"/>
  <c r="G996" i="5"/>
  <c r="H996" i="5"/>
  <c r="I996" i="5"/>
  <c r="J996" i="5"/>
  <c r="K996" i="5"/>
  <c r="L996" i="5"/>
  <c r="M996" i="5"/>
  <c r="N996" i="5"/>
  <c r="O996" i="5"/>
  <c r="P996" i="5"/>
  <c r="Q996" i="5"/>
  <c r="R996" i="5"/>
  <c r="S996" i="5"/>
  <c r="T996" i="5"/>
  <c r="U996" i="5"/>
  <c r="V996" i="5"/>
  <c r="W996" i="5"/>
  <c r="X996" i="5"/>
  <c r="B997" i="5"/>
  <c r="C997" i="5"/>
  <c r="D997" i="5"/>
  <c r="E997" i="5"/>
  <c r="F997" i="5"/>
  <c r="G997" i="5"/>
  <c r="H997" i="5"/>
  <c r="I997" i="5"/>
  <c r="J997" i="5"/>
  <c r="K997" i="5"/>
  <c r="L997" i="5"/>
  <c r="M997" i="5"/>
  <c r="N997" i="5"/>
  <c r="O997" i="5"/>
  <c r="P997" i="5"/>
  <c r="Q997" i="5"/>
  <c r="R997" i="5"/>
  <c r="S997" i="5"/>
  <c r="T997" i="5"/>
  <c r="U997" i="5"/>
  <c r="V997" i="5"/>
  <c r="W997" i="5"/>
  <c r="X997" i="5"/>
  <c r="AC997" i="5"/>
  <c r="B998" i="5"/>
  <c r="C998" i="5"/>
  <c r="D998" i="5"/>
  <c r="E998" i="5"/>
  <c r="F998" i="5"/>
  <c r="G998" i="5"/>
  <c r="H998" i="5"/>
  <c r="I998" i="5"/>
  <c r="J998" i="5"/>
  <c r="K998" i="5"/>
  <c r="L998" i="5"/>
  <c r="M998" i="5"/>
  <c r="N998" i="5"/>
  <c r="O998" i="5"/>
  <c r="P998" i="5"/>
  <c r="Q998" i="5"/>
  <c r="R998" i="5"/>
  <c r="S998" i="5"/>
  <c r="T998" i="5"/>
  <c r="U998" i="5"/>
  <c r="V998" i="5"/>
  <c r="W998" i="5"/>
  <c r="X998" i="5"/>
  <c r="AC998" i="5"/>
  <c r="B999" i="5"/>
  <c r="C999" i="5"/>
  <c r="D999" i="5"/>
  <c r="E999" i="5"/>
  <c r="F999" i="5"/>
  <c r="G999" i="5"/>
  <c r="H999" i="5"/>
  <c r="I999" i="5"/>
  <c r="J999" i="5"/>
  <c r="K999" i="5"/>
  <c r="L999" i="5"/>
  <c r="M999" i="5"/>
  <c r="N999" i="5"/>
  <c r="O999" i="5"/>
  <c r="P999" i="5"/>
  <c r="Q999" i="5"/>
  <c r="R999" i="5"/>
  <c r="S999" i="5"/>
  <c r="T999" i="5"/>
  <c r="U999" i="5"/>
  <c r="V999" i="5"/>
  <c r="W999" i="5"/>
  <c r="X999" i="5"/>
  <c r="AC999" i="5"/>
  <c r="B1000" i="5"/>
  <c r="C1000" i="5"/>
  <c r="D1000" i="5"/>
  <c r="E1000" i="5"/>
  <c r="F1000" i="5"/>
  <c r="G1000" i="5"/>
  <c r="H1000" i="5"/>
  <c r="I1000" i="5"/>
  <c r="J1000" i="5"/>
  <c r="K1000" i="5"/>
  <c r="L1000" i="5"/>
  <c r="M1000" i="5"/>
  <c r="N1000" i="5"/>
  <c r="O1000" i="5"/>
  <c r="P1000" i="5"/>
  <c r="Q1000" i="5"/>
  <c r="R1000" i="5"/>
  <c r="S1000" i="5"/>
  <c r="T1000" i="5"/>
  <c r="U1000" i="5"/>
  <c r="V1000" i="5"/>
  <c r="W1000" i="5"/>
  <c r="X1000" i="5"/>
  <c r="AB1000" i="5"/>
  <c r="B1001" i="5"/>
  <c r="C1001" i="5"/>
  <c r="D1001" i="5"/>
  <c r="E1001" i="5"/>
  <c r="F1001" i="5"/>
  <c r="G1001" i="5"/>
  <c r="H1001" i="5"/>
  <c r="I1001" i="5"/>
  <c r="J1001" i="5"/>
  <c r="K1001" i="5"/>
  <c r="L1001" i="5"/>
  <c r="M1001" i="5"/>
  <c r="N1001" i="5"/>
  <c r="O1001" i="5"/>
  <c r="P1001" i="5"/>
  <c r="Q1001" i="5"/>
  <c r="R1001" i="5"/>
  <c r="S1001" i="5"/>
  <c r="T1001" i="5"/>
  <c r="U1001" i="5"/>
  <c r="V1001" i="5"/>
  <c r="W1001" i="5"/>
  <c r="X1001" i="5"/>
  <c r="B1002" i="5"/>
  <c r="C1002" i="5"/>
  <c r="D1002" i="5"/>
  <c r="E1002" i="5"/>
  <c r="F1002" i="5"/>
  <c r="G1002" i="5"/>
  <c r="H1002" i="5"/>
  <c r="I1002" i="5"/>
  <c r="J1002" i="5"/>
  <c r="K1002" i="5"/>
  <c r="L1002" i="5"/>
  <c r="M1002" i="5"/>
  <c r="N1002" i="5"/>
  <c r="O1002" i="5"/>
  <c r="P1002" i="5"/>
  <c r="Q1002" i="5"/>
  <c r="R1002" i="5"/>
  <c r="S1002" i="5"/>
  <c r="T1002" i="5"/>
  <c r="U1002" i="5"/>
  <c r="V1002" i="5"/>
  <c r="W1002" i="5"/>
  <c r="X1002" i="5"/>
  <c r="B1003" i="5"/>
  <c r="C1003" i="5"/>
  <c r="D1003" i="5"/>
  <c r="E1003" i="5"/>
  <c r="F1003" i="5"/>
  <c r="G1003" i="5"/>
  <c r="H1003" i="5"/>
  <c r="I1003" i="5"/>
  <c r="J1003" i="5"/>
  <c r="K1003" i="5"/>
  <c r="L1003" i="5"/>
  <c r="M1003" i="5"/>
  <c r="N1003" i="5"/>
  <c r="O1003" i="5"/>
  <c r="P1003" i="5"/>
  <c r="Q1003" i="5"/>
  <c r="R1003" i="5"/>
  <c r="S1003" i="5"/>
  <c r="T1003" i="5"/>
  <c r="U1003" i="5"/>
  <c r="V1003" i="5"/>
  <c r="W1003" i="5"/>
  <c r="X1003" i="5"/>
  <c r="B1004" i="5"/>
  <c r="C1004" i="5"/>
  <c r="D1004" i="5"/>
  <c r="E1004" i="5"/>
  <c r="F1004" i="5"/>
  <c r="G1004" i="5"/>
  <c r="H1004" i="5"/>
  <c r="I1004" i="5"/>
  <c r="J1004" i="5"/>
  <c r="K1004" i="5"/>
  <c r="L1004" i="5"/>
  <c r="M1004" i="5"/>
  <c r="N1004" i="5"/>
  <c r="O1004" i="5"/>
  <c r="P1004" i="5"/>
  <c r="Q1004" i="5"/>
  <c r="R1004" i="5"/>
  <c r="S1004" i="5"/>
  <c r="T1004" i="5"/>
  <c r="U1004" i="5"/>
  <c r="V1004" i="5"/>
  <c r="W1004" i="5"/>
  <c r="X1004" i="5"/>
  <c r="B1005" i="5"/>
  <c r="C1005" i="5"/>
  <c r="D1005" i="5"/>
  <c r="E1005" i="5"/>
  <c r="F1005" i="5"/>
  <c r="G1005" i="5"/>
  <c r="H1005" i="5"/>
  <c r="I1005" i="5"/>
  <c r="J1005" i="5"/>
  <c r="K1005" i="5"/>
  <c r="L1005" i="5"/>
  <c r="M1005" i="5"/>
  <c r="AC1005" i="5" s="1"/>
  <c r="N1005" i="5"/>
  <c r="O1005" i="5"/>
  <c r="P1005" i="5"/>
  <c r="Q1005" i="5"/>
  <c r="R1005" i="5"/>
  <c r="S1005" i="5"/>
  <c r="T1005" i="5"/>
  <c r="U1005" i="5"/>
  <c r="V1005" i="5"/>
  <c r="W1005" i="5"/>
  <c r="X1005" i="5"/>
  <c r="B1006" i="5"/>
  <c r="C1006" i="5"/>
  <c r="D1006" i="5"/>
  <c r="E1006" i="5"/>
  <c r="F1006" i="5"/>
  <c r="G1006" i="5"/>
  <c r="H1006" i="5"/>
  <c r="I1006" i="5"/>
  <c r="J1006" i="5"/>
  <c r="K1006" i="5"/>
  <c r="L1006" i="5"/>
  <c r="M1006" i="5"/>
  <c r="N1006" i="5"/>
  <c r="O1006" i="5"/>
  <c r="P1006" i="5"/>
  <c r="Q1006" i="5"/>
  <c r="R1006" i="5"/>
  <c r="S1006" i="5"/>
  <c r="T1006" i="5"/>
  <c r="U1006" i="5"/>
  <c r="V1006" i="5"/>
  <c r="W1006" i="5"/>
  <c r="X1006" i="5"/>
  <c r="B1007" i="5"/>
  <c r="C1007" i="5"/>
  <c r="D1007" i="5"/>
  <c r="E1007" i="5"/>
  <c r="F1007" i="5"/>
  <c r="G1007" i="5"/>
  <c r="H1007" i="5"/>
  <c r="I1007" i="5"/>
  <c r="J1007" i="5"/>
  <c r="K1007" i="5"/>
  <c r="L1007" i="5"/>
  <c r="M1007" i="5"/>
  <c r="N1007" i="5"/>
  <c r="O1007" i="5"/>
  <c r="P1007" i="5"/>
  <c r="Q1007" i="5"/>
  <c r="R1007" i="5"/>
  <c r="S1007" i="5"/>
  <c r="T1007" i="5"/>
  <c r="U1007" i="5"/>
  <c r="V1007" i="5"/>
  <c r="W1007" i="5"/>
  <c r="X1007" i="5"/>
  <c r="B1008" i="5"/>
  <c r="C1008" i="5"/>
  <c r="D1008" i="5"/>
  <c r="E1008" i="5"/>
  <c r="F1008" i="5"/>
  <c r="G1008" i="5"/>
  <c r="H1008" i="5"/>
  <c r="I1008" i="5"/>
  <c r="J1008" i="5"/>
  <c r="K1008" i="5"/>
  <c r="L1008" i="5"/>
  <c r="M1008" i="5"/>
  <c r="N1008" i="5"/>
  <c r="O1008" i="5"/>
  <c r="P1008" i="5"/>
  <c r="Q1008" i="5"/>
  <c r="R1008" i="5"/>
  <c r="S1008" i="5"/>
  <c r="T1008" i="5"/>
  <c r="U1008" i="5"/>
  <c r="V1008" i="5"/>
  <c r="W1008" i="5"/>
  <c r="X1008" i="5"/>
  <c r="B1009" i="5"/>
  <c r="C1009" i="5"/>
  <c r="D1009" i="5"/>
  <c r="E1009" i="5"/>
  <c r="F1009" i="5"/>
  <c r="G1009" i="5"/>
  <c r="H1009" i="5"/>
  <c r="I1009" i="5"/>
  <c r="J1009" i="5"/>
  <c r="K1009" i="5"/>
  <c r="L1009" i="5"/>
  <c r="M1009" i="5"/>
  <c r="N1009" i="5"/>
  <c r="O1009" i="5"/>
  <c r="P1009" i="5"/>
  <c r="Q1009" i="5"/>
  <c r="R1009" i="5"/>
  <c r="S1009" i="5"/>
  <c r="T1009" i="5"/>
  <c r="U1009" i="5"/>
  <c r="V1009" i="5"/>
  <c r="W1009" i="5"/>
  <c r="X1009" i="5"/>
  <c r="AC1009" i="5"/>
  <c r="B1010" i="5"/>
  <c r="C1010" i="5"/>
  <c r="D1010" i="5"/>
  <c r="E1010" i="5"/>
  <c r="F1010" i="5"/>
  <c r="G1010" i="5"/>
  <c r="H1010" i="5"/>
  <c r="I1010" i="5"/>
  <c r="J1010" i="5"/>
  <c r="K1010" i="5"/>
  <c r="L1010" i="5"/>
  <c r="M1010" i="5"/>
  <c r="N1010" i="5"/>
  <c r="O1010" i="5"/>
  <c r="P1010" i="5"/>
  <c r="Q1010" i="5"/>
  <c r="R1010" i="5"/>
  <c r="S1010" i="5"/>
  <c r="T1010" i="5"/>
  <c r="U1010" i="5"/>
  <c r="V1010" i="5"/>
  <c r="W1010" i="5"/>
  <c r="X1010" i="5"/>
  <c r="AC1010" i="5"/>
  <c r="B1011" i="5"/>
  <c r="C1011" i="5"/>
  <c r="D1011" i="5"/>
  <c r="E1011" i="5"/>
  <c r="F1011" i="5"/>
  <c r="G1011" i="5"/>
  <c r="H1011" i="5"/>
  <c r="I1011" i="5"/>
  <c r="J1011" i="5"/>
  <c r="K1011" i="5"/>
  <c r="L1011" i="5"/>
  <c r="M1011" i="5"/>
  <c r="N1011" i="5"/>
  <c r="O1011" i="5"/>
  <c r="P1011" i="5"/>
  <c r="Q1011" i="5"/>
  <c r="R1011" i="5"/>
  <c r="S1011" i="5"/>
  <c r="T1011" i="5"/>
  <c r="U1011" i="5"/>
  <c r="V1011" i="5"/>
  <c r="W1011" i="5"/>
  <c r="X1011" i="5"/>
  <c r="AB1011" i="5"/>
  <c r="B1012" i="5"/>
  <c r="C1012" i="5"/>
  <c r="D1012" i="5"/>
  <c r="E1012" i="5"/>
  <c r="F1012" i="5"/>
  <c r="G1012" i="5"/>
  <c r="H1012" i="5"/>
  <c r="I1012" i="5"/>
  <c r="J1012" i="5"/>
  <c r="K1012" i="5"/>
  <c r="L1012" i="5"/>
  <c r="M1012" i="5"/>
  <c r="N1012" i="5"/>
  <c r="O1012" i="5"/>
  <c r="P1012" i="5"/>
  <c r="Q1012" i="5"/>
  <c r="R1012" i="5"/>
  <c r="S1012" i="5"/>
  <c r="T1012" i="5"/>
  <c r="U1012" i="5"/>
  <c r="V1012" i="5"/>
  <c r="W1012" i="5"/>
  <c r="X1012" i="5"/>
  <c r="B1013" i="5"/>
  <c r="C1013" i="5"/>
  <c r="D1013" i="5"/>
  <c r="E1013" i="5"/>
  <c r="F1013" i="5"/>
  <c r="G1013" i="5"/>
  <c r="H1013" i="5"/>
  <c r="I1013" i="5"/>
  <c r="J1013" i="5"/>
  <c r="K1013" i="5"/>
  <c r="L1013" i="5"/>
  <c r="M1013" i="5"/>
  <c r="N1013" i="5"/>
  <c r="AC1013" i="5" s="1"/>
  <c r="O1013" i="5"/>
  <c r="P1013" i="5"/>
  <c r="Q1013" i="5"/>
  <c r="R1013" i="5"/>
  <c r="S1013" i="5"/>
  <c r="T1013" i="5"/>
  <c r="U1013" i="5"/>
  <c r="V1013" i="5"/>
  <c r="W1013" i="5"/>
  <c r="X1013" i="5"/>
  <c r="B1014" i="5"/>
  <c r="C1014" i="5"/>
  <c r="D1014" i="5"/>
  <c r="E1014" i="5"/>
  <c r="F1014" i="5"/>
  <c r="G1014" i="5"/>
  <c r="H1014" i="5"/>
  <c r="I1014" i="5"/>
  <c r="J1014" i="5"/>
  <c r="K1014" i="5"/>
  <c r="L1014" i="5"/>
  <c r="M1014" i="5"/>
  <c r="N1014" i="5"/>
  <c r="AC1014" i="5" s="1"/>
  <c r="O1014" i="5"/>
  <c r="P1014" i="5"/>
  <c r="Q1014" i="5"/>
  <c r="R1014" i="5"/>
  <c r="S1014" i="5"/>
  <c r="T1014" i="5"/>
  <c r="U1014" i="5"/>
  <c r="V1014" i="5"/>
  <c r="W1014" i="5"/>
  <c r="X1014" i="5"/>
  <c r="B1015" i="5"/>
  <c r="C1015" i="5"/>
  <c r="D1015" i="5"/>
  <c r="E1015" i="5"/>
  <c r="F1015" i="5"/>
  <c r="G1015" i="5"/>
  <c r="H1015" i="5"/>
  <c r="I1015" i="5"/>
  <c r="J1015" i="5"/>
  <c r="K1015" i="5"/>
  <c r="L1015" i="5"/>
  <c r="M1015" i="5"/>
  <c r="N1015" i="5"/>
  <c r="AC1015" i="5" s="1"/>
  <c r="O1015" i="5"/>
  <c r="P1015" i="5"/>
  <c r="Q1015" i="5"/>
  <c r="R1015" i="5"/>
  <c r="S1015" i="5"/>
  <c r="T1015" i="5"/>
  <c r="U1015" i="5"/>
  <c r="V1015" i="5"/>
  <c r="W1015" i="5"/>
  <c r="X1015" i="5"/>
  <c r="B1016" i="5"/>
  <c r="AB1016" i="5" s="1"/>
  <c r="C1016" i="5"/>
  <c r="D1016" i="5"/>
  <c r="E1016" i="5"/>
  <c r="F1016" i="5"/>
  <c r="G1016" i="5"/>
  <c r="H1016" i="5"/>
  <c r="I1016" i="5"/>
  <c r="J1016" i="5"/>
  <c r="K1016" i="5"/>
  <c r="L1016" i="5"/>
  <c r="M1016" i="5"/>
  <c r="N1016" i="5"/>
  <c r="O1016" i="5"/>
  <c r="P1016" i="5"/>
  <c r="Q1016" i="5"/>
  <c r="R1016" i="5"/>
  <c r="S1016" i="5"/>
  <c r="T1016" i="5"/>
  <c r="U1016" i="5"/>
  <c r="V1016" i="5"/>
  <c r="W1016" i="5"/>
  <c r="X1016" i="5"/>
  <c r="AC1016" i="5"/>
  <c r="B1017" i="5"/>
  <c r="C1017" i="5"/>
  <c r="D1017" i="5"/>
  <c r="E1017" i="5"/>
  <c r="F1017" i="5"/>
  <c r="G1017" i="5"/>
  <c r="H1017" i="5"/>
  <c r="I1017" i="5"/>
  <c r="J1017" i="5"/>
  <c r="K1017" i="5"/>
  <c r="L1017" i="5"/>
  <c r="M1017" i="5"/>
  <c r="N1017" i="5"/>
  <c r="O1017" i="5"/>
  <c r="P1017" i="5"/>
  <c r="Q1017" i="5"/>
  <c r="R1017" i="5"/>
  <c r="S1017" i="5"/>
  <c r="T1017" i="5"/>
  <c r="U1017" i="5"/>
  <c r="V1017" i="5"/>
  <c r="W1017" i="5"/>
  <c r="X1017" i="5"/>
  <c r="B1018" i="5"/>
  <c r="C1018" i="5"/>
  <c r="D1018" i="5"/>
  <c r="E1018" i="5"/>
  <c r="F1018" i="5"/>
  <c r="G1018" i="5"/>
  <c r="H1018" i="5"/>
  <c r="I1018" i="5"/>
  <c r="J1018" i="5"/>
  <c r="K1018" i="5"/>
  <c r="L1018" i="5"/>
  <c r="M1018" i="5"/>
  <c r="N1018" i="5"/>
  <c r="O1018" i="5"/>
  <c r="P1018" i="5"/>
  <c r="Q1018" i="5"/>
  <c r="R1018" i="5"/>
  <c r="S1018" i="5"/>
  <c r="T1018" i="5"/>
  <c r="U1018" i="5"/>
  <c r="V1018" i="5"/>
  <c r="W1018" i="5"/>
  <c r="X1018" i="5"/>
  <c r="B1019" i="5"/>
  <c r="C1019" i="5"/>
  <c r="D1019" i="5"/>
  <c r="E1019" i="5"/>
  <c r="F1019" i="5"/>
  <c r="G1019" i="5"/>
  <c r="H1019" i="5"/>
  <c r="I1019" i="5"/>
  <c r="J1019" i="5"/>
  <c r="K1019" i="5"/>
  <c r="L1019" i="5"/>
  <c r="M1019" i="5"/>
  <c r="N1019" i="5"/>
  <c r="O1019" i="5"/>
  <c r="P1019" i="5"/>
  <c r="Q1019" i="5"/>
  <c r="R1019" i="5"/>
  <c r="S1019" i="5"/>
  <c r="T1019" i="5"/>
  <c r="U1019" i="5"/>
  <c r="V1019" i="5"/>
  <c r="W1019" i="5"/>
  <c r="X1019" i="5"/>
  <c r="B1020" i="5"/>
  <c r="C1020" i="5"/>
  <c r="D1020" i="5"/>
  <c r="E1020" i="5"/>
  <c r="F1020" i="5"/>
  <c r="G1020" i="5"/>
  <c r="H1020" i="5"/>
  <c r="I1020" i="5"/>
  <c r="J1020" i="5"/>
  <c r="K1020" i="5"/>
  <c r="L1020" i="5"/>
  <c r="M1020" i="5"/>
  <c r="N1020" i="5"/>
  <c r="O1020" i="5"/>
  <c r="P1020" i="5"/>
  <c r="Q1020" i="5"/>
  <c r="R1020" i="5"/>
  <c r="S1020" i="5"/>
  <c r="T1020" i="5"/>
  <c r="U1020" i="5"/>
  <c r="V1020" i="5"/>
  <c r="W1020" i="5"/>
  <c r="X1020" i="5"/>
  <c r="B1021" i="5"/>
  <c r="C1021" i="5"/>
  <c r="D1021" i="5"/>
  <c r="E1021" i="5"/>
  <c r="F1021" i="5"/>
  <c r="G1021" i="5"/>
  <c r="H1021" i="5"/>
  <c r="I1021" i="5"/>
  <c r="J1021" i="5"/>
  <c r="K1021" i="5"/>
  <c r="L1021" i="5"/>
  <c r="M1021" i="5"/>
  <c r="AC1021" i="5" s="1"/>
  <c r="N1021" i="5"/>
  <c r="O1021" i="5"/>
  <c r="P1021" i="5"/>
  <c r="Q1021" i="5"/>
  <c r="R1021" i="5"/>
  <c r="S1021" i="5"/>
  <c r="T1021" i="5"/>
  <c r="U1021" i="5"/>
  <c r="V1021" i="5"/>
  <c r="W1021" i="5"/>
  <c r="X1021" i="5"/>
  <c r="B1022" i="5"/>
  <c r="C1022" i="5"/>
  <c r="D1022" i="5"/>
  <c r="E1022" i="5"/>
  <c r="F1022" i="5"/>
  <c r="G1022" i="5"/>
  <c r="H1022" i="5"/>
  <c r="I1022" i="5"/>
  <c r="J1022" i="5"/>
  <c r="K1022" i="5"/>
  <c r="L1022" i="5"/>
  <c r="M1022" i="5"/>
  <c r="N1022" i="5"/>
  <c r="O1022" i="5"/>
  <c r="P1022" i="5"/>
  <c r="Q1022" i="5"/>
  <c r="R1022" i="5"/>
  <c r="S1022" i="5"/>
  <c r="T1022" i="5"/>
  <c r="U1022" i="5"/>
  <c r="V1022" i="5"/>
  <c r="W1022" i="5"/>
  <c r="X1022" i="5"/>
  <c r="B1023" i="5"/>
  <c r="C1023" i="5"/>
  <c r="D1023" i="5"/>
  <c r="E1023" i="5"/>
  <c r="F1023" i="5"/>
  <c r="G1023" i="5"/>
  <c r="H1023" i="5"/>
  <c r="I1023" i="5"/>
  <c r="J1023" i="5"/>
  <c r="K1023" i="5"/>
  <c r="L1023" i="5"/>
  <c r="M1023" i="5"/>
  <c r="N1023" i="5"/>
  <c r="O1023" i="5"/>
  <c r="P1023" i="5"/>
  <c r="Q1023" i="5"/>
  <c r="R1023" i="5"/>
  <c r="S1023" i="5"/>
  <c r="T1023" i="5"/>
  <c r="U1023" i="5"/>
  <c r="V1023" i="5"/>
  <c r="W1023" i="5"/>
  <c r="X1023" i="5"/>
  <c r="B1024" i="5"/>
  <c r="C1024" i="5"/>
  <c r="D1024" i="5"/>
  <c r="E1024" i="5"/>
  <c r="F1024" i="5"/>
  <c r="G1024" i="5"/>
  <c r="H1024" i="5"/>
  <c r="I1024" i="5"/>
  <c r="J1024" i="5"/>
  <c r="K1024" i="5"/>
  <c r="L1024" i="5"/>
  <c r="M1024" i="5"/>
  <c r="N1024" i="5"/>
  <c r="O1024" i="5"/>
  <c r="P1024" i="5"/>
  <c r="Q1024" i="5"/>
  <c r="R1024" i="5"/>
  <c r="S1024" i="5"/>
  <c r="T1024" i="5"/>
  <c r="U1024" i="5"/>
  <c r="V1024" i="5"/>
  <c r="W1024" i="5"/>
  <c r="X1024" i="5"/>
  <c r="B1025" i="5"/>
  <c r="C1025" i="5"/>
  <c r="D1025" i="5"/>
  <c r="E1025" i="5"/>
  <c r="F1025" i="5"/>
  <c r="G1025" i="5"/>
  <c r="H1025" i="5"/>
  <c r="I1025" i="5"/>
  <c r="J1025" i="5"/>
  <c r="K1025" i="5"/>
  <c r="L1025" i="5"/>
  <c r="M1025" i="5"/>
  <c r="N1025" i="5"/>
  <c r="O1025" i="5"/>
  <c r="P1025" i="5"/>
  <c r="Q1025" i="5"/>
  <c r="R1025" i="5"/>
  <c r="S1025" i="5"/>
  <c r="T1025" i="5"/>
  <c r="U1025" i="5"/>
  <c r="V1025" i="5"/>
  <c r="W1025" i="5"/>
  <c r="X1025" i="5"/>
  <c r="AC1025" i="5"/>
  <c r="B1026" i="5"/>
  <c r="C1026" i="5"/>
  <c r="D1026" i="5"/>
  <c r="E1026" i="5"/>
  <c r="F1026" i="5"/>
  <c r="G1026" i="5"/>
  <c r="H1026" i="5"/>
  <c r="I1026" i="5"/>
  <c r="J1026" i="5"/>
  <c r="K1026" i="5"/>
  <c r="L1026" i="5"/>
  <c r="M1026" i="5"/>
  <c r="N1026" i="5"/>
  <c r="O1026" i="5"/>
  <c r="P1026" i="5"/>
  <c r="Q1026" i="5"/>
  <c r="R1026" i="5"/>
  <c r="S1026" i="5"/>
  <c r="T1026" i="5"/>
  <c r="U1026" i="5"/>
  <c r="V1026" i="5"/>
  <c r="W1026" i="5"/>
  <c r="X1026" i="5"/>
  <c r="AC1026" i="5"/>
  <c r="B1027" i="5"/>
  <c r="C1027" i="5"/>
  <c r="D1027" i="5"/>
  <c r="E1027" i="5"/>
  <c r="F1027" i="5"/>
  <c r="G1027" i="5"/>
  <c r="H1027" i="5"/>
  <c r="I1027" i="5"/>
  <c r="J1027" i="5"/>
  <c r="K1027" i="5"/>
  <c r="L1027" i="5"/>
  <c r="M1027" i="5"/>
  <c r="N1027" i="5"/>
  <c r="O1027" i="5"/>
  <c r="P1027" i="5"/>
  <c r="Q1027" i="5"/>
  <c r="R1027" i="5"/>
  <c r="S1027" i="5"/>
  <c r="T1027" i="5"/>
  <c r="U1027" i="5"/>
  <c r="V1027" i="5"/>
  <c r="W1027" i="5"/>
  <c r="X1027" i="5"/>
  <c r="AB1027" i="5"/>
  <c r="B1028" i="5"/>
  <c r="C1028" i="5"/>
  <c r="D1028" i="5"/>
  <c r="E1028" i="5"/>
  <c r="F1028" i="5"/>
  <c r="G1028" i="5"/>
  <c r="H1028" i="5"/>
  <c r="I1028" i="5"/>
  <c r="J1028" i="5"/>
  <c r="K1028" i="5"/>
  <c r="L1028" i="5"/>
  <c r="M1028" i="5"/>
  <c r="N1028" i="5"/>
  <c r="O1028" i="5"/>
  <c r="P1028" i="5"/>
  <c r="Q1028" i="5"/>
  <c r="R1028" i="5"/>
  <c r="S1028" i="5"/>
  <c r="T1028" i="5"/>
  <c r="U1028" i="5"/>
  <c r="V1028" i="5"/>
  <c r="W1028" i="5"/>
  <c r="X1028" i="5"/>
  <c r="B1029" i="5"/>
  <c r="C1029" i="5"/>
  <c r="D1029" i="5"/>
  <c r="E1029" i="5"/>
  <c r="F1029" i="5"/>
  <c r="G1029" i="5"/>
  <c r="H1029" i="5"/>
  <c r="I1029" i="5"/>
  <c r="J1029" i="5"/>
  <c r="K1029" i="5"/>
  <c r="L1029" i="5"/>
  <c r="M1029" i="5"/>
  <c r="N1029" i="5"/>
  <c r="AC1029" i="5" s="1"/>
  <c r="O1029" i="5"/>
  <c r="P1029" i="5"/>
  <c r="Q1029" i="5"/>
  <c r="R1029" i="5"/>
  <c r="S1029" i="5"/>
  <c r="T1029" i="5"/>
  <c r="U1029" i="5"/>
  <c r="V1029" i="5"/>
  <c r="W1029" i="5"/>
  <c r="X1029" i="5"/>
  <c r="B1030" i="5"/>
  <c r="C1030" i="5"/>
  <c r="D1030" i="5"/>
  <c r="E1030" i="5"/>
  <c r="F1030" i="5"/>
  <c r="G1030" i="5"/>
  <c r="H1030" i="5"/>
  <c r="I1030" i="5"/>
  <c r="J1030" i="5"/>
  <c r="K1030" i="5"/>
  <c r="L1030" i="5"/>
  <c r="M1030" i="5"/>
  <c r="N1030" i="5"/>
  <c r="AC1030" i="5" s="1"/>
  <c r="O1030" i="5"/>
  <c r="P1030" i="5"/>
  <c r="Q1030" i="5"/>
  <c r="R1030" i="5"/>
  <c r="S1030" i="5"/>
  <c r="T1030" i="5"/>
  <c r="U1030" i="5"/>
  <c r="V1030" i="5"/>
  <c r="W1030" i="5"/>
  <c r="X1030" i="5"/>
  <c r="B1031" i="5"/>
  <c r="C1031" i="5"/>
  <c r="D1031" i="5"/>
  <c r="E1031" i="5"/>
  <c r="F1031" i="5"/>
  <c r="G1031" i="5"/>
  <c r="H1031" i="5"/>
  <c r="I1031" i="5"/>
  <c r="J1031" i="5"/>
  <c r="K1031" i="5"/>
  <c r="L1031" i="5"/>
  <c r="M1031" i="5"/>
  <c r="N1031" i="5"/>
  <c r="AC1031" i="5" s="1"/>
  <c r="O1031" i="5"/>
  <c r="P1031" i="5"/>
  <c r="Q1031" i="5"/>
  <c r="R1031" i="5"/>
  <c r="S1031" i="5"/>
  <c r="T1031" i="5"/>
  <c r="U1031" i="5"/>
  <c r="V1031" i="5"/>
  <c r="W1031" i="5"/>
  <c r="X1031" i="5"/>
  <c r="B1032" i="5"/>
  <c r="C1032" i="5"/>
  <c r="D1032" i="5"/>
  <c r="E1032" i="5"/>
  <c r="F1032" i="5"/>
  <c r="G1032" i="5"/>
  <c r="H1032" i="5"/>
  <c r="I1032" i="5"/>
  <c r="J1032" i="5"/>
  <c r="K1032" i="5"/>
  <c r="L1032" i="5"/>
  <c r="M1032" i="5"/>
  <c r="N1032" i="5"/>
  <c r="AC1032" i="5" s="1"/>
  <c r="O1032" i="5"/>
  <c r="P1032" i="5"/>
  <c r="Q1032" i="5"/>
  <c r="R1032" i="5"/>
  <c r="S1032" i="5"/>
  <c r="T1032" i="5"/>
  <c r="U1032" i="5"/>
  <c r="V1032" i="5"/>
  <c r="W1032" i="5"/>
  <c r="X1032" i="5"/>
  <c r="B1033" i="5"/>
  <c r="AB1033" i="5" s="1"/>
  <c r="C1033" i="5"/>
  <c r="D1033" i="5"/>
  <c r="E1033" i="5"/>
  <c r="F1033" i="5"/>
  <c r="G1033" i="5"/>
  <c r="H1033" i="5"/>
  <c r="I1033" i="5"/>
  <c r="J1033" i="5"/>
  <c r="K1033" i="5"/>
  <c r="L1033" i="5"/>
  <c r="M1033" i="5"/>
  <c r="N1033" i="5"/>
  <c r="AC1033" i="5" s="1"/>
  <c r="O1033" i="5"/>
  <c r="P1033" i="5"/>
  <c r="Q1033" i="5"/>
  <c r="R1033" i="5"/>
  <c r="S1033" i="5"/>
  <c r="T1033" i="5"/>
  <c r="U1033" i="5"/>
  <c r="V1033" i="5"/>
  <c r="W1033" i="5"/>
  <c r="X1033" i="5"/>
  <c r="B1034" i="5"/>
  <c r="C1034" i="5"/>
  <c r="D1034" i="5"/>
  <c r="E1034" i="5"/>
  <c r="F1034" i="5"/>
  <c r="G1034" i="5"/>
  <c r="H1034" i="5"/>
  <c r="I1034" i="5"/>
  <c r="J1034" i="5"/>
  <c r="K1034" i="5"/>
  <c r="L1034" i="5"/>
  <c r="M1034" i="5"/>
  <c r="N1034" i="5"/>
  <c r="O1034" i="5"/>
  <c r="P1034" i="5"/>
  <c r="Q1034" i="5"/>
  <c r="R1034" i="5"/>
  <c r="S1034" i="5"/>
  <c r="T1034" i="5"/>
  <c r="U1034" i="5"/>
  <c r="V1034" i="5"/>
  <c r="W1034" i="5"/>
  <c r="X1034" i="5"/>
  <c r="B1035" i="5"/>
  <c r="C1035" i="5"/>
  <c r="D1035" i="5"/>
  <c r="E1035" i="5"/>
  <c r="F1035" i="5"/>
  <c r="G1035" i="5"/>
  <c r="H1035" i="5"/>
  <c r="I1035" i="5"/>
  <c r="J1035" i="5"/>
  <c r="K1035" i="5"/>
  <c r="L1035" i="5"/>
  <c r="M1035" i="5"/>
  <c r="N1035" i="5"/>
  <c r="O1035" i="5"/>
  <c r="P1035" i="5"/>
  <c r="Q1035" i="5"/>
  <c r="R1035" i="5"/>
  <c r="S1035" i="5"/>
  <c r="T1035" i="5"/>
  <c r="U1035" i="5"/>
  <c r="V1035" i="5"/>
  <c r="W1035" i="5"/>
  <c r="X1035" i="5"/>
  <c r="B1036" i="5"/>
  <c r="C1036" i="5"/>
  <c r="D1036" i="5"/>
  <c r="E1036" i="5"/>
  <c r="F1036" i="5"/>
  <c r="G1036" i="5"/>
  <c r="H1036" i="5"/>
  <c r="I1036" i="5"/>
  <c r="J1036" i="5"/>
  <c r="K1036" i="5"/>
  <c r="L1036" i="5"/>
  <c r="M1036" i="5"/>
  <c r="N1036" i="5"/>
  <c r="O1036" i="5"/>
  <c r="P1036" i="5"/>
  <c r="Q1036" i="5"/>
  <c r="R1036" i="5"/>
  <c r="S1036" i="5"/>
  <c r="T1036" i="5"/>
  <c r="U1036" i="5"/>
  <c r="V1036" i="5"/>
  <c r="W1036" i="5"/>
  <c r="X1036" i="5"/>
  <c r="B1037" i="5"/>
  <c r="C1037" i="5"/>
  <c r="D1037" i="5"/>
  <c r="E1037" i="5"/>
  <c r="F1037" i="5"/>
  <c r="G1037" i="5"/>
  <c r="H1037" i="5"/>
  <c r="I1037" i="5"/>
  <c r="J1037" i="5"/>
  <c r="K1037" i="5"/>
  <c r="L1037" i="5"/>
  <c r="M1037" i="5"/>
  <c r="N1037" i="5"/>
  <c r="O1037" i="5"/>
  <c r="P1037" i="5"/>
  <c r="Q1037" i="5"/>
  <c r="R1037" i="5"/>
  <c r="S1037" i="5"/>
  <c r="T1037" i="5"/>
  <c r="U1037" i="5"/>
  <c r="V1037" i="5"/>
  <c r="W1037" i="5"/>
  <c r="X1037" i="5"/>
  <c r="B1038" i="5"/>
  <c r="C1038" i="5"/>
  <c r="D1038" i="5"/>
  <c r="E1038" i="5"/>
  <c r="F1038" i="5"/>
  <c r="G1038" i="5"/>
  <c r="H1038" i="5"/>
  <c r="I1038" i="5"/>
  <c r="J1038" i="5"/>
  <c r="K1038" i="5"/>
  <c r="L1038" i="5"/>
  <c r="M1038" i="5"/>
  <c r="N1038" i="5"/>
  <c r="O1038" i="5"/>
  <c r="P1038" i="5"/>
  <c r="Q1038" i="5"/>
  <c r="R1038" i="5"/>
  <c r="S1038" i="5"/>
  <c r="T1038" i="5"/>
  <c r="U1038" i="5"/>
  <c r="V1038" i="5"/>
  <c r="W1038" i="5"/>
  <c r="X1038" i="5"/>
  <c r="B1039" i="5"/>
  <c r="C1039" i="5"/>
  <c r="D1039" i="5"/>
  <c r="E1039" i="5"/>
  <c r="F1039" i="5"/>
  <c r="G1039" i="5"/>
  <c r="H1039" i="5"/>
  <c r="I1039" i="5"/>
  <c r="J1039" i="5"/>
  <c r="K1039" i="5"/>
  <c r="L1039" i="5"/>
  <c r="M1039" i="5"/>
  <c r="N1039" i="5"/>
  <c r="O1039" i="5"/>
  <c r="P1039" i="5"/>
  <c r="Q1039" i="5"/>
  <c r="R1039" i="5"/>
  <c r="S1039" i="5"/>
  <c r="T1039" i="5"/>
  <c r="U1039" i="5"/>
  <c r="V1039" i="5"/>
  <c r="W1039" i="5"/>
  <c r="X1039" i="5"/>
  <c r="B1040" i="5"/>
  <c r="C1040" i="5"/>
  <c r="D1040" i="5"/>
  <c r="E1040" i="5"/>
  <c r="F1040" i="5"/>
  <c r="G1040" i="5"/>
  <c r="H1040" i="5"/>
  <c r="I1040" i="5"/>
  <c r="J1040" i="5"/>
  <c r="K1040" i="5"/>
  <c r="L1040" i="5"/>
  <c r="M1040" i="5"/>
  <c r="N1040" i="5"/>
  <c r="O1040" i="5"/>
  <c r="P1040" i="5"/>
  <c r="Q1040" i="5"/>
  <c r="R1040" i="5"/>
  <c r="S1040" i="5"/>
  <c r="T1040" i="5"/>
  <c r="U1040" i="5"/>
  <c r="V1040" i="5"/>
  <c r="W1040" i="5"/>
  <c r="X1040" i="5"/>
  <c r="B1041" i="5"/>
  <c r="C1041" i="5"/>
  <c r="D1041" i="5"/>
  <c r="E1041" i="5"/>
  <c r="F1041" i="5"/>
  <c r="G1041" i="5"/>
  <c r="H1041" i="5"/>
  <c r="I1041" i="5"/>
  <c r="J1041" i="5"/>
  <c r="K1041" i="5"/>
  <c r="L1041" i="5"/>
  <c r="M1041" i="5"/>
  <c r="N1041" i="5"/>
  <c r="O1041" i="5"/>
  <c r="P1041" i="5"/>
  <c r="Q1041" i="5"/>
  <c r="R1041" i="5"/>
  <c r="S1041" i="5"/>
  <c r="T1041" i="5"/>
  <c r="U1041" i="5"/>
  <c r="V1041" i="5"/>
  <c r="W1041" i="5"/>
  <c r="X1041" i="5"/>
  <c r="AC1041" i="5"/>
  <c r="B1042" i="5"/>
  <c r="C1042" i="5"/>
  <c r="D1042" i="5"/>
  <c r="E1042" i="5"/>
  <c r="F1042" i="5"/>
  <c r="G1042" i="5"/>
  <c r="H1042" i="5"/>
  <c r="I1042" i="5"/>
  <c r="J1042" i="5"/>
  <c r="K1042" i="5"/>
  <c r="L1042" i="5"/>
  <c r="M1042" i="5"/>
  <c r="N1042" i="5"/>
  <c r="O1042" i="5"/>
  <c r="P1042" i="5"/>
  <c r="Q1042" i="5"/>
  <c r="R1042" i="5"/>
  <c r="S1042" i="5"/>
  <c r="T1042" i="5"/>
  <c r="U1042" i="5"/>
  <c r="V1042" i="5"/>
  <c r="W1042" i="5"/>
  <c r="X1042" i="5"/>
  <c r="AC1042" i="5"/>
  <c r="B1043" i="5"/>
  <c r="C1043" i="5"/>
  <c r="D1043" i="5"/>
  <c r="E1043" i="5"/>
  <c r="F1043" i="5"/>
  <c r="G1043" i="5"/>
  <c r="H1043" i="5"/>
  <c r="I1043" i="5"/>
  <c r="J1043" i="5"/>
  <c r="K1043" i="5"/>
  <c r="L1043" i="5"/>
  <c r="M1043" i="5"/>
  <c r="N1043" i="5"/>
  <c r="O1043" i="5"/>
  <c r="P1043" i="5"/>
  <c r="Q1043" i="5"/>
  <c r="R1043" i="5"/>
  <c r="S1043" i="5"/>
  <c r="T1043" i="5"/>
  <c r="U1043" i="5"/>
  <c r="V1043" i="5"/>
  <c r="W1043" i="5"/>
  <c r="X1043" i="5"/>
  <c r="AB1043" i="5"/>
  <c r="B1044" i="5"/>
  <c r="C1044" i="5"/>
  <c r="D1044" i="5"/>
  <c r="E1044" i="5"/>
  <c r="F1044" i="5"/>
  <c r="G1044" i="5"/>
  <c r="H1044" i="5"/>
  <c r="I1044" i="5"/>
  <c r="J1044" i="5"/>
  <c r="K1044" i="5"/>
  <c r="L1044" i="5"/>
  <c r="M1044" i="5"/>
  <c r="N1044" i="5"/>
  <c r="O1044" i="5"/>
  <c r="P1044" i="5"/>
  <c r="Q1044" i="5"/>
  <c r="R1044" i="5"/>
  <c r="S1044" i="5"/>
  <c r="T1044" i="5"/>
  <c r="U1044" i="5"/>
  <c r="V1044" i="5"/>
  <c r="W1044" i="5"/>
  <c r="X1044" i="5"/>
  <c r="B1045" i="5"/>
  <c r="C1045" i="5"/>
  <c r="D1045" i="5"/>
  <c r="E1045" i="5"/>
  <c r="F1045" i="5"/>
  <c r="G1045" i="5"/>
  <c r="H1045" i="5"/>
  <c r="I1045" i="5"/>
  <c r="J1045" i="5"/>
  <c r="K1045" i="5"/>
  <c r="L1045" i="5"/>
  <c r="M1045" i="5"/>
  <c r="N1045" i="5"/>
  <c r="AC1045" i="5" s="1"/>
  <c r="O1045" i="5"/>
  <c r="P1045" i="5"/>
  <c r="Q1045" i="5"/>
  <c r="R1045" i="5"/>
  <c r="S1045" i="5"/>
  <c r="T1045" i="5"/>
  <c r="U1045" i="5"/>
  <c r="V1045" i="5"/>
  <c r="W1045" i="5"/>
  <c r="X1045" i="5"/>
  <c r="B1046" i="5"/>
  <c r="C1046" i="5"/>
  <c r="D1046" i="5"/>
  <c r="E1046" i="5"/>
  <c r="F1046" i="5"/>
  <c r="G1046" i="5"/>
  <c r="H1046" i="5"/>
  <c r="I1046" i="5"/>
  <c r="J1046" i="5"/>
  <c r="K1046" i="5"/>
  <c r="L1046" i="5"/>
  <c r="M1046" i="5"/>
  <c r="N1046" i="5"/>
  <c r="AC1046" i="5" s="1"/>
  <c r="O1046" i="5"/>
  <c r="P1046" i="5"/>
  <c r="Q1046" i="5"/>
  <c r="R1046" i="5"/>
  <c r="S1046" i="5"/>
  <c r="T1046" i="5"/>
  <c r="U1046" i="5"/>
  <c r="V1046" i="5"/>
  <c r="W1046" i="5"/>
  <c r="X1046" i="5"/>
  <c r="B1047" i="5"/>
  <c r="AB1047" i="5" s="1"/>
  <c r="C1047" i="5"/>
  <c r="D1047" i="5"/>
  <c r="E1047" i="5"/>
  <c r="F1047" i="5"/>
  <c r="G1047" i="5"/>
  <c r="H1047" i="5"/>
  <c r="I1047" i="5"/>
  <c r="J1047" i="5"/>
  <c r="K1047" i="5"/>
  <c r="L1047" i="5"/>
  <c r="M1047" i="5"/>
  <c r="N1047" i="5"/>
  <c r="O1047" i="5"/>
  <c r="P1047" i="5"/>
  <c r="Q1047" i="5"/>
  <c r="R1047" i="5"/>
  <c r="S1047" i="5"/>
  <c r="T1047" i="5"/>
  <c r="U1047" i="5"/>
  <c r="V1047" i="5"/>
  <c r="W1047" i="5"/>
  <c r="X1047" i="5"/>
  <c r="AC1047" i="5"/>
  <c r="B1048" i="5"/>
  <c r="C1048" i="5"/>
  <c r="D1048" i="5"/>
  <c r="E1048" i="5"/>
  <c r="F1048" i="5"/>
  <c r="G1048" i="5"/>
  <c r="H1048" i="5"/>
  <c r="I1048" i="5"/>
  <c r="J1048" i="5"/>
  <c r="K1048" i="5"/>
  <c r="L1048" i="5"/>
  <c r="M1048" i="5"/>
  <c r="N1048" i="5"/>
  <c r="O1048" i="5"/>
  <c r="P1048" i="5"/>
  <c r="Q1048" i="5"/>
  <c r="R1048" i="5"/>
  <c r="S1048" i="5"/>
  <c r="T1048" i="5"/>
  <c r="U1048" i="5"/>
  <c r="V1048" i="5"/>
  <c r="W1048" i="5"/>
  <c r="X1048" i="5"/>
  <c r="B1049" i="5"/>
  <c r="C1049" i="5"/>
  <c r="D1049" i="5"/>
  <c r="E1049" i="5"/>
  <c r="F1049" i="5"/>
  <c r="G1049" i="5"/>
  <c r="H1049" i="5"/>
  <c r="I1049" i="5"/>
  <c r="J1049" i="5"/>
  <c r="K1049" i="5"/>
  <c r="L1049" i="5"/>
  <c r="M1049" i="5"/>
  <c r="N1049" i="5"/>
  <c r="AC1049" i="5" s="1"/>
  <c r="O1049" i="5"/>
  <c r="P1049" i="5"/>
  <c r="Q1049" i="5"/>
  <c r="R1049" i="5"/>
  <c r="S1049" i="5"/>
  <c r="T1049" i="5"/>
  <c r="U1049" i="5"/>
  <c r="V1049" i="5"/>
  <c r="W1049" i="5"/>
  <c r="X1049" i="5"/>
  <c r="B1050" i="5"/>
  <c r="C1050" i="5"/>
  <c r="D1050" i="5"/>
  <c r="E1050" i="5"/>
  <c r="F1050" i="5"/>
  <c r="G1050" i="5"/>
  <c r="H1050" i="5"/>
  <c r="I1050" i="5"/>
  <c r="J1050" i="5"/>
  <c r="K1050" i="5"/>
  <c r="L1050" i="5"/>
  <c r="M1050" i="5"/>
  <c r="N1050" i="5"/>
  <c r="O1050" i="5"/>
  <c r="P1050" i="5"/>
  <c r="Q1050" i="5"/>
  <c r="R1050" i="5"/>
  <c r="S1050" i="5"/>
  <c r="T1050" i="5"/>
  <c r="U1050" i="5"/>
  <c r="V1050" i="5"/>
  <c r="W1050" i="5"/>
  <c r="X1050" i="5"/>
  <c r="B1051" i="5"/>
  <c r="C1051" i="5"/>
  <c r="D1051" i="5"/>
  <c r="E1051" i="5"/>
  <c r="F1051" i="5"/>
  <c r="G1051" i="5"/>
  <c r="H1051" i="5"/>
  <c r="I1051" i="5"/>
  <c r="J1051" i="5"/>
  <c r="K1051" i="5"/>
  <c r="L1051" i="5"/>
  <c r="M1051" i="5"/>
  <c r="N1051" i="5"/>
  <c r="O1051" i="5"/>
  <c r="P1051" i="5"/>
  <c r="Q1051" i="5"/>
  <c r="R1051" i="5"/>
  <c r="S1051" i="5"/>
  <c r="T1051" i="5"/>
  <c r="U1051" i="5"/>
  <c r="V1051" i="5"/>
  <c r="W1051" i="5"/>
  <c r="X1051" i="5"/>
  <c r="B1052" i="5"/>
  <c r="C1052" i="5"/>
  <c r="D1052" i="5"/>
  <c r="E1052" i="5"/>
  <c r="F1052" i="5"/>
  <c r="G1052" i="5"/>
  <c r="H1052" i="5"/>
  <c r="I1052" i="5"/>
  <c r="J1052" i="5"/>
  <c r="K1052" i="5"/>
  <c r="L1052" i="5"/>
  <c r="M1052" i="5"/>
  <c r="N1052" i="5"/>
  <c r="O1052" i="5"/>
  <c r="P1052" i="5"/>
  <c r="Q1052" i="5"/>
  <c r="R1052" i="5"/>
  <c r="S1052" i="5"/>
  <c r="T1052" i="5"/>
  <c r="U1052" i="5"/>
  <c r="V1052" i="5"/>
  <c r="W1052" i="5"/>
  <c r="X1052" i="5"/>
  <c r="B1053" i="5"/>
  <c r="C1053" i="5"/>
  <c r="D1053" i="5"/>
  <c r="E1053" i="5"/>
  <c r="F1053" i="5"/>
  <c r="G1053" i="5"/>
  <c r="H1053" i="5"/>
  <c r="I1053" i="5"/>
  <c r="J1053" i="5"/>
  <c r="K1053" i="5"/>
  <c r="L1053" i="5"/>
  <c r="M1053" i="5"/>
  <c r="N1053" i="5"/>
  <c r="O1053" i="5"/>
  <c r="P1053" i="5"/>
  <c r="Q1053" i="5"/>
  <c r="R1053" i="5"/>
  <c r="S1053" i="5"/>
  <c r="T1053" i="5"/>
  <c r="U1053" i="5"/>
  <c r="V1053" i="5"/>
  <c r="W1053" i="5"/>
  <c r="X1053" i="5"/>
  <c r="B1054" i="5"/>
  <c r="C1054" i="5"/>
  <c r="D1054" i="5"/>
  <c r="E1054" i="5"/>
  <c r="F1054" i="5"/>
  <c r="G1054" i="5"/>
  <c r="H1054" i="5"/>
  <c r="I1054" i="5"/>
  <c r="J1054" i="5"/>
  <c r="K1054" i="5"/>
  <c r="L1054" i="5"/>
  <c r="M1054" i="5"/>
  <c r="N1054" i="5"/>
  <c r="O1054" i="5"/>
  <c r="P1054" i="5"/>
  <c r="Q1054" i="5"/>
  <c r="R1054" i="5"/>
  <c r="S1054" i="5"/>
  <c r="T1054" i="5"/>
  <c r="U1054" i="5"/>
  <c r="V1054" i="5"/>
  <c r="W1054" i="5"/>
  <c r="X1054" i="5"/>
  <c r="B1055" i="5"/>
  <c r="C1055" i="5"/>
  <c r="D1055" i="5"/>
  <c r="E1055" i="5"/>
  <c r="F1055" i="5"/>
  <c r="G1055" i="5"/>
  <c r="H1055" i="5"/>
  <c r="I1055" i="5"/>
  <c r="J1055" i="5"/>
  <c r="K1055" i="5"/>
  <c r="L1055" i="5"/>
  <c r="M1055" i="5"/>
  <c r="N1055" i="5"/>
  <c r="O1055" i="5"/>
  <c r="P1055" i="5"/>
  <c r="Q1055" i="5"/>
  <c r="R1055" i="5"/>
  <c r="S1055" i="5"/>
  <c r="T1055" i="5"/>
  <c r="U1055" i="5"/>
  <c r="V1055" i="5"/>
  <c r="W1055" i="5"/>
  <c r="X1055" i="5"/>
  <c r="B1056" i="5"/>
  <c r="C1056" i="5"/>
  <c r="D1056" i="5"/>
  <c r="E1056" i="5"/>
  <c r="F1056" i="5"/>
  <c r="G1056" i="5"/>
  <c r="H1056" i="5"/>
  <c r="I1056" i="5"/>
  <c r="J1056" i="5"/>
  <c r="K1056" i="5"/>
  <c r="L1056" i="5"/>
  <c r="M1056" i="5"/>
  <c r="N1056" i="5"/>
  <c r="O1056" i="5"/>
  <c r="P1056" i="5"/>
  <c r="Q1056" i="5"/>
  <c r="R1056" i="5"/>
  <c r="S1056" i="5"/>
  <c r="T1056" i="5"/>
  <c r="U1056" i="5"/>
  <c r="V1056" i="5"/>
  <c r="W1056" i="5"/>
  <c r="X1056" i="5"/>
  <c r="B1057" i="5"/>
  <c r="C1057" i="5"/>
  <c r="D1057" i="5"/>
  <c r="E1057" i="5"/>
  <c r="F1057" i="5"/>
  <c r="G1057" i="5"/>
  <c r="H1057" i="5"/>
  <c r="I1057" i="5"/>
  <c r="J1057" i="5"/>
  <c r="K1057" i="5"/>
  <c r="L1057" i="5"/>
  <c r="M1057" i="5"/>
  <c r="N1057" i="5"/>
  <c r="AC1057" i="5" s="1"/>
  <c r="O1057" i="5"/>
  <c r="P1057" i="5"/>
  <c r="Q1057" i="5"/>
  <c r="R1057" i="5"/>
  <c r="S1057" i="5"/>
  <c r="T1057" i="5"/>
  <c r="U1057" i="5"/>
  <c r="V1057" i="5"/>
  <c r="W1057" i="5"/>
  <c r="X1057" i="5"/>
  <c r="B1058" i="5"/>
  <c r="C1058" i="5"/>
  <c r="D1058" i="5"/>
  <c r="E1058" i="5"/>
  <c r="F1058" i="5"/>
  <c r="G1058" i="5"/>
  <c r="H1058" i="5"/>
  <c r="I1058" i="5"/>
  <c r="J1058" i="5"/>
  <c r="K1058" i="5"/>
  <c r="L1058" i="5"/>
  <c r="M1058" i="5"/>
  <c r="N1058" i="5"/>
  <c r="AC1058" i="5" s="1"/>
  <c r="O1058" i="5"/>
  <c r="P1058" i="5"/>
  <c r="Q1058" i="5"/>
  <c r="R1058" i="5"/>
  <c r="S1058" i="5"/>
  <c r="T1058" i="5"/>
  <c r="U1058" i="5"/>
  <c r="V1058" i="5"/>
  <c r="W1058" i="5"/>
  <c r="X1058" i="5"/>
  <c r="B1059" i="5"/>
  <c r="AB1059" i="5" s="1"/>
  <c r="C1059" i="5"/>
  <c r="D1059" i="5"/>
  <c r="E1059" i="5"/>
  <c r="F1059" i="5"/>
  <c r="G1059" i="5"/>
  <c r="H1059" i="5"/>
  <c r="I1059" i="5"/>
  <c r="J1059" i="5"/>
  <c r="K1059" i="5"/>
  <c r="L1059" i="5"/>
  <c r="M1059" i="5"/>
  <c r="N1059" i="5"/>
  <c r="O1059" i="5"/>
  <c r="P1059" i="5"/>
  <c r="Q1059" i="5"/>
  <c r="R1059" i="5"/>
  <c r="S1059" i="5"/>
  <c r="T1059" i="5"/>
  <c r="U1059" i="5"/>
  <c r="V1059" i="5"/>
  <c r="W1059" i="5"/>
  <c r="X1059" i="5"/>
  <c r="B1060" i="5"/>
  <c r="C1060" i="5"/>
  <c r="D1060" i="5"/>
  <c r="E1060" i="5"/>
  <c r="F1060" i="5"/>
  <c r="G1060" i="5"/>
  <c r="H1060" i="5"/>
  <c r="I1060" i="5"/>
  <c r="J1060" i="5"/>
  <c r="K1060" i="5"/>
  <c r="L1060" i="5"/>
  <c r="M1060" i="5"/>
  <c r="N1060" i="5"/>
  <c r="O1060" i="5"/>
  <c r="P1060" i="5"/>
  <c r="Q1060" i="5"/>
  <c r="R1060" i="5"/>
  <c r="S1060" i="5"/>
  <c r="T1060" i="5"/>
  <c r="U1060" i="5"/>
  <c r="V1060" i="5"/>
  <c r="W1060" i="5"/>
  <c r="X1060" i="5"/>
  <c r="B1061" i="5"/>
  <c r="C1061" i="5"/>
  <c r="D1061" i="5"/>
  <c r="E1061" i="5"/>
  <c r="F1061" i="5"/>
  <c r="G1061" i="5"/>
  <c r="H1061" i="5"/>
  <c r="I1061" i="5"/>
  <c r="J1061" i="5"/>
  <c r="K1061" i="5"/>
  <c r="L1061" i="5"/>
  <c r="M1061" i="5"/>
  <c r="N1061" i="5"/>
  <c r="AC1061" i="5" s="1"/>
  <c r="O1061" i="5"/>
  <c r="P1061" i="5"/>
  <c r="Q1061" i="5"/>
  <c r="R1061" i="5"/>
  <c r="S1061" i="5"/>
  <c r="T1061" i="5"/>
  <c r="U1061" i="5"/>
  <c r="V1061" i="5"/>
  <c r="W1061" i="5"/>
  <c r="X1061" i="5"/>
  <c r="B1062" i="5"/>
  <c r="C1062" i="5"/>
  <c r="D1062" i="5"/>
  <c r="E1062" i="5"/>
  <c r="F1062" i="5"/>
  <c r="G1062" i="5"/>
  <c r="H1062" i="5"/>
  <c r="I1062" i="5"/>
  <c r="J1062" i="5"/>
  <c r="K1062" i="5"/>
  <c r="L1062" i="5"/>
  <c r="M1062" i="5"/>
  <c r="N1062" i="5"/>
  <c r="AC1062" i="5" s="1"/>
  <c r="O1062" i="5"/>
  <c r="P1062" i="5"/>
  <c r="Q1062" i="5"/>
  <c r="R1062" i="5"/>
  <c r="S1062" i="5"/>
  <c r="T1062" i="5"/>
  <c r="U1062" i="5"/>
  <c r="V1062" i="5"/>
  <c r="W1062" i="5"/>
  <c r="X1062" i="5"/>
  <c r="B1063" i="5"/>
  <c r="C1063" i="5"/>
  <c r="D1063" i="5"/>
  <c r="E1063" i="5"/>
  <c r="F1063" i="5"/>
  <c r="G1063" i="5"/>
  <c r="H1063" i="5"/>
  <c r="I1063" i="5"/>
  <c r="J1063" i="5"/>
  <c r="K1063" i="5"/>
  <c r="L1063" i="5"/>
  <c r="M1063" i="5"/>
  <c r="N1063" i="5"/>
  <c r="AC1063" i="5" s="1"/>
  <c r="O1063" i="5"/>
  <c r="P1063" i="5"/>
  <c r="Q1063" i="5"/>
  <c r="R1063" i="5"/>
  <c r="S1063" i="5"/>
  <c r="T1063" i="5"/>
  <c r="U1063" i="5"/>
  <c r="V1063" i="5"/>
  <c r="W1063" i="5"/>
  <c r="X1063" i="5"/>
  <c r="B1064" i="5"/>
  <c r="AB1064" i="5" s="1"/>
  <c r="C1064" i="5"/>
  <c r="D1064" i="5"/>
  <c r="E1064" i="5"/>
  <c r="F1064" i="5"/>
  <c r="G1064" i="5"/>
  <c r="H1064" i="5"/>
  <c r="I1064" i="5"/>
  <c r="J1064" i="5"/>
  <c r="K1064" i="5"/>
  <c r="L1064" i="5"/>
  <c r="M1064" i="5"/>
  <c r="N1064" i="5"/>
  <c r="O1064" i="5"/>
  <c r="P1064" i="5"/>
  <c r="Q1064" i="5"/>
  <c r="R1064" i="5"/>
  <c r="S1064" i="5"/>
  <c r="T1064" i="5"/>
  <c r="U1064" i="5"/>
  <c r="V1064" i="5"/>
  <c r="W1064" i="5"/>
  <c r="X1064" i="5"/>
  <c r="B1065" i="5"/>
  <c r="C1065" i="5"/>
  <c r="D1065" i="5"/>
  <c r="E1065" i="5"/>
  <c r="F1065" i="5"/>
  <c r="G1065" i="5"/>
  <c r="AB1065" i="5" s="1"/>
  <c r="H1065" i="5"/>
  <c r="I1065" i="5"/>
  <c r="J1065" i="5"/>
  <c r="K1065" i="5"/>
  <c r="L1065" i="5"/>
  <c r="M1065" i="5"/>
  <c r="N1065" i="5"/>
  <c r="O1065" i="5"/>
  <c r="P1065" i="5"/>
  <c r="Q1065" i="5"/>
  <c r="R1065" i="5"/>
  <c r="S1065" i="5"/>
  <c r="T1065" i="5"/>
  <c r="U1065" i="5"/>
  <c r="V1065" i="5"/>
  <c r="W1065" i="5"/>
  <c r="X1065" i="5"/>
  <c r="B1066" i="5"/>
  <c r="C1066" i="5"/>
  <c r="D1066" i="5"/>
  <c r="E1066" i="5"/>
  <c r="F1066" i="5"/>
  <c r="G1066" i="5"/>
  <c r="H1066" i="5"/>
  <c r="I1066" i="5"/>
  <c r="J1066" i="5"/>
  <c r="K1066" i="5"/>
  <c r="L1066" i="5"/>
  <c r="M1066" i="5"/>
  <c r="N1066" i="5"/>
  <c r="O1066" i="5"/>
  <c r="P1066" i="5"/>
  <c r="Q1066" i="5"/>
  <c r="R1066" i="5"/>
  <c r="S1066" i="5"/>
  <c r="T1066" i="5"/>
  <c r="U1066" i="5"/>
  <c r="V1066" i="5"/>
  <c r="W1066" i="5"/>
  <c r="X1066" i="5"/>
  <c r="B1067" i="5"/>
  <c r="C1067" i="5"/>
  <c r="D1067" i="5"/>
  <c r="E1067" i="5"/>
  <c r="F1067" i="5"/>
  <c r="G1067" i="5"/>
  <c r="H1067" i="5"/>
  <c r="I1067" i="5"/>
  <c r="J1067" i="5"/>
  <c r="K1067" i="5"/>
  <c r="L1067" i="5"/>
  <c r="M1067" i="5"/>
  <c r="N1067" i="5"/>
  <c r="O1067" i="5"/>
  <c r="P1067" i="5"/>
  <c r="Q1067" i="5"/>
  <c r="R1067" i="5"/>
  <c r="S1067" i="5"/>
  <c r="T1067" i="5"/>
  <c r="U1067" i="5"/>
  <c r="V1067" i="5"/>
  <c r="W1067" i="5"/>
  <c r="X1067" i="5"/>
  <c r="B1068" i="5"/>
  <c r="C1068" i="5"/>
  <c r="D1068" i="5"/>
  <c r="E1068" i="5"/>
  <c r="F1068" i="5"/>
  <c r="G1068" i="5"/>
  <c r="H1068" i="5"/>
  <c r="I1068" i="5"/>
  <c r="J1068" i="5"/>
  <c r="K1068" i="5"/>
  <c r="L1068" i="5"/>
  <c r="M1068" i="5"/>
  <c r="N1068" i="5"/>
  <c r="O1068" i="5"/>
  <c r="P1068" i="5"/>
  <c r="Q1068" i="5"/>
  <c r="R1068" i="5"/>
  <c r="S1068" i="5"/>
  <c r="T1068" i="5"/>
  <c r="U1068" i="5"/>
  <c r="V1068" i="5"/>
  <c r="W1068" i="5"/>
  <c r="X1068" i="5"/>
  <c r="B1070" i="5"/>
  <c r="C1070" i="5"/>
  <c r="D1070" i="5"/>
  <c r="E1070" i="5"/>
  <c r="F1070" i="5"/>
  <c r="G1070" i="5"/>
  <c r="H1070" i="5"/>
  <c r="I1070" i="5"/>
  <c r="J1070" i="5"/>
  <c r="L1070" i="5"/>
  <c r="M1070" i="5"/>
  <c r="N1070" i="5"/>
  <c r="O1070" i="5"/>
  <c r="P1070" i="5"/>
  <c r="Q1070" i="5"/>
  <c r="R1070" i="5"/>
  <c r="S1070" i="5"/>
  <c r="T1070" i="5"/>
  <c r="U1070" i="5"/>
  <c r="V1070" i="5"/>
  <c r="W1070" i="5"/>
  <c r="X1070" i="5"/>
  <c r="Y1070" i="5"/>
  <c r="Z1070" i="5"/>
  <c r="AA1070" i="5"/>
  <c r="B1071" i="5"/>
  <c r="C1071" i="5"/>
  <c r="D1071" i="5"/>
  <c r="E1071" i="5"/>
  <c r="F1071" i="5"/>
  <c r="G1071" i="5"/>
  <c r="H1071" i="5"/>
  <c r="I1071" i="5"/>
  <c r="J1071" i="5"/>
  <c r="L1071" i="5"/>
  <c r="M1071" i="5"/>
  <c r="N1071" i="5"/>
  <c r="O1071" i="5"/>
  <c r="P1071" i="5"/>
  <c r="Q1071" i="5"/>
  <c r="R1071" i="5"/>
  <c r="S1071" i="5"/>
  <c r="T1071" i="5"/>
  <c r="U1071" i="5"/>
  <c r="V1071" i="5"/>
  <c r="W1071" i="5"/>
  <c r="X1071" i="5"/>
  <c r="Y1071" i="5"/>
  <c r="Z1071" i="5"/>
  <c r="AA1071" i="5"/>
  <c r="B1072" i="5"/>
  <c r="C1072" i="5"/>
  <c r="D1072" i="5"/>
  <c r="E1072" i="5"/>
  <c r="F1072" i="5"/>
  <c r="G1072" i="5"/>
  <c r="H1072" i="5"/>
  <c r="I1072" i="5"/>
  <c r="J1072" i="5"/>
  <c r="L1072" i="5"/>
  <c r="M1072" i="5"/>
  <c r="N1072" i="5"/>
  <c r="O1072" i="5"/>
  <c r="P1072" i="5"/>
  <c r="Q1072" i="5"/>
  <c r="R1072" i="5"/>
  <c r="S1072" i="5"/>
  <c r="T1072" i="5"/>
  <c r="U1072" i="5"/>
  <c r="V1072" i="5"/>
  <c r="W1072" i="5"/>
  <c r="X1072" i="5"/>
  <c r="Z1072" i="5"/>
  <c r="AA1072" i="5"/>
  <c r="B1073" i="5"/>
  <c r="C1073" i="5"/>
  <c r="D1073" i="5"/>
  <c r="E1073" i="5"/>
  <c r="F1073" i="5"/>
  <c r="G1073" i="5"/>
  <c r="H1073" i="5"/>
  <c r="I1073" i="5"/>
  <c r="J1073" i="5"/>
  <c r="L1073" i="5"/>
  <c r="M1073" i="5"/>
  <c r="N1073" i="5"/>
  <c r="O1073" i="5"/>
  <c r="P1073" i="5"/>
  <c r="Q1073" i="5"/>
  <c r="R1073" i="5"/>
  <c r="S1073" i="5"/>
  <c r="T1073" i="5"/>
  <c r="U1073" i="5"/>
  <c r="V1073" i="5"/>
  <c r="W1073" i="5"/>
  <c r="X1073" i="5"/>
  <c r="AC1073" i="5"/>
  <c r="B1074" i="5"/>
  <c r="C1074" i="5"/>
  <c r="D1074" i="5"/>
  <c r="E1074" i="5"/>
  <c r="F1074" i="5"/>
  <c r="G1074" i="5"/>
  <c r="H1074" i="5"/>
  <c r="I1074" i="5"/>
  <c r="J1074" i="5"/>
  <c r="K1074" i="5"/>
  <c r="L1074" i="5"/>
  <c r="M1074" i="5"/>
  <c r="N1074" i="5"/>
  <c r="O1074" i="5"/>
  <c r="P1074" i="5"/>
  <c r="Q1074" i="5"/>
  <c r="R1074" i="5"/>
  <c r="S1074" i="5"/>
  <c r="T1074" i="5"/>
  <c r="U1074" i="5"/>
  <c r="V1074" i="5"/>
  <c r="W1074" i="5"/>
  <c r="X1074" i="5"/>
  <c r="B1075" i="5"/>
  <c r="C1075" i="5"/>
  <c r="D1075" i="5"/>
  <c r="E1075" i="5"/>
  <c r="F1075" i="5"/>
  <c r="G1075" i="5"/>
  <c r="H1075" i="5"/>
  <c r="I1075" i="5"/>
  <c r="J1075" i="5"/>
  <c r="K1075" i="5"/>
  <c r="L1075" i="5"/>
  <c r="M1075" i="5"/>
  <c r="N1075" i="5"/>
  <c r="O1075" i="5"/>
  <c r="P1075" i="5"/>
  <c r="Q1075" i="5"/>
  <c r="R1075" i="5"/>
  <c r="S1075" i="5"/>
  <c r="T1075" i="5"/>
  <c r="U1075" i="5"/>
  <c r="V1075" i="5"/>
  <c r="W1075" i="5"/>
  <c r="X1075" i="5"/>
  <c r="B1076" i="5"/>
  <c r="C1076" i="5"/>
  <c r="D1076" i="5"/>
  <c r="E1076" i="5"/>
  <c r="F1076" i="5"/>
  <c r="G1076" i="5"/>
  <c r="H1076" i="5"/>
  <c r="I1076" i="5"/>
  <c r="J1076" i="5"/>
  <c r="K1076" i="5"/>
  <c r="L1076" i="5"/>
  <c r="M1076" i="5"/>
  <c r="N1076" i="5"/>
  <c r="O1076" i="5"/>
  <c r="P1076" i="5"/>
  <c r="Q1076" i="5"/>
  <c r="R1076" i="5"/>
  <c r="S1076" i="5"/>
  <c r="T1076" i="5"/>
  <c r="U1076" i="5"/>
  <c r="V1076" i="5"/>
  <c r="W1076" i="5"/>
  <c r="X1076" i="5"/>
  <c r="B1077" i="5"/>
  <c r="C1077" i="5"/>
  <c r="D1077" i="5"/>
  <c r="E1077" i="5"/>
  <c r="F1077" i="5"/>
  <c r="G1077" i="5"/>
  <c r="H1077" i="5"/>
  <c r="I1077" i="5"/>
  <c r="J1077" i="5"/>
  <c r="K1077" i="5"/>
  <c r="L1077" i="5"/>
  <c r="M1077" i="5"/>
  <c r="N1077" i="5"/>
  <c r="O1077" i="5"/>
  <c r="P1077" i="5"/>
  <c r="Q1077" i="5"/>
  <c r="R1077" i="5"/>
  <c r="S1077" i="5"/>
  <c r="T1077" i="5"/>
  <c r="U1077" i="5"/>
  <c r="V1077" i="5"/>
  <c r="W1077" i="5"/>
  <c r="X1077" i="5"/>
  <c r="B1078" i="5"/>
  <c r="C1078" i="5"/>
  <c r="D1078" i="5"/>
  <c r="E1078" i="5"/>
  <c r="F1078" i="5"/>
  <c r="G1078" i="5"/>
  <c r="H1078" i="5"/>
  <c r="I1078" i="5"/>
  <c r="J1078" i="5"/>
  <c r="K1078" i="5"/>
  <c r="L1078" i="5"/>
  <c r="M1078" i="5"/>
  <c r="N1078" i="5"/>
  <c r="O1078" i="5"/>
  <c r="P1078" i="5"/>
  <c r="Q1078" i="5"/>
  <c r="R1078" i="5"/>
  <c r="S1078" i="5"/>
  <c r="T1078" i="5"/>
  <c r="U1078" i="5"/>
  <c r="V1078" i="5"/>
  <c r="W1078" i="5"/>
  <c r="X1078" i="5"/>
  <c r="B1079" i="5"/>
  <c r="C1079" i="5"/>
  <c r="D1079" i="5"/>
  <c r="E1079" i="5"/>
  <c r="F1079" i="5"/>
  <c r="G1079" i="5"/>
  <c r="H1079" i="5"/>
  <c r="I1079" i="5"/>
  <c r="J1079" i="5"/>
  <c r="K1079" i="5"/>
  <c r="L1079" i="5"/>
  <c r="M1079" i="5"/>
  <c r="N1079" i="5"/>
  <c r="O1079" i="5"/>
  <c r="P1079" i="5"/>
  <c r="Q1079" i="5"/>
  <c r="R1079" i="5"/>
  <c r="S1079" i="5"/>
  <c r="T1079" i="5"/>
  <c r="U1079" i="5"/>
  <c r="V1079" i="5"/>
  <c r="W1079" i="5"/>
  <c r="X1079" i="5"/>
  <c r="B1080" i="5"/>
  <c r="C1080" i="5"/>
  <c r="D1080" i="5"/>
  <c r="E1080" i="5"/>
  <c r="F1080" i="5"/>
  <c r="G1080" i="5"/>
  <c r="H1080" i="5"/>
  <c r="I1080" i="5"/>
  <c r="J1080" i="5"/>
  <c r="K1080" i="5"/>
  <c r="L1080" i="5"/>
  <c r="M1080" i="5"/>
  <c r="N1080" i="5"/>
  <c r="O1080" i="5"/>
  <c r="P1080" i="5"/>
  <c r="Q1080" i="5"/>
  <c r="R1080" i="5"/>
  <c r="S1080" i="5"/>
  <c r="T1080" i="5"/>
  <c r="U1080" i="5"/>
  <c r="V1080" i="5"/>
  <c r="W1080" i="5"/>
  <c r="X1080" i="5"/>
  <c r="B1081" i="5"/>
  <c r="C1081" i="5"/>
  <c r="D1081" i="5"/>
  <c r="E1081" i="5"/>
  <c r="F1081" i="5"/>
  <c r="G1081" i="5"/>
  <c r="H1081" i="5"/>
  <c r="I1081" i="5"/>
  <c r="J1081" i="5"/>
  <c r="K1081" i="5"/>
  <c r="L1081" i="5"/>
  <c r="M1081" i="5"/>
  <c r="N1081" i="5"/>
  <c r="O1081" i="5"/>
  <c r="P1081" i="5"/>
  <c r="Q1081" i="5"/>
  <c r="R1081" i="5"/>
  <c r="S1081" i="5"/>
  <c r="T1081" i="5"/>
  <c r="U1081" i="5"/>
  <c r="V1081" i="5"/>
  <c r="W1081" i="5"/>
  <c r="X1081" i="5"/>
  <c r="B1082" i="5"/>
  <c r="C1082" i="5"/>
  <c r="D1082" i="5"/>
  <c r="E1082" i="5"/>
  <c r="F1082" i="5"/>
  <c r="G1082" i="5"/>
  <c r="H1082" i="5"/>
  <c r="I1082" i="5"/>
  <c r="J1082" i="5"/>
  <c r="K1082" i="5"/>
  <c r="L1082" i="5"/>
  <c r="M1082" i="5"/>
  <c r="N1082" i="5"/>
  <c r="O1082" i="5"/>
  <c r="P1082" i="5"/>
  <c r="Q1082" i="5"/>
  <c r="R1082" i="5"/>
  <c r="S1082" i="5"/>
  <c r="T1082" i="5"/>
  <c r="U1082" i="5"/>
  <c r="V1082" i="5"/>
  <c r="W1082" i="5"/>
  <c r="X1082" i="5"/>
  <c r="B1083" i="5"/>
  <c r="C1083" i="5"/>
  <c r="D1083" i="5"/>
  <c r="E1083" i="5"/>
  <c r="F1083" i="5"/>
  <c r="G1083" i="5"/>
  <c r="H1083" i="5"/>
  <c r="I1083" i="5"/>
  <c r="J1083" i="5"/>
  <c r="K1083" i="5"/>
  <c r="L1083" i="5"/>
  <c r="M1083" i="5"/>
  <c r="N1083" i="5"/>
  <c r="O1083" i="5"/>
  <c r="P1083" i="5"/>
  <c r="Q1083" i="5"/>
  <c r="R1083" i="5"/>
  <c r="S1083" i="5"/>
  <c r="T1083" i="5"/>
  <c r="U1083" i="5"/>
  <c r="V1083" i="5"/>
  <c r="W1083" i="5"/>
  <c r="X1083" i="5"/>
  <c r="B1084" i="5"/>
  <c r="C1084" i="5"/>
  <c r="D1084" i="5"/>
  <c r="E1084" i="5"/>
  <c r="F1084" i="5"/>
  <c r="G1084" i="5"/>
  <c r="H1084" i="5"/>
  <c r="I1084" i="5"/>
  <c r="J1084" i="5"/>
  <c r="K1084" i="5"/>
  <c r="L1084" i="5"/>
  <c r="M1084" i="5"/>
  <c r="N1084" i="5"/>
  <c r="O1084" i="5"/>
  <c r="P1084" i="5"/>
  <c r="Q1084" i="5"/>
  <c r="R1084" i="5"/>
  <c r="S1084" i="5"/>
  <c r="T1084" i="5"/>
  <c r="U1084" i="5"/>
  <c r="V1084" i="5"/>
  <c r="W1084" i="5"/>
  <c r="X1084" i="5"/>
  <c r="B1085" i="5"/>
  <c r="C1085" i="5"/>
  <c r="D1085" i="5"/>
  <c r="F1085" i="5"/>
  <c r="G1085" i="5"/>
  <c r="H1085" i="5"/>
  <c r="I1085" i="5"/>
  <c r="J1085" i="5"/>
  <c r="K1085" i="5"/>
  <c r="L1085" i="5"/>
  <c r="N1085" i="5"/>
  <c r="O1085" i="5"/>
  <c r="P1085" i="5"/>
  <c r="Q1085" i="5"/>
  <c r="R1085" i="5"/>
  <c r="S1085" i="5"/>
  <c r="T1085" i="5"/>
  <c r="V1085" i="5"/>
  <c r="W1085" i="5"/>
  <c r="X1085" i="5"/>
  <c r="B1086" i="5"/>
  <c r="C1086" i="5"/>
  <c r="D1086" i="5"/>
  <c r="E1086" i="5"/>
  <c r="F1086" i="5"/>
  <c r="G1086" i="5"/>
  <c r="H1086" i="5"/>
  <c r="I1086" i="5"/>
  <c r="J1086" i="5"/>
  <c r="K1086" i="5"/>
  <c r="L1086" i="5"/>
  <c r="M1086" i="5"/>
  <c r="N1086" i="5"/>
  <c r="O1086" i="5"/>
  <c r="P1086" i="5"/>
  <c r="Q1086" i="5"/>
  <c r="R1086" i="5"/>
  <c r="S1086" i="5"/>
  <c r="T1086" i="5"/>
  <c r="U1086" i="5"/>
  <c r="V1086" i="5"/>
  <c r="W1086" i="5"/>
  <c r="X1086" i="5"/>
  <c r="B1087" i="5"/>
  <c r="C1087" i="5"/>
  <c r="D1087" i="5"/>
  <c r="E1087" i="5"/>
  <c r="F1087" i="5"/>
  <c r="G1087" i="5"/>
  <c r="H1087" i="5"/>
  <c r="I1087" i="5"/>
  <c r="J1087" i="5"/>
  <c r="K1087" i="5"/>
  <c r="L1087" i="5"/>
  <c r="M1087" i="5"/>
  <c r="N1087" i="5"/>
  <c r="O1087" i="5"/>
  <c r="P1087" i="5"/>
  <c r="Q1087" i="5"/>
  <c r="R1087" i="5"/>
  <c r="S1087" i="5"/>
  <c r="T1087" i="5"/>
  <c r="U1087" i="5"/>
  <c r="V1087" i="5"/>
  <c r="W1087" i="5"/>
  <c r="X1087" i="5"/>
  <c r="B1088" i="5"/>
  <c r="C1088" i="5"/>
  <c r="D1088" i="5"/>
  <c r="E1088" i="5"/>
  <c r="F1088" i="5"/>
  <c r="G1088" i="5"/>
  <c r="H1088" i="5"/>
  <c r="I1088" i="5"/>
  <c r="J1088" i="5"/>
  <c r="K1088" i="5"/>
  <c r="L1088" i="5"/>
  <c r="M1088" i="5"/>
  <c r="N1088" i="5"/>
  <c r="O1088" i="5"/>
  <c r="P1088" i="5"/>
  <c r="Q1088" i="5"/>
  <c r="R1088" i="5"/>
  <c r="S1088" i="5"/>
  <c r="T1088" i="5"/>
  <c r="U1088" i="5"/>
  <c r="V1088" i="5"/>
  <c r="W1088" i="5"/>
  <c r="X1088" i="5"/>
  <c r="C1089" i="5"/>
  <c r="D1089" i="5"/>
  <c r="E1089" i="5"/>
  <c r="F1089" i="5"/>
  <c r="G1089" i="5"/>
  <c r="H1089" i="5"/>
  <c r="I1089" i="5"/>
  <c r="K1089" i="5"/>
  <c r="L1089" i="5"/>
  <c r="M1089" i="5"/>
  <c r="N1089" i="5"/>
  <c r="O1089" i="5"/>
  <c r="P1089" i="5"/>
  <c r="Q1089" i="5"/>
  <c r="S1089" i="5"/>
  <c r="T1089" i="5"/>
  <c r="U1089" i="5"/>
  <c r="V1089" i="5"/>
  <c r="W1089" i="5"/>
  <c r="X1089" i="5"/>
  <c r="B1090" i="5"/>
  <c r="C1090" i="5"/>
  <c r="D1090" i="5"/>
  <c r="E1090" i="5"/>
  <c r="F1090" i="5"/>
  <c r="G1090" i="5"/>
  <c r="H1090" i="5"/>
  <c r="I1090" i="5"/>
  <c r="J1090" i="5"/>
  <c r="K1090" i="5"/>
  <c r="L1090" i="5"/>
  <c r="M1090" i="5"/>
  <c r="N1090" i="5"/>
  <c r="O1090" i="5"/>
  <c r="P1090" i="5"/>
  <c r="Q1090" i="5"/>
  <c r="R1090" i="5"/>
  <c r="S1090" i="5"/>
  <c r="T1090" i="5"/>
  <c r="U1090" i="5"/>
  <c r="V1090" i="5"/>
  <c r="W1090" i="5"/>
  <c r="X1090" i="5"/>
  <c r="B1091" i="5"/>
  <c r="C1091" i="5"/>
  <c r="D1091" i="5"/>
  <c r="E1091" i="5"/>
  <c r="F1091" i="5"/>
  <c r="G1091" i="5"/>
  <c r="H1091" i="5"/>
  <c r="I1091" i="5"/>
  <c r="J1091" i="5"/>
  <c r="K1091" i="5"/>
  <c r="L1091" i="5"/>
  <c r="M1091" i="5"/>
  <c r="N1091" i="5"/>
  <c r="O1091" i="5"/>
  <c r="P1091" i="5"/>
  <c r="Q1091" i="5"/>
  <c r="R1091" i="5"/>
  <c r="S1091" i="5"/>
  <c r="T1091" i="5"/>
  <c r="U1091" i="5"/>
  <c r="V1091" i="5"/>
  <c r="W1091" i="5"/>
  <c r="X1091" i="5"/>
  <c r="B1092" i="5"/>
  <c r="C1092" i="5"/>
  <c r="D1092" i="5"/>
  <c r="E1092" i="5"/>
  <c r="H1092" i="5"/>
  <c r="I1092" i="5"/>
  <c r="J1092" i="5"/>
  <c r="K1092" i="5"/>
  <c r="L1092" i="5"/>
  <c r="M1092" i="5"/>
  <c r="P1092" i="5"/>
  <c r="Q1092" i="5"/>
  <c r="R1092" i="5"/>
  <c r="S1092" i="5"/>
  <c r="T1092" i="5"/>
  <c r="U1092" i="5"/>
  <c r="X1092" i="5"/>
  <c r="B1093" i="5"/>
  <c r="C1093" i="5"/>
  <c r="D1093" i="5"/>
  <c r="E1093" i="5"/>
  <c r="F1093" i="5"/>
  <c r="G1093" i="5"/>
  <c r="H1093" i="5"/>
  <c r="I1093" i="5"/>
  <c r="J1093" i="5"/>
  <c r="K1093" i="5"/>
  <c r="L1093" i="5"/>
  <c r="M1093" i="5"/>
  <c r="N1093" i="5"/>
  <c r="O1093" i="5"/>
  <c r="P1093" i="5"/>
  <c r="Q1093" i="5"/>
  <c r="R1093" i="5"/>
  <c r="S1093" i="5"/>
  <c r="T1093" i="5"/>
  <c r="U1093" i="5"/>
  <c r="V1093" i="5"/>
  <c r="W1093" i="5"/>
  <c r="X1093" i="5"/>
  <c r="B1094" i="5"/>
  <c r="C1094" i="5"/>
  <c r="D1094" i="5"/>
  <c r="E1094" i="5"/>
  <c r="F1094" i="5"/>
  <c r="G1094" i="5"/>
  <c r="H1094" i="5"/>
  <c r="I1094" i="5"/>
  <c r="J1094" i="5"/>
  <c r="K1094" i="5"/>
  <c r="L1094" i="5"/>
  <c r="M1094" i="5"/>
  <c r="N1094" i="5"/>
  <c r="O1094" i="5"/>
  <c r="P1094" i="5"/>
  <c r="Q1094" i="5"/>
  <c r="R1094" i="5"/>
  <c r="S1094" i="5"/>
  <c r="T1094" i="5"/>
  <c r="U1094" i="5"/>
  <c r="V1094" i="5"/>
  <c r="W1094" i="5"/>
  <c r="X1094" i="5"/>
  <c r="A1095" i="5"/>
  <c r="A1096" i="5" s="1"/>
  <c r="A1097" i="5" s="1"/>
  <c r="A1098" i="5" s="1"/>
  <c r="A1099" i="5" s="1"/>
  <c r="A1100" i="5" s="1"/>
  <c r="A1101" i="5" s="1"/>
  <c r="A1102" i="5" s="1"/>
  <c r="B1095" i="5"/>
  <c r="C1095" i="5"/>
  <c r="D1095" i="5"/>
  <c r="E1095" i="5"/>
  <c r="F1095" i="5"/>
  <c r="G1095" i="5"/>
  <c r="H1095" i="5"/>
  <c r="I1095" i="5"/>
  <c r="J1095" i="5"/>
  <c r="K1095" i="5"/>
  <c r="L1095" i="5"/>
  <c r="M1095" i="5"/>
  <c r="N1095" i="5"/>
  <c r="O1095" i="5"/>
  <c r="P1095" i="5"/>
  <c r="Q1095" i="5"/>
  <c r="R1095" i="5"/>
  <c r="S1095" i="5"/>
  <c r="T1095" i="5"/>
  <c r="U1095" i="5"/>
  <c r="V1095" i="5"/>
  <c r="W1095" i="5"/>
  <c r="X1095" i="5"/>
  <c r="B1096" i="5"/>
  <c r="C1096" i="5"/>
  <c r="D1096" i="5"/>
  <c r="E1096" i="5"/>
  <c r="F1096" i="5"/>
  <c r="H1096" i="5"/>
  <c r="I1096" i="5"/>
  <c r="J1096" i="5"/>
  <c r="K1096" i="5"/>
  <c r="L1096" i="5"/>
  <c r="M1096" i="5"/>
  <c r="N1096" i="5"/>
  <c r="P1096" i="5"/>
  <c r="Q1096" i="5"/>
  <c r="R1096" i="5"/>
  <c r="S1096" i="5"/>
  <c r="T1096" i="5"/>
  <c r="U1096" i="5"/>
  <c r="V1096" i="5"/>
  <c r="X1096" i="5"/>
  <c r="B1097" i="5"/>
  <c r="C1097" i="5"/>
  <c r="D1097" i="5"/>
  <c r="E1097" i="5"/>
  <c r="H1097" i="5"/>
  <c r="J1097" i="5"/>
  <c r="K1097" i="5"/>
  <c r="L1097" i="5"/>
  <c r="M1097" i="5"/>
  <c r="R1097" i="5"/>
  <c r="S1097" i="5"/>
  <c r="T1097" i="5"/>
  <c r="U1097" i="5"/>
  <c r="B1098" i="5"/>
  <c r="C1098" i="5"/>
  <c r="D1098" i="5"/>
  <c r="F1098" i="5"/>
  <c r="G1098" i="5"/>
  <c r="H1098" i="5"/>
  <c r="I1098" i="5"/>
  <c r="J1098" i="5"/>
  <c r="K1098" i="5"/>
  <c r="L1098" i="5"/>
  <c r="N1098" i="5"/>
  <c r="O1098" i="5"/>
  <c r="P1098" i="5"/>
  <c r="Q1098" i="5"/>
  <c r="R1098" i="5"/>
  <c r="T1098" i="5"/>
  <c r="V1098" i="5"/>
  <c r="W1098" i="5"/>
  <c r="X1098" i="5"/>
  <c r="B1099" i="5"/>
  <c r="C1099" i="5"/>
  <c r="D1099" i="5"/>
  <c r="E1099" i="5"/>
  <c r="F1099" i="5"/>
  <c r="G1099" i="5"/>
  <c r="H1099" i="5"/>
  <c r="I1099" i="5"/>
  <c r="J1099" i="5"/>
  <c r="K1099" i="5"/>
  <c r="L1099" i="5"/>
  <c r="M1099" i="5"/>
  <c r="N1099" i="5"/>
  <c r="O1099" i="5"/>
  <c r="P1099" i="5"/>
  <c r="Q1099" i="5"/>
  <c r="R1099" i="5"/>
  <c r="S1099" i="5"/>
  <c r="T1099" i="5"/>
  <c r="U1099" i="5"/>
  <c r="V1099" i="5"/>
  <c r="W1099" i="5"/>
  <c r="X1099" i="5"/>
  <c r="B1100" i="5"/>
  <c r="C1100" i="5"/>
  <c r="D1100" i="5"/>
  <c r="E1100" i="5"/>
  <c r="F1100" i="5"/>
  <c r="G1100" i="5"/>
  <c r="H1100" i="5"/>
  <c r="I1100" i="5"/>
  <c r="J1100" i="5"/>
  <c r="K1100" i="5"/>
  <c r="L1100" i="5"/>
  <c r="M1100" i="5"/>
  <c r="N1100" i="5"/>
  <c r="O1100" i="5"/>
  <c r="P1100" i="5"/>
  <c r="Q1100" i="5"/>
  <c r="R1100" i="5"/>
  <c r="S1100" i="5"/>
  <c r="T1100" i="5"/>
  <c r="U1100" i="5"/>
  <c r="V1100" i="5"/>
  <c r="W1100" i="5"/>
  <c r="X1100" i="5"/>
  <c r="B1101" i="5"/>
  <c r="C1101" i="5"/>
  <c r="D1101" i="5"/>
  <c r="E1101" i="5"/>
  <c r="F1101" i="5"/>
  <c r="H1101" i="5"/>
  <c r="I1101" i="5"/>
  <c r="J1101" i="5"/>
  <c r="K1101" i="5"/>
  <c r="L1101" i="5"/>
  <c r="M1101" i="5"/>
  <c r="N1101" i="5"/>
  <c r="P1101" i="5"/>
  <c r="Q1101" i="5"/>
  <c r="R1101" i="5"/>
  <c r="S1101" i="5"/>
  <c r="T1101" i="5"/>
  <c r="U1101" i="5"/>
  <c r="V1101" i="5"/>
  <c r="X1101" i="5"/>
  <c r="B1102" i="5"/>
  <c r="C1102" i="5"/>
  <c r="F1102" i="5"/>
  <c r="G1102" i="5"/>
  <c r="H1102" i="5"/>
  <c r="I1102" i="5"/>
  <c r="J1102" i="5"/>
  <c r="K1102" i="5"/>
  <c r="N1102" i="5"/>
  <c r="O1102" i="5"/>
  <c r="P1102" i="5"/>
  <c r="Q1102" i="5"/>
  <c r="R1102" i="5"/>
  <c r="S1102" i="5"/>
  <c r="V1102" i="5"/>
  <c r="W1102" i="5"/>
  <c r="X1102" i="5"/>
  <c r="A1103" i="5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B1103" i="5"/>
  <c r="C1103" i="5"/>
  <c r="D1103" i="5"/>
  <c r="E1103" i="5"/>
  <c r="F1103" i="5"/>
  <c r="G1103" i="5"/>
  <c r="H1103" i="5"/>
  <c r="I1103" i="5"/>
  <c r="J1103" i="5"/>
  <c r="K1103" i="5"/>
  <c r="L1103" i="5"/>
  <c r="M1103" i="5"/>
  <c r="N1103" i="5"/>
  <c r="O1103" i="5"/>
  <c r="P1103" i="5"/>
  <c r="Q1103" i="5"/>
  <c r="R1103" i="5"/>
  <c r="S1103" i="5"/>
  <c r="T1103" i="5"/>
  <c r="U1103" i="5"/>
  <c r="V1103" i="5"/>
  <c r="W1103" i="5"/>
  <c r="X1103" i="5"/>
  <c r="B1104" i="5"/>
  <c r="C1104" i="5"/>
  <c r="D1104" i="5"/>
  <c r="E1104" i="5"/>
  <c r="F1104" i="5"/>
  <c r="G1104" i="5"/>
  <c r="H1104" i="5"/>
  <c r="I1104" i="5"/>
  <c r="J1104" i="5"/>
  <c r="K1104" i="5"/>
  <c r="L1104" i="5"/>
  <c r="M1104" i="5"/>
  <c r="N1104" i="5"/>
  <c r="O1104" i="5"/>
  <c r="P1104" i="5"/>
  <c r="Q1104" i="5"/>
  <c r="R1104" i="5"/>
  <c r="S1104" i="5"/>
  <c r="T1104" i="5"/>
  <c r="U1104" i="5"/>
  <c r="V1104" i="5"/>
  <c r="W1104" i="5"/>
  <c r="X1104" i="5"/>
  <c r="B1105" i="5"/>
  <c r="D1105" i="5"/>
  <c r="E1105" i="5"/>
  <c r="F1105" i="5"/>
  <c r="G1105" i="5"/>
  <c r="H1105" i="5"/>
  <c r="I1105" i="5"/>
  <c r="J1105" i="5"/>
  <c r="L1105" i="5"/>
  <c r="M1105" i="5"/>
  <c r="N1105" i="5"/>
  <c r="O1105" i="5"/>
  <c r="P1105" i="5"/>
  <c r="Q1105" i="5"/>
  <c r="R1105" i="5"/>
  <c r="T1105" i="5"/>
  <c r="U1105" i="5"/>
  <c r="V1105" i="5"/>
  <c r="W1105" i="5"/>
  <c r="X1105" i="5"/>
  <c r="C1106" i="5"/>
  <c r="D1106" i="5"/>
  <c r="E1106" i="5"/>
  <c r="F1106" i="5"/>
  <c r="I1106" i="5"/>
  <c r="K1106" i="5"/>
  <c r="L1106" i="5"/>
  <c r="M1106" i="5"/>
  <c r="N1106" i="5"/>
  <c r="Q1106" i="5"/>
  <c r="S1106" i="5"/>
  <c r="T1106" i="5"/>
  <c r="U1106" i="5"/>
  <c r="B1107" i="5"/>
  <c r="D1107" i="5"/>
  <c r="E1107" i="5"/>
  <c r="G1107" i="5"/>
  <c r="H1107" i="5"/>
  <c r="I1107" i="5"/>
  <c r="J1107" i="5"/>
  <c r="L1107" i="5"/>
  <c r="N1107" i="5"/>
  <c r="O1107" i="5"/>
  <c r="P1107" i="5"/>
  <c r="Q1107" i="5"/>
  <c r="R1107" i="5"/>
  <c r="T1107" i="5"/>
  <c r="U1107" i="5"/>
  <c r="W1107" i="5"/>
  <c r="X1107" i="5"/>
  <c r="B1108" i="5"/>
  <c r="C1108" i="5"/>
  <c r="D1108" i="5"/>
  <c r="E1108" i="5"/>
  <c r="F1108" i="5"/>
  <c r="J1108" i="5"/>
  <c r="K1108" i="5"/>
  <c r="L1108" i="5"/>
  <c r="M1108" i="5"/>
  <c r="N1108" i="5"/>
  <c r="R1108" i="5"/>
  <c r="S1108" i="5"/>
  <c r="T1108" i="5"/>
  <c r="U1108" i="5"/>
  <c r="V1108" i="5"/>
  <c r="B1109" i="5"/>
  <c r="C1109" i="5"/>
  <c r="D1109" i="5"/>
  <c r="E1109" i="5"/>
  <c r="H1109" i="5"/>
  <c r="K1109" i="5"/>
  <c r="L1109" i="5"/>
  <c r="M1109" i="5"/>
  <c r="P1109" i="5"/>
  <c r="S1109" i="5"/>
  <c r="T1109" i="5"/>
  <c r="U1109" i="5"/>
  <c r="X1109" i="5"/>
  <c r="B1110" i="5"/>
  <c r="C1110" i="5"/>
  <c r="D1110" i="5"/>
  <c r="F1110" i="5"/>
  <c r="G1110" i="5"/>
  <c r="H1110" i="5"/>
  <c r="I1110" i="5"/>
  <c r="J1110" i="5"/>
  <c r="K1110" i="5"/>
  <c r="L1110" i="5"/>
  <c r="N1110" i="5"/>
  <c r="O1110" i="5"/>
  <c r="P1110" i="5"/>
  <c r="Q1110" i="5"/>
  <c r="R1110" i="5"/>
  <c r="S1110" i="5"/>
  <c r="T1110" i="5"/>
  <c r="V1110" i="5"/>
  <c r="W1110" i="5"/>
  <c r="X1110" i="5"/>
  <c r="D1111" i="5"/>
  <c r="F1111" i="5"/>
  <c r="G1111" i="5"/>
  <c r="H1111" i="5"/>
  <c r="I1111" i="5"/>
  <c r="L1111" i="5"/>
  <c r="N1111" i="5"/>
  <c r="O1111" i="5"/>
  <c r="P1111" i="5"/>
  <c r="Q1111" i="5"/>
  <c r="T1111" i="5"/>
  <c r="U1111" i="5"/>
  <c r="V1111" i="5"/>
  <c r="W1111" i="5"/>
  <c r="X1111" i="5"/>
  <c r="C1112" i="5"/>
  <c r="D1112" i="5"/>
  <c r="E1112" i="5"/>
  <c r="F1112" i="5"/>
  <c r="K1112" i="5"/>
  <c r="L1112" i="5"/>
  <c r="N1112" i="5"/>
  <c r="O1112" i="5"/>
  <c r="S1112" i="5"/>
  <c r="T1112" i="5"/>
  <c r="B1113" i="5"/>
  <c r="C1113" i="5"/>
  <c r="D1113" i="5"/>
  <c r="E1113" i="5"/>
  <c r="H1113" i="5"/>
  <c r="I1113" i="5"/>
  <c r="J1113" i="5"/>
  <c r="K1113" i="5"/>
  <c r="L1113" i="5"/>
  <c r="M1113" i="5"/>
  <c r="P1113" i="5"/>
  <c r="Q1113" i="5"/>
  <c r="R1113" i="5"/>
  <c r="S1113" i="5"/>
  <c r="T1113" i="5"/>
  <c r="U1113" i="5"/>
  <c r="X1113" i="5"/>
  <c r="C1114" i="5"/>
  <c r="F1114" i="5"/>
  <c r="G1114" i="5"/>
  <c r="H1114" i="5"/>
  <c r="K1114" i="5"/>
  <c r="N1114" i="5"/>
  <c r="O1114" i="5"/>
  <c r="R1114" i="5"/>
  <c r="S1114" i="5"/>
  <c r="V1114" i="5"/>
  <c r="W1114" i="5"/>
  <c r="C1115" i="5"/>
  <c r="D1115" i="5"/>
  <c r="I1115" i="5"/>
  <c r="K1115" i="5"/>
  <c r="L1115" i="5"/>
  <c r="Q1115" i="5"/>
  <c r="S1115" i="5"/>
  <c r="T1115" i="5"/>
  <c r="C1116" i="5"/>
  <c r="E1116" i="5"/>
  <c r="F1116" i="5"/>
  <c r="K1116" i="5"/>
  <c r="M1116" i="5"/>
  <c r="N1116" i="5"/>
  <c r="O1116" i="5"/>
  <c r="S1116" i="5"/>
  <c r="V1116" i="5"/>
  <c r="W1116" i="5"/>
  <c r="B1117" i="5"/>
  <c r="C1117" i="5"/>
  <c r="D1117" i="5"/>
  <c r="I1117" i="5"/>
  <c r="J1117" i="5"/>
  <c r="K1117" i="5"/>
  <c r="L1117" i="5"/>
  <c r="Q1117" i="5"/>
  <c r="R1117" i="5"/>
  <c r="S1117" i="5"/>
  <c r="T1117" i="5"/>
  <c r="U1117" i="5"/>
  <c r="C1118" i="5"/>
  <c r="F1118" i="5"/>
  <c r="G1118" i="5"/>
  <c r="N1118" i="5"/>
  <c r="O1118" i="5"/>
  <c r="Q1118" i="5"/>
  <c r="V1118" i="5"/>
  <c r="W1118" i="5"/>
  <c r="E9" i="4"/>
  <c r="G9" i="4"/>
  <c r="J12" i="4"/>
  <c r="J13" i="4"/>
  <c r="J14" i="4"/>
  <c r="J15" i="4"/>
  <c r="J16" i="4"/>
  <c r="J17" i="4"/>
  <c r="J18" i="4"/>
  <c r="J19" i="4"/>
  <c r="B20" i="4"/>
  <c r="C20" i="4"/>
  <c r="D20" i="4"/>
  <c r="E20" i="4"/>
  <c r="F20" i="4"/>
  <c r="G20" i="4"/>
  <c r="H20" i="4"/>
  <c r="I20" i="4"/>
  <c r="J20" i="4"/>
  <c r="B21" i="4"/>
  <c r="C21" i="4"/>
  <c r="D21" i="4"/>
  <c r="E21" i="4"/>
  <c r="F21" i="4"/>
  <c r="G21" i="4"/>
  <c r="H21" i="4"/>
  <c r="I21" i="4"/>
  <c r="J21" i="4"/>
  <c r="B22" i="4"/>
  <c r="C22" i="4"/>
  <c r="D22" i="4"/>
  <c r="E22" i="4"/>
  <c r="F22" i="4"/>
  <c r="G22" i="4"/>
  <c r="H22" i="4"/>
  <c r="I22" i="4"/>
  <c r="J22" i="4"/>
  <c r="B23" i="4"/>
  <c r="B1069" i="4" s="1"/>
  <c r="C23" i="4"/>
  <c r="D23" i="4"/>
  <c r="E23" i="4"/>
  <c r="F23" i="4"/>
  <c r="G23" i="4"/>
  <c r="H23" i="4"/>
  <c r="I23" i="4"/>
  <c r="J23" i="4"/>
  <c r="B24" i="4"/>
  <c r="C24" i="4"/>
  <c r="D24" i="4"/>
  <c r="E24" i="4"/>
  <c r="F24" i="4"/>
  <c r="G24" i="4"/>
  <c r="H24" i="4"/>
  <c r="I24" i="4"/>
  <c r="J24" i="4"/>
  <c r="B25" i="4"/>
  <c r="C25" i="4"/>
  <c r="D25" i="4"/>
  <c r="E25" i="4"/>
  <c r="F25" i="4"/>
  <c r="G25" i="4"/>
  <c r="H25" i="4"/>
  <c r="I25" i="4"/>
  <c r="J25" i="4"/>
  <c r="B26" i="4"/>
  <c r="C26" i="4"/>
  <c r="D26" i="4"/>
  <c r="E26" i="4"/>
  <c r="F26" i="4"/>
  <c r="G26" i="4"/>
  <c r="H26" i="4"/>
  <c r="I26" i="4"/>
  <c r="J26" i="4"/>
  <c r="B27" i="4"/>
  <c r="C27" i="4"/>
  <c r="D27" i="4"/>
  <c r="E27" i="4"/>
  <c r="F27" i="4"/>
  <c r="G27" i="4"/>
  <c r="H27" i="4"/>
  <c r="I27" i="4"/>
  <c r="J27" i="4"/>
  <c r="B28" i="4"/>
  <c r="C28" i="4"/>
  <c r="D28" i="4"/>
  <c r="E28" i="4"/>
  <c r="F28" i="4"/>
  <c r="G28" i="4"/>
  <c r="H28" i="4"/>
  <c r="I28" i="4"/>
  <c r="J28" i="4"/>
  <c r="B29" i="4"/>
  <c r="C29" i="4"/>
  <c r="D29" i="4"/>
  <c r="E29" i="4"/>
  <c r="F29" i="4"/>
  <c r="G29" i="4"/>
  <c r="H29" i="4"/>
  <c r="I29" i="4"/>
  <c r="J29" i="4"/>
  <c r="B30" i="4"/>
  <c r="C30" i="4"/>
  <c r="D30" i="4"/>
  <c r="E30" i="4"/>
  <c r="F30" i="4"/>
  <c r="G30" i="4"/>
  <c r="H30" i="4"/>
  <c r="I30" i="4"/>
  <c r="J30" i="4"/>
  <c r="B31" i="4"/>
  <c r="C31" i="4"/>
  <c r="D31" i="4"/>
  <c r="E31" i="4"/>
  <c r="F31" i="4"/>
  <c r="G31" i="4"/>
  <c r="H31" i="4"/>
  <c r="I31" i="4"/>
  <c r="J31" i="4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J1087" i="4" s="1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J1100" i="4" s="1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B1003" i="4"/>
  <c r="C1003" i="4"/>
  <c r="D1003" i="4"/>
  <c r="E1003" i="4"/>
  <c r="F1003" i="4"/>
  <c r="G1003" i="4"/>
  <c r="H1003" i="4"/>
  <c r="I1003" i="4"/>
  <c r="J1003" i="4"/>
  <c r="B1004" i="4"/>
  <c r="C1004" i="4"/>
  <c r="D1004" i="4"/>
  <c r="E1004" i="4"/>
  <c r="F1004" i="4"/>
  <c r="G1004" i="4"/>
  <c r="H1004" i="4"/>
  <c r="I1004" i="4"/>
  <c r="J1004" i="4"/>
  <c r="B1005" i="4"/>
  <c r="C1005" i="4"/>
  <c r="D1005" i="4"/>
  <c r="E1005" i="4"/>
  <c r="F1005" i="4"/>
  <c r="G1005" i="4"/>
  <c r="H1005" i="4"/>
  <c r="I1005" i="4"/>
  <c r="J1005" i="4"/>
  <c r="B1006" i="4"/>
  <c r="C1006" i="4"/>
  <c r="D1006" i="4"/>
  <c r="E1006" i="4"/>
  <c r="F1006" i="4"/>
  <c r="G1006" i="4"/>
  <c r="H1006" i="4"/>
  <c r="I1006" i="4"/>
  <c r="J1006" i="4"/>
  <c r="B1007" i="4"/>
  <c r="C1007" i="4"/>
  <c r="D1007" i="4"/>
  <c r="E1007" i="4"/>
  <c r="F1007" i="4"/>
  <c r="G1007" i="4"/>
  <c r="H1007" i="4"/>
  <c r="I1007" i="4"/>
  <c r="J1007" i="4"/>
  <c r="B1008" i="4"/>
  <c r="C1008" i="4"/>
  <c r="D1008" i="4"/>
  <c r="E1008" i="4"/>
  <c r="F1008" i="4"/>
  <c r="G1008" i="4"/>
  <c r="H1008" i="4"/>
  <c r="I1008" i="4"/>
  <c r="J1008" i="4"/>
  <c r="B1009" i="4"/>
  <c r="C1009" i="4"/>
  <c r="D1009" i="4"/>
  <c r="E1009" i="4"/>
  <c r="F1009" i="4"/>
  <c r="G1009" i="4"/>
  <c r="H1009" i="4"/>
  <c r="I1009" i="4"/>
  <c r="J1009" i="4"/>
  <c r="B1010" i="4"/>
  <c r="C1010" i="4"/>
  <c r="D1010" i="4"/>
  <c r="E1010" i="4"/>
  <c r="F1010" i="4"/>
  <c r="G1010" i="4"/>
  <c r="H1010" i="4"/>
  <c r="I1010" i="4"/>
  <c r="J1010" i="4"/>
  <c r="B1011" i="4"/>
  <c r="C1011" i="4"/>
  <c r="D1011" i="4"/>
  <c r="E1011" i="4"/>
  <c r="F1011" i="4"/>
  <c r="G1011" i="4"/>
  <c r="H1011" i="4"/>
  <c r="I1011" i="4"/>
  <c r="J1011" i="4"/>
  <c r="B1012" i="4"/>
  <c r="C1012" i="4"/>
  <c r="D1012" i="4"/>
  <c r="E1012" i="4"/>
  <c r="F1012" i="4"/>
  <c r="G1012" i="4"/>
  <c r="H1012" i="4"/>
  <c r="I1012" i="4"/>
  <c r="J1012" i="4"/>
  <c r="B1013" i="4"/>
  <c r="C1013" i="4"/>
  <c r="D1013" i="4"/>
  <c r="E1013" i="4"/>
  <c r="F1013" i="4"/>
  <c r="G1013" i="4"/>
  <c r="H1013" i="4"/>
  <c r="I1013" i="4"/>
  <c r="J1013" i="4"/>
  <c r="B1014" i="4"/>
  <c r="C1014" i="4"/>
  <c r="D1014" i="4"/>
  <c r="E1014" i="4"/>
  <c r="F1014" i="4"/>
  <c r="G1014" i="4"/>
  <c r="H1014" i="4"/>
  <c r="I1014" i="4"/>
  <c r="J1014" i="4"/>
  <c r="B1015" i="4"/>
  <c r="C1015" i="4"/>
  <c r="D1015" i="4"/>
  <c r="E1015" i="4"/>
  <c r="F1015" i="4"/>
  <c r="G1015" i="4"/>
  <c r="H1015" i="4"/>
  <c r="I1015" i="4"/>
  <c r="J1015" i="4"/>
  <c r="B1016" i="4"/>
  <c r="C1016" i="4"/>
  <c r="D1016" i="4"/>
  <c r="E1016" i="4"/>
  <c r="F1016" i="4"/>
  <c r="G1016" i="4"/>
  <c r="H1016" i="4"/>
  <c r="I1016" i="4"/>
  <c r="J1016" i="4"/>
  <c r="B1017" i="4"/>
  <c r="C1017" i="4"/>
  <c r="D1017" i="4"/>
  <c r="E1017" i="4"/>
  <c r="F1017" i="4"/>
  <c r="G1017" i="4"/>
  <c r="H1017" i="4"/>
  <c r="I1017" i="4"/>
  <c r="J1017" i="4"/>
  <c r="B1018" i="4"/>
  <c r="C1018" i="4"/>
  <c r="D1018" i="4"/>
  <c r="E1018" i="4"/>
  <c r="F1018" i="4"/>
  <c r="G1018" i="4"/>
  <c r="H1018" i="4"/>
  <c r="I1018" i="4"/>
  <c r="J1018" i="4"/>
  <c r="B1019" i="4"/>
  <c r="C1019" i="4"/>
  <c r="D1019" i="4"/>
  <c r="E1019" i="4"/>
  <c r="F1019" i="4"/>
  <c r="G1019" i="4"/>
  <c r="H1019" i="4"/>
  <c r="I1019" i="4"/>
  <c r="J1019" i="4"/>
  <c r="B1020" i="4"/>
  <c r="C1020" i="4"/>
  <c r="D1020" i="4"/>
  <c r="E1020" i="4"/>
  <c r="F1020" i="4"/>
  <c r="G1020" i="4"/>
  <c r="H1020" i="4"/>
  <c r="I1020" i="4"/>
  <c r="J1020" i="4"/>
  <c r="B1021" i="4"/>
  <c r="C1021" i="4"/>
  <c r="D1021" i="4"/>
  <c r="E1021" i="4"/>
  <c r="F1021" i="4"/>
  <c r="G1021" i="4"/>
  <c r="H1021" i="4"/>
  <c r="I1021" i="4"/>
  <c r="J1021" i="4"/>
  <c r="B1022" i="4"/>
  <c r="C1022" i="4"/>
  <c r="D1022" i="4"/>
  <c r="E1022" i="4"/>
  <c r="F1022" i="4"/>
  <c r="G1022" i="4"/>
  <c r="H1022" i="4"/>
  <c r="I1022" i="4"/>
  <c r="J1022" i="4"/>
  <c r="B1023" i="4"/>
  <c r="C1023" i="4"/>
  <c r="D1023" i="4"/>
  <c r="E1023" i="4"/>
  <c r="F1023" i="4"/>
  <c r="G1023" i="4"/>
  <c r="H1023" i="4"/>
  <c r="I1023" i="4"/>
  <c r="J1023" i="4"/>
  <c r="B1024" i="4"/>
  <c r="C1024" i="4"/>
  <c r="D1024" i="4"/>
  <c r="E1024" i="4"/>
  <c r="F1024" i="4"/>
  <c r="G1024" i="4"/>
  <c r="H1024" i="4"/>
  <c r="I1024" i="4"/>
  <c r="J1024" i="4"/>
  <c r="B1025" i="4"/>
  <c r="C1025" i="4"/>
  <c r="D1025" i="4"/>
  <c r="E1025" i="4"/>
  <c r="F1025" i="4"/>
  <c r="G1025" i="4"/>
  <c r="H1025" i="4"/>
  <c r="I1025" i="4"/>
  <c r="J1025" i="4"/>
  <c r="B1026" i="4"/>
  <c r="C1026" i="4"/>
  <c r="D1026" i="4"/>
  <c r="E1026" i="4"/>
  <c r="F1026" i="4"/>
  <c r="G1026" i="4"/>
  <c r="H1026" i="4"/>
  <c r="I1026" i="4"/>
  <c r="J1026" i="4"/>
  <c r="B1027" i="4"/>
  <c r="C1027" i="4"/>
  <c r="D1027" i="4"/>
  <c r="E1027" i="4"/>
  <c r="F1027" i="4"/>
  <c r="G1027" i="4"/>
  <c r="H1027" i="4"/>
  <c r="I1027" i="4"/>
  <c r="J1027" i="4"/>
  <c r="B1028" i="4"/>
  <c r="C1028" i="4"/>
  <c r="D1028" i="4"/>
  <c r="E1028" i="4"/>
  <c r="F1028" i="4"/>
  <c r="G1028" i="4"/>
  <c r="H1028" i="4"/>
  <c r="I1028" i="4"/>
  <c r="J1028" i="4"/>
  <c r="B1029" i="4"/>
  <c r="C1029" i="4"/>
  <c r="D1029" i="4"/>
  <c r="E1029" i="4"/>
  <c r="F1029" i="4"/>
  <c r="G1029" i="4"/>
  <c r="H1029" i="4"/>
  <c r="I1029" i="4"/>
  <c r="J1029" i="4"/>
  <c r="B1030" i="4"/>
  <c r="C1030" i="4"/>
  <c r="D1030" i="4"/>
  <c r="E1030" i="4"/>
  <c r="F1030" i="4"/>
  <c r="G1030" i="4"/>
  <c r="H1030" i="4"/>
  <c r="I1030" i="4"/>
  <c r="J1030" i="4"/>
  <c r="B1031" i="4"/>
  <c r="C1031" i="4"/>
  <c r="D1031" i="4"/>
  <c r="E1031" i="4"/>
  <c r="F1031" i="4"/>
  <c r="G1031" i="4"/>
  <c r="H1031" i="4"/>
  <c r="I1031" i="4"/>
  <c r="J1031" i="4"/>
  <c r="B1032" i="4"/>
  <c r="C1032" i="4"/>
  <c r="D1032" i="4"/>
  <c r="E1032" i="4"/>
  <c r="F1032" i="4"/>
  <c r="G1032" i="4"/>
  <c r="H1032" i="4"/>
  <c r="I1032" i="4"/>
  <c r="J1032" i="4"/>
  <c r="B1033" i="4"/>
  <c r="C1033" i="4"/>
  <c r="D1033" i="4"/>
  <c r="E1033" i="4"/>
  <c r="F1033" i="4"/>
  <c r="G1033" i="4"/>
  <c r="H1033" i="4"/>
  <c r="I1033" i="4"/>
  <c r="J1033" i="4"/>
  <c r="B1034" i="4"/>
  <c r="C1034" i="4"/>
  <c r="D1034" i="4"/>
  <c r="E1034" i="4"/>
  <c r="F1034" i="4"/>
  <c r="G1034" i="4"/>
  <c r="H1034" i="4"/>
  <c r="I1034" i="4"/>
  <c r="J1034" i="4"/>
  <c r="B1035" i="4"/>
  <c r="C1035" i="4"/>
  <c r="D1035" i="4"/>
  <c r="E1035" i="4"/>
  <c r="F1035" i="4"/>
  <c r="G1035" i="4"/>
  <c r="H1035" i="4"/>
  <c r="I1035" i="4"/>
  <c r="J1035" i="4"/>
  <c r="B1036" i="4"/>
  <c r="C1036" i="4"/>
  <c r="D1036" i="4"/>
  <c r="E1036" i="4"/>
  <c r="F1036" i="4"/>
  <c r="G1036" i="4"/>
  <c r="H1036" i="4"/>
  <c r="I1036" i="4"/>
  <c r="J1036" i="4"/>
  <c r="B1037" i="4"/>
  <c r="C1037" i="4"/>
  <c r="D1037" i="4"/>
  <c r="E1037" i="4"/>
  <c r="F1037" i="4"/>
  <c r="G1037" i="4"/>
  <c r="H1037" i="4"/>
  <c r="I1037" i="4"/>
  <c r="J1037" i="4"/>
  <c r="B1038" i="4"/>
  <c r="C1038" i="4"/>
  <c r="D1038" i="4"/>
  <c r="E1038" i="4"/>
  <c r="F1038" i="4"/>
  <c r="G1038" i="4"/>
  <c r="H1038" i="4"/>
  <c r="I1038" i="4"/>
  <c r="J1038" i="4"/>
  <c r="B1039" i="4"/>
  <c r="C1039" i="4"/>
  <c r="D1039" i="4"/>
  <c r="E1039" i="4"/>
  <c r="F1039" i="4"/>
  <c r="G1039" i="4"/>
  <c r="H1039" i="4"/>
  <c r="I1039" i="4"/>
  <c r="J1039" i="4"/>
  <c r="B1040" i="4"/>
  <c r="C1040" i="4"/>
  <c r="D1040" i="4"/>
  <c r="E1040" i="4"/>
  <c r="F1040" i="4"/>
  <c r="G1040" i="4"/>
  <c r="H1040" i="4"/>
  <c r="I1040" i="4"/>
  <c r="J1040" i="4"/>
  <c r="B1041" i="4"/>
  <c r="C1041" i="4"/>
  <c r="D1041" i="4"/>
  <c r="E1041" i="4"/>
  <c r="F1041" i="4"/>
  <c r="G1041" i="4"/>
  <c r="H1041" i="4"/>
  <c r="I1041" i="4"/>
  <c r="J1041" i="4"/>
  <c r="B1042" i="4"/>
  <c r="C1042" i="4"/>
  <c r="D1042" i="4"/>
  <c r="E1042" i="4"/>
  <c r="F1042" i="4"/>
  <c r="G1042" i="4"/>
  <c r="H1042" i="4"/>
  <c r="I1042" i="4"/>
  <c r="J1042" i="4"/>
  <c r="B1043" i="4"/>
  <c r="C1043" i="4"/>
  <c r="D1043" i="4"/>
  <c r="E1043" i="4"/>
  <c r="F1043" i="4"/>
  <c r="G1043" i="4"/>
  <c r="H1043" i="4"/>
  <c r="I1043" i="4"/>
  <c r="J1043" i="4"/>
  <c r="B1044" i="4"/>
  <c r="C1044" i="4"/>
  <c r="D1044" i="4"/>
  <c r="E1044" i="4"/>
  <c r="F1044" i="4"/>
  <c r="G1044" i="4"/>
  <c r="H1044" i="4"/>
  <c r="I1044" i="4"/>
  <c r="J1044" i="4"/>
  <c r="B1045" i="4"/>
  <c r="C1045" i="4"/>
  <c r="D1045" i="4"/>
  <c r="E1045" i="4"/>
  <c r="F1045" i="4"/>
  <c r="G1045" i="4"/>
  <c r="H1045" i="4"/>
  <c r="I1045" i="4"/>
  <c r="J1045" i="4"/>
  <c r="B1046" i="4"/>
  <c r="C1046" i="4"/>
  <c r="D1046" i="4"/>
  <c r="E1046" i="4"/>
  <c r="F1046" i="4"/>
  <c r="G1046" i="4"/>
  <c r="H1046" i="4"/>
  <c r="I1046" i="4"/>
  <c r="J1046" i="4"/>
  <c r="B1047" i="4"/>
  <c r="C1047" i="4"/>
  <c r="D1047" i="4"/>
  <c r="E1047" i="4"/>
  <c r="F1047" i="4"/>
  <c r="G1047" i="4"/>
  <c r="H1047" i="4"/>
  <c r="I1047" i="4"/>
  <c r="J1047" i="4"/>
  <c r="B1048" i="4"/>
  <c r="C1048" i="4"/>
  <c r="D1048" i="4"/>
  <c r="E1048" i="4"/>
  <c r="F1048" i="4"/>
  <c r="G1048" i="4"/>
  <c r="H1048" i="4"/>
  <c r="I1048" i="4"/>
  <c r="J1048" i="4"/>
  <c r="B1049" i="4"/>
  <c r="C1049" i="4"/>
  <c r="D1049" i="4"/>
  <c r="E1049" i="4"/>
  <c r="F1049" i="4"/>
  <c r="G1049" i="4"/>
  <c r="H1049" i="4"/>
  <c r="I1049" i="4"/>
  <c r="J1049" i="4"/>
  <c r="B1050" i="4"/>
  <c r="C1050" i="4"/>
  <c r="D1050" i="4"/>
  <c r="E1050" i="4"/>
  <c r="F1050" i="4"/>
  <c r="G1050" i="4"/>
  <c r="H1050" i="4"/>
  <c r="I1050" i="4"/>
  <c r="J1050" i="4"/>
  <c r="B1051" i="4"/>
  <c r="C1051" i="4"/>
  <c r="D1051" i="4"/>
  <c r="E1051" i="4"/>
  <c r="F1051" i="4"/>
  <c r="G1051" i="4"/>
  <c r="H1051" i="4"/>
  <c r="I1051" i="4"/>
  <c r="J1051" i="4"/>
  <c r="B1052" i="4"/>
  <c r="C1052" i="4"/>
  <c r="D1052" i="4"/>
  <c r="E1052" i="4"/>
  <c r="F1052" i="4"/>
  <c r="G1052" i="4"/>
  <c r="H1052" i="4"/>
  <c r="I1052" i="4"/>
  <c r="J1052" i="4"/>
  <c r="B1053" i="4"/>
  <c r="C1053" i="4"/>
  <c r="D1053" i="4"/>
  <c r="E1053" i="4"/>
  <c r="F1053" i="4"/>
  <c r="G1053" i="4"/>
  <c r="H1053" i="4"/>
  <c r="I1053" i="4"/>
  <c r="J1053" i="4"/>
  <c r="B1054" i="4"/>
  <c r="C1054" i="4"/>
  <c r="D1054" i="4"/>
  <c r="E1054" i="4"/>
  <c r="F1054" i="4"/>
  <c r="G1054" i="4"/>
  <c r="H1054" i="4"/>
  <c r="I1054" i="4"/>
  <c r="J1054" i="4"/>
  <c r="B1055" i="4"/>
  <c r="C1055" i="4"/>
  <c r="D1055" i="4"/>
  <c r="E1055" i="4"/>
  <c r="F1055" i="4"/>
  <c r="G1055" i="4"/>
  <c r="H1055" i="4"/>
  <c r="I1055" i="4"/>
  <c r="J1055" i="4"/>
  <c r="B1056" i="4"/>
  <c r="C1056" i="4"/>
  <c r="D1056" i="4"/>
  <c r="E1056" i="4"/>
  <c r="F1056" i="4"/>
  <c r="G1056" i="4"/>
  <c r="H1056" i="4"/>
  <c r="I1056" i="4"/>
  <c r="J1056" i="4"/>
  <c r="B1057" i="4"/>
  <c r="C1057" i="4"/>
  <c r="D1057" i="4"/>
  <c r="E1057" i="4"/>
  <c r="F1057" i="4"/>
  <c r="G1057" i="4"/>
  <c r="H1057" i="4"/>
  <c r="I1057" i="4"/>
  <c r="J1057" i="4"/>
  <c r="B1058" i="4"/>
  <c r="C1058" i="4"/>
  <c r="D1058" i="4"/>
  <c r="E1058" i="4"/>
  <c r="F1058" i="4"/>
  <c r="G1058" i="4"/>
  <c r="H1058" i="4"/>
  <c r="I1058" i="4"/>
  <c r="J1058" i="4"/>
  <c r="B1059" i="4"/>
  <c r="C1059" i="4"/>
  <c r="D1059" i="4"/>
  <c r="E1059" i="4"/>
  <c r="F1059" i="4"/>
  <c r="G1059" i="4"/>
  <c r="H1059" i="4"/>
  <c r="I1059" i="4"/>
  <c r="J1059" i="4"/>
  <c r="B1060" i="4"/>
  <c r="C1060" i="4"/>
  <c r="D1060" i="4"/>
  <c r="E1060" i="4"/>
  <c r="F1060" i="4"/>
  <c r="G1060" i="4"/>
  <c r="H1060" i="4"/>
  <c r="I1060" i="4"/>
  <c r="J1060" i="4"/>
  <c r="B1061" i="4"/>
  <c r="C1061" i="4"/>
  <c r="D1061" i="4"/>
  <c r="E1061" i="4"/>
  <c r="F1061" i="4"/>
  <c r="G1061" i="4"/>
  <c r="H1061" i="4"/>
  <c r="I1061" i="4"/>
  <c r="J1061" i="4"/>
  <c r="B1062" i="4"/>
  <c r="C1062" i="4"/>
  <c r="D1062" i="4"/>
  <c r="E1062" i="4"/>
  <c r="F1062" i="4"/>
  <c r="G1062" i="4"/>
  <c r="H1062" i="4"/>
  <c r="I1062" i="4"/>
  <c r="J1062" i="4"/>
  <c r="B1063" i="4"/>
  <c r="C1063" i="4"/>
  <c r="D1063" i="4"/>
  <c r="E1063" i="4"/>
  <c r="F1063" i="4"/>
  <c r="G1063" i="4"/>
  <c r="H1063" i="4"/>
  <c r="I1063" i="4"/>
  <c r="J1063" i="4"/>
  <c r="B1064" i="4"/>
  <c r="C1064" i="4"/>
  <c r="D1064" i="4"/>
  <c r="E1064" i="4"/>
  <c r="F1064" i="4"/>
  <c r="G1064" i="4"/>
  <c r="H1064" i="4"/>
  <c r="I1064" i="4"/>
  <c r="J1064" i="4"/>
  <c r="B1065" i="4"/>
  <c r="C1065" i="4"/>
  <c r="D1065" i="4"/>
  <c r="E1065" i="4"/>
  <c r="F1065" i="4"/>
  <c r="G1065" i="4"/>
  <c r="H1065" i="4"/>
  <c r="I1065" i="4"/>
  <c r="J1065" i="4"/>
  <c r="B1066" i="4"/>
  <c r="C1066" i="4"/>
  <c r="D1066" i="4"/>
  <c r="E1066" i="4"/>
  <c r="F1066" i="4"/>
  <c r="G1066" i="4"/>
  <c r="H1066" i="4"/>
  <c r="I1066" i="4"/>
  <c r="J1066" i="4"/>
  <c r="B1067" i="4"/>
  <c r="C1067" i="4"/>
  <c r="D1067" i="4"/>
  <c r="E1067" i="4"/>
  <c r="F1067" i="4"/>
  <c r="G1067" i="4"/>
  <c r="H1067" i="4"/>
  <c r="I1067" i="4"/>
  <c r="J1067" i="4"/>
  <c r="D1069" i="4"/>
  <c r="F1069" i="4"/>
  <c r="G1069" i="4"/>
  <c r="H1069" i="4"/>
  <c r="I1069" i="4"/>
  <c r="D1070" i="4"/>
  <c r="F1070" i="4"/>
  <c r="G1070" i="4"/>
  <c r="D1071" i="4"/>
  <c r="F1071" i="4"/>
  <c r="G1071" i="4"/>
  <c r="D1072" i="4"/>
  <c r="F1072" i="4"/>
  <c r="H1072" i="4"/>
  <c r="D1073" i="4"/>
  <c r="G1073" i="4"/>
  <c r="H1073" i="4"/>
  <c r="D1074" i="4"/>
  <c r="G1074" i="4"/>
  <c r="H1074" i="4"/>
  <c r="E1075" i="4"/>
  <c r="G1075" i="4"/>
  <c r="H1075" i="4"/>
  <c r="E1076" i="4"/>
  <c r="G1076" i="4"/>
  <c r="H1076" i="4"/>
  <c r="E1077" i="4"/>
  <c r="G1077" i="4"/>
  <c r="H1077" i="4"/>
  <c r="E1078" i="4"/>
  <c r="G1078" i="4"/>
  <c r="H1078" i="4"/>
  <c r="E1079" i="4"/>
  <c r="G1079" i="4"/>
  <c r="E1080" i="4"/>
  <c r="H1080" i="4"/>
  <c r="I1080" i="4"/>
  <c r="E1081" i="4"/>
  <c r="H1081" i="4"/>
  <c r="I1081" i="4"/>
  <c r="F1082" i="4"/>
  <c r="I1082" i="4"/>
  <c r="F1083" i="4"/>
  <c r="H1083" i="4"/>
  <c r="I1083" i="4"/>
  <c r="F1084" i="4"/>
  <c r="H1084" i="4"/>
  <c r="I1084" i="4"/>
  <c r="H1085" i="4"/>
  <c r="I1085" i="4"/>
  <c r="F1086" i="4"/>
  <c r="H1086" i="4"/>
  <c r="J1086" i="4"/>
  <c r="F1087" i="4"/>
  <c r="I1087" i="4"/>
  <c r="F1088" i="4"/>
  <c r="I1088" i="4"/>
  <c r="J1088" i="4"/>
  <c r="G1089" i="4"/>
  <c r="I1089" i="4"/>
  <c r="J1089" i="4"/>
  <c r="G1090" i="4"/>
  <c r="J1090" i="4"/>
  <c r="G1091" i="4"/>
  <c r="I1091" i="4"/>
  <c r="J1091" i="4"/>
  <c r="G1092" i="4"/>
  <c r="I1092" i="4"/>
  <c r="J1092" i="4"/>
  <c r="I1093" i="4"/>
  <c r="A1094" i="4"/>
  <c r="A1095" i="4" s="1"/>
  <c r="A1096" i="4" s="1"/>
  <c r="A1097" i="4" s="1"/>
  <c r="A1098" i="4" s="1"/>
  <c r="A1099" i="4" s="1"/>
  <c r="F1094" i="4"/>
  <c r="I1094" i="4"/>
  <c r="J1094" i="4"/>
  <c r="E1095" i="4"/>
  <c r="H1095" i="4"/>
  <c r="E1096" i="4"/>
  <c r="G1096" i="4"/>
  <c r="H1096" i="4"/>
  <c r="D1097" i="4"/>
  <c r="F1097" i="4"/>
  <c r="G1097" i="4"/>
  <c r="C1098" i="4"/>
  <c r="F1098" i="4"/>
  <c r="B1099" i="4"/>
  <c r="D1099" i="4"/>
  <c r="E1099" i="4"/>
  <c r="A1100" i="4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C1100" i="4"/>
  <c r="E1100" i="4"/>
  <c r="C1101" i="4"/>
  <c r="D1101" i="4"/>
  <c r="I1101" i="4"/>
  <c r="B1102" i="4"/>
  <c r="C1102" i="4"/>
  <c r="I1102" i="4"/>
  <c r="H1103" i="4"/>
  <c r="J1103" i="4"/>
  <c r="G1104" i="4"/>
  <c r="I1104" i="4"/>
  <c r="J1104" i="4"/>
  <c r="I1105" i="4"/>
  <c r="E1106" i="4"/>
  <c r="G1106" i="4"/>
  <c r="I1106" i="4"/>
  <c r="D1107" i="4"/>
  <c r="G1107" i="4"/>
  <c r="F1108" i="4"/>
  <c r="G1108" i="4"/>
  <c r="C1109" i="4"/>
  <c r="E1109" i="4"/>
  <c r="F1109" i="4"/>
  <c r="B1110" i="4"/>
  <c r="C1111" i="4"/>
  <c r="D1111" i="4"/>
  <c r="J1111" i="4"/>
  <c r="B1112" i="4"/>
  <c r="C1112" i="4"/>
  <c r="C1113" i="4"/>
  <c r="H1113" i="4"/>
  <c r="B1114" i="4"/>
  <c r="G1114" i="4"/>
  <c r="J1114" i="4"/>
  <c r="I1115" i="4"/>
  <c r="J1115" i="4"/>
  <c r="F1116" i="4"/>
  <c r="H1116" i="4"/>
  <c r="I1116" i="4"/>
  <c r="E1117" i="4"/>
  <c r="D9" i="3"/>
  <c r="F9" i="3"/>
  <c r="B20" i="3"/>
  <c r="C20" i="3"/>
  <c r="D20" i="3"/>
  <c r="E20" i="3"/>
  <c r="F20" i="3"/>
  <c r="G20" i="3"/>
  <c r="H20" i="3"/>
  <c r="I20" i="3"/>
  <c r="J20" i="3"/>
  <c r="K20" i="3"/>
  <c r="B21" i="3"/>
  <c r="C21" i="3"/>
  <c r="D21" i="3"/>
  <c r="E21" i="3"/>
  <c r="F21" i="3"/>
  <c r="G21" i="3"/>
  <c r="H21" i="3"/>
  <c r="I21" i="3"/>
  <c r="J21" i="3"/>
  <c r="K21" i="3"/>
  <c r="B22" i="3"/>
  <c r="C22" i="3"/>
  <c r="C1069" i="3" s="1"/>
  <c r="D22" i="3"/>
  <c r="E22" i="3"/>
  <c r="F22" i="3"/>
  <c r="G22" i="3"/>
  <c r="H22" i="3"/>
  <c r="I22" i="3"/>
  <c r="J22" i="3"/>
  <c r="K22" i="3"/>
  <c r="K1069" i="3" s="1"/>
  <c r="B23" i="3"/>
  <c r="C23" i="3"/>
  <c r="D23" i="3"/>
  <c r="E23" i="3"/>
  <c r="F23" i="3"/>
  <c r="G23" i="3"/>
  <c r="H23" i="3"/>
  <c r="H1069" i="3" s="1"/>
  <c r="I23" i="3"/>
  <c r="J23" i="3"/>
  <c r="K23" i="3"/>
  <c r="B24" i="3"/>
  <c r="C24" i="3"/>
  <c r="D24" i="3"/>
  <c r="E24" i="3"/>
  <c r="F24" i="3"/>
  <c r="G24" i="3"/>
  <c r="H24" i="3"/>
  <c r="I24" i="3"/>
  <c r="J24" i="3"/>
  <c r="K24" i="3"/>
  <c r="B25" i="3"/>
  <c r="C25" i="3"/>
  <c r="D25" i="3"/>
  <c r="E25" i="3"/>
  <c r="F25" i="3"/>
  <c r="G25" i="3"/>
  <c r="H25" i="3"/>
  <c r="I25" i="3"/>
  <c r="J25" i="3"/>
  <c r="K25" i="3"/>
  <c r="B26" i="3"/>
  <c r="C26" i="3"/>
  <c r="D26" i="3"/>
  <c r="E26" i="3"/>
  <c r="F26" i="3"/>
  <c r="G26" i="3"/>
  <c r="H26" i="3"/>
  <c r="I26" i="3"/>
  <c r="J26" i="3"/>
  <c r="K26" i="3"/>
  <c r="B27" i="3"/>
  <c r="C27" i="3"/>
  <c r="D27" i="3"/>
  <c r="E27" i="3"/>
  <c r="F27" i="3"/>
  <c r="G27" i="3"/>
  <c r="H27" i="3"/>
  <c r="I27" i="3"/>
  <c r="J27" i="3"/>
  <c r="K27" i="3"/>
  <c r="B28" i="3"/>
  <c r="C28" i="3"/>
  <c r="D28" i="3"/>
  <c r="E28" i="3"/>
  <c r="F28" i="3"/>
  <c r="G28" i="3"/>
  <c r="H28" i="3"/>
  <c r="I28" i="3"/>
  <c r="J28" i="3"/>
  <c r="K28" i="3"/>
  <c r="B29" i="3"/>
  <c r="C29" i="3"/>
  <c r="D29" i="3"/>
  <c r="E29" i="3"/>
  <c r="F29" i="3"/>
  <c r="G29" i="3"/>
  <c r="H29" i="3"/>
  <c r="I29" i="3"/>
  <c r="J29" i="3"/>
  <c r="K29" i="3"/>
  <c r="B30" i="3"/>
  <c r="C30" i="3"/>
  <c r="D30" i="3"/>
  <c r="E30" i="3"/>
  <c r="F30" i="3"/>
  <c r="G30" i="3"/>
  <c r="H30" i="3"/>
  <c r="I30" i="3"/>
  <c r="J30" i="3"/>
  <c r="K30" i="3"/>
  <c r="B31" i="3"/>
  <c r="C31" i="3"/>
  <c r="D31" i="3"/>
  <c r="E31" i="3"/>
  <c r="F31" i="3"/>
  <c r="G31" i="3"/>
  <c r="H31" i="3"/>
  <c r="I31" i="3"/>
  <c r="J31" i="3"/>
  <c r="K31" i="3"/>
  <c r="B32" i="3"/>
  <c r="C32" i="3"/>
  <c r="D32" i="3"/>
  <c r="E32" i="3"/>
  <c r="F32" i="3"/>
  <c r="G32" i="3"/>
  <c r="H32" i="3"/>
  <c r="I32" i="3"/>
  <c r="J32" i="3"/>
  <c r="K32" i="3"/>
  <c r="B33" i="3"/>
  <c r="C33" i="3"/>
  <c r="D33" i="3"/>
  <c r="E33" i="3"/>
  <c r="F33" i="3"/>
  <c r="G33" i="3"/>
  <c r="H33" i="3"/>
  <c r="I33" i="3"/>
  <c r="J33" i="3"/>
  <c r="K33" i="3"/>
  <c r="B34" i="3"/>
  <c r="C34" i="3"/>
  <c r="D34" i="3"/>
  <c r="E34" i="3"/>
  <c r="F34" i="3"/>
  <c r="G34" i="3"/>
  <c r="H34" i="3"/>
  <c r="I34" i="3"/>
  <c r="J34" i="3"/>
  <c r="K34" i="3"/>
  <c r="B35" i="3"/>
  <c r="C35" i="3"/>
  <c r="D35" i="3"/>
  <c r="E35" i="3"/>
  <c r="F35" i="3"/>
  <c r="G35" i="3"/>
  <c r="H35" i="3"/>
  <c r="I35" i="3"/>
  <c r="J35" i="3"/>
  <c r="K35" i="3"/>
  <c r="B36" i="3"/>
  <c r="C36" i="3"/>
  <c r="D36" i="3"/>
  <c r="E36" i="3"/>
  <c r="F36" i="3"/>
  <c r="G36" i="3"/>
  <c r="H36" i="3"/>
  <c r="I36" i="3"/>
  <c r="J36" i="3"/>
  <c r="K36" i="3"/>
  <c r="B37" i="3"/>
  <c r="C37" i="3"/>
  <c r="D37" i="3"/>
  <c r="E37" i="3"/>
  <c r="F37" i="3"/>
  <c r="G37" i="3"/>
  <c r="H37" i="3"/>
  <c r="I37" i="3"/>
  <c r="J37" i="3"/>
  <c r="K37" i="3"/>
  <c r="B38" i="3"/>
  <c r="C38" i="3"/>
  <c r="D38" i="3"/>
  <c r="E38" i="3"/>
  <c r="F38" i="3"/>
  <c r="G38" i="3"/>
  <c r="H38" i="3"/>
  <c r="I38" i="3"/>
  <c r="J38" i="3"/>
  <c r="K38" i="3"/>
  <c r="B39" i="3"/>
  <c r="C39" i="3"/>
  <c r="D39" i="3"/>
  <c r="E39" i="3"/>
  <c r="F39" i="3"/>
  <c r="G39" i="3"/>
  <c r="H39" i="3"/>
  <c r="I39" i="3"/>
  <c r="J39" i="3"/>
  <c r="K39" i="3"/>
  <c r="B40" i="3"/>
  <c r="C40" i="3"/>
  <c r="D40" i="3"/>
  <c r="E40" i="3"/>
  <c r="F40" i="3"/>
  <c r="G40" i="3"/>
  <c r="H40" i="3"/>
  <c r="I40" i="3"/>
  <c r="J40" i="3"/>
  <c r="K40" i="3"/>
  <c r="B41" i="3"/>
  <c r="C41" i="3"/>
  <c r="D41" i="3"/>
  <c r="E41" i="3"/>
  <c r="F41" i="3"/>
  <c r="G41" i="3"/>
  <c r="H41" i="3"/>
  <c r="I41" i="3"/>
  <c r="J41" i="3"/>
  <c r="K41" i="3"/>
  <c r="B42" i="3"/>
  <c r="C42" i="3"/>
  <c r="D42" i="3"/>
  <c r="E42" i="3"/>
  <c r="F42" i="3"/>
  <c r="G42" i="3"/>
  <c r="H42" i="3"/>
  <c r="I42" i="3"/>
  <c r="J42" i="3"/>
  <c r="K42" i="3"/>
  <c r="B43" i="3"/>
  <c r="C43" i="3"/>
  <c r="D43" i="3"/>
  <c r="E43" i="3"/>
  <c r="F43" i="3"/>
  <c r="G43" i="3"/>
  <c r="H43" i="3"/>
  <c r="I43" i="3"/>
  <c r="J43" i="3"/>
  <c r="K43" i="3"/>
  <c r="B44" i="3"/>
  <c r="C44" i="3"/>
  <c r="D44" i="3"/>
  <c r="E44" i="3"/>
  <c r="F44" i="3"/>
  <c r="G44" i="3"/>
  <c r="H44" i="3"/>
  <c r="I44" i="3"/>
  <c r="J44" i="3"/>
  <c r="K44" i="3"/>
  <c r="B45" i="3"/>
  <c r="C45" i="3"/>
  <c r="D45" i="3"/>
  <c r="E45" i="3"/>
  <c r="F45" i="3"/>
  <c r="G45" i="3"/>
  <c r="H45" i="3"/>
  <c r="I45" i="3"/>
  <c r="J45" i="3"/>
  <c r="K45" i="3"/>
  <c r="B46" i="3"/>
  <c r="C46" i="3"/>
  <c r="D46" i="3"/>
  <c r="E46" i="3"/>
  <c r="F46" i="3"/>
  <c r="G46" i="3"/>
  <c r="H46" i="3"/>
  <c r="I46" i="3"/>
  <c r="J46" i="3"/>
  <c r="K46" i="3"/>
  <c r="B47" i="3"/>
  <c r="C47" i="3"/>
  <c r="D47" i="3"/>
  <c r="E47" i="3"/>
  <c r="F47" i="3"/>
  <c r="G47" i="3"/>
  <c r="H47" i="3"/>
  <c r="I47" i="3"/>
  <c r="J47" i="3"/>
  <c r="K47" i="3"/>
  <c r="B48" i="3"/>
  <c r="C48" i="3"/>
  <c r="D48" i="3"/>
  <c r="E48" i="3"/>
  <c r="F48" i="3"/>
  <c r="G48" i="3"/>
  <c r="H48" i="3"/>
  <c r="I48" i="3"/>
  <c r="J48" i="3"/>
  <c r="K48" i="3"/>
  <c r="B49" i="3"/>
  <c r="C49" i="3"/>
  <c r="D49" i="3"/>
  <c r="E49" i="3"/>
  <c r="F49" i="3"/>
  <c r="G49" i="3"/>
  <c r="H49" i="3"/>
  <c r="I49" i="3"/>
  <c r="J49" i="3"/>
  <c r="K49" i="3"/>
  <c r="B50" i="3"/>
  <c r="C50" i="3"/>
  <c r="D50" i="3"/>
  <c r="E50" i="3"/>
  <c r="F50" i="3"/>
  <c r="G50" i="3"/>
  <c r="H50" i="3"/>
  <c r="I50" i="3"/>
  <c r="J50" i="3"/>
  <c r="K50" i="3"/>
  <c r="B51" i="3"/>
  <c r="C51" i="3"/>
  <c r="D51" i="3"/>
  <c r="E51" i="3"/>
  <c r="F51" i="3"/>
  <c r="G51" i="3"/>
  <c r="H51" i="3"/>
  <c r="I51" i="3"/>
  <c r="J51" i="3"/>
  <c r="K51" i="3"/>
  <c r="B52" i="3"/>
  <c r="C52" i="3"/>
  <c r="D52" i="3"/>
  <c r="E52" i="3"/>
  <c r="F52" i="3"/>
  <c r="G52" i="3"/>
  <c r="H52" i="3"/>
  <c r="I52" i="3"/>
  <c r="J52" i="3"/>
  <c r="K52" i="3"/>
  <c r="B53" i="3"/>
  <c r="C53" i="3"/>
  <c r="D53" i="3"/>
  <c r="E53" i="3"/>
  <c r="F53" i="3"/>
  <c r="G53" i="3"/>
  <c r="H53" i="3"/>
  <c r="I53" i="3"/>
  <c r="J53" i="3"/>
  <c r="K53" i="3"/>
  <c r="B54" i="3"/>
  <c r="C54" i="3"/>
  <c r="D54" i="3"/>
  <c r="E54" i="3"/>
  <c r="F54" i="3"/>
  <c r="G54" i="3"/>
  <c r="H54" i="3"/>
  <c r="I54" i="3"/>
  <c r="J54" i="3"/>
  <c r="K54" i="3"/>
  <c r="B55" i="3"/>
  <c r="C55" i="3"/>
  <c r="D55" i="3"/>
  <c r="E55" i="3"/>
  <c r="F55" i="3"/>
  <c r="G55" i="3"/>
  <c r="H55" i="3"/>
  <c r="I55" i="3"/>
  <c r="J55" i="3"/>
  <c r="K55" i="3"/>
  <c r="B56" i="3"/>
  <c r="C56" i="3"/>
  <c r="D56" i="3"/>
  <c r="E56" i="3"/>
  <c r="F56" i="3"/>
  <c r="G56" i="3"/>
  <c r="H56" i="3"/>
  <c r="I56" i="3"/>
  <c r="J56" i="3"/>
  <c r="K56" i="3"/>
  <c r="B57" i="3"/>
  <c r="C57" i="3"/>
  <c r="D57" i="3"/>
  <c r="E57" i="3"/>
  <c r="F57" i="3"/>
  <c r="G57" i="3"/>
  <c r="H57" i="3"/>
  <c r="I57" i="3"/>
  <c r="J57" i="3"/>
  <c r="K57" i="3"/>
  <c r="B58" i="3"/>
  <c r="C58" i="3"/>
  <c r="D58" i="3"/>
  <c r="E58" i="3"/>
  <c r="F58" i="3"/>
  <c r="G58" i="3"/>
  <c r="H58" i="3"/>
  <c r="I58" i="3"/>
  <c r="J58" i="3"/>
  <c r="K58" i="3"/>
  <c r="B59" i="3"/>
  <c r="C59" i="3"/>
  <c r="D59" i="3"/>
  <c r="E59" i="3"/>
  <c r="F59" i="3"/>
  <c r="G59" i="3"/>
  <c r="H59" i="3"/>
  <c r="I59" i="3"/>
  <c r="J59" i="3"/>
  <c r="K59" i="3"/>
  <c r="B60" i="3"/>
  <c r="C60" i="3"/>
  <c r="D60" i="3"/>
  <c r="E60" i="3"/>
  <c r="F60" i="3"/>
  <c r="G60" i="3"/>
  <c r="H60" i="3"/>
  <c r="I60" i="3"/>
  <c r="J60" i="3"/>
  <c r="K60" i="3"/>
  <c r="B61" i="3"/>
  <c r="C61" i="3"/>
  <c r="D61" i="3"/>
  <c r="E61" i="3"/>
  <c r="F61" i="3"/>
  <c r="G61" i="3"/>
  <c r="H61" i="3"/>
  <c r="I61" i="3"/>
  <c r="J61" i="3"/>
  <c r="K61" i="3"/>
  <c r="B62" i="3"/>
  <c r="C62" i="3"/>
  <c r="D62" i="3"/>
  <c r="E62" i="3"/>
  <c r="F62" i="3"/>
  <c r="G62" i="3"/>
  <c r="H62" i="3"/>
  <c r="I62" i="3"/>
  <c r="J62" i="3"/>
  <c r="K62" i="3"/>
  <c r="B63" i="3"/>
  <c r="C63" i="3"/>
  <c r="D63" i="3"/>
  <c r="E63" i="3"/>
  <c r="F63" i="3"/>
  <c r="G63" i="3"/>
  <c r="H63" i="3"/>
  <c r="I63" i="3"/>
  <c r="J63" i="3"/>
  <c r="K63" i="3"/>
  <c r="B64" i="3"/>
  <c r="C64" i="3"/>
  <c r="D64" i="3"/>
  <c r="E64" i="3"/>
  <c r="F64" i="3"/>
  <c r="G64" i="3"/>
  <c r="H64" i="3"/>
  <c r="I64" i="3"/>
  <c r="J64" i="3"/>
  <c r="K64" i="3"/>
  <c r="B65" i="3"/>
  <c r="C65" i="3"/>
  <c r="D65" i="3"/>
  <c r="E65" i="3"/>
  <c r="F65" i="3"/>
  <c r="G65" i="3"/>
  <c r="H65" i="3"/>
  <c r="I65" i="3"/>
  <c r="J65" i="3"/>
  <c r="K65" i="3"/>
  <c r="B66" i="3"/>
  <c r="C66" i="3"/>
  <c r="D66" i="3"/>
  <c r="E66" i="3"/>
  <c r="F66" i="3"/>
  <c r="G66" i="3"/>
  <c r="H66" i="3"/>
  <c r="I66" i="3"/>
  <c r="J66" i="3"/>
  <c r="K66" i="3"/>
  <c r="B67" i="3"/>
  <c r="C67" i="3"/>
  <c r="D67" i="3"/>
  <c r="E67" i="3"/>
  <c r="F67" i="3"/>
  <c r="G67" i="3"/>
  <c r="H67" i="3"/>
  <c r="I67" i="3"/>
  <c r="J67" i="3"/>
  <c r="K67" i="3"/>
  <c r="B68" i="3"/>
  <c r="C68" i="3"/>
  <c r="D68" i="3"/>
  <c r="E68" i="3"/>
  <c r="F68" i="3"/>
  <c r="G68" i="3"/>
  <c r="H68" i="3"/>
  <c r="I68" i="3"/>
  <c r="J68" i="3"/>
  <c r="K68" i="3"/>
  <c r="B69" i="3"/>
  <c r="C69" i="3"/>
  <c r="D69" i="3"/>
  <c r="E69" i="3"/>
  <c r="F69" i="3"/>
  <c r="G69" i="3"/>
  <c r="H69" i="3"/>
  <c r="I69" i="3"/>
  <c r="J69" i="3"/>
  <c r="K69" i="3"/>
  <c r="B70" i="3"/>
  <c r="C70" i="3"/>
  <c r="D70" i="3"/>
  <c r="E70" i="3"/>
  <c r="F70" i="3"/>
  <c r="G70" i="3"/>
  <c r="H70" i="3"/>
  <c r="I70" i="3"/>
  <c r="J70" i="3"/>
  <c r="K70" i="3"/>
  <c r="B71" i="3"/>
  <c r="C71" i="3"/>
  <c r="D71" i="3"/>
  <c r="E71" i="3"/>
  <c r="F71" i="3"/>
  <c r="G71" i="3"/>
  <c r="H71" i="3"/>
  <c r="I71" i="3"/>
  <c r="J71" i="3"/>
  <c r="K71" i="3"/>
  <c r="B72" i="3"/>
  <c r="C72" i="3"/>
  <c r="D72" i="3"/>
  <c r="E72" i="3"/>
  <c r="F72" i="3"/>
  <c r="G72" i="3"/>
  <c r="H72" i="3"/>
  <c r="I72" i="3"/>
  <c r="J72" i="3"/>
  <c r="K72" i="3"/>
  <c r="B73" i="3"/>
  <c r="C73" i="3"/>
  <c r="D73" i="3"/>
  <c r="E73" i="3"/>
  <c r="F73" i="3"/>
  <c r="G73" i="3"/>
  <c r="H73" i="3"/>
  <c r="I73" i="3"/>
  <c r="J73" i="3"/>
  <c r="K73" i="3"/>
  <c r="B74" i="3"/>
  <c r="C74" i="3"/>
  <c r="D74" i="3"/>
  <c r="E74" i="3"/>
  <c r="F74" i="3"/>
  <c r="G74" i="3"/>
  <c r="H74" i="3"/>
  <c r="I74" i="3"/>
  <c r="J74" i="3"/>
  <c r="K74" i="3"/>
  <c r="B75" i="3"/>
  <c r="C75" i="3"/>
  <c r="D75" i="3"/>
  <c r="E75" i="3"/>
  <c r="F75" i="3"/>
  <c r="G75" i="3"/>
  <c r="H75" i="3"/>
  <c r="I75" i="3"/>
  <c r="J75" i="3"/>
  <c r="K75" i="3"/>
  <c r="B76" i="3"/>
  <c r="C76" i="3"/>
  <c r="D76" i="3"/>
  <c r="E76" i="3"/>
  <c r="F76" i="3"/>
  <c r="G76" i="3"/>
  <c r="H76" i="3"/>
  <c r="I76" i="3"/>
  <c r="J76" i="3"/>
  <c r="K76" i="3"/>
  <c r="B77" i="3"/>
  <c r="C77" i="3"/>
  <c r="D77" i="3"/>
  <c r="E77" i="3"/>
  <c r="F77" i="3"/>
  <c r="G77" i="3"/>
  <c r="H77" i="3"/>
  <c r="I77" i="3"/>
  <c r="J77" i="3"/>
  <c r="K77" i="3"/>
  <c r="B78" i="3"/>
  <c r="C78" i="3"/>
  <c r="D78" i="3"/>
  <c r="E78" i="3"/>
  <c r="F78" i="3"/>
  <c r="G78" i="3"/>
  <c r="H78" i="3"/>
  <c r="I78" i="3"/>
  <c r="J78" i="3"/>
  <c r="K78" i="3"/>
  <c r="B79" i="3"/>
  <c r="C79" i="3"/>
  <c r="D79" i="3"/>
  <c r="E79" i="3"/>
  <c r="F79" i="3"/>
  <c r="G79" i="3"/>
  <c r="H79" i="3"/>
  <c r="I79" i="3"/>
  <c r="J79" i="3"/>
  <c r="K79" i="3"/>
  <c r="B80" i="3"/>
  <c r="C80" i="3"/>
  <c r="D80" i="3"/>
  <c r="E80" i="3"/>
  <c r="F80" i="3"/>
  <c r="G80" i="3"/>
  <c r="H80" i="3"/>
  <c r="I80" i="3"/>
  <c r="J80" i="3"/>
  <c r="K80" i="3"/>
  <c r="B81" i="3"/>
  <c r="C81" i="3"/>
  <c r="D81" i="3"/>
  <c r="E81" i="3"/>
  <c r="F81" i="3"/>
  <c r="G81" i="3"/>
  <c r="H81" i="3"/>
  <c r="I81" i="3"/>
  <c r="J81" i="3"/>
  <c r="K81" i="3"/>
  <c r="B82" i="3"/>
  <c r="C82" i="3"/>
  <c r="D82" i="3"/>
  <c r="E82" i="3"/>
  <c r="F82" i="3"/>
  <c r="G82" i="3"/>
  <c r="H82" i="3"/>
  <c r="I82" i="3"/>
  <c r="J82" i="3"/>
  <c r="K82" i="3"/>
  <c r="B83" i="3"/>
  <c r="C83" i="3"/>
  <c r="D83" i="3"/>
  <c r="E83" i="3"/>
  <c r="F83" i="3"/>
  <c r="G83" i="3"/>
  <c r="H83" i="3"/>
  <c r="I83" i="3"/>
  <c r="J83" i="3"/>
  <c r="K83" i="3"/>
  <c r="B84" i="3"/>
  <c r="C84" i="3"/>
  <c r="D84" i="3"/>
  <c r="E84" i="3"/>
  <c r="F84" i="3"/>
  <c r="G84" i="3"/>
  <c r="H84" i="3"/>
  <c r="I84" i="3"/>
  <c r="J84" i="3"/>
  <c r="K84" i="3"/>
  <c r="B85" i="3"/>
  <c r="C85" i="3"/>
  <c r="D85" i="3"/>
  <c r="E85" i="3"/>
  <c r="F85" i="3"/>
  <c r="G85" i="3"/>
  <c r="H85" i="3"/>
  <c r="I85" i="3"/>
  <c r="J85" i="3"/>
  <c r="K85" i="3"/>
  <c r="B86" i="3"/>
  <c r="C86" i="3"/>
  <c r="D86" i="3"/>
  <c r="E86" i="3"/>
  <c r="F86" i="3"/>
  <c r="G86" i="3"/>
  <c r="H86" i="3"/>
  <c r="I86" i="3"/>
  <c r="J86" i="3"/>
  <c r="K86" i="3"/>
  <c r="B87" i="3"/>
  <c r="C87" i="3"/>
  <c r="D87" i="3"/>
  <c r="E87" i="3"/>
  <c r="F87" i="3"/>
  <c r="G87" i="3"/>
  <c r="H87" i="3"/>
  <c r="I87" i="3"/>
  <c r="J87" i="3"/>
  <c r="K87" i="3"/>
  <c r="B88" i="3"/>
  <c r="C88" i="3"/>
  <c r="D88" i="3"/>
  <c r="E88" i="3"/>
  <c r="F88" i="3"/>
  <c r="G88" i="3"/>
  <c r="H88" i="3"/>
  <c r="I88" i="3"/>
  <c r="J88" i="3"/>
  <c r="K88" i="3"/>
  <c r="B89" i="3"/>
  <c r="C89" i="3"/>
  <c r="D89" i="3"/>
  <c r="E89" i="3"/>
  <c r="F89" i="3"/>
  <c r="G89" i="3"/>
  <c r="H89" i="3"/>
  <c r="I89" i="3"/>
  <c r="J89" i="3"/>
  <c r="K89" i="3"/>
  <c r="B90" i="3"/>
  <c r="C90" i="3"/>
  <c r="D90" i="3"/>
  <c r="E90" i="3"/>
  <c r="F90" i="3"/>
  <c r="G90" i="3"/>
  <c r="H90" i="3"/>
  <c r="I90" i="3"/>
  <c r="J90" i="3"/>
  <c r="K90" i="3"/>
  <c r="B91" i="3"/>
  <c r="C91" i="3"/>
  <c r="D91" i="3"/>
  <c r="E91" i="3"/>
  <c r="F91" i="3"/>
  <c r="G91" i="3"/>
  <c r="H91" i="3"/>
  <c r="I91" i="3"/>
  <c r="J91" i="3"/>
  <c r="K91" i="3"/>
  <c r="B92" i="3"/>
  <c r="C92" i="3"/>
  <c r="D92" i="3"/>
  <c r="E92" i="3"/>
  <c r="F92" i="3"/>
  <c r="G92" i="3"/>
  <c r="H92" i="3"/>
  <c r="I92" i="3"/>
  <c r="J92" i="3"/>
  <c r="K92" i="3"/>
  <c r="B93" i="3"/>
  <c r="C93" i="3"/>
  <c r="D93" i="3"/>
  <c r="E93" i="3"/>
  <c r="F93" i="3"/>
  <c r="G93" i="3"/>
  <c r="H93" i="3"/>
  <c r="I93" i="3"/>
  <c r="J93" i="3"/>
  <c r="K93" i="3"/>
  <c r="B94" i="3"/>
  <c r="C94" i="3"/>
  <c r="D94" i="3"/>
  <c r="E94" i="3"/>
  <c r="F94" i="3"/>
  <c r="G94" i="3"/>
  <c r="H94" i="3"/>
  <c r="I94" i="3"/>
  <c r="J94" i="3"/>
  <c r="K94" i="3"/>
  <c r="B95" i="3"/>
  <c r="C95" i="3"/>
  <c r="D95" i="3"/>
  <c r="E95" i="3"/>
  <c r="F95" i="3"/>
  <c r="G95" i="3"/>
  <c r="H95" i="3"/>
  <c r="I95" i="3"/>
  <c r="J95" i="3"/>
  <c r="K95" i="3"/>
  <c r="B96" i="3"/>
  <c r="C96" i="3"/>
  <c r="D96" i="3"/>
  <c r="E96" i="3"/>
  <c r="F96" i="3"/>
  <c r="G96" i="3"/>
  <c r="H96" i="3"/>
  <c r="I96" i="3"/>
  <c r="J96" i="3"/>
  <c r="K96" i="3"/>
  <c r="B97" i="3"/>
  <c r="C97" i="3"/>
  <c r="D97" i="3"/>
  <c r="E97" i="3"/>
  <c r="F97" i="3"/>
  <c r="G97" i="3"/>
  <c r="H97" i="3"/>
  <c r="I97" i="3"/>
  <c r="J97" i="3"/>
  <c r="K97" i="3"/>
  <c r="B98" i="3"/>
  <c r="C98" i="3"/>
  <c r="D98" i="3"/>
  <c r="E98" i="3"/>
  <c r="F98" i="3"/>
  <c r="G98" i="3"/>
  <c r="H98" i="3"/>
  <c r="I98" i="3"/>
  <c r="J98" i="3"/>
  <c r="K98" i="3"/>
  <c r="B99" i="3"/>
  <c r="C99" i="3"/>
  <c r="D99" i="3"/>
  <c r="E99" i="3"/>
  <c r="F99" i="3"/>
  <c r="G99" i="3"/>
  <c r="H99" i="3"/>
  <c r="I99" i="3"/>
  <c r="J99" i="3"/>
  <c r="K99" i="3"/>
  <c r="B100" i="3"/>
  <c r="C100" i="3"/>
  <c r="D100" i="3"/>
  <c r="E100" i="3"/>
  <c r="F100" i="3"/>
  <c r="G100" i="3"/>
  <c r="H100" i="3"/>
  <c r="I100" i="3"/>
  <c r="J100" i="3"/>
  <c r="K100" i="3"/>
  <c r="B101" i="3"/>
  <c r="C101" i="3"/>
  <c r="D101" i="3"/>
  <c r="E101" i="3"/>
  <c r="F101" i="3"/>
  <c r="G101" i="3"/>
  <c r="H101" i="3"/>
  <c r="I101" i="3"/>
  <c r="J101" i="3"/>
  <c r="K101" i="3"/>
  <c r="B102" i="3"/>
  <c r="C102" i="3"/>
  <c r="D102" i="3"/>
  <c r="E102" i="3"/>
  <c r="F102" i="3"/>
  <c r="G102" i="3"/>
  <c r="H102" i="3"/>
  <c r="I102" i="3"/>
  <c r="J102" i="3"/>
  <c r="K102" i="3"/>
  <c r="B103" i="3"/>
  <c r="C103" i="3"/>
  <c r="D103" i="3"/>
  <c r="E103" i="3"/>
  <c r="F103" i="3"/>
  <c r="G103" i="3"/>
  <c r="H103" i="3"/>
  <c r="I103" i="3"/>
  <c r="J103" i="3"/>
  <c r="K103" i="3"/>
  <c r="B104" i="3"/>
  <c r="C104" i="3"/>
  <c r="D104" i="3"/>
  <c r="E104" i="3"/>
  <c r="F104" i="3"/>
  <c r="G104" i="3"/>
  <c r="H104" i="3"/>
  <c r="I104" i="3"/>
  <c r="J104" i="3"/>
  <c r="K104" i="3"/>
  <c r="B105" i="3"/>
  <c r="C105" i="3"/>
  <c r="D105" i="3"/>
  <c r="E105" i="3"/>
  <c r="F105" i="3"/>
  <c r="G105" i="3"/>
  <c r="H105" i="3"/>
  <c r="I105" i="3"/>
  <c r="J105" i="3"/>
  <c r="K105" i="3"/>
  <c r="B106" i="3"/>
  <c r="C106" i="3"/>
  <c r="D106" i="3"/>
  <c r="E106" i="3"/>
  <c r="F106" i="3"/>
  <c r="G106" i="3"/>
  <c r="H106" i="3"/>
  <c r="I106" i="3"/>
  <c r="J106" i="3"/>
  <c r="K106" i="3"/>
  <c r="B107" i="3"/>
  <c r="C107" i="3"/>
  <c r="D107" i="3"/>
  <c r="E107" i="3"/>
  <c r="F107" i="3"/>
  <c r="G107" i="3"/>
  <c r="H107" i="3"/>
  <c r="I107" i="3"/>
  <c r="J107" i="3"/>
  <c r="K107" i="3"/>
  <c r="B108" i="3"/>
  <c r="C108" i="3"/>
  <c r="D108" i="3"/>
  <c r="E108" i="3"/>
  <c r="F108" i="3"/>
  <c r="G108" i="3"/>
  <c r="H108" i="3"/>
  <c r="I108" i="3"/>
  <c r="J108" i="3"/>
  <c r="K108" i="3"/>
  <c r="B109" i="3"/>
  <c r="C109" i="3"/>
  <c r="D109" i="3"/>
  <c r="E109" i="3"/>
  <c r="F109" i="3"/>
  <c r="G109" i="3"/>
  <c r="H109" i="3"/>
  <c r="I109" i="3"/>
  <c r="J109" i="3"/>
  <c r="K109" i="3"/>
  <c r="B110" i="3"/>
  <c r="C110" i="3"/>
  <c r="D110" i="3"/>
  <c r="E110" i="3"/>
  <c r="F110" i="3"/>
  <c r="G110" i="3"/>
  <c r="H110" i="3"/>
  <c r="I110" i="3"/>
  <c r="J110" i="3"/>
  <c r="K110" i="3"/>
  <c r="B111" i="3"/>
  <c r="C111" i="3"/>
  <c r="D111" i="3"/>
  <c r="E111" i="3"/>
  <c r="F111" i="3"/>
  <c r="G111" i="3"/>
  <c r="H111" i="3"/>
  <c r="I111" i="3"/>
  <c r="J111" i="3"/>
  <c r="K111" i="3"/>
  <c r="B112" i="3"/>
  <c r="C112" i="3"/>
  <c r="D112" i="3"/>
  <c r="E112" i="3"/>
  <c r="F112" i="3"/>
  <c r="G112" i="3"/>
  <c r="H112" i="3"/>
  <c r="I112" i="3"/>
  <c r="J112" i="3"/>
  <c r="K112" i="3"/>
  <c r="B113" i="3"/>
  <c r="C113" i="3"/>
  <c r="D113" i="3"/>
  <c r="E113" i="3"/>
  <c r="F113" i="3"/>
  <c r="G113" i="3"/>
  <c r="H113" i="3"/>
  <c r="I113" i="3"/>
  <c r="J113" i="3"/>
  <c r="K113" i="3"/>
  <c r="B114" i="3"/>
  <c r="C114" i="3"/>
  <c r="D114" i="3"/>
  <c r="E114" i="3"/>
  <c r="F114" i="3"/>
  <c r="G114" i="3"/>
  <c r="H114" i="3"/>
  <c r="I114" i="3"/>
  <c r="J114" i="3"/>
  <c r="K114" i="3"/>
  <c r="B115" i="3"/>
  <c r="C115" i="3"/>
  <c r="D115" i="3"/>
  <c r="E115" i="3"/>
  <c r="F115" i="3"/>
  <c r="G115" i="3"/>
  <c r="H115" i="3"/>
  <c r="I115" i="3"/>
  <c r="J115" i="3"/>
  <c r="K115" i="3"/>
  <c r="B116" i="3"/>
  <c r="C116" i="3"/>
  <c r="D116" i="3"/>
  <c r="E116" i="3"/>
  <c r="F116" i="3"/>
  <c r="G116" i="3"/>
  <c r="H116" i="3"/>
  <c r="I116" i="3"/>
  <c r="J116" i="3"/>
  <c r="K116" i="3"/>
  <c r="B117" i="3"/>
  <c r="C117" i="3"/>
  <c r="D117" i="3"/>
  <c r="E117" i="3"/>
  <c r="F117" i="3"/>
  <c r="G117" i="3"/>
  <c r="H117" i="3"/>
  <c r="I117" i="3"/>
  <c r="J117" i="3"/>
  <c r="K117" i="3"/>
  <c r="B118" i="3"/>
  <c r="C118" i="3"/>
  <c r="D118" i="3"/>
  <c r="E118" i="3"/>
  <c r="F118" i="3"/>
  <c r="G118" i="3"/>
  <c r="H118" i="3"/>
  <c r="I118" i="3"/>
  <c r="J118" i="3"/>
  <c r="K118" i="3"/>
  <c r="B119" i="3"/>
  <c r="C119" i="3"/>
  <c r="D119" i="3"/>
  <c r="E119" i="3"/>
  <c r="F119" i="3"/>
  <c r="G119" i="3"/>
  <c r="H119" i="3"/>
  <c r="I119" i="3"/>
  <c r="J119" i="3"/>
  <c r="K119" i="3"/>
  <c r="B120" i="3"/>
  <c r="C120" i="3"/>
  <c r="D120" i="3"/>
  <c r="E120" i="3"/>
  <c r="F120" i="3"/>
  <c r="G120" i="3"/>
  <c r="H120" i="3"/>
  <c r="I120" i="3"/>
  <c r="J120" i="3"/>
  <c r="K120" i="3"/>
  <c r="B121" i="3"/>
  <c r="C121" i="3"/>
  <c r="D121" i="3"/>
  <c r="E121" i="3"/>
  <c r="F121" i="3"/>
  <c r="G121" i="3"/>
  <c r="H121" i="3"/>
  <c r="I121" i="3"/>
  <c r="J121" i="3"/>
  <c r="K121" i="3"/>
  <c r="B122" i="3"/>
  <c r="C122" i="3"/>
  <c r="D122" i="3"/>
  <c r="E122" i="3"/>
  <c r="F122" i="3"/>
  <c r="G122" i="3"/>
  <c r="H122" i="3"/>
  <c r="I122" i="3"/>
  <c r="J122" i="3"/>
  <c r="K122" i="3"/>
  <c r="B123" i="3"/>
  <c r="C123" i="3"/>
  <c r="D123" i="3"/>
  <c r="E123" i="3"/>
  <c r="F123" i="3"/>
  <c r="G123" i="3"/>
  <c r="H123" i="3"/>
  <c r="I123" i="3"/>
  <c r="J123" i="3"/>
  <c r="K123" i="3"/>
  <c r="B124" i="3"/>
  <c r="C124" i="3"/>
  <c r="D124" i="3"/>
  <c r="E124" i="3"/>
  <c r="F124" i="3"/>
  <c r="G124" i="3"/>
  <c r="H124" i="3"/>
  <c r="I124" i="3"/>
  <c r="J124" i="3"/>
  <c r="K124" i="3"/>
  <c r="B125" i="3"/>
  <c r="C125" i="3"/>
  <c r="D125" i="3"/>
  <c r="E125" i="3"/>
  <c r="F125" i="3"/>
  <c r="G125" i="3"/>
  <c r="H125" i="3"/>
  <c r="I125" i="3"/>
  <c r="J125" i="3"/>
  <c r="K125" i="3"/>
  <c r="B126" i="3"/>
  <c r="C126" i="3"/>
  <c r="D126" i="3"/>
  <c r="E126" i="3"/>
  <c r="F126" i="3"/>
  <c r="G126" i="3"/>
  <c r="H126" i="3"/>
  <c r="I126" i="3"/>
  <c r="J126" i="3"/>
  <c r="K126" i="3"/>
  <c r="B127" i="3"/>
  <c r="C127" i="3"/>
  <c r="D127" i="3"/>
  <c r="E127" i="3"/>
  <c r="F127" i="3"/>
  <c r="G127" i="3"/>
  <c r="H127" i="3"/>
  <c r="I127" i="3"/>
  <c r="J127" i="3"/>
  <c r="K127" i="3"/>
  <c r="B128" i="3"/>
  <c r="C128" i="3"/>
  <c r="D128" i="3"/>
  <c r="E128" i="3"/>
  <c r="F128" i="3"/>
  <c r="G128" i="3"/>
  <c r="H128" i="3"/>
  <c r="I128" i="3"/>
  <c r="J128" i="3"/>
  <c r="K128" i="3"/>
  <c r="B129" i="3"/>
  <c r="C129" i="3"/>
  <c r="D129" i="3"/>
  <c r="E129" i="3"/>
  <c r="F129" i="3"/>
  <c r="G129" i="3"/>
  <c r="H129" i="3"/>
  <c r="I129" i="3"/>
  <c r="J129" i="3"/>
  <c r="K129" i="3"/>
  <c r="B130" i="3"/>
  <c r="C130" i="3"/>
  <c r="D130" i="3"/>
  <c r="E130" i="3"/>
  <c r="F130" i="3"/>
  <c r="G130" i="3"/>
  <c r="H130" i="3"/>
  <c r="I130" i="3"/>
  <c r="J130" i="3"/>
  <c r="K130" i="3"/>
  <c r="B131" i="3"/>
  <c r="C131" i="3"/>
  <c r="D131" i="3"/>
  <c r="E131" i="3"/>
  <c r="F131" i="3"/>
  <c r="G131" i="3"/>
  <c r="H131" i="3"/>
  <c r="I131" i="3"/>
  <c r="J131" i="3"/>
  <c r="K131" i="3"/>
  <c r="B132" i="3"/>
  <c r="C132" i="3"/>
  <c r="D132" i="3"/>
  <c r="E132" i="3"/>
  <c r="F132" i="3"/>
  <c r="G132" i="3"/>
  <c r="H132" i="3"/>
  <c r="I132" i="3"/>
  <c r="J132" i="3"/>
  <c r="K132" i="3"/>
  <c r="B133" i="3"/>
  <c r="C133" i="3"/>
  <c r="D133" i="3"/>
  <c r="E133" i="3"/>
  <c r="F133" i="3"/>
  <c r="G133" i="3"/>
  <c r="H133" i="3"/>
  <c r="I133" i="3"/>
  <c r="J133" i="3"/>
  <c r="K133" i="3"/>
  <c r="B134" i="3"/>
  <c r="C134" i="3"/>
  <c r="D134" i="3"/>
  <c r="E134" i="3"/>
  <c r="F134" i="3"/>
  <c r="G134" i="3"/>
  <c r="H134" i="3"/>
  <c r="I134" i="3"/>
  <c r="J134" i="3"/>
  <c r="K134" i="3"/>
  <c r="B135" i="3"/>
  <c r="C135" i="3"/>
  <c r="D135" i="3"/>
  <c r="E135" i="3"/>
  <c r="F135" i="3"/>
  <c r="G135" i="3"/>
  <c r="H135" i="3"/>
  <c r="I135" i="3"/>
  <c r="J135" i="3"/>
  <c r="K135" i="3"/>
  <c r="B136" i="3"/>
  <c r="C136" i="3"/>
  <c r="D136" i="3"/>
  <c r="E136" i="3"/>
  <c r="F136" i="3"/>
  <c r="G136" i="3"/>
  <c r="H136" i="3"/>
  <c r="I136" i="3"/>
  <c r="J136" i="3"/>
  <c r="K136" i="3"/>
  <c r="B137" i="3"/>
  <c r="C137" i="3"/>
  <c r="D137" i="3"/>
  <c r="E137" i="3"/>
  <c r="F137" i="3"/>
  <c r="G137" i="3"/>
  <c r="H137" i="3"/>
  <c r="I137" i="3"/>
  <c r="J137" i="3"/>
  <c r="K137" i="3"/>
  <c r="B138" i="3"/>
  <c r="C138" i="3"/>
  <c r="D138" i="3"/>
  <c r="E138" i="3"/>
  <c r="F138" i="3"/>
  <c r="G138" i="3"/>
  <c r="H138" i="3"/>
  <c r="I138" i="3"/>
  <c r="J138" i="3"/>
  <c r="K138" i="3"/>
  <c r="B139" i="3"/>
  <c r="C139" i="3"/>
  <c r="D139" i="3"/>
  <c r="E139" i="3"/>
  <c r="F139" i="3"/>
  <c r="G139" i="3"/>
  <c r="H139" i="3"/>
  <c r="I139" i="3"/>
  <c r="J139" i="3"/>
  <c r="K139" i="3"/>
  <c r="B140" i="3"/>
  <c r="C140" i="3"/>
  <c r="D140" i="3"/>
  <c r="E140" i="3"/>
  <c r="F140" i="3"/>
  <c r="G140" i="3"/>
  <c r="H140" i="3"/>
  <c r="I140" i="3"/>
  <c r="J140" i="3"/>
  <c r="K140" i="3"/>
  <c r="B141" i="3"/>
  <c r="C141" i="3"/>
  <c r="D141" i="3"/>
  <c r="E141" i="3"/>
  <c r="F141" i="3"/>
  <c r="G141" i="3"/>
  <c r="H141" i="3"/>
  <c r="I141" i="3"/>
  <c r="J141" i="3"/>
  <c r="K141" i="3"/>
  <c r="B142" i="3"/>
  <c r="C142" i="3"/>
  <c r="D142" i="3"/>
  <c r="E142" i="3"/>
  <c r="F142" i="3"/>
  <c r="G142" i="3"/>
  <c r="H142" i="3"/>
  <c r="I142" i="3"/>
  <c r="J142" i="3"/>
  <c r="K142" i="3"/>
  <c r="B143" i="3"/>
  <c r="C143" i="3"/>
  <c r="D143" i="3"/>
  <c r="E143" i="3"/>
  <c r="F143" i="3"/>
  <c r="G143" i="3"/>
  <c r="H143" i="3"/>
  <c r="I143" i="3"/>
  <c r="J143" i="3"/>
  <c r="K143" i="3"/>
  <c r="B144" i="3"/>
  <c r="C144" i="3"/>
  <c r="D144" i="3"/>
  <c r="E144" i="3"/>
  <c r="F144" i="3"/>
  <c r="G144" i="3"/>
  <c r="H144" i="3"/>
  <c r="I144" i="3"/>
  <c r="J144" i="3"/>
  <c r="K144" i="3"/>
  <c r="B145" i="3"/>
  <c r="C145" i="3"/>
  <c r="D145" i="3"/>
  <c r="E145" i="3"/>
  <c r="F145" i="3"/>
  <c r="G145" i="3"/>
  <c r="H145" i="3"/>
  <c r="I145" i="3"/>
  <c r="J145" i="3"/>
  <c r="K145" i="3"/>
  <c r="B146" i="3"/>
  <c r="C146" i="3"/>
  <c r="D146" i="3"/>
  <c r="E146" i="3"/>
  <c r="F146" i="3"/>
  <c r="G146" i="3"/>
  <c r="H146" i="3"/>
  <c r="I146" i="3"/>
  <c r="J146" i="3"/>
  <c r="K146" i="3"/>
  <c r="B147" i="3"/>
  <c r="C147" i="3"/>
  <c r="D147" i="3"/>
  <c r="E147" i="3"/>
  <c r="F147" i="3"/>
  <c r="G147" i="3"/>
  <c r="H147" i="3"/>
  <c r="I147" i="3"/>
  <c r="J147" i="3"/>
  <c r="K147" i="3"/>
  <c r="B148" i="3"/>
  <c r="C148" i="3"/>
  <c r="D148" i="3"/>
  <c r="E148" i="3"/>
  <c r="F148" i="3"/>
  <c r="G148" i="3"/>
  <c r="H148" i="3"/>
  <c r="I148" i="3"/>
  <c r="J148" i="3"/>
  <c r="K148" i="3"/>
  <c r="B149" i="3"/>
  <c r="C149" i="3"/>
  <c r="D149" i="3"/>
  <c r="E149" i="3"/>
  <c r="F149" i="3"/>
  <c r="G149" i="3"/>
  <c r="H149" i="3"/>
  <c r="I149" i="3"/>
  <c r="J149" i="3"/>
  <c r="K149" i="3"/>
  <c r="B150" i="3"/>
  <c r="C150" i="3"/>
  <c r="D150" i="3"/>
  <c r="E150" i="3"/>
  <c r="F150" i="3"/>
  <c r="G150" i="3"/>
  <c r="H150" i="3"/>
  <c r="I150" i="3"/>
  <c r="J150" i="3"/>
  <c r="K150" i="3"/>
  <c r="B151" i="3"/>
  <c r="C151" i="3"/>
  <c r="D151" i="3"/>
  <c r="E151" i="3"/>
  <c r="F151" i="3"/>
  <c r="G151" i="3"/>
  <c r="H151" i="3"/>
  <c r="I151" i="3"/>
  <c r="J151" i="3"/>
  <c r="K151" i="3"/>
  <c r="B152" i="3"/>
  <c r="C152" i="3"/>
  <c r="D152" i="3"/>
  <c r="E152" i="3"/>
  <c r="F152" i="3"/>
  <c r="G152" i="3"/>
  <c r="H152" i="3"/>
  <c r="I152" i="3"/>
  <c r="J152" i="3"/>
  <c r="K152" i="3"/>
  <c r="B153" i="3"/>
  <c r="C153" i="3"/>
  <c r="D153" i="3"/>
  <c r="E153" i="3"/>
  <c r="F153" i="3"/>
  <c r="G153" i="3"/>
  <c r="H153" i="3"/>
  <c r="I153" i="3"/>
  <c r="J153" i="3"/>
  <c r="K153" i="3"/>
  <c r="B154" i="3"/>
  <c r="C154" i="3"/>
  <c r="D154" i="3"/>
  <c r="E154" i="3"/>
  <c r="F154" i="3"/>
  <c r="G154" i="3"/>
  <c r="H154" i="3"/>
  <c r="I154" i="3"/>
  <c r="J154" i="3"/>
  <c r="K154" i="3"/>
  <c r="B155" i="3"/>
  <c r="C155" i="3"/>
  <c r="D155" i="3"/>
  <c r="E155" i="3"/>
  <c r="F155" i="3"/>
  <c r="G155" i="3"/>
  <c r="H155" i="3"/>
  <c r="I155" i="3"/>
  <c r="J155" i="3"/>
  <c r="K155" i="3"/>
  <c r="B156" i="3"/>
  <c r="C156" i="3"/>
  <c r="D156" i="3"/>
  <c r="E156" i="3"/>
  <c r="F156" i="3"/>
  <c r="G156" i="3"/>
  <c r="H156" i="3"/>
  <c r="I156" i="3"/>
  <c r="J156" i="3"/>
  <c r="K156" i="3"/>
  <c r="B157" i="3"/>
  <c r="C157" i="3"/>
  <c r="D157" i="3"/>
  <c r="E157" i="3"/>
  <c r="F157" i="3"/>
  <c r="G157" i="3"/>
  <c r="H157" i="3"/>
  <c r="I157" i="3"/>
  <c r="J157" i="3"/>
  <c r="K157" i="3"/>
  <c r="B158" i="3"/>
  <c r="C158" i="3"/>
  <c r="D158" i="3"/>
  <c r="E158" i="3"/>
  <c r="F158" i="3"/>
  <c r="G158" i="3"/>
  <c r="H158" i="3"/>
  <c r="I158" i="3"/>
  <c r="J158" i="3"/>
  <c r="K158" i="3"/>
  <c r="B159" i="3"/>
  <c r="C159" i="3"/>
  <c r="D159" i="3"/>
  <c r="E159" i="3"/>
  <c r="F159" i="3"/>
  <c r="G159" i="3"/>
  <c r="H159" i="3"/>
  <c r="I159" i="3"/>
  <c r="J159" i="3"/>
  <c r="K159" i="3"/>
  <c r="B160" i="3"/>
  <c r="C160" i="3"/>
  <c r="D160" i="3"/>
  <c r="E160" i="3"/>
  <c r="F160" i="3"/>
  <c r="G160" i="3"/>
  <c r="H160" i="3"/>
  <c r="I160" i="3"/>
  <c r="J160" i="3"/>
  <c r="K160" i="3"/>
  <c r="B161" i="3"/>
  <c r="C161" i="3"/>
  <c r="D161" i="3"/>
  <c r="E161" i="3"/>
  <c r="F161" i="3"/>
  <c r="G161" i="3"/>
  <c r="H161" i="3"/>
  <c r="I161" i="3"/>
  <c r="J161" i="3"/>
  <c r="K161" i="3"/>
  <c r="B162" i="3"/>
  <c r="C162" i="3"/>
  <c r="D162" i="3"/>
  <c r="E162" i="3"/>
  <c r="F162" i="3"/>
  <c r="G162" i="3"/>
  <c r="H162" i="3"/>
  <c r="I162" i="3"/>
  <c r="J162" i="3"/>
  <c r="K162" i="3"/>
  <c r="B163" i="3"/>
  <c r="C163" i="3"/>
  <c r="D163" i="3"/>
  <c r="E163" i="3"/>
  <c r="F163" i="3"/>
  <c r="G163" i="3"/>
  <c r="H163" i="3"/>
  <c r="I163" i="3"/>
  <c r="J163" i="3"/>
  <c r="K163" i="3"/>
  <c r="B164" i="3"/>
  <c r="C164" i="3"/>
  <c r="D164" i="3"/>
  <c r="E164" i="3"/>
  <c r="F164" i="3"/>
  <c r="G164" i="3"/>
  <c r="H164" i="3"/>
  <c r="I164" i="3"/>
  <c r="J164" i="3"/>
  <c r="K164" i="3"/>
  <c r="B165" i="3"/>
  <c r="C165" i="3"/>
  <c r="D165" i="3"/>
  <c r="E165" i="3"/>
  <c r="F165" i="3"/>
  <c r="G165" i="3"/>
  <c r="H165" i="3"/>
  <c r="I165" i="3"/>
  <c r="J165" i="3"/>
  <c r="K165" i="3"/>
  <c r="B166" i="3"/>
  <c r="C166" i="3"/>
  <c r="D166" i="3"/>
  <c r="E166" i="3"/>
  <c r="F166" i="3"/>
  <c r="G166" i="3"/>
  <c r="H166" i="3"/>
  <c r="I166" i="3"/>
  <c r="J166" i="3"/>
  <c r="K166" i="3"/>
  <c r="B167" i="3"/>
  <c r="C167" i="3"/>
  <c r="D167" i="3"/>
  <c r="E167" i="3"/>
  <c r="F167" i="3"/>
  <c r="G167" i="3"/>
  <c r="H167" i="3"/>
  <c r="I167" i="3"/>
  <c r="J167" i="3"/>
  <c r="K167" i="3"/>
  <c r="B168" i="3"/>
  <c r="C168" i="3"/>
  <c r="D168" i="3"/>
  <c r="E168" i="3"/>
  <c r="F168" i="3"/>
  <c r="G168" i="3"/>
  <c r="H168" i="3"/>
  <c r="I168" i="3"/>
  <c r="J168" i="3"/>
  <c r="K168" i="3"/>
  <c r="B169" i="3"/>
  <c r="C169" i="3"/>
  <c r="D169" i="3"/>
  <c r="E169" i="3"/>
  <c r="F169" i="3"/>
  <c r="G169" i="3"/>
  <c r="H169" i="3"/>
  <c r="I169" i="3"/>
  <c r="J169" i="3"/>
  <c r="K169" i="3"/>
  <c r="B170" i="3"/>
  <c r="C170" i="3"/>
  <c r="D170" i="3"/>
  <c r="E170" i="3"/>
  <c r="F170" i="3"/>
  <c r="G170" i="3"/>
  <c r="H170" i="3"/>
  <c r="I170" i="3"/>
  <c r="J170" i="3"/>
  <c r="K170" i="3"/>
  <c r="B171" i="3"/>
  <c r="C171" i="3"/>
  <c r="D171" i="3"/>
  <c r="E171" i="3"/>
  <c r="F171" i="3"/>
  <c r="G171" i="3"/>
  <c r="H171" i="3"/>
  <c r="I171" i="3"/>
  <c r="J171" i="3"/>
  <c r="K171" i="3"/>
  <c r="B172" i="3"/>
  <c r="C172" i="3"/>
  <c r="D172" i="3"/>
  <c r="E172" i="3"/>
  <c r="F172" i="3"/>
  <c r="G172" i="3"/>
  <c r="H172" i="3"/>
  <c r="I172" i="3"/>
  <c r="J172" i="3"/>
  <c r="K172" i="3"/>
  <c r="B173" i="3"/>
  <c r="C173" i="3"/>
  <c r="D173" i="3"/>
  <c r="E173" i="3"/>
  <c r="F173" i="3"/>
  <c r="G173" i="3"/>
  <c r="H173" i="3"/>
  <c r="I173" i="3"/>
  <c r="J173" i="3"/>
  <c r="K173" i="3"/>
  <c r="B174" i="3"/>
  <c r="C174" i="3"/>
  <c r="D174" i="3"/>
  <c r="E174" i="3"/>
  <c r="F174" i="3"/>
  <c r="G174" i="3"/>
  <c r="H174" i="3"/>
  <c r="I174" i="3"/>
  <c r="J174" i="3"/>
  <c r="K174" i="3"/>
  <c r="B175" i="3"/>
  <c r="C175" i="3"/>
  <c r="D175" i="3"/>
  <c r="E175" i="3"/>
  <c r="F175" i="3"/>
  <c r="G175" i="3"/>
  <c r="H175" i="3"/>
  <c r="I175" i="3"/>
  <c r="J175" i="3"/>
  <c r="K175" i="3"/>
  <c r="B176" i="3"/>
  <c r="C176" i="3"/>
  <c r="D176" i="3"/>
  <c r="E176" i="3"/>
  <c r="F176" i="3"/>
  <c r="G176" i="3"/>
  <c r="H176" i="3"/>
  <c r="I176" i="3"/>
  <c r="J176" i="3"/>
  <c r="K176" i="3"/>
  <c r="B177" i="3"/>
  <c r="C177" i="3"/>
  <c r="D177" i="3"/>
  <c r="E177" i="3"/>
  <c r="F177" i="3"/>
  <c r="G177" i="3"/>
  <c r="H177" i="3"/>
  <c r="I177" i="3"/>
  <c r="J177" i="3"/>
  <c r="K177" i="3"/>
  <c r="B178" i="3"/>
  <c r="C178" i="3"/>
  <c r="D178" i="3"/>
  <c r="E178" i="3"/>
  <c r="F178" i="3"/>
  <c r="G178" i="3"/>
  <c r="H178" i="3"/>
  <c r="I178" i="3"/>
  <c r="J178" i="3"/>
  <c r="K178" i="3"/>
  <c r="B179" i="3"/>
  <c r="C179" i="3"/>
  <c r="D179" i="3"/>
  <c r="E179" i="3"/>
  <c r="F179" i="3"/>
  <c r="G179" i="3"/>
  <c r="H179" i="3"/>
  <c r="I179" i="3"/>
  <c r="J179" i="3"/>
  <c r="K179" i="3"/>
  <c r="B180" i="3"/>
  <c r="C180" i="3"/>
  <c r="D180" i="3"/>
  <c r="E180" i="3"/>
  <c r="F180" i="3"/>
  <c r="G180" i="3"/>
  <c r="H180" i="3"/>
  <c r="I180" i="3"/>
  <c r="J180" i="3"/>
  <c r="K180" i="3"/>
  <c r="B181" i="3"/>
  <c r="C181" i="3"/>
  <c r="D181" i="3"/>
  <c r="E181" i="3"/>
  <c r="F181" i="3"/>
  <c r="G181" i="3"/>
  <c r="H181" i="3"/>
  <c r="I181" i="3"/>
  <c r="J181" i="3"/>
  <c r="K181" i="3"/>
  <c r="B182" i="3"/>
  <c r="C182" i="3"/>
  <c r="D182" i="3"/>
  <c r="E182" i="3"/>
  <c r="F182" i="3"/>
  <c r="G182" i="3"/>
  <c r="H182" i="3"/>
  <c r="I182" i="3"/>
  <c r="J182" i="3"/>
  <c r="K182" i="3"/>
  <c r="B183" i="3"/>
  <c r="C183" i="3"/>
  <c r="D183" i="3"/>
  <c r="E183" i="3"/>
  <c r="F183" i="3"/>
  <c r="G183" i="3"/>
  <c r="H183" i="3"/>
  <c r="I183" i="3"/>
  <c r="J183" i="3"/>
  <c r="K183" i="3"/>
  <c r="B184" i="3"/>
  <c r="C184" i="3"/>
  <c r="D184" i="3"/>
  <c r="E184" i="3"/>
  <c r="F184" i="3"/>
  <c r="G184" i="3"/>
  <c r="H184" i="3"/>
  <c r="I184" i="3"/>
  <c r="J184" i="3"/>
  <c r="K184" i="3"/>
  <c r="B185" i="3"/>
  <c r="C185" i="3"/>
  <c r="D185" i="3"/>
  <c r="E185" i="3"/>
  <c r="F185" i="3"/>
  <c r="G185" i="3"/>
  <c r="H185" i="3"/>
  <c r="I185" i="3"/>
  <c r="J185" i="3"/>
  <c r="K185" i="3"/>
  <c r="B186" i="3"/>
  <c r="C186" i="3"/>
  <c r="D186" i="3"/>
  <c r="E186" i="3"/>
  <c r="F186" i="3"/>
  <c r="G186" i="3"/>
  <c r="H186" i="3"/>
  <c r="I186" i="3"/>
  <c r="J186" i="3"/>
  <c r="K186" i="3"/>
  <c r="B187" i="3"/>
  <c r="C187" i="3"/>
  <c r="D187" i="3"/>
  <c r="E187" i="3"/>
  <c r="F187" i="3"/>
  <c r="G187" i="3"/>
  <c r="H187" i="3"/>
  <c r="I187" i="3"/>
  <c r="J187" i="3"/>
  <c r="K187" i="3"/>
  <c r="B188" i="3"/>
  <c r="C188" i="3"/>
  <c r="D188" i="3"/>
  <c r="E188" i="3"/>
  <c r="F188" i="3"/>
  <c r="G188" i="3"/>
  <c r="H188" i="3"/>
  <c r="I188" i="3"/>
  <c r="J188" i="3"/>
  <c r="K188" i="3"/>
  <c r="B189" i="3"/>
  <c r="C189" i="3"/>
  <c r="D189" i="3"/>
  <c r="E189" i="3"/>
  <c r="F189" i="3"/>
  <c r="G189" i="3"/>
  <c r="H189" i="3"/>
  <c r="I189" i="3"/>
  <c r="J189" i="3"/>
  <c r="K189" i="3"/>
  <c r="B190" i="3"/>
  <c r="C190" i="3"/>
  <c r="D190" i="3"/>
  <c r="E190" i="3"/>
  <c r="F190" i="3"/>
  <c r="G190" i="3"/>
  <c r="H190" i="3"/>
  <c r="I190" i="3"/>
  <c r="J190" i="3"/>
  <c r="K190" i="3"/>
  <c r="B191" i="3"/>
  <c r="C191" i="3"/>
  <c r="D191" i="3"/>
  <c r="E191" i="3"/>
  <c r="F191" i="3"/>
  <c r="G191" i="3"/>
  <c r="H191" i="3"/>
  <c r="I191" i="3"/>
  <c r="J191" i="3"/>
  <c r="K191" i="3"/>
  <c r="B192" i="3"/>
  <c r="C192" i="3"/>
  <c r="D192" i="3"/>
  <c r="E192" i="3"/>
  <c r="F192" i="3"/>
  <c r="G192" i="3"/>
  <c r="H192" i="3"/>
  <c r="I192" i="3"/>
  <c r="J192" i="3"/>
  <c r="K192" i="3"/>
  <c r="B193" i="3"/>
  <c r="C193" i="3"/>
  <c r="D193" i="3"/>
  <c r="E193" i="3"/>
  <c r="F193" i="3"/>
  <c r="G193" i="3"/>
  <c r="H193" i="3"/>
  <c r="I193" i="3"/>
  <c r="J193" i="3"/>
  <c r="K193" i="3"/>
  <c r="B194" i="3"/>
  <c r="C194" i="3"/>
  <c r="D194" i="3"/>
  <c r="E194" i="3"/>
  <c r="F194" i="3"/>
  <c r="G194" i="3"/>
  <c r="H194" i="3"/>
  <c r="I194" i="3"/>
  <c r="J194" i="3"/>
  <c r="K194" i="3"/>
  <c r="B195" i="3"/>
  <c r="C195" i="3"/>
  <c r="D195" i="3"/>
  <c r="E195" i="3"/>
  <c r="F195" i="3"/>
  <c r="G195" i="3"/>
  <c r="H195" i="3"/>
  <c r="I195" i="3"/>
  <c r="J195" i="3"/>
  <c r="K195" i="3"/>
  <c r="B196" i="3"/>
  <c r="C196" i="3"/>
  <c r="D196" i="3"/>
  <c r="E196" i="3"/>
  <c r="F196" i="3"/>
  <c r="G196" i="3"/>
  <c r="H196" i="3"/>
  <c r="I196" i="3"/>
  <c r="J196" i="3"/>
  <c r="K196" i="3"/>
  <c r="B197" i="3"/>
  <c r="C197" i="3"/>
  <c r="D197" i="3"/>
  <c r="E197" i="3"/>
  <c r="F197" i="3"/>
  <c r="G197" i="3"/>
  <c r="H197" i="3"/>
  <c r="I197" i="3"/>
  <c r="J197" i="3"/>
  <c r="K197" i="3"/>
  <c r="B198" i="3"/>
  <c r="C198" i="3"/>
  <c r="D198" i="3"/>
  <c r="E198" i="3"/>
  <c r="F198" i="3"/>
  <c r="G198" i="3"/>
  <c r="H198" i="3"/>
  <c r="I198" i="3"/>
  <c r="J198" i="3"/>
  <c r="K198" i="3"/>
  <c r="B199" i="3"/>
  <c r="C199" i="3"/>
  <c r="D199" i="3"/>
  <c r="E199" i="3"/>
  <c r="F199" i="3"/>
  <c r="G199" i="3"/>
  <c r="H199" i="3"/>
  <c r="I199" i="3"/>
  <c r="J199" i="3"/>
  <c r="K199" i="3"/>
  <c r="B200" i="3"/>
  <c r="C200" i="3"/>
  <c r="D200" i="3"/>
  <c r="E200" i="3"/>
  <c r="F200" i="3"/>
  <c r="G200" i="3"/>
  <c r="H200" i="3"/>
  <c r="I200" i="3"/>
  <c r="J200" i="3"/>
  <c r="K200" i="3"/>
  <c r="B201" i="3"/>
  <c r="C201" i="3"/>
  <c r="D201" i="3"/>
  <c r="E201" i="3"/>
  <c r="F201" i="3"/>
  <c r="G201" i="3"/>
  <c r="H201" i="3"/>
  <c r="I201" i="3"/>
  <c r="J201" i="3"/>
  <c r="K201" i="3"/>
  <c r="B202" i="3"/>
  <c r="C202" i="3"/>
  <c r="D202" i="3"/>
  <c r="E202" i="3"/>
  <c r="F202" i="3"/>
  <c r="G202" i="3"/>
  <c r="H202" i="3"/>
  <c r="I202" i="3"/>
  <c r="J202" i="3"/>
  <c r="K202" i="3"/>
  <c r="B203" i="3"/>
  <c r="C203" i="3"/>
  <c r="D203" i="3"/>
  <c r="E203" i="3"/>
  <c r="F203" i="3"/>
  <c r="G203" i="3"/>
  <c r="H203" i="3"/>
  <c r="I203" i="3"/>
  <c r="J203" i="3"/>
  <c r="K203" i="3"/>
  <c r="B204" i="3"/>
  <c r="C204" i="3"/>
  <c r="D204" i="3"/>
  <c r="E204" i="3"/>
  <c r="F204" i="3"/>
  <c r="G204" i="3"/>
  <c r="H204" i="3"/>
  <c r="I204" i="3"/>
  <c r="J204" i="3"/>
  <c r="K204" i="3"/>
  <c r="B205" i="3"/>
  <c r="C205" i="3"/>
  <c r="D205" i="3"/>
  <c r="E205" i="3"/>
  <c r="F205" i="3"/>
  <c r="G205" i="3"/>
  <c r="H205" i="3"/>
  <c r="I205" i="3"/>
  <c r="J205" i="3"/>
  <c r="K205" i="3"/>
  <c r="B206" i="3"/>
  <c r="C206" i="3"/>
  <c r="D206" i="3"/>
  <c r="E206" i="3"/>
  <c r="F206" i="3"/>
  <c r="G206" i="3"/>
  <c r="H206" i="3"/>
  <c r="I206" i="3"/>
  <c r="J206" i="3"/>
  <c r="K206" i="3"/>
  <c r="B207" i="3"/>
  <c r="C207" i="3"/>
  <c r="D207" i="3"/>
  <c r="E207" i="3"/>
  <c r="F207" i="3"/>
  <c r="G207" i="3"/>
  <c r="H207" i="3"/>
  <c r="I207" i="3"/>
  <c r="J207" i="3"/>
  <c r="K207" i="3"/>
  <c r="B208" i="3"/>
  <c r="C208" i="3"/>
  <c r="D208" i="3"/>
  <c r="E208" i="3"/>
  <c r="F208" i="3"/>
  <c r="G208" i="3"/>
  <c r="H208" i="3"/>
  <c r="I208" i="3"/>
  <c r="J208" i="3"/>
  <c r="K208" i="3"/>
  <c r="B209" i="3"/>
  <c r="C209" i="3"/>
  <c r="D209" i="3"/>
  <c r="E209" i="3"/>
  <c r="F209" i="3"/>
  <c r="G209" i="3"/>
  <c r="H209" i="3"/>
  <c r="I209" i="3"/>
  <c r="J209" i="3"/>
  <c r="K209" i="3"/>
  <c r="B210" i="3"/>
  <c r="C210" i="3"/>
  <c r="D210" i="3"/>
  <c r="E210" i="3"/>
  <c r="F210" i="3"/>
  <c r="G210" i="3"/>
  <c r="H210" i="3"/>
  <c r="I210" i="3"/>
  <c r="J210" i="3"/>
  <c r="K210" i="3"/>
  <c r="B211" i="3"/>
  <c r="C211" i="3"/>
  <c r="D211" i="3"/>
  <c r="E211" i="3"/>
  <c r="F211" i="3"/>
  <c r="G211" i="3"/>
  <c r="H211" i="3"/>
  <c r="I211" i="3"/>
  <c r="J211" i="3"/>
  <c r="K211" i="3"/>
  <c r="B212" i="3"/>
  <c r="C212" i="3"/>
  <c r="D212" i="3"/>
  <c r="E212" i="3"/>
  <c r="F212" i="3"/>
  <c r="G212" i="3"/>
  <c r="H212" i="3"/>
  <c r="I212" i="3"/>
  <c r="J212" i="3"/>
  <c r="K212" i="3"/>
  <c r="B213" i="3"/>
  <c r="C213" i="3"/>
  <c r="D213" i="3"/>
  <c r="E213" i="3"/>
  <c r="F213" i="3"/>
  <c r="G213" i="3"/>
  <c r="H213" i="3"/>
  <c r="I213" i="3"/>
  <c r="J213" i="3"/>
  <c r="K213" i="3"/>
  <c r="B214" i="3"/>
  <c r="C214" i="3"/>
  <c r="D214" i="3"/>
  <c r="E214" i="3"/>
  <c r="F214" i="3"/>
  <c r="G214" i="3"/>
  <c r="H214" i="3"/>
  <c r="I214" i="3"/>
  <c r="J214" i="3"/>
  <c r="K214" i="3"/>
  <c r="B215" i="3"/>
  <c r="C215" i="3"/>
  <c r="D215" i="3"/>
  <c r="E215" i="3"/>
  <c r="F215" i="3"/>
  <c r="G215" i="3"/>
  <c r="H215" i="3"/>
  <c r="I215" i="3"/>
  <c r="J215" i="3"/>
  <c r="K215" i="3"/>
  <c r="B216" i="3"/>
  <c r="C216" i="3"/>
  <c r="D216" i="3"/>
  <c r="E216" i="3"/>
  <c r="F216" i="3"/>
  <c r="G216" i="3"/>
  <c r="H216" i="3"/>
  <c r="I216" i="3"/>
  <c r="J216" i="3"/>
  <c r="K216" i="3"/>
  <c r="B217" i="3"/>
  <c r="C217" i="3"/>
  <c r="D217" i="3"/>
  <c r="E217" i="3"/>
  <c r="F217" i="3"/>
  <c r="G217" i="3"/>
  <c r="H217" i="3"/>
  <c r="I217" i="3"/>
  <c r="J217" i="3"/>
  <c r="K217" i="3"/>
  <c r="B218" i="3"/>
  <c r="C218" i="3"/>
  <c r="D218" i="3"/>
  <c r="E218" i="3"/>
  <c r="F218" i="3"/>
  <c r="G218" i="3"/>
  <c r="H218" i="3"/>
  <c r="I218" i="3"/>
  <c r="J218" i="3"/>
  <c r="K218" i="3"/>
  <c r="B219" i="3"/>
  <c r="C219" i="3"/>
  <c r="D219" i="3"/>
  <c r="E219" i="3"/>
  <c r="F219" i="3"/>
  <c r="G219" i="3"/>
  <c r="H219" i="3"/>
  <c r="I219" i="3"/>
  <c r="J219" i="3"/>
  <c r="K219" i="3"/>
  <c r="B220" i="3"/>
  <c r="C220" i="3"/>
  <c r="D220" i="3"/>
  <c r="E220" i="3"/>
  <c r="F220" i="3"/>
  <c r="G220" i="3"/>
  <c r="H220" i="3"/>
  <c r="I220" i="3"/>
  <c r="J220" i="3"/>
  <c r="K220" i="3"/>
  <c r="B221" i="3"/>
  <c r="C221" i="3"/>
  <c r="D221" i="3"/>
  <c r="E221" i="3"/>
  <c r="F221" i="3"/>
  <c r="G221" i="3"/>
  <c r="H221" i="3"/>
  <c r="I221" i="3"/>
  <c r="J221" i="3"/>
  <c r="K221" i="3"/>
  <c r="B222" i="3"/>
  <c r="C222" i="3"/>
  <c r="D222" i="3"/>
  <c r="E222" i="3"/>
  <c r="F222" i="3"/>
  <c r="G222" i="3"/>
  <c r="H222" i="3"/>
  <c r="I222" i="3"/>
  <c r="J222" i="3"/>
  <c r="K222" i="3"/>
  <c r="B223" i="3"/>
  <c r="C223" i="3"/>
  <c r="D223" i="3"/>
  <c r="E223" i="3"/>
  <c r="F223" i="3"/>
  <c r="G223" i="3"/>
  <c r="H223" i="3"/>
  <c r="I223" i="3"/>
  <c r="J223" i="3"/>
  <c r="K223" i="3"/>
  <c r="B224" i="3"/>
  <c r="C224" i="3"/>
  <c r="D224" i="3"/>
  <c r="E224" i="3"/>
  <c r="F224" i="3"/>
  <c r="G224" i="3"/>
  <c r="H224" i="3"/>
  <c r="I224" i="3"/>
  <c r="J224" i="3"/>
  <c r="K224" i="3"/>
  <c r="B225" i="3"/>
  <c r="C225" i="3"/>
  <c r="D225" i="3"/>
  <c r="E225" i="3"/>
  <c r="F225" i="3"/>
  <c r="G225" i="3"/>
  <c r="H225" i="3"/>
  <c r="I225" i="3"/>
  <c r="J225" i="3"/>
  <c r="K225" i="3"/>
  <c r="B226" i="3"/>
  <c r="C226" i="3"/>
  <c r="D226" i="3"/>
  <c r="E226" i="3"/>
  <c r="F226" i="3"/>
  <c r="G226" i="3"/>
  <c r="H226" i="3"/>
  <c r="I226" i="3"/>
  <c r="J226" i="3"/>
  <c r="K226" i="3"/>
  <c r="B227" i="3"/>
  <c r="C227" i="3"/>
  <c r="D227" i="3"/>
  <c r="E227" i="3"/>
  <c r="F227" i="3"/>
  <c r="G227" i="3"/>
  <c r="H227" i="3"/>
  <c r="I227" i="3"/>
  <c r="J227" i="3"/>
  <c r="K227" i="3"/>
  <c r="B228" i="3"/>
  <c r="C228" i="3"/>
  <c r="D228" i="3"/>
  <c r="E228" i="3"/>
  <c r="F228" i="3"/>
  <c r="G228" i="3"/>
  <c r="H228" i="3"/>
  <c r="I228" i="3"/>
  <c r="J228" i="3"/>
  <c r="K228" i="3"/>
  <c r="B229" i="3"/>
  <c r="C229" i="3"/>
  <c r="D229" i="3"/>
  <c r="E229" i="3"/>
  <c r="F229" i="3"/>
  <c r="G229" i="3"/>
  <c r="H229" i="3"/>
  <c r="I229" i="3"/>
  <c r="J229" i="3"/>
  <c r="K229" i="3"/>
  <c r="B230" i="3"/>
  <c r="C230" i="3"/>
  <c r="D230" i="3"/>
  <c r="E230" i="3"/>
  <c r="F230" i="3"/>
  <c r="G230" i="3"/>
  <c r="H230" i="3"/>
  <c r="I230" i="3"/>
  <c r="J230" i="3"/>
  <c r="K230" i="3"/>
  <c r="B231" i="3"/>
  <c r="C231" i="3"/>
  <c r="D231" i="3"/>
  <c r="E231" i="3"/>
  <c r="F231" i="3"/>
  <c r="G231" i="3"/>
  <c r="H231" i="3"/>
  <c r="I231" i="3"/>
  <c r="J231" i="3"/>
  <c r="K231" i="3"/>
  <c r="B232" i="3"/>
  <c r="C232" i="3"/>
  <c r="D232" i="3"/>
  <c r="E232" i="3"/>
  <c r="F232" i="3"/>
  <c r="G232" i="3"/>
  <c r="H232" i="3"/>
  <c r="I232" i="3"/>
  <c r="J232" i="3"/>
  <c r="K232" i="3"/>
  <c r="B233" i="3"/>
  <c r="C233" i="3"/>
  <c r="D233" i="3"/>
  <c r="E233" i="3"/>
  <c r="F233" i="3"/>
  <c r="G233" i="3"/>
  <c r="H233" i="3"/>
  <c r="I233" i="3"/>
  <c r="J233" i="3"/>
  <c r="K233" i="3"/>
  <c r="B234" i="3"/>
  <c r="C234" i="3"/>
  <c r="D234" i="3"/>
  <c r="E234" i="3"/>
  <c r="F234" i="3"/>
  <c r="G234" i="3"/>
  <c r="H234" i="3"/>
  <c r="I234" i="3"/>
  <c r="J234" i="3"/>
  <c r="K234" i="3"/>
  <c r="B235" i="3"/>
  <c r="C235" i="3"/>
  <c r="D235" i="3"/>
  <c r="E235" i="3"/>
  <c r="F235" i="3"/>
  <c r="G235" i="3"/>
  <c r="H235" i="3"/>
  <c r="I235" i="3"/>
  <c r="J235" i="3"/>
  <c r="K235" i="3"/>
  <c r="B236" i="3"/>
  <c r="C236" i="3"/>
  <c r="D236" i="3"/>
  <c r="E236" i="3"/>
  <c r="F236" i="3"/>
  <c r="G236" i="3"/>
  <c r="H236" i="3"/>
  <c r="I236" i="3"/>
  <c r="J236" i="3"/>
  <c r="K236" i="3"/>
  <c r="B237" i="3"/>
  <c r="C237" i="3"/>
  <c r="D237" i="3"/>
  <c r="E237" i="3"/>
  <c r="F237" i="3"/>
  <c r="G237" i="3"/>
  <c r="H237" i="3"/>
  <c r="I237" i="3"/>
  <c r="J237" i="3"/>
  <c r="K237" i="3"/>
  <c r="B238" i="3"/>
  <c r="C238" i="3"/>
  <c r="D238" i="3"/>
  <c r="E238" i="3"/>
  <c r="F238" i="3"/>
  <c r="G238" i="3"/>
  <c r="H238" i="3"/>
  <c r="I238" i="3"/>
  <c r="J238" i="3"/>
  <c r="K238" i="3"/>
  <c r="B239" i="3"/>
  <c r="C239" i="3"/>
  <c r="D239" i="3"/>
  <c r="E239" i="3"/>
  <c r="F239" i="3"/>
  <c r="G239" i="3"/>
  <c r="H239" i="3"/>
  <c r="I239" i="3"/>
  <c r="J239" i="3"/>
  <c r="K239" i="3"/>
  <c r="B240" i="3"/>
  <c r="C240" i="3"/>
  <c r="D240" i="3"/>
  <c r="E240" i="3"/>
  <c r="F240" i="3"/>
  <c r="G240" i="3"/>
  <c r="H240" i="3"/>
  <c r="I240" i="3"/>
  <c r="J240" i="3"/>
  <c r="K240" i="3"/>
  <c r="B241" i="3"/>
  <c r="C241" i="3"/>
  <c r="D241" i="3"/>
  <c r="E241" i="3"/>
  <c r="F241" i="3"/>
  <c r="G241" i="3"/>
  <c r="H241" i="3"/>
  <c r="I241" i="3"/>
  <c r="J241" i="3"/>
  <c r="K241" i="3"/>
  <c r="B242" i="3"/>
  <c r="C242" i="3"/>
  <c r="D242" i="3"/>
  <c r="E242" i="3"/>
  <c r="F242" i="3"/>
  <c r="G242" i="3"/>
  <c r="H242" i="3"/>
  <c r="I242" i="3"/>
  <c r="J242" i="3"/>
  <c r="K242" i="3"/>
  <c r="B243" i="3"/>
  <c r="C243" i="3"/>
  <c r="D243" i="3"/>
  <c r="E243" i="3"/>
  <c r="F243" i="3"/>
  <c r="G243" i="3"/>
  <c r="H243" i="3"/>
  <c r="I243" i="3"/>
  <c r="J243" i="3"/>
  <c r="K243" i="3"/>
  <c r="B244" i="3"/>
  <c r="C244" i="3"/>
  <c r="D244" i="3"/>
  <c r="E244" i="3"/>
  <c r="F244" i="3"/>
  <c r="G244" i="3"/>
  <c r="H244" i="3"/>
  <c r="I244" i="3"/>
  <c r="J244" i="3"/>
  <c r="K244" i="3"/>
  <c r="B245" i="3"/>
  <c r="C245" i="3"/>
  <c r="D245" i="3"/>
  <c r="E245" i="3"/>
  <c r="F245" i="3"/>
  <c r="G245" i="3"/>
  <c r="H245" i="3"/>
  <c r="I245" i="3"/>
  <c r="J245" i="3"/>
  <c r="K245" i="3"/>
  <c r="B246" i="3"/>
  <c r="C246" i="3"/>
  <c r="D246" i="3"/>
  <c r="E246" i="3"/>
  <c r="F246" i="3"/>
  <c r="G246" i="3"/>
  <c r="H246" i="3"/>
  <c r="I246" i="3"/>
  <c r="J246" i="3"/>
  <c r="K246" i="3"/>
  <c r="B247" i="3"/>
  <c r="C247" i="3"/>
  <c r="D247" i="3"/>
  <c r="E247" i="3"/>
  <c r="F247" i="3"/>
  <c r="G247" i="3"/>
  <c r="H247" i="3"/>
  <c r="I247" i="3"/>
  <c r="J247" i="3"/>
  <c r="K247" i="3"/>
  <c r="B248" i="3"/>
  <c r="C248" i="3"/>
  <c r="D248" i="3"/>
  <c r="E248" i="3"/>
  <c r="F248" i="3"/>
  <c r="G248" i="3"/>
  <c r="H248" i="3"/>
  <c r="I248" i="3"/>
  <c r="J248" i="3"/>
  <c r="K248" i="3"/>
  <c r="B249" i="3"/>
  <c r="C249" i="3"/>
  <c r="D249" i="3"/>
  <c r="E249" i="3"/>
  <c r="F249" i="3"/>
  <c r="G249" i="3"/>
  <c r="H249" i="3"/>
  <c r="I249" i="3"/>
  <c r="J249" i="3"/>
  <c r="K249" i="3"/>
  <c r="B250" i="3"/>
  <c r="C250" i="3"/>
  <c r="D250" i="3"/>
  <c r="E250" i="3"/>
  <c r="F250" i="3"/>
  <c r="G250" i="3"/>
  <c r="H250" i="3"/>
  <c r="I250" i="3"/>
  <c r="J250" i="3"/>
  <c r="K250" i="3"/>
  <c r="B251" i="3"/>
  <c r="C251" i="3"/>
  <c r="D251" i="3"/>
  <c r="E251" i="3"/>
  <c r="F251" i="3"/>
  <c r="G251" i="3"/>
  <c r="H251" i="3"/>
  <c r="I251" i="3"/>
  <c r="J251" i="3"/>
  <c r="K251" i="3"/>
  <c r="B252" i="3"/>
  <c r="C252" i="3"/>
  <c r="D252" i="3"/>
  <c r="E252" i="3"/>
  <c r="F252" i="3"/>
  <c r="G252" i="3"/>
  <c r="H252" i="3"/>
  <c r="I252" i="3"/>
  <c r="J252" i="3"/>
  <c r="K252" i="3"/>
  <c r="B253" i="3"/>
  <c r="C253" i="3"/>
  <c r="D253" i="3"/>
  <c r="E253" i="3"/>
  <c r="F253" i="3"/>
  <c r="G253" i="3"/>
  <c r="H253" i="3"/>
  <c r="I253" i="3"/>
  <c r="J253" i="3"/>
  <c r="K253" i="3"/>
  <c r="B254" i="3"/>
  <c r="C254" i="3"/>
  <c r="D254" i="3"/>
  <c r="E254" i="3"/>
  <c r="F254" i="3"/>
  <c r="G254" i="3"/>
  <c r="H254" i="3"/>
  <c r="I254" i="3"/>
  <c r="J254" i="3"/>
  <c r="K254" i="3"/>
  <c r="B255" i="3"/>
  <c r="C255" i="3"/>
  <c r="D255" i="3"/>
  <c r="E255" i="3"/>
  <c r="F255" i="3"/>
  <c r="G255" i="3"/>
  <c r="H255" i="3"/>
  <c r="I255" i="3"/>
  <c r="J255" i="3"/>
  <c r="K255" i="3"/>
  <c r="B256" i="3"/>
  <c r="C256" i="3"/>
  <c r="D256" i="3"/>
  <c r="E256" i="3"/>
  <c r="F256" i="3"/>
  <c r="G256" i="3"/>
  <c r="H256" i="3"/>
  <c r="I256" i="3"/>
  <c r="J256" i="3"/>
  <c r="K256" i="3"/>
  <c r="B257" i="3"/>
  <c r="C257" i="3"/>
  <c r="D257" i="3"/>
  <c r="E257" i="3"/>
  <c r="F257" i="3"/>
  <c r="G257" i="3"/>
  <c r="H257" i="3"/>
  <c r="I257" i="3"/>
  <c r="J257" i="3"/>
  <c r="K257" i="3"/>
  <c r="B258" i="3"/>
  <c r="C258" i="3"/>
  <c r="D258" i="3"/>
  <c r="E258" i="3"/>
  <c r="F258" i="3"/>
  <c r="G258" i="3"/>
  <c r="H258" i="3"/>
  <c r="I258" i="3"/>
  <c r="J258" i="3"/>
  <c r="K258" i="3"/>
  <c r="B259" i="3"/>
  <c r="C259" i="3"/>
  <c r="D259" i="3"/>
  <c r="E259" i="3"/>
  <c r="F259" i="3"/>
  <c r="G259" i="3"/>
  <c r="H259" i="3"/>
  <c r="I259" i="3"/>
  <c r="J259" i="3"/>
  <c r="K259" i="3"/>
  <c r="B260" i="3"/>
  <c r="C260" i="3"/>
  <c r="D260" i="3"/>
  <c r="E260" i="3"/>
  <c r="F260" i="3"/>
  <c r="G260" i="3"/>
  <c r="H260" i="3"/>
  <c r="I260" i="3"/>
  <c r="J260" i="3"/>
  <c r="K260" i="3"/>
  <c r="B261" i="3"/>
  <c r="C261" i="3"/>
  <c r="D261" i="3"/>
  <c r="E261" i="3"/>
  <c r="F261" i="3"/>
  <c r="G261" i="3"/>
  <c r="H261" i="3"/>
  <c r="I261" i="3"/>
  <c r="J261" i="3"/>
  <c r="K261" i="3"/>
  <c r="B262" i="3"/>
  <c r="C262" i="3"/>
  <c r="D262" i="3"/>
  <c r="E262" i="3"/>
  <c r="F262" i="3"/>
  <c r="G262" i="3"/>
  <c r="H262" i="3"/>
  <c r="I262" i="3"/>
  <c r="J262" i="3"/>
  <c r="K262" i="3"/>
  <c r="B263" i="3"/>
  <c r="C263" i="3"/>
  <c r="D263" i="3"/>
  <c r="E263" i="3"/>
  <c r="F263" i="3"/>
  <c r="G263" i="3"/>
  <c r="H263" i="3"/>
  <c r="I263" i="3"/>
  <c r="J263" i="3"/>
  <c r="K263" i="3"/>
  <c r="B264" i="3"/>
  <c r="C264" i="3"/>
  <c r="D264" i="3"/>
  <c r="E264" i="3"/>
  <c r="F264" i="3"/>
  <c r="G264" i="3"/>
  <c r="H264" i="3"/>
  <c r="I264" i="3"/>
  <c r="J264" i="3"/>
  <c r="K264" i="3"/>
  <c r="B265" i="3"/>
  <c r="C265" i="3"/>
  <c r="D265" i="3"/>
  <c r="E265" i="3"/>
  <c r="F265" i="3"/>
  <c r="G265" i="3"/>
  <c r="H265" i="3"/>
  <c r="I265" i="3"/>
  <c r="J265" i="3"/>
  <c r="K265" i="3"/>
  <c r="B266" i="3"/>
  <c r="C266" i="3"/>
  <c r="D266" i="3"/>
  <c r="E266" i="3"/>
  <c r="F266" i="3"/>
  <c r="G266" i="3"/>
  <c r="H266" i="3"/>
  <c r="I266" i="3"/>
  <c r="J266" i="3"/>
  <c r="K266" i="3"/>
  <c r="B267" i="3"/>
  <c r="C267" i="3"/>
  <c r="D267" i="3"/>
  <c r="E267" i="3"/>
  <c r="F267" i="3"/>
  <c r="G267" i="3"/>
  <c r="H267" i="3"/>
  <c r="I267" i="3"/>
  <c r="J267" i="3"/>
  <c r="K267" i="3"/>
  <c r="B268" i="3"/>
  <c r="C268" i="3"/>
  <c r="D268" i="3"/>
  <c r="E268" i="3"/>
  <c r="F268" i="3"/>
  <c r="G268" i="3"/>
  <c r="H268" i="3"/>
  <c r="I268" i="3"/>
  <c r="J268" i="3"/>
  <c r="K268" i="3"/>
  <c r="B269" i="3"/>
  <c r="C269" i="3"/>
  <c r="D269" i="3"/>
  <c r="E269" i="3"/>
  <c r="F269" i="3"/>
  <c r="G269" i="3"/>
  <c r="H269" i="3"/>
  <c r="I269" i="3"/>
  <c r="J269" i="3"/>
  <c r="K269" i="3"/>
  <c r="B270" i="3"/>
  <c r="C270" i="3"/>
  <c r="D270" i="3"/>
  <c r="E270" i="3"/>
  <c r="F270" i="3"/>
  <c r="G270" i="3"/>
  <c r="H270" i="3"/>
  <c r="I270" i="3"/>
  <c r="J270" i="3"/>
  <c r="K270" i="3"/>
  <c r="B271" i="3"/>
  <c r="C271" i="3"/>
  <c r="D271" i="3"/>
  <c r="E271" i="3"/>
  <c r="F271" i="3"/>
  <c r="G271" i="3"/>
  <c r="H271" i="3"/>
  <c r="I271" i="3"/>
  <c r="J271" i="3"/>
  <c r="K271" i="3"/>
  <c r="B272" i="3"/>
  <c r="C272" i="3"/>
  <c r="D272" i="3"/>
  <c r="E272" i="3"/>
  <c r="F272" i="3"/>
  <c r="G272" i="3"/>
  <c r="H272" i="3"/>
  <c r="I272" i="3"/>
  <c r="J272" i="3"/>
  <c r="K272" i="3"/>
  <c r="B273" i="3"/>
  <c r="C273" i="3"/>
  <c r="D273" i="3"/>
  <c r="E273" i="3"/>
  <c r="F273" i="3"/>
  <c r="G273" i="3"/>
  <c r="H273" i="3"/>
  <c r="I273" i="3"/>
  <c r="J273" i="3"/>
  <c r="K273" i="3"/>
  <c r="B274" i="3"/>
  <c r="C274" i="3"/>
  <c r="D274" i="3"/>
  <c r="E274" i="3"/>
  <c r="F274" i="3"/>
  <c r="G274" i="3"/>
  <c r="H274" i="3"/>
  <c r="I274" i="3"/>
  <c r="J274" i="3"/>
  <c r="K274" i="3"/>
  <c r="B275" i="3"/>
  <c r="C275" i="3"/>
  <c r="D275" i="3"/>
  <c r="E275" i="3"/>
  <c r="F275" i="3"/>
  <c r="G275" i="3"/>
  <c r="H275" i="3"/>
  <c r="I275" i="3"/>
  <c r="J275" i="3"/>
  <c r="K275" i="3"/>
  <c r="B276" i="3"/>
  <c r="C276" i="3"/>
  <c r="D276" i="3"/>
  <c r="E276" i="3"/>
  <c r="F276" i="3"/>
  <c r="G276" i="3"/>
  <c r="H276" i="3"/>
  <c r="I276" i="3"/>
  <c r="J276" i="3"/>
  <c r="K276" i="3"/>
  <c r="B277" i="3"/>
  <c r="C277" i="3"/>
  <c r="D277" i="3"/>
  <c r="E277" i="3"/>
  <c r="F277" i="3"/>
  <c r="G277" i="3"/>
  <c r="H277" i="3"/>
  <c r="I277" i="3"/>
  <c r="J277" i="3"/>
  <c r="K277" i="3"/>
  <c r="B278" i="3"/>
  <c r="C278" i="3"/>
  <c r="D278" i="3"/>
  <c r="E278" i="3"/>
  <c r="F278" i="3"/>
  <c r="G278" i="3"/>
  <c r="H278" i="3"/>
  <c r="I278" i="3"/>
  <c r="J278" i="3"/>
  <c r="K278" i="3"/>
  <c r="B279" i="3"/>
  <c r="C279" i="3"/>
  <c r="D279" i="3"/>
  <c r="E279" i="3"/>
  <c r="F279" i="3"/>
  <c r="G279" i="3"/>
  <c r="H279" i="3"/>
  <c r="I279" i="3"/>
  <c r="J279" i="3"/>
  <c r="K279" i="3"/>
  <c r="B280" i="3"/>
  <c r="C280" i="3"/>
  <c r="D280" i="3"/>
  <c r="E280" i="3"/>
  <c r="F280" i="3"/>
  <c r="G280" i="3"/>
  <c r="H280" i="3"/>
  <c r="I280" i="3"/>
  <c r="J280" i="3"/>
  <c r="K280" i="3"/>
  <c r="B281" i="3"/>
  <c r="C281" i="3"/>
  <c r="D281" i="3"/>
  <c r="E281" i="3"/>
  <c r="F281" i="3"/>
  <c r="G281" i="3"/>
  <c r="H281" i="3"/>
  <c r="I281" i="3"/>
  <c r="J281" i="3"/>
  <c r="K281" i="3"/>
  <c r="B282" i="3"/>
  <c r="C282" i="3"/>
  <c r="D282" i="3"/>
  <c r="E282" i="3"/>
  <c r="F282" i="3"/>
  <c r="G282" i="3"/>
  <c r="H282" i="3"/>
  <c r="I282" i="3"/>
  <c r="J282" i="3"/>
  <c r="K282" i="3"/>
  <c r="B283" i="3"/>
  <c r="C283" i="3"/>
  <c r="D283" i="3"/>
  <c r="E283" i="3"/>
  <c r="F283" i="3"/>
  <c r="G283" i="3"/>
  <c r="H283" i="3"/>
  <c r="I283" i="3"/>
  <c r="J283" i="3"/>
  <c r="K283" i="3"/>
  <c r="B284" i="3"/>
  <c r="C284" i="3"/>
  <c r="D284" i="3"/>
  <c r="E284" i="3"/>
  <c r="F284" i="3"/>
  <c r="G284" i="3"/>
  <c r="H284" i="3"/>
  <c r="I284" i="3"/>
  <c r="J284" i="3"/>
  <c r="K284" i="3"/>
  <c r="B285" i="3"/>
  <c r="C285" i="3"/>
  <c r="D285" i="3"/>
  <c r="E285" i="3"/>
  <c r="F285" i="3"/>
  <c r="G285" i="3"/>
  <c r="H285" i="3"/>
  <c r="I285" i="3"/>
  <c r="J285" i="3"/>
  <c r="K285" i="3"/>
  <c r="B286" i="3"/>
  <c r="C286" i="3"/>
  <c r="D286" i="3"/>
  <c r="E286" i="3"/>
  <c r="F286" i="3"/>
  <c r="G286" i="3"/>
  <c r="H286" i="3"/>
  <c r="I286" i="3"/>
  <c r="J286" i="3"/>
  <c r="K286" i="3"/>
  <c r="B287" i="3"/>
  <c r="C287" i="3"/>
  <c r="D287" i="3"/>
  <c r="E287" i="3"/>
  <c r="F287" i="3"/>
  <c r="G287" i="3"/>
  <c r="H287" i="3"/>
  <c r="I287" i="3"/>
  <c r="J287" i="3"/>
  <c r="K287" i="3"/>
  <c r="B288" i="3"/>
  <c r="C288" i="3"/>
  <c r="D288" i="3"/>
  <c r="E288" i="3"/>
  <c r="F288" i="3"/>
  <c r="G288" i="3"/>
  <c r="H288" i="3"/>
  <c r="I288" i="3"/>
  <c r="J288" i="3"/>
  <c r="K288" i="3"/>
  <c r="B289" i="3"/>
  <c r="C289" i="3"/>
  <c r="D289" i="3"/>
  <c r="E289" i="3"/>
  <c r="F289" i="3"/>
  <c r="G289" i="3"/>
  <c r="H289" i="3"/>
  <c r="I289" i="3"/>
  <c r="J289" i="3"/>
  <c r="K289" i="3"/>
  <c r="B290" i="3"/>
  <c r="C290" i="3"/>
  <c r="D290" i="3"/>
  <c r="E290" i="3"/>
  <c r="F290" i="3"/>
  <c r="G290" i="3"/>
  <c r="H290" i="3"/>
  <c r="I290" i="3"/>
  <c r="J290" i="3"/>
  <c r="K290" i="3"/>
  <c r="B291" i="3"/>
  <c r="C291" i="3"/>
  <c r="D291" i="3"/>
  <c r="E291" i="3"/>
  <c r="F291" i="3"/>
  <c r="G291" i="3"/>
  <c r="H291" i="3"/>
  <c r="I291" i="3"/>
  <c r="J291" i="3"/>
  <c r="K291" i="3"/>
  <c r="B292" i="3"/>
  <c r="C292" i="3"/>
  <c r="D292" i="3"/>
  <c r="E292" i="3"/>
  <c r="F292" i="3"/>
  <c r="G292" i="3"/>
  <c r="H292" i="3"/>
  <c r="I292" i="3"/>
  <c r="J292" i="3"/>
  <c r="K292" i="3"/>
  <c r="B293" i="3"/>
  <c r="C293" i="3"/>
  <c r="D293" i="3"/>
  <c r="E293" i="3"/>
  <c r="F293" i="3"/>
  <c r="G293" i="3"/>
  <c r="H293" i="3"/>
  <c r="I293" i="3"/>
  <c r="J293" i="3"/>
  <c r="K293" i="3"/>
  <c r="B294" i="3"/>
  <c r="C294" i="3"/>
  <c r="D294" i="3"/>
  <c r="E294" i="3"/>
  <c r="F294" i="3"/>
  <c r="G294" i="3"/>
  <c r="H294" i="3"/>
  <c r="I294" i="3"/>
  <c r="J294" i="3"/>
  <c r="K294" i="3"/>
  <c r="B295" i="3"/>
  <c r="C295" i="3"/>
  <c r="D295" i="3"/>
  <c r="E295" i="3"/>
  <c r="F295" i="3"/>
  <c r="G295" i="3"/>
  <c r="H295" i="3"/>
  <c r="I295" i="3"/>
  <c r="J295" i="3"/>
  <c r="K295" i="3"/>
  <c r="B296" i="3"/>
  <c r="C296" i="3"/>
  <c r="D296" i="3"/>
  <c r="E296" i="3"/>
  <c r="F296" i="3"/>
  <c r="G296" i="3"/>
  <c r="H296" i="3"/>
  <c r="I296" i="3"/>
  <c r="J296" i="3"/>
  <c r="K296" i="3"/>
  <c r="B297" i="3"/>
  <c r="C297" i="3"/>
  <c r="D297" i="3"/>
  <c r="E297" i="3"/>
  <c r="F297" i="3"/>
  <c r="G297" i="3"/>
  <c r="H297" i="3"/>
  <c r="I297" i="3"/>
  <c r="J297" i="3"/>
  <c r="K297" i="3"/>
  <c r="B298" i="3"/>
  <c r="C298" i="3"/>
  <c r="D298" i="3"/>
  <c r="E298" i="3"/>
  <c r="F298" i="3"/>
  <c r="G298" i="3"/>
  <c r="H298" i="3"/>
  <c r="I298" i="3"/>
  <c r="J298" i="3"/>
  <c r="K298" i="3"/>
  <c r="B299" i="3"/>
  <c r="C299" i="3"/>
  <c r="D299" i="3"/>
  <c r="E299" i="3"/>
  <c r="F299" i="3"/>
  <c r="G299" i="3"/>
  <c r="H299" i="3"/>
  <c r="I299" i="3"/>
  <c r="J299" i="3"/>
  <c r="K299" i="3"/>
  <c r="B300" i="3"/>
  <c r="C300" i="3"/>
  <c r="D300" i="3"/>
  <c r="E300" i="3"/>
  <c r="F300" i="3"/>
  <c r="G300" i="3"/>
  <c r="H300" i="3"/>
  <c r="I300" i="3"/>
  <c r="J300" i="3"/>
  <c r="K300" i="3"/>
  <c r="B301" i="3"/>
  <c r="C301" i="3"/>
  <c r="D301" i="3"/>
  <c r="E301" i="3"/>
  <c r="F301" i="3"/>
  <c r="G301" i="3"/>
  <c r="H301" i="3"/>
  <c r="I301" i="3"/>
  <c r="J301" i="3"/>
  <c r="K301" i="3"/>
  <c r="B302" i="3"/>
  <c r="C302" i="3"/>
  <c r="D302" i="3"/>
  <c r="E302" i="3"/>
  <c r="F302" i="3"/>
  <c r="G302" i="3"/>
  <c r="H302" i="3"/>
  <c r="I302" i="3"/>
  <c r="J302" i="3"/>
  <c r="K302" i="3"/>
  <c r="B303" i="3"/>
  <c r="C303" i="3"/>
  <c r="D303" i="3"/>
  <c r="E303" i="3"/>
  <c r="F303" i="3"/>
  <c r="G303" i="3"/>
  <c r="H303" i="3"/>
  <c r="I303" i="3"/>
  <c r="J303" i="3"/>
  <c r="K303" i="3"/>
  <c r="B304" i="3"/>
  <c r="C304" i="3"/>
  <c r="D304" i="3"/>
  <c r="E304" i="3"/>
  <c r="F304" i="3"/>
  <c r="G304" i="3"/>
  <c r="H304" i="3"/>
  <c r="I304" i="3"/>
  <c r="J304" i="3"/>
  <c r="K304" i="3"/>
  <c r="B305" i="3"/>
  <c r="C305" i="3"/>
  <c r="D305" i="3"/>
  <c r="E305" i="3"/>
  <c r="F305" i="3"/>
  <c r="G305" i="3"/>
  <c r="H305" i="3"/>
  <c r="I305" i="3"/>
  <c r="J305" i="3"/>
  <c r="K305" i="3"/>
  <c r="B306" i="3"/>
  <c r="C306" i="3"/>
  <c r="D306" i="3"/>
  <c r="E306" i="3"/>
  <c r="F306" i="3"/>
  <c r="G306" i="3"/>
  <c r="H306" i="3"/>
  <c r="I306" i="3"/>
  <c r="J306" i="3"/>
  <c r="K306" i="3"/>
  <c r="B307" i="3"/>
  <c r="C307" i="3"/>
  <c r="D307" i="3"/>
  <c r="E307" i="3"/>
  <c r="F307" i="3"/>
  <c r="G307" i="3"/>
  <c r="H307" i="3"/>
  <c r="I307" i="3"/>
  <c r="J307" i="3"/>
  <c r="K307" i="3"/>
  <c r="B308" i="3"/>
  <c r="C308" i="3"/>
  <c r="D308" i="3"/>
  <c r="E308" i="3"/>
  <c r="F308" i="3"/>
  <c r="G308" i="3"/>
  <c r="H308" i="3"/>
  <c r="I308" i="3"/>
  <c r="J308" i="3"/>
  <c r="K308" i="3"/>
  <c r="B309" i="3"/>
  <c r="C309" i="3"/>
  <c r="D309" i="3"/>
  <c r="E309" i="3"/>
  <c r="F309" i="3"/>
  <c r="G309" i="3"/>
  <c r="H309" i="3"/>
  <c r="I309" i="3"/>
  <c r="J309" i="3"/>
  <c r="K309" i="3"/>
  <c r="B310" i="3"/>
  <c r="C310" i="3"/>
  <c r="D310" i="3"/>
  <c r="E310" i="3"/>
  <c r="F310" i="3"/>
  <c r="G310" i="3"/>
  <c r="H310" i="3"/>
  <c r="I310" i="3"/>
  <c r="J310" i="3"/>
  <c r="K310" i="3"/>
  <c r="B311" i="3"/>
  <c r="C311" i="3"/>
  <c r="D311" i="3"/>
  <c r="E311" i="3"/>
  <c r="F311" i="3"/>
  <c r="G311" i="3"/>
  <c r="H311" i="3"/>
  <c r="I311" i="3"/>
  <c r="J311" i="3"/>
  <c r="K311" i="3"/>
  <c r="B312" i="3"/>
  <c r="C312" i="3"/>
  <c r="D312" i="3"/>
  <c r="E312" i="3"/>
  <c r="F312" i="3"/>
  <c r="G312" i="3"/>
  <c r="H312" i="3"/>
  <c r="I312" i="3"/>
  <c r="J312" i="3"/>
  <c r="K312" i="3"/>
  <c r="B313" i="3"/>
  <c r="C313" i="3"/>
  <c r="D313" i="3"/>
  <c r="E313" i="3"/>
  <c r="F313" i="3"/>
  <c r="G313" i="3"/>
  <c r="H313" i="3"/>
  <c r="I313" i="3"/>
  <c r="J313" i="3"/>
  <c r="K313" i="3"/>
  <c r="B314" i="3"/>
  <c r="C314" i="3"/>
  <c r="D314" i="3"/>
  <c r="E314" i="3"/>
  <c r="F314" i="3"/>
  <c r="G314" i="3"/>
  <c r="H314" i="3"/>
  <c r="I314" i="3"/>
  <c r="J314" i="3"/>
  <c r="K314" i="3"/>
  <c r="B315" i="3"/>
  <c r="C315" i="3"/>
  <c r="D315" i="3"/>
  <c r="E315" i="3"/>
  <c r="F315" i="3"/>
  <c r="G315" i="3"/>
  <c r="H315" i="3"/>
  <c r="I315" i="3"/>
  <c r="J315" i="3"/>
  <c r="K315" i="3"/>
  <c r="B316" i="3"/>
  <c r="C316" i="3"/>
  <c r="D316" i="3"/>
  <c r="E316" i="3"/>
  <c r="F316" i="3"/>
  <c r="G316" i="3"/>
  <c r="H316" i="3"/>
  <c r="I316" i="3"/>
  <c r="J316" i="3"/>
  <c r="K316" i="3"/>
  <c r="B317" i="3"/>
  <c r="C317" i="3"/>
  <c r="D317" i="3"/>
  <c r="E317" i="3"/>
  <c r="F317" i="3"/>
  <c r="G317" i="3"/>
  <c r="H317" i="3"/>
  <c r="I317" i="3"/>
  <c r="J317" i="3"/>
  <c r="K317" i="3"/>
  <c r="B318" i="3"/>
  <c r="C318" i="3"/>
  <c r="D318" i="3"/>
  <c r="E318" i="3"/>
  <c r="F318" i="3"/>
  <c r="G318" i="3"/>
  <c r="H318" i="3"/>
  <c r="I318" i="3"/>
  <c r="J318" i="3"/>
  <c r="K318" i="3"/>
  <c r="B319" i="3"/>
  <c r="C319" i="3"/>
  <c r="D319" i="3"/>
  <c r="E319" i="3"/>
  <c r="F319" i="3"/>
  <c r="G319" i="3"/>
  <c r="H319" i="3"/>
  <c r="I319" i="3"/>
  <c r="J319" i="3"/>
  <c r="K319" i="3"/>
  <c r="B320" i="3"/>
  <c r="C320" i="3"/>
  <c r="D320" i="3"/>
  <c r="E320" i="3"/>
  <c r="F320" i="3"/>
  <c r="G320" i="3"/>
  <c r="H320" i="3"/>
  <c r="I320" i="3"/>
  <c r="J320" i="3"/>
  <c r="K320" i="3"/>
  <c r="B321" i="3"/>
  <c r="C321" i="3"/>
  <c r="D321" i="3"/>
  <c r="E321" i="3"/>
  <c r="F321" i="3"/>
  <c r="G321" i="3"/>
  <c r="H321" i="3"/>
  <c r="I321" i="3"/>
  <c r="J321" i="3"/>
  <c r="K321" i="3"/>
  <c r="B322" i="3"/>
  <c r="C322" i="3"/>
  <c r="D322" i="3"/>
  <c r="E322" i="3"/>
  <c r="F322" i="3"/>
  <c r="G322" i="3"/>
  <c r="H322" i="3"/>
  <c r="I322" i="3"/>
  <c r="J322" i="3"/>
  <c r="K322" i="3"/>
  <c r="B323" i="3"/>
  <c r="C323" i="3"/>
  <c r="D323" i="3"/>
  <c r="E323" i="3"/>
  <c r="F323" i="3"/>
  <c r="G323" i="3"/>
  <c r="H323" i="3"/>
  <c r="I323" i="3"/>
  <c r="J323" i="3"/>
  <c r="K323" i="3"/>
  <c r="B324" i="3"/>
  <c r="C324" i="3"/>
  <c r="D324" i="3"/>
  <c r="E324" i="3"/>
  <c r="F324" i="3"/>
  <c r="G324" i="3"/>
  <c r="H324" i="3"/>
  <c r="I324" i="3"/>
  <c r="J324" i="3"/>
  <c r="K324" i="3"/>
  <c r="B325" i="3"/>
  <c r="C325" i="3"/>
  <c r="D325" i="3"/>
  <c r="E325" i="3"/>
  <c r="F325" i="3"/>
  <c r="G325" i="3"/>
  <c r="H325" i="3"/>
  <c r="I325" i="3"/>
  <c r="J325" i="3"/>
  <c r="K325" i="3"/>
  <c r="B326" i="3"/>
  <c r="C326" i="3"/>
  <c r="D326" i="3"/>
  <c r="E326" i="3"/>
  <c r="F326" i="3"/>
  <c r="G326" i="3"/>
  <c r="H326" i="3"/>
  <c r="I326" i="3"/>
  <c r="J326" i="3"/>
  <c r="K326" i="3"/>
  <c r="B327" i="3"/>
  <c r="C327" i="3"/>
  <c r="D327" i="3"/>
  <c r="E327" i="3"/>
  <c r="F327" i="3"/>
  <c r="G327" i="3"/>
  <c r="H327" i="3"/>
  <c r="I327" i="3"/>
  <c r="J327" i="3"/>
  <c r="K327" i="3"/>
  <c r="B328" i="3"/>
  <c r="C328" i="3"/>
  <c r="D328" i="3"/>
  <c r="E328" i="3"/>
  <c r="F328" i="3"/>
  <c r="G328" i="3"/>
  <c r="H328" i="3"/>
  <c r="I328" i="3"/>
  <c r="J328" i="3"/>
  <c r="K328" i="3"/>
  <c r="B329" i="3"/>
  <c r="C329" i="3"/>
  <c r="D329" i="3"/>
  <c r="E329" i="3"/>
  <c r="F329" i="3"/>
  <c r="G329" i="3"/>
  <c r="H329" i="3"/>
  <c r="I329" i="3"/>
  <c r="J329" i="3"/>
  <c r="K329" i="3"/>
  <c r="B330" i="3"/>
  <c r="C330" i="3"/>
  <c r="D330" i="3"/>
  <c r="E330" i="3"/>
  <c r="F330" i="3"/>
  <c r="G330" i="3"/>
  <c r="H330" i="3"/>
  <c r="I330" i="3"/>
  <c r="J330" i="3"/>
  <c r="K330" i="3"/>
  <c r="B331" i="3"/>
  <c r="C331" i="3"/>
  <c r="D331" i="3"/>
  <c r="E331" i="3"/>
  <c r="F331" i="3"/>
  <c r="G331" i="3"/>
  <c r="H331" i="3"/>
  <c r="I331" i="3"/>
  <c r="J331" i="3"/>
  <c r="K331" i="3"/>
  <c r="B332" i="3"/>
  <c r="C332" i="3"/>
  <c r="D332" i="3"/>
  <c r="E332" i="3"/>
  <c r="F332" i="3"/>
  <c r="G332" i="3"/>
  <c r="H332" i="3"/>
  <c r="I332" i="3"/>
  <c r="J332" i="3"/>
  <c r="K332" i="3"/>
  <c r="B333" i="3"/>
  <c r="C333" i="3"/>
  <c r="D333" i="3"/>
  <c r="E333" i="3"/>
  <c r="F333" i="3"/>
  <c r="G333" i="3"/>
  <c r="H333" i="3"/>
  <c r="I333" i="3"/>
  <c r="J333" i="3"/>
  <c r="K333" i="3"/>
  <c r="B334" i="3"/>
  <c r="C334" i="3"/>
  <c r="D334" i="3"/>
  <c r="E334" i="3"/>
  <c r="F334" i="3"/>
  <c r="G334" i="3"/>
  <c r="H334" i="3"/>
  <c r="I334" i="3"/>
  <c r="J334" i="3"/>
  <c r="K334" i="3"/>
  <c r="B335" i="3"/>
  <c r="C335" i="3"/>
  <c r="D335" i="3"/>
  <c r="E335" i="3"/>
  <c r="F335" i="3"/>
  <c r="G335" i="3"/>
  <c r="H335" i="3"/>
  <c r="I335" i="3"/>
  <c r="J335" i="3"/>
  <c r="K335" i="3"/>
  <c r="B336" i="3"/>
  <c r="C336" i="3"/>
  <c r="D336" i="3"/>
  <c r="E336" i="3"/>
  <c r="F336" i="3"/>
  <c r="G336" i="3"/>
  <c r="H336" i="3"/>
  <c r="I336" i="3"/>
  <c r="J336" i="3"/>
  <c r="K336" i="3"/>
  <c r="B337" i="3"/>
  <c r="C337" i="3"/>
  <c r="D337" i="3"/>
  <c r="E337" i="3"/>
  <c r="F337" i="3"/>
  <c r="G337" i="3"/>
  <c r="H337" i="3"/>
  <c r="I337" i="3"/>
  <c r="J337" i="3"/>
  <c r="K337" i="3"/>
  <c r="B338" i="3"/>
  <c r="C338" i="3"/>
  <c r="D338" i="3"/>
  <c r="E338" i="3"/>
  <c r="F338" i="3"/>
  <c r="G338" i="3"/>
  <c r="H338" i="3"/>
  <c r="I338" i="3"/>
  <c r="J338" i="3"/>
  <c r="K338" i="3"/>
  <c r="B339" i="3"/>
  <c r="C339" i="3"/>
  <c r="D339" i="3"/>
  <c r="E339" i="3"/>
  <c r="F339" i="3"/>
  <c r="G339" i="3"/>
  <c r="H339" i="3"/>
  <c r="I339" i="3"/>
  <c r="J339" i="3"/>
  <c r="K339" i="3"/>
  <c r="B340" i="3"/>
  <c r="C340" i="3"/>
  <c r="D340" i="3"/>
  <c r="E340" i="3"/>
  <c r="F340" i="3"/>
  <c r="G340" i="3"/>
  <c r="H340" i="3"/>
  <c r="I340" i="3"/>
  <c r="J340" i="3"/>
  <c r="K340" i="3"/>
  <c r="B341" i="3"/>
  <c r="C341" i="3"/>
  <c r="D341" i="3"/>
  <c r="E341" i="3"/>
  <c r="F341" i="3"/>
  <c r="G341" i="3"/>
  <c r="H341" i="3"/>
  <c r="I341" i="3"/>
  <c r="J341" i="3"/>
  <c r="K341" i="3"/>
  <c r="B342" i="3"/>
  <c r="C342" i="3"/>
  <c r="D342" i="3"/>
  <c r="E342" i="3"/>
  <c r="F342" i="3"/>
  <c r="G342" i="3"/>
  <c r="H342" i="3"/>
  <c r="I342" i="3"/>
  <c r="J342" i="3"/>
  <c r="K342" i="3"/>
  <c r="B343" i="3"/>
  <c r="C343" i="3"/>
  <c r="D343" i="3"/>
  <c r="E343" i="3"/>
  <c r="F343" i="3"/>
  <c r="G343" i="3"/>
  <c r="H343" i="3"/>
  <c r="I343" i="3"/>
  <c r="J343" i="3"/>
  <c r="K343" i="3"/>
  <c r="B344" i="3"/>
  <c r="C344" i="3"/>
  <c r="D344" i="3"/>
  <c r="E344" i="3"/>
  <c r="F344" i="3"/>
  <c r="G344" i="3"/>
  <c r="H344" i="3"/>
  <c r="I344" i="3"/>
  <c r="J344" i="3"/>
  <c r="K344" i="3"/>
  <c r="B345" i="3"/>
  <c r="C345" i="3"/>
  <c r="D345" i="3"/>
  <c r="E345" i="3"/>
  <c r="F345" i="3"/>
  <c r="G345" i="3"/>
  <c r="H345" i="3"/>
  <c r="I345" i="3"/>
  <c r="J345" i="3"/>
  <c r="K345" i="3"/>
  <c r="B346" i="3"/>
  <c r="C346" i="3"/>
  <c r="D346" i="3"/>
  <c r="E346" i="3"/>
  <c r="F346" i="3"/>
  <c r="G346" i="3"/>
  <c r="H346" i="3"/>
  <c r="I346" i="3"/>
  <c r="J346" i="3"/>
  <c r="K346" i="3"/>
  <c r="B347" i="3"/>
  <c r="C347" i="3"/>
  <c r="D347" i="3"/>
  <c r="E347" i="3"/>
  <c r="F347" i="3"/>
  <c r="G347" i="3"/>
  <c r="H347" i="3"/>
  <c r="I347" i="3"/>
  <c r="J347" i="3"/>
  <c r="K347" i="3"/>
  <c r="B348" i="3"/>
  <c r="C348" i="3"/>
  <c r="D348" i="3"/>
  <c r="E348" i="3"/>
  <c r="F348" i="3"/>
  <c r="G348" i="3"/>
  <c r="H348" i="3"/>
  <c r="I348" i="3"/>
  <c r="J348" i="3"/>
  <c r="K348" i="3"/>
  <c r="B349" i="3"/>
  <c r="C349" i="3"/>
  <c r="D349" i="3"/>
  <c r="E349" i="3"/>
  <c r="F349" i="3"/>
  <c r="G349" i="3"/>
  <c r="H349" i="3"/>
  <c r="I349" i="3"/>
  <c r="J349" i="3"/>
  <c r="K349" i="3"/>
  <c r="B350" i="3"/>
  <c r="C350" i="3"/>
  <c r="D350" i="3"/>
  <c r="E350" i="3"/>
  <c r="F350" i="3"/>
  <c r="G350" i="3"/>
  <c r="H350" i="3"/>
  <c r="I350" i="3"/>
  <c r="J350" i="3"/>
  <c r="K350" i="3"/>
  <c r="B351" i="3"/>
  <c r="C351" i="3"/>
  <c r="D351" i="3"/>
  <c r="E351" i="3"/>
  <c r="F351" i="3"/>
  <c r="G351" i="3"/>
  <c r="H351" i="3"/>
  <c r="I351" i="3"/>
  <c r="J351" i="3"/>
  <c r="K351" i="3"/>
  <c r="B352" i="3"/>
  <c r="C352" i="3"/>
  <c r="D352" i="3"/>
  <c r="E352" i="3"/>
  <c r="F352" i="3"/>
  <c r="G352" i="3"/>
  <c r="H352" i="3"/>
  <c r="I352" i="3"/>
  <c r="J352" i="3"/>
  <c r="K352" i="3"/>
  <c r="B353" i="3"/>
  <c r="C353" i="3"/>
  <c r="D353" i="3"/>
  <c r="E353" i="3"/>
  <c r="F353" i="3"/>
  <c r="G353" i="3"/>
  <c r="H353" i="3"/>
  <c r="I353" i="3"/>
  <c r="J353" i="3"/>
  <c r="K353" i="3"/>
  <c r="B354" i="3"/>
  <c r="C354" i="3"/>
  <c r="D354" i="3"/>
  <c r="E354" i="3"/>
  <c r="F354" i="3"/>
  <c r="G354" i="3"/>
  <c r="H354" i="3"/>
  <c r="I354" i="3"/>
  <c r="J354" i="3"/>
  <c r="K354" i="3"/>
  <c r="B355" i="3"/>
  <c r="C355" i="3"/>
  <c r="D355" i="3"/>
  <c r="E355" i="3"/>
  <c r="F355" i="3"/>
  <c r="G355" i="3"/>
  <c r="H355" i="3"/>
  <c r="I355" i="3"/>
  <c r="J355" i="3"/>
  <c r="K355" i="3"/>
  <c r="B356" i="3"/>
  <c r="C356" i="3"/>
  <c r="D356" i="3"/>
  <c r="E356" i="3"/>
  <c r="F356" i="3"/>
  <c r="G356" i="3"/>
  <c r="H356" i="3"/>
  <c r="I356" i="3"/>
  <c r="J356" i="3"/>
  <c r="K356" i="3"/>
  <c r="B357" i="3"/>
  <c r="C357" i="3"/>
  <c r="D357" i="3"/>
  <c r="E357" i="3"/>
  <c r="F357" i="3"/>
  <c r="G357" i="3"/>
  <c r="H357" i="3"/>
  <c r="I357" i="3"/>
  <c r="J357" i="3"/>
  <c r="K357" i="3"/>
  <c r="B358" i="3"/>
  <c r="C358" i="3"/>
  <c r="D358" i="3"/>
  <c r="E358" i="3"/>
  <c r="F358" i="3"/>
  <c r="G358" i="3"/>
  <c r="H358" i="3"/>
  <c r="I358" i="3"/>
  <c r="J358" i="3"/>
  <c r="K358" i="3"/>
  <c r="B359" i="3"/>
  <c r="C359" i="3"/>
  <c r="D359" i="3"/>
  <c r="E359" i="3"/>
  <c r="F359" i="3"/>
  <c r="G359" i="3"/>
  <c r="H359" i="3"/>
  <c r="I359" i="3"/>
  <c r="J359" i="3"/>
  <c r="K359" i="3"/>
  <c r="B360" i="3"/>
  <c r="C360" i="3"/>
  <c r="D360" i="3"/>
  <c r="E360" i="3"/>
  <c r="F360" i="3"/>
  <c r="G360" i="3"/>
  <c r="H360" i="3"/>
  <c r="I360" i="3"/>
  <c r="J360" i="3"/>
  <c r="K360" i="3"/>
  <c r="B361" i="3"/>
  <c r="C361" i="3"/>
  <c r="D361" i="3"/>
  <c r="E361" i="3"/>
  <c r="F361" i="3"/>
  <c r="G361" i="3"/>
  <c r="H361" i="3"/>
  <c r="I361" i="3"/>
  <c r="J361" i="3"/>
  <c r="K361" i="3"/>
  <c r="B362" i="3"/>
  <c r="C362" i="3"/>
  <c r="D362" i="3"/>
  <c r="E362" i="3"/>
  <c r="F362" i="3"/>
  <c r="G362" i="3"/>
  <c r="H362" i="3"/>
  <c r="I362" i="3"/>
  <c r="J362" i="3"/>
  <c r="K362" i="3"/>
  <c r="B363" i="3"/>
  <c r="C363" i="3"/>
  <c r="D363" i="3"/>
  <c r="E363" i="3"/>
  <c r="F363" i="3"/>
  <c r="G363" i="3"/>
  <c r="H363" i="3"/>
  <c r="I363" i="3"/>
  <c r="J363" i="3"/>
  <c r="K363" i="3"/>
  <c r="B364" i="3"/>
  <c r="C364" i="3"/>
  <c r="D364" i="3"/>
  <c r="E364" i="3"/>
  <c r="F364" i="3"/>
  <c r="G364" i="3"/>
  <c r="H364" i="3"/>
  <c r="I364" i="3"/>
  <c r="J364" i="3"/>
  <c r="K364" i="3"/>
  <c r="B365" i="3"/>
  <c r="C365" i="3"/>
  <c r="D365" i="3"/>
  <c r="E365" i="3"/>
  <c r="F365" i="3"/>
  <c r="G365" i="3"/>
  <c r="H365" i="3"/>
  <c r="I365" i="3"/>
  <c r="J365" i="3"/>
  <c r="K365" i="3"/>
  <c r="B366" i="3"/>
  <c r="C366" i="3"/>
  <c r="D366" i="3"/>
  <c r="E366" i="3"/>
  <c r="F366" i="3"/>
  <c r="G366" i="3"/>
  <c r="H366" i="3"/>
  <c r="I366" i="3"/>
  <c r="J366" i="3"/>
  <c r="K366" i="3"/>
  <c r="B367" i="3"/>
  <c r="C367" i="3"/>
  <c r="D367" i="3"/>
  <c r="E367" i="3"/>
  <c r="F367" i="3"/>
  <c r="G367" i="3"/>
  <c r="H367" i="3"/>
  <c r="I367" i="3"/>
  <c r="J367" i="3"/>
  <c r="K367" i="3"/>
  <c r="B368" i="3"/>
  <c r="C368" i="3"/>
  <c r="D368" i="3"/>
  <c r="E368" i="3"/>
  <c r="F368" i="3"/>
  <c r="G368" i="3"/>
  <c r="H368" i="3"/>
  <c r="I368" i="3"/>
  <c r="J368" i="3"/>
  <c r="K368" i="3"/>
  <c r="B369" i="3"/>
  <c r="C369" i="3"/>
  <c r="D369" i="3"/>
  <c r="E369" i="3"/>
  <c r="F369" i="3"/>
  <c r="G369" i="3"/>
  <c r="H369" i="3"/>
  <c r="I369" i="3"/>
  <c r="J369" i="3"/>
  <c r="K369" i="3"/>
  <c r="B370" i="3"/>
  <c r="C370" i="3"/>
  <c r="D370" i="3"/>
  <c r="E370" i="3"/>
  <c r="F370" i="3"/>
  <c r="G370" i="3"/>
  <c r="H370" i="3"/>
  <c r="I370" i="3"/>
  <c r="J370" i="3"/>
  <c r="K370" i="3"/>
  <c r="B371" i="3"/>
  <c r="C371" i="3"/>
  <c r="D371" i="3"/>
  <c r="E371" i="3"/>
  <c r="F371" i="3"/>
  <c r="G371" i="3"/>
  <c r="H371" i="3"/>
  <c r="I371" i="3"/>
  <c r="J371" i="3"/>
  <c r="K371" i="3"/>
  <c r="B372" i="3"/>
  <c r="C372" i="3"/>
  <c r="D372" i="3"/>
  <c r="E372" i="3"/>
  <c r="F372" i="3"/>
  <c r="G372" i="3"/>
  <c r="H372" i="3"/>
  <c r="I372" i="3"/>
  <c r="J372" i="3"/>
  <c r="K372" i="3"/>
  <c r="B373" i="3"/>
  <c r="C373" i="3"/>
  <c r="D373" i="3"/>
  <c r="E373" i="3"/>
  <c r="F373" i="3"/>
  <c r="G373" i="3"/>
  <c r="H373" i="3"/>
  <c r="I373" i="3"/>
  <c r="J373" i="3"/>
  <c r="K373" i="3"/>
  <c r="B374" i="3"/>
  <c r="C374" i="3"/>
  <c r="D374" i="3"/>
  <c r="E374" i="3"/>
  <c r="F374" i="3"/>
  <c r="G374" i="3"/>
  <c r="H374" i="3"/>
  <c r="I374" i="3"/>
  <c r="J374" i="3"/>
  <c r="K374" i="3"/>
  <c r="B375" i="3"/>
  <c r="C375" i="3"/>
  <c r="D375" i="3"/>
  <c r="E375" i="3"/>
  <c r="F375" i="3"/>
  <c r="G375" i="3"/>
  <c r="H375" i="3"/>
  <c r="I375" i="3"/>
  <c r="J375" i="3"/>
  <c r="K375" i="3"/>
  <c r="B376" i="3"/>
  <c r="C376" i="3"/>
  <c r="D376" i="3"/>
  <c r="E376" i="3"/>
  <c r="F376" i="3"/>
  <c r="G376" i="3"/>
  <c r="H376" i="3"/>
  <c r="I376" i="3"/>
  <c r="J376" i="3"/>
  <c r="K376" i="3"/>
  <c r="B377" i="3"/>
  <c r="C377" i="3"/>
  <c r="D377" i="3"/>
  <c r="E377" i="3"/>
  <c r="F377" i="3"/>
  <c r="G377" i="3"/>
  <c r="H377" i="3"/>
  <c r="I377" i="3"/>
  <c r="J377" i="3"/>
  <c r="K377" i="3"/>
  <c r="B378" i="3"/>
  <c r="C378" i="3"/>
  <c r="D378" i="3"/>
  <c r="E378" i="3"/>
  <c r="F378" i="3"/>
  <c r="G378" i="3"/>
  <c r="H378" i="3"/>
  <c r="I378" i="3"/>
  <c r="J378" i="3"/>
  <c r="K378" i="3"/>
  <c r="B379" i="3"/>
  <c r="C379" i="3"/>
  <c r="D379" i="3"/>
  <c r="E379" i="3"/>
  <c r="F379" i="3"/>
  <c r="G379" i="3"/>
  <c r="H379" i="3"/>
  <c r="I379" i="3"/>
  <c r="J379" i="3"/>
  <c r="K379" i="3"/>
  <c r="B380" i="3"/>
  <c r="C380" i="3"/>
  <c r="D380" i="3"/>
  <c r="E380" i="3"/>
  <c r="F380" i="3"/>
  <c r="G380" i="3"/>
  <c r="H380" i="3"/>
  <c r="I380" i="3"/>
  <c r="J380" i="3"/>
  <c r="K380" i="3"/>
  <c r="B381" i="3"/>
  <c r="C381" i="3"/>
  <c r="D381" i="3"/>
  <c r="E381" i="3"/>
  <c r="F381" i="3"/>
  <c r="G381" i="3"/>
  <c r="H381" i="3"/>
  <c r="I381" i="3"/>
  <c r="J381" i="3"/>
  <c r="K381" i="3"/>
  <c r="B382" i="3"/>
  <c r="C382" i="3"/>
  <c r="D382" i="3"/>
  <c r="E382" i="3"/>
  <c r="F382" i="3"/>
  <c r="G382" i="3"/>
  <c r="H382" i="3"/>
  <c r="I382" i="3"/>
  <c r="J382" i="3"/>
  <c r="K382" i="3"/>
  <c r="B383" i="3"/>
  <c r="C383" i="3"/>
  <c r="D383" i="3"/>
  <c r="E383" i="3"/>
  <c r="F383" i="3"/>
  <c r="G383" i="3"/>
  <c r="H383" i="3"/>
  <c r="I383" i="3"/>
  <c r="J383" i="3"/>
  <c r="K383" i="3"/>
  <c r="B384" i="3"/>
  <c r="C384" i="3"/>
  <c r="D384" i="3"/>
  <c r="E384" i="3"/>
  <c r="F384" i="3"/>
  <c r="G384" i="3"/>
  <c r="H384" i="3"/>
  <c r="I384" i="3"/>
  <c r="J384" i="3"/>
  <c r="K384" i="3"/>
  <c r="B385" i="3"/>
  <c r="C385" i="3"/>
  <c r="D385" i="3"/>
  <c r="E385" i="3"/>
  <c r="F385" i="3"/>
  <c r="G385" i="3"/>
  <c r="H385" i="3"/>
  <c r="I385" i="3"/>
  <c r="J385" i="3"/>
  <c r="K385" i="3"/>
  <c r="B386" i="3"/>
  <c r="C386" i="3"/>
  <c r="D386" i="3"/>
  <c r="E386" i="3"/>
  <c r="F386" i="3"/>
  <c r="G386" i="3"/>
  <c r="H386" i="3"/>
  <c r="I386" i="3"/>
  <c r="J386" i="3"/>
  <c r="K386" i="3"/>
  <c r="B387" i="3"/>
  <c r="C387" i="3"/>
  <c r="D387" i="3"/>
  <c r="E387" i="3"/>
  <c r="F387" i="3"/>
  <c r="G387" i="3"/>
  <c r="H387" i="3"/>
  <c r="I387" i="3"/>
  <c r="J387" i="3"/>
  <c r="K387" i="3"/>
  <c r="B388" i="3"/>
  <c r="C388" i="3"/>
  <c r="D388" i="3"/>
  <c r="E388" i="3"/>
  <c r="F388" i="3"/>
  <c r="G388" i="3"/>
  <c r="H388" i="3"/>
  <c r="I388" i="3"/>
  <c r="J388" i="3"/>
  <c r="K388" i="3"/>
  <c r="B389" i="3"/>
  <c r="C389" i="3"/>
  <c r="D389" i="3"/>
  <c r="E389" i="3"/>
  <c r="F389" i="3"/>
  <c r="G389" i="3"/>
  <c r="H389" i="3"/>
  <c r="I389" i="3"/>
  <c r="J389" i="3"/>
  <c r="K389" i="3"/>
  <c r="B390" i="3"/>
  <c r="C390" i="3"/>
  <c r="D390" i="3"/>
  <c r="E390" i="3"/>
  <c r="F390" i="3"/>
  <c r="G390" i="3"/>
  <c r="H390" i="3"/>
  <c r="I390" i="3"/>
  <c r="J390" i="3"/>
  <c r="K390" i="3"/>
  <c r="B391" i="3"/>
  <c r="C391" i="3"/>
  <c r="D391" i="3"/>
  <c r="E391" i="3"/>
  <c r="F391" i="3"/>
  <c r="G391" i="3"/>
  <c r="H391" i="3"/>
  <c r="I391" i="3"/>
  <c r="J391" i="3"/>
  <c r="K391" i="3"/>
  <c r="B392" i="3"/>
  <c r="C392" i="3"/>
  <c r="D392" i="3"/>
  <c r="E392" i="3"/>
  <c r="F392" i="3"/>
  <c r="G392" i="3"/>
  <c r="H392" i="3"/>
  <c r="I392" i="3"/>
  <c r="J392" i="3"/>
  <c r="K392" i="3"/>
  <c r="B393" i="3"/>
  <c r="C393" i="3"/>
  <c r="D393" i="3"/>
  <c r="E393" i="3"/>
  <c r="F393" i="3"/>
  <c r="G393" i="3"/>
  <c r="H393" i="3"/>
  <c r="I393" i="3"/>
  <c r="J393" i="3"/>
  <c r="K393" i="3"/>
  <c r="B394" i="3"/>
  <c r="C394" i="3"/>
  <c r="D394" i="3"/>
  <c r="E394" i="3"/>
  <c r="F394" i="3"/>
  <c r="G394" i="3"/>
  <c r="H394" i="3"/>
  <c r="I394" i="3"/>
  <c r="J394" i="3"/>
  <c r="K394" i="3"/>
  <c r="B395" i="3"/>
  <c r="C395" i="3"/>
  <c r="D395" i="3"/>
  <c r="E395" i="3"/>
  <c r="F395" i="3"/>
  <c r="G395" i="3"/>
  <c r="H395" i="3"/>
  <c r="I395" i="3"/>
  <c r="J395" i="3"/>
  <c r="K395" i="3"/>
  <c r="B396" i="3"/>
  <c r="C396" i="3"/>
  <c r="D396" i="3"/>
  <c r="E396" i="3"/>
  <c r="F396" i="3"/>
  <c r="G396" i="3"/>
  <c r="G1101" i="3" s="1"/>
  <c r="H396" i="3"/>
  <c r="I396" i="3"/>
  <c r="J396" i="3"/>
  <c r="K396" i="3"/>
  <c r="B397" i="3"/>
  <c r="C397" i="3"/>
  <c r="D397" i="3"/>
  <c r="E397" i="3"/>
  <c r="F397" i="3"/>
  <c r="G397" i="3"/>
  <c r="H397" i="3"/>
  <c r="I397" i="3"/>
  <c r="J397" i="3"/>
  <c r="K397" i="3"/>
  <c r="B398" i="3"/>
  <c r="C398" i="3"/>
  <c r="D398" i="3"/>
  <c r="E398" i="3"/>
  <c r="F398" i="3"/>
  <c r="G398" i="3"/>
  <c r="H398" i="3"/>
  <c r="I398" i="3"/>
  <c r="J398" i="3"/>
  <c r="K398" i="3"/>
  <c r="B399" i="3"/>
  <c r="C399" i="3"/>
  <c r="D399" i="3"/>
  <c r="E399" i="3"/>
  <c r="F399" i="3"/>
  <c r="G399" i="3"/>
  <c r="H399" i="3"/>
  <c r="I399" i="3"/>
  <c r="J399" i="3"/>
  <c r="K399" i="3"/>
  <c r="B400" i="3"/>
  <c r="C400" i="3"/>
  <c r="D400" i="3"/>
  <c r="E400" i="3"/>
  <c r="F400" i="3"/>
  <c r="G400" i="3"/>
  <c r="H400" i="3"/>
  <c r="I400" i="3"/>
  <c r="J400" i="3"/>
  <c r="K400" i="3"/>
  <c r="B401" i="3"/>
  <c r="C401" i="3"/>
  <c r="D401" i="3"/>
  <c r="E401" i="3"/>
  <c r="F401" i="3"/>
  <c r="G401" i="3"/>
  <c r="H401" i="3"/>
  <c r="I401" i="3"/>
  <c r="J401" i="3"/>
  <c r="K401" i="3"/>
  <c r="B402" i="3"/>
  <c r="C402" i="3"/>
  <c r="D402" i="3"/>
  <c r="E402" i="3"/>
  <c r="F402" i="3"/>
  <c r="G402" i="3"/>
  <c r="H402" i="3"/>
  <c r="I402" i="3"/>
  <c r="J402" i="3"/>
  <c r="K402" i="3"/>
  <c r="B403" i="3"/>
  <c r="C403" i="3"/>
  <c r="D403" i="3"/>
  <c r="E403" i="3"/>
  <c r="F403" i="3"/>
  <c r="G403" i="3"/>
  <c r="H403" i="3"/>
  <c r="I403" i="3"/>
  <c r="J403" i="3"/>
  <c r="K403" i="3"/>
  <c r="B404" i="3"/>
  <c r="C404" i="3"/>
  <c r="D404" i="3"/>
  <c r="E404" i="3"/>
  <c r="F404" i="3"/>
  <c r="G404" i="3"/>
  <c r="H404" i="3"/>
  <c r="I404" i="3"/>
  <c r="J404" i="3"/>
  <c r="K404" i="3"/>
  <c r="B405" i="3"/>
  <c r="C405" i="3"/>
  <c r="D405" i="3"/>
  <c r="E405" i="3"/>
  <c r="F405" i="3"/>
  <c r="G405" i="3"/>
  <c r="H405" i="3"/>
  <c r="I405" i="3"/>
  <c r="J405" i="3"/>
  <c r="K405" i="3"/>
  <c r="B406" i="3"/>
  <c r="C406" i="3"/>
  <c r="D406" i="3"/>
  <c r="E406" i="3"/>
  <c r="F406" i="3"/>
  <c r="G406" i="3"/>
  <c r="H406" i="3"/>
  <c r="I406" i="3"/>
  <c r="J406" i="3"/>
  <c r="K406" i="3"/>
  <c r="B407" i="3"/>
  <c r="C407" i="3"/>
  <c r="D407" i="3"/>
  <c r="E407" i="3"/>
  <c r="F407" i="3"/>
  <c r="G407" i="3"/>
  <c r="H407" i="3"/>
  <c r="I407" i="3"/>
  <c r="J407" i="3"/>
  <c r="K407" i="3"/>
  <c r="B408" i="3"/>
  <c r="C408" i="3"/>
  <c r="D408" i="3"/>
  <c r="E408" i="3"/>
  <c r="F408" i="3"/>
  <c r="G408" i="3"/>
  <c r="H408" i="3"/>
  <c r="I408" i="3"/>
  <c r="J408" i="3"/>
  <c r="K408" i="3"/>
  <c r="B409" i="3"/>
  <c r="C409" i="3"/>
  <c r="D409" i="3"/>
  <c r="E409" i="3"/>
  <c r="F409" i="3"/>
  <c r="G409" i="3"/>
  <c r="H409" i="3"/>
  <c r="I409" i="3"/>
  <c r="J409" i="3"/>
  <c r="K409" i="3"/>
  <c r="B410" i="3"/>
  <c r="C410" i="3"/>
  <c r="D410" i="3"/>
  <c r="E410" i="3"/>
  <c r="F410" i="3"/>
  <c r="G410" i="3"/>
  <c r="H410" i="3"/>
  <c r="I410" i="3"/>
  <c r="J410" i="3"/>
  <c r="K410" i="3"/>
  <c r="B411" i="3"/>
  <c r="C411" i="3"/>
  <c r="D411" i="3"/>
  <c r="E411" i="3"/>
  <c r="F411" i="3"/>
  <c r="G411" i="3"/>
  <c r="H411" i="3"/>
  <c r="I411" i="3"/>
  <c r="J411" i="3"/>
  <c r="K411" i="3"/>
  <c r="B412" i="3"/>
  <c r="C412" i="3"/>
  <c r="D412" i="3"/>
  <c r="E412" i="3"/>
  <c r="F412" i="3"/>
  <c r="G412" i="3"/>
  <c r="H412" i="3"/>
  <c r="I412" i="3"/>
  <c r="J412" i="3"/>
  <c r="K412" i="3"/>
  <c r="B413" i="3"/>
  <c r="C413" i="3"/>
  <c r="D413" i="3"/>
  <c r="E413" i="3"/>
  <c r="F413" i="3"/>
  <c r="G413" i="3"/>
  <c r="H413" i="3"/>
  <c r="I413" i="3"/>
  <c r="J413" i="3"/>
  <c r="K413" i="3"/>
  <c r="B414" i="3"/>
  <c r="C414" i="3"/>
  <c r="D414" i="3"/>
  <c r="E414" i="3"/>
  <c r="F414" i="3"/>
  <c r="G414" i="3"/>
  <c r="H414" i="3"/>
  <c r="I414" i="3"/>
  <c r="J414" i="3"/>
  <c r="K414" i="3"/>
  <c r="B415" i="3"/>
  <c r="C415" i="3"/>
  <c r="D415" i="3"/>
  <c r="E415" i="3"/>
  <c r="F415" i="3"/>
  <c r="G415" i="3"/>
  <c r="H415" i="3"/>
  <c r="I415" i="3"/>
  <c r="J415" i="3"/>
  <c r="K415" i="3"/>
  <c r="B416" i="3"/>
  <c r="C416" i="3"/>
  <c r="D416" i="3"/>
  <c r="E416" i="3"/>
  <c r="F416" i="3"/>
  <c r="G416" i="3"/>
  <c r="H416" i="3"/>
  <c r="I416" i="3"/>
  <c r="J416" i="3"/>
  <c r="K416" i="3"/>
  <c r="B417" i="3"/>
  <c r="C417" i="3"/>
  <c r="D417" i="3"/>
  <c r="E417" i="3"/>
  <c r="F417" i="3"/>
  <c r="G417" i="3"/>
  <c r="H417" i="3"/>
  <c r="I417" i="3"/>
  <c r="J417" i="3"/>
  <c r="K417" i="3"/>
  <c r="B418" i="3"/>
  <c r="C418" i="3"/>
  <c r="D418" i="3"/>
  <c r="E418" i="3"/>
  <c r="F418" i="3"/>
  <c r="G418" i="3"/>
  <c r="H418" i="3"/>
  <c r="I418" i="3"/>
  <c r="J418" i="3"/>
  <c r="K418" i="3"/>
  <c r="B419" i="3"/>
  <c r="C419" i="3"/>
  <c r="D419" i="3"/>
  <c r="E419" i="3"/>
  <c r="F419" i="3"/>
  <c r="G419" i="3"/>
  <c r="H419" i="3"/>
  <c r="I419" i="3"/>
  <c r="J419" i="3"/>
  <c r="K419" i="3"/>
  <c r="B420" i="3"/>
  <c r="C420" i="3"/>
  <c r="D420" i="3"/>
  <c r="E420" i="3"/>
  <c r="F420" i="3"/>
  <c r="G420" i="3"/>
  <c r="H420" i="3"/>
  <c r="I420" i="3"/>
  <c r="J420" i="3"/>
  <c r="K420" i="3"/>
  <c r="B421" i="3"/>
  <c r="C421" i="3"/>
  <c r="D421" i="3"/>
  <c r="E421" i="3"/>
  <c r="F421" i="3"/>
  <c r="G421" i="3"/>
  <c r="H421" i="3"/>
  <c r="I421" i="3"/>
  <c r="J421" i="3"/>
  <c r="K421" i="3"/>
  <c r="B422" i="3"/>
  <c r="C422" i="3"/>
  <c r="D422" i="3"/>
  <c r="E422" i="3"/>
  <c r="F422" i="3"/>
  <c r="G422" i="3"/>
  <c r="H422" i="3"/>
  <c r="I422" i="3"/>
  <c r="J422" i="3"/>
  <c r="K422" i="3"/>
  <c r="B423" i="3"/>
  <c r="C423" i="3"/>
  <c r="D423" i="3"/>
  <c r="E423" i="3"/>
  <c r="F423" i="3"/>
  <c r="G423" i="3"/>
  <c r="H423" i="3"/>
  <c r="I423" i="3"/>
  <c r="J423" i="3"/>
  <c r="K423" i="3"/>
  <c r="B424" i="3"/>
  <c r="C424" i="3"/>
  <c r="D424" i="3"/>
  <c r="E424" i="3"/>
  <c r="F424" i="3"/>
  <c r="G424" i="3"/>
  <c r="H424" i="3"/>
  <c r="I424" i="3"/>
  <c r="J424" i="3"/>
  <c r="K424" i="3"/>
  <c r="B425" i="3"/>
  <c r="C425" i="3"/>
  <c r="D425" i="3"/>
  <c r="E425" i="3"/>
  <c r="F425" i="3"/>
  <c r="G425" i="3"/>
  <c r="H425" i="3"/>
  <c r="I425" i="3"/>
  <c r="J425" i="3"/>
  <c r="K425" i="3"/>
  <c r="B426" i="3"/>
  <c r="C426" i="3"/>
  <c r="D426" i="3"/>
  <c r="E426" i="3"/>
  <c r="F426" i="3"/>
  <c r="G426" i="3"/>
  <c r="H426" i="3"/>
  <c r="I426" i="3"/>
  <c r="J426" i="3"/>
  <c r="K426" i="3"/>
  <c r="B427" i="3"/>
  <c r="C427" i="3"/>
  <c r="D427" i="3"/>
  <c r="E427" i="3"/>
  <c r="F427" i="3"/>
  <c r="G427" i="3"/>
  <c r="H427" i="3"/>
  <c r="I427" i="3"/>
  <c r="J427" i="3"/>
  <c r="K427" i="3"/>
  <c r="B428" i="3"/>
  <c r="C428" i="3"/>
  <c r="D428" i="3"/>
  <c r="E428" i="3"/>
  <c r="F428" i="3"/>
  <c r="G428" i="3"/>
  <c r="H428" i="3"/>
  <c r="I428" i="3"/>
  <c r="J428" i="3"/>
  <c r="K428" i="3"/>
  <c r="B429" i="3"/>
  <c r="C429" i="3"/>
  <c r="D429" i="3"/>
  <c r="E429" i="3"/>
  <c r="F429" i="3"/>
  <c r="G429" i="3"/>
  <c r="H429" i="3"/>
  <c r="I429" i="3"/>
  <c r="J429" i="3"/>
  <c r="K429" i="3"/>
  <c r="B430" i="3"/>
  <c r="C430" i="3"/>
  <c r="D430" i="3"/>
  <c r="E430" i="3"/>
  <c r="F430" i="3"/>
  <c r="G430" i="3"/>
  <c r="H430" i="3"/>
  <c r="I430" i="3"/>
  <c r="J430" i="3"/>
  <c r="K430" i="3"/>
  <c r="B431" i="3"/>
  <c r="C431" i="3"/>
  <c r="D431" i="3"/>
  <c r="E431" i="3"/>
  <c r="F431" i="3"/>
  <c r="G431" i="3"/>
  <c r="H431" i="3"/>
  <c r="I431" i="3"/>
  <c r="J431" i="3"/>
  <c r="K431" i="3"/>
  <c r="B432" i="3"/>
  <c r="C432" i="3"/>
  <c r="D432" i="3"/>
  <c r="E432" i="3"/>
  <c r="F432" i="3"/>
  <c r="G432" i="3"/>
  <c r="H432" i="3"/>
  <c r="I432" i="3"/>
  <c r="J432" i="3"/>
  <c r="K432" i="3"/>
  <c r="B433" i="3"/>
  <c r="C433" i="3"/>
  <c r="D433" i="3"/>
  <c r="E433" i="3"/>
  <c r="F433" i="3"/>
  <c r="G433" i="3"/>
  <c r="H433" i="3"/>
  <c r="I433" i="3"/>
  <c r="J433" i="3"/>
  <c r="K433" i="3"/>
  <c r="B434" i="3"/>
  <c r="C434" i="3"/>
  <c r="D434" i="3"/>
  <c r="E434" i="3"/>
  <c r="F434" i="3"/>
  <c r="G434" i="3"/>
  <c r="H434" i="3"/>
  <c r="I434" i="3"/>
  <c r="J434" i="3"/>
  <c r="K434" i="3"/>
  <c r="B435" i="3"/>
  <c r="C435" i="3"/>
  <c r="D435" i="3"/>
  <c r="E435" i="3"/>
  <c r="F435" i="3"/>
  <c r="G435" i="3"/>
  <c r="H435" i="3"/>
  <c r="I435" i="3"/>
  <c r="J435" i="3"/>
  <c r="K435" i="3"/>
  <c r="B436" i="3"/>
  <c r="C436" i="3"/>
  <c r="D436" i="3"/>
  <c r="E436" i="3"/>
  <c r="F436" i="3"/>
  <c r="G436" i="3"/>
  <c r="H436" i="3"/>
  <c r="I436" i="3"/>
  <c r="J436" i="3"/>
  <c r="K436" i="3"/>
  <c r="B437" i="3"/>
  <c r="C437" i="3"/>
  <c r="D437" i="3"/>
  <c r="E437" i="3"/>
  <c r="F437" i="3"/>
  <c r="G437" i="3"/>
  <c r="H437" i="3"/>
  <c r="I437" i="3"/>
  <c r="J437" i="3"/>
  <c r="K437" i="3"/>
  <c r="B438" i="3"/>
  <c r="C438" i="3"/>
  <c r="D438" i="3"/>
  <c r="E438" i="3"/>
  <c r="F438" i="3"/>
  <c r="G438" i="3"/>
  <c r="H438" i="3"/>
  <c r="I438" i="3"/>
  <c r="J438" i="3"/>
  <c r="K438" i="3"/>
  <c r="B439" i="3"/>
  <c r="C439" i="3"/>
  <c r="D439" i="3"/>
  <c r="E439" i="3"/>
  <c r="F439" i="3"/>
  <c r="G439" i="3"/>
  <c r="H439" i="3"/>
  <c r="I439" i="3"/>
  <c r="J439" i="3"/>
  <c r="K439" i="3"/>
  <c r="B440" i="3"/>
  <c r="C440" i="3"/>
  <c r="D440" i="3"/>
  <c r="E440" i="3"/>
  <c r="F440" i="3"/>
  <c r="G440" i="3"/>
  <c r="H440" i="3"/>
  <c r="I440" i="3"/>
  <c r="J440" i="3"/>
  <c r="K440" i="3"/>
  <c r="B441" i="3"/>
  <c r="C441" i="3"/>
  <c r="D441" i="3"/>
  <c r="E441" i="3"/>
  <c r="F441" i="3"/>
  <c r="G441" i="3"/>
  <c r="H441" i="3"/>
  <c r="I441" i="3"/>
  <c r="J441" i="3"/>
  <c r="K441" i="3"/>
  <c r="B442" i="3"/>
  <c r="C442" i="3"/>
  <c r="D442" i="3"/>
  <c r="E442" i="3"/>
  <c r="F442" i="3"/>
  <c r="G442" i="3"/>
  <c r="H442" i="3"/>
  <c r="I442" i="3"/>
  <c r="J442" i="3"/>
  <c r="K442" i="3"/>
  <c r="B443" i="3"/>
  <c r="C443" i="3"/>
  <c r="D443" i="3"/>
  <c r="E443" i="3"/>
  <c r="F443" i="3"/>
  <c r="G443" i="3"/>
  <c r="H443" i="3"/>
  <c r="I443" i="3"/>
  <c r="J443" i="3"/>
  <c r="K443" i="3"/>
  <c r="B444" i="3"/>
  <c r="C444" i="3"/>
  <c r="D444" i="3"/>
  <c r="E444" i="3"/>
  <c r="F444" i="3"/>
  <c r="G444" i="3"/>
  <c r="H444" i="3"/>
  <c r="I444" i="3"/>
  <c r="J444" i="3"/>
  <c r="K444" i="3"/>
  <c r="B445" i="3"/>
  <c r="C445" i="3"/>
  <c r="D445" i="3"/>
  <c r="E445" i="3"/>
  <c r="F445" i="3"/>
  <c r="G445" i="3"/>
  <c r="H445" i="3"/>
  <c r="I445" i="3"/>
  <c r="J445" i="3"/>
  <c r="K445" i="3"/>
  <c r="B446" i="3"/>
  <c r="C446" i="3"/>
  <c r="D446" i="3"/>
  <c r="E446" i="3"/>
  <c r="F446" i="3"/>
  <c r="G446" i="3"/>
  <c r="H446" i="3"/>
  <c r="I446" i="3"/>
  <c r="J446" i="3"/>
  <c r="K446" i="3"/>
  <c r="B447" i="3"/>
  <c r="C447" i="3"/>
  <c r="D447" i="3"/>
  <c r="E447" i="3"/>
  <c r="F447" i="3"/>
  <c r="G447" i="3"/>
  <c r="H447" i="3"/>
  <c r="I447" i="3"/>
  <c r="J447" i="3"/>
  <c r="K447" i="3"/>
  <c r="B448" i="3"/>
  <c r="C448" i="3"/>
  <c r="D448" i="3"/>
  <c r="E448" i="3"/>
  <c r="F448" i="3"/>
  <c r="G448" i="3"/>
  <c r="H448" i="3"/>
  <c r="I448" i="3"/>
  <c r="J448" i="3"/>
  <c r="K448" i="3"/>
  <c r="B449" i="3"/>
  <c r="C449" i="3"/>
  <c r="D449" i="3"/>
  <c r="E449" i="3"/>
  <c r="F449" i="3"/>
  <c r="G449" i="3"/>
  <c r="H449" i="3"/>
  <c r="I449" i="3"/>
  <c r="J449" i="3"/>
  <c r="K449" i="3"/>
  <c r="B450" i="3"/>
  <c r="C450" i="3"/>
  <c r="D450" i="3"/>
  <c r="E450" i="3"/>
  <c r="F450" i="3"/>
  <c r="G450" i="3"/>
  <c r="H450" i="3"/>
  <c r="I450" i="3"/>
  <c r="J450" i="3"/>
  <c r="K450" i="3"/>
  <c r="B451" i="3"/>
  <c r="C451" i="3"/>
  <c r="D451" i="3"/>
  <c r="E451" i="3"/>
  <c r="F451" i="3"/>
  <c r="G451" i="3"/>
  <c r="H451" i="3"/>
  <c r="I451" i="3"/>
  <c r="J451" i="3"/>
  <c r="K451" i="3"/>
  <c r="B452" i="3"/>
  <c r="C452" i="3"/>
  <c r="D452" i="3"/>
  <c r="E452" i="3"/>
  <c r="F452" i="3"/>
  <c r="G452" i="3"/>
  <c r="H452" i="3"/>
  <c r="I452" i="3"/>
  <c r="J452" i="3"/>
  <c r="K452" i="3"/>
  <c r="B453" i="3"/>
  <c r="C453" i="3"/>
  <c r="D453" i="3"/>
  <c r="E453" i="3"/>
  <c r="F453" i="3"/>
  <c r="G453" i="3"/>
  <c r="H453" i="3"/>
  <c r="I453" i="3"/>
  <c r="J453" i="3"/>
  <c r="K453" i="3"/>
  <c r="B454" i="3"/>
  <c r="C454" i="3"/>
  <c r="D454" i="3"/>
  <c r="E454" i="3"/>
  <c r="F454" i="3"/>
  <c r="G454" i="3"/>
  <c r="H454" i="3"/>
  <c r="I454" i="3"/>
  <c r="J454" i="3"/>
  <c r="K454" i="3"/>
  <c r="B455" i="3"/>
  <c r="C455" i="3"/>
  <c r="D455" i="3"/>
  <c r="E455" i="3"/>
  <c r="F455" i="3"/>
  <c r="G455" i="3"/>
  <c r="H455" i="3"/>
  <c r="I455" i="3"/>
  <c r="J455" i="3"/>
  <c r="K455" i="3"/>
  <c r="B456" i="3"/>
  <c r="C456" i="3"/>
  <c r="D456" i="3"/>
  <c r="E456" i="3"/>
  <c r="F456" i="3"/>
  <c r="G456" i="3"/>
  <c r="H456" i="3"/>
  <c r="I456" i="3"/>
  <c r="J456" i="3"/>
  <c r="K456" i="3"/>
  <c r="B457" i="3"/>
  <c r="C457" i="3"/>
  <c r="D457" i="3"/>
  <c r="E457" i="3"/>
  <c r="F457" i="3"/>
  <c r="G457" i="3"/>
  <c r="H457" i="3"/>
  <c r="I457" i="3"/>
  <c r="J457" i="3"/>
  <c r="K457" i="3"/>
  <c r="B458" i="3"/>
  <c r="C458" i="3"/>
  <c r="D458" i="3"/>
  <c r="E458" i="3"/>
  <c r="F458" i="3"/>
  <c r="G458" i="3"/>
  <c r="H458" i="3"/>
  <c r="I458" i="3"/>
  <c r="J458" i="3"/>
  <c r="K458" i="3"/>
  <c r="B459" i="3"/>
  <c r="C459" i="3"/>
  <c r="D459" i="3"/>
  <c r="E459" i="3"/>
  <c r="F459" i="3"/>
  <c r="G459" i="3"/>
  <c r="H459" i="3"/>
  <c r="I459" i="3"/>
  <c r="J459" i="3"/>
  <c r="K459" i="3"/>
  <c r="B460" i="3"/>
  <c r="C460" i="3"/>
  <c r="D460" i="3"/>
  <c r="E460" i="3"/>
  <c r="F460" i="3"/>
  <c r="G460" i="3"/>
  <c r="H460" i="3"/>
  <c r="I460" i="3"/>
  <c r="J460" i="3"/>
  <c r="K460" i="3"/>
  <c r="B461" i="3"/>
  <c r="C461" i="3"/>
  <c r="D461" i="3"/>
  <c r="E461" i="3"/>
  <c r="F461" i="3"/>
  <c r="G461" i="3"/>
  <c r="H461" i="3"/>
  <c r="I461" i="3"/>
  <c r="J461" i="3"/>
  <c r="K461" i="3"/>
  <c r="B462" i="3"/>
  <c r="C462" i="3"/>
  <c r="D462" i="3"/>
  <c r="E462" i="3"/>
  <c r="F462" i="3"/>
  <c r="G462" i="3"/>
  <c r="H462" i="3"/>
  <c r="I462" i="3"/>
  <c r="J462" i="3"/>
  <c r="K462" i="3"/>
  <c r="B463" i="3"/>
  <c r="C463" i="3"/>
  <c r="D463" i="3"/>
  <c r="E463" i="3"/>
  <c r="F463" i="3"/>
  <c r="G463" i="3"/>
  <c r="H463" i="3"/>
  <c r="I463" i="3"/>
  <c r="J463" i="3"/>
  <c r="K463" i="3"/>
  <c r="B464" i="3"/>
  <c r="C464" i="3"/>
  <c r="D464" i="3"/>
  <c r="E464" i="3"/>
  <c r="F464" i="3"/>
  <c r="G464" i="3"/>
  <c r="H464" i="3"/>
  <c r="I464" i="3"/>
  <c r="J464" i="3"/>
  <c r="K464" i="3"/>
  <c r="B465" i="3"/>
  <c r="C465" i="3"/>
  <c r="D465" i="3"/>
  <c r="E465" i="3"/>
  <c r="F465" i="3"/>
  <c r="G465" i="3"/>
  <c r="H465" i="3"/>
  <c r="I465" i="3"/>
  <c r="J465" i="3"/>
  <c r="K465" i="3"/>
  <c r="B466" i="3"/>
  <c r="C466" i="3"/>
  <c r="D466" i="3"/>
  <c r="E466" i="3"/>
  <c r="F466" i="3"/>
  <c r="G466" i="3"/>
  <c r="H466" i="3"/>
  <c r="I466" i="3"/>
  <c r="J466" i="3"/>
  <c r="K466" i="3"/>
  <c r="B467" i="3"/>
  <c r="C467" i="3"/>
  <c r="D467" i="3"/>
  <c r="E467" i="3"/>
  <c r="F467" i="3"/>
  <c r="G467" i="3"/>
  <c r="H467" i="3"/>
  <c r="I467" i="3"/>
  <c r="J467" i="3"/>
  <c r="K467" i="3"/>
  <c r="B468" i="3"/>
  <c r="C468" i="3"/>
  <c r="D468" i="3"/>
  <c r="E468" i="3"/>
  <c r="F468" i="3"/>
  <c r="G468" i="3"/>
  <c r="H468" i="3"/>
  <c r="I468" i="3"/>
  <c r="J468" i="3"/>
  <c r="K468" i="3"/>
  <c r="B469" i="3"/>
  <c r="C469" i="3"/>
  <c r="D469" i="3"/>
  <c r="E469" i="3"/>
  <c r="F469" i="3"/>
  <c r="G469" i="3"/>
  <c r="H469" i="3"/>
  <c r="I469" i="3"/>
  <c r="J469" i="3"/>
  <c r="K469" i="3"/>
  <c r="B470" i="3"/>
  <c r="C470" i="3"/>
  <c r="D470" i="3"/>
  <c r="E470" i="3"/>
  <c r="F470" i="3"/>
  <c r="G470" i="3"/>
  <c r="H470" i="3"/>
  <c r="I470" i="3"/>
  <c r="J470" i="3"/>
  <c r="K470" i="3"/>
  <c r="B471" i="3"/>
  <c r="C471" i="3"/>
  <c r="D471" i="3"/>
  <c r="E471" i="3"/>
  <c r="F471" i="3"/>
  <c r="G471" i="3"/>
  <c r="H471" i="3"/>
  <c r="I471" i="3"/>
  <c r="J471" i="3"/>
  <c r="K471" i="3"/>
  <c r="B472" i="3"/>
  <c r="C472" i="3"/>
  <c r="D472" i="3"/>
  <c r="E472" i="3"/>
  <c r="F472" i="3"/>
  <c r="G472" i="3"/>
  <c r="H472" i="3"/>
  <c r="I472" i="3"/>
  <c r="J472" i="3"/>
  <c r="K472" i="3"/>
  <c r="B473" i="3"/>
  <c r="C473" i="3"/>
  <c r="D473" i="3"/>
  <c r="E473" i="3"/>
  <c r="F473" i="3"/>
  <c r="G473" i="3"/>
  <c r="H473" i="3"/>
  <c r="I473" i="3"/>
  <c r="J473" i="3"/>
  <c r="K473" i="3"/>
  <c r="B474" i="3"/>
  <c r="C474" i="3"/>
  <c r="D474" i="3"/>
  <c r="E474" i="3"/>
  <c r="F474" i="3"/>
  <c r="G474" i="3"/>
  <c r="H474" i="3"/>
  <c r="I474" i="3"/>
  <c r="J474" i="3"/>
  <c r="K474" i="3"/>
  <c r="B475" i="3"/>
  <c r="C475" i="3"/>
  <c r="D475" i="3"/>
  <c r="E475" i="3"/>
  <c r="F475" i="3"/>
  <c r="G475" i="3"/>
  <c r="H475" i="3"/>
  <c r="I475" i="3"/>
  <c r="J475" i="3"/>
  <c r="K475" i="3"/>
  <c r="B476" i="3"/>
  <c r="C476" i="3"/>
  <c r="D476" i="3"/>
  <c r="E476" i="3"/>
  <c r="F476" i="3"/>
  <c r="G476" i="3"/>
  <c r="H476" i="3"/>
  <c r="I476" i="3"/>
  <c r="J476" i="3"/>
  <c r="K476" i="3"/>
  <c r="B477" i="3"/>
  <c r="C477" i="3"/>
  <c r="D477" i="3"/>
  <c r="E477" i="3"/>
  <c r="F477" i="3"/>
  <c r="G477" i="3"/>
  <c r="H477" i="3"/>
  <c r="I477" i="3"/>
  <c r="J477" i="3"/>
  <c r="K477" i="3"/>
  <c r="B478" i="3"/>
  <c r="C478" i="3"/>
  <c r="D478" i="3"/>
  <c r="E478" i="3"/>
  <c r="F478" i="3"/>
  <c r="G478" i="3"/>
  <c r="H478" i="3"/>
  <c r="I478" i="3"/>
  <c r="J478" i="3"/>
  <c r="K478" i="3"/>
  <c r="B479" i="3"/>
  <c r="C479" i="3"/>
  <c r="D479" i="3"/>
  <c r="E479" i="3"/>
  <c r="F479" i="3"/>
  <c r="G479" i="3"/>
  <c r="H479" i="3"/>
  <c r="I479" i="3"/>
  <c r="J479" i="3"/>
  <c r="K479" i="3"/>
  <c r="B480" i="3"/>
  <c r="C480" i="3"/>
  <c r="D480" i="3"/>
  <c r="E480" i="3"/>
  <c r="F480" i="3"/>
  <c r="G480" i="3"/>
  <c r="H480" i="3"/>
  <c r="I480" i="3"/>
  <c r="J480" i="3"/>
  <c r="K480" i="3"/>
  <c r="B481" i="3"/>
  <c r="C481" i="3"/>
  <c r="D481" i="3"/>
  <c r="E481" i="3"/>
  <c r="F481" i="3"/>
  <c r="G481" i="3"/>
  <c r="H481" i="3"/>
  <c r="I481" i="3"/>
  <c r="J481" i="3"/>
  <c r="K481" i="3"/>
  <c r="B482" i="3"/>
  <c r="C482" i="3"/>
  <c r="D482" i="3"/>
  <c r="E482" i="3"/>
  <c r="F482" i="3"/>
  <c r="G482" i="3"/>
  <c r="H482" i="3"/>
  <c r="I482" i="3"/>
  <c r="J482" i="3"/>
  <c r="K482" i="3"/>
  <c r="B483" i="3"/>
  <c r="C483" i="3"/>
  <c r="D483" i="3"/>
  <c r="E483" i="3"/>
  <c r="F483" i="3"/>
  <c r="G483" i="3"/>
  <c r="H483" i="3"/>
  <c r="I483" i="3"/>
  <c r="J483" i="3"/>
  <c r="K483" i="3"/>
  <c r="B484" i="3"/>
  <c r="C484" i="3"/>
  <c r="D484" i="3"/>
  <c r="E484" i="3"/>
  <c r="F484" i="3"/>
  <c r="G484" i="3"/>
  <c r="H484" i="3"/>
  <c r="I484" i="3"/>
  <c r="J484" i="3"/>
  <c r="K484" i="3"/>
  <c r="B485" i="3"/>
  <c r="C485" i="3"/>
  <c r="D485" i="3"/>
  <c r="E485" i="3"/>
  <c r="F485" i="3"/>
  <c r="G485" i="3"/>
  <c r="H485" i="3"/>
  <c r="I485" i="3"/>
  <c r="J485" i="3"/>
  <c r="K485" i="3"/>
  <c r="B486" i="3"/>
  <c r="C486" i="3"/>
  <c r="D486" i="3"/>
  <c r="E486" i="3"/>
  <c r="F486" i="3"/>
  <c r="G486" i="3"/>
  <c r="H486" i="3"/>
  <c r="I486" i="3"/>
  <c r="J486" i="3"/>
  <c r="K486" i="3"/>
  <c r="B487" i="3"/>
  <c r="C487" i="3"/>
  <c r="D487" i="3"/>
  <c r="E487" i="3"/>
  <c r="F487" i="3"/>
  <c r="G487" i="3"/>
  <c r="H487" i="3"/>
  <c r="I487" i="3"/>
  <c r="J487" i="3"/>
  <c r="K487" i="3"/>
  <c r="B488" i="3"/>
  <c r="C488" i="3"/>
  <c r="D488" i="3"/>
  <c r="E488" i="3"/>
  <c r="F488" i="3"/>
  <c r="G488" i="3"/>
  <c r="H488" i="3"/>
  <c r="I488" i="3"/>
  <c r="J488" i="3"/>
  <c r="K488" i="3"/>
  <c r="B489" i="3"/>
  <c r="C489" i="3"/>
  <c r="D489" i="3"/>
  <c r="E489" i="3"/>
  <c r="F489" i="3"/>
  <c r="G489" i="3"/>
  <c r="H489" i="3"/>
  <c r="I489" i="3"/>
  <c r="J489" i="3"/>
  <c r="K489" i="3"/>
  <c r="B490" i="3"/>
  <c r="C490" i="3"/>
  <c r="D490" i="3"/>
  <c r="E490" i="3"/>
  <c r="F490" i="3"/>
  <c r="G490" i="3"/>
  <c r="H490" i="3"/>
  <c r="I490" i="3"/>
  <c r="J490" i="3"/>
  <c r="K490" i="3"/>
  <c r="B491" i="3"/>
  <c r="C491" i="3"/>
  <c r="D491" i="3"/>
  <c r="E491" i="3"/>
  <c r="F491" i="3"/>
  <c r="G491" i="3"/>
  <c r="H491" i="3"/>
  <c r="I491" i="3"/>
  <c r="J491" i="3"/>
  <c r="K491" i="3"/>
  <c r="B492" i="3"/>
  <c r="C492" i="3"/>
  <c r="D492" i="3"/>
  <c r="E492" i="3"/>
  <c r="F492" i="3"/>
  <c r="G492" i="3"/>
  <c r="H492" i="3"/>
  <c r="I492" i="3"/>
  <c r="J492" i="3"/>
  <c r="K492" i="3"/>
  <c r="B493" i="3"/>
  <c r="C493" i="3"/>
  <c r="D493" i="3"/>
  <c r="E493" i="3"/>
  <c r="F493" i="3"/>
  <c r="G493" i="3"/>
  <c r="H493" i="3"/>
  <c r="I493" i="3"/>
  <c r="J493" i="3"/>
  <c r="K493" i="3"/>
  <c r="B494" i="3"/>
  <c r="C494" i="3"/>
  <c r="D494" i="3"/>
  <c r="E494" i="3"/>
  <c r="F494" i="3"/>
  <c r="G494" i="3"/>
  <c r="H494" i="3"/>
  <c r="I494" i="3"/>
  <c r="J494" i="3"/>
  <c r="K494" i="3"/>
  <c r="B495" i="3"/>
  <c r="C495" i="3"/>
  <c r="D495" i="3"/>
  <c r="E495" i="3"/>
  <c r="F495" i="3"/>
  <c r="G495" i="3"/>
  <c r="H495" i="3"/>
  <c r="I495" i="3"/>
  <c r="J495" i="3"/>
  <c r="K495" i="3"/>
  <c r="B496" i="3"/>
  <c r="C496" i="3"/>
  <c r="D496" i="3"/>
  <c r="E496" i="3"/>
  <c r="F496" i="3"/>
  <c r="G496" i="3"/>
  <c r="H496" i="3"/>
  <c r="I496" i="3"/>
  <c r="J496" i="3"/>
  <c r="K496" i="3"/>
  <c r="B497" i="3"/>
  <c r="C497" i="3"/>
  <c r="D497" i="3"/>
  <c r="E497" i="3"/>
  <c r="F497" i="3"/>
  <c r="G497" i="3"/>
  <c r="H497" i="3"/>
  <c r="I497" i="3"/>
  <c r="J497" i="3"/>
  <c r="K497" i="3"/>
  <c r="B498" i="3"/>
  <c r="C498" i="3"/>
  <c r="D498" i="3"/>
  <c r="E498" i="3"/>
  <c r="F498" i="3"/>
  <c r="G498" i="3"/>
  <c r="H498" i="3"/>
  <c r="I498" i="3"/>
  <c r="J498" i="3"/>
  <c r="K498" i="3"/>
  <c r="B499" i="3"/>
  <c r="C499" i="3"/>
  <c r="D499" i="3"/>
  <c r="E499" i="3"/>
  <c r="F499" i="3"/>
  <c r="G499" i="3"/>
  <c r="H499" i="3"/>
  <c r="I499" i="3"/>
  <c r="J499" i="3"/>
  <c r="K499" i="3"/>
  <c r="B500" i="3"/>
  <c r="C500" i="3"/>
  <c r="D500" i="3"/>
  <c r="E500" i="3"/>
  <c r="F500" i="3"/>
  <c r="G500" i="3"/>
  <c r="H500" i="3"/>
  <c r="I500" i="3"/>
  <c r="J500" i="3"/>
  <c r="K500" i="3"/>
  <c r="B501" i="3"/>
  <c r="C501" i="3"/>
  <c r="D501" i="3"/>
  <c r="E501" i="3"/>
  <c r="F501" i="3"/>
  <c r="G501" i="3"/>
  <c r="H501" i="3"/>
  <c r="I501" i="3"/>
  <c r="J501" i="3"/>
  <c r="K501" i="3"/>
  <c r="B502" i="3"/>
  <c r="C502" i="3"/>
  <c r="D502" i="3"/>
  <c r="E502" i="3"/>
  <c r="F502" i="3"/>
  <c r="G502" i="3"/>
  <c r="H502" i="3"/>
  <c r="I502" i="3"/>
  <c r="J502" i="3"/>
  <c r="K502" i="3"/>
  <c r="B503" i="3"/>
  <c r="C503" i="3"/>
  <c r="D503" i="3"/>
  <c r="E503" i="3"/>
  <c r="F503" i="3"/>
  <c r="G503" i="3"/>
  <c r="H503" i="3"/>
  <c r="I503" i="3"/>
  <c r="J503" i="3"/>
  <c r="K503" i="3"/>
  <c r="B504" i="3"/>
  <c r="C504" i="3"/>
  <c r="D504" i="3"/>
  <c r="E504" i="3"/>
  <c r="F504" i="3"/>
  <c r="G504" i="3"/>
  <c r="H504" i="3"/>
  <c r="I504" i="3"/>
  <c r="J504" i="3"/>
  <c r="K504" i="3"/>
  <c r="B505" i="3"/>
  <c r="C505" i="3"/>
  <c r="D505" i="3"/>
  <c r="E505" i="3"/>
  <c r="F505" i="3"/>
  <c r="G505" i="3"/>
  <c r="H505" i="3"/>
  <c r="I505" i="3"/>
  <c r="J505" i="3"/>
  <c r="K505" i="3"/>
  <c r="B506" i="3"/>
  <c r="C506" i="3"/>
  <c r="D506" i="3"/>
  <c r="E506" i="3"/>
  <c r="F506" i="3"/>
  <c r="G506" i="3"/>
  <c r="H506" i="3"/>
  <c r="I506" i="3"/>
  <c r="J506" i="3"/>
  <c r="K506" i="3"/>
  <c r="B507" i="3"/>
  <c r="C507" i="3"/>
  <c r="D507" i="3"/>
  <c r="E507" i="3"/>
  <c r="F507" i="3"/>
  <c r="G507" i="3"/>
  <c r="H507" i="3"/>
  <c r="I507" i="3"/>
  <c r="J507" i="3"/>
  <c r="K507" i="3"/>
  <c r="B508" i="3"/>
  <c r="C508" i="3"/>
  <c r="D508" i="3"/>
  <c r="E508" i="3"/>
  <c r="F508" i="3"/>
  <c r="G508" i="3"/>
  <c r="H508" i="3"/>
  <c r="I508" i="3"/>
  <c r="J508" i="3"/>
  <c r="K508" i="3"/>
  <c r="B509" i="3"/>
  <c r="C509" i="3"/>
  <c r="D509" i="3"/>
  <c r="E509" i="3"/>
  <c r="F509" i="3"/>
  <c r="G509" i="3"/>
  <c r="H509" i="3"/>
  <c r="I509" i="3"/>
  <c r="J509" i="3"/>
  <c r="K509" i="3"/>
  <c r="B510" i="3"/>
  <c r="C510" i="3"/>
  <c r="D510" i="3"/>
  <c r="E510" i="3"/>
  <c r="F510" i="3"/>
  <c r="G510" i="3"/>
  <c r="H510" i="3"/>
  <c r="I510" i="3"/>
  <c r="J510" i="3"/>
  <c r="K510" i="3"/>
  <c r="B511" i="3"/>
  <c r="C511" i="3"/>
  <c r="D511" i="3"/>
  <c r="E511" i="3"/>
  <c r="F511" i="3"/>
  <c r="G511" i="3"/>
  <c r="H511" i="3"/>
  <c r="I511" i="3"/>
  <c r="J511" i="3"/>
  <c r="K511" i="3"/>
  <c r="B512" i="3"/>
  <c r="C512" i="3"/>
  <c r="D512" i="3"/>
  <c r="E512" i="3"/>
  <c r="F512" i="3"/>
  <c r="G512" i="3"/>
  <c r="H512" i="3"/>
  <c r="I512" i="3"/>
  <c r="J512" i="3"/>
  <c r="K512" i="3"/>
  <c r="B513" i="3"/>
  <c r="C513" i="3"/>
  <c r="D513" i="3"/>
  <c r="E513" i="3"/>
  <c r="F513" i="3"/>
  <c r="G513" i="3"/>
  <c r="H513" i="3"/>
  <c r="I513" i="3"/>
  <c r="J513" i="3"/>
  <c r="K513" i="3"/>
  <c r="B514" i="3"/>
  <c r="C514" i="3"/>
  <c r="D514" i="3"/>
  <c r="E514" i="3"/>
  <c r="F514" i="3"/>
  <c r="G514" i="3"/>
  <c r="H514" i="3"/>
  <c r="I514" i="3"/>
  <c r="J514" i="3"/>
  <c r="K514" i="3"/>
  <c r="B515" i="3"/>
  <c r="C515" i="3"/>
  <c r="D515" i="3"/>
  <c r="E515" i="3"/>
  <c r="F515" i="3"/>
  <c r="G515" i="3"/>
  <c r="H515" i="3"/>
  <c r="I515" i="3"/>
  <c r="J515" i="3"/>
  <c r="K515" i="3"/>
  <c r="B516" i="3"/>
  <c r="C516" i="3"/>
  <c r="C1111" i="3" s="1"/>
  <c r="D516" i="3"/>
  <c r="E516" i="3"/>
  <c r="F516" i="3"/>
  <c r="G516" i="3"/>
  <c r="H516" i="3"/>
  <c r="I516" i="3"/>
  <c r="J516" i="3"/>
  <c r="K516" i="3"/>
  <c r="B517" i="3"/>
  <c r="C517" i="3"/>
  <c r="D517" i="3"/>
  <c r="E517" i="3"/>
  <c r="F517" i="3"/>
  <c r="G517" i="3"/>
  <c r="H517" i="3"/>
  <c r="I517" i="3"/>
  <c r="J517" i="3"/>
  <c r="K517" i="3"/>
  <c r="B518" i="3"/>
  <c r="C518" i="3"/>
  <c r="D518" i="3"/>
  <c r="E518" i="3"/>
  <c r="F518" i="3"/>
  <c r="G518" i="3"/>
  <c r="H518" i="3"/>
  <c r="I518" i="3"/>
  <c r="J518" i="3"/>
  <c r="K518" i="3"/>
  <c r="B519" i="3"/>
  <c r="C519" i="3"/>
  <c r="D519" i="3"/>
  <c r="E519" i="3"/>
  <c r="F519" i="3"/>
  <c r="G519" i="3"/>
  <c r="H519" i="3"/>
  <c r="I519" i="3"/>
  <c r="J519" i="3"/>
  <c r="K519" i="3"/>
  <c r="B520" i="3"/>
  <c r="C520" i="3"/>
  <c r="D520" i="3"/>
  <c r="E520" i="3"/>
  <c r="F520" i="3"/>
  <c r="G520" i="3"/>
  <c r="H520" i="3"/>
  <c r="I520" i="3"/>
  <c r="J520" i="3"/>
  <c r="K520" i="3"/>
  <c r="B521" i="3"/>
  <c r="C521" i="3"/>
  <c r="D521" i="3"/>
  <c r="E521" i="3"/>
  <c r="F521" i="3"/>
  <c r="G521" i="3"/>
  <c r="H521" i="3"/>
  <c r="I521" i="3"/>
  <c r="J521" i="3"/>
  <c r="K521" i="3"/>
  <c r="B522" i="3"/>
  <c r="C522" i="3"/>
  <c r="D522" i="3"/>
  <c r="E522" i="3"/>
  <c r="F522" i="3"/>
  <c r="G522" i="3"/>
  <c r="H522" i="3"/>
  <c r="I522" i="3"/>
  <c r="J522" i="3"/>
  <c r="K522" i="3"/>
  <c r="B523" i="3"/>
  <c r="C523" i="3"/>
  <c r="D523" i="3"/>
  <c r="E523" i="3"/>
  <c r="F523" i="3"/>
  <c r="G523" i="3"/>
  <c r="H523" i="3"/>
  <c r="I523" i="3"/>
  <c r="J523" i="3"/>
  <c r="K523" i="3"/>
  <c r="B524" i="3"/>
  <c r="C524" i="3"/>
  <c r="D524" i="3"/>
  <c r="E524" i="3"/>
  <c r="F524" i="3"/>
  <c r="G524" i="3"/>
  <c r="H524" i="3"/>
  <c r="I524" i="3"/>
  <c r="J524" i="3"/>
  <c r="K524" i="3"/>
  <c r="B525" i="3"/>
  <c r="C525" i="3"/>
  <c r="D525" i="3"/>
  <c r="E525" i="3"/>
  <c r="F525" i="3"/>
  <c r="G525" i="3"/>
  <c r="H525" i="3"/>
  <c r="I525" i="3"/>
  <c r="J525" i="3"/>
  <c r="K525" i="3"/>
  <c r="B526" i="3"/>
  <c r="C526" i="3"/>
  <c r="D526" i="3"/>
  <c r="E526" i="3"/>
  <c r="F526" i="3"/>
  <c r="G526" i="3"/>
  <c r="H526" i="3"/>
  <c r="I526" i="3"/>
  <c r="J526" i="3"/>
  <c r="K526" i="3"/>
  <c r="B527" i="3"/>
  <c r="C527" i="3"/>
  <c r="D527" i="3"/>
  <c r="E527" i="3"/>
  <c r="F527" i="3"/>
  <c r="G527" i="3"/>
  <c r="H527" i="3"/>
  <c r="I527" i="3"/>
  <c r="J527" i="3"/>
  <c r="K527" i="3"/>
  <c r="B528" i="3"/>
  <c r="C528" i="3"/>
  <c r="D528" i="3"/>
  <c r="E528" i="3"/>
  <c r="F528" i="3"/>
  <c r="G528" i="3"/>
  <c r="H528" i="3"/>
  <c r="I528" i="3"/>
  <c r="J528" i="3"/>
  <c r="K528" i="3"/>
  <c r="B529" i="3"/>
  <c r="C529" i="3"/>
  <c r="D529" i="3"/>
  <c r="E529" i="3"/>
  <c r="F529" i="3"/>
  <c r="G529" i="3"/>
  <c r="H529" i="3"/>
  <c r="I529" i="3"/>
  <c r="J529" i="3"/>
  <c r="K529" i="3"/>
  <c r="B530" i="3"/>
  <c r="C530" i="3"/>
  <c r="D530" i="3"/>
  <c r="E530" i="3"/>
  <c r="F530" i="3"/>
  <c r="G530" i="3"/>
  <c r="H530" i="3"/>
  <c r="I530" i="3"/>
  <c r="J530" i="3"/>
  <c r="K530" i="3"/>
  <c r="B531" i="3"/>
  <c r="C531" i="3"/>
  <c r="D531" i="3"/>
  <c r="E531" i="3"/>
  <c r="F531" i="3"/>
  <c r="G531" i="3"/>
  <c r="H531" i="3"/>
  <c r="I531" i="3"/>
  <c r="J531" i="3"/>
  <c r="K531" i="3"/>
  <c r="B532" i="3"/>
  <c r="C532" i="3"/>
  <c r="D532" i="3"/>
  <c r="E532" i="3"/>
  <c r="F532" i="3"/>
  <c r="G532" i="3"/>
  <c r="H532" i="3"/>
  <c r="I532" i="3"/>
  <c r="J532" i="3"/>
  <c r="K532" i="3"/>
  <c r="B533" i="3"/>
  <c r="C533" i="3"/>
  <c r="D533" i="3"/>
  <c r="E533" i="3"/>
  <c r="F533" i="3"/>
  <c r="G533" i="3"/>
  <c r="H533" i="3"/>
  <c r="I533" i="3"/>
  <c r="J533" i="3"/>
  <c r="K533" i="3"/>
  <c r="B534" i="3"/>
  <c r="C534" i="3"/>
  <c r="D534" i="3"/>
  <c r="E534" i="3"/>
  <c r="F534" i="3"/>
  <c r="G534" i="3"/>
  <c r="H534" i="3"/>
  <c r="I534" i="3"/>
  <c r="J534" i="3"/>
  <c r="K534" i="3"/>
  <c r="B535" i="3"/>
  <c r="C535" i="3"/>
  <c r="D535" i="3"/>
  <c r="E535" i="3"/>
  <c r="F535" i="3"/>
  <c r="G535" i="3"/>
  <c r="H535" i="3"/>
  <c r="I535" i="3"/>
  <c r="J535" i="3"/>
  <c r="K535" i="3"/>
  <c r="B536" i="3"/>
  <c r="C536" i="3"/>
  <c r="D536" i="3"/>
  <c r="E536" i="3"/>
  <c r="F536" i="3"/>
  <c r="G536" i="3"/>
  <c r="H536" i="3"/>
  <c r="I536" i="3"/>
  <c r="J536" i="3"/>
  <c r="K536" i="3"/>
  <c r="B537" i="3"/>
  <c r="C537" i="3"/>
  <c r="D537" i="3"/>
  <c r="E537" i="3"/>
  <c r="F537" i="3"/>
  <c r="G537" i="3"/>
  <c r="H537" i="3"/>
  <c r="I537" i="3"/>
  <c r="J537" i="3"/>
  <c r="K537" i="3"/>
  <c r="B538" i="3"/>
  <c r="C538" i="3"/>
  <c r="D538" i="3"/>
  <c r="E538" i="3"/>
  <c r="F538" i="3"/>
  <c r="G538" i="3"/>
  <c r="H538" i="3"/>
  <c r="I538" i="3"/>
  <c r="J538" i="3"/>
  <c r="K538" i="3"/>
  <c r="B539" i="3"/>
  <c r="C539" i="3"/>
  <c r="D539" i="3"/>
  <c r="E539" i="3"/>
  <c r="F539" i="3"/>
  <c r="G539" i="3"/>
  <c r="H539" i="3"/>
  <c r="I539" i="3"/>
  <c r="J539" i="3"/>
  <c r="K539" i="3"/>
  <c r="B540" i="3"/>
  <c r="C540" i="3"/>
  <c r="D540" i="3"/>
  <c r="E540" i="3"/>
  <c r="F540" i="3"/>
  <c r="G540" i="3"/>
  <c r="H540" i="3"/>
  <c r="I540" i="3"/>
  <c r="J540" i="3"/>
  <c r="K540" i="3"/>
  <c r="B541" i="3"/>
  <c r="C541" i="3"/>
  <c r="D541" i="3"/>
  <c r="E541" i="3"/>
  <c r="F541" i="3"/>
  <c r="G541" i="3"/>
  <c r="H541" i="3"/>
  <c r="I541" i="3"/>
  <c r="J541" i="3"/>
  <c r="K541" i="3"/>
  <c r="B542" i="3"/>
  <c r="C542" i="3"/>
  <c r="D542" i="3"/>
  <c r="E542" i="3"/>
  <c r="F542" i="3"/>
  <c r="G542" i="3"/>
  <c r="H542" i="3"/>
  <c r="I542" i="3"/>
  <c r="J542" i="3"/>
  <c r="K542" i="3"/>
  <c r="B543" i="3"/>
  <c r="C543" i="3"/>
  <c r="D543" i="3"/>
  <c r="E543" i="3"/>
  <c r="F543" i="3"/>
  <c r="G543" i="3"/>
  <c r="H543" i="3"/>
  <c r="I543" i="3"/>
  <c r="J543" i="3"/>
  <c r="K543" i="3"/>
  <c r="B544" i="3"/>
  <c r="C544" i="3"/>
  <c r="D544" i="3"/>
  <c r="E544" i="3"/>
  <c r="F544" i="3"/>
  <c r="G544" i="3"/>
  <c r="H544" i="3"/>
  <c r="I544" i="3"/>
  <c r="J544" i="3"/>
  <c r="K544" i="3"/>
  <c r="B545" i="3"/>
  <c r="C545" i="3"/>
  <c r="D545" i="3"/>
  <c r="E545" i="3"/>
  <c r="F545" i="3"/>
  <c r="G545" i="3"/>
  <c r="H545" i="3"/>
  <c r="I545" i="3"/>
  <c r="J545" i="3"/>
  <c r="K545" i="3"/>
  <c r="B546" i="3"/>
  <c r="C546" i="3"/>
  <c r="D546" i="3"/>
  <c r="E546" i="3"/>
  <c r="F546" i="3"/>
  <c r="G546" i="3"/>
  <c r="H546" i="3"/>
  <c r="I546" i="3"/>
  <c r="J546" i="3"/>
  <c r="K546" i="3"/>
  <c r="B547" i="3"/>
  <c r="C547" i="3"/>
  <c r="D547" i="3"/>
  <c r="E547" i="3"/>
  <c r="F547" i="3"/>
  <c r="G547" i="3"/>
  <c r="H547" i="3"/>
  <c r="I547" i="3"/>
  <c r="J547" i="3"/>
  <c r="K547" i="3"/>
  <c r="B548" i="3"/>
  <c r="C548" i="3"/>
  <c r="D548" i="3"/>
  <c r="E548" i="3"/>
  <c r="F548" i="3"/>
  <c r="G548" i="3"/>
  <c r="H548" i="3"/>
  <c r="I548" i="3"/>
  <c r="J548" i="3"/>
  <c r="K548" i="3"/>
  <c r="B549" i="3"/>
  <c r="C549" i="3"/>
  <c r="D549" i="3"/>
  <c r="E549" i="3"/>
  <c r="F549" i="3"/>
  <c r="G549" i="3"/>
  <c r="H549" i="3"/>
  <c r="I549" i="3"/>
  <c r="J549" i="3"/>
  <c r="K549" i="3"/>
  <c r="B550" i="3"/>
  <c r="C550" i="3"/>
  <c r="D550" i="3"/>
  <c r="E550" i="3"/>
  <c r="F550" i="3"/>
  <c r="G550" i="3"/>
  <c r="H550" i="3"/>
  <c r="I550" i="3"/>
  <c r="J550" i="3"/>
  <c r="K550" i="3"/>
  <c r="B551" i="3"/>
  <c r="C551" i="3"/>
  <c r="D551" i="3"/>
  <c r="E551" i="3"/>
  <c r="F551" i="3"/>
  <c r="G551" i="3"/>
  <c r="H551" i="3"/>
  <c r="I551" i="3"/>
  <c r="J551" i="3"/>
  <c r="K551" i="3"/>
  <c r="B552" i="3"/>
  <c r="C552" i="3"/>
  <c r="D552" i="3"/>
  <c r="E552" i="3"/>
  <c r="F552" i="3"/>
  <c r="G552" i="3"/>
  <c r="H552" i="3"/>
  <c r="I552" i="3"/>
  <c r="J552" i="3"/>
  <c r="K552" i="3"/>
  <c r="B553" i="3"/>
  <c r="C553" i="3"/>
  <c r="D553" i="3"/>
  <c r="E553" i="3"/>
  <c r="F553" i="3"/>
  <c r="G553" i="3"/>
  <c r="H553" i="3"/>
  <c r="I553" i="3"/>
  <c r="J553" i="3"/>
  <c r="K553" i="3"/>
  <c r="B554" i="3"/>
  <c r="C554" i="3"/>
  <c r="D554" i="3"/>
  <c r="E554" i="3"/>
  <c r="F554" i="3"/>
  <c r="G554" i="3"/>
  <c r="H554" i="3"/>
  <c r="I554" i="3"/>
  <c r="J554" i="3"/>
  <c r="K554" i="3"/>
  <c r="B555" i="3"/>
  <c r="C555" i="3"/>
  <c r="D555" i="3"/>
  <c r="E555" i="3"/>
  <c r="F555" i="3"/>
  <c r="G555" i="3"/>
  <c r="H555" i="3"/>
  <c r="I555" i="3"/>
  <c r="J555" i="3"/>
  <c r="K555" i="3"/>
  <c r="B556" i="3"/>
  <c r="C556" i="3"/>
  <c r="D556" i="3"/>
  <c r="E556" i="3"/>
  <c r="F556" i="3"/>
  <c r="G556" i="3"/>
  <c r="H556" i="3"/>
  <c r="I556" i="3"/>
  <c r="J556" i="3"/>
  <c r="K556" i="3"/>
  <c r="B557" i="3"/>
  <c r="C557" i="3"/>
  <c r="D557" i="3"/>
  <c r="E557" i="3"/>
  <c r="F557" i="3"/>
  <c r="G557" i="3"/>
  <c r="H557" i="3"/>
  <c r="I557" i="3"/>
  <c r="J557" i="3"/>
  <c r="K557" i="3"/>
  <c r="B558" i="3"/>
  <c r="C558" i="3"/>
  <c r="D558" i="3"/>
  <c r="E558" i="3"/>
  <c r="F558" i="3"/>
  <c r="G558" i="3"/>
  <c r="H558" i="3"/>
  <c r="I558" i="3"/>
  <c r="J558" i="3"/>
  <c r="K558" i="3"/>
  <c r="B559" i="3"/>
  <c r="C559" i="3"/>
  <c r="D559" i="3"/>
  <c r="E559" i="3"/>
  <c r="F559" i="3"/>
  <c r="G559" i="3"/>
  <c r="H559" i="3"/>
  <c r="I559" i="3"/>
  <c r="J559" i="3"/>
  <c r="K559" i="3"/>
  <c r="B560" i="3"/>
  <c r="C560" i="3"/>
  <c r="D560" i="3"/>
  <c r="E560" i="3"/>
  <c r="F560" i="3"/>
  <c r="G560" i="3"/>
  <c r="H560" i="3"/>
  <c r="I560" i="3"/>
  <c r="J560" i="3"/>
  <c r="K560" i="3"/>
  <c r="B561" i="3"/>
  <c r="C561" i="3"/>
  <c r="D561" i="3"/>
  <c r="E561" i="3"/>
  <c r="F561" i="3"/>
  <c r="G561" i="3"/>
  <c r="H561" i="3"/>
  <c r="I561" i="3"/>
  <c r="J561" i="3"/>
  <c r="K561" i="3"/>
  <c r="B562" i="3"/>
  <c r="C562" i="3"/>
  <c r="D562" i="3"/>
  <c r="E562" i="3"/>
  <c r="F562" i="3"/>
  <c r="G562" i="3"/>
  <c r="H562" i="3"/>
  <c r="I562" i="3"/>
  <c r="J562" i="3"/>
  <c r="K562" i="3"/>
  <c r="B563" i="3"/>
  <c r="C563" i="3"/>
  <c r="D563" i="3"/>
  <c r="E563" i="3"/>
  <c r="F563" i="3"/>
  <c r="G563" i="3"/>
  <c r="H563" i="3"/>
  <c r="I563" i="3"/>
  <c r="J563" i="3"/>
  <c r="K563" i="3"/>
  <c r="B564" i="3"/>
  <c r="C564" i="3"/>
  <c r="D564" i="3"/>
  <c r="E564" i="3"/>
  <c r="F564" i="3"/>
  <c r="G564" i="3"/>
  <c r="H564" i="3"/>
  <c r="I564" i="3"/>
  <c r="J564" i="3"/>
  <c r="K564" i="3"/>
  <c r="B565" i="3"/>
  <c r="C565" i="3"/>
  <c r="D565" i="3"/>
  <c r="E565" i="3"/>
  <c r="F565" i="3"/>
  <c r="G565" i="3"/>
  <c r="H565" i="3"/>
  <c r="I565" i="3"/>
  <c r="J565" i="3"/>
  <c r="K565" i="3"/>
  <c r="B566" i="3"/>
  <c r="C566" i="3"/>
  <c r="D566" i="3"/>
  <c r="E566" i="3"/>
  <c r="F566" i="3"/>
  <c r="G566" i="3"/>
  <c r="H566" i="3"/>
  <c r="I566" i="3"/>
  <c r="J566" i="3"/>
  <c r="K566" i="3"/>
  <c r="B567" i="3"/>
  <c r="C567" i="3"/>
  <c r="D567" i="3"/>
  <c r="E567" i="3"/>
  <c r="F567" i="3"/>
  <c r="G567" i="3"/>
  <c r="H567" i="3"/>
  <c r="I567" i="3"/>
  <c r="J567" i="3"/>
  <c r="K567" i="3"/>
  <c r="B568" i="3"/>
  <c r="C568" i="3"/>
  <c r="D568" i="3"/>
  <c r="E568" i="3"/>
  <c r="F568" i="3"/>
  <c r="G568" i="3"/>
  <c r="H568" i="3"/>
  <c r="I568" i="3"/>
  <c r="J568" i="3"/>
  <c r="K568" i="3"/>
  <c r="B569" i="3"/>
  <c r="C569" i="3"/>
  <c r="D569" i="3"/>
  <c r="E569" i="3"/>
  <c r="F569" i="3"/>
  <c r="G569" i="3"/>
  <c r="H569" i="3"/>
  <c r="I569" i="3"/>
  <c r="J569" i="3"/>
  <c r="K569" i="3"/>
  <c r="B570" i="3"/>
  <c r="C570" i="3"/>
  <c r="D570" i="3"/>
  <c r="E570" i="3"/>
  <c r="F570" i="3"/>
  <c r="G570" i="3"/>
  <c r="H570" i="3"/>
  <c r="I570" i="3"/>
  <c r="J570" i="3"/>
  <c r="K570" i="3"/>
  <c r="B571" i="3"/>
  <c r="C571" i="3"/>
  <c r="D571" i="3"/>
  <c r="E571" i="3"/>
  <c r="F571" i="3"/>
  <c r="G571" i="3"/>
  <c r="H571" i="3"/>
  <c r="I571" i="3"/>
  <c r="J571" i="3"/>
  <c r="K571" i="3"/>
  <c r="B572" i="3"/>
  <c r="C572" i="3"/>
  <c r="D572" i="3"/>
  <c r="E572" i="3"/>
  <c r="F572" i="3"/>
  <c r="G572" i="3"/>
  <c r="H572" i="3"/>
  <c r="I572" i="3"/>
  <c r="J572" i="3"/>
  <c r="K572" i="3"/>
  <c r="B573" i="3"/>
  <c r="C573" i="3"/>
  <c r="D573" i="3"/>
  <c r="E573" i="3"/>
  <c r="F573" i="3"/>
  <c r="G573" i="3"/>
  <c r="H573" i="3"/>
  <c r="I573" i="3"/>
  <c r="J573" i="3"/>
  <c r="K573" i="3"/>
  <c r="B574" i="3"/>
  <c r="C574" i="3"/>
  <c r="D574" i="3"/>
  <c r="E574" i="3"/>
  <c r="F574" i="3"/>
  <c r="G574" i="3"/>
  <c r="H574" i="3"/>
  <c r="I574" i="3"/>
  <c r="J574" i="3"/>
  <c r="K574" i="3"/>
  <c r="B575" i="3"/>
  <c r="C575" i="3"/>
  <c r="D575" i="3"/>
  <c r="E575" i="3"/>
  <c r="F575" i="3"/>
  <c r="G575" i="3"/>
  <c r="H575" i="3"/>
  <c r="I575" i="3"/>
  <c r="J575" i="3"/>
  <c r="K575" i="3"/>
  <c r="B576" i="3"/>
  <c r="C576" i="3"/>
  <c r="D576" i="3"/>
  <c r="E576" i="3"/>
  <c r="F576" i="3"/>
  <c r="G576" i="3"/>
  <c r="H576" i="3"/>
  <c r="I576" i="3"/>
  <c r="J576" i="3"/>
  <c r="K576" i="3"/>
  <c r="B577" i="3"/>
  <c r="C577" i="3"/>
  <c r="D577" i="3"/>
  <c r="E577" i="3"/>
  <c r="F577" i="3"/>
  <c r="G577" i="3"/>
  <c r="H577" i="3"/>
  <c r="I577" i="3"/>
  <c r="J577" i="3"/>
  <c r="K577" i="3"/>
  <c r="B578" i="3"/>
  <c r="C578" i="3"/>
  <c r="D578" i="3"/>
  <c r="E578" i="3"/>
  <c r="F578" i="3"/>
  <c r="G578" i="3"/>
  <c r="H578" i="3"/>
  <c r="I578" i="3"/>
  <c r="J578" i="3"/>
  <c r="K578" i="3"/>
  <c r="B579" i="3"/>
  <c r="C579" i="3"/>
  <c r="D579" i="3"/>
  <c r="E579" i="3"/>
  <c r="F579" i="3"/>
  <c r="G579" i="3"/>
  <c r="H579" i="3"/>
  <c r="I579" i="3"/>
  <c r="J579" i="3"/>
  <c r="K579" i="3"/>
  <c r="B580" i="3"/>
  <c r="C580" i="3"/>
  <c r="D580" i="3"/>
  <c r="E580" i="3"/>
  <c r="F580" i="3"/>
  <c r="G580" i="3"/>
  <c r="H580" i="3"/>
  <c r="I580" i="3"/>
  <c r="J580" i="3"/>
  <c r="K580" i="3"/>
  <c r="B581" i="3"/>
  <c r="C581" i="3"/>
  <c r="D581" i="3"/>
  <c r="E581" i="3"/>
  <c r="F581" i="3"/>
  <c r="G581" i="3"/>
  <c r="H581" i="3"/>
  <c r="I581" i="3"/>
  <c r="J581" i="3"/>
  <c r="K581" i="3"/>
  <c r="B582" i="3"/>
  <c r="C582" i="3"/>
  <c r="D582" i="3"/>
  <c r="E582" i="3"/>
  <c r="F582" i="3"/>
  <c r="G582" i="3"/>
  <c r="H582" i="3"/>
  <c r="I582" i="3"/>
  <c r="J582" i="3"/>
  <c r="K582" i="3"/>
  <c r="B583" i="3"/>
  <c r="C583" i="3"/>
  <c r="D583" i="3"/>
  <c r="E583" i="3"/>
  <c r="F583" i="3"/>
  <c r="G583" i="3"/>
  <c r="H583" i="3"/>
  <c r="I583" i="3"/>
  <c r="J583" i="3"/>
  <c r="K583" i="3"/>
  <c r="B584" i="3"/>
  <c r="C584" i="3"/>
  <c r="D584" i="3"/>
  <c r="E584" i="3"/>
  <c r="F584" i="3"/>
  <c r="G584" i="3"/>
  <c r="H584" i="3"/>
  <c r="I584" i="3"/>
  <c r="J584" i="3"/>
  <c r="K584" i="3"/>
  <c r="B585" i="3"/>
  <c r="C585" i="3"/>
  <c r="D585" i="3"/>
  <c r="E585" i="3"/>
  <c r="F585" i="3"/>
  <c r="G585" i="3"/>
  <c r="H585" i="3"/>
  <c r="I585" i="3"/>
  <c r="J585" i="3"/>
  <c r="K585" i="3"/>
  <c r="B586" i="3"/>
  <c r="C586" i="3"/>
  <c r="D586" i="3"/>
  <c r="E586" i="3"/>
  <c r="F586" i="3"/>
  <c r="G586" i="3"/>
  <c r="H586" i="3"/>
  <c r="I586" i="3"/>
  <c r="J586" i="3"/>
  <c r="K586" i="3"/>
  <c r="B587" i="3"/>
  <c r="C587" i="3"/>
  <c r="D587" i="3"/>
  <c r="E587" i="3"/>
  <c r="F587" i="3"/>
  <c r="G587" i="3"/>
  <c r="H587" i="3"/>
  <c r="I587" i="3"/>
  <c r="J587" i="3"/>
  <c r="K587" i="3"/>
  <c r="B588" i="3"/>
  <c r="C588" i="3"/>
  <c r="D588" i="3"/>
  <c r="E588" i="3"/>
  <c r="F588" i="3"/>
  <c r="G588" i="3"/>
  <c r="H588" i="3"/>
  <c r="I588" i="3"/>
  <c r="J588" i="3"/>
  <c r="K588" i="3"/>
  <c r="B589" i="3"/>
  <c r="C589" i="3"/>
  <c r="D589" i="3"/>
  <c r="E589" i="3"/>
  <c r="F589" i="3"/>
  <c r="G589" i="3"/>
  <c r="H589" i="3"/>
  <c r="I589" i="3"/>
  <c r="J589" i="3"/>
  <c r="K589" i="3"/>
  <c r="B590" i="3"/>
  <c r="C590" i="3"/>
  <c r="D590" i="3"/>
  <c r="E590" i="3"/>
  <c r="F590" i="3"/>
  <c r="G590" i="3"/>
  <c r="H590" i="3"/>
  <c r="I590" i="3"/>
  <c r="J590" i="3"/>
  <c r="K590" i="3"/>
  <c r="B591" i="3"/>
  <c r="C591" i="3"/>
  <c r="D591" i="3"/>
  <c r="E591" i="3"/>
  <c r="F591" i="3"/>
  <c r="G591" i="3"/>
  <c r="H591" i="3"/>
  <c r="I591" i="3"/>
  <c r="J591" i="3"/>
  <c r="K591" i="3"/>
  <c r="B592" i="3"/>
  <c r="C592" i="3"/>
  <c r="D592" i="3"/>
  <c r="E592" i="3"/>
  <c r="F592" i="3"/>
  <c r="G592" i="3"/>
  <c r="H592" i="3"/>
  <c r="I592" i="3"/>
  <c r="J592" i="3"/>
  <c r="K592" i="3"/>
  <c r="B593" i="3"/>
  <c r="C593" i="3"/>
  <c r="D593" i="3"/>
  <c r="E593" i="3"/>
  <c r="F593" i="3"/>
  <c r="G593" i="3"/>
  <c r="H593" i="3"/>
  <c r="I593" i="3"/>
  <c r="J593" i="3"/>
  <c r="K593" i="3"/>
  <c r="B594" i="3"/>
  <c r="C594" i="3"/>
  <c r="D594" i="3"/>
  <c r="E594" i="3"/>
  <c r="F594" i="3"/>
  <c r="G594" i="3"/>
  <c r="H594" i="3"/>
  <c r="I594" i="3"/>
  <c r="J594" i="3"/>
  <c r="K594" i="3"/>
  <c r="B595" i="3"/>
  <c r="C595" i="3"/>
  <c r="D595" i="3"/>
  <c r="E595" i="3"/>
  <c r="F595" i="3"/>
  <c r="G595" i="3"/>
  <c r="H595" i="3"/>
  <c r="I595" i="3"/>
  <c r="J595" i="3"/>
  <c r="K595" i="3"/>
  <c r="B596" i="3"/>
  <c r="C596" i="3"/>
  <c r="D596" i="3"/>
  <c r="E596" i="3"/>
  <c r="F596" i="3"/>
  <c r="G596" i="3"/>
  <c r="H596" i="3"/>
  <c r="I596" i="3"/>
  <c r="J596" i="3"/>
  <c r="K596" i="3"/>
  <c r="B597" i="3"/>
  <c r="C597" i="3"/>
  <c r="D597" i="3"/>
  <c r="E597" i="3"/>
  <c r="F597" i="3"/>
  <c r="G597" i="3"/>
  <c r="H597" i="3"/>
  <c r="I597" i="3"/>
  <c r="J597" i="3"/>
  <c r="K597" i="3"/>
  <c r="B598" i="3"/>
  <c r="C598" i="3"/>
  <c r="D598" i="3"/>
  <c r="E598" i="3"/>
  <c r="F598" i="3"/>
  <c r="G598" i="3"/>
  <c r="H598" i="3"/>
  <c r="I598" i="3"/>
  <c r="J598" i="3"/>
  <c r="K598" i="3"/>
  <c r="B599" i="3"/>
  <c r="C599" i="3"/>
  <c r="D599" i="3"/>
  <c r="E599" i="3"/>
  <c r="F599" i="3"/>
  <c r="G599" i="3"/>
  <c r="H599" i="3"/>
  <c r="I599" i="3"/>
  <c r="J599" i="3"/>
  <c r="K599" i="3"/>
  <c r="B600" i="3"/>
  <c r="C600" i="3"/>
  <c r="D600" i="3"/>
  <c r="E600" i="3"/>
  <c r="F600" i="3"/>
  <c r="G600" i="3"/>
  <c r="H600" i="3"/>
  <c r="I600" i="3"/>
  <c r="J600" i="3"/>
  <c r="K600" i="3"/>
  <c r="B601" i="3"/>
  <c r="C601" i="3"/>
  <c r="D601" i="3"/>
  <c r="E601" i="3"/>
  <c r="F601" i="3"/>
  <c r="G601" i="3"/>
  <c r="H601" i="3"/>
  <c r="I601" i="3"/>
  <c r="J601" i="3"/>
  <c r="K601" i="3"/>
  <c r="B602" i="3"/>
  <c r="C602" i="3"/>
  <c r="D602" i="3"/>
  <c r="E602" i="3"/>
  <c r="F602" i="3"/>
  <c r="G602" i="3"/>
  <c r="H602" i="3"/>
  <c r="I602" i="3"/>
  <c r="J602" i="3"/>
  <c r="K602" i="3"/>
  <c r="B603" i="3"/>
  <c r="C603" i="3"/>
  <c r="D603" i="3"/>
  <c r="E603" i="3"/>
  <c r="F603" i="3"/>
  <c r="G603" i="3"/>
  <c r="H603" i="3"/>
  <c r="I603" i="3"/>
  <c r="J603" i="3"/>
  <c r="K603" i="3"/>
  <c r="B604" i="3"/>
  <c r="C604" i="3"/>
  <c r="D604" i="3"/>
  <c r="E604" i="3"/>
  <c r="F604" i="3"/>
  <c r="G604" i="3"/>
  <c r="H604" i="3"/>
  <c r="I604" i="3"/>
  <c r="J604" i="3"/>
  <c r="K604" i="3"/>
  <c r="B605" i="3"/>
  <c r="C605" i="3"/>
  <c r="D605" i="3"/>
  <c r="E605" i="3"/>
  <c r="F605" i="3"/>
  <c r="G605" i="3"/>
  <c r="H605" i="3"/>
  <c r="I605" i="3"/>
  <c r="J605" i="3"/>
  <c r="K605" i="3"/>
  <c r="B606" i="3"/>
  <c r="C606" i="3"/>
  <c r="D606" i="3"/>
  <c r="E606" i="3"/>
  <c r="F606" i="3"/>
  <c r="G606" i="3"/>
  <c r="H606" i="3"/>
  <c r="I606" i="3"/>
  <c r="J606" i="3"/>
  <c r="K606" i="3"/>
  <c r="B607" i="3"/>
  <c r="C607" i="3"/>
  <c r="D607" i="3"/>
  <c r="E607" i="3"/>
  <c r="F607" i="3"/>
  <c r="G607" i="3"/>
  <c r="H607" i="3"/>
  <c r="I607" i="3"/>
  <c r="J607" i="3"/>
  <c r="K607" i="3"/>
  <c r="B608" i="3"/>
  <c r="C608" i="3"/>
  <c r="D608" i="3"/>
  <c r="E608" i="3"/>
  <c r="F608" i="3"/>
  <c r="G608" i="3"/>
  <c r="H608" i="3"/>
  <c r="I608" i="3"/>
  <c r="J608" i="3"/>
  <c r="K608" i="3"/>
  <c r="B609" i="3"/>
  <c r="C609" i="3"/>
  <c r="D609" i="3"/>
  <c r="E609" i="3"/>
  <c r="F609" i="3"/>
  <c r="G609" i="3"/>
  <c r="H609" i="3"/>
  <c r="I609" i="3"/>
  <c r="J609" i="3"/>
  <c r="K609" i="3"/>
  <c r="B610" i="3"/>
  <c r="C610" i="3"/>
  <c r="D610" i="3"/>
  <c r="E610" i="3"/>
  <c r="F610" i="3"/>
  <c r="G610" i="3"/>
  <c r="H610" i="3"/>
  <c r="I610" i="3"/>
  <c r="J610" i="3"/>
  <c r="K610" i="3"/>
  <c r="B611" i="3"/>
  <c r="C611" i="3"/>
  <c r="D611" i="3"/>
  <c r="E611" i="3"/>
  <c r="F611" i="3"/>
  <c r="G611" i="3"/>
  <c r="H611" i="3"/>
  <c r="I611" i="3"/>
  <c r="J611" i="3"/>
  <c r="K611" i="3"/>
  <c r="B612" i="3"/>
  <c r="C612" i="3"/>
  <c r="D612" i="3"/>
  <c r="E612" i="3"/>
  <c r="F612" i="3"/>
  <c r="G612" i="3"/>
  <c r="H612" i="3"/>
  <c r="I612" i="3"/>
  <c r="J612" i="3"/>
  <c r="K612" i="3"/>
  <c r="B613" i="3"/>
  <c r="C613" i="3"/>
  <c r="D613" i="3"/>
  <c r="E613" i="3"/>
  <c r="F613" i="3"/>
  <c r="G613" i="3"/>
  <c r="H613" i="3"/>
  <c r="I613" i="3"/>
  <c r="J613" i="3"/>
  <c r="K613" i="3"/>
  <c r="B614" i="3"/>
  <c r="C614" i="3"/>
  <c r="D614" i="3"/>
  <c r="E614" i="3"/>
  <c r="F614" i="3"/>
  <c r="G614" i="3"/>
  <c r="H614" i="3"/>
  <c r="I614" i="3"/>
  <c r="J614" i="3"/>
  <c r="K614" i="3"/>
  <c r="B615" i="3"/>
  <c r="C615" i="3"/>
  <c r="D615" i="3"/>
  <c r="E615" i="3"/>
  <c r="F615" i="3"/>
  <c r="G615" i="3"/>
  <c r="H615" i="3"/>
  <c r="I615" i="3"/>
  <c r="J615" i="3"/>
  <c r="K615" i="3"/>
  <c r="B616" i="3"/>
  <c r="C616" i="3"/>
  <c r="D616" i="3"/>
  <c r="E616" i="3"/>
  <c r="F616" i="3"/>
  <c r="G616" i="3"/>
  <c r="H616" i="3"/>
  <c r="I616" i="3"/>
  <c r="J616" i="3"/>
  <c r="K616" i="3"/>
  <c r="B617" i="3"/>
  <c r="C617" i="3"/>
  <c r="D617" i="3"/>
  <c r="E617" i="3"/>
  <c r="F617" i="3"/>
  <c r="G617" i="3"/>
  <c r="H617" i="3"/>
  <c r="I617" i="3"/>
  <c r="J617" i="3"/>
  <c r="K617" i="3"/>
  <c r="B618" i="3"/>
  <c r="C618" i="3"/>
  <c r="D618" i="3"/>
  <c r="E618" i="3"/>
  <c r="F618" i="3"/>
  <c r="G618" i="3"/>
  <c r="H618" i="3"/>
  <c r="I618" i="3"/>
  <c r="J618" i="3"/>
  <c r="K618" i="3"/>
  <c r="B619" i="3"/>
  <c r="C619" i="3"/>
  <c r="D619" i="3"/>
  <c r="E619" i="3"/>
  <c r="F619" i="3"/>
  <c r="G619" i="3"/>
  <c r="H619" i="3"/>
  <c r="I619" i="3"/>
  <c r="J619" i="3"/>
  <c r="K619" i="3"/>
  <c r="B620" i="3"/>
  <c r="C620" i="3"/>
  <c r="D620" i="3"/>
  <c r="E620" i="3"/>
  <c r="F620" i="3"/>
  <c r="G620" i="3"/>
  <c r="H620" i="3"/>
  <c r="I620" i="3"/>
  <c r="J620" i="3"/>
  <c r="K620" i="3"/>
  <c r="B621" i="3"/>
  <c r="C621" i="3"/>
  <c r="D621" i="3"/>
  <c r="E621" i="3"/>
  <c r="F621" i="3"/>
  <c r="G621" i="3"/>
  <c r="H621" i="3"/>
  <c r="I621" i="3"/>
  <c r="J621" i="3"/>
  <c r="K621" i="3"/>
  <c r="B622" i="3"/>
  <c r="C622" i="3"/>
  <c r="D622" i="3"/>
  <c r="E622" i="3"/>
  <c r="F622" i="3"/>
  <c r="G622" i="3"/>
  <c r="H622" i="3"/>
  <c r="I622" i="3"/>
  <c r="J622" i="3"/>
  <c r="K622" i="3"/>
  <c r="B623" i="3"/>
  <c r="C623" i="3"/>
  <c r="D623" i="3"/>
  <c r="E623" i="3"/>
  <c r="F623" i="3"/>
  <c r="G623" i="3"/>
  <c r="H623" i="3"/>
  <c r="I623" i="3"/>
  <c r="J623" i="3"/>
  <c r="K623" i="3"/>
  <c r="B624" i="3"/>
  <c r="C624" i="3"/>
  <c r="D624" i="3"/>
  <c r="E624" i="3"/>
  <c r="F624" i="3"/>
  <c r="G624" i="3"/>
  <c r="H624" i="3"/>
  <c r="I624" i="3"/>
  <c r="J624" i="3"/>
  <c r="K624" i="3"/>
  <c r="B625" i="3"/>
  <c r="C625" i="3"/>
  <c r="D625" i="3"/>
  <c r="E625" i="3"/>
  <c r="F625" i="3"/>
  <c r="G625" i="3"/>
  <c r="H625" i="3"/>
  <c r="I625" i="3"/>
  <c r="J625" i="3"/>
  <c r="K625" i="3"/>
  <c r="B626" i="3"/>
  <c r="C626" i="3"/>
  <c r="D626" i="3"/>
  <c r="E626" i="3"/>
  <c r="F626" i="3"/>
  <c r="G626" i="3"/>
  <c r="H626" i="3"/>
  <c r="I626" i="3"/>
  <c r="J626" i="3"/>
  <c r="K626" i="3"/>
  <c r="B627" i="3"/>
  <c r="C627" i="3"/>
  <c r="D627" i="3"/>
  <c r="E627" i="3"/>
  <c r="F627" i="3"/>
  <c r="G627" i="3"/>
  <c r="H627" i="3"/>
  <c r="I627" i="3"/>
  <c r="J627" i="3"/>
  <c r="K627" i="3"/>
  <c r="B628" i="3"/>
  <c r="C628" i="3"/>
  <c r="D628" i="3"/>
  <c r="E628" i="3"/>
  <c r="F628" i="3"/>
  <c r="G628" i="3"/>
  <c r="H628" i="3"/>
  <c r="I628" i="3"/>
  <c r="J628" i="3"/>
  <c r="K628" i="3"/>
  <c r="B629" i="3"/>
  <c r="C629" i="3"/>
  <c r="D629" i="3"/>
  <c r="E629" i="3"/>
  <c r="F629" i="3"/>
  <c r="G629" i="3"/>
  <c r="H629" i="3"/>
  <c r="I629" i="3"/>
  <c r="J629" i="3"/>
  <c r="K629" i="3"/>
  <c r="B630" i="3"/>
  <c r="C630" i="3"/>
  <c r="D630" i="3"/>
  <c r="E630" i="3"/>
  <c r="F630" i="3"/>
  <c r="G630" i="3"/>
  <c r="H630" i="3"/>
  <c r="I630" i="3"/>
  <c r="J630" i="3"/>
  <c r="K630" i="3"/>
  <c r="B631" i="3"/>
  <c r="C631" i="3"/>
  <c r="D631" i="3"/>
  <c r="E631" i="3"/>
  <c r="F631" i="3"/>
  <c r="G631" i="3"/>
  <c r="H631" i="3"/>
  <c r="I631" i="3"/>
  <c r="J631" i="3"/>
  <c r="K631" i="3"/>
  <c r="B632" i="3"/>
  <c r="C632" i="3"/>
  <c r="D632" i="3"/>
  <c r="E632" i="3"/>
  <c r="F632" i="3"/>
  <c r="G632" i="3"/>
  <c r="H632" i="3"/>
  <c r="I632" i="3"/>
  <c r="J632" i="3"/>
  <c r="K632" i="3"/>
  <c r="B633" i="3"/>
  <c r="C633" i="3"/>
  <c r="D633" i="3"/>
  <c r="E633" i="3"/>
  <c r="F633" i="3"/>
  <c r="G633" i="3"/>
  <c r="H633" i="3"/>
  <c r="I633" i="3"/>
  <c r="J633" i="3"/>
  <c r="K633" i="3"/>
  <c r="B634" i="3"/>
  <c r="C634" i="3"/>
  <c r="D634" i="3"/>
  <c r="E634" i="3"/>
  <c r="F634" i="3"/>
  <c r="G634" i="3"/>
  <c r="H634" i="3"/>
  <c r="I634" i="3"/>
  <c r="J634" i="3"/>
  <c r="K634" i="3"/>
  <c r="B635" i="3"/>
  <c r="C635" i="3"/>
  <c r="D635" i="3"/>
  <c r="E635" i="3"/>
  <c r="F635" i="3"/>
  <c r="G635" i="3"/>
  <c r="H635" i="3"/>
  <c r="I635" i="3"/>
  <c r="J635" i="3"/>
  <c r="K635" i="3"/>
  <c r="B636" i="3"/>
  <c r="C636" i="3"/>
  <c r="D636" i="3"/>
  <c r="E636" i="3"/>
  <c r="F636" i="3"/>
  <c r="G636" i="3"/>
  <c r="H636" i="3"/>
  <c r="I636" i="3"/>
  <c r="J636" i="3"/>
  <c r="K636" i="3"/>
  <c r="B637" i="3"/>
  <c r="C637" i="3"/>
  <c r="D637" i="3"/>
  <c r="E637" i="3"/>
  <c r="F637" i="3"/>
  <c r="G637" i="3"/>
  <c r="H637" i="3"/>
  <c r="I637" i="3"/>
  <c r="J637" i="3"/>
  <c r="K637" i="3"/>
  <c r="B638" i="3"/>
  <c r="C638" i="3"/>
  <c r="D638" i="3"/>
  <c r="E638" i="3"/>
  <c r="F638" i="3"/>
  <c r="G638" i="3"/>
  <c r="H638" i="3"/>
  <c r="I638" i="3"/>
  <c r="J638" i="3"/>
  <c r="K638" i="3"/>
  <c r="B639" i="3"/>
  <c r="C639" i="3"/>
  <c r="D639" i="3"/>
  <c r="E639" i="3"/>
  <c r="F639" i="3"/>
  <c r="G639" i="3"/>
  <c r="H639" i="3"/>
  <c r="I639" i="3"/>
  <c r="J639" i="3"/>
  <c r="K639" i="3"/>
  <c r="B640" i="3"/>
  <c r="C640" i="3"/>
  <c r="D640" i="3"/>
  <c r="E640" i="3"/>
  <c r="F640" i="3"/>
  <c r="G640" i="3"/>
  <c r="H640" i="3"/>
  <c r="I640" i="3"/>
  <c r="J640" i="3"/>
  <c r="K640" i="3"/>
  <c r="B641" i="3"/>
  <c r="C641" i="3"/>
  <c r="D641" i="3"/>
  <c r="E641" i="3"/>
  <c r="F641" i="3"/>
  <c r="G641" i="3"/>
  <c r="H641" i="3"/>
  <c r="I641" i="3"/>
  <c r="J641" i="3"/>
  <c r="K641" i="3"/>
  <c r="B642" i="3"/>
  <c r="C642" i="3"/>
  <c r="D642" i="3"/>
  <c r="E642" i="3"/>
  <c r="F642" i="3"/>
  <c r="G642" i="3"/>
  <c r="H642" i="3"/>
  <c r="I642" i="3"/>
  <c r="J642" i="3"/>
  <c r="K642" i="3"/>
  <c r="B643" i="3"/>
  <c r="C643" i="3"/>
  <c r="D643" i="3"/>
  <c r="E643" i="3"/>
  <c r="F643" i="3"/>
  <c r="G643" i="3"/>
  <c r="H643" i="3"/>
  <c r="I643" i="3"/>
  <c r="J643" i="3"/>
  <c r="K643" i="3"/>
  <c r="B644" i="3"/>
  <c r="C644" i="3"/>
  <c r="D644" i="3"/>
  <c r="E644" i="3"/>
  <c r="F644" i="3"/>
  <c r="G644" i="3"/>
  <c r="H644" i="3"/>
  <c r="I644" i="3"/>
  <c r="J644" i="3"/>
  <c r="K644" i="3"/>
  <c r="B645" i="3"/>
  <c r="C645" i="3"/>
  <c r="D645" i="3"/>
  <c r="E645" i="3"/>
  <c r="F645" i="3"/>
  <c r="G645" i="3"/>
  <c r="H645" i="3"/>
  <c r="I645" i="3"/>
  <c r="J645" i="3"/>
  <c r="K645" i="3"/>
  <c r="B646" i="3"/>
  <c r="C646" i="3"/>
  <c r="D646" i="3"/>
  <c r="E646" i="3"/>
  <c r="F646" i="3"/>
  <c r="G646" i="3"/>
  <c r="H646" i="3"/>
  <c r="I646" i="3"/>
  <c r="J646" i="3"/>
  <c r="K646" i="3"/>
  <c r="B647" i="3"/>
  <c r="C647" i="3"/>
  <c r="D647" i="3"/>
  <c r="E647" i="3"/>
  <c r="F647" i="3"/>
  <c r="G647" i="3"/>
  <c r="H647" i="3"/>
  <c r="I647" i="3"/>
  <c r="J647" i="3"/>
  <c r="K647" i="3"/>
  <c r="B648" i="3"/>
  <c r="C648" i="3"/>
  <c r="D648" i="3"/>
  <c r="E648" i="3"/>
  <c r="F648" i="3"/>
  <c r="G648" i="3"/>
  <c r="H648" i="3"/>
  <c r="I648" i="3"/>
  <c r="J648" i="3"/>
  <c r="K648" i="3"/>
  <c r="B649" i="3"/>
  <c r="C649" i="3"/>
  <c r="D649" i="3"/>
  <c r="E649" i="3"/>
  <c r="F649" i="3"/>
  <c r="G649" i="3"/>
  <c r="H649" i="3"/>
  <c r="I649" i="3"/>
  <c r="J649" i="3"/>
  <c r="K649" i="3"/>
  <c r="B650" i="3"/>
  <c r="C650" i="3"/>
  <c r="D650" i="3"/>
  <c r="E650" i="3"/>
  <c r="F650" i="3"/>
  <c r="G650" i="3"/>
  <c r="H650" i="3"/>
  <c r="I650" i="3"/>
  <c r="J650" i="3"/>
  <c r="K650" i="3"/>
  <c r="B651" i="3"/>
  <c r="C651" i="3"/>
  <c r="D651" i="3"/>
  <c r="E651" i="3"/>
  <c r="F651" i="3"/>
  <c r="G651" i="3"/>
  <c r="H651" i="3"/>
  <c r="I651" i="3"/>
  <c r="J651" i="3"/>
  <c r="K651" i="3"/>
  <c r="B652" i="3"/>
  <c r="C652" i="3"/>
  <c r="D652" i="3"/>
  <c r="E652" i="3"/>
  <c r="F652" i="3"/>
  <c r="G652" i="3"/>
  <c r="H652" i="3"/>
  <c r="I652" i="3"/>
  <c r="J652" i="3"/>
  <c r="K652" i="3"/>
  <c r="B653" i="3"/>
  <c r="C653" i="3"/>
  <c r="D653" i="3"/>
  <c r="E653" i="3"/>
  <c r="F653" i="3"/>
  <c r="G653" i="3"/>
  <c r="H653" i="3"/>
  <c r="I653" i="3"/>
  <c r="J653" i="3"/>
  <c r="K653" i="3"/>
  <c r="B654" i="3"/>
  <c r="C654" i="3"/>
  <c r="D654" i="3"/>
  <c r="E654" i="3"/>
  <c r="F654" i="3"/>
  <c r="G654" i="3"/>
  <c r="H654" i="3"/>
  <c r="I654" i="3"/>
  <c r="J654" i="3"/>
  <c r="K654" i="3"/>
  <c r="B655" i="3"/>
  <c r="C655" i="3"/>
  <c r="D655" i="3"/>
  <c r="E655" i="3"/>
  <c r="F655" i="3"/>
  <c r="G655" i="3"/>
  <c r="H655" i="3"/>
  <c r="I655" i="3"/>
  <c r="J655" i="3"/>
  <c r="K655" i="3"/>
  <c r="B656" i="3"/>
  <c r="C656" i="3"/>
  <c r="D656" i="3"/>
  <c r="E656" i="3"/>
  <c r="F656" i="3"/>
  <c r="G656" i="3"/>
  <c r="H656" i="3"/>
  <c r="I656" i="3"/>
  <c r="J656" i="3"/>
  <c r="K656" i="3"/>
  <c r="B657" i="3"/>
  <c r="C657" i="3"/>
  <c r="D657" i="3"/>
  <c r="E657" i="3"/>
  <c r="F657" i="3"/>
  <c r="G657" i="3"/>
  <c r="H657" i="3"/>
  <c r="I657" i="3"/>
  <c r="J657" i="3"/>
  <c r="K657" i="3"/>
  <c r="B658" i="3"/>
  <c r="C658" i="3"/>
  <c r="D658" i="3"/>
  <c r="E658" i="3"/>
  <c r="F658" i="3"/>
  <c r="G658" i="3"/>
  <c r="H658" i="3"/>
  <c r="I658" i="3"/>
  <c r="J658" i="3"/>
  <c r="K658" i="3"/>
  <c r="B659" i="3"/>
  <c r="C659" i="3"/>
  <c r="D659" i="3"/>
  <c r="E659" i="3"/>
  <c r="F659" i="3"/>
  <c r="G659" i="3"/>
  <c r="H659" i="3"/>
  <c r="I659" i="3"/>
  <c r="J659" i="3"/>
  <c r="K659" i="3"/>
  <c r="B660" i="3"/>
  <c r="C660" i="3"/>
  <c r="D660" i="3"/>
  <c r="E660" i="3"/>
  <c r="F660" i="3"/>
  <c r="G660" i="3"/>
  <c r="H660" i="3"/>
  <c r="I660" i="3"/>
  <c r="J660" i="3"/>
  <c r="K660" i="3"/>
  <c r="B661" i="3"/>
  <c r="C661" i="3"/>
  <c r="D661" i="3"/>
  <c r="E661" i="3"/>
  <c r="F661" i="3"/>
  <c r="G661" i="3"/>
  <c r="H661" i="3"/>
  <c r="I661" i="3"/>
  <c r="J661" i="3"/>
  <c r="K661" i="3"/>
  <c r="B662" i="3"/>
  <c r="C662" i="3"/>
  <c r="D662" i="3"/>
  <c r="E662" i="3"/>
  <c r="F662" i="3"/>
  <c r="G662" i="3"/>
  <c r="H662" i="3"/>
  <c r="I662" i="3"/>
  <c r="J662" i="3"/>
  <c r="K662" i="3"/>
  <c r="B663" i="3"/>
  <c r="C663" i="3"/>
  <c r="D663" i="3"/>
  <c r="E663" i="3"/>
  <c r="F663" i="3"/>
  <c r="G663" i="3"/>
  <c r="H663" i="3"/>
  <c r="I663" i="3"/>
  <c r="J663" i="3"/>
  <c r="K663" i="3"/>
  <c r="B664" i="3"/>
  <c r="C664" i="3"/>
  <c r="D664" i="3"/>
  <c r="E664" i="3"/>
  <c r="F664" i="3"/>
  <c r="G664" i="3"/>
  <c r="H664" i="3"/>
  <c r="I664" i="3"/>
  <c r="J664" i="3"/>
  <c r="K664" i="3"/>
  <c r="B665" i="3"/>
  <c r="C665" i="3"/>
  <c r="D665" i="3"/>
  <c r="E665" i="3"/>
  <c r="F665" i="3"/>
  <c r="G665" i="3"/>
  <c r="H665" i="3"/>
  <c r="I665" i="3"/>
  <c r="J665" i="3"/>
  <c r="K665" i="3"/>
  <c r="B666" i="3"/>
  <c r="C666" i="3"/>
  <c r="D666" i="3"/>
  <c r="E666" i="3"/>
  <c r="F666" i="3"/>
  <c r="G666" i="3"/>
  <c r="H666" i="3"/>
  <c r="I666" i="3"/>
  <c r="J666" i="3"/>
  <c r="K666" i="3"/>
  <c r="B667" i="3"/>
  <c r="C667" i="3"/>
  <c r="D667" i="3"/>
  <c r="E667" i="3"/>
  <c r="F667" i="3"/>
  <c r="G667" i="3"/>
  <c r="H667" i="3"/>
  <c r="I667" i="3"/>
  <c r="J667" i="3"/>
  <c r="K667" i="3"/>
  <c r="B668" i="3"/>
  <c r="C668" i="3"/>
  <c r="D668" i="3"/>
  <c r="E668" i="3"/>
  <c r="F668" i="3"/>
  <c r="G668" i="3"/>
  <c r="H668" i="3"/>
  <c r="I668" i="3"/>
  <c r="J668" i="3"/>
  <c r="K668" i="3"/>
  <c r="B669" i="3"/>
  <c r="C669" i="3"/>
  <c r="D669" i="3"/>
  <c r="E669" i="3"/>
  <c r="F669" i="3"/>
  <c r="G669" i="3"/>
  <c r="H669" i="3"/>
  <c r="I669" i="3"/>
  <c r="J669" i="3"/>
  <c r="K669" i="3"/>
  <c r="B670" i="3"/>
  <c r="C670" i="3"/>
  <c r="D670" i="3"/>
  <c r="E670" i="3"/>
  <c r="F670" i="3"/>
  <c r="G670" i="3"/>
  <c r="H670" i="3"/>
  <c r="I670" i="3"/>
  <c r="J670" i="3"/>
  <c r="K670" i="3"/>
  <c r="B671" i="3"/>
  <c r="C671" i="3"/>
  <c r="D671" i="3"/>
  <c r="E671" i="3"/>
  <c r="F671" i="3"/>
  <c r="G671" i="3"/>
  <c r="H671" i="3"/>
  <c r="I671" i="3"/>
  <c r="J671" i="3"/>
  <c r="K671" i="3"/>
  <c r="B672" i="3"/>
  <c r="C672" i="3"/>
  <c r="D672" i="3"/>
  <c r="E672" i="3"/>
  <c r="F672" i="3"/>
  <c r="G672" i="3"/>
  <c r="H672" i="3"/>
  <c r="I672" i="3"/>
  <c r="J672" i="3"/>
  <c r="K672" i="3"/>
  <c r="B673" i="3"/>
  <c r="C673" i="3"/>
  <c r="D673" i="3"/>
  <c r="E673" i="3"/>
  <c r="F673" i="3"/>
  <c r="G673" i="3"/>
  <c r="H673" i="3"/>
  <c r="I673" i="3"/>
  <c r="J673" i="3"/>
  <c r="K673" i="3"/>
  <c r="B674" i="3"/>
  <c r="C674" i="3"/>
  <c r="D674" i="3"/>
  <c r="E674" i="3"/>
  <c r="F674" i="3"/>
  <c r="G674" i="3"/>
  <c r="H674" i="3"/>
  <c r="I674" i="3"/>
  <c r="J674" i="3"/>
  <c r="K674" i="3"/>
  <c r="B675" i="3"/>
  <c r="C675" i="3"/>
  <c r="D675" i="3"/>
  <c r="E675" i="3"/>
  <c r="F675" i="3"/>
  <c r="G675" i="3"/>
  <c r="H675" i="3"/>
  <c r="I675" i="3"/>
  <c r="J675" i="3"/>
  <c r="K675" i="3"/>
  <c r="B676" i="3"/>
  <c r="C676" i="3"/>
  <c r="D676" i="3"/>
  <c r="E676" i="3"/>
  <c r="F676" i="3"/>
  <c r="G676" i="3"/>
  <c r="H676" i="3"/>
  <c r="I676" i="3"/>
  <c r="J676" i="3"/>
  <c r="K676" i="3"/>
  <c r="B677" i="3"/>
  <c r="C677" i="3"/>
  <c r="D677" i="3"/>
  <c r="E677" i="3"/>
  <c r="F677" i="3"/>
  <c r="G677" i="3"/>
  <c r="H677" i="3"/>
  <c r="I677" i="3"/>
  <c r="J677" i="3"/>
  <c r="K677" i="3"/>
  <c r="B678" i="3"/>
  <c r="C678" i="3"/>
  <c r="D678" i="3"/>
  <c r="E678" i="3"/>
  <c r="F678" i="3"/>
  <c r="G678" i="3"/>
  <c r="H678" i="3"/>
  <c r="I678" i="3"/>
  <c r="J678" i="3"/>
  <c r="K678" i="3"/>
  <c r="B679" i="3"/>
  <c r="C679" i="3"/>
  <c r="D679" i="3"/>
  <c r="E679" i="3"/>
  <c r="F679" i="3"/>
  <c r="G679" i="3"/>
  <c r="H679" i="3"/>
  <c r="I679" i="3"/>
  <c r="J679" i="3"/>
  <c r="K679" i="3"/>
  <c r="B680" i="3"/>
  <c r="C680" i="3"/>
  <c r="D680" i="3"/>
  <c r="E680" i="3"/>
  <c r="F680" i="3"/>
  <c r="G680" i="3"/>
  <c r="H680" i="3"/>
  <c r="I680" i="3"/>
  <c r="J680" i="3"/>
  <c r="K680" i="3"/>
  <c r="B681" i="3"/>
  <c r="C681" i="3"/>
  <c r="D681" i="3"/>
  <c r="E681" i="3"/>
  <c r="F681" i="3"/>
  <c r="G681" i="3"/>
  <c r="H681" i="3"/>
  <c r="I681" i="3"/>
  <c r="J681" i="3"/>
  <c r="K681" i="3"/>
  <c r="B682" i="3"/>
  <c r="C682" i="3"/>
  <c r="D682" i="3"/>
  <c r="E682" i="3"/>
  <c r="F682" i="3"/>
  <c r="G682" i="3"/>
  <c r="H682" i="3"/>
  <c r="I682" i="3"/>
  <c r="J682" i="3"/>
  <c r="K682" i="3"/>
  <c r="B683" i="3"/>
  <c r="C683" i="3"/>
  <c r="D683" i="3"/>
  <c r="E683" i="3"/>
  <c r="F683" i="3"/>
  <c r="G683" i="3"/>
  <c r="H683" i="3"/>
  <c r="I683" i="3"/>
  <c r="J683" i="3"/>
  <c r="K683" i="3"/>
  <c r="B684" i="3"/>
  <c r="C684" i="3"/>
  <c r="D684" i="3"/>
  <c r="E684" i="3"/>
  <c r="F684" i="3"/>
  <c r="G684" i="3"/>
  <c r="H684" i="3"/>
  <c r="I684" i="3"/>
  <c r="J684" i="3"/>
  <c r="K684" i="3"/>
  <c r="B685" i="3"/>
  <c r="C685" i="3"/>
  <c r="D685" i="3"/>
  <c r="E685" i="3"/>
  <c r="F685" i="3"/>
  <c r="G685" i="3"/>
  <c r="H685" i="3"/>
  <c r="I685" i="3"/>
  <c r="J685" i="3"/>
  <c r="K685" i="3"/>
  <c r="B686" i="3"/>
  <c r="C686" i="3"/>
  <c r="D686" i="3"/>
  <c r="E686" i="3"/>
  <c r="F686" i="3"/>
  <c r="G686" i="3"/>
  <c r="H686" i="3"/>
  <c r="I686" i="3"/>
  <c r="J686" i="3"/>
  <c r="K686" i="3"/>
  <c r="B687" i="3"/>
  <c r="C687" i="3"/>
  <c r="D687" i="3"/>
  <c r="E687" i="3"/>
  <c r="F687" i="3"/>
  <c r="G687" i="3"/>
  <c r="H687" i="3"/>
  <c r="I687" i="3"/>
  <c r="J687" i="3"/>
  <c r="K687" i="3"/>
  <c r="B688" i="3"/>
  <c r="C688" i="3"/>
  <c r="D688" i="3"/>
  <c r="E688" i="3"/>
  <c r="F688" i="3"/>
  <c r="G688" i="3"/>
  <c r="H688" i="3"/>
  <c r="I688" i="3"/>
  <c r="J688" i="3"/>
  <c r="K688" i="3"/>
  <c r="B689" i="3"/>
  <c r="C689" i="3"/>
  <c r="D689" i="3"/>
  <c r="E689" i="3"/>
  <c r="F689" i="3"/>
  <c r="G689" i="3"/>
  <c r="H689" i="3"/>
  <c r="I689" i="3"/>
  <c r="J689" i="3"/>
  <c r="K689" i="3"/>
  <c r="B690" i="3"/>
  <c r="C690" i="3"/>
  <c r="D690" i="3"/>
  <c r="E690" i="3"/>
  <c r="F690" i="3"/>
  <c r="G690" i="3"/>
  <c r="H690" i="3"/>
  <c r="I690" i="3"/>
  <c r="J690" i="3"/>
  <c r="K690" i="3"/>
  <c r="B691" i="3"/>
  <c r="C691" i="3"/>
  <c r="D691" i="3"/>
  <c r="E691" i="3"/>
  <c r="F691" i="3"/>
  <c r="G691" i="3"/>
  <c r="H691" i="3"/>
  <c r="I691" i="3"/>
  <c r="J691" i="3"/>
  <c r="K691" i="3"/>
  <c r="B692" i="3"/>
  <c r="C692" i="3"/>
  <c r="D692" i="3"/>
  <c r="E692" i="3"/>
  <c r="F692" i="3"/>
  <c r="G692" i="3"/>
  <c r="H692" i="3"/>
  <c r="I692" i="3"/>
  <c r="J692" i="3"/>
  <c r="K692" i="3"/>
  <c r="B693" i="3"/>
  <c r="C693" i="3"/>
  <c r="D693" i="3"/>
  <c r="E693" i="3"/>
  <c r="F693" i="3"/>
  <c r="G693" i="3"/>
  <c r="H693" i="3"/>
  <c r="I693" i="3"/>
  <c r="J693" i="3"/>
  <c r="K693" i="3"/>
  <c r="B694" i="3"/>
  <c r="C694" i="3"/>
  <c r="D694" i="3"/>
  <c r="E694" i="3"/>
  <c r="F694" i="3"/>
  <c r="G694" i="3"/>
  <c r="H694" i="3"/>
  <c r="I694" i="3"/>
  <c r="J694" i="3"/>
  <c r="K694" i="3"/>
  <c r="B695" i="3"/>
  <c r="C695" i="3"/>
  <c r="D695" i="3"/>
  <c r="E695" i="3"/>
  <c r="F695" i="3"/>
  <c r="G695" i="3"/>
  <c r="H695" i="3"/>
  <c r="I695" i="3"/>
  <c r="J695" i="3"/>
  <c r="K695" i="3"/>
  <c r="B696" i="3"/>
  <c r="C696" i="3"/>
  <c r="D696" i="3"/>
  <c r="E696" i="3"/>
  <c r="F696" i="3"/>
  <c r="G696" i="3"/>
  <c r="H696" i="3"/>
  <c r="I696" i="3"/>
  <c r="J696" i="3"/>
  <c r="K696" i="3"/>
  <c r="B697" i="3"/>
  <c r="C697" i="3"/>
  <c r="D697" i="3"/>
  <c r="E697" i="3"/>
  <c r="F697" i="3"/>
  <c r="G697" i="3"/>
  <c r="H697" i="3"/>
  <c r="I697" i="3"/>
  <c r="J697" i="3"/>
  <c r="K697" i="3"/>
  <c r="B698" i="3"/>
  <c r="C698" i="3"/>
  <c r="D698" i="3"/>
  <c r="E698" i="3"/>
  <c r="F698" i="3"/>
  <c r="G698" i="3"/>
  <c r="H698" i="3"/>
  <c r="I698" i="3"/>
  <c r="J698" i="3"/>
  <c r="K698" i="3"/>
  <c r="B699" i="3"/>
  <c r="C699" i="3"/>
  <c r="D699" i="3"/>
  <c r="E699" i="3"/>
  <c r="F699" i="3"/>
  <c r="G699" i="3"/>
  <c r="H699" i="3"/>
  <c r="I699" i="3"/>
  <c r="J699" i="3"/>
  <c r="K699" i="3"/>
  <c r="B700" i="3"/>
  <c r="C700" i="3"/>
  <c r="D700" i="3"/>
  <c r="E700" i="3"/>
  <c r="F700" i="3"/>
  <c r="G700" i="3"/>
  <c r="H700" i="3"/>
  <c r="I700" i="3"/>
  <c r="J700" i="3"/>
  <c r="K700" i="3"/>
  <c r="B701" i="3"/>
  <c r="C701" i="3"/>
  <c r="D701" i="3"/>
  <c r="E701" i="3"/>
  <c r="F701" i="3"/>
  <c r="G701" i="3"/>
  <c r="H701" i="3"/>
  <c r="I701" i="3"/>
  <c r="J701" i="3"/>
  <c r="K701" i="3"/>
  <c r="B702" i="3"/>
  <c r="C702" i="3"/>
  <c r="D702" i="3"/>
  <c r="E702" i="3"/>
  <c r="F702" i="3"/>
  <c r="G702" i="3"/>
  <c r="H702" i="3"/>
  <c r="I702" i="3"/>
  <c r="J702" i="3"/>
  <c r="K702" i="3"/>
  <c r="B703" i="3"/>
  <c r="C703" i="3"/>
  <c r="D703" i="3"/>
  <c r="E703" i="3"/>
  <c r="F703" i="3"/>
  <c r="G703" i="3"/>
  <c r="H703" i="3"/>
  <c r="I703" i="3"/>
  <c r="J703" i="3"/>
  <c r="K703" i="3"/>
  <c r="B704" i="3"/>
  <c r="C704" i="3"/>
  <c r="D704" i="3"/>
  <c r="E704" i="3"/>
  <c r="F704" i="3"/>
  <c r="G704" i="3"/>
  <c r="H704" i="3"/>
  <c r="I704" i="3"/>
  <c r="J704" i="3"/>
  <c r="K704" i="3"/>
  <c r="B705" i="3"/>
  <c r="C705" i="3"/>
  <c r="D705" i="3"/>
  <c r="E705" i="3"/>
  <c r="F705" i="3"/>
  <c r="G705" i="3"/>
  <c r="H705" i="3"/>
  <c r="I705" i="3"/>
  <c r="J705" i="3"/>
  <c r="K705" i="3"/>
  <c r="B706" i="3"/>
  <c r="C706" i="3"/>
  <c r="D706" i="3"/>
  <c r="E706" i="3"/>
  <c r="F706" i="3"/>
  <c r="G706" i="3"/>
  <c r="H706" i="3"/>
  <c r="I706" i="3"/>
  <c r="J706" i="3"/>
  <c r="K706" i="3"/>
  <c r="B707" i="3"/>
  <c r="C707" i="3"/>
  <c r="D707" i="3"/>
  <c r="E707" i="3"/>
  <c r="F707" i="3"/>
  <c r="G707" i="3"/>
  <c r="H707" i="3"/>
  <c r="I707" i="3"/>
  <c r="J707" i="3"/>
  <c r="K707" i="3"/>
  <c r="B708" i="3"/>
  <c r="C708" i="3"/>
  <c r="D708" i="3"/>
  <c r="E708" i="3"/>
  <c r="F708" i="3"/>
  <c r="G708" i="3"/>
  <c r="H708" i="3"/>
  <c r="I708" i="3"/>
  <c r="J708" i="3"/>
  <c r="K708" i="3"/>
  <c r="B709" i="3"/>
  <c r="C709" i="3"/>
  <c r="D709" i="3"/>
  <c r="E709" i="3"/>
  <c r="F709" i="3"/>
  <c r="G709" i="3"/>
  <c r="H709" i="3"/>
  <c r="I709" i="3"/>
  <c r="J709" i="3"/>
  <c r="K709" i="3"/>
  <c r="B710" i="3"/>
  <c r="C710" i="3"/>
  <c r="D710" i="3"/>
  <c r="E710" i="3"/>
  <c r="F710" i="3"/>
  <c r="G710" i="3"/>
  <c r="H710" i="3"/>
  <c r="I710" i="3"/>
  <c r="J710" i="3"/>
  <c r="K710" i="3"/>
  <c r="B711" i="3"/>
  <c r="C711" i="3"/>
  <c r="D711" i="3"/>
  <c r="E711" i="3"/>
  <c r="F711" i="3"/>
  <c r="G711" i="3"/>
  <c r="H711" i="3"/>
  <c r="I711" i="3"/>
  <c r="J711" i="3"/>
  <c r="K711" i="3"/>
  <c r="B712" i="3"/>
  <c r="C712" i="3"/>
  <c r="D712" i="3"/>
  <c r="E712" i="3"/>
  <c r="F712" i="3"/>
  <c r="G712" i="3"/>
  <c r="H712" i="3"/>
  <c r="I712" i="3"/>
  <c r="J712" i="3"/>
  <c r="K712" i="3"/>
  <c r="B713" i="3"/>
  <c r="C713" i="3"/>
  <c r="D713" i="3"/>
  <c r="E713" i="3"/>
  <c r="F713" i="3"/>
  <c r="G713" i="3"/>
  <c r="H713" i="3"/>
  <c r="I713" i="3"/>
  <c r="J713" i="3"/>
  <c r="K713" i="3"/>
  <c r="B714" i="3"/>
  <c r="C714" i="3"/>
  <c r="D714" i="3"/>
  <c r="E714" i="3"/>
  <c r="F714" i="3"/>
  <c r="G714" i="3"/>
  <c r="H714" i="3"/>
  <c r="I714" i="3"/>
  <c r="J714" i="3"/>
  <c r="K714" i="3"/>
  <c r="B715" i="3"/>
  <c r="C715" i="3"/>
  <c r="D715" i="3"/>
  <c r="E715" i="3"/>
  <c r="F715" i="3"/>
  <c r="G715" i="3"/>
  <c r="H715" i="3"/>
  <c r="I715" i="3"/>
  <c r="J715" i="3"/>
  <c r="K715" i="3"/>
  <c r="B716" i="3"/>
  <c r="C716" i="3"/>
  <c r="D716" i="3"/>
  <c r="E716" i="3"/>
  <c r="F716" i="3"/>
  <c r="G716" i="3"/>
  <c r="H716" i="3"/>
  <c r="I716" i="3"/>
  <c r="J716" i="3"/>
  <c r="K716" i="3"/>
  <c r="B717" i="3"/>
  <c r="C717" i="3"/>
  <c r="D717" i="3"/>
  <c r="E717" i="3"/>
  <c r="F717" i="3"/>
  <c r="G717" i="3"/>
  <c r="H717" i="3"/>
  <c r="I717" i="3"/>
  <c r="J717" i="3"/>
  <c r="K717" i="3"/>
  <c r="B718" i="3"/>
  <c r="C718" i="3"/>
  <c r="D718" i="3"/>
  <c r="E718" i="3"/>
  <c r="F718" i="3"/>
  <c r="G718" i="3"/>
  <c r="H718" i="3"/>
  <c r="I718" i="3"/>
  <c r="J718" i="3"/>
  <c r="K718" i="3"/>
  <c r="B719" i="3"/>
  <c r="C719" i="3"/>
  <c r="D719" i="3"/>
  <c r="E719" i="3"/>
  <c r="F719" i="3"/>
  <c r="G719" i="3"/>
  <c r="H719" i="3"/>
  <c r="I719" i="3"/>
  <c r="J719" i="3"/>
  <c r="K719" i="3"/>
  <c r="B720" i="3"/>
  <c r="C720" i="3"/>
  <c r="D720" i="3"/>
  <c r="E720" i="3"/>
  <c r="F720" i="3"/>
  <c r="G720" i="3"/>
  <c r="H720" i="3"/>
  <c r="I720" i="3"/>
  <c r="J720" i="3"/>
  <c r="K720" i="3"/>
  <c r="B721" i="3"/>
  <c r="C721" i="3"/>
  <c r="D721" i="3"/>
  <c r="E721" i="3"/>
  <c r="F721" i="3"/>
  <c r="G721" i="3"/>
  <c r="H721" i="3"/>
  <c r="I721" i="3"/>
  <c r="J721" i="3"/>
  <c r="K721" i="3"/>
  <c r="B722" i="3"/>
  <c r="C722" i="3"/>
  <c r="D722" i="3"/>
  <c r="E722" i="3"/>
  <c r="F722" i="3"/>
  <c r="G722" i="3"/>
  <c r="H722" i="3"/>
  <c r="I722" i="3"/>
  <c r="J722" i="3"/>
  <c r="K722" i="3"/>
  <c r="B723" i="3"/>
  <c r="C723" i="3"/>
  <c r="D723" i="3"/>
  <c r="E723" i="3"/>
  <c r="F723" i="3"/>
  <c r="G723" i="3"/>
  <c r="H723" i="3"/>
  <c r="I723" i="3"/>
  <c r="J723" i="3"/>
  <c r="K723" i="3"/>
  <c r="B724" i="3"/>
  <c r="C724" i="3"/>
  <c r="D724" i="3"/>
  <c r="E724" i="3"/>
  <c r="F724" i="3"/>
  <c r="G724" i="3"/>
  <c r="H724" i="3"/>
  <c r="I724" i="3"/>
  <c r="J724" i="3"/>
  <c r="K724" i="3"/>
  <c r="B725" i="3"/>
  <c r="C725" i="3"/>
  <c r="D725" i="3"/>
  <c r="E725" i="3"/>
  <c r="F725" i="3"/>
  <c r="G725" i="3"/>
  <c r="H725" i="3"/>
  <c r="I725" i="3"/>
  <c r="J725" i="3"/>
  <c r="K725" i="3"/>
  <c r="B726" i="3"/>
  <c r="C726" i="3"/>
  <c r="D726" i="3"/>
  <c r="E726" i="3"/>
  <c r="F726" i="3"/>
  <c r="G726" i="3"/>
  <c r="H726" i="3"/>
  <c r="I726" i="3"/>
  <c r="J726" i="3"/>
  <c r="K726" i="3"/>
  <c r="B727" i="3"/>
  <c r="C727" i="3"/>
  <c r="D727" i="3"/>
  <c r="E727" i="3"/>
  <c r="F727" i="3"/>
  <c r="G727" i="3"/>
  <c r="H727" i="3"/>
  <c r="I727" i="3"/>
  <c r="J727" i="3"/>
  <c r="K727" i="3"/>
  <c r="B728" i="3"/>
  <c r="C728" i="3"/>
  <c r="D728" i="3"/>
  <c r="E728" i="3"/>
  <c r="F728" i="3"/>
  <c r="G728" i="3"/>
  <c r="H728" i="3"/>
  <c r="I728" i="3"/>
  <c r="J728" i="3"/>
  <c r="K728" i="3"/>
  <c r="B729" i="3"/>
  <c r="C729" i="3"/>
  <c r="D729" i="3"/>
  <c r="E729" i="3"/>
  <c r="F729" i="3"/>
  <c r="G729" i="3"/>
  <c r="H729" i="3"/>
  <c r="I729" i="3"/>
  <c r="J729" i="3"/>
  <c r="K729" i="3"/>
  <c r="B730" i="3"/>
  <c r="C730" i="3"/>
  <c r="D730" i="3"/>
  <c r="E730" i="3"/>
  <c r="F730" i="3"/>
  <c r="G730" i="3"/>
  <c r="H730" i="3"/>
  <c r="I730" i="3"/>
  <c r="J730" i="3"/>
  <c r="K730" i="3"/>
  <c r="B731" i="3"/>
  <c r="C731" i="3"/>
  <c r="D731" i="3"/>
  <c r="E731" i="3"/>
  <c r="F731" i="3"/>
  <c r="G731" i="3"/>
  <c r="H731" i="3"/>
  <c r="I731" i="3"/>
  <c r="J731" i="3"/>
  <c r="K731" i="3"/>
  <c r="B732" i="3"/>
  <c r="C732" i="3"/>
  <c r="D732" i="3"/>
  <c r="E732" i="3"/>
  <c r="F732" i="3"/>
  <c r="G732" i="3"/>
  <c r="H732" i="3"/>
  <c r="I732" i="3"/>
  <c r="J732" i="3"/>
  <c r="K732" i="3"/>
  <c r="B733" i="3"/>
  <c r="C733" i="3"/>
  <c r="D733" i="3"/>
  <c r="E733" i="3"/>
  <c r="F733" i="3"/>
  <c r="G733" i="3"/>
  <c r="H733" i="3"/>
  <c r="I733" i="3"/>
  <c r="J733" i="3"/>
  <c r="K733" i="3"/>
  <c r="B734" i="3"/>
  <c r="C734" i="3"/>
  <c r="D734" i="3"/>
  <c r="E734" i="3"/>
  <c r="F734" i="3"/>
  <c r="G734" i="3"/>
  <c r="H734" i="3"/>
  <c r="I734" i="3"/>
  <c r="J734" i="3"/>
  <c r="K734" i="3"/>
  <c r="B735" i="3"/>
  <c r="C735" i="3"/>
  <c r="D735" i="3"/>
  <c r="E735" i="3"/>
  <c r="F735" i="3"/>
  <c r="G735" i="3"/>
  <c r="H735" i="3"/>
  <c r="I735" i="3"/>
  <c r="J735" i="3"/>
  <c r="K735" i="3"/>
  <c r="B736" i="3"/>
  <c r="C736" i="3"/>
  <c r="D736" i="3"/>
  <c r="E736" i="3"/>
  <c r="F736" i="3"/>
  <c r="G736" i="3"/>
  <c r="H736" i="3"/>
  <c r="I736" i="3"/>
  <c r="J736" i="3"/>
  <c r="K736" i="3"/>
  <c r="B737" i="3"/>
  <c r="C737" i="3"/>
  <c r="D737" i="3"/>
  <c r="E737" i="3"/>
  <c r="F737" i="3"/>
  <c r="G737" i="3"/>
  <c r="H737" i="3"/>
  <c r="I737" i="3"/>
  <c r="J737" i="3"/>
  <c r="K737" i="3"/>
  <c r="B738" i="3"/>
  <c r="C738" i="3"/>
  <c r="D738" i="3"/>
  <c r="E738" i="3"/>
  <c r="F738" i="3"/>
  <c r="G738" i="3"/>
  <c r="H738" i="3"/>
  <c r="I738" i="3"/>
  <c r="J738" i="3"/>
  <c r="K738" i="3"/>
  <c r="B739" i="3"/>
  <c r="C739" i="3"/>
  <c r="D739" i="3"/>
  <c r="E739" i="3"/>
  <c r="F739" i="3"/>
  <c r="G739" i="3"/>
  <c r="H739" i="3"/>
  <c r="I739" i="3"/>
  <c r="J739" i="3"/>
  <c r="K739" i="3"/>
  <c r="B740" i="3"/>
  <c r="C740" i="3"/>
  <c r="D740" i="3"/>
  <c r="E740" i="3"/>
  <c r="F740" i="3"/>
  <c r="G740" i="3"/>
  <c r="H740" i="3"/>
  <c r="I740" i="3"/>
  <c r="J740" i="3"/>
  <c r="K740" i="3"/>
  <c r="B741" i="3"/>
  <c r="C741" i="3"/>
  <c r="D741" i="3"/>
  <c r="E741" i="3"/>
  <c r="F741" i="3"/>
  <c r="G741" i="3"/>
  <c r="H741" i="3"/>
  <c r="I741" i="3"/>
  <c r="J741" i="3"/>
  <c r="K741" i="3"/>
  <c r="B742" i="3"/>
  <c r="C742" i="3"/>
  <c r="D742" i="3"/>
  <c r="E742" i="3"/>
  <c r="F742" i="3"/>
  <c r="G742" i="3"/>
  <c r="H742" i="3"/>
  <c r="I742" i="3"/>
  <c r="J742" i="3"/>
  <c r="K742" i="3"/>
  <c r="B743" i="3"/>
  <c r="C743" i="3"/>
  <c r="D743" i="3"/>
  <c r="E743" i="3"/>
  <c r="F743" i="3"/>
  <c r="G743" i="3"/>
  <c r="H743" i="3"/>
  <c r="I743" i="3"/>
  <c r="J743" i="3"/>
  <c r="K743" i="3"/>
  <c r="B744" i="3"/>
  <c r="C744" i="3"/>
  <c r="D744" i="3"/>
  <c r="E744" i="3"/>
  <c r="F744" i="3"/>
  <c r="G744" i="3"/>
  <c r="H744" i="3"/>
  <c r="I744" i="3"/>
  <c r="J744" i="3"/>
  <c r="K744" i="3"/>
  <c r="B745" i="3"/>
  <c r="C745" i="3"/>
  <c r="D745" i="3"/>
  <c r="E745" i="3"/>
  <c r="F745" i="3"/>
  <c r="G745" i="3"/>
  <c r="H745" i="3"/>
  <c r="I745" i="3"/>
  <c r="J745" i="3"/>
  <c r="K745" i="3"/>
  <c r="B746" i="3"/>
  <c r="C746" i="3"/>
  <c r="D746" i="3"/>
  <c r="E746" i="3"/>
  <c r="F746" i="3"/>
  <c r="G746" i="3"/>
  <c r="H746" i="3"/>
  <c r="I746" i="3"/>
  <c r="J746" i="3"/>
  <c r="K746" i="3"/>
  <c r="B747" i="3"/>
  <c r="C747" i="3"/>
  <c r="D747" i="3"/>
  <c r="E747" i="3"/>
  <c r="F747" i="3"/>
  <c r="G747" i="3"/>
  <c r="H747" i="3"/>
  <c r="I747" i="3"/>
  <c r="J747" i="3"/>
  <c r="K747" i="3"/>
  <c r="B748" i="3"/>
  <c r="C748" i="3"/>
  <c r="D748" i="3"/>
  <c r="E748" i="3"/>
  <c r="F748" i="3"/>
  <c r="G748" i="3"/>
  <c r="H748" i="3"/>
  <c r="I748" i="3"/>
  <c r="J748" i="3"/>
  <c r="K748" i="3"/>
  <c r="B749" i="3"/>
  <c r="C749" i="3"/>
  <c r="D749" i="3"/>
  <c r="E749" i="3"/>
  <c r="F749" i="3"/>
  <c r="G749" i="3"/>
  <c r="H749" i="3"/>
  <c r="I749" i="3"/>
  <c r="J749" i="3"/>
  <c r="K749" i="3"/>
  <c r="B750" i="3"/>
  <c r="C750" i="3"/>
  <c r="D750" i="3"/>
  <c r="E750" i="3"/>
  <c r="F750" i="3"/>
  <c r="G750" i="3"/>
  <c r="H750" i="3"/>
  <c r="I750" i="3"/>
  <c r="J750" i="3"/>
  <c r="K750" i="3"/>
  <c r="B751" i="3"/>
  <c r="C751" i="3"/>
  <c r="D751" i="3"/>
  <c r="E751" i="3"/>
  <c r="F751" i="3"/>
  <c r="G751" i="3"/>
  <c r="H751" i="3"/>
  <c r="I751" i="3"/>
  <c r="J751" i="3"/>
  <c r="K751" i="3"/>
  <c r="B752" i="3"/>
  <c r="C752" i="3"/>
  <c r="D752" i="3"/>
  <c r="E752" i="3"/>
  <c r="F752" i="3"/>
  <c r="G752" i="3"/>
  <c r="H752" i="3"/>
  <c r="I752" i="3"/>
  <c r="J752" i="3"/>
  <c r="K752" i="3"/>
  <c r="B753" i="3"/>
  <c r="C753" i="3"/>
  <c r="D753" i="3"/>
  <c r="E753" i="3"/>
  <c r="F753" i="3"/>
  <c r="G753" i="3"/>
  <c r="H753" i="3"/>
  <c r="I753" i="3"/>
  <c r="J753" i="3"/>
  <c r="K753" i="3"/>
  <c r="B754" i="3"/>
  <c r="C754" i="3"/>
  <c r="D754" i="3"/>
  <c r="E754" i="3"/>
  <c r="F754" i="3"/>
  <c r="G754" i="3"/>
  <c r="H754" i="3"/>
  <c r="I754" i="3"/>
  <c r="J754" i="3"/>
  <c r="K754" i="3"/>
  <c r="B755" i="3"/>
  <c r="C755" i="3"/>
  <c r="D755" i="3"/>
  <c r="E755" i="3"/>
  <c r="F755" i="3"/>
  <c r="G755" i="3"/>
  <c r="H755" i="3"/>
  <c r="I755" i="3"/>
  <c r="J755" i="3"/>
  <c r="K755" i="3"/>
  <c r="B756" i="3"/>
  <c r="C756" i="3"/>
  <c r="D756" i="3"/>
  <c r="E756" i="3"/>
  <c r="F756" i="3"/>
  <c r="G756" i="3"/>
  <c r="H756" i="3"/>
  <c r="I756" i="3"/>
  <c r="J756" i="3"/>
  <c r="K756" i="3"/>
  <c r="B757" i="3"/>
  <c r="C757" i="3"/>
  <c r="D757" i="3"/>
  <c r="E757" i="3"/>
  <c r="F757" i="3"/>
  <c r="G757" i="3"/>
  <c r="H757" i="3"/>
  <c r="I757" i="3"/>
  <c r="J757" i="3"/>
  <c r="K757" i="3"/>
  <c r="B758" i="3"/>
  <c r="C758" i="3"/>
  <c r="D758" i="3"/>
  <c r="E758" i="3"/>
  <c r="F758" i="3"/>
  <c r="G758" i="3"/>
  <c r="H758" i="3"/>
  <c r="I758" i="3"/>
  <c r="J758" i="3"/>
  <c r="K758" i="3"/>
  <c r="B759" i="3"/>
  <c r="C759" i="3"/>
  <c r="D759" i="3"/>
  <c r="E759" i="3"/>
  <c r="F759" i="3"/>
  <c r="G759" i="3"/>
  <c r="H759" i="3"/>
  <c r="I759" i="3"/>
  <c r="J759" i="3"/>
  <c r="K759" i="3"/>
  <c r="B760" i="3"/>
  <c r="C760" i="3"/>
  <c r="D760" i="3"/>
  <c r="E760" i="3"/>
  <c r="F760" i="3"/>
  <c r="G760" i="3"/>
  <c r="H760" i="3"/>
  <c r="I760" i="3"/>
  <c r="J760" i="3"/>
  <c r="K760" i="3"/>
  <c r="B761" i="3"/>
  <c r="C761" i="3"/>
  <c r="D761" i="3"/>
  <c r="E761" i="3"/>
  <c r="F761" i="3"/>
  <c r="G761" i="3"/>
  <c r="H761" i="3"/>
  <c r="I761" i="3"/>
  <c r="J761" i="3"/>
  <c r="K761" i="3"/>
  <c r="B762" i="3"/>
  <c r="C762" i="3"/>
  <c r="D762" i="3"/>
  <c r="E762" i="3"/>
  <c r="F762" i="3"/>
  <c r="G762" i="3"/>
  <c r="H762" i="3"/>
  <c r="I762" i="3"/>
  <c r="J762" i="3"/>
  <c r="K762" i="3"/>
  <c r="B763" i="3"/>
  <c r="C763" i="3"/>
  <c r="D763" i="3"/>
  <c r="E763" i="3"/>
  <c r="F763" i="3"/>
  <c r="G763" i="3"/>
  <c r="H763" i="3"/>
  <c r="I763" i="3"/>
  <c r="J763" i="3"/>
  <c r="K763" i="3"/>
  <c r="B764" i="3"/>
  <c r="C764" i="3"/>
  <c r="D764" i="3"/>
  <c r="E764" i="3"/>
  <c r="F764" i="3"/>
  <c r="G764" i="3"/>
  <c r="H764" i="3"/>
  <c r="I764" i="3"/>
  <c r="J764" i="3"/>
  <c r="K764" i="3"/>
  <c r="B765" i="3"/>
  <c r="C765" i="3"/>
  <c r="D765" i="3"/>
  <c r="E765" i="3"/>
  <c r="F765" i="3"/>
  <c r="G765" i="3"/>
  <c r="H765" i="3"/>
  <c r="I765" i="3"/>
  <c r="J765" i="3"/>
  <c r="K765" i="3"/>
  <c r="B766" i="3"/>
  <c r="C766" i="3"/>
  <c r="D766" i="3"/>
  <c r="E766" i="3"/>
  <c r="F766" i="3"/>
  <c r="G766" i="3"/>
  <c r="H766" i="3"/>
  <c r="I766" i="3"/>
  <c r="J766" i="3"/>
  <c r="K766" i="3"/>
  <c r="B767" i="3"/>
  <c r="C767" i="3"/>
  <c r="D767" i="3"/>
  <c r="E767" i="3"/>
  <c r="F767" i="3"/>
  <c r="G767" i="3"/>
  <c r="H767" i="3"/>
  <c r="I767" i="3"/>
  <c r="J767" i="3"/>
  <c r="K767" i="3"/>
  <c r="B768" i="3"/>
  <c r="C768" i="3"/>
  <c r="D768" i="3"/>
  <c r="E768" i="3"/>
  <c r="F768" i="3"/>
  <c r="G768" i="3"/>
  <c r="H768" i="3"/>
  <c r="I768" i="3"/>
  <c r="J768" i="3"/>
  <c r="K768" i="3"/>
  <c r="B769" i="3"/>
  <c r="C769" i="3"/>
  <c r="D769" i="3"/>
  <c r="E769" i="3"/>
  <c r="F769" i="3"/>
  <c r="G769" i="3"/>
  <c r="H769" i="3"/>
  <c r="I769" i="3"/>
  <c r="J769" i="3"/>
  <c r="K769" i="3"/>
  <c r="B770" i="3"/>
  <c r="C770" i="3"/>
  <c r="D770" i="3"/>
  <c r="E770" i="3"/>
  <c r="F770" i="3"/>
  <c r="G770" i="3"/>
  <c r="H770" i="3"/>
  <c r="I770" i="3"/>
  <c r="J770" i="3"/>
  <c r="K770" i="3"/>
  <c r="B771" i="3"/>
  <c r="C771" i="3"/>
  <c r="D771" i="3"/>
  <c r="E771" i="3"/>
  <c r="F771" i="3"/>
  <c r="G771" i="3"/>
  <c r="H771" i="3"/>
  <c r="I771" i="3"/>
  <c r="J771" i="3"/>
  <c r="K771" i="3"/>
  <c r="B772" i="3"/>
  <c r="C772" i="3"/>
  <c r="D772" i="3"/>
  <c r="E772" i="3"/>
  <c r="F772" i="3"/>
  <c r="G772" i="3"/>
  <c r="H772" i="3"/>
  <c r="I772" i="3"/>
  <c r="J772" i="3"/>
  <c r="K772" i="3"/>
  <c r="B773" i="3"/>
  <c r="C773" i="3"/>
  <c r="D773" i="3"/>
  <c r="E773" i="3"/>
  <c r="F773" i="3"/>
  <c r="G773" i="3"/>
  <c r="H773" i="3"/>
  <c r="I773" i="3"/>
  <c r="J773" i="3"/>
  <c r="K773" i="3"/>
  <c r="B774" i="3"/>
  <c r="C774" i="3"/>
  <c r="D774" i="3"/>
  <c r="E774" i="3"/>
  <c r="F774" i="3"/>
  <c r="G774" i="3"/>
  <c r="H774" i="3"/>
  <c r="I774" i="3"/>
  <c r="J774" i="3"/>
  <c r="K774" i="3"/>
  <c r="B775" i="3"/>
  <c r="C775" i="3"/>
  <c r="D775" i="3"/>
  <c r="E775" i="3"/>
  <c r="F775" i="3"/>
  <c r="G775" i="3"/>
  <c r="H775" i="3"/>
  <c r="I775" i="3"/>
  <c r="J775" i="3"/>
  <c r="K775" i="3"/>
  <c r="B776" i="3"/>
  <c r="C776" i="3"/>
  <c r="D776" i="3"/>
  <c r="E776" i="3"/>
  <c r="F776" i="3"/>
  <c r="G776" i="3"/>
  <c r="H776" i="3"/>
  <c r="I776" i="3"/>
  <c r="J776" i="3"/>
  <c r="K776" i="3"/>
  <c r="B777" i="3"/>
  <c r="C777" i="3"/>
  <c r="D777" i="3"/>
  <c r="E777" i="3"/>
  <c r="F777" i="3"/>
  <c r="G777" i="3"/>
  <c r="H777" i="3"/>
  <c r="I777" i="3"/>
  <c r="J777" i="3"/>
  <c r="K777" i="3"/>
  <c r="B778" i="3"/>
  <c r="C778" i="3"/>
  <c r="D778" i="3"/>
  <c r="E778" i="3"/>
  <c r="F778" i="3"/>
  <c r="G778" i="3"/>
  <c r="H778" i="3"/>
  <c r="I778" i="3"/>
  <c r="J778" i="3"/>
  <c r="K778" i="3"/>
  <c r="B779" i="3"/>
  <c r="C779" i="3"/>
  <c r="D779" i="3"/>
  <c r="E779" i="3"/>
  <c r="F779" i="3"/>
  <c r="G779" i="3"/>
  <c r="H779" i="3"/>
  <c r="I779" i="3"/>
  <c r="J779" i="3"/>
  <c r="K779" i="3"/>
  <c r="B780" i="3"/>
  <c r="C780" i="3"/>
  <c r="D780" i="3"/>
  <c r="E780" i="3"/>
  <c r="F780" i="3"/>
  <c r="G780" i="3"/>
  <c r="H780" i="3"/>
  <c r="I780" i="3"/>
  <c r="J780" i="3"/>
  <c r="K780" i="3"/>
  <c r="B781" i="3"/>
  <c r="C781" i="3"/>
  <c r="D781" i="3"/>
  <c r="E781" i="3"/>
  <c r="F781" i="3"/>
  <c r="G781" i="3"/>
  <c r="H781" i="3"/>
  <c r="I781" i="3"/>
  <c r="J781" i="3"/>
  <c r="K781" i="3"/>
  <c r="B782" i="3"/>
  <c r="C782" i="3"/>
  <c r="D782" i="3"/>
  <c r="E782" i="3"/>
  <c r="F782" i="3"/>
  <c r="G782" i="3"/>
  <c r="H782" i="3"/>
  <c r="I782" i="3"/>
  <c r="J782" i="3"/>
  <c r="K782" i="3"/>
  <c r="B783" i="3"/>
  <c r="C783" i="3"/>
  <c r="D783" i="3"/>
  <c r="E783" i="3"/>
  <c r="F783" i="3"/>
  <c r="G783" i="3"/>
  <c r="H783" i="3"/>
  <c r="I783" i="3"/>
  <c r="J783" i="3"/>
  <c r="K783" i="3"/>
  <c r="B784" i="3"/>
  <c r="C784" i="3"/>
  <c r="D784" i="3"/>
  <c r="E784" i="3"/>
  <c r="F784" i="3"/>
  <c r="G784" i="3"/>
  <c r="H784" i="3"/>
  <c r="I784" i="3"/>
  <c r="J784" i="3"/>
  <c r="K784" i="3"/>
  <c r="B785" i="3"/>
  <c r="C785" i="3"/>
  <c r="D785" i="3"/>
  <c r="E785" i="3"/>
  <c r="F785" i="3"/>
  <c r="G785" i="3"/>
  <c r="H785" i="3"/>
  <c r="I785" i="3"/>
  <c r="J785" i="3"/>
  <c r="K785" i="3"/>
  <c r="B786" i="3"/>
  <c r="C786" i="3"/>
  <c r="D786" i="3"/>
  <c r="E786" i="3"/>
  <c r="F786" i="3"/>
  <c r="G786" i="3"/>
  <c r="H786" i="3"/>
  <c r="I786" i="3"/>
  <c r="J786" i="3"/>
  <c r="K786" i="3"/>
  <c r="B787" i="3"/>
  <c r="C787" i="3"/>
  <c r="D787" i="3"/>
  <c r="E787" i="3"/>
  <c r="F787" i="3"/>
  <c r="G787" i="3"/>
  <c r="H787" i="3"/>
  <c r="I787" i="3"/>
  <c r="J787" i="3"/>
  <c r="K787" i="3"/>
  <c r="B788" i="3"/>
  <c r="C788" i="3"/>
  <c r="D788" i="3"/>
  <c r="E788" i="3"/>
  <c r="F788" i="3"/>
  <c r="G788" i="3"/>
  <c r="H788" i="3"/>
  <c r="I788" i="3"/>
  <c r="J788" i="3"/>
  <c r="K788" i="3"/>
  <c r="B789" i="3"/>
  <c r="C789" i="3"/>
  <c r="D789" i="3"/>
  <c r="E789" i="3"/>
  <c r="F789" i="3"/>
  <c r="G789" i="3"/>
  <c r="H789" i="3"/>
  <c r="I789" i="3"/>
  <c r="J789" i="3"/>
  <c r="K789" i="3"/>
  <c r="B790" i="3"/>
  <c r="C790" i="3"/>
  <c r="D790" i="3"/>
  <c r="E790" i="3"/>
  <c r="F790" i="3"/>
  <c r="G790" i="3"/>
  <c r="H790" i="3"/>
  <c r="I790" i="3"/>
  <c r="J790" i="3"/>
  <c r="K790" i="3"/>
  <c r="B791" i="3"/>
  <c r="C791" i="3"/>
  <c r="D791" i="3"/>
  <c r="E791" i="3"/>
  <c r="F791" i="3"/>
  <c r="G791" i="3"/>
  <c r="H791" i="3"/>
  <c r="I791" i="3"/>
  <c r="J791" i="3"/>
  <c r="K791" i="3"/>
  <c r="B792" i="3"/>
  <c r="C792" i="3"/>
  <c r="D792" i="3"/>
  <c r="E792" i="3"/>
  <c r="F792" i="3"/>
  <c r="G792" i="3"/>
  <c r="H792" i="3"/>
  <c r="I792" i="3"/>
  <c r="J792" i="3"/>
  <c r="K792" i="3"/>
  <c r="B793" i="3"/>
  <c r="C793" i="3"/>
  <c r="D793" i="3"/>
  <c r="E793" i="3"/>
  <c r="F793" i="3"/>
  <c r="G793" i="3"/>
  <c r="H793" i="3"/>
  <c r="I793" i="3"/>
  <c r="J793" i="3"/>
  <c r="K793" i="3"/>
  <c r="B794" i="3"/>
  <c r="C794" i="3"/>
  <c r="D794" i="3"/>
  <c r="E794" i="3"/>
  <c r="F794" i="3"/>
  <c r="G794" i="3"/>
  <c r="H794" i="3"/>
  <c r="I794" i="3"/>
  <c r="J794" i="3"/>
  <c r="K794" i="3"/>
  <c r="B795" i="3"/>
  <c r="C795" i="3"/>
  <c r="D795" i="3"/>
  <c r="E795" i="3"/>
  <c r="F795" i="3"/>
  <c r="G795" i="3"/>
  <c r="H795" i="3"/>
  <c r="I795" i="3"/>
  <c r="J795" i="3"/>
  <c r="K795" i="3"/>
  <c r="B796" i="3"/>
  <c r="C796" i="3"/>
  <c r="D796" i="3"/>
  <c r="E796" i="3"/>
  <c r="F796" i="3"/>
  <c r="G796" i="3"/>
  <c r="H796" i="3"/>
  <c r="I796" i="3"/>
  <c r="J796" i="3"/>
  <c r="K796" i="3"/>
  <c r="B797" i="3"/>
  <c r="C797" i="3"/>
  <c r="D797" i="3"/>
  <c r="E797" i="3"/>
  <c r="F797" i="3"/>
  <c r="G797" i="3"/>
  <c r="H797" i="3"/>
  <c r="I797" i="3"/>
  <c r="J797" i="3"/>
  <c r="K797" i="3"/>
  <c r="B798" i="3"/>
  <c r="C798" i="3"/>
  <c r="D798" i="3"/>
  <c r="E798" i="3"/>
  <c r="F798" i="3"/>
  <c r="G798" i="3"/>
  <c r="H798" i="3"/>
  <c r="I798" i="3"/>
  <c r="J798" i="3"/>
  <c r="K798" i="3"/>
  <c r="B799" i="3"/>
  <c r="C799" i="3"/>
  <c r="D799" i="3"/>
  <c r="E799" i="3"/>
  <c r="F799" i="3"/>
  <c r="G799" i="3"/>
  <c r="H799" i="3"/>
  <c r="I799" i="3"/>
  <c r="J799" i="3"/>
  <c r="K799" i="3"/>
  <c r="B800" i="3"/>
  <c r="C800" i="3"/>
  <c r="D800" i="3"/>
  <c r="E800" i="3"/>
  <c r="F800" i="3"/>
  <c r="G800" i="3"/>
  <c r="H800" i="3"/>
  <c r="I800" i="3"/>
  <c r="J800" i="3"/>
  <c r="K800" i="3"/>
  <c r="B801" i="3"/>
  <c r="C801" i="3"/>
  <c r="D801" i="3"/>
  <c r="E801" i="3"/>
  <c r="F801" i="3"/>
  <c r="G801" i="3"/>
  <c r="H801" i="3"/>
  <c r="I801" i="3"/>
  <c r="J801" i="3"/>
  <c r="K801" i="3"/>
  <c r="B802" i="3"/>
  <c r="C802" i="3"/>
  <c r="D802" i="3"/>
  <c r="E802" i="3"/>
  <c r="F802" i="3"/>
  <c r="G802" i="3"/>
  <c r="H802" i="3"/>
  <c r="I802" i="3"/>
  <c r="J802" i="3"/>
  <c r="K802" i="3"/>
  <c r="B803" i="3"/>
  <c r="C803" i="3"/>
  <c r="D803" i="3"/>
  <c r="E803" i="3"/>
  <c r="F803" i="3"/>
  <c r="G803" i="3"/>
  <c r="H803" i="3"/>
  <c r="I803" i="3"/>
  <c r="J803" i="3"/>
  <c r="K803" i="3"/>
  <c r="B804" i="3"/>
  <c r="C804" i="3"/>
  <c r="D804" i="3"/>
  <c r="E804" i="3"/>
  <c r="F804" i="3"/>
  <c r="G804" i="3"/>
  <c r="H804" i="3"/>
  <c r="I804" i="3"/>
  <c r="J804" i="3"/>
  <c r="K804" i="3"/>
  <c r="B805" i="3"/>
  <c r="C805" i="3"/>
  <c r="D805" i="3"/>
  <c r="E805" i="3"/>
  <c r="F805" i="3"/>
  <c r="G805" i="3"/>
  <c r="H805" i="3"/>
  <c r="I805" i="3"/>
  <c r="J805" i="3"/>
  <c r="K805" i="3"/>
  <c r="B806" i="3"/>
  <c r="C806" i="3"/>
  <c r="D806" i="3"/>
  <c r="E806" i="3"/>
  <c r="F806" i="3"/>
  <c r="G806" i="3"/>
  <c r="H806" i="3"/>
  <c r="I806" i="3"/>
  <c r="J806" i="3"/>
  <c r="K806" i="3"/>
  <c r="B807" i="3"/>
  <c r="C807" i="3"/>
  <c r="D807" i="3"/>
  <c r="E807" i="3"/>
  <c r="F807" i="3"/>
  <c r="G807" i="3"/>
  <c r="H807" i="3"/>
  <c r="I807" i="3"/>
  <c r="J807" i="3"/>
  <c r="K807" i="3"/>
  <c r="B808" i="3"/>
  <c r="C808" i="3"/>
  <c r="D808" i="3"/>
  <c r="E808" i="3"/>
  <c r="F808" i="3"/>
  <c r="G808" i="3"/>
  <c r="H808" i="3"/>
  <c r="I808" i="3"/>
  <c r="J808" i="3"/>
  <c r="K808" i="3"/>
  <c r="B809" i="3"/>
  <c r="C809" i="3"/>
  <c r="D809" i="3"/>
  <c r="E809" i="3"/>
  <c r="F809" i="3"/>
  <c r="G809" i="3"/>
  <c r="H809" i="3"/>
  <c r="I809" i="3"/>
  <c r="J809" i="3"/>
  <c r="K809" i="3"/>
  <c r="B810" i="3"/>
  <c r="C810" i="3"/>
  <c r="D810" i="3"/>
  <c r="E810" i="3"/>
  <c r="F810" i="3"/>
  <c r="G810" i="3"/>
  <c r="H810" i="3"/>
  <c r="I810" i="3"/>
  <c r="J810" i="3"/>
  <c r="K810" i="3"/>
  <c r="B811" i="3"/>
  <c r="C811" i="3"/>
  <c r="D811" i="3"/>
  <c r="E811" i="3"/>
  <c r="F811" i="3"/>
  <c r="G811" i="3"/>
  <c r="H811" i="3"/>
  <c r="I811" i="3"/>
  <c r="J811" i="3"/>
  <c r="K811" i="3"/>
  <c r="B812" i="3"/>
  <c r="C812" i="3"/>
  <c r="D812" i="3"/>
  <c r="E812" i="3"/>
  <c r="F812" i="3"/>
  <c r="G812" i="3"/>
  <c r="H812" i="3"/>
  <c r="I812" i="3"/>
  <c r="J812" i="3"/>
  <c r="K812" i="3"/>
  <c r="B813" i="3"/>
  <c r="C813" i="3"/>
  <c r="D813" i="3"/>
  <c r="E813" i="3"/>
  <c r="F813" i="3"/>
  <c r="G813" i="3"/>
  <c r="H813" i="3"/>
  <c r="I813" i="3"/>
  <c r="J813" i="3"/>
  <c r="K813" i="3"/>
  <c r="B814" i="3"/>
  <c r="C814" i="3"/>
  <c r="D814" i="3"/>
  <c r="E814" i="3"/>
  <c r="F814" i="3"/>
  <c r="G814" i="3"/>
  <c r="H814" i="3"/>
  <c r="I814" i="3"/>
  <c r="J814" i="3"/>
  <c r="K814" i="3"/>
  <c r="B815" i="3"/>
  <c r="C815" i="3"/>
  <c r="D815" i="3"/>
  <c r="E815" i="3"/>
  <c r="F815" i="3"/>
  <c r="G815" i="3"/>
  <c r="H815" i="3"/>
  <c r="I815" i="3"/>
  <c r="J815" i="3"/>
  <c r="K815" i="3"/>
  <c r="B816" i="3"/>
  <c r="C816" i="3"/>
  <c r="D816" i="3"/>
  <c r="E816" i="3"/>
  <c r="F816" i="3"/>
  <c r="G816" i="3"/>
  <c r="H816" i="3"/>
  <c r="I816" i="3"/>
  <c r="J816" i="3"/>
  <c r="K816" i="3"/>
  <c r="B817" i="3"/>
  <c r="C817" i="3"/>
  <c r="D817" i="3"/>
  <c r="E817" i="3"/>
  <c r="F817" i="3"/>
  <c r="G817" i="3"/>
  <c r="H817" i="3"/>
  <c r="I817" i="3"/>
  <c r="J817" i="3"/>
  <c r="K817" i="3"/>
  <c r="B818" i="3"/>
  <c r="C818" i="3"/>
  <c r="D818" i="3"/>
  <c r="E818" i="3"/>
  <c r="F818" i="3"/>
  <c r="G818" i="3"/>
  <c r="H818" i="3"/>
  <c r="I818" i="3"/>
  <c r="J818" i="3"/>
  <c r="K818" i="3"/>
  <c r="B819" i="3"/>
  <c r="C819" i="3"/>
  <c r="D819" i="3"/>
  <c r="E819" i="3"/>
  <c r="F819" i="3"/>
  <c r="G819" i="3"/>
  <c r="H819" i="3"/>
  <c r="I819" i="3"/>
  <c r="J819" i="3"/>
  <c r="K819" i="3"/>
  <c r="B820" i="3"/>
  <c r="C820" i="3"/>
  <c r="D820" i="3"/>
  <c r="E820" i="3"/>
  <c r="F820" i="3"/>
  <c r="G820" i="3"/>
  <c r="H820" i="3"/>
  <c r="I820" i="3"/>
  <c r="J820" i="3"/>
  <c r="K820" i="3"/>
  <c r="B821" i="3"/>
  <c r="C821" i="3"/>
  <c r="D821" i="3"/>
  <c r="E821" i="3"/>
  <c r="F821" i="3"/>
  <c r="G821" i="3"/>
  <c r="H821" i="3"/>
  <c r="I821" i="3"/>
  <c r="J821" i="3"/>
  <c r="K821" i="3"/>
  <c r="B822" i="3"/>
  <c r="C822" i="3"/>
  <c r="D822" i="3"/>
  <c r="E822" i="3"/>
  <c r="F822" i="3"/>
  <c r="G822" i="3"/>
  <c r="H822" i="3"/>
  <c r="I822" i="3"/>
  <c r="J822" i="3"/>
  <c r="K822" i="3"/>
  <c r="B823" i="3"/>
  <c r="C823" i="3"/>
  <c r="D823" i="3"/>
  <c r="E823" i="3"/>
  <c r="F823" i="3"/>
  <c r="G823" i="3"/>
  <c r="H823" i="3"/>
  <c r="I823" i="3"/>
  <c r="J823" i="3"/>
  <c r="K823" i="3"/>
  <c r="B824" i="3"/>
  <c r="C824" i="3"/>
  <c r="D824" i="3"/>
  <c r="E824" i="3"/>
  <c r="F824" i="3"/>
  <c r="G824" i="3"/>
  <c r="H824" i="3"/>
  <c r="I824" i="3"/>
  <c r="J824" i="3"/>
  <c r="K824" i="3"/>
  <c r="B825" i="3"/>
  <c r="C825" i="3"/>
  <c r="D825" i="3"/>
  <c r="E825" i="3"/>
  <c r="F825" i="3"/>
  <c r="G825" i="3"/>
  <c r="H825" i="3"/>
  <c r="I825" i="3"/>
  <c r="J825" i="3"/>
  <c r="K825" i="3"/>
  <c r="B826" i="3"/>
  <c r="C826" i="3"/>
  <c r="D826" i="3"/>
  <c r="E826" i="3"/>
  <c r="F826" i="3"/>
  <c r="G826" i="3"/>
  <c r="H826" i="3"/>
  <c r="I826" i="3"/>
  <c r="J826" i="3"/>
  <c r="K826" i="3"/>
  <c r="B827" i="3"/>
  <c r="C827" i="3"/>
  <c r="D827" i="3"/>
  <c r="E827" i="3"/>
  <c r="F827" i="3"/>
  <c r="G827" i="3"/>
  <c r="H827" i="3"/>
  <c r="I827" i="3"/>
  <c r="J827" i="3"/>
  <c r="K827" i="3"/>
  <c r="B828" i="3"/>
  <c r="C828" i="3"/>
  <c r="D828" i="3"/>
  <c r="E828" i="3"/>
  <c r="F828" i="3"/>
  <c r="G828" i="3"/>
  <c r="H828" i="3"/>
  <c r="I828" i="3"/>
  <c r="J828" i="3"/>
  <c r="K828" i="3"/>
  <c r="B829" i="3"/>
  <c r="C829" i="3"/>
  <c r="D829" i="3"/>
  <c r="E829" i="3"/>
  <c r="F829" i="3"/>
  <c r="G829" i="3"/>
  <c r="H829" i="3"/>
  <c r="I829" i="3"/>
  <c r="J829" i="3"/>
  <c r="K829" i="3"/>
  <c r="B830" i="3"/>
  <c r="C830" i="3"/>
  <c r="D830" i="3"/>
  <c r="E830" i="3"/>
  <c r="F830" i="3"/>
  <c r="G830" i="3"/>
  <c r="H830" i="3"/>
  <c r="I830" i="3"/>
  <c r="J830" i="3"/>
  <c r="K830" i="3"/>
  <c r="B831" i="3"/>
  <c r="C831" i="3"/>
  <c r="D831" i="3"/>
  <c r="E831" i="3"/>
  <c r="F831" i="3"/>
  <c r="G831" i="3"/>
  <c r="H831" i="3"/>
  <c r="I831" i="3"/>
  <c r="J831" i="3"/>
  <c r="K831" i="3"/>
  <c r="B832" i="3"/>
  <c r="C832" i="3"/>
  <c r="D832" i="3"/>
  <c r="E832" i="3"/>
  <c r="F832" i="3"/>
  <c r="G832" i="3"/>
  <c r="H832" i="3"/>
  <c r="I832" i="3"/>
  <c r="J832" i="3"/>
  <c r="K832" i="3"/>
  <c r="B833" i="3"/>
  <c r="C833" i="3"/>
  <c r="D833" i="3"/>
  <c r="E833" i="3"/>
  <c r="F833" i="3"/>
  <c r="G833" i="3"/>
  <c r="H833" i="3"/>
  <c r="I833" i="3"/>
  <c r="J833" i="3"/>
  <c r="K833" i="3"/>
  <c r="B834" i="3"/>
  <c r="C834" i="3"/>
  <c r="D834" i="3"/>
  <c r="E834" i="3"/>
  <c r="F834" i="3"/>
  <c r="G834" i="3"/>
  <c r="H834" i="3"/>
  <c r="I834" i="3"/>
  <c r="J834" i="3"/>
  <c r="K834" i="3"/>
  <c r="B835" i="3"/>
  <c r="C835" i="3"/>
  <c r="D835" i="3"/>
  <c r="E835" i="3"/>
  <c r="F835" i="3"/>
  <c r="G835" i="3"/>
  <c r="H835" i="3"/>
  <c r="I835" i="3"/>
  <c r="J835" i="3"/>
  <c r="K835" i="3"/>
  <c r="B836" i="3"/>
  <c r="C836" i="3"/>
  <c r="D836" i="3"/>
  <c r="E836" i="3"/>
  <c r="F836" i="3"/>
  <c r="G836" i="3"/>
  <c r="H836" i="3"/>
  <c r="I836" i="3"/>
  <c r="J836" i="3"/>
  <c r="K836" i="3"/>
  <c r="B837" i="3"/>
  <c r="C837" i="3"/>
  <c r="D837" i="3"/>
  <c r="E837" i="3"/>
  <c r="F837" i="3"/>
  <c r="G837" i="3"/>
  <c r="H837" i="3"/>
  <c r="I837" i="3"/>
  <c r="J837" i="3"/>
  <c r="K837" i="3"/>
  <c r="B838" i="3"/>
  <c r="C838" i="3"/>
  <c r="D838" i="3"/>
  <c r="E838" i="3"/>
  <c r="F838" i="3"/>
  <c r="G838" i="3"/>
  <c r="H838" i="3"/>
  <c r="I838" i="3"/>
  <c r="J838" i="3"/>
  <c r="K838" i="3"/>
  <c r="B839" i="3"/>
  <c r="C839" i="3"/>
  <c r="D839" i="3"/>
  <c r="E839" i="3"/>
  <c r="F839" i="3"/>
  <c r="G839" i="3"/>
  <c r="H839" i="3"/>
  <c r="I839" i="3"/>
  <c r="J839" i="3"/>
  <c r="K839" i="3"/>
  <c r="B840" i="3"/>
  <c r="C840" i="3"/>
  <c r="D840" i="3"/>
  <c r="E840" i="3"/>
  <c r="F840" i="3"/>
  <c r="G840" i="3"/>
  <c r="H840" i="3"/>
  <c r="I840" i="3"/>
  <c r="J840" i="3"/>
  <c r="K840" i="3"/>
  <c r="B841" i="3"/>
  <c r="C841" i="3"/>
  <c r="D841" i="3"/>
  <c r="E841" i="3"/>
  <c r="F841" i="3"/>
  <c r="G841" i="3"/>
  <c r="H841" i="3"/>
  <c r="I841" i="3"/>
  <c r="J841" i="3"/>
  <c r="K841" i="3"/>
  <c r="B842" i="3"/>
  <c r="C842" i="3"/>
  <c r="D842" i="3"/>
  <c r="E842" i="3"/>
  <c r="F842" i="3"/>
  <c r="G842" i="3"/>
  <c r="H842" i="3"/>
  <c r="I842" i="3"/>
  <c r="J842" i="3"/>
  <c r="K842" i="3"/>
  <c r="B843" i="3"/>
  <c r="C843" i="3"/>
  <c r="D843" i="3"/>
  <c r="E843" i="3"/>
  <c r="F843" i="3"/>
  <c r="G843" i="3"/>
  <c r="H843" i="3"/>
  <c r="I843" i="3"/>
  <c r="J843" i="3"/>
  <c r="K843" i="3"/>
  <c r="B844" i="3"/>
  <c r="C844" i="3"/>
  <c r="D844" i="3"/>
  <c r="E844" i="3"/>
  <c r="F844" i="3"/>
  <c r="G844" i="3"/>
  <c r="H844" i="3"/>
  <c r="I844" i="3"/>
  <c r="J844" i="3"/>
  <c r="K844" i="3"/>
  <c r="B845" i="3"/>
  <c r="C845" i="3"/>
  <c r="D845" i="3"/>
  <c r="E845" i="3"/>
  <c r="F845" i="3"/>
  <c r="G845" i="3"/>
  <c r="H845" i="3"/>
  <c r="I845" i="3"/>
  <c r="J845" i="3"/>
  <c r="K845" i="3"/>
  <c r="B846" i="3"/>
  <c r="C846" i="3"/>
  <c r="D846" i="3"/>
  <c r="E846" i="3"/>
  <c r="F846" i="3"/>
  <c r="G846" i="3"/>
  <c r="H846" i="3"/>
  <c r="I846" i="3"/>
  <c r="J846" i="3"/>
  <c r="K846" i="3"/>
  <c r="B847" i="3"/>
  <c r="C847" i="3"/>
  <c r="D847" i="3"/>
  <c r="E847" i="3"/>
  <c r="F847" i="3"/>
  <c r="G847" i="3"/>
  <c r="H847" i="3"/>
  <c r="I847" i="3"/>
  <c r="J847" i="3"/>
  <c r="K847" i="3"/>
  <c r="B848" i="3"/>
  <c r="C848" i="3"/>
  <c r="D848" i="3"/>
  <c r="E848" i="3"/>
  <c r="F848" i="3"/>
  <c r="G848" i="3"/>
  <c r="H848" i="3"/>
  <c r="I848" i="3"/>
  <c r="J848" i="3"/>
  <c r="K848" i="3"/>
  <c r="B849" i="3"/>
  <c r="C849" i="3"/>
  <c r="D849" i="3"/>
  <c r="E849" i="3"/>
  <c r="F849" i="3"/>
  <c r="G849" i="3"/>
  <c r="H849" i="3"/>
  <c r="I849" i="3"/>
  <c r="J849" i="3"/>
  <c r="K849" i="3"/>
  <c r="B850" i="3"/>
  <c r="C850" i="3"/>
  <c r="D850" i="3"/>
  <c r="E850" i="3"/>
  <c r="F850" i="3"/>
  <c r="G850" i="3"/>
  <c r="H850" i="3"/>
  <c r="I850" i="3"/>
  <c r="J850" i="3"/>
  <c r="K850" i="3"/>
  <c r="B851" i="3"/>
  <c r="C851" i="3"/>
  <c r="D851" i="3"/>
  <c r="E851" i="3"/>
  <c r="F851" i="3"/>
  <c r="G851" i="3"/>
  <c r="H851" i="3"/>
  <c r="I851" i="3"/>
  <c r="J851" i="3"/>
  <c r="K851" i="3"/>
  <c r="B852" i="3"/>
  <c r="C852" i="3"/>
  <c r="D852" i="3"/>
  <c r="E852" i="3"/>
  <c r="F852" i="3"/>
  <c r="G852" i="3"/>
  <c r="H852" i="3"/>
  <c r="I852" i="3"/>
  <c r="J852" i="3"/>
  <c r="K852" i="3"/>
  <c r="B853" i="3"/>
  <c r="C853" i="3"/>
  <c r="D853" i="3"/>
  <c r="E853" i="3"/>
  <c r="F853" i="3"/>
  <c r="G853" i="3"/>
  <c r="H853" i="3"/>
  <c r="I853" i="3"/>
  <c r="J853" i="3"/>
  <c r="K853" i="3"/>
  <c r="B854" i="3"/>
  <c r="C854" i="3"/>
  <c r="D854" i="3"/>
  <c r="E854" i="3"/>
  <c r="F854" i="3"/>
  <c r="G854" i="3"/>
  <c r="H854" i="3"/>
  <c r="I854" i="3"/>
  <c r="J854" i="3"/>
  <c r="K854" i="3"/>
  <c r="B855" i="3"/>
  <c r="C855" i="3"/>
  <c r="D855" i="3"/>
  <c r="E855" i="3"/>
  <c r="F855" i="3"/>
  <c r="G855" i="3"/>
  <c r="H855" i="3"/>
  <c r="I855" i="3"/>
  <c r="J855" i="3"/>
  <c r="K855" i="3"/>
  <c r="B856" i="3"/>
  <c r="C856" i="3"/>
  <c r="D856" i="3"/>
  <c r="E856" i="3"/>
  <c r="F856" i="3"/>
  <c r="G856" i="3"/>
  <c r="H856" i="3"/>
  <c r="I856" i="3"/>
  <c r="J856" i="3"/>
  <c r="K856" i="3"/>
  <c r="B857" i="3"/>
  <c r="C857" i="3"/>
  <c r="D857" i="3"/>
  <c r="E857" i="3"/>
  <c r="F857" i="3"/>
  <c r="G857" i="3"/>
  <c r="H857" i="3"/>
  <c r="I857" i="3"/>
  <c r="J857" i="3"/>
  <c r="K857" i="3"/>
  <c r="B858" i="3"/>
  <c r="C858" i="3"/>
  <c r="D858" i="3"/>
  <c r="E858" i="3"/>
  <c r="F858" i="3"/>
  <c r="G858" i="3"/>
  <c r="H858" i="3"/>
  <c r="I858" i="3"/>
  <c r="J858" i="3"/>
  <c r="K858" i="3"/>
  <c r="B859" i="3"/>
  <c r="C859" i="3"/>
  <c r="D859" i="3"/>
  <c r="E859" i="3"/>
  <c r="F859" i="3"/>
  <c r="G859" i="3"/>
  <c r="H859" i="3"/>
  <c r="I859" i="3"/>
  <c r="J859" i="3"/>
  <c r="K859" i="3"/>
  <c r="B860" i="3"/>
  <c r="C860" i="3"/>
  <c r="D860" i="3"/>
  <c r="E860" i="3"/>
  <c r="F860" i="3"/>
  <c r="G860" i="3"/>
  <c r="H860" i="3"/>
  <c r="I860" i="3"/>
  <c r="J860" i="3"/>
  <c r="K860" i="3"/>
  <c r="B861" i="3"/>
  <c r="C861" i="3"/>
  <c r="D861" i="3"/>
  <c r="E861" i="3"/>
  <c r="F861" i="3"/>
  <c r="G861" i="3"/>
  <c r="H861" i="3"/>
  <c r="I861" i="3"/>
  <c r="J861" i="3"/>
  <c r="K861" i="3"/>
  <c r="B862" i="3"/>
  <c r="C862" i="3"/>
  <c r="D862" i="3"/>
  <c r="E862" i="3"/>
  <c r="F862" i="3"/>
  <c r="G862" i="3"/>
  <c r="H862" i="3"/>
  <c r="I862" i="3"/>
  <c r="J862" i="3"/>
  <c r="K862" i="3"/>
  <c r="B863" i="3"/>
  <c r="C863" i="3"/>
  <c r="D863" i="3"/>
  <c r="E863" i="3"/>
  <c r="F863" i="3"/>
  <c r="G863" i="3"/>
  <c r="H863" i="3"/>
  <c r="I863" i="3"/>
  <c r="J863" i="3"/>
  <c r="K863" i="3"/>
  <c r="B864" i="3"/>
  <c r="C864" i="3"/>
  <c r="D864" i="3"/>
  <c r="E864" i="3"/>
  <c r="F864" i="3"/>
  <c r="G864" i="3"/>
  <c r="H864" i="3"/>
  <c r="I864" i="3"/>
  <c r="J864" i="3"/>
  <c r="K864" i="3"/>
  <c r="B865" i="3"/>
  <c r="C865" i="3"/>
  <c r="D865" i="3"/>
  <c r="E865" i="3"/>
  <c r="F865" i="3"/>
  <c r="G865" i="3"/>
  <c r="H865" i="3"/>
  <c r="I865" i="3"/>
  <c r="J865" i="3"/>
  <c r="K865" i="3"/>
  <c r="B866" i="3"/>
  <c r="C866" i="3"/>
  <c r="D866" i="3"/>
  <c r="E866" i="3"/>
  <c r="F866" i="3"/>
  <c r="G866" i="3"/>
  <c r="H866" i="3"/>
  <c r="I866" i="3"/>
  <c r="J866" i="3"/>
  <c r="K866" i="3"/>
  <c r="B867" i="3"/>
  <c r="C867" i="3"/>
  <c r="D867" i="3"/>
  <c r="E867" i="3"/>
  <c r="F867" i="3"/>
  <c r="G867" i="3"/>
  <c r="H867" i="3"/>
  <c r="I867" i="3"/>
  <c r="J867" i="3"/>
  <c r="K867" i="3"/>
  <c r="B868" i="3"/>
  <c r="C868" i="3"/>
  <c r="D868" i="3"/>
  <c r="E868" i="3"/>
  <c r="F868" i="3"/>
  <c r="G868" i="3"/>
  <c r="H868" i="3"/>
  <c r="I868" i="3"/>
  <c r="J868" i="3"/>
  <c r="K868" i="3"/>
  <c r="B869" i="3"/>
  <c r="C869" i="3"/>
  <c r="D869" i="3"/>
  <c r="E869" i="3"/>
  <c r="F869" i="3"/>
  <c r="G869" i="3"/>
  <c r="H869" i="3"/>
  <c r="I869" i="3"/>
  <c r="J869" i="3"/>
  <c r="K869" i="3"/>
  <c r="B870" i="3"/>
  <c r="C870" i="3"/>
  <c r="D870" i="3"/>
  <c r="E870" i="3"/>
  <c r="F870" i="3"/>
  <c r="G870" i="3"/>
  <c r="H870" i="3"/>
  <c r="I870" i="3"/>
  <c r="J870" i="3"/>
  <c r="K870" i="3"/>
  <c r="B871" i="3"/>
  <c r="C871" i="3"/>
  <c r="D871" i="3"/>
  <c r="E871" i="3"/>
  <c r="F871" i="3"/>
  <c r="G871" i="3"/>
  <c r="H871" i="3"/>
  <c r="I871" i="3"/>
  <c r="J871" i="3"/>
  <c r="K871" i="3"/>
  <c r="B872" i="3"/>
  <c r="C872" i="3"/>
  <c r="D872" i="3"/>
  <c r="E872" i="3"/>
  <c r="F872" i="3"/>
  <c r="G872" i="3"/>
  <c r="H872" i="3"/>
  <c r="I872" i="3"/>
  <c r="J872" i="3"/>
  <c r="K872" i="3"/>
  <c r="B873" i="3"/>
  <c r="C873" i="3"/>
  <c r="D873" i="3"/>
  <c r="E873" i="3"/>
  <c r="F873" i="3"/>
  <c r="G873" i="3"/>
  <c r="H873" i="3"/>
  <c r="I873" i="3"/>
  <c r="J873" i="3"/>
  <c r="K873" i="3"/>
  <c r="B874" i="3"/>
  <c r="C874" i="3"/>
  <c r="D874" i="3"/>
  <c r="E874" i="3"/>
  <c r="F874" i="3"/>
  <c r="G874" i="3"/>
  <c r="H874" i="3"/>
  <c r="I874" i="3"/>
  <c r="J874" i="3"/>
  <c r="K874" i="3"/>
  <c r="B875" i="3"/>
  <c r="C875" i="3"/>
  <c r="D875" i="3"/>
  <c r="E875" i="3"/>
  <c r="F875" i="3"/>
  <c r="G875" i="3"/>
  <c r="H875" i="3"/>
  <c r="I875" i="3"/>
  <c r="J875" i="3"/>
  <c r="K875" i="3"/>
  <c r="B876" i="3"/>
  <c r="C876" i="3"/>
  <c r="D876" i="3"/>
  <c r="E876" i="3"/>
  <c r="F876" i="3"/>
  <c r="G876" i="3"/>
  <c r="H876" i="3"/>
  <c r="I876" i="3"/>
  <c r="J876" i="3"/>
  <c r="K876" i="3"/>
  <c r="B877" i="3"/>
  <c r="C877" i="3"/>
  <c r="D877" i="3"/>
  <c r="E877" i="3"/>
  <c r="F877" i="3"/>
  <c r="G877" i="3"/>
  <c r="H877" i="3"/>
  <c r="I877" i="3"/>
  <c r="J877" i="3"/>
  <c r="K877" i="3"/>
  <c r="B878" i="3"/>
  <c r="C878" i="3"/>
  <c r="D878" i="3"/>
  <c r="E878" i="3"/>
  <c r="F878" i="3"/>
  <c r="G878" i="3"/>
  <c r="H878" i="3"/>
  <c r="I878" i="3"/>
  <c r="J878" i="3"/>
  <c r="K878" i="3"/>
  <c r="B879" i="3"/>
  <c r="C879" i="3"/>
  <c r="D879" i="3"/>
  <c r="E879" i="3"/>
  <c r="F879" i="3"/>
  <c r="G879" i="3"/>
  <c r="H879" i="3"/>
  <c r="I879" i="3"/>
  <c r="J879" i="3"/>
  <c r="K879" i="3"/>
  <c r="B880" i="3"/>
  <c r="C880" i="3"/>
  <c r="D880" i="3"/>
  <c r="E880" i="3"/>
  <c r="F880" i="3"/>
  <c r="G880" i="3"/>
  <c r="H880" i="3"/>
  <c r="I880" i="3"/>
  <c r="J880" i="3"/>
  <c r="K880" i="3"/>
  <c r="B881" i="3"/>
  <c r="C881" i="3"/>
  <c r="D881" i="3"/>
  <c r="E881" i="3"/>
  <c r="F881" i="3"/>
  <c r="G881" i="3"/>
  <c r="H881" i="3"/>
  <c r="I881" i="3"/>
  <c r="J881" i="3"/>
  <c r="K881" i="3"/>
  <c r="B882" i="3"/>
  <c r="C882" i="3"/>
  <c r="D882" i="3"/>
  <c r="E882" i="3"/>
  <c r="F882" i="3"/>
  <c r="G882" i="3"/>
  <c r="H882" i="3"/>
  <c r="I882" i="3"/>
  <c r="J882" i="3"/>
  <c r="K882" i="3"/>
  <c r="B883" i="3"/>
  <c r="C883" i="3"/>
  <c r="D883" i="3"/>
  <c r="E883" i="3"/>
  <c r="F883" i="3"/>
  <c r="G883" i="3"/>
  <c r="H883" i="3"/>
  <c r="I883" i="3"/>
  <c r="J883" i="3"/>
  <c r="K883" i="3"/>
  <c r="B884" i="3"/>
  <c r="C884" i="3"/>
  <c r="D884" i="3"/>
  <c r="E884" i="3"/>
  <c r="F884" i="3"/>
  <c r="G884" i="3"/>
  <c r="H884" i="3"/>
  <c r="I884" i="3"/>
  <c r="J884" i="3"/>
  <c r="K884" i="3"/>
  <c r="B885" i="3"/>
  <c r="C885" i="3"/>
  <c r="D885" i="3"/>
  <c r="E885" i="3"/>
  <c r="F885" i="3"/>
  <c r="G885" i="3"/>
  <c r="H885" i="3"/>
  <c r="I885" i="3"/>
  <c r="J885" i="3"/>
  <c r="K885" i="3"/>
  <c r="B886" i="3"/>
  <c r="C886" i="3"/>
  <c r="D886" i="3"/>
  <c r="E886" i="3"/>
  <c r="F886" i="3"/>
  <c r="G886" i="3"/>
  <c r="H886" i="3"/>
  <c r="I886" i="3"/>
  <c r="J886" i="3"/>
  <c r="K886" i="3"/>
  <c r="B887" i="3"/>
  <c r="C887" i="3"/>
  <c r="D887" i="3"/>
  <c r="E887" i="3"/>
  <c r="F887" i="3"/>
  <c r="G887" i="3"/>
  <c r="H887" i="3"/>
  <c r="I887" i="3"/>
  <c r="J887" i="3"/>
  <c r="K887" i="3"/>
  <c r="B888" i="3"/>
  <c r="C888" i="3"/>
  <c r="D888" i="3"/>
  <c r="E888" i="3"/>
  <c r="F888" i="3"/>
  <c r="G888" i="3"/>
  <c r="H888" i="3"/>
  <c r="I888" i="3"/>
  <c r="J888" i="3"/>
  <c r="K888" i="3"/>
  <c r="B889" i="3"/>
  <c r="C889" i="3"/>
  <c r="D889" i="3"/>
  <c r="E889" i="3"/>
  <c r="F889" i="3"/>
  <c r="G889" i="3"/>
  <c r="H889" i="3"/>
  <c r="I889" i="3"/>
  <c r="J889" i="3"/>
  <c r="K889" i="3"/>
  <c r="B890" i="3"/>
  <c r="C890" i="3"/>
  <c r="D890" i="3"/>
  <c r="E890" i="3"/>
  <c r="F890" i="3"/>
  <c r="G890" i="3"/>
  <c r="H890" i="3"/>
  <c r="I890" i="3"/>
  <c r="J890" i="3"/>
  <c r="K890" i="3"/>
  <c r="B891" i="3"/>
  <c r="C891" i="3"/>
  <c r="D891" i="3"/>
  <c r="E891" i="3"/>
  <c r="F891" i="3"/>
  <c r="G891" i="3"/>
  <c r="H891" i="3"/>
  <c r="I891" i="3"/>
  <c r="J891" i="3"/>
  <c r="K891" i="3"/>
  <c r="B892" i="3"/>
  <c r="C892" i="3"/>
  <c r="D892" i="3"/>
  <c r="E892" i="3"/>
  <c r="F892" i="3"/>
  <c r="G892" i="3"/>
  <c r="H892" i="3"/>
  <c r="I892" i="3"/>
  <c r="J892" i="3"/>
  <c r="K892" i="3"/>
  <c r="B893" i="3"/>
  <c r="C893" i="3"/>
  <c r="D893" i="3"/>
  <c r="E893" i="3"/>
  <c r="F893" i="3"/>
  <c r="G893" i="3"/>
  <c r="H893" i="3"/>
  <c r="I893" i="3"/>
  <c r="J893" i="3"/>
  <c r="K893" i="3"/>
  <c r="B894" i="3"/>
  <c r="C894" i="3"/>
  <c r="D894" i="3"/>
  <c r="E894" i="3"/>
  <c r="F894" i="3"/>
  <c r="G894" i="3"/>
  <c r="H894" i="3"/>
  <c r="I894" i="3"/>
  <c r="J894" i="3"/>
  <c r="K894" i="3"/>
  <c r="B895" i="3"/>
  <c r="C895" i="3"/>
  <c r="D895" i="3"/>
  <c r="E895" i="3"/>
  <c r="F895" i="3"/>
  <c r="G895" i="3"/>
  <c r="H895" i="3"/>
  <c r="I895" i="3"/>
  <c r="J895" i="3"/>
  <c r="K895" i="3"/>
  <c r="B896" i="3"/>
  <c r="C896" i="3"/>
  <c r="D896" i="3"/>
  <c r="E896" i="3"/>
  <c r="F896" i="3"/>
  <c r="G896" i="3"/>
  <c r="H896" i="3"/>
  <c r="I896" i="3"/>
  <c r="J896" i="3"/>
  <c r="K896" i="3"/>
  <c r="B897" i="3"/>
  <c r="C897" i="3"/>
  <c r="D897" i="3"/>
  <c r="E897" i="3"/>
  <c r="F897" i="3"/>
  <c r="G897" i="3"/>
  <c r="H897" i="3"/>
  <c r="I897" i="3"/>
  <c r="J897" i="3"/>
  <c r="K897" i="3"/>
  <c r="B898" i="3"/>
  <c r="C898" i="3"/>
  <c r="D898" i="3"/>
  <c r="E898" i="3"/>
  <c r="F898" i="3"/>
  <c r="G898" i="3"/>
  <c r="H898" i="3"/>
  <c r="I898" i="3"/>
  <c r="J898" i="3"/>
  <c r="K898" i="3"/>
  <c r="B899" i="3"/>
  <c r="C899" i="3"/>
  <c r="D899" i="3"/>
  <c r="E899" i="3"/>
  <c r="F899" i="3"/>
  <c r="G899" i="3"/>
  <c r="H899" i="3"/>
  <c r="I899" i="3"/>
  <c r="J899" i="3"/>
  <c r="K899" i="3"/>
  <c r="B900" i="3"/>
  <c r="C900" i="3"/>
  <c r="D900" i="3"/>
  <c r="E900" i="3"/>
  <c r="F900" i="3"/>
  <c r="G900" i="3"/>
  <c r="H900" i="3"/>
  <c r="I900" i="3"/>
  <c r="J900" i="3"/>
  <c r="K900" i="3"/>
  <c r="B901" i="3"/>
  <c r="C901" i="3"/>
  <c r="D901" i="3"/>
  <c r="E901" i="3"/>
  <c r="F901" i="3"/>
  <c r="G901" i="3"/>
  <c r="H901" i="3"/>
  <c r="I901" i="3"/>
  <c r="J901" i="3"/>
  <c r="K901" i="3"/>
  <c r="B902" i="3"/>
  <c r="C902" i="3"/>
  <c r="D902" i="3"/>
  <c r="E902" i="3"/>
  <c r="F902" i="3"/>
  <c r="G902" i="3"/>
  <c r="H902" i="3"/>
  <c r="I902" i="3"/>
  <c r="J902" i="3"/>
  <c r="K902" i="3"/>
  <c r="B903" i="3"/>
  <c r="C903" i="3"/>
  <c r="D903" i="3"/>
  <c r="E903" i="3"/>
  <c r="F903" i="3"/>
  <c r="G903" i="3"/>
  <c r="H903" i="3"/>
  <c r="I903" i="3"/>
  <c r="J903" i="3"/>
  <c r="K903" i="3"/>
  <c r="B904" i="3"/>
  <c r="C904" i="3"/>
  <c r="D904" i="3"/>
  <c r="E904" i="3"/>
  <c r="F904" i="3"/>
  <c r="G904" i="3"/>
  <c r="H904" i="3"/>
  <c r="I904" i="3"/>
  <c r="J904" i="3"/>
  <c r="K904" i="3"/>
  <c r="B905" i="3"/>
  <c r="C905" i="3"/>
  <c r="D905" i="3"/>
  <c r="E905" i="3"/>
  <c r="F905" i="3"/>
  <c r="G905" i="3"/>
  <c r="H905" i="3"/>
  <c r="I905" i="3"/>
  <c r="J905" i="3"/>
  <c r="K905" i="3"/>
  <c r="B906" i="3"/>
  <c r="C906" i="3"/>
  <c r="D906" i="3"/>
  <c r="E906" i="3"/>
  <c r="F906" i="3"/>
  <c r="G906" i="3"/>
  <c r="H906" i="3"/>
  <c r="I906" i="3"/>
  <c r="J906" i="3"/>
  <c r="K906" i="3"/>
  <c r="B907" i="3"/>
  <c r="C907" i="3"/>
  <c r="D907" i="3"/>
  <c r="E907" i="3"/>
  <c r="F907" i="3"/>
  <c r="G907" i="3"/>
  <c r="H907" i="3"/>
  <c r="I907" i="3"/>
  <c r="J907" i="3"/>
  <c r="K907" i="3"/>
  <c r="B908" i="3"/>
  <c r="C908" i="3"/>
  <c r="D908" i="3"/>
  <c r="E908" i="3"/>
  <c r="F908" i="3"/>
  <c r="G908" i="3"/>
  <c r="H908" i="3"/>
  <c r="I908" i="3"/>
  <c r="J908" i="3"/>
  <c r="K908" i="3"/>
  <c r="B909" i="3"/>
  <c r="C909" i="3"/>
  <c r="D909" i="3"/>
  <c r="E909" i="3"/>
  <c r="F909" i="3"/>
  <c r="G909" i="3"/>
  <c r="H909" i="3"/>
  <c r="I909" i="3"/>
  <c r="J909" i="3"/>
  <c r="K909" i="3"/>
  <c r="B910" i="3"/>
  <c r="C910" i="3"/>
  <c r="D910" i="3"/>
  <c r="E910" i="3"/>
  <c r="F910" i="3"/>
  <c r="G910" i="3"/>
  <c r="H910" i="3"/>
  <c r="I910" i="3"/>
  <c r="J910" i="3"/>
  <c r="K910" i="3"/>
  <c r="B911" i="3"/>
  <c r="C911" i="3"/>
  <c r="D911" i="3"/>
  <c r="E911" i="3"/>
  <c r="F911" i="3"/>
  <c r="G911" i="3"/>
  <c r="H911" i="3"/>
  <c r="I911" i="3"/>
  <c r="J911" i="3"/>
  <c r="K911" i="3"/>
  <c r="B912" i="3"/>
  <c r="C912" i="3"/>
  <c r="D912" i="3"/>
  <c r="E912" i="3"/>
  <c r="F912" i="3"/>
  <c r="G912" i="3"/>
  <c r="H912" i="3"/>
  <c r="I912" i="3"/>
  <c r="J912" i="3"/>
  <c r="K912" i="3"/>
  <c r="B913" i="3"/>
  <c r="C913" i="3"/>
  <c r="D913" i="3"/>
  <c r="E913" i="3"/>
  <c r="F913" i="3"/>
  <c r="G913" i="3"/>
  <c r="H913" i="3"/>
  <c r="I913" i="3"/>
  <c r="J913" i="3"/>
  <c r="K913" i="3"/>
  <c r="B914" i="3"/>
  <c r="C914" i="3"/>
  <c r="D914" i="3"/>
  <c r="E914" i="3"/>
  <c r="F914" i="3"/>
  <c r="G914" i="3"/>
  <c r="H914" i="3"/>
  <c r="I914" i="3"/>
  <c r="J914" i="3"/>
  <c r="K914" i="3"/>
  <c r="B915" i="3"/>
  <c r="C915" i="3"/>
  <c r="D915" i="3"/>
  <c r="E915" i="3"/>
  <c r="F915" i="3"/>
  <c r="G915" i="3"/>
  <c r="H915" i="3"/>
  <c r="I915" i="3"/>
  <c r="J915" i="3"/>
  <c r="K915" i="3"/>
  <c r="B916" i="3"/>
  <c r="C916" i="3"/>
  <c r="D916" i="3"/>
  <c r="E916" i="3"/>
  <c r="F916" i="3"/>
  <c r="G916" i="3"/>
  <c r="H916" i="3"/>
  <c r="I916" i="3"/>
  <c r="J916" i="3"/>
  <c r="K916" i="3"/>
  <c r="B917" i="3"/>
  <c r="C917" i="3"/>
  <c r="D917" i="3"/>
  <c r="E917" i="3"/>
  <c r="F917" i="3"/>
  <c r="G917" i="3"/>
  <c r="H917" i="3"/>
  <c r="I917" i="3"/>
  <c r="J917" i="3"/>
  <c r="K917" i="3"/>
  <c r="B918" i="3"/>
  <c r="C918" i="3"/>
  <c r="D918" i="3"/>
  <c r="E918" i="3"/>
  <c r="F918" i="3"/>
  <c r="G918" i="3"/>
  <c r="H918" i="3"/>
  <c r="I918" i="3"/>
  <c r="J918" i="3"/>
  <c r="K918" i="3"/>
  <c r="B919" i="3"/>
  <c r="C919" i="3"/>
  <c r="D919" i="3"/>
  <c r="E919" i="3"/>
  <c r="F919" i="3"/>
  <c r="G919" i="3"/>
  <c r="H919" i="3"/>
  <c r="I919" i="3"/>
  <c r="J919" i="3"/>
  <c r="K919" i="3"/>
  <c r="B920" i="3"/>
  <c r="C920" i="3"/>
  <c r="D920" i="3"/>
  <c r="E920" i="3"/>
  <c r="F920" i="3"/>
  <c r="G920" i="3"/>
  <c r="H920" i="3"/>
  <c r="I920" i="3"/>
  <c r="J920" i="3"/>
  <c r="K920" i="3"/>
  <c r="B921" i="3"/>
  <c r="C921" i="3"/>
  <c r="D921" i="3"/>
  <c r="E921" i="3"/>
  <c r="F921" i="3"/>
  <c r="G921" i="3"/>
  <c r="H921" i="3"/>
  <c r="I921" i="3"/>
  <c r="J921" i="3"/>
  <c r="K921" i="3"/>
  <c r="B922" i="3"/>
  <c r="C922" i="3"/>
  <c r="D922" i="3"/>
  <c r="E922" i="3"/>
  <c r="F922" i="3"/>
  <c r="G922" i="3"/>
  <c r="H922" i="3"/>
  <c r="I922" i="3"/>
  <c r="J922" i="3"/>
  <c r="K922" i="3"/>
  <c r="B923" i="3"/>
  <c r="C923" i="3"/>
  <c r="D923" i="3"/>
  <c r="E923" i="3"/>
  <c r="F923" i="3"/>
  <c r="G923" i="3"/>
  <c r="H923" i="3"/>
  <c r="I923" i="3"/>
  <c r="J923" i="3"/>
  <c r="K923" i="3"/>
  <c r="B924" i="3"/>
  <c r="C924" i="3"/>
  <c r="D924" i="3"/>
  <c r="E924" i="3"/>
  <c r="F924" i="3"/>
  <c r="G924" i="3"/>
  <c r="H924" i="3"/>
  <c r="I924" i="3"/>
  <c r="J924" i="3"/>
  <c r="K924" i="3"/>
  <c r="B925" i="3"/>
  <c r="C925" i="3"/>
  <c r="D925" i="3"/>
  <c r="E925" i="3"/>
  <c r="F925" i="3"/>
  <c r="G925" i="3"/>
  <c r="H925" i="3"/>
  <c r="I925" i="3"/>
  <c r="J925" i="3"/>
  <c r="K925" i="3"/>
  <c r="B926" i="3"/>
  <c r="C926" i="3"/>
  <c r="D926" i="3"/>
  <c r="E926" i="3"/>
  <c r="F926" i="3"/>
  <c r="G926" i="3"/>
  <c r="H926" i="3"/>
  <c r="I926" i="3"/>
  <c r="J926" i="3"/>
  <c r="K926" i="3"/>
  <c r="B927" i="3"/>
  <c r="C927" i="3"/>
  <c r="D927" i="3"/>
  <c r="E927" i="3"/>
  <c r="F927" i="3"/>
  <c r="G927" i="3"/>
  <c r="H927" i="3"/>
  <c r="I927" i="3"/>
  <c r="J927" i="3"/>
  <c r="K927" i="3"/>
  <c r="B928" i="3"/>
  <c r="C928" i="3"/>
  <c r="D928" i="3"/>
  <c r="E928" i="3"/>
  <c r="F928" i="3"/>
  <c r="G928" i="3"/>
  <c r="H928" i="3"/>
  <c r="I928" i="3"/>
  <c r="J928" i="3"/>
  <c r="K928" i="3"/>
  <c r="B929" i="3"/>
  <c r="C929" i="3"/>
  <c r="D929" i="3"/>
  <c r="E929" i="3"/>
  <c r="F929" i="3"/>
  <c r="G929" i="3"/>
  <c r="H929" i="3"/>
  <c r="I929" i="3"/>
  <c r="J929" i="3"/>
  <c r="K929" i="3"/>
  <c r="B930" i="3"/>
  <c r="C930" i="3"/>
  <c r="D930" i="3"/>
  <c r="E930" i="3"/>
  <c r="F930" i="3"/>
  <c r="G930" i="3"/>
  <c r="H930" i="3"/>
  <c r="I930" i="3"/>
  <c r="J930" i="3"/>
  <c r="K930" i="3"/>
  <c r="B931" i="3"/>
  <c r="C931" i="3"/>
  <c r="D931" i="3"/>
  <c r="E931" i="3"/>
  <c r="F931" i="3"/>
  <c r="G931" i="3"/>
  <c r="H931" i="3"/>
  <c r="I931" i="3"/>
  <c r="J931" i="3"/>
  <c r="K931" i="3"/>
  <c r="B932" i="3"/>
  <c r="C932" i="3"/>
  <c r="D932" i="3"/>
  <c r="E932" i="3"/>
  <c r="F932" i="3"/>
  <c r="G932" i="3"/>
  <c r="H932" i="3"/>
  <c r="I932" i="3"/>
  <c r="J932" i="3"/>
  <c r="K932" i="3"/>
  <c r="B933" i="3"/>
  <c r="C933" i="3"/>
  <c r="D933" i="3"/>
  <c r="E933" i="3"/>
  <c r="F933" i="3"/>
  <c r="G933" i="3"/>
  <c r="H933" i="3"/>
  <c r="I933" i="3"/>
  <c r="J933" i="3"/>
  <c r="K933" i="3"/>
  <c r="B934" i="3"/>
  <c r="C934" i="3"/>
  <c r="D934" i="3"/>
  <c r="E934" i="3"/>
  <c r="F934" i="3"/>
  <c r="G934" i="3"/>
  <c r="H934" i="3"/>
  <c r="I934" i="3"/>
  <c r="J934" i="3"/>
  <c r="K934" i="3"/>
  <c r="B935" i="3"/>
  <c r="C935" i="3"/>
  <c r="D935" i="3"/>
  <c r="E935" i="3"/>
  <c r="F935" i="3"/>
  <c r="G935" i="3"/>
  <c r="H935" i="3"/>
  <c r="I935" i="3"/>
  <c r="J935" i="3"/>
  <c r="K935" i="3"/>
  <c r="B936" i="3"/>
  <c r="C936" i="3"/>
  <c r="D936" i="3"/>
  <c r="E936" i="3"/>
  <c r="F936" i="3"/>
  <c r="G936" i="3"/>
  <c r="H936" i="3"/>
  <c r="I936" i="3"/>
  <c r="J936" i="3"/>
  <c r="K936" i="3"/>
  <c r="B937" i="3"/>
  <c r="C937" i="3"/>
  <c r="D937" i="3"/>
  <c r="E937" i="3"/>
  <c r="F937" i="3"/>
  <c r="G937" i="3"/>
  <c r="H937" i="3"/>
  <c r="I937" i="3"/>
  <c r="J937" i="3"/>
  <c r="K937" i="3"/>
  <c r="B938" i="3"/>
  <c r="C938" i="3"/>
  <c r="D938" i="3"/>
  <c r="E938" i="3"/>
  <c r="F938" i="3"/>
  <c r="G938" i="3"/>
  <c r="H938" i="3"/>
  <c r="I938" i="3"/>
  <c r="J938" i="3"/>
  <c r="K938" i="3"/>
  <c r="B939" i="3"/>
  <c r="C939" i="3"/>
  <c r="D939" i="3"/>
  <c r="E939" i="3"/>
  <c r="F939" i="3"/>
  <c r="G939" i="3"/>
  <c r="H939" i="3"/>
  <c r="I939" i="3"/>
  <c r="J939" i="3"/>
  <c r="K939" i="3"/>
  <c r="B940" i="3"/>
  <c r="C940" i="3"/>
  <c r="D940" i="3"/>
  <c r="E940" i="3"/>
  <c r="F940" i="3"/>
  <c r="G940" i="3"/>
  <c r="H940" i="3"/>
  <c r="I940" i="3"/>
  <c r="J940" i="3"/>
  <c r="K940" i="3"/>
  <c r="B941" i="3"/>
  <c r="C941" i="3"/>
  <c r="D941" i="3"/>
  <c r="E941" i="3"/>
  <c r="F941" i="3"/>
  <c r="G941" i="3"/>
  <c r="H941" i="3"/>
  <c r="I941" i="3"/>
  <c r="J941" i="3"/>
  <c r="K941" i="3"/>
  <c r="B942" i="3"/>
  <c r="C942" i="3"/>
  <c r="D942" i="3"/>
  <c r="E942" i="3"/>
  <c r="F942" i="3"/>
  <c r="G942" i="3"/>
  <c r="H942" i="3"/>
  <c r="I942" i="3"/>
  <c r="J942" i="3"/>
  <c r="K942" i="3"/>
  <c r="B943" i="3"/>
  <c r="C943" i="3"/>
  <c r="D943" i="3"/>
  <c r="E943" i="3"/>
  <c r="F943" i="3"/>
  <c r="G943" i="3"/>
  <c r="H943" i="3"/>
  <c r="I943" i="3"/>
  <c r="J943" i="3"/>
  <c r="K943" i="3"/>
  <c r="B944" i="3"/>
  <c r="C944" i="3"/>
  <c r="D944" i="3"/>
  <c r="E944" i="3"/>
  <c r="F944" i="3"/>
  <c r="G944" i="3"/>
  <c r="H944" i="3"/>
  <c r="I944" i="3"/>
  <c r="J944" i="3"/>
  <c r="K944" i="3"/>
  <c r="B945" i="3"/>
  <c r="C945" i="3"/>
  <c r="D945" i="3"/>
  <c r="E945" i="3"/>
  <c r="F945" i="3"/>
  <c r="G945" i="3"/>
  <c r="H945" i="3"/>
  <c r="I945" i="3"/>
  <c r="J945" i="3"/>
  <c r="K945" i="3"/>
  <c r="B946" i="3"/>
  <c r="C946" i="3"/>
  <c r="D946" i="3"/>
  <c r="E946" i="3"/>
  <c r="F946" i="3"/>
  <c r="G946" i="3"/>
  <c r="H946" i="3"/>
  <c r="I946" i="3"/>
  <c r="J946" i="3"/>
  <c r="K946" i="3"/>
  <c r="B947" i="3"/>
  <c r="C947" i="3"/>
  <c r="D947" i="3"/>
  <c r="E947" i="3"/>
  <c r="F947" i="3"/>
  <c r="G947" i="3"/>
  <c r="H947" i="3"/>
  <c r="I947" i="3"/>
  <c r="J947" i="3"/>
  <c r="K947" i="3"/>
  <c r="B948" i="3"/>
  <c r="C948" i="3"/>
  <c r="D948" i="3"/>
  <c r="E948" i="3"/>
  <c r="F948" i="3"/>
  <c r="G948" i="3"/>
  <c r="H948" i="3"/>
  <c r="I948" i="3"/>
  <c r="J948" i="3"/>
  <c r="K948" i="3"/>
  <c r="B949" i="3"/>
  <c r="C949" i="3"/>
  <c r="D949" i="3"/>
  <c r="E949" i="3"/>
  <c r="F949" i="3"/>
  <c r="G949" i="3"/>
  <c r="H949" i="3"/>
  <c r="I949" i="3"/>
  <c r="J949" i="3"/>
  <c r="K949" i="3"/>
  <c r="B950" i="3"/>
  <c r="C950" i="3"/>
  <c r="D950" i="3"/>
  <c r="E950" i="3"/>
  <c r="F950" i="3"/>
  <c r="G950" i="3"/>
  <c r="H950" i="3"/>
  <c r="I950" i="3"/>
  <c r="J950" i="3"/>
  <c r="K950" i="3"/>
  <c r="B951" i="3"/>
  <c r="C951" i="3"/>
  <c r="D951" i="3"/>
  <c r="E951" i="3"/>
  <c r="F951" i="3"/>
  <c r="G951" i="3"/>
  <c r="H951" i="3"/>
  <c r="I951" i="3"/>
  <c r="J951" i="3"/>
  <c r="K951" i="3"/>
  <c r="B952" i="3"/>
  <c r="C952" i="3"/>
  <c r="D952" i="3"/>
  <c r="E952" i="3"/>
  <c r="F952" i="3"/>
  <c r="G952" i="3"/>
  <c r="H952" i="3"/>
  <c r="I952" i="3"/>
  <c r="J952" i="3"/>
  <c r="K952" i="3"/>
  <c r="B953" i="3"/>
  <c r="C953" i="3"/>
  <c r="D953" i="3"/>
  <c r="E953" i="3"/>
  <c r="F953" i="3"/>
  <c r="G953" i="3"/>
  <c r="H953" i="3"/>
  <c r="I953" i="3"/>
  <c r="J953" i="3"/>
  <c r="K953" i="3"/>
  <c r="B954" i="3"/>
  <c r="C954" i="3"/>
  <c r="D954" i="3"/>
  <c r="E954" i="3"/>
  <c r="F954" i="3"/>
  <c r="G954" i="3"/>
  <c r="H954" i="3"/>
  <c r="I954" i="3"/>
  <c r="J954" i="3"/>
  <c r="K954" i="3"/>
  <c r="B955" i="3"/>
  <c r="C955" i="3"/>
  <c r="D955" i="3"/>
  <c r="E955" i="3"/>
  <c r="F955" i="3"/>
  <c r="G955" i="3"/>
  <c r="H955" i="3"/>
  <c r="I955" i="3"/>
  <c r="J955" i="3"/>
  <c r="K955" i="3"/>
  <c r="B956" i="3"/>
  <c r="C956" i="3"/>
  <c r="D956" i="3"/>
  <c r="E956" i="3"/>
  <c r="F956" i="3"/>
  <c r="G956" i="3"/>
  <c r="H956" i="3"/>
  <c r="I956" i="3"/>
  <c r="J956" i="3"/>
  <c r="K956" i="3"/>
  <c r="B957" i="3"/>
  <c r="C957" i="3"/>
  <c r="D957" i="3"/>
  <c r="E957" i="3"/>
  <c r="F957" i="3"/>
  <c r="G957" i="3"/>
  <c r="H957" i="3"/>
  <c r="I957" i="3"/>
  <c r="J957" i="3"/>
  <c r="K957" i="3"/>
  <c r="B958" i="3"/>
  <c r="C958" i="3"/>
  <c r="D958" i="3"/>
  <c r="E958" i="3"/>
  <c r="F958" i="3"/>
  <c r="G958" i="3"/>
  <c r="H958" i="3"/>
  <c r="I958" i="3"/>
  <c r="J958" i="3"/>
  <c r="K958" i="3"/>
  <c r="B959" i="3"/>
  <c r="C959" i="3"/>
  <c r="D959" i="3"/>
  <c r="E959" i="3"/>
  <c r="F959" i="3"/>
  <c r="G959" i="3"/>
  <c r="H959" i="3"/>
  <c r="I959" i="3"/>
  <c r="J959" i="3"/>
  <c r="K959" i="3"/>
  <c r="B960" i="3"/>
  <c r="C960" i="3"/>
  <c r="D960" i="3"/>
  <c r="E960" i="3"/>
  <c r="F960" i="3"/>
  <c r="G960" i="3"/>
  <c r="H960" i="3"/>
  <c r="I960" i="3"/>
  <c r="J960" i="3"/>
  <c r="K960" i="3"/>
  <c r="B961" i="3"/>
  <c r="C961" i="3"/>
  <c r="D961" i="3"/>
  <c r="E961" i="3"/>
  <c r="F961" i="3"/>
  <c r="G961" i="3"/>
  <c r="H961" i="3"/>
  <c r="I961" i="3"/>
  <c r="J961" i="3"/>
  <c r="K961" i="3"/>
  <c r="B962" i="3"/>
  <c r="C962" i="3"/>
  <c r="D962" i="3"/>
  <c r="E962" i="3"/>
  <c r="F962" i="3"/>
  <c r="G962" i="3"/>
  <c r="H962" i="3"/>
  <c r="I962" i="3"/>
  <c r="J962" i="3"/>
  <c r="K962" i="3"/>
  <c r="B963" i="3"/>
  <c r="C963" i="3"/>
  <c r="D963" i="3"/>
  <c r="E963" i="3"/>
  <c r="F963" i="3"/>
  <c r="G963" i="3"/>
  <c r="H963" i="3"/>
  <c r="I963" i="3"/>
  <c r="J963" i="3"/>
  <c r="K963" i="3"/>
  <c r="B964" i="3"/>
  <c r="C964" i="3"/>
  <c r="D964" i="3"/>
  <c r="E964" i="3"/>
  <c r="F964" i="3"/>
  <c r="G964" i="3"/>
  <c r="H964" i="3"/>
  <c r="I964" i="3"/>
  <c r="J964" i="3"/>
  <c r="K964" i="3"/>
  <c r="B965" i="3"/>
  <c r="C965" i="3"/>
  <c r="D965" i="3"/>
  <c r="E965" i="3"/>
  <c r="F965" i="3"/>
  <c r="G965" i="3"/>
  <c r="H965" i="3"/>
  <c r="I965" i="3"/>
  <c r="J965" i="3"/>
  <c r="K965" i="3"/>
  <c r="B966" i="3"/>
  <c r="C966" i="3"/>
  <c r="D966" i="3"/>
  <c r="E966" i="3"/>
  <c r="F966" i="3"/>
  <c r="G966" i="3"/>
  <c r="H966" i="3"/>
  <c r="I966" i="3"/>
  <c r="J966" i="3"/>
  <c r="K966" i="3"/>
  <c r="B967" i="3"/>
  <c r="C967" i="3"/>
  <c r="D967" i="3"/>
  <c r="E967" i="3"/>
  <c r="F967" i="3"/>
  <c r="G967" i="3"/>
  <c r="H967" i="3"/>
  <c r="I967" i="3"/>
  <c r="J967" i="3"/>
  <c r="K967" i="3"/>
  <c r="B968" i="3"/>
  <c r="C968" i="3"/>
  <c r="D968" i="3"/>
  <c r="E968" i="3"/>
  <c r="F968" i="3"/>
  <c r="G968" i="3"/>
  <c r="H968" i="3"/>
  <c r="I968" i="3"/>
  <c r="J968" i="3"/>
  <c r="K968" i="3"/>
  <c r="B969" i="3"/>
  <c r="C969" i="3"/>
  <c r="D969" i="3"/>
  <c r="E969" i="3"/>
  <c r="F969" i="3"/>
  <c r="G969" i="3"/>
  <c r="H969" i="3"/>
  <c r="I969" i="3"/>
  <c r="J969" i="3"/>
  <c r="K969" i="3"/>
  <c r="B970" i="3"/>
  <c r="C970" i="3"/>
  <c r="D970" i="3"/>
  <c r="E970" i="3"/>
  <c r="F970" i="3"/>
  <c r="G970" i="3"/>
  <c r="H970" i="3"/>
  <c r="I970" i="3"/>
  <c r="J970" i="3"/>
  <c r="K970" i="3"/>
  <c r="B971" i="3"/>
  <c r="C971" i="3"/>
  <c r="D971" i="3"/>
  <c r="E971" i="3"/>
  <c r="F971" i="3"/>
  <c r="G971" i="3"/>
  <c r="H971" i="3"/>
  <c r="I971" i="3"/>
  <c r="J971" i="3"/>
  <c r="K971" i="3"/>
  <c r="B972" i="3"/>
  <c r="C972" i="3"/>
  <c r="D972" i="3"/>
  <c r="E972" i="3"/>
  <c r="F972" i="3"/>
  <c r="G972" i="3"/>
  <c r="H972" i="3"/>
  <c r="I972" i="3"/>
  <c r="J972" i="3"/>
  <c r="K972" i="3"/>
  <c r="B973" i="3"/>
  <c r="C973" i="3"/>
  <c r="D973" i="3"/>
  <c r="E973" i="3"/>
  <c r="F973" i="3"/>
  <c r="G973" i="3"/>
  <c r="H973" i="3"/>
  <c r="I973" i="3"/>
  <c r="J973" i="3"/>
  <c r="K973" i="3"/>
  <c r="B974" i="3"/>
  <c r="C974" i="3"/>
  <c r="D974" i="3"/>
  <c r="E974" i="3"/>
  <c r="F974" i="3"/>
  <c r="G974" i="3"/>
  <c r="H974" i="3"/>
  <c r="I974" i="3"/>
  <c r="J974" i="3"/>
  <c r="K974" i="3"/>
  <c r="B975" i="3"/>
  <c r="C975" i="3"/>
  <c r="D975" i="3"/>
  <c r="E975" i="3"/>
  <c r="F975" i="3"/>
  <c r="G975" i="3"/>
  <c r="H975" i="3"/>
  <c r="I975" i="3"/>
  <c r="J975" i="3"/>
  <c r="K975" i="3"/>
  <c r="B976" i="3"/>
  <c r="C976" i="3"/>
  <c r="D976" i="3"/>
  <c r="E976" i="3"/>
  <c r="F976" i="3"/>
  <c r="G976" i="3"/>
  <c r="H976" i="3"/>
  <c r="I976" i="3"/>
  <c r="J976" i="3"/>
  <c r="K976" i="3"/>
  <c r="B977" i="3"/>
  <c r="C977" i="3"/>
  <c r="D977" i="3"/>
  <c r="E977" i="3"/>
  <c r="F977" i="3"/>
  <c r="G977" i="3"/>
  <c r="H977" i="3"/>
  <c r="I977" i="3"/>
  <c r="J977" i="3"/>
  <c r="K977" i="3"/>
  <c r="B978" i="3"/>
  <c r="C978" i="3"/>
  <c r="D978" i="3"/>
  <c r="E978" i="3"/>
  <c r="F978" i="3"/>
  <c r="G978" i="3"/>
  <c r="H978" i="3"/>
  <c r="I978" i="3"/>
  <c r="J978" i="3"/>
  <c r="K978" i="3"/>
  <c r="B979" i="3"/>
  <c r="C979" i="3"/>
  <c r="D979" i="3"/>
  <c r="E979" i="3"/>
  <c r="F979" i="3"/>
  <c r="G979" i="3"/>
  <c r="H979" i="3"/>
  <c r="I979" i="3"/>
  <c r="J979" i="3"/>
  <c r="K979" i="3"/>
  <c r="B980" i="3"/>
  <c r="C980" i="3"/>
  <c r="D980" i="3"/>
  <c r="E980" i="3"/>
  <c r="F980" i="3"/>
  <c r="G980" i="3"/>
  <c r="H980" i="3"/>
  <c r="I980" i="3"/>
  <c r="J980" i="3"/>
  <c r="K980" i="3"/>
  <c r="B981" i="3"/>
  <c r="C981" i="3"/>
  <c r="D981" i="3"/>
  <c r="E981" i="3"/>
  <c r="F981" i="3"/>
  <c r="G981" i="3"/>
  <c r="H981" i="3"/>
  <c r="I981" i="3"/>
  <c r="J981" i="3"/>
  <c r="K981" i="3"/>
  <c r="B982" i="3"/>
  <c r="C982" i="3"/>
  <c r="D982" i="3"/>
  <c r="E982" i="3"/>
  <c r="F982" i="3"/>
  <c r="G982" i="3"/>
  <c r="H982" i="3"/>
  <c r="I982" i="3"/>
  <c r="J982" i="3"/>
  <c r="K982" i="3"/>
  <c r="B983" i="3"/>
  <c r="C983" i="3"/>
  <c r="D983" i="3"/>
  <c r="E983" i="3"/>
  <c r="F983" i="3"/>
  <c r="G983" i="3"/>
  <c r="H983" i="3"/>
  <c r="I983" i="3"/>
  <c r="J983" i="3"/>
  <c r="K983" i="3"/>
  <c r="B984" i="3"/>
  <c r="C984" i="3"/>
  <c r="D984" i="3"/>
  <c r="E984" i="3"/>
  <c r="F984" i="3"/>
  <c r="G984" i="3"/>
  <c r="H984" i="3"/>
  <c r="I984" i="3"/>
  <c r="J984" i="3"/>
  <c r="K984" i="3"/>
  <c r="B985" i="3"/>
  <c r="C985" i="3"/>
  <c r="D985" i="3"/>
  <c r="E985" i="3"/>
  <c r="F985" i="3"/>
  <c r="G985" i="3"/>
  <c r="H985" i="3"/>
  <c r="I985" i="3"/>
  <c r="J985" i="3"/>
  <c r="K985" i="3"/>
  <c r="B986" i="3"/>
  <c r="C986" i="3"/>
  <c r="D986" i="3"/>
  <c r="E986" i="3"/>
  <c r="F986" i="3"/>
  <c r="G986" i="3"/>
  <c r="H986" i="3"/>
  <c r="I986" i="3"/>
  <c r="J986" i="3"/>
  <c r="K986" i="3"/>
  <c r="B987" i="3"/>
  <c r="C987" i="3"/>
  <c r="D987" i="3"/>
  <c r="E987" i="3"/>
  <c r="F987" i="3"/>
  <c r="G987" i="3"/>
  <c r="H987" i="3"/>
  <c r="I987" i="3"/>
  <c r="J987" i="3"/>
  <c r="K987" i="3"/>
  <c r="B988" i="3"/>
  <c r="C988" i="3"/>
  <c r="D988" i="3"/>
  <c r="E988" i="3"/>
  <c r="F988" i="3"/>
  <c r="G988" i="3"/>
  <c r="H988" i="3"/>
  <c r="I988" i="3"/>
  <c r="J988" i="3"/>
  <c r="K988" i="3"/>
  <c r="B989" i="3"/>
  <c r="C989" i="3"/>
  <c r="D989" i="3"/>
  <c r="E989" i="3"/>
  <c r="F989" i="3"/>
  <c r="G989" i="3"/>
  <c r="H989" i="3"/>
  <c r="I989" i="3"/>
  <c r="J989" i="3"/>
  <c r="K989" i="3"/>
  <c r="B990" i="3"/>
  <c r="C990" i="3"/>
  <c r="D990" i="3"/>
  <c r="E990" i="3"/>
  <c r="F990" i="3"/>
  <c r="G990" i="3"/>
  <c r="H990" i="3"/>
  <c r="I990" i="3"/>
  <c r="J990" i="3"/>
  <c r="K990" i="3"/>
  <c r="B991" i="3"/>
  <c r="C991" i="3"/>
  <c r="D991" i="3"/>
  <c r="E991" i="3"/>
  <c r="F991" i="3"/>
  <c r="G991" i="3"/>
  <c r="H991" i="3"/>
  <c r="I991" i="3"/>
  <c r="J991" i="3"/>
  <c r="K991" i="3"/>
  <c r="B992" i="3"/>
  <c r="C992" i="3"/>
  <c r="D992" i="3"/>
  <c r="E992" i="3"/>
  <c r="F992" i="3"/>
  <c r="G992" i="3"/>
  <c r="H992" i="3"/>
  <c r="I992" i="3"/>
  <c r="J992" i="3"/>
  <c r="K992" i="3"/>
  <c r="B993" i="3"/>
  <c r="C993" i="3"/>
  <c r="D993" i="3"/>
  <c r="E993" i="3"/>
  <c r="F993" i="3"/>
  <c r="G993" i="3"/>
  <c r="H993" i="3"/>
  <c r="I993" i="3"/>
  <c r="J993" i="3"/>
  <c r="K993" i="3"/>
  <c r="B994" i="3"/>
  <c r="C994" i="3"/>
  <c r="D994" i="3"/>
  <c r="E994" i="3"/>
  <c r="F994" i="3"/>
  <c r="G994" i="3"/>
  <c r="H994" i="3"/>
  <c r="I994" i="3"/>
  <c r="J994" i="3"/>
  <c r="K994" i="3"/>
  <c r="B995" i="3"/>
  <c r="C995" i="3"/>
  <c r="D995" i="3"/>
  <c r="E995" i="3"/>
  <c r="F995" i="3"/>
  <c r="G995" i="3"/>
  <c r="H995" i="3"/>
  <c r="I995" i="3"/>
  <c r="J995" i="3"/>
  <c r="K995" i="3"/>
  <c r="B996" i="3"/>
  <c r="C996" i="3"/>
  <c r="D996" i="3"/>
  <c r="E996" i="3"/>
  <c r="F996" i="3"/>
  <c r="G996" i="3"/>
  <c r="H996" i="3"/>
  <c r="I996" i="3"/>
  <c r="J996" i="3"/>
  <c r="K996" i="3"/>
  <c r="B997" i="3"/>
  <c r="C997" i="3"/>
  <c r="D997" i="3"/>
  <c r="E997" i="3"/>
  <c r="F997" i="3"/>
  <c r="G997" i="3"/>
  <c r="H997" i="3"/>
  <c r="I997" i="3"/>
  <c r="J997" i="3"/>
  <c r="K997" i="3"/>
  <c r="B998" i="3"/>
  <c r="C998" i="3"/>
  <c r="D998" i="3"/>
  <c r="E998" i="3"/>
  <c r="F998" i="3"/>
  <c r="G998" i="3"/>
  <c r="H998" i="3"/>
  <c r="I998" i="3"/>
  <c r="J998" i="3"/>
  <c r="K998" i="3"/>
  <c r="B999" i="3"/>
  <c r="C999" i="3"/>
  <c r="D999" i="3"/>
  <c r="E999" i="3"/>
  <c r="F999" i="3"/>
  <c r="G999" i="3"/>
  <c r="H999" i="3"/>
  <c r="I999" i="3"/>
  <c r="J999" i="3"/>
  <c r="K999" i="3"/>
  <c r="B1000" i="3"/>
  <c r="C1000" i="3"/>
  <c r="D1000" i="3"/>
  <c r="E1000" i="3"/>
  <c r="F1000" i="3"/>
  <c r="G1000" i="3"/>
  <c r="H1000" i="3"/>
  <c r="I1000" i="3"/>
  <c r="J1000" i="3"/>
  <c r="K1000" i="3"/>
  <c r="B1001" i="3"/>
  <c r="C1001" i="3"/>
  <c r="D1001" i="3"/>
  <c r="E1001" i="3"/>
  <c r="F1001" i="3"/>
  <c r="G1001" i="3"/>
  <c r="H1001" i="3"/>
  <c r="I1001" i="3"/>
  <c r="J1001" i="3"/>
  <c r="K1001" i="3"/>
  <c r="B1002" i="3"/>
  <c r="C1002" i="3"/>
  <c r="D1002" i="3"/>
  <c r="E1002" i="3"/>
  <c r="F1002" i="3"/>
  <c r="G1002" i="3"/>
  <c r="H1002" i="3"/>
  <c r="I1002" i="3"/>
  <c r="J1002" i="3"/>
  <c r="K1002" i="3"/>
  <c r="B1003" i="3"/>
  <c r="C1003" i="3"/>
  <c r="D1003" i="3"/>
  <c r="E1003" i="3"/>
  <c r="F1003" i="3"/>
  <c r="G1003" i="3"/>
  <c r="H1003" i="3"/>
  <c r="I1003" i="3"/>
  <c r="J1003" i="3"/>
  <c r="K1003" i="3"/>
  <c r="B1004" i="3"/>
  <c r="C1004" i="3"/>
  <c r="D1004" i="3"/>
  <c r="E1004" i="3"/>
  <c r="F1004" i="3"/>
  <c r="G1004" i="3"/>
  <c r="H1004" i="3"/>
  <c r="I1004" i="3"/>
  <c r="J1004" i="3"/>
  <c r="K1004" i="3"/>
  <c r="B1005" i="3"/>
  <c r="C1005" i="3"/>
  <c r="D1005" i="3"/>
  <c r="E1005" i="3"/>
  <c r="F1005" i="3"/>
  <c r="G1005" i="3"/>
  <c r="H1005" i="3"/>
  <c r="I1005" i="3"/>
  <c r="J1005" i="3"/>
  <c r="K1005" i="3"/>
  <c r="B1006" i="3"/>
  <c r="C1006" i="3"/>
  <c r="D1006" i="3"/>
  <c r="E1006" i="3"/>
  <c r="F1006" i="3"/>
  <c r="G1006" i="3"/>
  <c r="H1006" i="3"/>
  <c r="I1006" i="3"/>
  <c r="J1006" i="3"/>
  <c r="K1006" i="3"/>
  <c r="B1007" i="3"/>
  <c r="C1007" i="3"/>
  <c r="D1007" i="3"/>
  <c r="E1007" i="3"/>
  <c r="F1007" i="3"/>
  <c r="G1007" i="3"/>
  <c r="H1007" i="3"/>
  <c r="I1007" i="3"/>
  <c r="J1007" i="3"/>
  <c r="K1007" i="3"/>
  <c r="B1008" i="3"/>
  <c r="C1008" i="3"/>
  <c r="D1008" i="3"/>
  <c r="E1008" i="3"/>
  <c r="F1008" i="3"/>
  <c r="G1008" i="3"/>
  <c r="H1008" i="3"/>
  <c r="I1008" i="3"/>
  <c r="J1008" i="3"/>
  <c r="K1008" i="3"/>
  <c r="B1009" i="3"/>
  <c r="C1009" i="3"/>
  <c r="D1009" i="3"/>
  <c r="E1009" i="3"/>
  <c r="F1009" i="3"/>
  <c r="G1009" i="3"/>
  <c r="H1009" i="3"/>
  <c r="I1009" i="3"/>
  <c r="J1009" i="3"/>
  <c r="K1009" i="3"/>
  <c r="B1010" i="3"/>
  <c r="C1010" i="3"/>
  <c r="D1010" i="3"/>
  <c r="E1010" i="3"/>
  <c r="F1010" i="3"/>
  <c r="G1010" i="3"/>
  <c r="H1010" i="3"/>
  <c r="I1010" i="3"/>
  <c r="J1010" i="3"/>
  <c r="K1010" i="3"/>
  <c r="B1011" i="3"/>
  <c r="C1011" i="3"/>
  <c r="D1011" i="3"/>
  <c r="E1011" i="3"/>
  <c r="F1011" i="3"/>
  <c r="G1011" i="3"/>
  <c r="H1011" i="3"/>
  <c r="I1011" i="3"/>
  <c r="J1011" i="3"/>
  <c r="K1011" i="3"/>
  <c r="B1012" i="3"/>
  <c r="C1012" i="3"/>
  <c r="D1012" i="3"/>
  <c r="E1012" i="3"/>
  <c r="F1012" i="3"/>
  <c r="G1012" i="3"/>
  <c r="H1012" i="3"/>
  <c r="I1012" i="3"/>
  <c r="J1012" i="3"/>
  <c r="K1012" i="3"/>
  <c r="B1013" i="3"/>
  <c r="C1013" i="3"/>
  <c r="D1013" i="3"/>
  <c r="E1013" i="3"/>
  <c r="F1013" i="3"/>
  <c r="G1013" i="3"/>
  <c r="H1013" i="3"/>
  <c r="I1013" i="3"/>
  <c r="J1013" i="3"/>
  <c r="K1013" i="3"/>
  <c r="B1014" i="3"/>
  <c r="C1014" i="3"/>
  <c r="D1014" i="3"/>
  <c r="E1014" i="3"/>
  <c r="F1014" i="3"/>
  <c r="G1014" i="3"/>
  <c r="H1014" i="3"/>
  <c r="I1014" i="3"/>
  <c r="J1014" i="3"/>
  <c r="K1014" i="3"/>
  <c r="B1015" i="3"/>
  <c r="C1015" i="3"/>
  <c r="D1015" i="3"/>
  <c r="E1015" i="3"/>
  <c r="F1015" i="3"/>
  <c r="G1015" i="3"/>
  <c r="H1015" i="3"/>
  <c r="I1015" i="3"/>
  <c r="J1015" i="3"/>
  <c r="K1015" i="3"/>
  <c r="B1016" i="3"/>
  <c r="C1016" i="3"/>
  <c r="D1016" i="3"/>
  <c r="E1016" i="3"/>
  <c r="F1016" i="3"/>
  <c r="G1016" i="3"/>
  <c r="H1016" i="3"/>
  <c r="I1016" i="3"/>
  <c r="J1016" i="3"/>
  <c r="K1016" i="3"/>
  <c r="B1017" i="3"/>
  <c r="C1017" i="3"/>
  <c r="D1017" i="3"/>
  <c r="E1017" i="3"/>
  <c r="F1017" i="3"/>
  <c r="G1017" i="3"/>
  <c r="H1017" i="3"/>
  <c r="I1017" i="3"/>
  <c r="J1017" i="3"/>
  <c r="K1017" i="3"/>
  <c r="B1018" i="3"/>
  <c r="C1018" i="3"/>
  <c r="D1018" i="3"/>
  <c r="E1018" i="3"/>
  <c r="F1018" i="3"/>
  <c r="G1018" i="3"/>
  <c r="H1018" i="3"/>
  <c r="I1018" i="3"/>
  <c r="J1018" i="3"/>
  <c r="K1018" i="3"/>
  <c r="B1019" i="3"/>
  <c r="C1019" i="3"/>
  <c r="D1019" i="3"/>
  <c r="E1019" i="3"/>
  <c r="F1019" i="3"/>
  <c r="G1019" i="3"/>
  <c r="H1019" i="3"/>
  <c r="I1019" i="3"/>
  <c r="J1019" i="3"/>
  <c r="K1019" i="3"/>
  <c r="B1020" i="3"/>
  <c r="C1020" i="3"/>
  <c r="D1020" i="3"/>
  <c r="E1020" i="3"/>
  <c r="F1020" i="3"/>
  <c r="G1020" i="3"/>
  <c r="H1020" i="3"/>
  <c r="I1020" i="3"/>
  <c r="J1020" i="3"/>
  <c r="K1020" i="3"/>
  <c r="B1021" i="3"/>
  <c r="C1021" i="3"/>
  <c r="D1021" i="3"/>
  <c r="E1021" i="3"/>
  <c r="F1021" i="3"/>
  <c r="G1021" i="3"/>
  <c r="H1021" i="3"/>
  <c r="I1021" i="3"/>
  <c r="J1021" i="3"/>
  <c r="K1021" i="3"/>
  <c r="B1022" i="3"/>
  <c r="C1022" i="3"/>
  <c r="D1022" i="3"/>
  <c r="E1022" i="3"/>
  <c r="F1022" i="3"/>
  <c r="G1022" i="3"/>
  <c r="H1022" i="3"/>
  <c r="I1022" i="3"/>
  <c r="J1022" i="3"/>
  <c r="K1022" i="3"/>
  <c r="B1023" i="3"/>
  <c r="C1023" i="3"/>
  <c r="D1023" i="3"/>
  <c r="E1023" i="3"/>
  <c r="F1023" i="3"/>
  <c r="G1023" i="3"/>
  <c r="H1023" i="3"/>
  <c r="I1023" i="3"/>
  <c r="J1023" i="3"/>
  <c r="K1023" i="3"/>
  <c r="B1024" i="3"/>
  <c r="C1024" i="3"/>
  <c r="D1024" i="3"/>
  <c r="E1024" i="3"/>
  <c r="F1024" i="3"/>
  <c r="G1024" i="3"/>
  <c r="H1024" i="3"/>
  <c r="I1024" i="3"/>
  <c r="J1024" i="3"/>
  <c r="K1024" i="3"/>
  <c r="B1025" i="3"/>
  <c r="C1025" i="3"/>
  <c r="D1025" i="3"/>
  <c r="E1025" i="3"/>
  <c r="F1025" i="3"/>
  <c r="G1025" i="3"/>
  <c r="H1025" i="3"/>
  <c r="I1025" i="3"/>
  <c r="J1025" i="3"/>
  <c r="K1025" i="3"/>
  <c r="B1026" i="3"/>
  <c r="C1026" i="3"/>
  <c r="D1026" i="3"/>
  <c r="E1026" i="3"/>
  <c r="F1026" i="3"/>
  <c r="G1026" i="3"/>
  <c r="H1026" i="3"/>
  <c r="I1026" i="3"/>
  <c r="J1026" i="3"/>
  <c r="K1026" i="3"/>
  <c r="B1027" i="3"/>
  <c r="C1027" i="3"/>
  <c r="D1027" i="3"/>
  <c r="E1027" i="3"/>
  <c r="F1027" i="3"/>
  <c r="G1027" i="3"/>
  <c r="H1027" i="3"/>
  <c r="I1027" i="3"/>
  <c r="J1027" i="3"/>
  <c r="K1027" i="3"/>
  <c r="B1028" i="3"/>
  <c r="C1028" i="3"/>
  <c r="D1028" i="3"/>
  <c r="E1028" i="3"/>
  <c r="F1028" i="3"/>
  <c r="G1028" i="3"/>
  <c r="H1028" i="3"/>
  <c r="I1028" i="3"/>
  <c r="J1028" i="3"/>
  <c r="K1028" i="3"/>
  <c r="B1029" i="3"/>
  <c r="C1029" i="3"/>
  <c r="D1029" i="3"/>
  <c r="E1029" i="3"/>
  <c r="F1029" i="3"/>
  <c r="G1029" i="3"/>
  <c r="H1029" i="3"/>
  <c r="I1029" i="3"/>
  <c r="J1029" i="3"/>
  <c r="K1029" i="3"/>
  <c r="B1030" i="3"/>
  <c r="C1030" i="3"/>
  <c r="D1030" i="3"/>
  <c r="E1030" i="3"/>
  <c r="F1030" i="3"/>
  <c r="G1030" i="3"/>
  <c r="H1030" i="3"/>
  <c r="I1030" i="3"/>
  <c r="J1030" i="3"/>
  <c r="K1030" i="3"/>
  <c r="B1031" i="3"/>
  <c r="C1031" i="3"/>
  <c r="D1031" i="3"/>
  <c r="E1031" i="3"/>
  <c r="F1031" i="3"/>
  <c r="G1031" i="3"/>
  <c r="H1031" i="3"/>
  <c r="I1031" i="3"/>
  <c r="J1031" i="3"/>
  <c r="K1031" i="3"/>
  <c r="B1032" i="3"/>
  <c r="C1032" i="3"/>
  <c r="D1032" i="3"/>
  <c r="E1032" i="3"/>
  <c r="F1032" i="3"/>
  <c r="G1032" i="3"/>
  <c r="H1032" i="3"/>
  <c r="I1032" i="3"/>
  <c r="J1032" i="3"/>
  <c r="K1032" i="3"/>
  <c r="B1033" i="3"/>
  <c r="C1033" i="3"/>
  <c r="D1033" i="3"/>
  <c r="E1033" i="3"/>
  <c r="F1033" i="3"/>
  <c r="G1033" i="3"/>
  <c r="H1033" i="3"/>
  <c r="I1033" i="3"/>
  <c r="J1033" i="3"/>
  <c r="K1033" i="3"/>
  <c r="B1034" i="3"/>
  <c r="C1034" i="3"/>
  <c r="D1034" i="3"/>
  <c r="E1034" i="3"/>
  <c r="F1034" i="3"/>
  <c r="G1034" i="3"/>
  <c r="H1034" i="3"/>
  <c r="I1034" i="3"/>
  <c r="J1034" i="3"/>
  <c r="K1034" i="3"/>
  <c r="B1035" i="3"/>
  <c r="C1035" i="3"/>
  <c r="D1035" i="3"/>
  <c r="E1035" i="3"/>
  <c r="F1035" i="3"/>
  <c r="G1035" i="3"/>
  <c r="H1035" i="3"/>
  <c r="I1035" i="3"/>
  <c r="J1035" i="3"/>
  <c r="K1035" i="3"/>
  <c r="B1036" i="3"/>
  <c r="C1036" i="3"/>
  <c r="D1036" i="3"/>
  <c r="E1036" i="3"/>
  <c r="F1036" i="3"/>
  <c r="G1036" i="3"/>
  <c r="H1036" i="3"/>
  <c r="I1036" i="3"/>
  <c r="J1036" i="3"/>
  <c r="K1036" i="3"/>
  <c r="B1037" i="3"/>
  <c r="C1037" i="3"/>
  <c r="D1037" i="3"/>
  <c r="E1037" i="3"/>
  <c r="F1037" i="3"/>
  <c r="G1037" i="3"/>
  <c r="H1037" i="3"/>
  <c r="I1037" i="3"/>
  <c r="J1037" i="3"/>
  <c r="K1037" i="3"/>
  <c r="B1038" i="3"/>
  <c r="C1038" i="3"/>
  <c r="D1038" i="3"/>
  <c r="E1038" i="3"/>
  <c r="F1038" i="3"/>
  <c r="G1038" i="3"/>
  <c r="H1038" i="3"/>
  <c r="I1038" i="3"/>
  <c r="J1038" i="3"/>
  <c r="K1038" i="3"/>
  <c r="B1039" i="3"/>
  <c r="C1039" i="3"/>
  <c r="D1039" i="3"/>
  <c r="E1039" i="3"/>
  <c r="F1039" i="3"/>
  <c r="G1039" i="3"/>
  <c r="H1039" i="3"/>
  <c r="I1039" i="3"/>
  <c r="J1039" i="3"/>
  <c r="K1039" i="3"/>
  <c r="B1040" i="3"/>
  <c r="C1040" i="3"/>
  <c r="D1040" i="3"/>
  <c r="E1040" i="3"/>
  <c r="F1040" i="3"/>
  <c r="G1040" i="3"/>
  <c r="H1040" i="3"/>
  <c r="I1040" i="3"/>
  <c r="J1040" i="3"/>
  <c r="K1040" i="3"/>
  <c r="B1041" i="3"/>
  <c r="C1041" i="3"/>
  <c r="D1041" i="3"/>
  <c r="E1041" i="3"/>
  <c r="F1041" i="3"/>
  <c r="G1041" i="3"/>
  <c r="H1041" i="3"/>
  <c r="I1041" i="3"/>
  <c r="J1041" i="3"/>
  <c r="K1041" i="3"/>
  <c r="B1042" i="3"/>
  <c r="C1042" i="3"/>
  <c r="D1042" i="3"/>
  <c r="E1042" i="3"/>
  <c r="F1042" i="3"/>
  <c r="G1042" i="3"/>
  <c r="H1042" i="3"/>
  <c r="I1042" i="3"/>
  <c r="J1042" i="3"/>
  <c r="K1042" i="3"/>
  <c r="B1043" i="3"/>
  <c r="C1043" i="3"/>
  <c r="D1043" i="3"/>
  <c r="E1043" i="3"/>
  <c r="F1043" i="3"/>
  <c r="G1043" i="3"/>
  <c r="H1043" i="3"/>
  <c r="I1043" i="3"/>
  <c r="J1043" i="3"/>
  <c r="K1043" i="3"/>
  <c r="B1044" i="3"/>
  <c r="C1044" i="3"/>
  <c r="D1044" i="3"/>
  <c r="E1044" i="3"/>
  <c r="F1044" i="3"/>
  <c r="G1044" i="3"/>
  <c r="H1044" i="3"/>
  <c r="I1044" i="3"/>
  <c r="J1044" i="3"/>
  <c r="K1044" i="3"/>
  <c r="B1045" i="3"/>
  <c r="C1045" i="3"/>
  <c r="D1045" i="3"/>
  <c r="E1045" i="3"/>
  <c r="F1045" i="3"/>
  <c r="G1045" i="3"/>
  <c r="H1045" i="3"/>
  <c r="I1045" i="3"/>
  <c r="J1045" i="3"/>
  <c r="K1045" i="3"/>
  <c r="B1046" i="3"/>
  <c r="C1046" i="3"/>
  <c r="D1046" i="3"/>
  <c r="E1046" i="3"/>
  <c r="F1046" i="3"/>
  <c r="G1046" i="3"/>
  <c r="H1046" i="3"/>
  <c r="I1046" i="3"/>
  <c r="J1046" i="3"/>
  <c r="K1046" i="3"/>
  <c r="B1047" i="3"/>
  <c r="C1047" i="3"/>
  <c r="D1047" i="3"/>
  <c r="E1047" i="3"/>
  <c r="F1047" i="3"/>
  <c r="G1047" i="3"/>
  <c r="H1047" i="3"/>
  <c r="I1047" i="3"/>
  <c r="J1047" i="3"/>
  <c r="K1047" i="3"/>
  <c r="B1048" i="3"/>
  <c r="C1048" i="3"/>
  <c r="D1048" i="3"/>
  <c r="E1048" i="3"/>
  <c r="F1048" i="3"/>
  <c r="G1048" i="3"/>
  <c r="H1048" i="3"/>
  <c r="I1048" i="3"/>
  <c r="J1048" i="3"/>
  <c r="K1048" i="3"/>
  <c r="B1049" i="3"/>
  <c r="C1049" i="3"/>
  <c r="D1049" i="3"/>
  <c r="E1049" i="3"/>
  <c r="F1049" i="3"/>
  <c r="G1049" i="3"/>
  <c r="H1049" i="3"/>
  <c r="I1049" i="3"/>
  <c r="J1049" i="3"/>
  <c r="K1049" i="3"/>
  <c r="B1050" i="3"/>
  <c r="C1050" i="3"/>
  <c r="D1050" i="3"/>
  <c r="E1050" i="3"/>
  <c r="F1050" i="3"/>
  <c r="G1050" i="3"/>
  <c r="H1050" i="3"/>
  <c r="I1050" i="3"/>
  <c r="J1050" i="3"/>
  <c r="K1050" i="3"/>
  <c r="B1051" i="3"/>
  <c r="C1051" i="3"/>
  <c r="D1051" i="3"/>
  <c r="E1051" i="3"/>
  <c r="F1051" i="3"/>
  <c r="G1051" i="3"/>
  <c r="H1051" i="3"/>
  <c r="I1051" i="3"/>
  <c r="J1051" i="3"/>
  <c r="K1051" i="3"/>
  <c r="B1052" i="3"/>
  <c r="C1052" i="3"/>
  <c r="D1052" i="3"/>
  <c r="E1052" i="3"/>
  <c r="F1052" i="3"/>
  <c r="G1052" i="3"/>
  <c r="H1052" i="3"/>
  <c r="I1052" i="3"/>
  <c r="J1052" i="3"/>
  <c r="K1052" i="3"/>
  <c r="B1053" i="3"/>
  <c r="C1053" i="3"/>
  <c r="D1053" i="3"/>
  <c r="E1053" i="3"/>
  <c r="F1053" i="3"/>
  <c r="G1053" i="3"/>
  <c r="H1053" i="3"/>
  <c r="I1053" i="3"/>
  <c r="J1053" i="3"/>
  <c r="K1053" i="3"/>
  <c r="B1054" i="3"/>
  <c r="C1054" i="3"/>
  <c r="D1054" i="3"/>
  <c r="E1054" i="3"/>
  <c r="F1054" i="3"/>
  <c r="G1054" i="3"/>
  <c r="H1054" i="3"/>
  <c r="I1054" i="3"/>
  <c r="J1054" i="3"/>
  <c r="K1054" i="3"/>
  <c r="B1055" i="3"/>
  <c r="C1055" i="3"/>
  <c r="D1055" i="3"/>
  <c r="E1055" i="3"/>
  <c r="F1055" i="3"/>
  <c r="G1055" i="3"/>
  <c r="H1055" i="3"/>
  <c r="I1055" i="3"/>
  <c r="J1055" i="3"/>
  <c r="K1055" i="3"/>
  <c r="B1056" i="3"/>
  <c r="C1056" i="3"/>
  <c r="D1056" i="3"/>
  <c r="E1056" i="3"/>
  <c r="F1056" i="3"/>
  <c r="G1056" i="3"/>
  <c r="H1056" i="3"/>
  <c r="I1056" i="3"/>
  <c r="J1056" i="3"/>
  <c r="K1056" i="3"/>
  <c r="B1057" i="3"/>
  <c r="C1057" i="3"/>
  <c r="D1057" i="3"/>
  <c r="E1057" i="3"/>
  <c r="F1057" i="3"/>
  <c r="G1057" i="3"/>
  <c r="H1057" i="3"/>
  <c r="I1057" i="3"/>
  <c r="J1057" i="3"/>
  <c r="K1057" i="3"/>
  <c r="B1058" i="3"/>
  <c r="C1058" i="3"/>
  <c r="D1058" i="3"/>
  <c r="E1058" i="3"/>
  <c r="F1058" i="3"/>
  <c r="G1058" i="3"/>
  <c r="H1058" i="3"/>
  <c r="I1058" i="3"/>
  <c r="J1058" i="3"/>
  <c r="K1058" i="3"/>
  <c r="B1059" i="3"/>
  <c r="C1059" i="3"/>
  <c r="D1059" i="3"/>
  <c r="E1059" i="3"/>
  <c r="F1059" i="3"/>
  <c r="G1059" i="3"/>
  <c r="H1059" i="3"/>
  <c r="I1059" i="3"/>
  <c r="J1059" i="3"/>
  <c r="K1059" i="3"/>
  <c r="B1060" i="3"/>
  <c r="C1060" i="3"/>
  <c r="D1060" i="3"/>
  <c r="E1060" i="3"/>
  <c r="F1060" i="3"/>
  <c r="G1060" i="3"/>
  <c r="H1060" i="3"/>
  <c r="I1060" i="3"/>
  <c r="J1060" i="3"/>
  <c r="K1060" i="3"/>
  <c r="B1061" i="3"/>
  <c r="C1061" i="3"/>
  <c r="D1061" i="3"/>
  <c r="E1061" i="3"/>
  <c r="F1061" i="3"/>
  <c r="G1061" i="3"/>
  <c r="H1061" i="3"/>
  <c r="I1061" i="3"/>
  <c r="J1061" i="3"/>
  <c r="K1061" i="3"/>
  <c r="B1062" i="3"/>
  <c r="C1062" i="3"/>
  <c r="D1062" i="3"/>
  <c r="E1062" i="3"/>
  <c r="F1062" i="3"/>
  <c r="G1062" i="3"/>
  <c r="H1062" i="3"/>
  <c r="I1062" i="3"/>
  <c r="J1062" i="3"/>
  <c r="K1062" i="3"/>
  <c r="B1063" i="3"/>
  <c r="C1063" i="3"/>
  <c r="D1063" i="3"/>
  <c r="E1063" i="3"/>
  <c r="F1063" i="3"/>
  <c r="G1063" i="3"/>
  <c r="H1063" i="3"/>
  <c r="I1063" i="3"/>
  <c r="J1063" i="3"/>
  <c r="K1063" i="3"/>
  <c r="B1064" i="3"/>
  <c r="C1064" i="3"/>
  <c r="D1064" i="3"/>
  <c r="E1064" i="3"/>
  <c r="F1064" i="3"/>
  <c r="G1064" i="3"/>
  <c r="H1064" i="3"/>
  <c r="I1064" i="3"/>
  <c r="J1064" i="3"/>
  <c r="K1064" i="3"/>
  <c r="B1065" i="3"/>
  <c r="C1065" i="3"/>
  <c r="D1065" i="3"/>
  <c r="E1065" i="3"/>
  <c r="F1065" i="3"/>
  <c r="G1065" i="3"/>
  <c r="H1065" i="3"/>
  <c r="I1065" i="3"/>
  <c r="J1065" i="3"/>
  <c r="K1065" i="3"/>
  <c r="B1066" i="3"/>
  <c r="C1066" i="3"/>
  <c r="D1066" i="3"/>
  <c r="E1066" i="3"/>
  <c r="F1066" i="3"/>
  <c r="G1066" i="3"/>
  <c r="H1066" i="3"/>
  <c r="I1066" i="3"/>
  <c r="J1066" i="3"/>
  <c r="K1066" i="3"/>
  <c r="B1067" i="3"/>
  <c r="C1067" i="3"/>
  <c r="D1067" i="3"/>
  <c r="E1067" i="3"/>
  <c r="F1067" i="3"/>
  <c r="G1067" i="3"/>
  <c r="H1067" i="3"/>
  <c r="I1067" i="3"/>
  <c r="J1067" i="3"/>
  <c r="K1067" i="3"/>
  <c r="F1070" i="3"/>
  <c r="G1070" i="3"/>
  <c r="I1070" i="3"/>
  <c r="C1072" i="3"/>
  <c r="E1072" i="3"/>
  <c r="G1072" i="3"/>
  <c r="B1074" i="3"/>
  <c r="E1074" i="3"/>
  <c r="I1075" i="3"/>
  <c r="J1075" i="3"/>
  <c r="B1076" i="3"/>
  <c r="H1077" i="3"/>
  <c r="J1077" i="3"/>
  <c r="B1079" i="3"/>
  <c r="E1079" i="3"/>
  <c r="F1079" i="3"/>
  <c r="H1079" i="3"/>
  <c r="J1080" i="3"/>
  <c r="B1081" i="3"/>
  <c r="C1081" i="3"/>
  <c r="F1081" i="3"/>
  <c r="H1082" i="3"/>
  <c r="J1082" i="3"/>
  <c r="K1082" i="3"/>
  <c r="C1083" i="3"/>
  <c r="F1084" i="3"/>
  <c r="H1084" i="3"/>
  <c r="I1084" i="3"/>
  <c r="F1086" i="3"/>
  <c r="G1086" i="3"/>
  <c r="I1086" i="3"/>
  <c r="C1088" i="3"/>
  <c r="E1088" i="3"/>
  <c r="K1089" i="3"/>
  <c r="B1090" i="3"/>
  <c r="E1090" i="3"/>
  <c r="I1091" i="3"/>
  <c r="J1091" i="3"/>
  <c r="B1092" i="3"/>
  <c r="G1093" i="3"/>
  <c r="H1093" i="3"/>
  <c r="J1093" i="3"/>
  <c r="A1094" i="3"/>
  <c r="A1095" i="3" s="1"/>
  <c r="H1094" i="3"/>
  <c r="K1094" i="3"/>
  <c r="B1095" i="3"/>
  <c r="C1095" i="3"/>
  <c r="A1096" i="3"/>
  <c r="A1097" i="3" s="1"/>
  <c r="A1098" i="3" s="1"/>
  <c r="A1099" i="3" s="1"/>
  <c r="A1100" i="3" s="1"/>
  <c r="A1101" i="3" s="1"/>
  <c r="A1102" i="3" s="1"/>
  <c r="A1103" i="3" s="1"/>
  <c r="A1104" i="3" s="1"/>
  <c r="A1105" i="3" s="1"/>
  <c r="A1106" i="3" s="1"/>
  <c r="A1107" i="3" s="1"/>
  <c r="A1108" i="3" s="1"/>
  <c r="A1109" i="3" s="1"/>
  <c r="A1110" i="3" s="1"/>
  <c r="A1111" i="3" s="1"/>
  <c r="A1112" i="3" s="1"/>
  <c r="A1113" i="3" s="1"/>
  <c r="A1114" i="3" s="1"/>
  <c r="A1115" i="3" s="1"/>
  <c r="A1116" i="3" s="1"/>
  <c r="A1117" i="3" s="1"/>
  <c r="A1118" i="3" s="1"/>
  <c r="I1096" i="3"/>
  <c r="J1096" i="3"/>
  <c r="J1097" i="3"/>
  <c r="B1098" i="3"/>
  <c r="F1098" i="3"/>
  <c r="F1099" i="3"/>
  <c r="H1101" i="3"/>
  <c r="H1102" i="3"/>
  <c r="B1103" i="3"/>
  <c r="J1104" i="3"/>
  <c r="J1105" i="3"/>
  <c r="B1106" i="3"/>
  <c r="F1106" i="3"/>
  <c r="F1107" i="3"/>
  <c r="H1109" i="3"/>
  <c r="H1110" i="3"/>
  <c r="B1111" i="3"/>
  <c r="J1112" i="3"/>
  <c r="J1113" i="3"/>
  <c r="B1114" i="3"/>
  <c r="F1114" i="3"/>
  <c r="F1115" i="3"/>
  <c r="H1117" i="3"/>
  <c r="C9" i="2"/>
  <c r="E9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B242" i="2"/>
  <c r="C242" i="2"/>
  <c r="C1090" i="2" s="1"/>
  <c r="D242" i="2"/>
  <c r="E242" i="2"/>
  <c r="F242" i="2"/>
  <c r="G242" i="2"/>
  <c r="H242" i="2"/>
  <c r="I242" i="2"/>
  <c r="J242" i="2"/>
  <c r="K242" i="2"/>
  <c r="L242" i="2"/>
  <c r="M242" i="2"/>
  <c r="N242" i="2"/>
  <c r="O242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B259" i="2"/>
  <c r="C259" i="2"/>
  <c r="D259" i="2"/>
  <c r="E259" i="2"/>
  <c r="E1091" i="2" s="1"/>
  <c r="F259" i="2"/>
  <c r="G259" i="2"/>
  <c r="H259" i="2"/>
  <c r="I259" i="2"/>
  <c r="J259" i="2"/>
  <c r="K259" i="2"/>
  <c r="L259" i="2"/>
  <c r="M259" i="2"/>
  <c r="N259" i="2"/>
  <c r="O259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B295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B304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B313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B314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B315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B316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B317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B319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B320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B321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B322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B327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B328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B329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B330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B331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B332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B333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B334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B335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B336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B337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B338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B339" i="2"/>
  <c r="C339" i="2"/>
  <c r="D339" i="2"/>
  <c r="E339" i="2"/>
  <c r="F339" i="2"/>
  <c r="G339" i="2"/>
  <c r="H339" i="2"/>
  <c r="I339" i="2"/>
  <c r="I1098" i="2" s="1"/>
  <c r="J339" i="2"/>
  <c r="K339" i="2"/>
  <c r="L339" i="2"/>
  <c r="M339" i="2"/>
  <c r="N339" i="2"/>
  <c r="O339" i="2"/>
  <c r="B340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B349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B350" i="2"/>
  <c r="C350" i="2"/>
  <c r="C1099" i="2" s="1"/>
  <c r="D350" i="2"/>
  <c r="E350" i="2"/>
  <c r="F350" i="2"/>
  <c r="G350" i="2"/>
  <c r="H350" i="2"/>
  <c r="I350" i="2"/>
  <c r="J350" i="2"/>
  <c r="K350" i="2"/>
  <c r="L350" i="2"/>
  <c r="M350" i="2"/>
  <c r="N350" i="2"/>
  <c r="O350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B358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O1100" i="2" s="1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B367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B376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B377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B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B379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B380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B381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B382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B383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B384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B385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B394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B403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B412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B421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B430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B431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B432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B433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B434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B435" i="2"/>
  <c r="C435" i="2"/>
  <c r="D435" i="2"/>
  <c r="E435" i="2"/>
  <c r="F435" i="2"/>
  <c r="G435" i="2"/>
  <c r="H435" i="2"/>
  <c r="I435" i="2"/>
  <c r="I1106" i="2" s="1"/>
  <c r="J435" i="2"/>
  <c r="K435" i="2"/>
  <c r="L435" i="2"/>
  <c r="M435" i="2"/>
  <c r="N435" i="2"/>
  <c r="O435" i="2"/>
  <c r="B436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B437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B438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B439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B440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B441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B442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B443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B444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B445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B446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B447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B448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B449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B450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B451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B452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B453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B454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B455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B456" i="2"/>
  <c r="C456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B457" i="2"/>
  <c r="C457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B458" i="2"/>
  <c r="C458" i="2"/>
  <c r="D458" i="2"/>
  <c r="E458" i="2"/>
  <c r="F458" i="2"/>
  <c r="G458" i="2"/>
  <c r="G1108" i="2" s="1"/>
  <c r="H458" i="2"/>
  <c r="I458" i="2"/>
  <c r="J458" i="2"/>
  <c r="K458" i="2"/>
  <c r="L458" i="2"/>
  <c r="M458" i="2"/>
  <c r="N458" i="2"/>
  <c r="O458" i="2"/>
  <c r="B459" i="2"/>
  <c r="C459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B460" i="2"/>
  <c r="C460" i="2"/>
  <c r="D460" i="2"/>
  <c r="E460" i="2"/>
  <c r="F460" i="2"/>
  <c r="G460" i="2"/>
  <c r="H460" i="2"/>
  <c r="I460" i="2"/>
  <c r="J460" i="2"/>
  <c r="K460" i="2"/>
  <c r="L460" i="2"/>
  <c r="M460" i="2"/>
  <c r="N460" i="2"/>
  <c r="O460" i="2"/>
  <c r="B461" i="2"/>
  <c r="C461" i="2"/>
  <c r="D461" i="2"/>
  <c r="E461" i="2"/>
  <c r="F461" i="2"/>
  <c r="G461" i="2"/>
  <c r="H461" i="2"/>
  <c r="I461" i="2"/>
  <c r="J461" i="2"/>
  <c r="K461" i="2"/>
  <c r="L461" i="2"/>
  <c r="M461" i="2"/>
  <c r="N461" i="2"/>
  <c r="O461" i="2"/>
  <c r="B462" i="2"/>
  <c r="C462" i="2"/>
  <c r="D462" i="2"/>
  <c r="E462" i="2"/>
  <c r="F462" i="2"/>
  <c r="G462" i="2"/>
  <c r="H462" i="2"/>
  <c r="I462" i="2"/>
  <c r="J462" i="2"/>
  <c r="K462" i="2"/>
  <c r="L462" i="2"/>
  <c r="M462" i="2"/>
  <c r="N462" i="2"/>
  <c r="O462" i="2"/>
  <c r="B463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B464" i="2"/>
  <c r="C464" i="2"/>
  <c r="D464" i="2"/>
  <c r="E464" i="2"/>
  <c r="F464" i="2"/>
  <c r="G464" i="2"/>
  <c r="H464" i="2"/>
  <c r="I464" i="2"/>
  <c r="J464" i="2"/>
  <c r="K464" i="2"/>
  <c r="L464" i="2"/>
  <c r="M464" i="2"/>
  <c r="N464" i="2"/>
  <c r="O464" i="2"/>
  <c r="B465" i="2"/>
  <c r="C465" i="2"/>
  <c r="D465" i="2"/>
  <c r="E465" i="2"/>
  <c r="F465" i="2"/>
  <c r="G465" i="2"/>
  <c r="H465" i="2"/>
  <c r="I465" i="2"/>
  <c r="J465" i="2"/>
  <c r="K465" i="2"/>
  <c r="L465" i="2"/>
  <c r="M465" i="2"/>
  <c r="N465" i="2"/>
  <c r="O465" i="2"/>
  <c r="B466" i="2"/>
  <c r="C466" i="2"/>
  <c r="D466" i="2"/>
  <c r="E466" i="2"/>
  <c r="F466" i="2"/>
  <c r="G466" i="2"/>
  <c r="H466" i="2"/>
  <c r="I466" i="2"/>
  <c r="J466" i="2"/>
  <c r="K466" i="2"/>
  <c r="L466" i="2"/>
  <c r="M466" i="2"/>
  <c r="N466" i="2"/>
  <c r="O466" i="2"/>
  <c r="B467" i="2"/>
  <c r="C467" i="2"/>
  <c r="D467" i="2"/>
  <c r="E467" i="2"/>
  <c r="F467" i="2"/>
  <c r="G467" i="2"/>
  <c r="H467" i="2"/>
  <c r="I467" i="2"/>
  <c r="J467" i="2"/>
  <c r="K467" i="2"/>
  <c r="L467" i="2"/>
  <c r="M467" i="2"/>
  <c r="N467" i="2"/>
  <c r="O467" i="2"/>
  <c r="B468" i="2"/>
  <c r="C468" i="2"/>
  <c r="D468" i="2"/>
  <c r="E468" i="2"/>
  <c r="F468" i="2"/>
  <c r="G468" i="2"/>
  <c r="H468" i="2"/>
  <c r="I468" i="2"/>
  <c r="J468" i="2"/>
  <c r="K468" i="2"/>
  <c r="L468" i="2"/>
  <c r="M468" i="2"/>
  <c r="N468" i="2"/>
  <c r="O468" i="2"/>
  <c r="B469" i="2"/>
  <c r="C469" i="2"/>
  <c r="D469" i="2"/>
  <c r="E469" i="2"/>
  <c r="F469" i="2"/>
  <c r="G469" i="2"/>
  <c r="H469" i="2"/>
  <c r="I469" i="2"/>
  <c r="J469" i="2"/>
  <c r="K469" i="2"/>
  <c r="L469" i="2"/>
  <c r="M469" i="2"/>
  <c r="N469" i="2"/>
  <c r="O469" i="2"/>
  <c r="B470" i="2"/>
  <c r="C470" i="2"/>
  <c r="D470" i="2"/>
  <c r="E470" i="2"/>
  <c r="F470" i="2"/>
  <c r="G470" i="2"/>
  <c r="H470" i="2"/>
  <c r="I470" i="2"/>
  <c r="J470" i="2"/>
  <c r="K470" i="2"/>
  <c r="L470" i="2"/>
  <c r="M470" i="2"/>
  <c r="N470" i="2"/>
  <c r="O470" i="2"/>
  <c r="B471" i="2"/>
  <c r="C471" i="2"/>
  <c r="D471" i="2"/>
  <c r="E471" i="2"/>
  <c r="F471" i="2"/>
  <c r="G471" i="2"/>
  <c r="H471" i="2"/>
  <c r="I471" i="2"/>
  <c r="I1109" i="2" s="1"/>
  <c r="J471" i="2"/>
  <c r="K471" i="2"/>
  <c r="L471" i="2"/>
  <c r="M471" i="2"/>
  <c r="N471" i="2"/>
  <c r="O471" i="2"/>
  <c r="B472" i="2"/>
  <c r="C472" i="2"/>
  <c r="D472" i="2"/>
  <c r="E472" i="2"/>
  <c r="F472" i="2"/>
  <c r="G472" i="2"/>
  <c r="H472" i="2"/>
  <c r="I472" i="2"/>
  <c r="J472" i="2"/>
  <c r="K472" i="2"/>
  <c r="L472" i="2"/>
  <c r="M472" i="2"/>
  <c r="N472" i="2"/>
  <c r="O472" i="2"/>
  <c r="B473" i="2"/>
  <c r="C473" i="2"/>
  <c r="D473" i="2"/>
  <c r="E473" i="2"/>
  <c r="F473" i="2"/>
  <c r="G473" i="2"/>
  <c r="H473" i="2"/>
  <c r="I473" i="2"/>
  <c r="J473" i="2"/>
  <c r="K473" i="2"/>
  <c r="L473" i="2"/>
  <c r="M473" i="2"/>
  <c r="N473" i="2"/>
  <c r="O473" i="2"/>
  <c r="B474" i="2"/>
  <c r="C474" i="2"/>
  <c r="D474" i="2"/>
  <c r="E474" i="2"/>
  <c r="F474" i="2"/>
  <c r="G474" i="2"/>
  <c r="H474" i="2"/>
  <c r="I474" i="2"/>
  <c r="J474" i="2"/>
  <c r="K474" i="2"/>
  <c r="L474" i="2"/>
  <c r="M474" i="2"/>
  <c r="N474" i="2"/>
  <c r="O474" i="2"/>
  <c r="B475" i="2"/>
  <c r="C475" i="2"/>
  <c r="D475" i="2"/>
  <c r="E475" i="2"/>
  <c r="F475" i="2"/>
  <c r="G475" i="2"/>
  <c r="H475" i="2"/>
  <c r="I475" i="2"/>
  <c r="J475" i="2"/>
  <c r="K475" i="2"/>
  <c r="L475" i="2"/>
  <c r="M475" i="2"/>
  <c r="N475" i="2"/>
  <c r="O475" i="2"/>
  <c r="B476" i="2"/>
  <c r="C476" i="2"/>
  <c r="D476" i="2"/>
  <c r="E476" i="2"/>
  <c r="F476" i="2"/>
  <c r="G476" i="2"/>
  <c r="H476" i="2"/>
  <c r="I476" i="2"/>
  <c r="J476" i="2"/>
  <c r="K476" i="2"/>
  <c r="L476" i="2"/>
  <c r="M476" i="2"/>
  <c r="N476" i="2"/>
  <c r="O476" i="2"/>
  <c r="B477" i="2"/>
  <c r="C477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B478" i="2"/>
  <c r="C478" i="2"/>
  <c r="D478" i="2"/>
  <c r="E478" i="2"/>
  <c r="F478" i="2"/>
  <c r="G478" i="2"/>
  <c r="H478" i="2"/>
  <c r="I478" i="2"/>
  <c r="J478" i="2"/>
  <c r="K478" i="2"/>
  <c r="L478" i="2"/>
  <c r="M478" i="2"/>
  <c r="N478" i="2"/>
  <c r="O478" i="2"/>
  <c r="B479" i="2"/>
  <c r="C479" i="2"/>
  <c r="D479" i="2"/>
  <c r="E479" i="2"/>
  <c r="F479" i="2"/>
  <c r="G479" i="2"/>
  <c r="H479" i="2"/>
  <c r="I479" i="2"/>
  <c r="J479" i="2"/>
  <c r="K479" i="2"/>
  <c r="L479" i="2"/>
  <c r="M479" i="2"/>
  <c r="N479" i="2"/>
  <c r="O479" i="2"/>
  <c r="B480" i="2"/>
  <c r="C480" i="2"/>
  <c r="D480" i="2"/>
  <c r="E480" i="2"/>
  <c r="F480" i="2"/>
  <c r="G480" i="2"/>
  <c r="H480" i="2"/>
  <c r="I480" i="2"/>
  <c r="J480" i="2"/>
  <c r="K480" i="2"/>
  <c r="L480" i="2"/>
  <c r="M480" i="2"/>
  <c r="N480" i="2"/>
  <c r="O480" i="2"/>
  <c r="B481" i="2"/>
  <c r="C481" i="2"/>
  <c r="D481" i="2"/>
  <c r="E481" i="2"/>
  <c r="F481" i="2"/>
  <c r="G481" i="2"/>
  <c r="H481" i="2"/>
  <c r="I481" i="2"/>
  <c r="J481" i="2"/>
  <c r="K481" i="2"/>
  <c r="L481" i="2"/>
  <c r="M481" i="2"/>
  <c r="N481" i="2"/>
  <c r="O481" i="2"/>
  <c r="B482" i="2"/>
  <c r="C482" i="2"/>
  <c r="D482" i="2"/>
  <c r="E482" i="2"/>
  <c r="F482" i="2"/>
  <c r="G482" i="2"/>
  <c r="H482" i="2"/>
  <c r="I482" i="2"/>
  <c r="J482" i="2"/>
  <c r="K482" i="2"/>
  <c r="L482" i="2"/>
  <c r="M482" i="2"/>
  <c r="N482" i="2"/>
  <c r="O482" i="2"/>
  <c r="B483" i="2"/>
  <c r="C483" i="2"/>
  <c r="D483" i="2"/>
  <c r="E483" i="2"/>
  <c r="F483" i="2"/>
  <c r="G483" i="2"/>
  <c r="H483" i="2"/>
  <c r="I483" i="2"/>
  <c r="J483" i="2"/>
  <c r="K483" i="2"/>
  <c r="L483" i="2"/>
  <c r="M483" i="2"/>
  <c r="N483" i="2"/>
  <c r="O483" i="2"/>
  <c r="B484" i="2"/>
  <c r="C484" i="2"/>
  <c r="D484" i="2"/>
  <c r="E484" i="2"/>
  <c r="F484" i="2"/>
  <c r="G484" i="2"/>
  <c r="H484" i="2"/>
  <c r="I484" i="2"/>
  <c r="J484" i="2"/>
  <c r="K484" i="2"/>
  <c r="L484" i="2"/>
  <c r="M484" i="2"/>
  <c r="N484" i="2"/>
  <c r="O484" i="2"/>
  <c r="B485" i="2"/>
  <c r="C485" i="2"/>
  <c r="D485" i="2"/>
  <c r="E485" i="2"/>
  <c r="F485" i="2"/>
  <c r="G485" i="2"/>
  <c r="H485" i="2"/>
  <c r="I485" i="2"/>
  <c r="J485" i="2"/>
  <c r="K485" i="2"/>
  <c r="L485" i="2"/>
  <c r="M485" i="2"/>
  <c r="N485" i="2"/>
  <c r="O485" i="2"/>
  <c r="B486" i="2"/>
  <c r="C486" i="2"/>
  <c r="D486" i="2"/>
  <c r="E486" i="2"/>
  <c r="F486" i="2"/>
  <c r="G486" i="2"/>
  <c r="H486" i="2"/>
  <c r="I486" i="2"/>
  <c r="J486" i="2"/>
  <c r="K486" i="2"/>
  <c r="L486" i="2"/>
  <c r="M486" i="2"/>
  <c r="N486" i="2"/>
  <c r="O486" i="2"/>
  <c r="B487" i="2"/>
  <c r="C487" i="2"/>
  <c r="D487" i="2"/>
  <c r="E487" i="2"/>
  <c r="F487" i="2"/>
  <c r="G487" i="2"/>
  <c r="H487" i="2"/>
  <c r="I487" i="2"/>
  <c r="J487" i="2"/>
  <c r="K487" i="2"/>
  <c r="L487" i="2"/>
  <c r="M487" i="2"/>
  <c r="N487" i="2"/>
  <c r="O487" i="2"/>
  <c r="B488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B489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B490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B491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B492" i="2"/>
  <c r="C492" i="2"/>
  <c r="D492" i="2"/>
  <c r="E492" i="2"/>
  <c r="F492" i="2"/>
  <c r="G492" i="2"/>
  <c r="H492" i="2"/>
  <c r="I492" i="2"/>
  <c r="J492" i="2"/>
  <c r="K492" i="2"/>
  <c r="L492" i="2"/>
  <c r="M492" i="2"/>
  <c r="N492" i="2"/>
  <c r="O492" i="2"/>
  <c r="B493" i="2"/>
  <c r="C493" i="2"/>
  <c r="D493" i="2"/>
  <c r="E493" i="2"/>
  <c r="F493" i="2"/>
  <c r="G493" i="2"/>
  <c r="H493" i="2"/>
  <c r="I493" i="2"/>
  <c r="J493" i="2"/>
  <c r="K493" i="2"/>
  <c r="L493" i="2"/>
  <c r="M493" i="2"/>
  <c r="N493" i="2"/>
  <c r="O493" i="2"/>
  <c r="B494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B495" i="2"/>
  <c r="C495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B496" i="2"/>
  <c r="C496" i="2"/>
  <c r="D496" i="2"/>
  <c r="E496" i="2"/>
  <c r="F496" i="2"/>
  <c r="G496" i="2"/>
  <c r="H496" i="2"/>
  <c r="I496" i="2"/>
  <c r="J496" i="2"/>
  <c r="K496" i="2"/>
  <c r="L496" i="2"/>
  <c r="M496" i="2"/>
  <c r="N496" i="2"/>
  <c r="O496" i="2"/>
  <c r="B497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B498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B499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B500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B501" i="2"/>
  <c r="C501" i="2"/>
  <c r="D501" i="2"/>
  <c r="E501" i="2"/>
  <c r="F501" i="2"/>
  <c r="G501" i="2"/>
  <c r="H501" i="2"/>
  <c r="I501" i="2"/>
  <c r="J501" i="2"/>
  <c r="K501" i="2"/>
  <c r="L501" i="2"/>
  <c r="M501" i="2"/>
  <c r="N501" i="2"/>
  <c r="O501" i="2"/>
  <c r="B502" i="2"/>
  <c r="C502" i="2"/>
  <c r="D502" i="2"/>
  <c r="E502" i="2"/>
  <c r="F502" i="2"/>
  <c r="G502" i="2"/>
  <c r="H502" i="2"/>
  <c r="I502" i="2"/>
  <c r="J502" i="2"/>
  <c r="K502" i="2"/>
  <c r="L502" i="2"/>
  <c r="M502" i="2"/>
  <c r="N502" i="2"/>
  <c r="O502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B507" i="2"/>
  <c r="C507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B508" i="2"/>
  <c r="C508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B511" i="2"/>
  <c r="C511" i="2"/>
  <c r="D511" i="2"/>
  <c r="E511" i="2"/>
  <c r="F511" i="2"/>
  <c r="G511" i="2"/>
  <c r="H511" i="2"/>
  <c r="I511" i="2"/>
  <c r="J511" i="2"/>
  <c r="K511" i="2"/>
  <c r="L511" i="2"/>
  <c r="M511" i="2"/>
  <c r="N511" i="2"/>
  <c r="O511" i="2"/>
  <c r="B512" i="2"/>
  <c r="C512" i="2"/>
  <c r="D512" i="2"/>
  <c r="E512" i="2"/>
  <c r="F512" i="2"/>
  <c r="G512" i="2"/>
  <c r="H512" i="2"/>
  <c r="I512" i="2"/>
  <c r="J512" i="2"/>
  <c r="K512" i="2"/>
  <c r="L512" i="2"/>
  <c r="M512" i="2"/>
  <c r="N512" i="2"/>
  <c r="O512" i="2"/>
  <c r="B513" i="2"/>
  <c r="C513" i="2"/>
  <c r="D513" i="2"/>
  <c r="E513" i="2"/>
  <c r="F513" i="2"/>
  <c r="G513" i="2"/>
  <c r="H513" i="2"/>
  <c r="I513" i="2"/>
  <c r="J513" i="2"/>
  <c r="K513" i="2"/>
  <c r="L513" i="2"/>
  <c r="M513" i="2"/>
  <c r="N513" i="2"/>
  <c r="O513" i="2"/>
  <c r="B514" i="2"/>
  <c r="C514" i="2"/>
  <c r="D514" i="2"/>
  <c r="E514" i="2"/>
  <c r="F514" i="2"/>
  <c r="G514" i="2"/>
  <c r="H514" i="2"/>
  <c r="I514" i="2"/>
  <c r="J514" i="2"/>
  <c r="K514" i="2"/>
  <c r="L514" i="2"/>
  <c r="M514" i="2"/>
  <c r="N514" i="2"/>
  <c r="O514" i="2"/>
  <c r="B515" i="2"/>
  <c r="C515" i="2"/>
  <c r="D515" i="2"/>
  <c r="E515" i="2"/>
  <c r="F515" i="2"/>
  <c r="G515" i="2"/>
  <c r="H515" i="2"/>
  <c r="I515" i="2"/>
  <c r="J515" i="2"/>
  <c r="K515" i="2"/>
  <c r="L515" i="2"/>
  <c r="M515" i="2"/>
  <c r="N515" i="2"/>
  <c r="O515" i="2"/>
  <c r="B516" i="2"/>
  <c r="C516" i="2"/>
  <c r="D516" i="2"/>
  <c r="E516" i="2"/>
  <c r="F516" i="2"/>
  <c r="G516" i="2"/>
  <c r="H516" i="2"/>
  <c r="I516" i="2"/>
  <c r="J516" i="2"/>
  <c r="K516" i="2"/>
  <c r="L516" i="2"/>
  <c r="M516" i="2"/>
  <c r="N516" i="2"/>
  <c r="O516" i="2"/>
  <c r="B517" i="2"/>
  <c r="C517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B518" i="2"/>
  <c r="C518" i="2"/>
  <c r="D518" i="2"/>
  <c r="E518" i="2"/>
  <c r="F518" i="2"/>
  <c r="G518" i="2"/>
  <c r="H518" i="2"/>
  <c r="I518" i="2"/>
  <c r="J518" i="2"/>
  <c r="K518" i="2"/>
  <c r="L518" i="2"/>
  <c r="M518" i="2"/>
  <c r="N518" i="2"/>
  <c r="O518" i="2"/>
  <c r="B519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B520" i="2"/>
  <c r="C520" i="2"/>
  <c r="D520" i="2"/>
  <c r="E520" i="2"/>
  <c r="F520" i="2"/>
  <c r="G520" i="2"/>
  <c r="H520" i="2"/>
  <c r="I520" i="2"/>
  <c r="J520" i="2"/>
  <c r="K520" i="2"/>
  <c r="L520" i="2"/>
  <c r="M520" i="2"/>
  <c r="N520" i="2"/>
  <c r="O520" i="2"/>
  <c r="B521" i="2"/>
  <c r="C521" i="2"/>
  <c r="D521" i="2"/>
  <c r="E521" i="2"/>
  <c r="F521" i="2"/>
  <c r="G521" i="2"/>
  <c r="H521" i="2"/>
  <c r="I521" i="2"/>
  <c r="J521" i="2"/>
  <c r="K521" i="2"/>
  <c r="L521" i="2"/>
  <c r="M521" i="2"/>
  <c r="N521" i="2"/>
  <c r="O521" i="2"/>
  <c r="B522" i="2"/>
  <c r="C522" i="2"/>
  <c r="D522" i="2"/>
  <c r="E522" i="2"/>
  <c r="F522" i="2"/>
  <c r="G522" i="2"/>
  <c r="H522" i="2"/>
  <c r="I522" i="2"/>
  <c r="J522" i="2"/>
  <c r="K522" i="2"/>
  <c r="L522" i="2"/>
  <c r="M522" i="2"/>
  <c r="N522" i="2"/>
  <c r="O522" i="2"/>
  <c r="B523" i="2"/>
  <c r="C523" i="2"/>
  <c r="D523" i="2"/>
  <c r="E523" i="2"/>
  <c r="F523" i="2"/>
  <c r="G523" i="2"/>
  <c r="H523" i="2"/>
  <c r="I523" i="2"/>
  <c r="J523" i="2"/>
  <c r="K523" i="2"/>
  <c r="L523" i="2"/>
  <c r="M523" i="2"/>
  <c r="N523" i="2"/>
  <c r="O523" i="2"/>
  <c r="B524" i="2"/>
  <c r="C524" i="2"/>
  <c r="D524" i="2"/>
  <c r="E524" i="2"/>
  <c r="F524" i="2"/>
  <c r="G524" i="2"/>
  <c r="H524" i="2"/>
  <c r="I524" i="2"/>
  <c r="J524" i="2"/>
  <c r="K524" i="2"/>
  <c r="L524" i="2"/>
  <c r="M524" i="2"/>
  <c r="N524" i="2"/>
  <c r="O524" i="2"/>
  <c r="B525" i="2"/>
  <c r="C525" i="2"/>
  <c r="D525" i="2"/>
  <c r="E525" i="2"/>
  <c r="F525" i="2"/>
  <c r="G525" i="2"/>
  <c r="H525" i="2"/>
  <c r="I525" i="2"/>
  <c r="J525" i="2"/>
  <c r="K525" i="2"/>
  <c r="L525" i="2"/>
  <c r="M525" i="2"/>
  <c r="N525" i="2"/>
  <c r="O525" i="2"/>
  <c r="B526" i="2"/>
  <c r="C526" i="2"/>
  <c r="D526" i="2"/>
  <c r="E526" i="2"/>
  <c r="F526" i="2"/>
  <c r="G526" i="2"/>
  <c r="H526" i="2"/>
  <c r="I526" i="2"/>
  <c r="J526" i="2"/>
  <c r="K526" i="2"/>
  <c r="L526" i="2"/>
  <c r="M526" i="2"/>
  <c r="N526" i="2"/>
  <c r="O526" i="2"/>
  <c r="B527" i="2"/>
  <c r="C527" i="2"/>
  <c r="D527" i="2"/>
  <c r="E527" i="2"/>
  <c r="F527" i="2"/>
  <c r="G527" i="2"/>
  <c r="H527" i="2"/>
  <c r="I527" i="2"/>
  <c r="J527" i="2"/>
  <c r="K527" i="2"/>
  <c r="L527" i="2"/>
  <c r="M527" i="2"/>
  <c r="N527" i="2"/>
  <c r="O527" i="2"/>
  <c r="B528" i="2"/>
  <c r="C528" i="2"/>
  <c r="D528" i="2"/>
  <c r="E528" i="2"/>
  <c r="F528" i="2"/>
  <c r="G528" i="2"/>
  <c r="H528" i="2"/>
  <c r="I528" i="2"/>
  <c r="J528" i="2"/>
  <c r="K528" i="2"/>
  <c r="L528" i="2"/>
  <c r="M528" i="2"/>
  <c r="N528" i="2"/>
  <c r="O528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B537" i="2"/>
  <c r="C537" i="2"/>
  <c r="D537" i="2"/>
  <c r="E537" i="2"/>
  <c r="F537" i="2"/>
  <c r="G537" i="2"/>
  <c r="H537" i="2"/>
  <c r="I537" i="2"/>
  <c r="J537" i="2"/>
  <c r="K537" i="2"/>
  <c r="L537" i="2"/>
  <c r="M537" i="2"/>
  <c r="N537" i="2"/>
  <c r="O537" i="2"/>
  <c r="B538" i="2"/>
  <c r="C538" i="2"/>
  <c r="D538" i="2"/>
  <c r="E538" i="2"/>
  <c r="F538" i="2"/>
  <c r="G538" i="2"/>
  <c r="H538" i="2"/>
  <c r="I538" i="2"/>
  <c r="J538" i="2"/>
  <c r="K538" i="2"/>
  <c r="L538" i="2"/>
  <c r="M538" i="2"/>
  <c r="N538" i="2"/>
  <c r="O538" i="2"/>
  <c r="B539" i="2"/>
  <c r="C539" i="2"/>
  <c r="D539" i="2"/>
  <c r="E539" i="2"/>
  <c r="F539" i="2"/>
  <c r="G539" i="2"/>
  <c r="H539" i="2"/>
  <c r="I539" i="2"/>
  <c r="J539" i="2"/>
  <c r="K539" i="2"/>
  <c r="L539" i="2"/>
  <c r="M539" i="2"/>
  <c r="N539" i="2"/>
  <c r="O539" i="2"/>
  <c r="B540" i="2"/>
  <c r="C540" i="2"/>
  <c r="D540" i="2"/>
  <c r="E540" i="2"/>
  <c r="F540" i="2"/>
  <c r="G540" i="2"/>
  <c r="H540" i="2"/>
  <c r="I540" i="2"/>
  <c r="J540" i="2"/>
  <c r="K540" i="2"/>
  <c r="L540" i="2"/>
  <c r="M540" i="2"/>
  <c r="N540" i="2"/>
  <c r="O540" i="2"/>
  <c r="B541" i="2"/>
  <c r="C541" i="2"/>
  <c r="D541" i="2"/>
  <c r="E541" i="2"/>
  <c r="F541" i="2"/>
  <c r="G541" i="2"/>
  <c r="H541" i="2"/>
  <c r="I541" i="2"/>
  <c r="J541" i="2"/>
  <c r="K541" i="2"/>
  <c r="L541" i="2"/>
  <c r="M541" i="2"/>
  <c r="N541" i="2"/>
  <c r="O541" i="2"/>
  <c r="B542" i="2"/>
  <c r="C542" i="2"/>
  <c r="D542" i="2"/>
  <c r="E542" i="2"/>
  <c r="F542" i="2"/>
  <c r="G542" i="2"/>
  <c r="H542" i="2"/>
  <c r="I542" i="2"/>
  <c r="J542" i="2"/>
  <c r="K542" i="2"/>
  <c r="L542" i="2"/>
  <c r="M542" i="2"/>
  <c r="N542" i="2"/>
  <c r="O542" i="2"/>
  <c r="B543" i="2"/>
  <c r="C543" i="2"/>
  <c r="D543" i="2"/>
  <c r="E543" i="2"/>
  <c r="F543" i="2"/>
  <c r="G543" i="2"/>
  <c r="H543" i="2"/>
  <c r="I543" i="2"/>
  <c r="J543" i="2"/>
  <c r="K543" i="2"/>
  <c r="L543" i="2"/>
  <c r="M543" i="2"/>
  <c r="N543" i="2"/>
  <c r="O543" i="2"/>
  <c r="B544" i="2"/>
  <c r="C544" i="2"/>
  <c r="D544" i="2"/>
  <c r="E544" i="2"/>
  <c r="F544" i="2"/>
  <c r="G544" i="2"/>
  <c r="H544" i="2"/>
  <c r="I544" i="2"/>
  <c r="J544" i="2"/>
  <c r="K544" i="2"/>
  <c r="L544" i="2"/>
  <c r="M544" i="2"/>
  <c r="N544" i="2"/>
  <c r="O544" i="2"/>
  <c r="B545" i="2"/>
  <c r="C545" i="2"/>
  <c r="D545" i="2"/>
  <c r="E545" i="2"/>
  <c r="F545" i="2"/>
  <c r="G545" i="2"/>
  <c r="H545" i="2"/>
  <c r="I545" i="2"/>
  <c r="J545" i="2"/>
  <c r="K545" i="2"/>
  <c r="L545" i="2"/>
  <c r="M545" i="2"/>
  <c r="N545" i="2"/>
  <c r="O545" i="2"/>
  <c r="B546" i="2"/>
  <c r="C546" i="2"/>
  <c r="D546" i="2"/>
  <c r="E546" i="2"/>
  <c r="F546" i="2"/>
  <c r="G546" i="2"/>
  <c r="H546" i="2"/>
  <c r="I546" i="2"/>
  <c r="J546" i="2"/>
  <c r="K546" i="2"/>
  <c r="L546" i="2"/>
  <c r="M546" i="2"/>
  <c r="N546" i="2"/>
  <c r="O546" i="2"/>
  <c r="B547" i="2"/>
  <c r="C547" i="2"/>
  <c r="D547" i="2"/>
  <c r="E547" i="2"/>
  <c r="F547" i="2"/>
  <c r="G547" i="2"/>
  <c r="H547" i="2"/>
  <c r="I547" i="2"/>
  <c r="J547" i="2"/>
  <c r="K547" i="2"/>
  <c r="L547" i="2"/>
  <c r="M547" i="2"/>
  <c r="N547" i="2"/>
  <c r="O547" i="2"/>
  <c r="B548" i="2"/>
  <c r="C548" i="2"/>
  <c r="D548" i="2"/>
  <c r="E548" i="2"/>
  <c r="F548" i="2"/>
  <c r="G548" i="2"/>
  <c r="H548" i="2"/>
  <c r="I548" i="2"/>
  <c r="J548" i="2"/>
  <c r="K548" i="2"/>
  <c r="L548" i="2"/>
  <c r="M548" i="2"/>
  <c r="N548" i="2"/>
  <c r="O548" i="2"/>
  <c r="B549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B550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B551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B552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B553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B554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B555" i="2"/>
  <c r="C555" i="2"/>
  <c r="D555" i="2"/>
  <c r="E555" i="2"/>
  <c r="F555" i="2"/>
  <c r="G555" i="2"/>
  <c r="H555" i="2"/>
  <c r="I555" i="2"/>
  <c r="J555" i="2"/>
  <c r="K555" i="2"/>
  <c r="L555" i="2"/>
  <c r="M555" i="2"/>
  <c r="M1116" i="2" s="1"/>
  <c r="N555" i="2"/>
  <c r="O555" i="2"/>
  <c r="B556" i="2"/>
  <c r="C556" i="2"/>
  <c r="D556" i="2"/>
  <c r="E556" i="2"/>
  <c r="F556" i="2"/>
  <c r="G556" i="2"/>
  <c r="H556" i="2"/>
  <c r="I556" i="2"/>
  <c r="J556" i="2"/>
  <c r="K556" i="2"/>
  <c r="L556" i="2"/>
  <c r="M556" i="2"/>
  <c r="N556" i="2"/>
  <c r="O556" i="2"/>
  <c r="B557" i="2"/>
  <c r="C557" i="2"/>
  <c r="D557" i="2"/>
  <c r="E557" i="2"/>
  <c r="F557" i="2"/>
  <c r="G557" i="2"/>
  <c r="H557" i="2"/>
  <c r="I557" i="2"/>
  <c r="J557" i="2"/>
  <c r="K557" i="2"/>
  <c r="L557" i="2"/>
  <c r="M557" i="2"/>
  <c r="N557" i="2"/>
  <c r="O557" i="2"/>
  <c r="B558" i="2"/>
  <c r="C558" i="2"/>
  <c r="D558" i="2"/>
  <c r="E558" i="2"/>
  <c r="F558" i="2"/>
  <c r="G558" i="2"/>
  <c r="H558" i="2"/>
  <c r="I558" i="2"/>
  <c r="J558" i="2"/>
  <c r="K558" i="2"/>
  <c r="L558" i="2"/>
  <c r="M558" i="2"/>
  <c r="N558" i="2"/>
  <c r="O558" i="2"/>
  <c r="B559" i="2"/>
  <c r="C559" i="2"/>
  <c r="D559" i="2"/>
  <c r="E559" i="2"/>
  <c r="F559" i="2"/>
  <c r="G559" i="2"/>
  <c r="H559" i="2"/>
  <c r="I559" i="2"/>
  <c r="J559" i="2"/>
  <c r="K559" i="2"/>
  <c r="L559" i="2"/>
  <c r="M559" i="2"/>
  <c r="N559" i="2"/>
  <c r="O559" i="2"/>
  <c r="B560" i="2"/>
  <c r="C560" i="2"/>
  <c r="D560" i="2"/>
  <c r="E560" i="2"/>
  <c r="F560" i="2"/>
  <c r="G560" i="2"/>
  <c r="H560" i="2"/>
  <c r="I560" i="2"/>
  <c r="J560" i="2"/>
  <c r="K560" i="2"/>
  <c r="L560" i="2"/>
  <c r="M560" i="2"/>
  <c r="N560" i="2"/>
  <c r="O560" i="2"/>
  <c r="B561" i="2"/>
  <c r="C561" i="2"/>
  <c r="D561" i="2"/>
  <c r="E561" i="2"/>
  <c r="F561" i="2"/>
  <c r="G561" i="2"/>
  <c r="H561" i="2"/>
  <c r="I561" i="2"/>
  <c r="J561" i="2"/>
  <c r="K561" i="2"/>
  <c r="L561" i="2"/>
  <c r="M561" i="2"/>
  <c r="N561" i="2"/>
  <c r="O561" i="2"/>
  <c r="B562" i="2"/>
  <c r="C562" i="2"/>
  <c r="D562" i="2"/>
  <c r="E562" i="2"/>
  <c r="F562" i="2"/>
  <c r="G562" i="2"/>
  <c r="H562" i="2"/>
  <c r="I562" i="2"/>
  <c r="J562" i="2"/>
  <c r="K562" i="2"/>
  <c r="L562" i="2"/>
  <c r="M562" i="2"/>
  <c r="N562" i="2"/>
  <c r="O562" i="2"/>
  <c r="B563" i="2"/>
  <c r="C563" i="2"/>
  <c r="D563" i="2"/>
  <c r="E563" i="2"/>
  <c r="F563" i="2"/>
  <c r="G563" i="2"/>
  <c r="H563" i="2"/>
  <c r="I563" i="2"/>
  <c r="J563" i="2"/>
  <c r="K563" i="2"/>
  <c r="L563" i="2"/>
  <c r="M563" i="2"/>
  <c r="N563" i="2"/>
  <c r="O563" i="2"/>
  <c r="B564" i="2"/>
  <c r="C564" i="2"/>
  <c r="D564" i="2"/>
  <c r="E564" i="2"/>
  <c r="F564" i="2"/>
  <c r="G564" i="2"/>
  <c r="H564" i="2"/>
  <c r="I564" i="2"/>
  <c r="J564" i="2"/>
  <c r="K564" i="2"/>
  <c r="L564" i="2"/>
  <c r="M564" i="2"/>
  <c r="N564" i="2"/>
  <c r="O564" i="2"/>
  <c r="B565" i="2"/>
  <c r="C565" i="2"/>
  <c r="D565" i="2"/>
  <c r="E565" i="2"/>
  <c r="F565" i="2"/>
  <c r="G565" i="2"/>
  <c r="H565" i="2"/>
  <c r="I565" i="2"/>
  <c r="J565" i="2"/>
  <c r="K565" i="2"/>
  <c r="L565" i="2"/>
  <c r="M565" i="2"/>
  <c r="N565" i="2"/>
  <c r="O565" i="2"/>
  <c r="B566" i="2"/>
  <c r="C566" i="2"/>
  <c r="D566" i="2"/>
  <c r="E566" i="2"/>
  <c r="F566" i="2"/>
  <c r="G566" i="2"/>
  <c r="H566" i="2"/>
  <c r="I566" i="2"/>
  <c r="J566" i="2"/>
  <c r="K566" i="2"/>
  <c r="L566" i="2"/>
  <c r="M566" i="2"/>
  <c r="N566" i="2"/>
  <c r="O566" i="2"/>
  <c r="B567" i="2"/>
  <c r="C567" i="2"/>
  <c r="D567" i="2"/>
  <c r="E567" i="2"/>
  <c r="F567" i="2"/>
  <c r="G567" i="2"/>
  <c r="H567" i="2"/>
  <c r="I567" i="2"/>
  <c r="J567" i="2"/>
  <c r="K567" i="2"/>
  <c r="L567" i="2"/>
  <c r="M567" i="2"/>
  <c r="N567" i="2"/>
  <c r="O567" i="2"/>
  <c r="B568" i="2"/>
  <c r="C568" i="2"/>
  <c r="D568" i="2"/>
  <c r="E568" i="2"/>
  <c r="F568" i="2"/>
  <c r="G568" i="2"/>
  <c r="H568" i="2"/>
  <c r="I568" i="2"/>
  <c r="J568" i="2"/>
  <c r="K568" i="2"/>
  <c r="L568" i="2"/>
  <c r="M568" i="2"/>
  <c r="N568" i="2"/>
  <c r="O568" i="2"/>
  <c r="B569" i="2"/>
  <c r="C569" i="2"/>
  <c r="D569" i="2"/>
  <c r="E569" i="2"/>
  <c r="F569" i="2"/>
  <c r="G569" i="2"/>
  <c r="H569" i="2"/>
  <c r="I569" i="2"/>
  <c r="J569" i="2"/>
  <c r="K569" i="2"/>
  <c r="L569" i="2"/>
  <c r="M569" i="2"/>
  <c r="N569" i="2"/>
  <c r="O569" i="2"/>
  <c r="B570" i="2"/>
  <c r="C570" i="2"/>
  <c r="D570" i="2"/>
  <c r="E570" i="2"/>
  <c r="F570" i="2"/>
  <c r="G570" i="2"/>
  <c r="H570" i="2"/>
  <c r="I570" i="2"/>
  <c r="J570" i="2"/>
  <c r="K570" i="2"/>
  <c r="L570" i="2"/>
  <c r="M570" i="2"/>
  <c r="N570" i="2"/>
  <c r="O570" i="2"/>
  <c r="B571" i="2"/>
  <c r="C571" i="2"/>
  <c r="D571" i="2"/>
  <c r="E571" i="2"/>
  <c r="F571" i="2"/>
  <c r="G571" i="2"/>
  <c r="H571" i="2"/>
  <c r="I571" i="2"/>
  <c r="J571" i="2"/>
  <c r="K571" i="2"/>
  <c r="L571" i="2"/>
  <c r="M571" i="2"/>
  <c r="N571" i="2"/>
  <c r="O571" i="2"/>
  <c r="B572" i="2"/>
  <c r="C572" i="2"/>
  <c r="D572" i="2"/>
  <c r="E572" i="2"/>
  <c r="F572" i="2"/>
  <c r="G572" i="2"/>
  <c r="H572" i="2"/>
  <c r="I572" i="2"/>
  <c r="J572" i="2"/>
  <c r="K572" i="2"/>
  <c r="L572" i="2"/>
  <c r="M572" i="2"/>
  <c r="N572" i="2"/>
  <c r="O572" i="2"/>
  <c r="B573" i="2"/>
  <c r="C573" i="2"/>
  <c r="D573" i="2"/>
  <c r="E573" i="2"/>
  <c r="F573" i="2"/>
  <c r="G573" i="2"/>
  <c r="H573" i="2"/>
  <c r="I573" i="2"/>
  <c r="J573" i="2"/>
  <c r="K573" i="2"/>
  <c r="L573" i="2"/>
  <c r="M573" i="2"/>
  <c r="N573" i="2"/>
  <c r="O573" i="2"/>
  <c r="B574" i="2"/>
  <c r="C574" i="2"/>
  <c r="D574" i="2"/>
  <c r="E574" i="2"/>
  <c r="F574" i="2"/>
  <c r="G574" i="2"/>
  <c r="H574" i="2"/>
  <c r="I574" i="2"/>
  <c r="J574" i="2"/>
  <c r="K574" i="2"/>
  <c r="L574" i="2"/>
  <c r="M574" i="2"/>
  <c r="N574" i="2"/>
  <c r="O574" i="2"/>
  <c r="B575" i="2"/>
  <c r="C575" i="2"/>
  <c r="D575" i="2"/>
  <c r="E575" i="2"/>
  <c r="F575" i="2"/>
  <c r="G575" i="2"/>
  <c r="H575" i="2"/>
  <c r="I575" i="2"/>
  <c r="J575" i="2"/>
  <c r="K575" i="2"/>
  <c r="L575" i="2"/>
  <c r="M575" i="2"/>
  <c r="N575" i="2"/>
  <c r="O575" i="2"/>
  <c r="B576" i="2"/>
  <c r="C576" i="2"/>
  <c r="D576" i="2"/>
  <c r="E576" i="2"/>
  <c r="F576" i="2"/>
  <c r="G576" i="2"/>
  <c r="H576" i="2"/>
  <c r="I576" i="2"/>
  <c r="J576" i="2"/>
  <c r="K576" i="2"/>
  <c r="L576" i="2"/>
  <c r="M576" i="2"/>
  <c r="N576" i="2"/>
  <c r="O576" i="2"/>
  <c r="B577" i="2"/>
  <c r="C577" i="2"/>
  <c r="D577" i="2"/>
  <c r="E577" i="2"/>
  <c r="F577" i="2"/>
  <c r="G577" i="2"/>
  <c r="H577" i="2"/>
  <c r="I577" i="2"/>
  <c r="J577" i="2"/>
  <c r="K577" i="2"/>
  <c r="L577" i="2"/>
  <c r="M577" i="2"/>
  <c r="N577" i="2"/>
  <c r="O577" i="2"/>
  <c r="B578" i="2"/>
  <c r="C578" i="2"/>
  <c r="D578" i="2"/>
  <c r="E578" i="2"/>
  <c r="F578" i="2"/>
  <c r="G578" i="2"/>
  <c r="H578" i="2"/>
  <c r="I578" i="2"/>
  <c r="J578" i="2"/>
  <c r="K578" i="2"/>
  <c r="K1118" i="2" s="1"/>
  <c r="L578" i="2"/>
  <c r="M578" i="2"/>
  <c r="N578" i="2"/>
  <c r="O578" i="2"/>
  <c r="B579" i="2"/>
  <c r="C579" i="2"/>
  <c r="D579" i="2"/>
  <c r="E579" i="2"/>
  <c r="F579" i="2"/>
  <c r="G579" i="2"/>
  <c r="H579" i="2"/>
  <c r="I579" i="2"/>
  <c r="J579" i="2"/>
  <c r="K579" i="2"/>
  <c r="L579" i="2"/>
  <c r="M579" i="2"/>
  <c r="N579" i="2"/>
  <c r="O579" i="2"/>
  <c r="B580" i="2"/>
  <c r="C580" i="2"/>
  <c r="D580" i="2"/>
  <c r="E580" i="2"/>
  <c r="F580" i="2"/>
  <c r="G580" i="2"/>
  <c r="H580" i="2"/>
  <c r="I580" i="2"/>
  <c r="J580" i="2"/>
  <c r="K580" i="2"/>
  <c r="L580" i="2"/>
  <c r="M580" i="2"/>
  <c r="N580" i="2"/>
  <c r="O580" i="2"/>
  <c r="B581" i="2"/>
  <c r="C581" i="2"/>
  <c r="D581" i="2"/>
  <c r="E581" i="2"/>
  <c r="F581" i="2"/>
  <c r="G581" i="2"/>
  <c r="H581" i="2"/>
  <c r="I581" i="2"/>
  <c r="J581" i="2"/>
  <c r="K581" i="2"/>
  <c r="L581" i="2"/>
  <c r="M581" i="2"/>
  <c r="N581" i="2"/>
  <c r="O581" i="2"/>
  <c r="B582" i="2"/>
  <c r="C582" i="2"/>
  <c r="D582" i="2"/>
  <c r="E582" i="2"/>
  <c r="F582" i="2"/>
  <c r="G582" i="2"/>
  <c r="H582" i="2"/>
  <c r="I582" i="2"/>
  <c r="J582" i="2"/>
  <c r="K582" i="2"/>
  <c r="L582" i="2"/>
  <c r="M582" i="2"/>
  <c r="N582" i="2"/>
  <c r="O582" i="2"/>
  <c r="B583" i="2"/>
  <c r="C583" i="2"/>
  <c r="D583" i="2"/>
  <c r="E583" i="2"/>
  <c r="F583" i="2"/>
  <c r="G583" i="2"/>
  <c r="H583" i="2"/>
  <c r="I583" i="2"/>
  <c r="J583" i="2"/>
  <c r="K583" i="2"/>
  <c r="L583" i="2"/>
  <c r="M583" i="2"/>
  <c r="N583" i="2"/>
  <c r="O583" i="2"/>
  <c r="B584" i="2"/>
  <c r="C584" i="2"/>
  <c r="D584" i="2"/>
  <c r="E584" i="2"/>
  <c r="F584" i="2"/>
  <c r="G584" i="2"/>
  <c r="H584" i="2"/>
  <c r="I584" i="2"/>
  <c r="J584" i="2"/>
  <c r="K584" i="2"/>
  <c r="L584" i="2"/>
  <c r="M584" i="2"/>
  <c r="N584" i="2"/>
  <c r="O584" i="2"/>
  <c r="B585" i="2"/>
  <c r="C585" i="2"/>
  <c r="D585" i="2"/>
  <c r="E585" i="2"/>
  <c r="F585" i="2"/>
  <c r="G585" i="2"/>
  <c r="H585" i="2"/>
  <c r="I585" i="2"/>
  <c r="J585" i="2"/>
  <c r="K585" i="2"/>
  <c r="L585" i="2"/>
  <c r="M585" i="2"/>
  <c r="N585" i="2"/>
  <c r="O585" i="2"/>
  <c r="B586" i="2"/>
  <c r="C586" i="2"/>
  <c r="D586" i="2"/>
  <c r="E586" i="2"/>
  <c r="F586" i="2"/>
  <c r="G586" i="2"/>
  <c r="H586" i="2"/>
  <c r="I586" i="2"/>
  <c r="J586" i="2"/>
  <c r="K586" i="2"/>
  <c r="L586" i="2"/>
  <c r="M586" i="2"/>
  <c r="N586" i="2"/>
  <c r="O586" i="2"/>
  <c r="B587" i="2"/>
  <c r="C587" i="2"/>
  <c r="D587" i="2"/>
  <c r="E587" i="2"/>
  <c r="F587" i="2"/>
  <c r="G587" i="2"/>
  <c r="H587" i="2"/>
  <c r="I587" i="2"/>
  <c r="J587" i="2"/>
  <c r="K587" i="2"/>
  <c r="L587" i="2"/>
  <c r="M587" i="2"/>
  <c r="N587" i="2"/>
  <c r="O587" i="2"/>
  <c r="B588" i="2"/>
  <c r="C588" i="2"/>
  <c r="D588" i="2"/>
  <c r="E588" i="2"/>
  <c r="F588" i="2"/>
  <c r="G588" i="2"/>
  <c r="H588" i="2"/>
  <c r="I588" i="2"/>
  <c r="J588" i="2"/>
  <c r="K588" i="2"/>
  <c r="L588" i="2"/>
  <c r="M588" i="2"/>
  <c r="N588" i="2"/>
  <c r="O588" i="2"/>
  <c r="B589" i="2"/>
  <c r="C589" i="2"/>
  <c r="D589" i="2"/>
  <c r="E589" i="2"/>
  <c r="F589" i="2"/>
  <c r="G589" i="2"/>
  <c r="H589" i="2"/>
  <c r="I589" i="2"/>
  <c r="J589" i="2"/>
  <c r="K589" i="2"/>
  <c r="L589" i="2"/>
  <c r="M589" i="2"/>
  <c r="N589" i="2"/>
  <c r="O589" i="2"/>
  <c r="B590" i="2"/>
  <c r="C590" i="2"/>
  <c r="D590" i="2"/>
  <c r="E590" i="2"/>
  <c r="F590" i="2"/>
  <c r="G590" i="2"/>
  <c r="H590" i="2"/>
  <c r="I590" i="2"/>
  <c r="J590" i="2"/>
  <c r="K590" i="2"/>
  <c r="L590" i="2"/>
  <c r="M590" i="2"/>
  <c r="N590" i="2"/>
  <c r="O590" i="2"/>
  <c r="B591" i="2"/>
  <c r="C591" i="2"/>
  <c r="D591" i="2"/>
  <c r="E591" i="2"/>
  <c r="E1119" i="2" s="1"/>
  <c r="F591" i="2"/>
  <c r="G591" i="2"/>
  <c r="H591" i="2"/>
  <c r="I591" i="2"/>
  <c r="J591" i="2"/>
  <c r="K591" i="2"/>
  <c r="L591" i="2"/>
  <c r="M591" i="2"/>
  <c r="N591" i="2"/>
  <c r="O591" i="2"/>
  <c r="B592" i="2"/>
  <c r="C592" i="2"/>
  <c r="D592" i="2"/>
  <c r="E592" i="2"/>
  <c r="F592" i="2"/>
  <c r="G592" i="2"/>
  <c r="H592" i="2"/>
  <c r="I592" i="2"/>
  <c r="J592" i="2"/>
  <c r="K592" i="2"/>
  <c r="L592" i="2"/>
  <c r="M592" i="2"/>
  <c r="N592" i="2"/>
  <c r="O592" i="2"/>
  <c r="B593" i="2"/>
  <c r="C593" i="2"/>
  <c r="D593" i="2"/>
  <c r="E593" i="2"/>
  <c r="F593" i="2"/>
  <c r="G593" i="2"/>
  <c r="H593" i="2"/>
  <c r="I593" i="2"/>
  <c r="J593" i="2"/>
  <c r="K593" i="2"/>
  <c r="L593" i="2"/>
  <c r="M593" i="2"/>
  <c r="N593" i="2"/>
  <c r="O593" i="2"/>
  <c r="B594" i="2"/>
  <c r="C594" i="2"/>
  <c r="D594" i="2"/>
  <c r="E594" i="2"/>
  <c r="F594" i="2"/>
  <c r="G594" i="2"/>
  <c r="H594" i="2"/>
  <c r="I594" i="2"/>
  <c r="J594" i="2"/>
  <c r="K594" i="2"/>
  <c r="L594" i="2"/>
  <c r="M594" i="2"/>
  <c r="N594" i="2"/>
  <c r="O594" i="2"/>
  <c r="B595" i="2"/>
  <c r="C595" i="2"/>
  <c r="D595" i="2"/>
  <c r="E595" i="2"/>
  <c r="F595" i="2"/>
  <c r="G595" i="2"/>
  <c r="H595" i="2"/>
  <c r="I595" i="2"/>
  <c r="J595" i="2"/>
  <c r="K595" i="2"/>
  <c r="L595" i="2"/>
  <c r="M595" i="2"/>
  <c r="N595" i="2"/>
  <c r="O595" i="2"/>
  <c r="B596" i="2"/>
  <c r="C596" i="2"/>
  <c r="D596" i="2"/>
  <c r="E596" i="2"/>
  <c r="F596" i="2"/>
  <c r="G596" i="2"/>
  <c r="H596" i="2"/>
  <c r="I596" i="2"/>
  <c r="J596" i="2"/>
  <c r="K596" i="2"/>
  <c r="L596" i="2"/>
  <c r="M596" i="2"/>
  <c r="N596" i="2"/>
  <c r="O596" i="2"/>
  <c r="B597" i="2"/>
  <c r="C597" i="2"/>
  <c r="D597" i="2"/>
  <c r="E597" i="2"/>
  <c r="F597" i="2"/>
  <c r="G597" i="2"/>
  <c r="H597" i="2"/>
  <c r="I597" i="2"/>
  <c r="J597" i="2"/>
  <c r="K597" i="2"/>
  <c r="L597" i="2"/>
  <c r="M597" i="2"/>
  <c r="N597" i="2"/>
  <c r="O597" i="2"/>
  <c r="B598" i="2"/>
  <c r="C598" i="2"/>
  <c r="D598" i="2"/>
  <c r="E598" i="2"/>
  <c r="F598" i="2"/>
  <c r="G598" i="2"/>
  <c r="H598" i="2"/>
  <c r="I598" i="2"/>
  <c r="J598" i="2"/>
  <c r="K598" i="2"/>
  <c r="L598" i="2"/>
  <c r="M598" i="2"/>
  <c r="N598" i="2"/>
  <c r="O598" i="2"/>
  <c r="B599" i="2"/>
  <c r="C599" i="2"/>
  <c r="D599" i="2"/>
  <c r="E599" i="2"/>
  <c r="F599" i="2"/>
  <c r="G599" i="2"/>
  <c r="H599" i="2"/>
  <c r="I599" i="2"/>
  <c r="J599" i="2"/>
  <c r="K599" i="2"/>
  <c r="L599" i="2"/>
  <c r="M599" i="2"/>
  <c r="N599" i="2"/>
  <c r="O599" i="2"/>
  <c r="B600" i="2"/>
  <c r="C600" i="2"/>
  <c r="D600" i="2"/>
  <c r="E600" i="2"/>
  <c r="F600" i="2"/>
  <c r="G600" i="2"/>
  <c r="H600" i="2"/>
  <c r="I600" i="2"/>
  <c r="J600" i="2"/>
  <c r="K600" i="2"/>
  <c r="L600" i="2"/>
  <c r="M600" i="2"/>
  <c r="N600" i="2"/>
  <c r="O600" i="2"/>
  <c r="B601" i="2"/>
  <c r="C601" i="2"/>
  <c r="D601" i="2"/>
  <c r="E601" i="2"/>
  <c r="F601" i="2"/>
  <c r="G601" i="2"/>
  <c r="H601" i="2"/>
  <c r="I601" i="2"/>
  <c r="J601" i="2"/>
  <c r="K601" i="2"/>
  <c r="L601" i="2"/>
  <c r="M601" i="2"/>
  <c r="N601" i="2"/>
  <c r="O601" i="2"/>
  <c r="B602" i="2"/>
  <c r="C602" i="2"/>
  <c r="D602" i="2"/>
  <c r="E602" i="2"/>
  <c r="F602" i="2"/>
  <c r="G602" i="2"/>
  <c r="H602" i="2"/>
  <c r="I602" i="2"/>
  <c r="J602" i="2"/>
  <c r="K602" i="2"/>
  <c r="L602" i="2"/>
  <c r="M602" i="2"/>
  <c r="N602" i="2"/>
  <c r="O602" i="2"/>
  <c r="B603" i="2"/>
  <c r="C603" i="2"/>
  <c r="D603" i="2"/>
  <c r="E603" i="2"/>
  <c r="F603" i="2"/>
  <c r="G603" i="2"/>
  <c r="H603" i="2"/>
  <c r="I603" i="2"/>
  <c r="J603" i="2"/>
  <c r="K603" i="2"/>
  <c r="L603" i="2"/>
  <c r="M603" i="2"/>
  <c r="N603" i="2"/>
  <c r="O603" i="2"/>
  <c r="B604" i="2"/>
  <c r="C604" i="2"/>
  <c r="D604" i="2"/>
  <c r="E604" i="2"/>
  <c r="F604" i="2"/>
  <c r="G604" i="2"/>
  <c r="H604" i="2"/>
  <c r="I604" i="2"/>
  <c r="J604" i="2"/>
  <c r="K604" i="2"/>
  <c r="L604" i="2"/>
  <c r="M604" i="2"/>
  <c r="N604" i="2"/>
  <c r="O604" i="2"/>
  <c r="B605" i="2"/>
  <c r="C605" i="2"/>
  <c r="D605" i="2"/>
  <c r="E605" i="2"/>
  <c r="F605" i="2"/>
  <c r="G605" i="2"/>
  <c r="H605" i="2"/>
  <c r="I605" i="2"/>
  <c r="J605" i="2"/>
  <c r="K605" i="2"/>
  <c r="L605" i="2"/>
  <c r="M605" i="2"/>
  <c r="N605" i="2"/>
  <c r="O605" i="2"/>
  <c r="B606" i="2"/>
  <c r="C606" i="2"/>
  <c r="D606" i="2"/>
  <c r="E606" i="2"/>
  <c r="F606" i="2"/>
  <c r="G606" i="2"/>
  <c r="H606" i="2"/>
  <c r="I606" i="2"/>
  <c r="J606" i="2"/>
  <c r="K606" i="2"/>
  <c r="L606" i="2"/>
  <c r="M606" i="2"/>
  <c r="N606" i="2"/>
  <c r="O606" i="2"/>
  <c r="B607" i="2"/>
  <c r="C607" i="2"/>
  <c r="D607" i="2"/>
  <c r="E607" i="2"/>
  <c r="F607" i="2"/>
  <c r="G607" i="2"/>
  <c r="H607" i="2"/>
  <c r="I607" i="2"/>
  <c r="J607" i="2"/>
  <c r="K607" i="2"/>
  <c r="L607" i="2"/>
  <c r="M607" i="2"/>
  <c r="N607" i="2"/>
  <c r="O607" i="2"/>
  <c r="B608" i="2"/>
  <c r="C608" i="2"/>
  <c r="D608" i="2"/>
  <c r="E608" i="2"/>
  <c r="F608" i="2"/>
  <c r="G608" i="2"/>
  <c r="H608" i="2"/>
  <c r="I608" i="2"/>
  <c r="J608" i="2"/>
  <c r="K608" i="2"/>
  <c r="L608" i="2"/>
  <c r="M608" i="2"/>
  <c r="N608" i="2"/>
  <c r="O608" i="2"/>
  <c r="B609" i="2"/>
  <c r="C609" i="2"/>
  <c r="D609" i="2"/>
  <c r="E609" i="2"/>
  <c r="F609" i="2"/>
  <c r="G609" i="2"/>
  <c r="H609" i="2"/>
  <c r="I609" i="2"/>
  <c r="J609" i="2"/>
  <c r="K609" i="2"/>
  <c r="L609" i="2"/>
  <c r="M609" i="2"/>
  <c r="N609" i="2"/>
  <c r="O609" i="2"/>
  <c r="B610" i="2"/>
  <c r="C610" i="2"/>
  <c r="D610" i="2"/>
  <c r="E610" i="2"/>
  <c r="F610" i="2"/>
  <c r="G610" i="2"/>
  <c r="H610" i="2"/>
  <c r="I610" i="2"/>
  <c r="J610" i="2"/>
  <c r="K610" i="2"/>
  <c r="L610" i="2"/>
  <c r="M610" i="2"/>
  <c r="N610" i="2"/>
  <c r="O610" i="2"/>
  <c r="B611" i="2"/>
  <c r="C611" i="2"/>
  <c r="D611" i="2"/>
  <c r="E611" i="2"/>
  <c r="F611" i="2"/>
  <c r="G611" i="2"/>
  <c r="H611" i="2"/>
  <c r="I611" i="2"/>
  <c r="J611" i="2"/>
  <c r="K611" i="2"/>
  <c r="L611" i="2"/>
  <c r="M611" i="2"/>
  <c r="N611" i="2"/>
  <c r="O611" i="2"/>
  <c r="B612" i="2"/>
  <c r="C612" i="2"/>
  <c r="D612" i="2"/>
  <c r="E612" i="2"/>
  <c r="F612" i="2"/>
  <c r="G612" i="2"/>
  <c r="H612" i="2"/>
  <c r="I612" i="2"/>
  <c r="J612" i="2"/>
  <c r="K612" i="2"/>
  <c r="L612" i="2"/>
  <c r="M612" i="2"/>
  <c r="N612" i="2"/>
  <c r="O612" i="2"/>
  <c r="B613" i="2"/>
  <c r="C613" i="2"/>
  <c r="D613" i="2"/>
  <c r="E613" i="2"/>
  <c r="F613" i="2"/>
  <c r="G613" i="2"/>
  <c r="H613" i="2"/>
  <c r="I613" i="2"/>
  <c r="J613" i="2"/>
  <c r="K613" i="2"/>
  <c r="L613" i="2"/>
  <c r="M613" i="2"/>
  <c r="N613" i="2"/>
  <c r="O613" i="2"/>
  <c r="B614" i="2"/>
  <c r="C614" i="2"/>
  <c r="D614" i="2"/>
  <c r="E614" i="2"/>
  <c r="F614" i="2"/>
  <c r="G614" i="2"/>
  <c r="H614" i="2"/>
  <c r="I614" i="2"/>
  <c r="J614" i="2"/>
  <c r="K614" i="2"/>
  <c r="L614" i="2"/>
  <c r="M614" i="2"/>
  <c r="N614" i="2"/>
  <c r="O614" i="2"/>
  <c r="B615" i="2"/>
  <c r="C615" i="2"/>
  <c r="D615" i="2"/>
  <c r="E615" i="2"/>
  <c r="F615" i="2"/>
  <c r="G615" i="2"/>
  <c r="H615" i="2"/>
  <c r="I615" i="2"/>
  <c r="J615" i="2"/>
  <c r="K615" i="2"/>
  <c r="L615" i="2"/>
  <c r="M615" i="2"/>
  <c r="N615" i="2"/>
  <c r="O615" i="2"/>
  <c r="B616" i="2"/>
  <c r="C616" i="2"/>
  <c r="D616" i="2"/>
  <c r="E616" i="2"/>
  <c r="F616" i="2"/>
  <c r="G616" i="2"/>
  <c r="H616" i="2"/>
  <c r="I616" i="2"/>
  <c r="J616" i="2"/>
  <c r="K616" i="2"/>
  <c r="L616" i="2"/>
  <c r="M616" i="2"/>
  <c r="N616" i="2"/>
  <c r="O616" i="2"/>
  <c r="B617" i="2"/>
  <c r="C617" i="2"/>
  <c r="D617" i="2"/>
  <c r="E617" i="2"/>
  <c r="F617" i="2"/>
  <c r="G617" i="2"/>
  <c r="H617" i="2"/>
  <c r="I617" i="2"/>
  <c r="J617" i="2"/>
  <c r="K617" i="2"/>
  <c r="L617" i="2"/>
  <c r="M617" i="2"/>
  <c r="N617" i="2"/>
  <c r="O617" i="2"/>
  <c r="B618" i="2"/>
  <c r="C618" i="2"/>
  <c r="D618" i="2"/>
  <c r="E618" i="2"/>
  <c r="F618" i="2"/>
  <c r="G618" i="2"/>
  <c r="H618" i="2"/>
  <c r="I618" i="2"/>
  <c r="J618" i="2"/>
  <c r="K618" i="2"/>
  <c r="L618" i="2"/>
  <c r="M618" i="2"/>
  <c r="N618" i="2"/>
  <c r="O618" i="2"/>
  <c r="B619" i="2"/>
  <c r="C619" i="2"/>
  <c r="D619" i="2"/>
  <c r="E619" i="2"/>
  <c r="F619" i="2"/>
  <c r="G619" i="2"/>
  <c r="H619" i="2"/>
  <c r="I619" i="2"/>
  <c r="J619" i="2"/>
  <c r="K619" i="2"/>
  <c r="L619" i="2"/>
  <c r="M619" i="2"/>
  <c r="N619" i="2"/>
  <c r="O619" i="2"/>
  <c r="B620" i="2"/>
  <c r="C620" i="2"/>
  <c r="D620" i="2"/>
  <c r="E620" i="2"/>
  <c r="F620" i="2"/>
  <c r="G620" i="2"/>
  <c r="H620" i="2"/>
  <c r="I620" i="2"/>
  <c r="J620" i="2"/>
  <c r="K620" i="2"/>
  <c r="L620" i="2"/>
  <c r="M620" i="2"/>
  <c r="N620" i="2"/>
  <c r="O620" i="2"/>
  <c r="B621" i="2"/>
  <c r="C621" i="2"/>
  <c r="D621" i="2"/>
  <c r="E621" i="2"/>
  <c r="F621" i="2"/>
  <c r="G621" i="2"/>
  <c r="H621" i="2"/>
  <c r="I621" i="2"/>
  <c r="J621" i="2"/>
  <c r="K621" i="2"/>
  <c r="L621" i="2"/>
  <c r="M621" i="2"/>
  <c r="N621" i="2"/>
  <c r="O621" i="2"/>
  <c r="B622" i="2"/>
  <c r="C622" i="2"/>
  <c r="D622" i="2"/>
  <c r="E622" i="2"/>
  <c r="F622" i="2"/>
  <c r="G622" i="2"/>
  <c r="H622" i="2"/>
  <c r="I622" i="2"/>
  <c r="J622" i="2"/>
  <c r="K622" i="2"/>
  <c r="L622" i="2"/>
  <c r="M622" i="2"/>
  <c r="N622" i="2"/>
  <c r="O622" i="2"/>
  <c r="B623" i="2"/>
  <c r="C623" i="2"/>
  <c r="D623" i="2"/>
  <c r="E623" i="2"/>
  <c r="F623" i="2"/>
  <c r="G623" i="2"/>
  <c r="H623" i="2"/>
  <c r="I623" i="2"/>
  <c r="J623" i="2"/>
  <c r="K623" i="2"/>
  <c r="L623" i="2"/>
  <c r="M623" i="2"/>
  <c r="N623" i="2"/>
  <c r="O623" i="2"/>
  <c r="B624" i="2"/>
  <c r="C624" i="2"/>
  <c r="D624" i="2"/>
  <c r="E624" i="2"/>
  <c r="F624" i="2"/>
  <c r="G624" i="2"/>
  <c r="H624" i="2"/>
  <c r="I624" i="2"/>
  <c r="J624" i="2"/>
  <c r="K624" i="2"/>
  <c r="L624" i="2"/>
  <c r="M624" i="2"/>
  <c r="N624" i="2"/>
  <c r="O624" i="2"/>
  <c r="B625" i="2"/>
  <c r="C625" i="2"/>
  <c r="D625" i="2"/>
  <c r="E625" i="2"/>
  <c r="F625" i="2"/>
  <c r="G625" i="2"/>
  <c r="H625" i="2"/>
  <c r="I625" i="2"/>
  <c r="J625" i="2"/>
  <c r="K625" i="2"/>
  <c r="L625" i="2"/>
  <c r="M625" i="2"/>
  <c r="N625" i="2"/>
  <c r="O625" i="2"/>
  <c r="B626" i="2"/>
  <c r="C626" i="2"/>
  <c r="D626" i="2"/>
  <c r="E626" i="2"/>
  <c r="F626" i="2"/>
  <c r="G626" i="2"/>
  <c r="H626" i="2"/>
  <c r="I626" i="2"/>
  <c r="J626" i="2"/>
  <c r="K626" i="2"/>
  <c r="L626" i="2"/>
  <c r="M626" i="2"/>
  <c r="N626" i="2"/>
  <c r="O626" i="2"/>
  <c r="B627" i="2"/>
  <c r="C627" i="2"/>
  <c r="D627" i="2"/>
  <c r="E627" i="2"/>
  <c r="F627" i="2"/>
  <c r="G627" i="2"/>
  <c r="H627" i="2"/>
  <c r="I627" i="2"/>
  <c r="J627" i="2"/>
  <c r="K627" i="2"/>
  <c r="L627" i="2"/>
  <c r="M627" i="2"/>
  <c r="N627" i="2"/>
  <c r="O627" i="2"/>
  <c r="B628" i="2"/>
  <c r="C628" i="2"/>
  <c r="D628" i="2"/>
  <c r="E628" i="2"/>
  <c r="F628" i="2"/>
  <c r="G628" i="2"/>
  <c r="H628" i="2"/>
  <c r="I628" i="2"/>
  <c r="J628" i="2"/>
  <c r="K628" i="2"/>
  <c r="L628" i="2"/>
  <c r="M628" i="2"/>
  <c r="N628" i="2"/>
  <c r="O628" i="2"/>
  <c r="B629" i="2"/>
  <c r="C629" i="2"/>
  <c r="D629" i="2"/>
  <c r="E629" i="2"/>
  <c r="F629" i="2"/>
  <c r="G629" i="2"/>
  <c r="H629" i="2"/>
  <c r="I629" i="2"/>
  <c r="J629" i="2"/>
  <c r="K629" i="2"/>
  <c r="L629" i="2"/>
  <c r="M629" i="2"/>
  <c r="N629" i="2"/>
  <c r="O629" i="2"/>
  <c r="B630" i="2"/>
  <c r="C630" i="2"/>
  <c r="D630" i="2"/>
  <c r="E630" i="2"/>
  <c r="F630" i="2"/>
  <c r="G630" i="2"/>
  <c r="H630" i="2"/>
  <c r="I630" i="2"/>
  <c r="J630" i="2"/>
  <c r="K630" i="2"/>
  <c r="L630" i="2"/>
  <c r="M630" i="2"/>
  <c r="N630" i="2"/>
  <c r="O630" i="2"/>
  <c r="B631" i="2"/>
  <c r="C631" i="2"/>
  <c r="D631" i="2"/>
  <c r="E631" i="2"/>
  <c r="F631" i="2"/>
  <c r="G631" i="2"/>
  <c r="H631" i="2"/>
  <c r="I631" i="2"/>
  <c r="J631" i="2"/>
  <c r="K631" i="2"/>
  <c r="L631" i="2"/>
  <c r="M631" i="2"/>
  <c r="N631" i="2"/>
  <c r="O631" i="2"/>
  <c r="B632" i="2"/>
  <c r="C632" i="2"/>
  <c r="D632" i="2"/>
  <c r="E632" i="2"/>
  <c r="F632" i="2"/>
  <c r="G632" i="2"/>
  <c r="H632" i="2"/>
  <c r="I632" i="2"/>
  <c r="J632" i="2"/>
  <c r="K632" i="2"/>
  <c r="L632" i="2"/>
  <c r="M632" i="2"/>
  <c r="N632" i="2"/>
  <c r="O632" i="2"/>
  <c r="B633" i="2"/>
  <c r="C633" i="2"/>
  <c r="D633" i="2"/>
  <c r="E633" i="2"/>
  <c r="F633" i="2"/>
  <c r="G633" i="2"/>
  <c r="H633" i="2"/>
  <c r="I633" i="2"/>
  <c r="J633" i="2"/>
  <c r="K633" i="2"/>
  <c r="L633" i="2"/>
  <c r="M633" i="2"/>
  <c r="N633" i="2"/>
  <c r="O633" i="2"/>
  <c r="B634" i="2"/>
  <c r="C634" i="2"/>
  <c r="D634" i="2"/>
  <c r="E634" i="2"/>
  <c r="F634" i="2"/>
  <c r="G634" i="2"/>
  <c r="H634" i="2"/>
  <c r="I634" i="2"/>
  <c r="J634" i="2"/>
  <c r="K634" i="2"/>
  <c r="L634" i="2"/>
  <c r="M634" i="2"/>
  <c r="N634" i="2"/>
  <c r="O634" i="2"/>
  <c r="B635" i="2"/>
  <c r="C635" i="2"/>
  <c r="D635" i="2"/>
  <c r="E635" i="2"/>
  <c r="F635" i="2"/>
  <c r="G635" i="2"/>
  <c r="H635" i="2"/>
  <c r="I635" i="2"/>
  <c r="J635" i="2"/>
  <c r="K635" i="2"/>
  <c r="L635" i="2"/>
  <c r="M635" i="2"/>
  <c r="N635" i="2"/>
  <c r="O635" i="2"/>
  <c r="B636" i="2"/>
  <c r="C636" i="2"/>
  <c r="D636" i="2"/>
  <c r="E636" i="2"/>
  <c r="F636" i="2"/>
  <c r="G636" i="2"/>
  <c r="H636" i="2"/>
  <c r="I636" i="2"/>
  <c r="J636" i="2"/>
  <c r="K636" i="2"/>
  <c r="L636" i="2"/>
  <c r="M636" i="2"/>
  <c r="N636" i="2"/>
  <c r="O636" i="2"/>
  <c r="B637" i="2"/>
  <c r="C637" i="2"/>
  <c r="D637" i="2"/>
  <c r="E637" i="2"/>
  <c r="F637" i="2"/>
  <c r="G637" i="2"/>
  <c r="H637" i="2"/>
  <c r="I637" i="2"/>
  <c r="J637" i="2"/>
  <c r="K637" i="2"/>
  <c r="L637" i="2"/>
  <c r="M637" i="2"/>
  <c r="N637" i="2"/>
  <c r="O637" i="2"/>
  <c r="B638" i="2"/>
  <c r="C638" i="2"/>
  <c r="D638" i="2"/>
  <c r="E638" i="2"/>
  <c r="F638" i="2"/>
  <c r="G638" i="2"/>
  <c r="H638" i="2"/>
  <c r="I638" i="2"/>
  <c r="J638" i="2"/>
  <c r="K638" i="2"/>
  <c r="L638" i="2"/>
  <c r="M638" i="2"/>
  <c r="N638" i="2"/>
  <c r="O638" i="2"/>
  <c r="B639" i="2"/>
  <c r="C639" i="2"/>
  <c r="D639" i="2"/>
  <c r="E639" i="2"/>
  <c r="F639" i="2"/>
  <c r="G639" i="2"/>
  <c r="H639" i="2"/>
  <c r="I639" i="2"/>
  <c r="J639" i="2"/>
  <c r="K639" i="2"/>
  <c r="L639" i="2"/>
  <c r="M639" i="2"/>
  <c r="N639" i="2"/>
  <c r="O639" i="2"/>
  <c r="B640" i="2"/>
  <c r="C640" i="2"/>
  <c r="D640" i="2"/>
  <c r="E640" i="2"/>
  <c r="F640" i="2"/>
  <c r="G640" i="2"/>
  <c r="H640" i="2"/>
  <c r="I640" i="2"/>
  <c r="J640" i="2"/>
  <c r="K640" i="2"/>
  <c r="L640" i="2"/>
  <c r="M640" i="2"/>
  <c r="N640" i="2"/>
  <c r="O640" i="2"/>
  <c r="B641" i="2"/>
  <c r="C641" i="2"/>
  <c r="D641" i="2"/>
  <c r="E641" i="2"/>
  <c r="F641" i="2"/>
  <c r="G641" i="2"/>
  <c r="H641" i="2"/>
  <c r="I641" i="2"/>
  <c r="J641" i="2"/>
  <c r="K641" i="2"/>
  <c r="L641" i="2"/>
  <c r="M641" i="2"/>
  <c r="N641" i="2"/>
  <c r="O641" i="2"/>
  <c r="B642" i="2"/>
  <c r="C642" i="2"/>
  <c r="D642" i="2"/>
  <c r="E642" i="2"/>
  <c r="F642" i="2"/>
  <c r="G642" i="2"/>
  <c r="H642" i="2"/>
  <c r="I642" i="2"/>
  <c r="J642" i="2"/>
  <c r="K642" i="2"/>
  <c r="L642" i="2"/>
  <c r="M642" i="2"/>
  <c r="N642" i="2"/>
  <c r="O642" i="2"/>
  <c r="B643" i="2"/>
  <c r="C643" i="2"/>
  <c r="D643" i="2"/>
  <c r="E643" i="2"/>
  <c r="F643" i="2"/>
  <c r="G643" i="2"/>
  <c r="H643" i="2"/>
  <c r="I643" i="2"/>
  <c r="J643" i="2"/>
  <c r="K643" i="2"/>
  <c r="L643" i="2"/>
  <c r="M643" i="2"/>
  <c r="N643" i="2"/>
  <c r="O643" i="2"/>
  <c r="B644" i="2"/>
  <c r="C644" i="2"/>
  <c r="D644" i="2"/>
  <c r="E644" i="2"/>
  <c r="F644" i="2"/>
  <c r="G644" i="2"/>
  <c r="H644" i="2"/>
  <c r="I644" i="2"/>
  <c r="J644" i="2"/>
  <c r="K644" i="2"/>
  <c r="L644" i="2"/>
  <c r="M644" i="2"/>
  <c r="N644" i="2"/>
  <c r="O644" i="2"/>
  <c r="B645" i="2"/>
  <c r="C645" i="2"/>
  <c r="D645" i="2"/>
  <c r="E645" i="2"/>
  <c r="F645" i="2"/>
  <c r="G645" i="2"/>
  <c r="H645" i="2"/>
  <c r="I645" i="2"/>
  <c r="J645" i="2"/>
  <c r="K645" i="2"/>
  <c r="L645" i="2"/>
  <c r="M645" i="2"/>
  <c r="N645" i="2"/>
  <c r="O645" i="2"/>
  <c r="B646" i="2"/>
  <c r="C646" i="2"/>
  <c r="D646" i="2"/>
  <c r="E646" i="2"/>
  <c r="F646" i="2"/>
  <c r="G646" i="2"/>
  <c r="H646" i="2"/>
  <c r="I646" i="2"/>
  <c r="J646" i="2"/>
  <c r="K646" i="2"/>
  <c r="L646" i="2"/>
  <c r="M646" i="2"/>
  <c r="N646" i="2"/>
  <c r="O646" i="2"/>
  <c r="B647" i="2"/>
  <c r="C647" i="2"/>
  <c r="D647" i="2"/>
  <c r="E647" i="2"/>
  <c r="F647" i="2"/>
  <c r="G647" i="2"/>
  <c r="H647" i="2"/>
  <c r="I647" i="2"/>
  <c r="J647" i="2"/>
  <c r="K647" i="2"/>
  <c r="L647" i="2"/>
  <c r="M647" i="2"/>
  <c r="N647" i="2"/>
  <c r="O647" i="2"/>
  <c r="B648" i="2"/>
  <c r="C648" i="2"/>
  <c r="D648" i="2"/>
  <c r="E648" i="2"/>
  <c r="F648" i="2"/>
  <c r="G648" i="2"/>
  <c r="H648" i="2"/>
  <c r="I648" i="2"/>
  <c r="J648" i="2"/>
  <c r="K648" i="2"/>
  <c r="L648" i="2"/>
  <c r="M648" i="2"/>
  <c r="N648" i="2"/>
  <c r="O648" i="2"/>
  <c r="B649" i="2"/>
  <c r="C649" i="2"/>
  <c r="D649" i="2"/>
  <c r="E649" i="2"/>
  <c r="F649" i="2"/>
  <c r="G649" i="2"/>
  <c r="H649" i="2"/>
  <c r="I649" i="2"/>
  <c r="J649" i="2"/>
  <c r="K649" i="2"/>
  <c r="L649" i="2"/>
  <c r="M649" i="2"/>
  <c r="N649" i="2"/>
  <c r="O649" i="2"/>
  <c r="B650" i="2"/>
  <c r="C650" i="2"/>
  <c r="D650" i="2"/>
  <c r="E650" i="2"/>
  <c r="F650" i="2"/>
  <c r="G650" i="2"/>
  <c r="H650" i="2"/>
  <c r="I650" i="2"/>
  <c r="J650" i="2"/>
  <c r="K650" i="2"/>
  <c r="L650" i="2"/>
  <c r="M650" i="2"/>
  <c r="N650" i="2"/>
  <c r="O650" i="2"/>
  <c r="B651" i="2"/>
  <c r="C651" i="2"/>
  <c r="D651" i="2"/>
  <c r="E651" i="2"/>
  <c r="F651" i="2"/>
  <c r="G651" i="2"/>
  <c r="H651" i="2"/>
  <c r="I651" i="2"/>
  <c r="J651" i="2"/>
  <c r="K651" i="2"/>
  <c r="L651" i="2"/>
  <c r="M651" i="2"/>
  <c r="M1124" i="2" s="1"/>
  <c r="N651" i="2"/>
  <c r="O651" i="2"/>
  <c r="B652" i="2"/>
  <c r="C652" i="2"/>
  <c r="D652" i="2"/>
  <c r="E652" i="2"/>
  <c r="F652" i="2"/>
  <c r="G652" i="2"/>
  <c r="H652" i="2"/>
  <c r="I652" i="2"/>
  <c r="J652" i="2"/>
  <c r="K652" i="2"/>
  <c r="L652" i="2"/>
  <c r="M652" i="2"/>
  <c r="N652" i="2"/>
  <c r="O652" i="2"/>
  <c r="B653" i="2"/>
  <c r="C653" i="2"/>
  <c r="D653" i="2"/>
  <c r="E653" i="2"/>
  <c r="F653" i="2"/>
  <c r="G653" i="2"/>
  <c r="H653" i="2"/>
  <c r="I653" i="2"/>
  <c r="J653" i="2"/>
  <c r="K653" i="2"/>
  <c r="L653" i="2"/>
  <c r="M653" i="2"/>
  <c r="N653" i="2"/>
  <c r="O653" i="2"/>
  <c r="B654" i="2"/>
  <c r="C654" i="2"/>
  <c r="D654" i="2"/>
  <c r="E654" i="2"/>
  <c r="F654" i="2"/>
  <c r="G654" i="2"/>
  <c r="H654" i="2"/>
  <c r="I654" i="2"/>
  <c r="J654" i="2"/>
  <c r="K654" i="2"/>
  <c r="L654" i="2"/>
  <c r="M654" i="2"/>
  <c r="N654" i="2"/>
  <c r="O654" i="2"/>
  <c r="B655" i="2"/>
  <c r="C655" i="2"/>
  <c r="D655" i="2"/>
  <c r="E655" i="2"/>
  <c r="F655" i="2"/>
  <c r="G655" i="2"/>
  <c r="H655" i="2"/>
  <c r="I655" i="2"/>
  <c r="J655" i="2"/>
  <c r="K655" i="2"/>
  <c r="L655" i="2"/>
  <c r="M655" i="2"/>
  <c r="N655" i="2"/>
  <c r="O655" i="2"/>
  <c r="B656" i="2"/>
  <c r="C656" i="2"/>
  <c r="D656" i="2"/>
  <c r="E656" i="2"/>
  <c r="F656" i="2"/>
  <c r="G656" i="2"/>
  <c r="H656" i="2"/>
  <c r="I656" i="2"/>
  <c r="J656" i="2"/>
  <c r="K656" i="2"/>
  <c r="L656" i="2"/>
  <c r="M656" i="2"/>
  <c r="N656" i="2"/>
  <c r="O656" i="2"/>
  <c r="B657" i="2"/>
  <c r="C657" i="2"/>
  <c r="D657" i="2"/>
  <c r="E657" i="2"/>
  <c r="F657" i="2"/>
  <c r="G657" i="2"/>
  <c r="H657" i="2"/>
  <c r="I657" i="2"/>
  <c r="J657" i="2"/>
  <c r="K657" i="2"/>
  <c r="L657" i="2"/>
  <c r="M657" i="2"/>
  <c r="N657" i="2"/>
  <c r="O657" i="2"/>
  <c r="B658" i="2"/>
  <c r="C658" i="2"/>
  <c r="D658" i="2"/>
  <c r="E658" i="2"/>
  <c r="F658" i="2"/>
  <c r="G658" i="2"/>
  <c r="H658" i="2"/>
  <c r="I658" i="2"/>
  <c r="J658" i="2"/>
  <c r="K658" i="2"/>
  <c r="L658" i="2"/>
  <c r="M658" i="2"/>
  <c r="N658" i="2"/>
  <c r="O658" i="2"/>
  <c r="B659" i="2"/>
  <c r="C659" i="2"/>
  <c r="D659" i="2"/>
  <c r="E659" i="2"/>
  <c r="F659" i="2"/>
  <c r="G659" i="2"/>
  <c r="H659" i="2"/>
  <c r="I659" i="2"/>
  <c r="J659" i="2"/>
  <c r="K659" i="2"/>
  <c r="L659" i="2"/>
  <c r="M659" i="2"/>
  <c r="N659" i="2"/>
  <c r="O659" i="2"/>
  <c r="B660" i="2"/>
  <c r="C660" i="2"/>
  <c r="D660" i="2"/>
  <c r="E660" i="2"/>
  <c r="F660" i="2"/>
  <c r="G660" i="2"/>
  <c r="H660" i="2"/>
  <c r="I660" i="2"/>
  <c r="J660" i="2"/>
  <c r="K660" i="2"/>
  <c r="L660" i="2"/>
  <c r="M660" i="2"/>
  <c r="N660" i="2"/>
  <c r="O660" i="2"/>
  <c r="B661" i="2"/>
  <c r="C661" i="2"/>
  <c r="D661" i="2"/>
  <c r="E661" i="2"/>
  <c r="F661" i="2"/>
  <c r="G661" i="2"/>
  <c r="H661" i="2"/>
  <c r="I661" i="2"/>
  <c r="J661" i="2"/>
  <c r="K661" i="2"/>
  <c r="L661" i="2"/>
  <c r="M661" i="2"/>
  <c r="N661" i="2"/>
  <c r="O661" i="2"/>
  <c r="B662" i="2"/>
  <c r="C662" i="2"/>
  <c r="D662" i="2"/>
  <c r="E662" i="2"/>
  <c r="F662" i="2"/>
  <c r="G662" i="2"/>
  <c r="H662" i="2"/>
  <c r="I662" i="2"/>
  <c r="J662" i="2"/>
  <c r="K662" i="2"/>
  <c r="L662" i="2"/>
  <c r="M662" i="2"/>
  <c r="N662" i="2"/>
  <c r="O662" i="2"/>
  <c r="B663" i="2"/>
  <c r="C663" i="2"/>
  <c r="D663" i="2"/>
  <c r="E663" i="2"/>
  <c r="F663" i="2"/>
  <c r="G663" i="2"/>
  <c r="H663" i="2"/>
  <c r="I663" i="2"/>
  <c r="J663" i="2"/>
  <c r="K663" i="2"/>
  <c r="L663" i="2"/>
  <c r="M663" i="2"/>
  <c r="N663" i="2"/>
  <c r="O663" i="2"/>
  <c r="B664" i="2"/>
  <c r="C664" i="2"/>
  <c r="D664" i="2"/>
  <c r="E664" i="2"/>
  <c r="F664" i="2"/>
  <c r="G664" i="2"/>
  <c r="H664" i="2"/>
  <c r="I664" i="2"/>
  <c r="J664" i="2"/>
  <c r="K664" i="2"/>
  <c r="L664" i="2"/>
  <c r="M664" i="2"/>
  <c r="N664" i="2"/>
  <c r="O664" i="2"/>
  <c r="B665" i="2"/>
  <c r="C665" i="2"/>
  <c r="D665" i="2"/>
  <c r="E665" i="2"/>
  <c r="F665" i="2"/>
  <c r="G665" i="2"/>
  <c r="H665" i="2"/>
  <c r="I665" i="2"/>
  <c r="J665" i="2"/>
  <c r="K665" i="2"/>
  <c r="L665" i="2"/>
  <c r="M665" i="2"/>
  <c r="N665" i="2"/>
  <c r="O665" i="2"/>
  <c r="B666" i="2"/>
  <c r="C666" i="2"/>
  <c r="D666" i="2"/>
  <c r="E666" i="2"/>
  <c r="F666" i="2"/>
  <c r="G666" i="2"/>
  <c r="H666" i="2"/>
  <c r="I666" i="2"/>
  <c r="J666" i="2"/>
  <c r="K666" i="2"/>
  <c r="L666" i="2"/>
  <c r="M666" i="2"/>
  <c r="N666" i="2"/>
  <c r="O666" i="2"/>
  <c r="B667" i="2"/>
  <c r="C667" i="2"/>
  <c r="D667" i="2"/>
  <c r="E667" i="2"/>
  <c r="F667" i="2"/>
  <c r="G667" i="2"/>
  <c r="H667" i="2"/>
  <c r="I667" i="2"/>
  <c r="J667" i="2"/>
  <c r="K667" i="2"/>
  <c r="L667" i="2"/>
  <c r="M667" i="2"/>
  <c r="N667" i="2"/>
  <c r="O667" i="2"/>
  <c r="B668" i="2"/>
  <c r="C668" i="2"/>
  <c r="D668" i="2"/>
  <c r="E668" i="2"/>
  <c r="F668" i="2"/>
  <c r="G668" i="2"/>
  <c r="H668" i="2"/>
  <c r="I668" i="2"/>
  <c r="J668" i="2"/>
  <c r="K668" i="2"/>
  <c r="L668" i="2"/>
  <c r="M668" i="2"/>
  <c r="N668" i="2"/>
  <c r="O668" i="2"/>
  <c r="B669" i="2"/>
  <c r="C669" i="2"/>
  <c r="D669" i="2"/>
  <c r="E669" i="2"/>
  <c r="F669" i="2"/>
  <c r="G669" i="2"/>
  <c r="H669" i="2"/>
  <c r="I669" i="2"/>
  <c r="J669" i="2"/>
  <c r="K669" i="2"/>
  <c r="L669" i="2"/>
  <c r="M669" i="2"/>
  <c r="N669" i="2"/>
  <c r="O669" i="2"/>
  <c r="B670" i="2"/>
  <c r="C670" i="2"/>
  <c r="D670" i="2"/>
  <c r="E670" i="2"/>
  <c r="F670" i="2"/>
  <c r="G670" i="2"/>
  <c r="H670" i="2"/>
  <c r="I670" i="2"/>
  <c r="J670" i="2"/>
  <c r="K670" i="2"/>
  <c r="L670" i="2"/>
  <c r="M670" i="2"/>
  <c r="N670" i="2"/>
  <c r="O670" i="2"/>
  <c r="B671" i="2"/>
  <c r="C671" i="2"/>
  <c r="D671" i="2"/>
  <c r="E671" i="2"/>
  <c r="F671" i="2"/>
  <c r="G671" i="2"/>
  <c r="H671" i="2"/>
  <c r="I671" i="2"/>
  <c r="J671" i="2"/>
  <c r="K671" i="2"/>
  <c r="L671" i="2"/>
  <c r="M671" i="2"/>
  <c r="N671" i="2"/>
  <c r="O671" i="2"/>
  <c r="B672" i="2"/>
  <c r="C672" i="2"/>
  <c r="D672" i="2"/>
  <c r="E672" i="2"/>
  <c r="F672" i="2"/>
  <c r="G672" i="2"/>
  <c r="H672" i="2"/>
  <c r="I672" i="2"/>
  <c r="J672" i="2"/>
  <c r="K672" i="2"/>
  <c r="L672" i="2"/>
  <c r="M672" i="2"/>
  <c r="N672" i="2"/>
  <c r="O672" i="2"/>
  <c r="B673" i="2"/>
  <c r="C673" i="2"/>
  <c r="D673" i="2"/>
  <c r="E673" i="2"/>
  <c r="F673" i="2"/>
  <c r="G673" i="2"/>
  <c r="H673" i="2"/>
  <c r="I673" i="2"/>
  <c r="J673" i="2"/>
  <c r="K673" i="2"/>
  <c r="L673" i="2"/>
  <c r="M673" i="2"/>
  <c r="N673" i="2"/>
  <c r="O673" i="2"/>
  <c r="B674" i="2"/>
  <c r="C674" i="2"/>
  <c r="D674" i="2"/>
  <c r="E674" i="2"/>
  <c r="F674" i="2"/>
  <c r="G674" i="2"/>
  <c r="H674" i="2"/>
  <c r="I674" i="2"/>
  <c r="J674" i="2"/>
  <c r="K674" i="2"/>
  <c r="K1126" i="2" s="1"/>
  <c r="L674" i="2"/>
  <c r="M674" i="2"/>
  <c r="N674" i="2"/>
  <c r="O674" i="2"/>
  <c r="B675" i="2"/>
  <c r="C675" i="2"/>
  <c r="D675" i="2"/>
  <c r="E675" i="2"/>
  <c r="F675" i="2"/>
  <c r="G675" i="2"/>
  <c r="H675" i="2"/>
  <c r="I675" i="2"/>
  <c r="I1126" i="2" s="1"/>
  <c r="J675" i="2"/>
  <c r="K675" i="2"/>
  <c r="L675" i="2"/>
  <c r="M675" i="2"/>
  <c r="N675" i="2"/>
  <c r="O675" i="2"/>
  <c r="B676" i="2"/>
  <c r="C676" i="2"/>
  <c r="D676" i="2"/>
  <c r="E676" i="2"/>
  <c r="F676" i="2"/>
  <c r="G676" i="2"/>
  <c r="H676" i="2"/>
  <c r="I676" i="2"/>
  <c r="J676" i="2"/>
  <c r="K676" i="2"/>
  <c r="L676" i="2"/>
  <c r="M676" i="2"/>
  <c r="N676" i="2"/>
  <c r="O676" i="2"/>
  <c r="B677" i="2"/>
  <c r="C677" i="2"/>
  <c r="D677" i="2"/>
  <c r="E677" i="2"/>
  <c r="F677" i="2"/>
  <c r="G677" i="2"/>
  <c r="H677" i="2"/>
  <c r="I677" i="2"/>
  <c r="J677" i="2"/>
  <c r="K677" i="2"/>
  <c r="L677" i="2"/>
  <c r="M677" i="2"/>
  <c r="N677" i="2"/>
  <c r="O677" i="2"/>
  <c r="B678" i="2"/>
  <c r="C678" i="2"/>
  <c r="D678" i="2"/>
  <c r="E678" i="2"/>
  <c r="F678" i="2"/>
  <c r="G678" i="2"/>
  <c r="H678" i="2"/>
  <c r="I678" i="2"/>
  <c r="J678" i="2"/>
  <c r="K678" i="2"/>
  <c r="L678" i="2"/>
  <c r="M678" i="2"/>
  <c r="N678" i="2"/>
  <c r="O678" i="2"/>
  <c r="B679" i="2"/>
  <c r="C679" i="2"/>
  <c r="D679" i="2"/>
  <c r="E679" i="2"/>
  <c r="F679" i="2"/>
  <c r="G679" i="2"/>
  <c r="H679" i="2"/>
  <c r="I679" i="2"/>
  <c r="J679" i="2"/>
  <c r="K679" i="2"/>
  <c r="L679" i="2"/>
  <c r="M679" i="2"/>
  <c r="N679" i="2"/>
  <c r="O679" i="2"/>
  <c r="B680" i="2"/>
  <c r="C680" i="2"/>
  <c r="D680" i="2"/>
  <c r="E680" i="2"/>
  <c r="F680" i="2"/>
  <c r="G680" i="2"/>
  <c r="H680" i="2"/>
  <c r="I680" i="2"/>
  <c r="J680" i="2"/>
  <c r="K680" i="2"/>
  <c r="L680" i="2"/>
  <c r="M680" i="2"/>
  <c r="N680" i="2"/>
  <c r="O680" i="2"/>
  <c r="B681" i="2"/>
  <c r="C681" i="2"/>
  <c r="D681" i="2"/>
  <c r="E681" i="2"/>
  <c r="F681" i="2"/>
  <c r="G681" i="2"/>
  <c r="H681" i="2"/>
  <c r="I681" i="2"/>
  <c r="J681" i="2"/>
  <c r="K681" i="2"/>
  <c r="L681" i="2"/>
  <c r="M681" i="2"/>
  <c r="N681" i="2"/>
  <c r="O681" i="2"/>
  <c r="B682" i="2"/>
  <c r="C682" i="2"/>
  <c r="D682" i="2"/>
  <c r="E682" i="2"/>
  <c r="F682" i="2"/>
  <c r="G682" i="2"/>
  <c r="H682" i="2"/>
  <c r="I682" i="2"/>
  <c r="J682" i="2"/>
  <c r="K682" i="2"/>
  <c r="L682" i="2"/>
  <c r="M682" i="2"/>
  <c r="N682" i="2"/>
  <c r="O682" i="2"/>
  <c r="B683" i="2"/>
  <c r="C683" i="2"/>
  <c r="D683" i="2"/>
  <c r="E683" i="2"/>
  <c r="F683" i="2"/>
  <c r="G683" i="2"/>
  <c r="H683" i="2"/>
  <c r="I683" i="2"/>
  <c r="J683" i="2"/>
  <c r="K683" i="2"/>
  <c r="L683" i="2"/>
  <c r="M683" i="2"/>
  <c r="N683" i="2"/>
  <c r="O683" i="2"/>
  <c r="B684" i="2"/>
  <c r="C684" i="2"/>
  <c r="D684" i="2"/>
  <c r="E684" i="2"/>
  <c r="F684" i="2"/>
  <c r="G684" i="2"/>
  <c r="H684" i="2"/>
  <c r="I684" i="2"/>
  <c r="J684" i="2"/>
  <c r="K684" i="2"/>
  <c r="L684" i="2"/>
  <c r="M684" i="2"/>
  <c r="N684" i="2"/>
  <c r="O684" i="2"/>
  <c r="B685" i="2"/>
  <c r="C685" i="2"/>
  <c r="D685" i="2"/>
  <c r="E685" i="2"/>
  <c r="F685" i="2"/>
  <c r="G685" i="2"/>
  <c r="H685" i="2"/>
  <c r="I685" i="2"/>
  <c r="J685" i="2"/>
  <c r="K685" i="2"/>
  <c r="L685" i="2"/>
  <c r="M685" i="2"/>
  <c r="N685" i="2"/>
  <c r="O685" i="2"/>
  <c r="B686" i="2"/>
  <c r="C686" i="2"/>
  <c r="D686" i="2"/>
  <c r="E686" i="2"/>
  <c r="F686" i="2"/>
  <c r="G686" i="2"/>
  <c r="H686" i="2"/>
  <c r="I686" i="2"/>
  <c r="J686" i="2"/>
  <c r="K686" i="2"/>
  <c r="L686" i="2"/>
  <c r="M686" i="2"/>
  <c r="N686" i="2"/>
  <c r="O686" i="2"/>
  <c r="B687" i="2"/>
  <c r="C687" i="2"/>
  <c r="D687" i="2"/>
  <c r="E687" i="2"/>
  <c r="F687" i="2"/>
  <c r="G687" i="2"/>
  <c r="H687" i="2"/>
  <c r="I687" i="2"/>
  <c r="J687" i="2"/>
  <c r="K687" i="2"/>
  <c r="L687" i="2"/>
  <c r="M687" i="2"/>
  <c r="N687" i="2"/>
  <c r="O687" i="2"/>
  <c r="B688" i="2"/>
  <c r="C688" i="2"/>
  <c r="D688" i="2"/>
  <c r="E688" i="2"/>
  <c r="F688" i="2"/>
  <c r="G688" i="2"/>
  <c r="H688" i="2"/>
  <c r="I688" i="2"/>
  <c r="J688" i="2"/>
  <c r="K688" i="2"/>
  <c r="L688" i="2"/>
  <c r="M688" i="2"/>
  <c r="N688" i="2"/>
  <c r="O688" i="2"/>
  <c r="B689" i="2"/>
  <c r="C689" i="2"/>
  <c r="D689" i="2"/>
  <c r="E689" i="2"/>
  <c r="F689" i="2"/>
  <c r="G689" i="2"/>
  <c r="H689" i="2"/>
  <c r="I689" i="2"/>
  <c r="J689" i="2"/>
  <c r="K689" i="2"/>
  <c r="L689" i="2"/>
  <c r="M689" i="2"/>
  <c r="N689" i="2"/>
  <c r="O689" i="2"/>
  <c r="B690" i="2"/>
  <c r="C690" i="2"/>
  <c r="D690" i="2"/>
  <c r="E690" i="2"/>
  <c r="F690" i="2"/>
  <c r="G690" i="2"/>
  <c r="H690" i="2"/>
  <c r="I690" i="2"/>
  <c r="J690" i="2"/>
  <c r="K690" i="2"/>
  <c r="L690" i="2"/>
  <c r="M690" i="2"/>
  <c r="N690" i="2"/>
  <c r="O690" i="2"/>
  <c r="B691" i="2"/>
  <c r="C691" i="2"/>
  <c r="D691" i="2"/>
  <c r="E691" i="2"/>
  <c r="F691" i="2"/>
  <c r="G691" i="2"/>
  <c r="H691" i="2"/>
  <c r="I691" i="2"/>
  <c r="J691" i="2"/>
  <c r="K691" i="2"/>
  <c r="L691" i="2"/>
  <c r="M691" i="2"/>
  <c r="N691" i="2"/>
  <c r="O691" i="2"/>
  <c r="B692" i="2"/>
  <c r="C692" i="2"/>
  <c r="D692" i="2"/>
  <c r="E692" i="2"/>
  <c r="F692" i="2"/>
  <c r="G692" i="2"/>
  <c r="H692" i="2"/>
  <c r="I692" i="2"/>
  <c r="J692" i="2"/>
  <c r="K692" i="2"/>
  <c r="L692" i="2"/>
  <c r="M692" i="2"/>
  <c r="N692" i="2"/>
  <c r="O692" i="2"/>
  <c r="B693" i="2"/>
  <c r="C693" i="2"/>
  <c r="D693" i="2"/>
  <c r="E693" i="2"/>
  <c r="F693" i="2"/>
  <c r="G693" i="2"/>
  <c r="H693" i="2"/>
  <c r="I693" i="2"/>
  <c r="J693" i="2"/>
  <c r="K693" i="2"/>
  <c r="L693" i="2"/>
  <c r="M693" i="2"/>
  <c r="N693" i="2"/>
  <c r="O693" i="2"/>
  <c r="B694" i="2"/>
  <c r="C694" i="2"/>
  <c r="D694" i="2"/>
  <c r="E694" i="2"/>
  <c r="F694" i="2"/>
  <c r="G694" i="2"/>
  <c r="H694" i="2"/>
  <c r="I694" i="2"/>
  <c r="J694" i="2"/>
  <c r="K694" i="2"/>
  <c r="L694" i="2"/>
  <c r="M694" i="2"/>
  <c r="N694" i="2"/>
  <c r="O694" i="2"/>
  <c r="B695" i="2"/>
  <c r="C695" i="2"/>
  <c r="D695" i="2"/>
  <c r="E695" i="2"/>
  <c r="F695" i="2"/>
  <c r="G695" i="2"/>
  <c r="H695" i="2"/>
  <c r="I695" i="2"/>
  <c r="J695" i="2"/>
  <c r="K695" i="2"/>
  <c r="L695" i="2"/>
  <c r="M695" i="2"/>
  <c r="N695" i="2"/>
  <c r="O695" i="2"/>
  <c r="B696" i="2"/>
  <c r="C696" i="2"/>
  <c r="D696" i="2"/>
  <c r="E696" i="2"/>
  <c r="F696" i="2"/>
  <c r="G696" i="2"/>
  <c r="H696" i="2"/>
  <c r="I696" i="2"/>
  <c r="J696" i="2"/>
  <c r="K696" i="2"/>
  <c r="L696" i="2"/>
  <c r="M696" i="2"/>
  <c r="N696" i="2"/>
  <c r="O696" i="2"/>
  <c r="B697" i="2"/>
  <c r="C697" i="2"/>
  <c r="D697" i="2"/>
  <c r="E697" i="2"/>
  <c r="F697" i="2"/>
  <c r="G697" i="2"/>
  <c r="H697" i="2"/>
  <c r="I697" i="2"/>
  <c r="J697" i="2"/>
  <c r="K697" i="2"/>
  <c r="L697" i="2"/>
  <c r="M697" i="2"/>
  <c r="N697" i="2"/>
  <c r="O697" i="2"/>
  <c r="B698" i="2"/>
  <c r="C698" i="2"/>
  <c r="D698" i="2"/>
  <c r="E698" i="2"/>
  <c r="F698" i="2"/>
  <c r="G698" i="2"/>
  <c r="H698" i="2"/>
  <c r="I698" i="2"/>
  <c r="J698" i="2"/>
  <c r="K698" i="2"/>
  <c r="L698" i="2"/>
  <c r="M698" i="2"/>
  <c r="N698" i="2"/>
  <c r="O698" i="2"/>
  <c r="B699" i="2"/>
  <c r="C699" i="2"/>
  <c r="D699" i="2"/>
  <c r="E699" i="2"/>
  <c r="F699" i="2"/>
  <c r="G699" i="2"/>
  <c r="H699" i="2"/>
  <c r="I699" i="2"/>
  <c r="J699" i="2"/>
  <c r="K699" i="2"/>
  <c r="L699" i="2"/>
  <c r="M699" i="2"/>
  <c r="N699" i="2"/>
  <c r="O699" i="2"/>
  <c r="B700" i="2"/>
  <c r="C700" i="2"/>
  <c r="D700" i="2"/>
  <c r="E700" i="2"/>
  <c r="F700" i="2"/>
  <c r="G700" i="2"/>
  <c r="H700" i="2"/>
  <c r="I700" i="2"/>
  <c r="J700" i="2"/>
  <c r="K700" i="2"/>
  <c r="L700" i="2"/>
  <c r="M700" i="2"/>
  <c r="N700" i="2"/>
  <c r="O700" i="2"/>
  <c r="B701" i="2"/>
  <c r="C701" i="2"/>
  <c r="D701" i="2"/>
  <c r="E701" i="2"/>
  <c r="F701" i="2"/>
  <c r="G701" i="2"/>
  <c r="H701" i="2"/>
  <c r="I701" i="2"/>
  <c r="J701" i="2"/>
  <c r="K701" i="2"/>
  <c r="L701" i="2"/>
  <c r="M701" i="2"/>
  <c r="N701" i="2"/>
  <c r="O701" i="2"/>
  <c r="B702" i="2"/>
  <c r="C702" i="2"/>
  <c r="D702" i="2"/>
  <c r="E702" i="2"/>
  <c r="F702" i="2"/>
  <c r="G702" i="2"/>
  <c r="H702" i="2"/>
  <c r="I702" i="2"/>
  <c r="J702" i="2"/>
  <c r="K702" i="2"/>
  <c r="L702" i="2"/>
  <c r="M702" i="2"/>
  <c r="N702" i="2"/>
  <c r="O702" i="2"/>
  <c r="B703" i="2"/>
  <c r="C703" i="2"/>
  <c r="D703" i="2"/>
  <c r="E703" i="2"/>
  <c r="F703" i="2"/>
  <c r="G703" i="2"/>
  <c r="H703" i="2"/>
  <c r="I703" i="2"/>
  <c r="J703" i="2"/>
  <c r="K703" i="2"/>
  <c r="L703" i="2"/>
  <c r="M703" i="2"/>
  <c r="N703" i="2"/>
  <c r="O703" i="2"/>
  <c r="B704" i="2"/>
  <c r="C704" i="2"/>
  <c r="D704" i="2"/>
  <c r="E704" i="2"/>
  <c r="F704" i="2"/>
  <c r="G704" i="2"/>
  <c r="H704" i="2"/>
  <c r="I704" i="2"/>
  <c r="J704" i="2"/>
  <c r="K704" i="2"/>
  <c r="L704" i="2"/>
  <c r="M704" i="2"/>
  <c r="N704" i="2"/>
  <c r="O704" i="2"/>
  <c r="B705" i="2"/>
  <c r="C705" i="2"/>
  <c r="D705" i="2"/>
  <c r="E705" i="2"/>
  <c r="F705" i="2"/>
  <c r="G705" i="2"/>
  <c r="H705" i="2"/>
  <c r="I705" i="2"/>
  <c r="J705" i="2"/>
  <c r="K705" i="2"/>
  <c r="L705" i="2"/>
  <c r="M705" i="2"/>
  <c r="N705" i="2"/>
  <c r="O705" i="2"/>
  <c r="B706" i="2"/>
  <c r="C706" i="2"/>
  <c r="D706" i="2"/>
  <c r="E706" i="2"/>
  <c r="F706" i="2"/>
  <c r="G706" i="2"/>
  <c r="H706" i="2"/>
  <c r="I706" i="2"/>
  <c r="J706" i="2"/>
  <c r="K706" i="2"/>
  <c r="L706" i="2"/>
  <c r="M706" i="2"/>
  <c r="N706" i="2"/>
  <c r="O706" i="2"/>
  <c r="B707" i="2"/>
  <c r="C707" i="2"/>
  <c r="D707" i="2"/>
  <c r="E707" i="2"/>
  <c r="F707" i="2"/>
  <c r="G707" i="2"/>
  <c r="H707" i="2"/>
  <c r="I707" i="2"/>
  <c r="J707" i="2"/>
  <c r="K707" i="2"/>
  <c r="L707" i="2"/>
  <c r="M707" i="2"/>
  <c r="N707" i="2"/>
  <c r="O707" i="2"/>
  <c r="B708" i="2"/>
  <c r="C708" i="2"/>
  <c r="D708" i="2"/>
  <c r="E708" i="2"/>
  <c r="F708" i="2"/>
  <c r="G708" i="2"/>
  <c r="H708" i="2"/>
  <c r="I708" i="2"/>
  <c r="J708" i="2"/>
  <c r="K708" i="2"/>
  <c r="L708" i="2"/>
  <c r="M708" i="2"/>
  <c r="N708" i="2"/>
  <c r="O708" i="2"/>
  <c r="B709" i="2"/>
  <c r="C709" i="2"/>
  <c r="D709" i="2"/>
  <c r="E709" i="2"/>
  <c r="F709" i="2"/>
  <c r="G709" i="2"/>
  <c r="H709" i="2"/>
  <c r="I709" i="2"/>
  <c r="J709" i="2"/>
  <c r="K709" i="2"/>
  <c r="L709" i="2"/>
  <c r="M709" i="2"/>
  <c r="N709" i="2"/>
  <c r="O709" i="2"/>
  <c r="B710" i="2"/>
  <c r="C710" i="2"/>
  <c r="D710" i="2"/>
  <c r="E710" i="2"/>
  <c r="F710" i="2"/>
  <c r="G710" i="2"/>
  <c r="H710" i="2"/>
  <c r="I710" i="2"/>
  <c r="J710" i="2"/>
  <c r="K710" i="2"/>
  <c r="L710" i="2"/>
  <c r="M710" i="2"/>
  <c r="N710" i="2"/>
  <c r="O710" i="2"/>
  <c r="B711" i="2"/>
  <c r="C711" i="2"/>
  <c r="D711" i="2"/>
  <c r="E711" i="2"/>
  <c r="F711" i="2"/>
  <c r="G711" i="2"/>
  <c r="H711" i="2"/>
  <c r="I711" i="2"/>
  <c r="J711" i="2"/>
  <c r="K711" i="2"/>
  <c r="L711" i="2"/>
  <c r="M711" i="2"/>
  <c r="N711" i="2"/>
  <c r="O711" i="2"/>
  <c r="B712" i="2"/>
  <c r="C712" i="2"/>
  <c r="D712" i="2"/>
  <c r="E712" i="2"/>
  <c r="F712" i="2"/>
  <c r="G712" i="2"/>
  <c r="H712" i="2"/>
  <c r="I712" i="2"/>
  <c r="J712" i="2"/>
  <c r="K712" i="2"/>
  <c r="L712" i="2"/>
  <c r="M712" i="2"/>
  <c r="N712" i="2"/>
  <c r="O712" i="2"/>
  <c r="B713" i="2"/>
  <c r="C713" i="2"/>
  <c r="D713" i="2"/>
  <c r="E713" i="2"/>
  <c r="F713" i="2"/>
  <c r="G713" i="2"/>
  <c r="H713" i="2"/>
  <c r="I713" i="2"/>
  <c r="J713" i="2"/>
  <c r="K713" i="2"/>
  <c r="L713" i="2"/>
  <c r="M713" i="2"/>
  <c r="N713" i="2"/>
  <c r="O713" i="2"/>
  <c r="B714" i="2"/>
  <c r="C714" i="2"/>
  <c r="D714" i="2"/>
  <c r="E714" i="2"/>
  <c r="F714" i="2"/>
  <c r="G714" i="2"/>
  <c r="H714" i="2"/>
  <c r="I714" i="2"/>
  <c r="J714" i="2"/>
  <c r="K714" i="2"/>
  <c r="L714" i="2"/>
  <c r="M714" i="2"/>
  <c r="N714" i="2"/>
  <c r="O714" i="2"/>
  <c r="B715" i="2"/>
  <c r="C715" i="2"/>
  <c r="D715" i="2"/>
  <c r="E715" i="2"/>
  <c r="F715" i="2"/>
  <c r="G715" i="2"/>
  <c r="H715" i="2"/>
  <c r="I715" i="2"/>
  <c r="J715" i="2"/>
  <c r="K715" i="2"/>
  <c r="L715" i="2"/>
  <c r="M715" i="2"/>
  <c r="N715" i="2"/>
  <c r="O715" i="2"/>
  <c r="B716" i="2"/>
  <c r="C716" i="2"/>
  <c r="D716" i="2"/>
  <c r="E716" i="2"/>
  <c r="F716" i="2"/>
  <c r="G716" i="2"/>
  <c r="H716" i="2"/>
  <c r="I716" i="2"/>
  <c r="J716" i="2"/>
  <c r="K716" i="2"/>
  <c r="L716" i="2"/>
  <c r="M716" i="2"/>
  <c r="N716" i="2"/>
  <c r="O716" i="2"/>
  <c r="B717" i="2"/>
  <c r="C717" i="2"/>
  <c r="D717" i="2"/>
  <c r="E717" i="2"/>
  <c r="F717" i="2"/>
  <c r="G717" i="2"/>
  <c r="H717" i="2"/>
  <c r="I717" i="2"/>
  <c r="J717" i="2"/>
  <c r="K717" i="2"/>
  <c r="L717" i="2"/>
  <c r="M717" i="2"/>
  <c r="N717" i="2"/>
  <c r="O717" i="2"/>
  <c r="B718" i="2"/>
  <c r="C718" i="2"/>
  <c r="D718" i="2"/>
  <c r="E718" i="2"/>
  <c r="F718" i="2"/>
  <c r="G718" i="2"/>
  <c r="H718" i="2"/>
  <c r="I718" i="2"/>
  <c r="J718" i="2"/>
  <c r="K718" i="2"/>
  <c r="L718" i="2"/>
  <c r="M718" i="2"/>
  <c r="N718" i="2"/>
  <c r="O718" i="2"/>
  <c r="B719" i="2"/>
  <c r="C719" i="2"/>
  <c r="D719" i="2"/>
  <c r="E719" i="2"/>
  <c r="F719" i="2"/>
  <c r="G719" i="2"/>
  <c r="H719" i="2"/>
  <c r="I719" i="2"/>
  <c r="J719" i="2"/>
  <c r="K719" i="2"/>
  <c r="L719" i="2"/>
  <c r="M719" i="2"/>
  <c r="N719" i="2"/>
  <c r="O719" i="2"/>
  <c r="B720" i="2"/>
  <c r="C720" i="2"/>
  <c r="D720" i="2"/>
  <c r="E720" i="2"/>
  <c r="F720" i="2"/>
  <c r="G720" i="2"/>
  <c r="H720" i="2"/>
  <c r="I720" i="2"/>
  <c r="J720" i="2"/>
  <c r="K720" i="2"/>
  <c r="L720" i="2"/>
  <c r="M720" i="2"/>
  <c r="N720" i="2"/>
  <c r="O720" i="2"/>
  <c r="B721" i="2"/>
  <c r="C721" i="2"/>
  <c r="D721" i="2"/>
  <c r="E721" i="2"/>
  <c r="F721" i="2"/>
  <c r="G721" i="2"/>
  <c r="H721" i="2"/>
  <c r="I721" i="2"/>
  <c r="J721" i="2"/>
  <c r="K721" i="2"/>
  <c r="L721" i="2"/>
  <c r="M721" i="2"/>
  <c r="N721" i="2"/>
  <c r="O721" i="2"/>
  <c r="B722" i="2"/>
  <c r="C722" i="2"/>
  <c r="D722" i="2"/>
  <c r="E722" i="2"/>
  <c r="F722" i="2"/>
  <c r="G722" i="2"/>
  <c r="H722" i="2"/>
  <c r="I722" i="2"/>
  <c r="J722" i="2"/>
  <c r="K722" i="2"/>
  <c r="L722" i="2"/>
  <c r="M722" i="2"/>
  <c r="N722" i="2"/>
  <c r="O722" i="2"/>
  <c r="B723" i="2"/>
  <c r="C723" i="2"/>
  <c r="D723" i="2"/>
  <c r="E723" i="2"/>
  <c r="F723" i="2"/>
  <c r="G723" i="2"/>
  <c r="H723" i="2"/>
  <c r="I723" i="2"/>
  <c r="J723" i="2"/>
  <c r="K723" i="2"/>
  <c r="L723" i="2"/>
  <c r="M723" i="2"/>
  <c r="N723" i="2"/>
  <c r="O723" i="2"/>
  <c r="B724" i="2"/>
  <c r="C724" i="2"/>
  <c r="D724" i="2"/>
  <c r="E724" i="2"/>
  <c r="F724" i="2"/>
  <c r="G724" i="2"/>
  <c r="H724" i="2"/>
  <c r="I724" i="2"/>
  <c r="J724" i="2"/>
  <c r="K724" i="2"/>
  <c r="L724" i="2"/>
  <c r="M724" i="2"/>
  <c r="N724" i="2"/>
  <c r="O724" i="2"/>
  <c r="B725" i="2"/>
  <c r="C725" i="2"/>
  <c r="D725" i="2"/>
  <c r="E725" i="2"/>
  <c r="F725" i="2"/>
  <c r="G725" i="2"/>
  <c r="H725" i="2"/>
  <c r="I725" i="2"/>
  <c r="J725" i="2"/>
  <c r="K725" i="2"/>
  <c r="L725" i="2"/>
  <c r="M725" i="2"/>
  <c r="N725" i="2"/>
  <c r="O725" i="2"/>
  <c r="B726" i="2"/>
  <c r="C726" i="2"/>
  <c r="D726" i="2"/>
  <c r="E726" i="2"/>
  <c r="F726" i="2"/>
  <c r="G726" i="2"/>
  <c r="H726" i="2"/>
  <c r="I726" i="2"/>
  <c r="J726" i="2"/>
  <c r="K726" i="2"/>
  <c r="L726" i="2"/>
  <c r="M726" i="2"/>
  <c r="N726" i="2"/>
  <c r="O726" i="2"/>
  <c r="B727" i="2"/>
  <c r="C727" i="2"/>
  <c r="D727" i="2"/>
  <c r="E727" i="2"/>
  <c r="F727" i="2"/>
  <c r="G727" i="2"/>
  <c r="H727" i="2"/>
  <c r="I727" i="2"/>
  <c r="J727" i="2"/>
  <c r="K727" i="2"/>
  <c r="L727" i="2"/>
  <c r="M727" i="2"/>
  <c r="N727" i="2"/>
  <c r="O727" i="2"/>
  <c r="B728" i="2"/>
  <c r="C728" i="2"/>
  <c r="D728" i="2"/>
  <c r="E728" i="2"/>
  <c r="F728" i="2"/>
  <c r="G728" i="2"/>
  <c r="H728" i="2"/>
  <c r="I728" i="2"/>
  <c r="J728" i="2"/>
  <c r="K728" i="2"/>
  <c r="L728" i="2"/>
  <c r="M728" i="2"/>
  <c r="N728" i="2"/>
  <c r="O728" i="2"/>
  <c r="B729" i="2"/>
  <c r="C729" i="2"/>
  <c r="D729" i="2"/>
  <c r="E729" i="2"/>
  <c r="F729" i="2"/>
  <c r="G729" i="2"/>
  <c r="H729" i="2"/>
  <c r="I729" i="2"/>
  <c r="J729" i="2"/>
  <c r="K729" i="2"/>
  <c r="L729" i="2"/>
  <c r="M729" i="2"/>
  <c r="N729" i="2"/>
  <c r="O729" i="2"/>
  <c r="B730" i="2"/>
  <c r="C730" i="2"/>
  <c r="D730" i="2"/>
  <c r="E730" i="2"/>
  <c r="F730" i="2"/>
  <c r="G730" i="2"/>
  <c r="H730" i="2"/>
  <c r="I730" i="2"/>
  <c r="J730" i="2"/>
  <c r="K730" i="2"/>
  <c r="L730" i="2"/>
  <c r="M730" i="2"/>
  <c r="N730" i="2"/>
  <c r="O730" i="2"/>
  <c r="B731" i="2"/>
  <c r="C731" i="2"/>
  <c r="D731" i="2"/>
  <c r="E731" i="2"/>
  <c r="F731" i="2"/>
  <c r="G731" i="2"/>
  <c r="H731" i="2"/>
  <c r="I731" i="2"/>
  <c r="J731" i="2"/>
  <c r="K731" i="2"/>
  <c r="L731" i="2"/>
  <c r="M731" i="2"/>
  <c r="N731" i="2"/>
  <c r="O731" i="2"/>
  <c r="B732" i="2"/>
  <c r="C732" i="2"/>
  <c r="D732" i="2"/>
  <c r="E732" i="2"/>
  <c r="F732" i="2"/>
  <c r="G732" i="2"/>
  <c r="H732" i="2"/>
  <c r="I732" i="2"/>
  <c r="J732" i="2"/>
  <c r="K732" i="2"/>
  <c r="L732" i="2"/>
  <c r="M732" i="2"/>
  <c r="N732" i="2"/>
  <c r="O732" i="2"/>
  <c r="B733" i="2"/>
  <c r="C733" i="2"/>
  <c r="D733" i="2"/>
  <c r="E733" i="2"/>
  <c r="F733" i="2"/>
  <c r="G733" i="2"/>
  <c r="H733" i="2"/>
  <c r="I733" i="2"/>
  <c r="J733" i="2"/>
  <c r="K733" i="2"/>
  <c r="L733" i="2"/>
  <c r="M733" i="2"/>
  <c r="N733" i="2"/>
  <c r="O733" i="2"/>
  <c r="B734" i="2"/>
  <c r="C734" i="2"/>
  <c r="D734" i="2"/>
  <c r="E734" i="2"/>
  <c r="F734" i="2"/>
  <c r="G734" i="2"/>
  <c r="H734" i="2"/>
  <c r="I734" i="2"/>
  <c r="J734" i="2"/>
  <c r="K734" i="2"/>
  <c r="L734" i="2"/>
  <c r="M734" i="2"/>
  <c r="N734" i="2"/>
  <c r="O734" i="2"/>
  <c r="B735" i="2"/>
  <c r="C735" i="2"/>
  <c r="D735" i="2"/>
  <c r="E735" i="2"/>
  <c r="F735" i="2"/>
  <c r="G735" i="2"/>
  <c r="H735" i="2"/>
  <c r="I735" i="2"/>
  <c r="J735" i="2"/>
  <c r="K735" i="2"/>
  <c r="L735" i="2"/>
  <c r="M735" i="2"/>
  <c r="N735" i="2"/>
  <c r="O735" i="2"/>
  <c r="B736" i="2"/>
  <c r="C736" i="2"/>
  <c r="D736" i="2"/>
  <c r="E736" i="2"/>
  <c r="F736" i="2"/>
  <c r="G736" i="2"/>
  <c r="H736" i="2"/>
  <c r="I736" i="2"/>
  <c r="J736" i="2"/>
  <c r="K736" i="2"/>
  <c r="L736" i="2"/>
  <c r="M736" i="2"/>
  <c r="N736" i="2"/>
  <c r="O736" i="2"/>
  <c r="B737" i="2"/>
  <c r="C737" i="2"/>
  <c r="D737" i="2"/>
  <c r="E737" i="2"/>
  <c r="F737" i="2"/>
  <c r="G737" i="2"/>
  <c r="H737" i="2"/>
  <c r="I737" i="2"/>
  <c r="J737" i="2"/>
  <c r="K737" i="2"/>
  <c r="L737" i="2"/>
  <c r="M737" i="2"/>
  <c r="N737" i="2"/>
  <c r="O737" i="2"/>
  <c r="B738" i="2"/>
  <c r="C738" i="2"/>
  <c r="D738" i="2"/>
  <c r="E738" i="2"/>
  <c r="F738" i="2"/>
  <c r="G738" i="2"/>
  <c r="H738" i="2"/>
  <c r="I738" i="2"/>
  <c r="J738" i="2"/>
  <c r="K738" i="2"/>
  <c r="L738" i="2"/>
  <c r="M738" i="2"/>
  <c r="N738" i="2"/>
  <c r="O738" i="2"/>
  <c r="B739" i="2"/>
  <c r="C739" i="2"/>
  <c r="D739" i="2"/>
  <c r="E739" i="2"/>
  <c r="F739" i="2"/>
  <c r="G739" i="2"/>
  <c r="H739" i="2"/>
  <c r="I739" i="2"/>
  <c r="J739" i="2"/>
  <c r="K739" i="2"/>
  <c r="L739" i="2"/>
  <c r="M739" i="2"/>
  <c r="N739" i="2"/>
  <c r="O739" i="2"/>
  <c r="B740" i="2"/>
  <c r="C740" i="2"/>
  <c r="D740" i="2"/>
  <c r="E740" i="2"/>
  <c r="F740" i="2"/>
  <c r="G740" i="2"/>
  <c r="H740" i="2"/>
  <c r="I740" i="2"/>
  <c r="J740" i="2"/>
  <c r="K740" i="2"/>
  <c r="L740" i="2"/>
  <c r="M740" i="2"/>
  <c r="N740" i="2"/>
  <c r="O740" i="2"/>
  <c r="B741" i="2"/>
  <c r="C741" i="2"/>
  <c r="D741" i="2"/>
  <c r="E741" i="2"/>
  <c r="F741" i="2"/>
  <c r="G741" i="2"/>
  <c r="H741" i="2"/>
  <c r="I741" i="2"/>
  <c r="J741" i="2"/>
  <c r="K741" i="2"/>
  <c r="L741" i="2"/>
  <c r="M741" i="2"/>
  <c r="N741" i="2"/>
  <c r="O741" i="2"/>
  <c r="B742" i="2"/>
  <c r="C742" i="2"/>
  <c r="D742" i="2"/>
  <c r="E742" i="2"/>
  <c r="F742" i="2"/>
  <c r="G742" i="2"/>
  <c r="H742" i="2"/>
  <c r="I742" i="2"/>
  <c r="J742" i="2"/>
  <c r="K742" i="2"/>
  <c r="L742" i="2"/>
  <c r="M742" i="2"/>
  <c r="N742" i="2"/>
  <c r="O742" i="2"/>
  <c r="B743" i="2"/>
  <c r="C743" i="2"/>
  <c r="D743" i="2"/>
  <c r="E743" i="2"/>
  <c r="F743" i="2"/>
  <c r="G743" i="2"/>
  <c r="H743" i="2"/>
  <c r="I743" i="2"/>
  <c r="J743" i="2"/>
  <c r="K743" i="2"/>
  <c r="L743" i="2"/>
  <c r="M743" i="2"/>
  <c r="N743" i="2"/>
  <c r="O743" i="2"/>
  <c r="B744" i="2"/>
  <c r="C744" i="2"/>
  <c r="D744" i="2"/>
  <c r="E744" i="2"/>
  <c r="F744" i="2"/>
  <c r="G744" i="2"/>
  <c r="H744" i="2"/>
  <c r="I744" i="2"/>
  <c r="J744" i="2"/>
  <c r="K744" i="2"/>
  <c r="L744" i="2"/>
  <c r="M744" i="2"/>
  <c r="N744" i="2"/>
  <c r="O744" i="2"/>
  <c r="B745" i="2"/>
  <c r="C745" i="2"/>
  <c r="D745" i="2"/>
  <c r="E745" i="2"/>
  <c r="F745" i="2"/>
  <c r="G745" i="2"/>
  <c r="H745" i="2"/>
  <c r="I745" i="2"/>
  <c r="J745" i="2"/>
  <c r="K745" i="2"/>
  <c r="L745" i="2"/>
  <c r="M745" i="2"/>
  <c r="N745" i="2"/>
  <c r="O745" i="2"/>
  <c r="B746" i="2"/>
  <c r="C746" i="2"/>
  <c r="D746" i="2"/>
  <c r="E746" i="2"/>
  <c r="F746" i="2"/>
  <c r="G746" i="2"/>
  <c r="H746" i="2"/>
  <c r="I746" i="2"/>
  <c r="J746" i="2"/>
  <c r="K746" i="2"/>
  <c r="L746" i="2"/>
  <c r="M746" i="2"/>
  <c r="N746" i="2"/>
  <c r="O746" i="2"/>
  <c r="B747" i="2"/>
  <c r="C747" i="2"/>
  <c r="D747" i="2"/>
  <c r="E747" i="2"/>
  <c r="F747" i="2"/>
  <c r="G747" i="2"/>
  <c r="H747" i="2"/>
  <c r="I747" i="2"/>
  <c r="J747" i="2"/>
  <c r="K747" i="2"/>
  <c r="L747" i="2"/>
  <c r="M747" i="2"/>
  <c r="N747" i="2"/>
  <c r="O747" i="2"/>
  <c r="B748" i="2"/>
  <c r="C748" i="2"/>
  <c r="D748" i="2"/>
  <c r="E748" i="2"/>
  <c r="F748" i="2"/>
  <c r="G748" i="2"/>
  <c r="H748" i="2"/>
  <c r="I748" i="2"/>
  <c r="J748" i="2"/>
  <c r="K748" i="2"/>
  <c r="L748" i="2"/>
  <c r="M748" i="2"/>
  <c r="N748" i="2"/>
  <c r="O748" i="2"/>
  <c r="B749" i="2"/>
  <c r="C749" i="2"/>
  <c r="D749" i="2"/>
  <c r="E749" i="2"/>
  <c r="F749" i="2"/>
  <c r="G749" i="2"/>
  <c r="H749" i="2"/>
  <c r="I749" i="2"/>
  <c r="J749" i="2"/>
  <c r="K749" i="2"/>
  <c r="L749" i="2"/>
  <c r="M749" i="2"/>
  <c r="N749" i="2"/>
  <c r="O749" i="2"/>
  <c r="B750" i="2"/>
  <c r="C750" i="2"/>
  <c r="D750" i="2"/>
  <c r="E750" i="2"/>
  <c r="F750" i="2"/>
  <c r="G750" i="2"/>
  <c r="H750" i="2"/>
  <c r="I750" i="2"/>
  <c r="J750" i="2"/>
  <c r="K750" i="2"/>
  <c r="L750" i="2"/>
  <c r="M750" i="2"/>
  <c r="N750" i="2"/>
  <c r="O750" i="2"/>
  <c r="B751" i="2"/>
  <c r="C751" i="2"/>
  <c r="D751" i="2"/>
  <c r="E751" i="2"/>
  <c r="F751" i="2"/>
  <c r="G751" i="2"/>
  <c r="H751" i="2"/>
  <c r="I751" i="2"/>
  <c r="J751" i="2"/>
  <c r="K751" i="2"/>
  <c r="L751" i="2"/>
  <c r="M751" i="2"/>
  <c r="N751" i="2"/>
  <c r="O751" i="2"/>
  <c r="B752" i="2"/>
  <c r="C752" i="2"/>
  <c r="D752" i="2"/>
  <c r="E752" i="2"/>
  <c r="F752" i="2"/>
  <c r="G752" i="2"/>
  <c r="H752" i="2"/>
  <c r="I752" i="2"/>
  <c r="J752" i="2"/>
  <c r="K752" i="2"/>
  <c r="L752" i="2"/>
  <c r="M752" i="2"/>
  <c r="N752" i="2"/>
  <c r="O752" i="2"/>
  <c r="B753" i="2"/>
  <c r="C753" i="2"/>
  <c r="D753" i="2"/>
  <c r="E753" i="2"/>
  <c r="F753" i="2"/>
  <c r="G753" i="2"/>
  <c r="H753" i="2"/>
  <c r="I753" i="2"/>
  <c r="J753" i="2"/>
  <c r="K753" i="2"/>
  <c r="L753" i="2"/>
  <c r="M753" i="2"/>
  <c r="N753" i="2"/>
  <c r="O753" i="2"/>
  <c r="B754" i="2"/>
  <c r="C754" i="2"/>
  <c r="D754" i="2"/>
  <c r="E754" i="2"/>
  <c r="F754" i="2"/>
  <c r="G754" i="2"/>
  <c r="H754" i="2"/>
  <c r="I754" i="2"/>
  <c r="J754" i="2"/>
  <c r="K754" i="2"/>
  <c r="L754" i="2"/>
  <c r="M754" i="2"/>
  <c r="N754" i="2"/>
  <c r="O754" i="2"/>
  <c r="B755" i="2"/>
  <c r="C755" i="2"/>
  <c r="D755" i="2"/>
  <c r="E755" i="2"/>
  <c r="F755" i="2"/>
  <c r="G755" i="2"/>
  <c r="H755" i="2"/>
  <c r="I755" i="2"/>
  <c r="J755" i="2"/>
  <c r="K755" i="2"/>
  <c r="L755" i="2"/>
  <c r="M755" i="2"/>
  <c r="N755" i="2"/>
  <c r="O755" i="2"/>
  <c r="B756" i="2"/>
  <c r="C756" i="2"/>
  <c r="D756" i="2"/>
  <c r="E756" i="2"/>
  <c r="F756" i="2"/>
  <c r="G756" i="2"/>
  <c r="H756" i="2"/>
  <c r="I756" i="2"/>
  <c r="J756" i="2"/>
  <c r="K756" i="2"/>
  <c r="L756" i="2"/>
  <c r="M756" i="2"/>
  <c r="N756" i="2"/>
  <c r="O756" i="2"/>
  <c r="B757" i="2"/>
  <c r="C757" i="2"/>
  <c r="D757" i="2"/>
  <c r="E757" i="2"/>
  <c r="F757" i="2"/>
  <c r="G757" i="2"/>
  <c r="H757" i="2"/>
  <c r="I757" i="2"/>
  <c r="J757" i="2"/>
  <c r="K757" i="2"/>
  <c r="L757" i="2"/>
  <c r="M757" i="2"/>
  <c r="N757" i="2"/>
  <c r="O757" i="2"/>
  <c r="B758" i="2"/>
  <c r="C758" i="2"/>
  <c r="D758" i="2"/>
  <c r="E758" i="2"/>
  <c r="F758" i="2"/>
  <c r="G758" i="2"/>
  <c r="H758" i="2"/>
  <c r="I758" i="2"/>
  <c r="J758" i="2"/>
  <c r="K758" i="2"/>
  <c r="L758" i="2"/>
  <c r="M758" i="2"/>
  <c r="N758" i="2"/>
  <c r="O758" i="2"/>
  <c r="B759" i="2"/>
  <c r="C759" i="2"/>
  <c r="D759" i="2"/>
  <c r="E759" i="2"/>
  <c r="F759" i="2"/>
  <c r="G759" i="2"/>
  <c r="H759" i="2"/>
  <c r="I759" i="2"/>
  <c r="J759" i="2"/>
  <c r="K759" i="2"/>
  <c r="L759" i="2"/>
  <c r="M759" i="2"/>
  <c r="N759" i="2"/>
  <c r="O759" i="2"/>
  <c r="B760" i="2"/>
  <c r="C760" i="2"/>
  <c r="D760" i="2"/>
  <c r="E760" i="2"/>
  <c r="F760" i="2"/>
  <c r="G760" i="2"/>
  <c r="H760" i="2"/>
  <c r="I760" i="2"/>
  <c r="J760" i="2"/>
  <c r="K760" i="2"/>
  <c r="L760" i="2"/>
  <c r="M760" i="2"/>
  <c r="N760" i="2"/>
  <c r="O760" i="2"/>
  <c r="B761" i="2"/>
  <c r="C761" i="2"/>
  <c r="D761" i="2"/>
  <c r="E761" i="2"/>
  <c r="F761" i="2"/>
  <c r="G761" i="2"/>
  <c r="H761" i="2"/>
  <c r="I761" i="2"/>
  <c r="J761" i="2"/>
  <c r="K761" i="2"/>
  <c r="L761" i="2"/>
  <c r="M761" i="2"/>
  <c r="N761" i="2"/>
  <c r="O761" i="2"/>
  <c r="B762" i="2"/>
  <c r="C762" i="2"/>
  <c r="D762" i="2"/>
  <c r="E762" i="2"/>
  <c r="F762" i="2"/>
  <c r="G762" i="2"/>
  <c r="H762" i="2"/>
  <c r="I762" i="2"/>
  <c r="J762" i="2"/>
  <c r="K762" i="2"/>
  <c r="L762" i="2"/>
  <c r="M762" i="2"/>
  <c r="N762" i="2"/>
  <c r="O762" i="2"/>
  <c r="B763" i="2"/>
  <c r="C763" i="2"/>
  <c r="D763" i="2"/>
  <c r="E763" i="2"/>
  <c r="F763" i="2"/>
  <c r="G763" i="2"/>
  <c r="H763" i="2"/>
  <c r="I763" i="2"/>
  <c r="J763" i="2"/>
  <c r="K763" i="2"/>
  <c r="L763" i="2"/>
  <c r="M763" i="2"/>
  <c r="N763" i="2"/>
  <c r="O763" i="2"/>
  <c r="B764" i="2"/>
  <c r="C764" i="2"/>
  <c r="D764" i="2"/>
  <c r="E764" i="2"/>
  <c r="F764" i="2"/>
  <c r="G764" i="2"/>
  <c r="H764" i="2"/>
  <c r="I764" i="2"/>
  <c r="J764" i="2"/>
  <c r="K764" i="2"/>
  <c r="L764" i="2"/>
  <c r="M764" i="2"/>
  <c r="N764" i="2"/>
  <c r="O764" i="2"/>
  <c r="B765" i="2"/>
  <c r="C765" i="2"/>
  <c r="D765" i="2"/>
  <c r="E765" i="2"/>
  <c r="F765" i="2"/>
  <c r="G765" i="2"/>
  <c r="H765" i="2"/>
  <c r="I765" i="2"/>
  <c r="J765" i="2"/>
  <c r="K765" i="2"/>
  <c r="L765" i="2"/>
  <c r="M765" i="2"/>
  <c r="N765" i="2"/>
  <c r="O765" i="2"/>
  <c r="B766" i="2"/>
  <c r="C766" i="2"/>
  <c r="D766" i="2"/>
  <c r="E766" i="2"/>
  <c r="F766" i="2"/>
  <c r="G766" i="2"/>
  <c r="H766" i="2"/>
  <c r="I766" i="2"/>
  <c r="J766" i="2"/>
  <c r="K766" i="2"/>
  <c r="L766" i="2"/>
  <c r="M766" i="2"/>
  <c r="N766" i="2"/>
  <c r="O766" i="2"/>
  <c r="B767" i="2"/>
  <c r="C767" i="2"/>
  <c r="D767" i="2"/>
  <c r="E767" i="2"/>
  <c r="F767" i="2"/>
  <c r="G767" i="2"/>
  <c r="H767" i="2"/>
  <c r="I767" i="2"/>
  <c r="J767" i="2"/>
  <c r="K767" i="2"/>
  <c r="L767" i="2"/>
  <c r="M767" i="2"/>
  <c r="N767" i="2"/>
  <c r="O767" i="2"/>
  <c r="B768" i="2"/>
  <c r="C768" i="2"/>
  <c r="D768" i="2"/>
  <c r="E768" i="2"/>
  <c r="F768" i="2"/>
  <c r="G768" i="2"/>
  <c r="H768" i="2"/>
  <c r="I768" i="2"/>
  <c r="J768" i="2"/>
  <c r="K768" i="2"/>
  <c r="L768" i="2"/>
  <c r="M768" i="2"/>
  <c r="N768" i="2"/>
  <c r="O768" i="2"/>
  <c r="B769" i="2"/>
  <c r="C769" i="2"/>
  <c r="D769" i="2"/>
  <c r="E769" i="2"/>
  <c r="F769" i="2"/>
  <c r="G769" i="2"/>
  <c r="H769" i="2"/>
  <c r="I769" i="2"/>
  <c r="J769" i="2"/>
  <c r="K769" i="2"/>
  <c r="L769" i="2"/>
  <c r="M769" i="2"/>
  <c r="N769" i="2"/>
  <c r="O769" i="2"/>
  <c r="B770" i="2"/>
  <c r="C770" i="2"/>
  <c r="D770" i="2"/>
  <c r="E770" i="2"/>
  <c r="F770" i="2"/>
  <c r="G770" i="2"/>
  <c r="H770" i="2"/>
  <c r="I770" i="2"/>
  <c r="J770" i="2"/>
  <c r="K770" i="2"/>
  <c r="L770" i="2"/>
  <c r="M770" i="2"/>
  <c r="N770" i="2"/>
  <c r="O770" i="2"/>
  <c r="B771" i="2"/>
  <c r="C771" i="2"/>
  <c r="D771" i="2"/>
  <c r="E771" i="2"/>
  <c r="F771" i="2"/>
  <c r="G771" i="2"/>
  <c r="H771" i="2"/>
  <c r="I771" i="2"/>
  <c r="J771" i="2"/>
  <c r="K771" i="2"/>
  <c r="L771" i="2"/>
  <c r="M771" i="2"/>
  <c r="N771" i="2"/>
  <c r="O771" i="2"/>
  <c r="B772" i="2"/>
  <c r="C772" i="2"/>
  <c r="D772" i="2"/>
  <c r="E772" i="2"/>
  <c r="F772" i="2"/>
  <c r="G772" i="2"/>
  <c r="H772" i="2"/>
  <c r="I772" i="2"/>
  <c r="J772" i="2"/>
  <c r="K772" i="2"/>
  <c r="L772" i="2"/>
  <c r="M772" i="2"/>
  <c r="N772" i="2"/>
  <c r="O772" i="2"/>
  <c r="B773" i="2"/>
  <c r="C773" i="2"/>
  <c r="D773" i="2"/>
  <c r="E773" i="2"/>
  <c r="F773" i="2"/>
  <c r="G773" i="2"/>
  <c r="H773" i="2"/>
  <c r="I773" i="2"/>
  <c r="J773" i="2"/>
  <c r="K773" i="2"/>
  <c r="L773" i="2"/>
  <c r="M773" i="2"/>
  <c r="N773" i="2"/>
  <c r="O773" i="2"/>
  <c r="B774" i="2"/>
  <c r="C774" i="2"/>
  <c r="D774" i="2"/>
  <c r="E774" i="2"/>
  <c r="F774" i="2"/>
  <c r="G774" i="2"/>
  <c r="H774" i="2"/>
  <c r="I774" i="2"/>
  <c r="J774" i="2"/>
  <c r="K774" i="2"/>
  <c r="L774" i="2"/>
  <c r="M774" i="2"/>
  <c r="N774" i="2"/>
  <c r="O774" i="2"/>
  <c r="B775" i="2"/>
  <c r="C775" i="2"/>
  <c r="D775" i="2"/>
  <c r="E775" i="2"/>
  <c r="F775" i="2"/>
  <c r="G775" i="2"/>
  <c r="H775" i="2"/>
  <c r="I775" i="2"/>
  <c r="J775" i="2"/>
  <c r="K775" i="2"/>
  <c r="L775" i="2"/>
  <c r="M775" i="2"/>
  <c r="N775" i="2"/>
  <c r="O775" i="2"/>
  <c r="B776" i="2"/>
  <c r="C776" i="2"/>
  <c r="D776" i="2"/>
  <c r="E776" i="2"/>
  <c r="F776" i="2"/>
  <c r="G776" i="2"/>
  <c r="H776" i="2"/>
  <c r="I776" i="2"/>
  <c r="J776" i="2"/>
  <c r="K776" i="2"/>
  <c r="L776" i="2"/>
  <c r="M776" i="2"/>
  <c r="N776" i="2"/>
  <c r="O776" i="2"/>
  <c r="B777" i="2"/>
  <c r="C777" i="2"/>
  <c r="D777" i="2"/>
  <c r="E777" i="2"/>
  <c r="F777" i="2"/>
  <c r="G777" i="2"/>
  <c r="H777" i="2"/>
  <c r="I777" i="2"/>
  <c r="J777" i="2"/>
  <c r="K777" i="2"/>
  <c r="L777" i="2"/>
  <c r="M777" i="2"/>
  <c r="N777" i="2"/>
  <c r="O777" i="2"/>
  <c r="B778" i="2"/>
  <c r="C778" i="2"/>
  <c r="D778" i="2"/>
  <c r="E778" i="2"/>
  <c r="F778" i="2"/>
  <c r="G778" i="2"/>
  <c r="H778" i="2"/>
  <c r="I778" i="2"/>
  <c r="J778" i="2"/>
  <c r="K778" i="2"/>
  <c r="L778" i="2"/>
  <c r="M778" i="2"/>
  <c r="N778" i="2"/>
  <c r="O778" i="2"/>
  <c r="B779" i="2"/>
  <c r="C779" i="2"/>
  <c r="D779" i="2"/>
  <c r="E779" i="2"/>
  <c r="F779" i="2"/>
  <c r="G779" i="2"/>
  <c r="H779" i="2"/>
  <c r="I779" i="2"/>
  <c r="J779" i="2"/>
  <c r="K779" i="2"/>
  <c r="L779" i="2"/>
  <c r="M779" i="2"/>
  <c r="N779" i="2"/>
  <c r="O779" i="2"/>
  <c r="B780" i="2"/>
  <c r="C780" i="2"/>
  <c r="D780" i="2"/>
  <c r="E780" i="2"/>
  <c r="F780" i="2"/>
  <c r="G780" i="2"/>
  <c r="H780" i="2"/>
  <c r="I780" i="2"/>
  <c r="J780" i="2"/>
  <c r="K780" i="2"/>
  <c r="L780" i="2"/>
  <c r="M780" i="2"/>
  <c r="N780" i="2"/>
  <c r="O780" i="2"/>
  <c r="B781" i="2"/>
  <c r="C781" i="2"/>
  <c r="D781" i="2"/>
  <c r="E781" i="2"/>
  <c r="F781" i="2"/>
  <c r="G781" i="2"/>
  <c r="H781" i="2"/>
  <c r="I781" i="2"/>
  <c r="J781" i="2"/>
  <c r="K781" i="2"/>
  <c r="L781" i="2"/>
  <c r="M781" i="2"/>
  <c r="N781" i="2"/>
  <c r="O781" i="2"/>
  <c r="B782" i="2"/>
  <c r="C782" i="2"/>
  <c r="C1135" i="2" s="1"/>
  <c r="D782" i="2"/>
  <c r="E782" i="2"/>
  <c r="F782" i="2"/>
  <c r="G782" i="2"/>
  <c r="H782" i="2"/>
  <c r="I782" i="2"/>
  <c r="J782" i="2"/>
  <c r="K782" i="2"/>
  <c r="L782" i="2"/>
  <c r="M782" i="2"/>
  <c r="N782" i="2"/>
  <c r="O782" i="2"/>
  <c r="B783" i="2"/>
  <c r="C783" i="2"/>
  <c r="D783" i="2"/>
  <c r="E783" i="2"/>
  <c r="F783" i="2"/>
  <c r="G783" i="2"/>
  <c r="H783" i="2"/>
  <c r="I783" i="2"/>
  <c r="J783" i="2"/>
  <c r="K783" i="2"/>
  <c r="L783" i="2"/>
  <c r="M783" i="2"/>
  <c r="N783" i="2"/>
  <c r="O783" i="2"/>
  <c r="B784" i="2"/>
  <c r="C784" i="2"/>
  <c r="D784" i="2"/>
  <c r="E784" i="2"/>
  <c r="F784" i="2"/>
  <c r="G784" i="2"/>
  <c r="H784" i="2"/>
  <c r="I784" i="2"/>
  <c r="J784" i="2"/>
  <c r="K784" i="2"/>
  <c r="L784" i="2"/>
  <c r="M784" i="2"/>
  <c r="N784" i="2"/>
  <c r="O784" i="2"/>
  <c r="B785" i="2"/>
  <c r="C785" i="2"/>
  <c r="D785" i="2"/>
  <c r="E785" i="2"/>
  <c r="F785" i="2"/>
  <c r="G785" i="2"/>
  <c r="H785" i="2"/>
  <c r="I785" i="2"/>
  <c r="J785" i="2"/>
  <c r="K785" i="2"/>
  <c r="L785" i="2"/>
  <c r="M785" i="2"/>
  <c r="N785" i="2"/>
  <c r="O785" i="2"/>
  <c r="B786" i="2"/>
  <c r="C786" i="2"/>
  <c r="D786" i="2"/>
  <c r="E786" i="2"/>
  <c r="F786" i="2"/>
  <c r="G786" i="2"/>
  <c r="H786" i="2"/>
  <c r="I786" i="2"/>
  <c r="J786" i="2"/>
  <c r="K786" i="2"/>
  <c r="L786" i="2"/>
  <c r="M786" i="2"/>
  <c r="N786" i="2"/>
  <c r="O786" i="2"/>
  <c r="B787" i="2"/>
  <c r="C787" i="2"/>
  <c r="D787" i="2"/>
  <c r="E787" i="2"/>
  <c r="F787" i="2"/>
  <c r="G787" i="2"/>
  <c r="H787" i="2"/>
  <c r="I787" i="2"/>
  <c r="J787" i="2"/>
  <c r="K787" i="2"/>
  <c r="L787" i="2"/>
  <c r="M787" i="2"/>
  <c r="N787" i="2"/>
  <c r="O787" i="2"/>
  <c r="B788" i="2"/>
  <c r="C788" i="2"/>
  <c r="D788" i="2"/>
  <c r="E788" i="2"/>
  <c r="F788" i="2"/>
  <c r="G788" i="2"/>
  <c r="H788" i="2"/>
  <c r="I788" i="2"/>
  <c r="J788" i="2"/>
  <c r="K788" i="2"/>
  <c r="L788" i="2"/>
  <c r="M788" i="2"/>
  <c r="N788" i="2"/>
  <c r="O788" i="2"/>
  <c r="B789" i="2"/>
  <c r="C789" i="2"/>
  <c r="D789" i="2"/>
  <c r="E789" i="2"/>
  <c r="F789" i="2"/>
  <c r="G789" i="2"/>
  <c r="H789" i="2"/>
  <c r="I789" i="2"/>
  <c r="J789" i="2"/>
  <c r="K789" i="2"/>
  <c r="L789" i="2"/>
  <c r="M789" i="2"/>
  <c r="N789" i="2"/>
  <c r="O789" i="2"/>
  <c r="B790" i="2"/>
  <c r="C790" i="2"/>
  <c r="D790" i="2"/>
  <c r="E790" i="2"/>
  <c r="F790" i="2"/>
  <c r="G790" i="2"/>
  <c r="H790" i="2"/>
  <c r="I790" i="2"/>
  <c r="J790" i="2"/>
  <c r="K790" i="2"/>
  <c r="L790" i="2"/>
  <c r="M790" i="2"/>
  <c r="N790" i="2"/>
  <c r="O790" i="2"/>
  <c r="B791" i="2"/>
  <c r="C791" i="2"/>
  <c r="D791" i="2"/>
  <c r="E791" i="2"/>
  <c r="F791" i="2"/>
  <c r="G791" i="2"/>
  <c r="H791" i="2"/>
  <c r="I791" i="2"/>
  <c r="J791" i="2"/>
  <c r="K791" i="2"/>
  <c r="L791" i="2"/>
  <c r="M791" i="2"/>
  <c r="N791" i="2"/>
  <c r="O791" i="2"/>
  <c r="B792" i="2"/>
  <c r="C792" i="2"/>
  <c r="D792" i="2"/>
  <c r="E792" i="2"/>
  <c r="F792" i="2"/>
  <c r="G792" i="2"/>
  <c r="H792" i="2"/>
  <c r="I792" i="2"/>
  <c r="J792" i="2"/>
  <c r="K792" i="2"/>
  <c r="L792" i="2"/>
  <c r="M792" i="2"/>
  <c r="N792" i="2"/>
  <c r="O792" i="2"/>
  <c r="B793" i="2"/>
  <c r="C793" i="2"/>
  <c r="D793" i="2"/>
  <c r="E793" i="2"/>
  <c r="F793" i="2"/>
  <c r="G793" i="2"/>
  <c r="H793" i="2"/>
  <c r="I793" i="2"/>
  <c r="J793" i="2"/>
  <c r="K793" i="2"/>
  <c r="L793" i="2"/>
  <c r="M793" i="2"/>
  <c r="N793" i="2"/>
  <c r="O793" i="2"/>
  <c r="B794" i="2"/>
  <c r="C794" i="2"/>
  <c r="D794" i="2"/>
  <c r="E794" i="2"/>
  <c r="F794" i="2"/>
  <c r="G794" i="2"/>
  <c r="H794" i="2"/>
  <c r="I794" i="2"/>
  <c r="J794" i="2"/>
  <c r="K794" i="2"/>
  <c r="L794" i="2"/>
  <c r="M794" i="2"/>
  <c r="N794" i="2"/>
  <c r="O794" i="2"/>
  <c r="O1136" i="2" s="1"/>
  <c r="B795" i="2"/>
  <c r="C795" i="2"/>
  <c r="D795" i="2"/>
  <c r="E795" i="2"/>
  <c r="F795" i="2"/>
  <c r="G795" i="2"/>
  <c r="H795" i="2"/>
  <c r="I795" i="2"/>
  <c r="J795" i="2"/>
  <c r="K795" i="2"/>
  <c r="L795" i="2"/>
  <c r="M795" i="2"/>
  <c r="N795" i="2"/>
  <c r="O795" i="2"/>
  <c r="B796" i="2"/>
  <c r="C796" i="2"/>
  <c r="D796" i="2"/>
  <c r="E796" i="2"/>
  <c r="F796" i="2"/>
  <c r="G796" i="2"/>
  <c r="H796" i="2"/>
  <c r="I796" i="2"/>
  <c r="J796" i="2"/>
  <c r="K796" i="2"/>
  <c r="L796" i="2"/>
  <c r="M796" i="2"/>
  <c r="N796" i="2"/>
  <c r="O796" i="2"/>
  <c r="B797" i="2"/>
  <c r="C797" i="2"/>
  <c r="D797" i="2"/>
  <c r="E797" i="2"/>
  <c r="F797" i="2"/>
  <c r="G797" i="2"/>
  <c r="H797" i="2"/>
  <c r="I797" i="2"/>
  <c r="J797" i="2"/>
  <c r="K797" i="2"/>
  <c r="L797" i="2"/>
  <c r="M797" i="2"/>
  <c r="N797" i="2"/>
  <c r="O797" i="2"/>
  <c r="B798" i="2"/>
  <c r="C798" i="2"/>
  <c r="D798" i="2"/>
  <c r="E798" i="2"/>
  <c r="F798" i="2"/>
  <c r="G798" i="2"/>
  <c r="H798" i="2"/>
  <c r="I798" i="2"/>
  <c r="J798" i="2"/>
  <c r="K798" i="2"/>
  <c r="L798" i="2"/>
  <c r="M798" i="2"/>
  <c r="N798" i="2"/>
  <c r="O798" i="2"/>
  <c r="B799" i="2"/>
  <c r="C799" i="2"/>
  <c r="D799" i="2"/>
  <c r="E799" i="2"/>
  <c r="F799" i="2"/>
  <c r="G799" i="2"/>
  <c r="H799" i="2"/>
  <c r="I799" i="2"/>
  <c r="J799" i="2"/>
  <c r="K799" i="2"/>
  <c r="L799" i="2"/>
  <c r="M799" i="2"/>
  <c r="N799" i="2"/>
  <c r="O799" i="2"/>
  <c r="B800" i="2"/>
  <c r="C800" i="2"/>
  <c r="D800" i="2"/>
  <c r="E800" i="2"/>
  <c r="F800" i="2"/>
  <c r="G800" i="2"/>
  <c r="H800" i="2"/>
  <c r="I800" i="2"/>
  <c r="J800" i="2"/>
  <c r="K800" i="2"/>
  <c r="L800" i="2"/>
  <c r="M800" i="2"/>
  <c r="N800" i="2"/>
  <c r="O800" i="2"/>
  <c r="B801" i="2"/>
  <c r="C801" i="2"/>
  <c r="D801" i="2"/>
  <c r="E801" i="2"/>
  <c r="F801" i="2"/>
  <c r="G801" i="2"/>
  <c r="H801" i="2"/>
  <c r="I801" i="2"/>
  <c r="J801" i="2"/>
  <c r="K801" i="2"/>
  <c r="L801" i="2"/>
  <c r="M801" i="2"/>
  <c r="N801" i="2"/>
  <c r="O801" i="2"/>
  <c r="B802" i="2"/>
  <c r="C802" i="2"/>
  <c r="D802" i="2"/>
  <c r="E802" i="2"/>
  <c r="F802" i="2"/>
  <c r="G802" i="2"/>
  <c r="H802" i="2"/>
  <c r="I802" i="2"/>
  <c r="J802" i="2"/>
  <c r="K802" i="2"/>
  <c r="L802" i="2"/>
  <c r="M802" i="2"/>
  <c r="N802" i="2"/>
  <c r="O802" i="2"/>
  <c r="B803" i="2"/>
  <c r="C803" i="2"/>
  <c r="D803" i="2"/>
  <c r="E803" i="2"/>
  <c r="F803" i="2"/>
  <c r="G803" i="2"/>
  <c r="H803" i="2"/>
  <c r="I803" i="2"/>
  <c r="J803" i="2"/>
  <c r="K803" i="2"/>
  <c r="L803" i="2"/>
  <c r="M803" i="2"/>
  <c r="N803" i="2"/>
  <c r="O803" i="2"/>
  <c r="B804" i="2"/>
  <c r="C804" i="2"/>
  <c r="D804" i="2"/>
  <c r="E804" i="2"/>
  <c r="F804" i="2"/>
  <c r="G804" i="2"/>
  <c r="H804" i="2"/>
  <c r="I804" i="2"/>
  <c r="J804" i="2"/>
  <c r="K804" i="2"/>
  <c r="L804" i="2"/>
  <c r="M804" i="2"/>
  <c r="N804" i="2"/>
  <c r="O804" i="2"/>
  <c r="B805" i="2"/>
  <c r="C805" i="2"/>
  <c r="D805" i="2"/>
  <c r="E805" i="2"/>
  <c r="F805" i="2"/>
  <c r="G805" i="2"/>
  <c r="H805" i="2"/>
  <c r="I805" i="2"/>
  <c r="J805" i="2"/>
  <c r="K805" i="2"/>
  <c r="L805" i="2"/>
  <c r="M805" i="2"/>
  <c r="N805" i="2"/>
  <c r="O805" i="2"/>
  <c r="B806" i="2"/>
  <c r="C806" i="2"/>
  <c r="D806" i="2"/>
  <c r="E806" i="2"/>
  <c r="F806" i="2"/>
  <c r="G806" i="2"/>
  <c r="G1137" i="2" s="1"/>
  <c r="H806" i="2"/>
  <c r="I806" i="2"/>
  <c r="J806" i="2"/>
  <c r="K806" i="2"/>
  <c r="L806" i="2"/>
  <c r="M806" i="2"/>
  <c r="N806" i="2"/>
  <c r="O806" i="2"/>
  <c r="B807" i="2"/>
  <c r="C807" i="2"/>
  <c r="D807" i="2"/>
  <c r="E807" i="2"/>
  <c r="F807" i="2"/>
  <c r="G807" i="2"/>
  <c r="H807" i="2"/>
  <c r="I807" i="2"/>
  <c r="J807" i="2"/>
  <c r="K807" i="2"/>
  <c r="L807" i="2"/>
  <c r="M807" i="2"/>
  <c r="N807" i="2"/>
  <c r="O807" i="2"/>
  <c r="B808" i="2"/>
  <c r="C808" i="2"/>
  <c r="D808" i="2"/>
  <c r="E808" i="2"/>
  <c r="F808" i="2"/>
  <c r="G808" i="2"/>
  <c r="H808" i="2"/>
  <c r="I808" i="2"/>
  <c r="J808" i="2"/>
  <c r="K808" i="2"/>
  <c r="L808" i="2"/>
  <c r="M808" i="2"/>
  <c r="N808" i="2"/>
  <c r="O808" i="2"/>
  <c r="B809" i="2"/>
  <c r="C809" i="2"/>
  <c r="D809" i="2"/>
  <c r="E809" i="2"/>
  <c r="F809" i="2"/>
  <c r="G809" i="2"/>
  <c r="H809" i="2"/>
  <c r="I809" i="2"/>
  <c r="J809" i="2"/>
  <c r="K809" i="2"/>
  <c r="L809" i="2"/>
  <c r="M809" i="2"/>
  <c r="N809" i="2"/>
  <c r="O809" i="2"/>
  <c r="B810" i="2"/>
  <c r="C810" i="2"/>
  <c r="D810" i="2"/>
  <c r="E810" i="2"/>
  <c r="F810" i="2"/>
  <c r="G810" i="2"/>
  <c r="H810" i="2"/>
  <c r="I810" i="2"/>
  <c r="J810" i="2"/>
  <c r="K810" i="2"/>
  <c r="L810" i="2"/>
  <c r="M810" i="2"/>
  <c r="N810" i="2"/>
  <c r="O810" i="2"/>
  <c r="B811" i="2"/>
  <c r="C811" i="2"/>
  <c r="D811" i="2"/>
  <c r="E811" i="2"/>
  <c r="F811" i="2"/>
  <c r="G811" i="2"/>
  <c r="H811" i="2"/>
  <c r="I811" i="2"/>
  <c r="J811" i="2"/>
  <c r="K811" i="2"/>
  <c r="L811" i="2"/>
  <c r="M811" i="2"/>
  <c r="N811" i="2"/>
  <c r="O811" i="2"/>
  <c r="B812" i="2"/>
  <c r="C812" i="2"/>
  <c r="D812" i="2"/>
  <c r="E812" i="2"/>
  <c r="F812" i="2"/>
  <c r="G812" i="2"/>
  <c r="H812" i="2"/>
  <c r="I812" i="2"/>
  <c r="J812" i="2"/>
  <c r="K812" i="2"/>
  <c r="L812" i="2"/>
  <c r="M812" i="2"/>
  <c r="N812" i="2"/>
  <c r="O812" i="2"/>
  <c r="B813" i="2"/>
  <c r="C813" i="2"/>
  <c r="D813" i="2"/>
  <c r="E813" i="2"/>
  <c r="F813" i="2"/>
  <c r="G813" i="2"/>
  <c r="H813" i="2"/>
  <c r="I813" i="2"/>
  <c r="J813" i="2"/>
  <c r="K813" i="2"/>
  <c r="L813" i="2"/>
  <c r="M813" i="2"/>
  <c r="N813" i="2"/>
  <c r="O813" i="2"/>
  <c r="B814" i="2"/>
  <c r="C814" i="2"/>
  <c r="D814" i="2"/>
  <c r="E814" i="2"/>
  <c r="F814" i="2"/>
  <c r="G814" i="2"/>
  <c r="H814" i="2"/>
  <c r="I814" i="2"/>
  <c r="J814" i="2"/>
  <c r="K814" i="2"/>
  <c r="L814" i="2"/>
  <c r="M814" i="2"/>
  <c r="N814" i="2"/>
  <c r="O814" i="2"/>
  <c r="B815" i="2"/>
  <c r="C815" i="2"/>
  <c r="D815" i="2"/>
  <c r="E815" i="2"/>
  <c r="F815" i="2"/>
  <c r="G815" i="2"/>
  <c r="H815" i="2"/>
  <c r="I815" i="2"/>
  <c r="J815" i="2"/>
  <c r="K815" i="2"/>
  <c r="L815" i="2"/>
  <c r="M815" i="2"/>
  <c r="N815" i="2"/>
  <c r="O815" i="2"/>
  <c r="B816" i="2"/>
  <c r="C816" i="2"/>
  <c r="D816" i="2"/>
  <c r="E816" i="2"/>
  <c r="F816" i="2"/>
  <c r="G816" i="2"/>
  <c r="H816" i="2"/>
  <c r="I816" i="2"/>
  <c r="J816" i="2"/>
  <c r="K816" i="2"/>
  <c r="L816" i="2"/>
  <c r="M816" i="2"/>
  <c r="N816" i="2"/>
  <c r="O816" i="2"/>
  <c r="B817" i="2"/>
  <c r="C817" i="2"/>
  <c r="D817" i="2"/>
  <c r="E817" i="2"/>
  <c r="F817" i="2"/>
  <c r="G817" i="2"/>
  <c r="H817" i="2"/>
  <c r="I817" i="2"/>
  <c r="J817" i="2"/>
  <c r="K817" i="2"/>
  <c r="L817" i="2"/>
  <c r="M817" i="2"/>
  <c r="N817" i="2"/>
  <c r="O817" i="2"/>
  <c r="B818" i="2"/>
  <c r="C818" i="2"/>
  <c r="D818" i="2"/>
  <c r="E818" i="2"/>
  <c r="F818" i="2"/>
  <c r="G818" i="2"/>
  <c r="H818" i="2"/>
  <c r="I818" i="2"/>
  <c r="J818" i="2"/>
  <c r="K818" i="2"/>
  <c r="L818" i="2"/>
  <c r="M818" i="2"/>
  <c r="N818" i="2"/>
  <c r="O818" i="2"/>
  <c r="B819" i="2"/>
  <c r="C819" i="2"/>
  <c r="D819" i="2"/>
  <c r="E819" i="2"/>
  <c r="F819" i="2"/>
  <c r="G819" i="2"/>
  <c r="H819" i="2"/>
  <c r="I819" i="2"/>
  <c r="I1138" i="2" s="1"/>
  <c r="J819" i="2"/>
  <c r="J1138" i="2" s="1"/>
  <c r="K819" i="2"/>
  <c r="L819" i="2"/>
  <c r="M819" i="2"/>
  <c r="N819" i="2"/>
  <c r="O819" i="2"/>
  <c r="B820" i="2"/>
  <c r="C820" i="2"/>
  <c r="D820" i="2"/>
  <c r="E820" i="2"/>
  <c r="F820" i="2"/>
  <c r="G820" i="2"/>
  <c r="H820" i="2"/>
  <c r="I820" i="2"/>
  <c r="J820" i="2"/>
  <c r="K820" i="2"/>
  <c r="L820" i="2"/>
  <c r="M820" i="2"/>
  <c r="N820" i="2"/>
  <c r="O820" i="2"/>
  <c r="B821" i="2"/>
  <c r="C821" i="2"/>
  <c r="D821" i="2"/>
  <c r="E821" i="2"/>
  <c r="F821" i="2"/>
  <c r="G821" i="2"/>
  <c r="H821" i="2"/>
  <c r="I821" i="2"/>
  <c r="J821" i="2"/>
  <c r="K821" i="2"/>
  <c r="L821" i="2"/>
  <c r="M821" i="2"/>
  <c r="N821" i="2"/>
  <c r="O821" i="2"/>
  <c r="B822" i="2"/>
  <c r="C822" i="2"/>
  <c r="D822" i="2"/>
  <c r="E822" i="2"/>
  <c r="F822" i="2"/>
  <c r="G822" i="2"/>
  <c r="H822" i="2"/>
  <c r="I822" i="2"/>
  <c r="J822" i="2"/>
  <c r="K822" i="2"/>
  <c r="L822" i="2"/>
  <c r="M822" i="2"/>
  <c r="N822" i="2"/>
  <c r="O822" i="2"/>
  <c r="B823" i="2"/>
  <c r="C823" i="2"/>
  <c r="D823" i="2"/>
  <c r="E823" i="2"/>
  <c r="F823" i="2"/>
  <c r="G823" i="2"/>
  <c r="H823" i="2"/>
  <c r="I823" i="2"/>
  <c r="J823" i="2"/>
  <c r="K823" i="2"/>
  <c r="L823" i="2"/>
  <c r="M823" i="2"/>
  <c r="N823" i="2"/>
  <c r="O823" i="2"/>
  <c r="B824" i="2"/>
  <c r="C824" i="2"/>
  <c r="D824" i="2"/>
  <c r="E824" i="2"/>
  <c r="F824" i="2"/>
  <c r="G824" i="2"/>
  <c r="H824" i="2"/>
  <c r="I824" i="2"/>
  <c r="J824" i="2"/>
  <c r="K824" i="2"/>
  <c r="L824" i="2"/>
  <c r="M824" i="2"/>
  <c r="N824" i="2"/>
  <c r="O824" i="2"/>
  <c r="B825" i="2"/>
  <c r="C825" i="2"/>
  <c r="D825" i="2"/>
  <c r="E825" i="2"/>
  <c r="F825" i="2"/>
  <c r="G825" i="2"/>
  <c r="H825" i="2"/>
  <c r="I825" i="2"/>
  <c r="J825" i="2"/>
  <c r="K825" i="2"/>
  <c r="L825" i="2"/>
  <c r="M825" i="2"/>
  <c r="N825" i="2"/>
  <c r="O825" i="2"/>
  <c r="B826" i="2"/>
  <c r="C826" i="2"/>
  <c r="D826" i="2"/>
  <c r="E826" i="2"/>
  <c r="F826" i="2"/>
  <c r="G826" i="2"/>
  <c r="H826" i="2"/>
  <c r="I826" i="2"/>
  <c r="J826" i="2"/>
  <c r="K826" i="2"/>
  <c r="L826" i="2"/>
  <c r="M826" i="2"/>
  <c r="N826" i="2"/>
  <c r="O826" i="2"/>
  <c r="B827" i="2"/>
  <c r="C827" i="2"/>
  <c r="D827" i="2"/>
  <c r="E827" i="2"/>
  <c r="F827" i="2"/>
  <c r="G827" i="2"/>
  <c r="H827" i="2"/>
  <c r="I827" i="2"/>
  <c r="J827" i="2"/>
  <c r="K827" i="2"/>
  <c r="L827" i="2"/>
  <c r="M827" i="2"/>
  <c r="N827" i="2"/>
  <c r="O827" i="2"/>
  <c r="B828" i="2"/>
  <c r="C828" i="2"/>
  <c r="D828" i="2"/>
  <c r="E828" i="2"/>
  <c r="F828" i="2"/>
  <c r="G828" i="2"/>
  <c r="H828" i="2"/>
  <c r="I828" i="2"/>
  <c r="J828" i="2"/>
  <c r="K828" i="2"/>
  <c r="L828" i="2"/>
  <c r="M828" i="2"/>
  <c r="N828" i="2"/>
  <c r="O828" i="2"/>
  <c r="B829" i="2"/>
  <c r="C829" i="2"/>
  <c r="D829" i="2"/>
  <c r="E829" i="2"/>
  <c r="F829" i="2"/>
  <c r="G829" i="2"/>
  <c r="H829" i="2"/>
  <c r="I829" i="2"/>
  <c r="J829" i="2"/>
  <c r="K829" i="2"/>
  <c r="L829" i="2"/>
  <c r="M829" i="2"/>
  <c r="N829" i="2"/>
  <c r="O829" i="2"/>
  <c r="B830" i="2"/>
  <c r="C830" i="2"/>
  <c r="D830" i="2"/>
  <c r="E830" i="2"/>
  <c r="F830" i="2"/>
  <c r="G830" i="2"/>
  <c r="H830" i="2"/>
  <c r="I830" i="2"/>
  <c r="J830" i="2"/>
  <c r="K830" i="2"/>
  <c r="L830" i="2"/>
  <c r="L1139" i="2" s="1"/>
  <c r="M830" i="2"/>
  <c r="N830" i="2"/>
  <c r="O830" i="2"/>
  <c r="B831" i="2"/>
  <c r="C831" i="2"/>
  <c r="D831" i="2"/>
  <c r="E831" i="2"/>
  <c r="F831" i="2"/>
  <c r="F1139" i="2" s="1"/>
  <c r="G831" i="2"/>
  <c r="H831" i="2"/>
  <c r="I831" i="2"/>
  <c r="J831" i="2"/>
  <c r="K831" i="2"/>
  <c r="L831" i="2"/>
  <c r="M831" i="2"/>
  <c r="N831" i="2"/>
  <c r="O831" i="2"/>
  <c r="B832" i="2"/>
  <c r="C832" i="2"/>
  <c r="D832" i="2"/>
  <c r="E832" i="2"/>
  <c r="F832" i="2"/>
  <c r="G832" i="2"/>
  <c r="H832" i="2"/>
  <c r="I832" i="2"/>
  <c r="J832" i="2"/>
  <c r="K832" i="2"/>
  <c r="L832" i="2"/>
  <c r="M832" i="2"/>
  <c r="N832" i="2"/>
  <c r="O832" i="2"/>
  <c r="B833" i="2"/>
  <c r="C833" i="2"/>
  <c r="D833" i="2"/>
  <c r="E833" i="2"/>
  <c r="F833" i="2"/>
  <c r="G833" i="2"/>
  <c r="H833" i="2"/>
  <c r="I833" i="2"/>
  <c r="J833" i="2"/>
  <c r="K833" i="2"/>
  <c r="L833" i="2"/>
  <c r="M833" i="2"/>
  <c r="N833" i="2"/>
  <c r="O833" i="2"/>
  <c r="B834" i="2"/>
  <c r="C834" i="2"/>
  <c r="D834" i="2"/>
  <c r="E834" i="2"/>
  <c r="F834" i="2"/>
  <c r="G834" i="2"/>
  <c r="H834" i="2"/>
  <c r="I834" i="2"/>
  <c r="J834" i="2"/>
  <c r="K834" i="2"/>
  <c r="L834" i="2"/>
  <c r="M834" i="2"/>
  <c r="N834" i="2"/>
  <c r="O834" i="2"/>
  <c r="B835" i="2"/>
  <c r="C835" i="2"/>
  <c r="D835" i="2"/>
  <c r="E835" i="2"/>
  <c r="F835" i="2"/>
  <c r="G835" i="2"/>
  <c r="H835" i="2"/>
  <c r="I835" i="2"/>
  <c r="J835" i="2"/>
  <c r="K835" i="2"/>
  <c r="L835" i="2"/>
  <c r="M835" i="2"/>
  <c r="N835" i="2"/>
  <c r="O835" i="2"/>
  <c r="B836" i="2"/>
  <c r="C836" i="2"/>
  <c r="D836" i="2"/>
  <c r="E836" i="2"/>
  <c r="F836" i="2"/>
  <c r="G836" i="2"/>
  <c r="H836" i="2"/>
  <c r="I836" i="2"/>
  <c r="J836" i="2"/>
  <c r="K836" i="2"/>
  <c r="L836" i="2"/>
  <c r="M836" i="2"/>
  <c r="N836" i="2"/>
  <c r="O836" i="2"/>
  <c r="B837" i="2"/>
  <c r="C837" i="2"/>
  <c r="D837" i="2"/>
  <c r="E837" i="2"/>
  <c r="F837" i="2"/>
  <c r="G837" i="2"/>
  <c r="H837" i="2"/>
  <c r="I837" i="2"/>
  <c r="J837" i="2"/>
  <c r="K837" i="2"/>
  <c r="L837" i="2"/>
  <c r="M837" i="2"/>
  <c r="N837" i="2"/>
  <c r="O837" i="2"/>
  <c r="B838" i="2"/>
  <c r="C838" i="2"/>
  <c r="D838" i="2"/>
  <c r="E838" i="2"/>
  <c r="F838" i="2"/>
  <c r="G838" i="2"/>
  <c r="H838" i="2"/>
  <c r="I838" i="2"/>
  <c r="J838" i="2"/>
  <c r="K838" i="2"/>
  <c r="L838" i="2"/>
  <c r="M838" i="2"/>
  <c r="N838" i="2"/>
  <c r="O838" i="2"/>
  <c r="B839" i="2"/>
  <c r="C839" i="2"/>
  <c r="D839" i="2"/>
  <c r="E839" i="2"/>
  <c r="F839" i="2"/>
  <c r="G839" i="2"/>
  <c r="H839" i="2"/>
  <c r="I839" i="2"/>
  <c r="J839" i="2"/>
  <c r="K839" i="2"/>
  <c r="L839" i="2"/>
  <c r="M839" i="2"/>
  <c r="N839" i="2"/>
  <c r="O839" i="2"/>
  <c r="B840" i="2"/>
  <c r="C840" i="2"/>
  <c r="D840" i="2"/>
  <c r="E840" i="2"/>
  <c r="F840" i="2"/>
  <c r="G840" i="2"/>
  <c r="H840" i="2"/>
  <c r="I840" i="2"/>
  <c r="J840" i="2"/>
  <c r="K840" i="2"/>
  <c r="L840" i="2"/>
  <c r="M840" i="2"/>
  <c r="N840" i="2"/>
  <c r="O840" i="2"/>
  <c r="B841" i="2"/>
  <c r="C841" i="2"/>
  <c r="D841" i="2"/>
  <c r="E841" i="2"/>
  <c r="F841" i="2"/>
  <c r="G841" i="2"/>
  <c r="H841" i="2"/>
  <c r="I841" i="2"/>
  <c r="J841" i="2"/>
  <c r="K841" i="2"/>
  <c r="L841" i="2"/>
  <c r="M841" i="2"/>
  <c r="N841" i="2"/>
  <c r="O841" i="2"/>
  <c r="B842" i="2"/>
  <c r="C842" i="2"/>
  <c r="D842" i="2"/>
  <c r="E842" i="2"/>
  <c r="F842" i="2"/>
  <c r="G842" i="2"/>
  <c r="H842" i="2"/>
  <c r="H1140" i="2" s="1"/>
  <c r="I842" i="2"/>
  <c r="J842" i="2"/>
  <c r="K842" i="2"/>
  <c r="L842" i="2"/>
  <c r="M842" i="2"/>
  <c r="N842" i="2"/>
  <c r="O842" i="2"/>
  <c r="B843" i="2"/>
  <c r="C843" i="2"/>
  <c r="D843" i="2"/>
  <c r="E843" i="2"/>
  <c r="F843" i="2"/>
  <c r="G843" i="2"/>
  <c r="H843" i="2"/>
  <c r="I843" i="2"/>
  <c r="J843" i="2"/>
  <c r="K843" i="2"/>
  <c r="L843" i="2"/>
  <c r="M843" i="2"/>
  <c r="N843" i="2"/>
  <c r="O843" i="2"/>
  <c r="B844" i="2"/>
  <c r="C844" i="2"/>
  <c r="D844" i="2"/>
  <c r="E844" i="2"/>
  <c r="F844" i="2"/>
  <c r="G844" i="2"/>
  <c r="H844" i="2"/>
  <c r="I844" i="2"/>
  <c r="J844" i="2"/>
  <c r="K844" i="2"/>
  <c r="L844" i="2"/>
  <c r="M844" i="2"/>
  <c r="N844" i="2"/>
  <c r="O844" i="2"/>
  <c r="B845" i="2"/>
  <c r="C845" i="2"/>
  <c r="D845" i="2"/>
  <c r="E845" i="2"/>
  <c r="F845" i="2"/>
  <c r="G845" i="2"/>
  <c r="H845" i="2"/>
  <c r="I845" i="2"/>
  <c r="J845" i="2"/>
  <c r="K845" i="2"/>
  <c r="L845" i="2"/>
  <c r="M845" i="2"/>
  <c r="N845" i="2"/>
  <c r="O845" i="2"/>
  <c r="B846" i="2"/>
  <c r="C846" i="2"/>
  <c r="D846" i="2"/>
  <c r="E846" i="2"/>
  <c r="F846" i="2"/>
  <c r="G846" i="2"/>
  <c r="H846" i="2"/>
  <c r="I846" i="2"/>
  <c r="J846" i="2"/>
  <c r="K846" i="2"/>
  <c r="L846" i="2"/>
  <c r="M846" i="2"/>
  <c r="N846" i="2"/>
  <c r="O846" i="2"/>
  <c r="B847" i="2"/>
  <c r="C847" i="2"/>
  <c r="D847" i="2"/>
  <c r="E847" i="2"/>
  <c r="F847" i="2"/>
  <c r="G847" i="2"/>
  <c r="H847" i="2"/>
  <c r="I847" i="2"/>
  <c r="J847" i="2"/>
  <c r="K847" i="2"/>
  <c r="L847" i="2"/>
  <c r="M847" i="2"/>
  <c r="N847" i="2"/>
  <c r="O847" i="2"/>
  <c r="B848" i="2"/>
  <c r="C848" i="2"/>
  <c r="D848" i="2"/>
  <c r="E848" i="2"/>
  <c r="F848" i="2"/>
  <c r="G848" i="2"/>
  <c r="H848" i="2"/>
  <c r="I848" i="2"/>
  <c r="J848" i="2"/>
  <c r="K848" i="2"/>
  <c r="L848" i="2"/>
  <c r="M848" i="2"/>
  <c r="N848" i="2"/>
  <c r="O848" i="2"/>
  <c r="B849" i="2"/>
  <c r="C849" i="2"/>
  <c r="D849" i="2"/>
  <c r="E849" i="2"/>
  <c r="F849" i="2"/>
  <c r="G849" i="2"/>
  <c r="H849" i="2"/>
  <c r="I849" i="2"/>
  <c r="J849" i="2"/>
  <c r="K849" i="2"/>
  <c r="L849" i="2"/>
  <c r="M849" i="2"/>
  <c r="N849" i="2"/>
  <c r="O849" i="2"/>
  <c r="B850" i="2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B851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B852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B853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B854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O1141" i="2" s="1"/>
  <c r="B855" i="2"/>
  <c r="C855" i="2"/>
  <c r="D855" i="2"/>
  <c r="E855" i="2"/>
  <c r="F855" i="2"/>
  <c r="G855" i="2"/>
  <c r="H855" i="2"/>
  <c r="I855" i="2"/>
  <c r="J855" i="2"/>
  <c r="J1141" i="2" s="1"/>
  <c r="K855" i="2"/>
  <c r="L855" i="2"/>
  <c r="M855" i="2"/>
  <c r="N855" i="2"/>
  <c r="O855" i="2"/>
  <c r="B856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B857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B858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B859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B860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B861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B862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B863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B864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B865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B866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B867" i="2"/>
  <c r="B1142" i="2" s="1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B868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B869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B870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B871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B872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B873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B874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B875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B876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B877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B878" i="2"/>
  <c r="C878" i="2"/>
  <c r="C1143" i="2" s="1"/>
  <c r="D878" i="2"/>
  <c r="D1143" i="2" s="1"/>
  <c r="E878" i="2"/>
  <c r="F878" i="2"/>
  <c r="G878" i="2"/>
  <c r="H878" i="2"/>
  <c r="I878" i="2"/>
  <c r="J878" i="2"/>
  <c r="K878" i="2"/>
  <c r="L878" i="2"/>
  <c r="M878" i="2"/>
  <c r="N878" i="2"/>
  <c r="O878" i="2"/>
  <c r="B879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N1143" i="2" s="1"/>
  <c r="O879" i="2"/>
  <c r="B880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B881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B882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B883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B884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B885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B886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B887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B888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B889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B890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B891" i="2"/>
  <c r="C891" i="2"/>
  <c r="D891" i="2"/>
  <c r="E891" i="2"/>
  <c r="F891" i="2"/>
  <c r="F1144" i="2" s="1"/>
  <c r="G891" i="2"/>
  <c r="H891" i="2"/>
  <c r="I891" i="2"/>
  <c r="J891" i="2"/>
  <c r="K891" i="2"/>
  <c r="L891" i="2"/>
  <c r="M891" i="2"/>
  <c r="N891" i="2"/>
  <c r="O891" i="2"/>
  <c r="B892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B893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B894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B895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B896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B897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B898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B899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B900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B901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B902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B903" i="2"/>
  <c r="B1145" i="2" s="1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B904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B905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B906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B907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B908" i="2"/>
  <c r="C908" i="2"/>
  <c r="D908" i="2"/>
  <c r="E908" i="2"/>
  <c r="F908" i="2"/>
  <c r="G908" i="2"/>
  <c r="H908" i="2"/>
  <c r="I908" i="2"/>
  <c r="J908" i="2"/>
  <c r="K908" i="2"/>
  <c r="L908" i="2"/>
  <c r="M908" i="2"/>
  <c r="N908" i="2"/>
  <c r="O908" i="2"/>
  <c r="B909" i="2"/>
  <c r="C909" i="2"/>
  <c r="D909" i="2"/>
  <c r="E909" i="2"/>
  <c r="F909" i="2"/>
  <c r="G909" i="2"/>
  <c r="H909" i="2"/>
  <c r="I909" i="2"/>
  <c r="J909" i="2"/>
  <c r="K909" i="2"/>
  <c r="L909" i="2"/>
  <c r="M909" i="2"/>
  <c r="N909" i="2"/>
  <c r="O909" i="2"/>
  <c r="B910" i="2"/>
  <c r="C910" i="2"/>
  <c r="D910" i="2"/>
  <c r="E910" i="2"/>
  <c r="F910" i="2"/>
  <c r="G910" i="2"/>
  <c r="H910" i="2"/>
  <c r="I910" i="2"/>
  <c r="J910" i="2"/>
  <c r="K910" i="2"/>
  <c r="L910" i="2"/>
  <c r="M910" i="2"/>
  <c r="N910" i="2"/>
  <c r="O910" i="2"/>
  <c r="B911" i="2"/>
  <c r="C911" i="2"/>
  <c r="D911" i="2"/>
  <c r="E911" i="2"/>
  <c r="F911" i="2"/>
  <c r="G911" i="2"/>
  <c r="H911" i="2"/>
  <c r="I911" i="2"/>
  <c r="J911" i="2"/>
  <c r="K911" i="2"/>
  <c r="L911" i="2"/>
  <c r="M911" i="2"/>
  <c r="N911" i="2"/>
  <c r="O911" i="2"/>
  <c r="B912" i="2"/>
  <c r="C912" i="2"/>
  <c r="D912" i="2"/>
  <c r="E912" i="2"/>
  <c r="F912" i="2"/>
  <c r="G912" i="2"/>
  <c r="H912" i="2"/>
  <c r="I912" i="2"/>
  <c r="J912" i="2"/>
  <c r="K912" i="2"/>
  <c r="L912" i="2"/>
  <c r="M912" i="2"/>
  <c r="N912" i="2"/>
  <c r="O912" i="2"/>
  <c r="B913" i="2"/>
  <c r="C913" i="2"/>
  <c r="D913" i="2"/>
  <c r="E913" i="2"/>
  <c r="F913" i="2"/>
  <c r="G913" i="2"/>
  <c r="H913" i="2"/>
  <c r="I913" i="2"/>
  <c r="J913" i="2"/>
  <c r="K913" i="2"/>
  <c r="L913" i="2"/>
  <c r="M913" i="2"/>
  <c r="N913" i="2"/>
  <c r="O913" i="2"/>
  <c r="B914" i="2"/>
  <c r="C914" i="2"/>
  <c r="D914" i="2"/>
  <c r="D1146" i="2" s="1"/>
  <c r="E914" i="2"/>
  <c r="F914" i="2"/>
  <c r="G914" i="2"/>
  <c r="H914" i="2"/>
  <c r="I914" i="2"/>
  <c r="J914" i="2"/>
  <c r="K914" i="2"/>
  <c r="L914" i="2"/>
  <c r="M914" i="2"/>
  <c r="N914" i="2"/>
  <c r="O914" i="2"/>
  <c r="B915" i="2"/>
  <c r="C915" i="2"/>
  <c r="D915" i="2"/>
  <c r="E915" i="2"/>
  <c r="F915" i="2"/>
  <c r="G915" i="2"/>
  <c r="H915" i="2"/>
  <c r="I915" i="2"/>
  <c r="I1146" i="2" s="1"/>
  <c r="J915" i="2"/>
  <c r="J1146" i="2" s="1"/>
  <c r="K915" i="2"/>
  <c r="L915" i="2"/>
  <c r="M915" i="2"/>
  <c r="N915" i="2"/>
  <c r="O915" i="2"/>
  <c r="B916" i="2"/>
  <c r="C916" i="2"/>
  <c r="D916" i="2"/>
  <c r="E916" i="2"/>
  <c r="F916" i="2"/>
  <c r="G916" i="2"/>
  <c r="H916" i="2"/>
  <c r="I916" i="2"/>
  <c r="J916" i="2"/>
  <c r="K916" i="2"/>
  <c r="L916" i="2"/>
  <c r="M916" i="2"/>
  <c r="N916" i="2"/>
  <c r="O916" i="2"/>
  <c r="B917" i="2"/>
  <c r="C917" i="2"/>
  <c r="D917" i="2"/>
  <c r="E917" i="2"/>
  <c r="F917" i="2"/>
  <c r="G917" i="2"/>
  <c r="H917" i="2"/>
  <c r="I917" i="2"/>
  <c r="J917" i="2"/>
  <c r="K917" i="2"/>
  <c r="L917" i="2"/>
  <c r="M917" i="2"/>
  <c r="N917" i="2"/>
  <c r="O917" i="2"/>
  <c r="B918" i="2"/>
  <c r="C918" i="2"/>
  <c r="D918" i="2"/>
  <c r="E918" i="2"/>
  <c r="F918" i="2"/>
  <c r="G918" i="2"/>
  <c r="H918" i="2"/>
  <c r="I918" i="2"/>
  <c r="J918" i="2"/>
  <c r="K918" i="2"/>
  <c r="L918" i="2"/>
  <c r="M918" i="2"/>
  <c r="N918" i="2"/>
  <c r="O918" i="2"/>
  <c r="B919" i="2"/>
  <c r="C919" i="2"/>
  <c r="D919" i="2"/>
  <c r="E919" i="2"/>
  <c r="F919" i="2"/>
  <c r="G919" i="2"/>
  <c r="H919" i="2"/>
  <c r="I919" i="2"/>
  <c r="J919" i="2"/>
  <c r="K919" i="2"/>
  <c r="L919" i="2"/>
  <c r="M919" i="2"/>
  <c r="N919" i="2"/>
  <c r="O919" i="2"/>
  <c r="B920" i="2"/>
  <c r="C920" i="2"/>
  <c r="D920" i="2"/>
  <c r="E920" i="2"/>
  <c r="F920" i="2"/>
  <c r="G920" i="2"/>
  <c r="H920" i="2"/>
  <c r="I920" i="2"/>
  <c r="J920" i="2"/>
  <c r="K920" i="2"/>
  <c r="L920" i="2"/>
  <c r="M920" i="2"/>
  <c r="N920" i="2"/>
  <c r="O920" i="2"/>
  <c r="B921" i="2"/>
  <c r="C921" i="2"/>
  <c r="D921" i="2"/>
  <c r="E921" i="2"/>
  <c r="F921" i="2"/>
  <c r="G921" i="2"/>
  <c r="H921" i="2"/>
  <c r="I921" i="2"/>
  <c r="J921" i="2"/>
  <c r="K921" i="2"/>
  <c r="L921" i="2"/>
  <c r="M921" i="2"/>
  <c r="N921" i="2"/>
  <c r="O921" i="2"/>
  <c r="B922" i="2"/>
  <c r="C922" i="2"/>
  <c r="D922" i="2"/>
  <c r="E922" i="2"/>
  <c r="F922" i="2"/>
  <c r="G922" i="2"/>
  <c r="H922" i="2"/>
  <c r="I922" i="2"/>
  <c r="J922" i="2"/>
  <c r="K922" i="2"/>
  <c r="L922" i="2"/>
  <c r="M922" i="2"/>
  <c r="N922" i="2"/>
  <c r="O922" i="2"/>
  <c r="B923" i="2"/>
  <c r="C923" i="2"/>
  <c r="D923" i="2"/>
  <c r="E923" i="2"/>
  <c r="F923" i="2"/>
  <c r="G923" i="2"/>
  <c r="H923" i="2"/>
  <c r="I923" i="2"/>
  <c r="J923" i="2"/>
  <c r="K923" i="2"/>
  <c r="L923" i="2"/>
  <c r="M923" i="2"/>
  <c r="N923" i="2"/>
  <c r="O923" i="2"/>
  <c r="B924" i="2"/>
  <c r="C924" i="2"/>
  <c r="D924" i="2"/>
  <c r="E924" i="2"/>
  <c r="F924" i="2"/>
  <c r="G924" i="2"/>
  <c r="H924" i="2"/>
  <c r="I924" i="2"/>
  <c r="J924" i="2"/>
  <c r="K924" i="2"/>
  <c r="L924" i="2"/>
  <c r="M924" i="2"/>
  <c r="N924" i="2"/>
  <c r="O924" i="2"/>
  <c r="B925" i="2"/>
  <c r="C925" i="2"/>
  <c r="D925" i="2"/>
  <c r="E925" i="2"/>
  <c r="F925" i="2"/>
  <c r="G925" i="2"/>
  <c r="H925" i="2"/>
  <c r="I925" i="2"/>
  <c r="J925" i="2"/>
  <c r="K925" i="2"/>
  <c r="L925" i="2"/>
  <c r="M925" i="2"/>
  <c r="N925" i="2"/>
  <c r="O925" i="2"/>
  <c r="B926" i="2"/>
  <c r="C926" i="2"/>
  <c r="D926" i="2"/>
  <c r="E926" i="2"/>
  <c r="F926" i="2"/>
  <c r="G926" i="2"/>
  <c r="H926" i="2"/>
  <c r="I926" i="2"/>
  <c r="J926" i="2"/>
  <c r="K926" i="2"/>
  <c r="K1147" i="2" s="1"/>
  <c r="L926" i="2"/>
  <c r="L1147" i="2" s="1"/>
  <c r="M926" i="2"/>
  <c r="N926" i="2"/>
  <c r="O926" i="2"/>
  <c r="B927" i="2"/>
  <c r="C927" i="2"/>
  <c r="D927" i="2"/>
  <c r="E927" i="2"/>
  <c r="F927" i="2"/>
  <c r="G927" i="2"/>
  <c r="H927" i="2"/>
  <c r="I927" i="2"/>
  <c r="J927" i="2"/>
  <c r="K927" i="2"/>
  <c r="L927" i="2"/>
  <c r="M927" i="2"/>
  <c r="N927" i="2"/>
  <c r="O927" i="2"/>
  <c r="B928" i="2"/>
  <c r="C928" i="2"/>
  <c r="D928" i="2"/>
  <c r="E928" i="2"/>
  <c r="F928" i="2"/>
  <c r="G928" i="2"/>
  <c r="H928" i="2"/>
  <c r="I928" i="2"/>
  <c r="J928" i="2"/>
  <c r="K928" i="2"/>
  <c r="L928" i="2"/>
  <c r="M928" i="2"/>
  <c r="N928" i="2"/>
  <c r="O928" i="2"/>
  <c r="B929" i="2"/>
  <c r="C929" i="2"/>
  <c r="D929" i="2"/>
  <c r="E929" i="2"/>
  <c r="F929" i="2"/>
  <c r="G929" i="2"/>
  <c r="H929" i="2"/>
  <c r="I929" i="2"/>
  <c r="J929" i="2"/>
  <c r="K929" i="2"/>
  <c r="L929" i="2"/>
  <c r="M929" i="2"/>
  <c r="N929" i="2"/>
  <c r="O929" i="2"/>
  <c r="B930" i="2"/>
  <c r="C930" i="2"/>
  <c r="D930" i="2"/>
  <c r="E930" i="2"/>
  <c r="F930" i="2"/>
  <c r="G930" i="2"/>
  <c r="H930" i="2"/>
  <c r="I930" i="2"/>
  <c r="J930" i="2"/>
  <c r="K930" i="2"/>
  <c r="L930" i="2"/>
  <c r="M930" i="2"/>
  <c r="N930" i="2"/>
  <c r="O930" i="2"/>
  <c r="B931" i="2"/>
  <c r="C931" i="2"/>
  <c r="D931" i="2"/>
  <c r="E931" i="2"/>
  <c r="F931" i="2"/>
  <c r="G931" i="2"/>
  <c r="H931" i="2"/>
  <c r="I931" i="2"/>
  <c r="J931" i="2"/>
  <c r="K931" i="2"/>
  <c r="L931" i="2"/>
  <c r="M931" i="2"/>
  <c r="N931" i="2"/>
  <c r="O931" i="2"/>
  <c r="B932" i="2"/>
  <c r="C932" i="2"/>
  <c r="D932" i="2"/>
  <c r="E932" i="2"/>
  <c r="F932" i="2"/>
  <c r="G932" i="2"/>
  <c r="H932" i="2"/>
  <c r="I932" i="2"/>
  <c r="J932" i="2"/>
  <c r="K932" i="2"/>
  <c r="L932" i="2"/>
  <c r="M932" i="2"/>
  <c r="N932" i="2"/>
  <c r="O932" i="2"/>
  <c r="B933" i="2"/>
  <c r="C933" i="2"/>
  <c r="D933" i="2"/>
  <c r="E933" i="2"/>
  <c r="F933" i="2"/>
  <c r="G933" i="2"/>
  <c r="H933" i="2"/>
  <c r="I933" i="2"/>
  <c r="J933" i="2"/>
  <c r="K933" i="2"/>
  <c r="L933" i="2"/>
  <c r="M933" i="2"/>
  <c r="N933" i="2"/>
  <c r="O933" i="2"/>
  <c r="B934" i="2"/>
  <c r="C934" i="2"/>
  <c r="D934" i="2"/>
  <c r="E934" i="2"/>
  <c r="F934" i="2"/>
  <c r="G934" i="2"/>
  <c r="H934" i="2"/>
  <c r="I934" i="2"/>
  <c r="J934" i="2"/>
  <c r="K934" i="2"/>
  <c r="L934" i="2"/>
  <c r="M934" i="2"/>
  <c r="N934" i="2"/>
  <c r="O934" i="2"/>
  <c r="B935" i="2"/>
  <c r="C935" i="2"/>
  <c r="D935" i="2"/>
  <c r="E935" i="2"/>
  <c r="F935" i="2"/>
  <c r="G935" i="2"/>
  <c r="H935" i="2"/>
  <c r="I935" i="2"/>
  <c r="J935" i="2"/>
  <c r="K935" i="2"/>
  <c r="L935" i="2"/>
  <c r="M935" i="2"/>
  <c r="N935" i="2"/>
  <c r="O935" i="2"/>
  <c r="B936" i="2"/>
  <c r="C936" i="2"/>
  <c r="D936" i="2"/>
  <c r="E936" i="2"/>
  <c r="F936" i="2"/>
  <c r="G936" i="2"/>
  <c r="H936" i="2"/>
  <c r="I936" i="2"/>
  <c r="J936" i="2"/>
  <c r="K936" i="2"/>
  <c r="L936" i="2"/>
  <c r="M936" i="2"/>
  <c r="N936" i="2"/>
  <c r="O936" i="2"/>
  <c r="B937" i="2"/>
  <c r="C937" i="2"/>
  <c r="D937" i="2"/>
  <c r="E937" i="2"/>
  <c r="F937" i="2"/>
  <c r="G937" i="2"/>
  <c r="H937" i="2"/>
  <c r="I937" i="2"/>
  <c r="J937" i="2"/>
  <c r="K937" i="2"/>
  <c r="L937" i="2"/>
  <c r="M937" i="2"/>
  <c r="N937" i="2"/>
  <c r="O937" i="2"/>
  <c r="B938" i="2"/>
  <c r="C938" i="2"/>
  <c r="D938" i="2"/>
  <c r="E938" i="2"/>
  <c r="F938" i="2"/>
  <c r="G938" i="2"/>
  <c r="H938" i="2"/>
  <c r="H1148" i="2" s="1"/>
  <c r="I938" i="2"/>
  <c r="J938" i="2"/>
  <c r="K938" i="2"/>
  <c r="L938" i="2"/>
  <c r="M938" i="2"/>
  <c r="N938" i="2"/>
  <c r="O938" i="2"/>
  <c r="B939" i="2"/>
  <c r="C939" i="2"/>
  <c r="D939" i="2"/>
  <c r="E939" i="2"/>
  <c r="F939" i="2"/>
  <c r="G939" i="2"/>
  <c r="H939" i="2"/>
  <c r="I939" i="2"/>
  <c r="J939" i="2"/>
  <c r="K939" i="2"/>
  <c r="L939" i="2"/>
  <c r="M939" i="2"/>
  <c r="N939" i="2"/>
  <c r="N1148" i="2" s="1"/>
  <c r="O939" i="2"/>
  <c r="B940" i="2"/>
  <c r="C940" i="2"/>
  <c r="D940" i="2"/>
  <c r="E940" i="2"/>
  <c r="F940" i="2"/>
  <c r="G940" i="2"/>
  <c r="H940" i="2"/>
  <c r="I940" i="2"/>
  <c r="J940" i="2"/>
  <c r="K940" i="2"/>
  <c r="L940" i="2"/>
  <c r="M940" i="2"/>
  <c r="N940" i="2"/>
  <c r="O940" i="2"/>
  <c r="B941" i="2"/>
  <c r="C941" i="2"/>
  <c r="D941" i="2"/>
  <c r="E941" i="2"/>
  <c r="F941" i="2"/>
  <c r="G941" i="2"/>
  <c r="H941" i="2"/>
  <c r="I941" i="2"/>
  <c r="J941" i="2"/>
  <c r="K941" i="2"/>
  <c r="L941" i="2"/>
  <c r="M941" i="2"/>
  <c r="N941" i="2"/>
  <c r="O941" i="2"/>
  <c r="B942" i="2"/>
  <c r="C942" i="2"/>
  <c r="D942" i="2"/>
  <c r="E942" i="2"/>
  <c r="F942" i="2"/>
  <c r="G942" i="2"/>
  <c r="H942" i="2"/>
  <c r="I942" i="2"/>
  <c r="J942" i="2"/>
  <c r="K942" i="2"/>
  <c r="L942" i="2"/>
  <c r="M942" i="2"/>
  <c r="N942" i="2"/>
  <c r="O942" i="2"/>
  <c r="B943" i="2"/>
  <c r="C943" i="2"/>
  <c r="D943" i="2"/>
  <c r="E943" i="2"/>
  <c r="F943" i="2"/>
  <c r="G943" i="2"/>
  <c r="H943" i="2"/>
  <c r="I943" i="2"/>
  <c r="J943" i="2"/>
  <c r="K943" i="2"/>
  <c r="L943" i="2"/>
  <c r="M943" i="2"/>
  <c r="N943" i="2"/>
  <c r="O943" i="2"/>
  <c r="B944" i="2"/>
  <c r="C944" i="2"/>
  <c r="D944" i="2"/>
  <c r="E944" i="2"/>
  <c r="F944" i="2"/>
  <c r="G944" i="2"/>
  <c r="H944" i="2"/>
  <c r="I944" i="2"/>
  <c r="J944" i="2"/>
  <c r="K944" i="2"/>
  <c r="L944" i="2"/>
  <c r="M944" i="2"/>
  <c r="N944" i="2"/>
  <c r="O944" i="2"/>
  <c r="B945" i="2"/>
  <c r="C945" i="2"/>
  <c r="D945" i="2"/>
  <c r="E945" i="2"/>
  <c r="F945" i="2"/>
  <c r="G945" i="2"/>
  <c r="H945" i="2"/>
  <c r="I945" i="2"/>
  <c r="J945" i="2"/>
  <c r="K945" i="2"/>
  <c r="L945" i="2"/>
  <c r="M945" i="2"/>
  <c r="N945" i="2"/>
  <c r="O945" i="2"/>
  <c r="B946" i="2"/>
  <c r="C946" i="2"/>
  <c r="D946" i="2"/>
  <c r="E946" i="2"/>
  <c r="F946" i="2"/>
  <c r="G946" i="2"/>
  <c r="H946" i="2"/>
  <c r="I946" i="2"/>
  <c r="J946" i="2"/>
  <c r="K946" i="2"/>
  <c r="L946" i="2"/>
  <c r="M946" i="2"/>
  <c r="N946" i="2"/>
  <c r="O946" i="2"/>
  <c r="B947" i="2"/>
  <c r="C947" i="2"/>
  <c r="D947" i="2"/>
  <c r="E947" i="2"/>
  <c r="F947" i="2"/>
  <c r="G947" i="2"/>
  <c r="H947" i="2"/>
  <c r="I947" i="2"/>
  <c r="J947" i="2"/>
  <c r="K947" i="2"/>
  <c r="L947" i="2"/>
  <c r="M947" i="2"/>
  <c r="N947" i="2"/>
  <c r="O947" i="2"/>
  <c r="B948" i="2"/>
  <c r="C948" i="2"/>
  <c r="D948" i="2"/>
  <c r="E948" i="2"/>
  <c r="F948" i="2"/>
  <c r="G948" i="2"/>
  <c r="H948" i="2"/>
  <c r="I948" i="2"/>
  <c r="J948" i="2"/>
  <c r="K948" i="2"/>
  <c r="L948" i="2"/>
  <c r="M948" i="2"/>
  <c r="N948" i="2"/>
  <c r="O948" i="2"/>
  <c r="B949" i="2"/>
  <c r="C949" i="2"/>
  <c r="D949" i="2"/>
  <c r="E949" i="2"/>
  <c r="F949" i="2"/>
  <c r="G949" i="2"/>
  <c r="H949" i="2"/>
  <c r="I949" i="2"/>
  <c r="J949" i="2"/>
  <c r="K949" i="2"/>
  <c r="L949" i="2"/>
  <c r="M949" i="2"/>
  <c r="N949" i="2"/>
  <c r="O949" i="2"/>
  <c r="B950" i="2"/>
  <c r="C950" i="2"/>
  <c r="D950" i="2"/>
  <c r="E950" i="2"/>
  <c r="F950" i="2"/>
  <c r="G950" i="2"/>
  <c r="H950" i="2"/>
  <c r="I950" i="2"/>
  <c r="J950" i="2"/>
  <c r="K950" i="2"/>
  <c r="L950" i="2"/>
  <c r="M950" i="2"/>
  <c r="N950" i="2"/>
  <c r="O950" i="2"/>
  <c r="B951" i="2"/>
  <c r="C951" i="2"/>
  <c r="D951" i="2"/>
  <c r="E951" i="2"/>
  <c r="F951" i="2"/>
  <c r="G951" i="2"/>
  <c r="H951" i="2"/>
  <c r="I951" i="2"/>
  <c r="J951" i="2"/>
  <c r="J1149" i="2" s="1"/>
  <c r="K951" i="2"/>
  <c r="L951" i="2"/>
  <c r="M951" i="2"/>
  <c r="N951" i="2"/>
  <c r="O951" i="2"/>
  <c r="B952" i="2"/>
  <c r="C952" i="2"/>
  <c r="D952" i="2"/>
  <c r="E952" i="2"/>
  <c r="F952" i="2"/>
  <c r="G952" i="2"/>
  <c r="H952" i="2"/>
  <c r="I952" i="2"/>
  <c r="J952" i="2"/>
  <c r="K952" i="2"/>
  <c r="L952" i="2"/>
  <c r="M952" i="2"/>
  <c r="N952" i="2"/>
  <c r="O952" i="2"/>
  <c r="B953" i="2"/>
  <c r="C953" i="2"/>
  <c r="D953" i="2"/>
  <c r="E953" i="2"/>
  <c r="F953" i="2"/>
  <c r="G953" i="2"/>
  <c r="H953" i="2"/>
  <c r="I953" i="2"/>
  <c r="J953" i="2"/>
  <c r="K953" i="2"/>
  <c r="L953" i="2"/>
  <c r="M953" i="2"/>
  <c r="N953" i="2"/>
  <c r="O953" i="2"/>
  <c r="B954" i="2"/>
  <c r="C954" i="2"/>
  <c r="D954" i="2"/>
  <c r="E954" i="2"/>
  <c r="F954" i="2"/>
  <c r="G954" i="2"/>
  <c r="H954" i="2"/>
  <c r="I954" i="2"/>
  <c r="J954" i="2"/>
  <c r="K954" i="2"/>
  <c r="L954" i="2"/>
  <c r="M954" i="2"/>
  <c r="N954" i="2"/>
  <c r="O954" i="2"/>
  <c r="B955" i="2"/>
  <c r="C955" i="2"/>
  <c r="D955" i="2"/>
  <c r="E955" i="2"/>
  <c r="F955" i="2"/>
  <c r="G955" i="2"/>
  <c r="H955" i="2"/>
  <c r="I955" i="2"/>
  <c r="J955" i="2"/>
  <c r="K955" i="2"/>
  <c r="L955" i="2"/>
  <c r="M955" i="2"/>
  <c r="N955" i="2"/>
  <c r="O955" i="2"/>
  <c r="B956" i="2"/>
  <c r="C956" i="2"/>
  <c r="D956" i="2"/>
  <c r="E956" i="2"/>
  <c r="F956" i="2"/>
  <c r="G956" i="2"/>
  <c r="H956" i="2"/>
  <c r="I956" i="2"/>
  <c r="J956" i="2"/>
  <c r="K956" i="2"/>
  <c r="L956" i="2"/>
  <c r="M956" i="2"/>
  <c r="N956" i="2"/>
  <c r="O956" i="2"/>
  <c r="B957" i="2"/>
  <c r="C957" i="2"/>
  <c r="D957" i="2"/>
  <c r="E957" i="2"/>
  <c r="F957" i="2"/>
  <c r="G957" i="2"/>
  <c r="H957" i="2"/>
  <c r="I957" i="2"/>
  <c r="J957" i="2"/>
  <c r="K957" i="2"/>
  <c r="L957" i="2"/>
  <c r="M957" i="2"/>
  <c r="N957" i="2"/>
  <c r="O957" i="2"/>
  <c r="B958" i="2"/>
  <c r="C958" i="2"/>
  <c r="D958" i="2"/>
  <c r="E958" i="2"/>
  <c r="F958" i="2"/>
  <c r="G958" i="2"/>
  <c r="H958" i="2"/>
  <c r="I958" i="2"/>
  <c r="J958" i="2"/>
  <c r="K958" i="2"/>
  <c r="L958" i="2"/>
  <c r="M958" i="2"/>
  <c r="N958" i="2"/>
  <c r="O958" i="2"/>
  <c r="B959" i="2"/>
  <c r="C959" i="2"/>
  <c r="D959" i="2"/>
  <c r="E959" i="2"/>
  <c r="F959" i="2"/>
  <c r="G959" i="2"/>
  <c r="H959" i="2"/>
  <c r="I959" i="2"/>
  <c r="J959" i="2"/>
  <c r="K959" i="2"/>
  <c r="L959" i="2"/>
  <c r="M959" i="2"/>
  <c r="N959" i="2"/>
  <c r="O959" i="2"/>
  <c r="B960" i="2"/>
  <c r="C960" i="2"/>
  <c r="D960" i="2"/>
  <c r="E960" i="2"/>
  <c r="F960" i="2"/>
  <c r="G960" i="2"/>
  <c r="H960" i="2"/>
  <c r="I960" i="2"/>
  <c r="J960" i="2"/>
  <c r="K960" i="2"/>
  <c r="L960" i="2"/>
  <c r="M960" i="2"/>
  <c r="N960" i="2"/>
  <c r="O960" i="2"/>
  <c r="B961" i="2"/>
  <c r="C961" i="2"/>
  <c r="D961" i="2"/>
  <c r="E961" i="2"/>
  <c r="F961" i="2"/>
  <c r="G961" i="2"/>
  <c r="H961" i="2"/>
  <c r="I961" i="2"/>
  <c r="J961" i="2"/>
  <c r="K961" i="2"/>
  <c r="L961" i="2"/>
  <c r="M961" i="2"/>
  <c r="N961" i="2"/>
  <c r="O961" i="2"/>
  <c r="B962" i="2"/>
  <c r="C962" i="2"/>
  <c r="D962" i="2"/>
  <c r="E962" i="2"/>
  <c r="F962" i="2"/>
  <c r="G962" i="2"/>
  <c r="H962" i="2"/>
  <c r="I962" i="2"/>
  <c r="J962" i="2"/>
  <c r="K962" i="2"/>
  <c r="L962" i="2"/>
  <c r="L1150" i="2" s="1"/>
  <c r="M962" i="2"/>
  <c r="N962" i="2"/>
  <c r="O962" i="2"/>
  <c r="B963" i="2"/>
  <c r="C963" i="2"/>
  <c r="D963" i="2"/>
  <c r="E963" i="2"/>
  <c r="F963" i="2"/>
  <c r="G963" i="2"/>
  <c r="H963" i="2"/>
  <c r="I963" i="2"/>
  <c r="J963" i="2"/>
  <c r="K963" i="2"/>
  <c r="L963" i="2"/>
  <c r="M963" i="2"/>
  <c r="N963" i="2"/>
  <c r="O963" i="2"/>
  <c r="B964" i="2"/>
  <c r="C964" i="2"/>
  <c r="D964" i="2"/>
  <c r="E964" i="2"/>
  <c r="F964" i="2"/>
  <c r="G964" i="2"/>
  <c r="H964" i="2"/>
  <c r="I964" i="2"/>
  <c r="J964" i="2"/>
  <c r="K964" i="2"/>
  <c r="L964" i="2"/>
  <c r="M964" i="2"/>
  <c r="N964" i="2"/>
  <c r="O964" i="2"/>
  <c r="B965" i="2"/>
  <c r="C965" i="2"/>
  <c r="D965" i="2"/>
  <c r="E965" i="2"/>
  <c r="F965" i="2"/>
  <c r="G965" i="2"/>
  <c r="H965" i="2"/>
  <c r="I965" i="2"/>
  <c r="J965" i="2"/>
  <c r="K965" i="2"/>
  <c r="L965" i="2"/>
  <c r="M965" i="2"/>
  <c r="N965" i="2"/>
  <c r="O965" i="2"/>
  <c r="B966" i="2"/>
  <c r="C966" i="2"/>
  <c r="D966" i="2"/>
  <c r="E966" i="2"/>
  <c r="F966" i="2"/>
  <c r="G966" i="2"/>
  <c r="H966" i="2"/>
  <c r="I966" i="2"/>
  <c r="J966" i="2"/>
  <c r="K966" i="2"/>
  <c r="L966" i="2"/>
  <c r="M966" i="2"/>
  <c r="N966" i="2"/>
  <c r="O966" i="2"/>
  <c r="B967" i="2"/>
  <c r="C967" i="2"/>
  <c r="D967" i="2"/>
  <c r="E967" i="2"/>
  <c r="F967" i="2"/>
  <c r="G967" i="2"/>
  <c r="H967" i="2"/>
  <c r="I967" i="2"/>
  <c r="J967" i="2"/>
  <c r="K967" i="2"/>
  <c r="L967" i="2"/>
  <c r="M967" i="2"/>
  <c r="N967" i="2"/>
  <c r="O967" i="2"/>
  <c r="B968" i="2"/>
  <c r="C968" i="2"/>
  <c r="D968" i="2"/>
  <c r="E968" i="2"/>
  <c r="F968" i="2"/>
  <c r="G968" i="2"/>
  <c r="H968" i="2"/>
  <c r="I968" i="2"/>
  <c r="J968" i="2"/>
  <c r="K968" i="2"/>
  <c r="L968" i="2"/>
  <c r="M968" i="2"/>
  <c r="N968" i="2"/>
  <c r="O968" i="2"/>
  <c r="B969" i="2"/>
  <c r="C969" i="2"/>
  <c r="D969" i="2"/>
  <c r="E969" i="2"/>
  <c r="F969" i="2"/>
  <c r="G969" i="2"/>
  <c r="H969" i="2"/>
  <c r="I969" i="2"/>
  <c r="J969" i="2"/>
  <c r="K969" i="2"/>
  <c r="L969" i="2"/>
  <c r="M969" i="2"/>
  <c r="N969" i="2"/>
  <c r="O969" i="2"/>
  <c r="B970" i="2"/>
  <c r="C970" i="2"/>
  <c r="D970" i="2"/>
  <c r="E970" i="2"/>
  <c r="F970" i="2"/>
  <c r="G970" i="2"/>
  <c r="H970" i="2"/>
  <c r="I970" i="2"/>
  <c r="J970" i="2"/>
  <c r="K970" i="2"/>
  <c r="L970" i="2"/>
  <c r="M970" i="2"/>
  <c r="N970" i="2"/>
  <c r="O970" i="2"/>
  <c r="B971" i="2"/>
  <c r="C971" i="2"/>
  <c r="D971" i="2"/>
  <c r="E971" i="2"/>
  <c r="F971" i="2"/>
  <c r="G971" i="2"/>
  <c r="H971" i="2"/>
  <c r="I971" i="2"/>
  <c r="J971" i="2"/>
  <c r="K971" i="2"/>
  <c r="L971" i="2"/>
  <c r="M971" i="2"/>
  <c r="N971" i="2"/>
  <c r="O971" i="2"/>
  <c r="B972" i="2"/>
  <c r="C972" i="2"/>
  <c r="D972" i="2"/>
  <c r="E972" i="2"/>
  <c r="F972" i="2"/>
  <c r="G972" i="2"/>
  <c r="H972" i="2"/>
  <c r="I972" i="2"/>
  <c r="J972" i="2"/>
  <c r="K972" i="2"/>
  <c r="L972" i="2"/>
  <c r="M972" i="2"/>
  <c r="N972" i="2"/>
  <c r="O972" i="2"/>
  <c r="B973" i="2"/>
  <c r="C973" i="2"/>
  <c r="D973" i="2"/>
  <c r="E973" i="2"/>
  <c r="F973" i="2"/>
  <c r="G973" i="2"/>
  <c r="H973" i="2"/>
  <c r="I973" i="2"/>
  <c r="J973" i="2"/>
  <c r="K973" i="2"/>
  <c r="L973" i="2"/>
  <c r="M973" i="2"/>
  <c r="N973" i="2"/>
  <c r="O973" i="2"/>
  <c r="B974" i="2"/>
  <c r="C974" i="2"/>
  <c r="C1151" i="2" s="1"/>
  <c r="D974" i="2"/>
  <c r="D1151" i="2" s="1"/>
  <c r="E974" i="2"/>
  <c r="F974" i="2"/>
  <c r="G974" i="2"/>
  <c r="H974" i="2"/>
  <c r="I974" i="2"/>
  <c r="J974" i="2"/>
  <c r="K974" i="2"/>
  <c r="L974" i="2"/>
  <c r="M974" i="2"/>
  <c r="N974" i="2"/>
  <c r="O974" i="2"/>
  <c r="B975" i="2"/>
  <c r="C975" i="2"/>
  <c r="D975" i="2"/>
  <c r="E975" i="2"/>
  <c r="F975" i="2"/>
  <c r="G975" i="2"/>
  <c r="H975" i="2"/>
  <c r="I975" i="2"/>
  <c r="J975" i="2"/>
  <c r="K975" i="2"/>
  <c r="L975" i="2"/>
  <c r="M975" i="2"/>
  <c r="N975" i="2"/>
  <c r="O975" i="2"/>
  <c r="B976" i="2"/>
  <c r="C976" i="2"/>
  <c r="D976" i="2"/>
  <c r="E976" i="2"/>
  <c r="F976" i="2"/>
  <c r="G976" i="2"/>
  <c r="H976" i="2"/>
  <c r="I976" i="2"/>
  <c r="J976" i="2"/>
  <c r="K976" i="2"/>
  <c r="L976" i="2"/>
  <c r="M976" i="2"/>
  <c r="N976" i="2"/>
  <c r="O976" i="2"/>
  <c r="B977" i="2"/>
  <c r="C977" i="2"/>
  <c r="D977" i="2"/>
  <c r="E977" i="2"/>
  <c r="F977" i="2"/>
  <c r="G977" i="2"/>
  <c r="H977" i="2"/>
  <c r="I977" i="2"/>
  <c r="J977" i="2"/>
  <c r="K977" i="2"/>
  <c r="L977" i="2"/>
  <c r="M977" i="2"/>
  <c r="N977" i="2"/>
  <c r="O977" i="2"/>
  <c r="B978" i="2"/>
  <c r="C978" i="2"/>
  <c r="D978" i="2"/>
  <c r="E978" i="2"/>
  <c r="F978" i="2"/>
  <c r="G978" i="2"/>
  <c r="H978" i="2"/>
  <c r="I978" i="2"/>
  <c r="J978" i="2"/>
  <c r="K978" i="2"/>
  <c r="L978" i="2"/>
  <c r="M978" i="2"/>
  <c r="N978" i="2"/>
  <c r="O978" i="2"/>
  <c r="B979" i="2"/>
  <c r="C979" i="2"/>
  <c r="D979" i="2"/>
  <c r="E979" i="2"/>
  <c r="F979" i="2"/>
  <c r="G979" i="2"/>
  <c r="H979" i="2"/>
  <c r="I979" i="2"/>
  <c r="J979" i="2"/>
  <c r="K979" i="2"/>
  <c r="L979" i="2"/>
  <c r="M979" i="2"/>
  <c r="N979" i="2"/>
  <c r="O979" i="2"/>
  <c r="B980" i="2"/>
  <c r="C980" i="2"/>
  <c r="D980" i="2"/>
  <c r="E980" i="2"/>
  <c r="F980" i="2"/>
  <c r="G980" i="2"/>
  <c r="H980" i="2"/>
  <c r="I980" i="2"/>
  <c r="J980" i="2"/>
  <c r="K980" i="2"/>
  <c r="L980" i="2"/>
  <c r="M980" i="2"/>
  <c r="N980" i="2"/>
  <c r="O980" i="2"/>
  <c r="B981" i="2"/>
  <c r="C981" i="2"/>
  <c r="D981" i="2"/>
  <c r="E981" i="2"/>
  <c r="F981" i="2"/>
  <c r="G981" i="2"/>
  <c r="H981" i="2"/>
  <c r="I981" i="2"/>
  <c r="J981" i="2"/>
  <c r="K981" i="2"/>
  <c r="L981" i="2"/>
  <c r="M981" i="2"/>
  <c r="N981" i="2"/>
  <c r="O981" i="2"/>
  <c r="B982" i="2"/>
  <c r="C982" i="2"/>
  <c r="D982" i="2"/>
  <c r="E982" i="2"/>
  <c r="F982" i="2"/>
  <c r="G982" i="2"/>
  <c r="H982" i="2"/>
  <c r="I982" i="2"/>
  <c r="J982" i="2"/>
  <c r="K982" i="2"/>
  <c r="L982" i="2"/>
  <c r="M982" i="2"/>
  <c r="N982" i="2"/>
  <c r="O982" i="2"/>
  <c r="B983" i="2"/>
  <c r="C983" i="2"/>
  <c r="D983" i="2"/>
  <c r="E983" i="2"/>
  <c r="F983" i="2"/>
  <c r="G983" i="2"/>
  <c r="H983" i="2"/>
  <c r="I983" i="2"/>
  <c r="J983" i="2"/>
  <c r="K983" i="2"/>
  <c r="L983" i="2"/>
  <c r="M983" i="2"/>
  <c r="N983" i="2"/>
  <c r="O983" i="2"/>
  <c r="B984" i="2"/>
  <c r="C984" i="2"/>
  <c r="D984" i="2"/>
  <c r="E984" i="2"/>
  <c r="F984" i="2"/>
  <c r="G984" i="2"/>
  <c r="H984" i="2"/>
  <c r="I984" i="2"/>
  <c r="J984" i="2"/>
  <c r="K984" i="2"/>
  <c r="L984" i="2"/>
  <c r="M984" i="2"/>
  <c r="N984" i="2"/>
  <c r="O984" i="2"/>
  <c r="B985" i="2"/>
  <c r="C985" i="2"/>
  <c r="D985" i="2"/>
  <c r="E985" i="2"/>
  <c r="F985" i="2"/>
  <c r="G985" i="2"/>
  <c r="H985" i="2"/>
  <c r="I985" i="2"/>
  <c r="J985" i="2"/>
  <c r="K985" i="2"/>
  <c r="L985" i="2"/>
  <c r="M985" i="2"/>
  <c r="N985" i="2"/>
  <c r="O985" i="2"/>
  <c r="B986" i="2"/>
  <c r="C986" i="2"/>
  <c r="D986" i="2"/>
  <c r="E986" i="2"/>
  <c r="F986" i="2"/>
  <c r="G986" i="2"/>
  <c r="H986" i="2"/>
  <c r="I986" i="2"/>
  <c r="J986" i="2"/>
  <c r="K986" i="2"/>
  <c r="L986" i="2"/>
  <c r="M986" i="2"/>
  <c r="N986" i="2"/>
  <c r="O986" i="2"/>
  <c r="B987" i="2"/>
  <c r="C987" i="2"/>
  <c r="D987" i="2"/>
  <c r="E987" i="2"/>
  <c r="E1152" i="2" s="1"/>
  <c r="F987" i="2"/>
  <c r="F1152" i="2" s="1"/>
  <c r="G987" i="2"/>
  <c r="H987" i="2"/>
  <c r="I987" i="2"/>
  <c r="J987" i="2"/>
  <c r="K987" i="2"/>
  <c r="L987" i="2"/>
  <c r="M987" i="2"/>
  <c r="N987" i="2"/>
  <c r="O987" i="2"/>
  <c r="B988" i="2"/>
  <c r="C988" i="2"/>
  <c r="D988" i="2"/>
  <c r="E988" i="2"/>
  <c r="F988" i="2"/>
  <c r="G988" i="2"/>
  <c r="H988" i="2"/>
  <c r="I988" i="2"/>
  <c r="J988" i="2"/>
  <c r="K988" i="2"/>
  <c r="L988" i="2"/>
  <c r="M988" i="2"/>
  <c r="N988" i="2"/>
  <c r="O988" i="2"/>
  <c r="B989" i="2"/>
  <c r="C989" i="2"/>
  <c r="D989" i="2"/>
  <c r="E989" i="2"/>
  <c r="F989" i="2"/>
  <c r="G989" i="2"/>
  <c r="H989" i="2"/>
  <c r="I989" i="2"/>
  <c r="J989" i="2"/>
  <c r="K989" i="2"/>
  <c r="L989" i="2"/>
  <c r="M989" i="2"/>
  <c r="N989" i="2"/>
  <c r="O989" i="2"/>
  <c r="B990" i="2"/>
  <c r="C990" i="2"/>
  <c r="D990" i="2"/>
  <c r="E990" i="2"/>
  <c r="F990" i="2"/>
  <c r="G990" i="2"/>
  <c r="H990" i="2"/>
  <c r="I990" i="2"/>
  <c r="J990" i="2"/>
  <c r="K990" i="2"/>
  <c r="L990" i="2"/>
  <c r="M990" i="2"/>
  <c r="N990" i="2"/>
  <c r="O990" i="2"/>
  <c r="B991" i="2"/>
  <c r="C991" i="2"/>
  <c r="D991" i="2"/>
  <c r="E991" i="2"/>
  <c r="F991" i="2"/>
  <c r="G991" i="2"/>
  <c r="H991" i="2"/>
  <c r="I991" i="2"/>
  <c r="J991" i="2"/>
  <c r="K991" i="2"/>
  <c r="L991" i="2"/>
  <c r="M991" i="2"/>
  <c r="N991" i="2"/>
  <c r="O991" i="2"/>
  <c r="B992" i="2"/>
  <c r="C992" i="2"/>
  <c r="D992" i="2"/>
  <c r="E992" i="2"/>
  <c r="F992" i="2"/>
  <c r="G992" i="2"/>
  <c r="H992" i="2"/>
  <c r="I992" i="2"/>
  <c r="J992" i="2"/>
  <c r="K992" i="2"/>
  <c r="L992" i="2"/>
  <c r="M992" i="2"/>
  <c r="N992" i="2"/>
  <c r="O992" i="2"/>
  <c r="B993" i="2"/>
  <c r="C993" i="2"/>
  <c r="D993" i="2"/>
  <c r="E993" i="2"/>
  <c r="F993" i="2"/>
  <c r="G993" i="2"/>
  <c r="H993" i="2"/>
  <c r="I993" i="2"/>
  <c r="J993" i="2"/>
  <c r="K993" i="2"/>
  <c r="L993" i="2"/>
  <c r="M993" i="2"/>
  <c r="N993" i="2"/>
  <c r="O993" i="2"/>
  <c r="B994" i="2"/>
  <c r="C994" i="2"/>
  <c r="D994" i="2"/>
  <c r="E994" i="2"/>
  <c r="F994" i="2"/>
  <c r="G994" i="2"/>
  <c r="H994" i="2"/>
  <c r="I994" i="2"/>
  <c r="J994" i="2"/>
  <c r="K994" i="2"/>
  <c r="L994" i="2"/>
  <c r="M994" i="2"/>
  <c r="N994" i="2"/>
  <c r="O994" i="2"/>
  <c r="B995" i="2"/>
  <c r="C995" i="2"/>
  <c r="D995" i="2"/>
  <c r="E995" i="2"/>
  <c r="F995" i="2"/>
  <c r="G995" i="2"/>
  <c r="H995" i="2"/>
  <c r="I995" i="2"/>
  <c r="J995" i="2"/>
  <c r="K995" i="2"/>
  <c r="L995" i="2"/>
  <c r="M995" i="2"/>
  <c r="N995" i="2"/>
  <c r="O995" i="2"/>
  <c r="B996" i="2"/>
  <c r="C996" i="2"/>
  <c r="D996" i="2"/>
  <c r="E996" i="2"/>
  <c r="F996" i="2"/>
  <c r="G996" i="2"/>
  <c r="H996" i="2"/>
  <c r="I996" i="2"/>
  <c r="J996" i="2"/>
  <c r="K996" i="2"/>
  <c r="L996" i="2"/>
  <c r="M996" i="2"/>
  <c r="N996" i="2"/>
  <c r="O996" i="2"/>
  <c r="B997" i="2"/>
  <c r="C997" i="2"/>
  <c r="D997" i="2"/>
  <c r="E997" i="2"/>
  <c r="F997" i="2"/>
  <c r="G997" i="2"/>
  <c r="H997" i="2"/>
  <c r="I997" i="2"/>
  <c r="J997" i="2"/>
  <c r="K997" i="2"/>
  <c r="L997" i="2"/>
  <c r="M997" i="2"/>
  <c r="N997" i="2"/>
  <c r="O997" i="2"/>
  <c r="B998" i="2"/>
  <c r="C998" i="2"/>
  <c r="D998" i="2"/>
  <c r="E998" i="2"/>
  <c r="F998" i="2"/>
  <c r="G998" i="2"/>
  <c r="H998" i="2"/>
  <c r="H1153" i="2" s="1"/>
  <c r="I998" i="2"/>
  <c r="J998" i="2"/>
  <c r="K998" i="2"/>
  <c r="L998" i="2"/>
  <c r="M998" i="2"/>
  <c r="N998" i="2"/>
  <c r="O998" i="2"/>
  <c r="B999" i="2"/>
  <c r="B1153" i="2" s="1"/>
  <c r="C999" i="2"/>
  <c r="D999" i="2"/>
  <c r="E999" i="2"/>
  <c r="F999" i="2"/>
  <c r="G999" i="2"/>
  <c r="H999" i="2"/>
  <c r="I999" i="2"/>
  <c r="J999" i="2"/>
  <c r="K999" i="2"/>
  <c r="L999" i="2"/>
  <c r="M999" i="2"/>
  <c r="N999" i="2"/>
  <c r="O999" i="2"/>
  <c r="B1000" i="2"/>
  <c r="C1000" i="2"/>
  <c r="D1000" i="2"/>
  <c r="E1000" i="2"/>
  <c r="F1000" i="2"/>
  <c r="G1000" i="2"/>
  <c r="H1000" i="2"/>
  <c r="I1000" i="2"/>
  <c r="J1000" i="2"/>
  <c r="K1000" i="2"/>
  <c r="L1000" i="2"/>
  <c r="M1000" i="2"/>
  <c r="N1000" i="2"/>
  <c r="O1000" i="2"/>
  <c r="B1001" i="2"/>
  <c r="C1001" i="2"/>
  <c r="D1001" i="2"/>
  <c r="E1001" i="2"/>
  <c r="F1001" i="2"/>
  <c r="G1001" i="2"/>
  <c r="H1001" i="2"/>
  <c r="I1001" i="2"/>
  <c r="J1001" i="2"/>
  <c r="K1001" i="2"/>
  <c r="L1001" i="2"/>
  <c r="M1001" i="2"/>
  <c r="N1001" i="2"/>
  <c r="O1001" i="2"/>
  <c r="B1002" i="2"/>
  <c r="C1002" i="2"/>
  <c r="D1002" i="2"/>
  <c r="E1002" i="2"/>
  <c r="F1002" i="2"/>
  <c r="G1002" i="2"/>
  <c r="H1002" i="2"/>
  <c r="I1002" i="2"/>
  <c r="J1002" i="2"/>
  <c r="K1002" i="2"/>
  <c r="L1002" i="2"/>
  <c r="M1002" i="2"/>
  <c r="N1002" i="2"/>
  <c r="O1002" i="2"/>
  <c r="B1003" i="2"/>
  <c r="C1003" i="2"/>
  <c r="D1003" i="2"/>
  <c r="E1003" i="2"/>
  <c r="F1003" i="2"/>
  <c r="G1003" i="2"/>
  <c r="H1003" i="2"/>
  <c r="I1003" i="2"/>
  <c r="J1003" i="2"/>
  <c r="K1003" i="2"/>
  <c r="L1003" i="2"/>
  <c r="M1003" i="2"/>
  <c r="N1003" i="2"/>
  <c r="O1003" i="2"/>
  <c r="B1004" i="2"/>
  <c r="C1004" i="2"/>
  <c r="D1004" i="2"/>
  <c r="E1004" i="2"/>
  <c r="F1004" i="2"/>
  <c r="G1004" i="2"/>
  <c r="H1004" i="2"/>
  <c r="I1004" i="2"/>
  <c r="J1004" i="2"/>
  <c r="K1004" i="2"/>
  <c r="L1004" i="2"/>
  <c r="M1004" i="2"/>
  <c r="N1004" i="2"/>
  <c r="O1004" i="2"/>
  <c r="B1005" i="2"/>
  <c r="C1005" i="2"/>
  <c r="D1005" i="2"/>
  <c r="E1005" i="2"/>
  <c r="F1005" i="2"/>
  <c r="G1005" i="2"/>
  <c r="H1005" i="2"/>
  <c r="I1005" i="2"/>
  <c r="J1005" i="2"/>
  <c r="K1005" i="2"/>
  <c r="L1005" i="2"/>
  <c r="M1005" i="2"/>
  <c r="N1005" i="2"/>
  <c r="O1005" i="2"/>
  <c r="B1006" i="2"/>
  <c r="C1006" i="2"/>
  <c r="D1006" i="2"/>
  <c r="E1006" i="2"/>
  <c r="F1006" i="2"/>
  <c r="G1006" i="2"/>
  <c r="H1006" i="2"/>
  <c r="I1006" i="2"/>
  <c r="J1006" i="2"/>
  <c r="K1006" i="2"/>
  <c r="L1006" i="2"/>
  <c r="M1006" i="2"/>
  <c r="N1006" i="2"/>
  <c r="O1006" i="2"/>
  <c r="B1007" i="2"/>
  <c r="C1007" i="2"/>
  <c r="D1007" i="2"/>
  <c r="E1007" i="2"/>
  <c r="F1007" i="2"/>
  <c r="G1007" i="2"/>
  <c r="H1007" i="2"/>
  <c r="I1007" i="2"/>
  <c r="J1007" i="2"/>
  <c r="K1007" i="2"/>
  <c r="L1007" i="2"/>
  <c r="M1007" i="2"/>
  <c r="N1007" i="2"/>
  <c r="O1007" i="2"/>
  <c r="B1008" i="2"/>
  <c r="C1008" i="2"/>
  <c r="D1008" i="2"/>
  <c r="E1008" i="2"/>
  <c r="F1008" i="2"/>
  <c r="G1008" i="2"/>
  <c r="H1008" i="2"/>
  <c r="I1008" i="2"/>
  <c r="J1008" i="2"/>
  <c r="K1008" i="2"/>
  <c r="L1008" i="2"/>
  <c r="M1008" i="2"/>
  <c r="N1008" i="2"/>
  <c r="O1008" i="2"/>
  <c r="B1009" i="2"/>
  <c r="C1009" i="2"/>
  <c r="D1009" i="2"/>
  <c r="E1009" i="2"/>
  <c r="F1009" i="2"/>
  <c r="G1009" i="2"/>
  <c r="H1009" i="2"/>
  <c r="I1009" i="2"/>
  <c r="J1009" i="2"/>
  <c r="K1009" i="2"/>
  <c r="L1009" i="2"/>
  <c r="M1009" i="2"/>
  <c r="N1009" i="2"/>
  <c r="O1009" i="2"/>
  <c r="B1010" i="2"/>
  <c r="C1010" i="2"/>
  <c r="D1010" i="2"/>
  <c r="D1154" i="2" s="1"/>
  <c r="E1010" i="2"/>
  <c r="F1010" i="2"/>
  <c r="G1010" i="2"/>
  <c r="H1010" i="2"/>
  <c r="I1010" i="2"/>
  <c r="J1010" i="2"/>
  <c r="K1010" i="2"/>
  <c r="L1010" i="2"/>
  <c r="M1010" i="2"/>
  <c r="N1010" i="2"/>
  <c r="O1010" i="2"/>
  <c r="B1011" i="2"/>
  <c r="C1011" i="2"/>
  <c r="D1011" i="2"/>
  <c r="E1011" i="2"/>
  <c r="F1011" i="2"/>
  <c r="G1011" i="2"/>
  <c r="H1011" i="2"/>
  <c r="I1011" i="2"/>
  <c r="J1011" i="2"/>
  <c r="K1011" i="2"/>
  <c r="L1011" i="2"/>
  <c r="M1011" i="2"/>
  <c r="N1011" i="2"/>
  <c r="O1011" i="2"/>
  <c r="B1012" i="2"/>
  <c r="C1012" i="2"/>
  <c r="D1012" i="2"/>
  <c r="E1012" i="2"/>
  <c r="F1012" i="2"/>
  <c r="G1012" i="2"/>
  <c r="H1012" i="2"/>
  <c r="I1012" i="2"/>
  <c r="J1012" i="2"/>
  <c r="K1012" i="2"/>
  <c r="L1012" i="2"/>
  <c r="M1012" i="2"/>
  <c r="N1012" i="2"/>
  <c r="O1012" i="2"/>
  <c r="B1013" i="2"/>
  <c r="C1013" i="2"/>
  <c r="D1013" i="2"/>
  <c r="E1013" i="2"/>
  <c r="F1013" i="2"/>
  <c r="G1013" i="2"/>
  <c r="H1013" i="2"/>
  <c r="I1013" i="2"/>
  <c r="J1013" i="2"/>
  <c r="K1013" i="2"/>
  <c r="L1013" i="2"/>
  <c r="M1013" i="2"/>
  <c r="N1013" i="2"/>
  <c r="O1013" i="2"/>
  <c r="B1014" i="2"/>
  <c r="C1014" i="2"/>
  <c r="D1014" i="2"/>
  <c r="E1014" i="2"/>
  <c r="F1014" i="2"/>
  <c r="G1014" i="2"/>
  <c r="H1014" i="2"/>
  <c r="I1014" i="2"/>
  <c r="J1014" i="2"/>
  <c r="K1014" i="2"/>
  <c r="L1014" i="2"/>
  <c r="M1014" i="2"/>
  <c r="N1014" i="2"/>
  <c r="O1014" i="2"/>
  <c r="B1015" i="2"/>
  <c r="C1015" i="2"/>
  <c r="D1015" i="2"/>
  <c r="E1015" i="2"/>
  <c r="F1015" i="2"/>
  <c r="G1015" i="2"/>
  <c r="H1015" i="2"/>
  <c r="I1015" i="2"/>
  <c r="J1015" i="2"/>
  <c r="K1015" i="2"/>
  <c r="L1015" i="2"/>
  <c r="M1015" i="2"/>
  <c r="N1015" i="2"/>
  <c r="O1015" i="2"/>
  <c r="B1016" i="2"/>
  <c r="C1016" i="2"/>
  <c r="D1016" i="2"/>
  <c r="E1016" i="2"/>
  <c r="F1016" i="2"/>
  <c r="G1016" i="2"/>
  <c r="H1016" i="2"/>
  <c r="I1016" i="2"/>
  <c r="J1016" i="2"/>
  <c r="K1016" i="2"/>
  <c r="L1016" i="2"/>
  <c r="M1016" i="2"/>
  <c r="N1016" i="2"/>
  <c r="O1016" i="2"/>
  <c r="B1017" i="2"/>
  <c r="C1017" i="2"/>
  <c r="D1017" i="2"/>
  <c r="E1017" i="2"/>
  <c r="F1017" i="2"/>
  <c r="G1017" i="2"/>
  <c r="H1017" i="2"/>
  <c r="I1017" i="2"/>
  <c r="J1017" i="2"/>
  <c r="K1017" i="2"/>
  <c r="L1017" i="2"/>
  <c r="M1017" i="2"/>
  <c r="N1017" i="2"/>
  <c r="O1017" i="2"/>
  <c r="B1018" i="2"/>
  <c r="C1018" i="2"/>
  <c r="D1018" i="2"/>
  <c r="E1018" i="2"/>
  <c r="F1018" i="2"/>
  <c r="G1018" i="2"/>
  <c r="H1018" i="2"/>
  <c r="I1018" i="2"/>
  <c r="J1018" i="2"/>
  <c r="K1018" i="2"/>
  <c r="L1018" i="2"/>
  <c r="M1018" i="2"/>
  <c r="N1018" i="2"/>
  <c r="O1018" i="2"/>
  <c r="B1019" i="2"/>
  <c r="C1019" i="2"/>
  <c r="D1019" i="2"/>
  <c r="E1019" i="2"/>
  <c r="F1019" i="2"/>
  <c r="G1019" i="2"/>
  <c r="H1019" i="2"/>
  <c r="I1019" i="2"/>
  <c r="J1019" i="2"/>
  <c r="K1019" i="2"/>
  <c r="L1019" i="2"/>
  <c r="M1019" i="2"/>
  <c r="N1019" i="2"/>
  <c r="O1019" i="2"/>
  <c r="B1020" i="2"/>
  <c r="C1020" i="2"/>
  <c r="D1020" i="2"/>
  <c r="E1020" i="2"/>
  <c r="F1020" i="2"/>
  <c r="G1020" i="2"/>
  <c r="H1020" i="2"/>
  <c r="I1020" i="2"/>
  <c r="J1020" i="2"/>
  <c r="K1020" i="2"/>
  <c r="L1020" i="2"/>
  <c r="M1020" i="2"/>
  <c r="N1020" i="2"/>
  <c r="O1020" i="2"/>
  <c r="B1021" i="2"/>
  <c r="C1021" i="2"/>
  <c r="D1021" i="2"/>
  <c r="E1021" i="2"/>
  <c r="F1021" i="2"/>
  <c r="G1021" i="2"/>
  <c r="H1021" i="2"/>
  <c r="I1021" i="2"/>
  <c r="J1021" i="2"/>
  <c r="K1021" i="2"/>
  <c r="L1021" i="2"/>
  <c r="M1021" i="2"/>
  <c r="N1021" i="2"/>
  <c r="O1021" i="2"/>
  <c r="B1022" i="2"/>
  <c r="C1022" i="2"/>
  <c r="D1022" i="2"/>
  <c r="E1022" i="2"/>
  <c r="F1022" i="2"/>
  <c r="G1022" i="2"/>
  <c r="H1022" i="2"/>
  <c r="I1022" i="2"/>
  <c r="J1022" i="2"/>
  <c r="K1022" i="2"/>
  <c r="K1155" i="2" s="1"/>
  <c r="L1022" i="2"/>
  <c r="L1155" i="2" s="1"/>
  <c r="M1022" i="2"/>
  <c r="N1022" i="2"/>
  <c r="O1022" i="2"/>
  <c r="B1023" i="2"/>
  <c r="C1023" i="2"/>
  <c r="D1023" i="2"/>
  <c r="E1023" i="2"/>
  <c r="F1023" i="2"/>
  <c r="F1155" i="2" s="1"/>
  <c r="G1023" i="2"/>
  <c r="H1023" i="2"/>
  <c r="I1023" i="2"/>
  <c r="J1023" i="2"/>
  <c r="K1023" i="2"/>
  <c r="L1023" i="2"/>
  <c r="M1023" i="2"/>
  <c r="N1023" i="2"/>
  <c r="O1023" i="2"/>
  <c r="B1024" i="2"/>
  <c r="C1024" i="2"/>
  <c r="D1024" i="2"/>
  <c r="E1024" i="2"/>
  <c r="F1024" i="2"/>
  <c r="G1024" i="2"/>
  <c r="H1024" i="2"/>
  <c r="I1024" i="2"/>
  <c r="J1024" i="2"/>
  <c r="K1024" i="2"/>
  <c r="L1024" i="2"/>
  <c r="M1024" i="2"/>
  <c r="N1024" i="2"/>
  <c r="O1024" i="2"/>
  <c r="B1025" i="2"/>
  <c r="C1025" i="2"/>
  <c r="D1025" i="2"/>
  <c r="E1025" i="2"/>
  <c r="F1025" i="2"/>
  <c r="G1025" i="2"/>
  <c r="H1025" i="2"/>
  <c r="I1025" i="2"/>
  <c r="J1025" i="2"/>
  <c r="K1025" i="2"/>
  <c r="L1025" i="2"/>
  <c r="M1025" i="2"/>
  <c r="N1025" i="2"/>
  <c r="O1025" i="2"/>
  <c r="B1026" i="2"/>
  <c r="C1026" i="2"/>
  <c r="D1026" i="2"/>
  <c r="E1026" i="2"/>
  <c r="F1026" i="2"/>
  <c r="G1026" i="2"/>
  <c r="H1026" i="2"/>
  <c r="I1026" i="2"/>
  <c r="J1026" i="2"/>
  <c r="K1026" i="2"/>
  <c r="L1026" i="2"/>
  <c r="M1026" i="2"/>
  <c r="N1026" i="2"/>
  <c r="O1026" i="2"/>
  <c r="B1027" i="2"/>
  <c r="C1027" i="2"/>
  <c r="D1027" i="2"/>
  <c r="E1027" i="2"/>
  <c r="F1027" i="2"/>
  <c r="G1027" i="2"/>
  <c r="H1027" i="2"/>
  <c r="I1027" i="2"/>
  <c r="J1027" i="2"/>
  <c r="K1027" i="2"/>
  <c r="L1027" i="2"/>
  <c r="M1027" i="2"/>
  <c r="N1027" i="2"/>
  <c r="O1027" i="2"/>
  <c r="B1028" i="2"/>
  <c r="C1028" i="2"/>
  <c r="D1028" i="2"/>
  <c r="E1028" i="2"/>
  <c r="F1028" i="2"/>
  <c r="G1028" i="2"/>
  <c r="H1028" i="2"/>
  <c r="I1028" i="2"/>
  <c r="J1028" i="2"/>
  <c r="K1028" i="2"/>
  <c r="L1028" i="2"/>
  <c r="M1028" i="2"/>
  <c r="N1028" i="2"/>
  <c r="O1028" i="2"/>
  <c r="B1029" i="2"/>
  <c r="C1029" i="2"/>
  <c r="D1029" i="2"/>
  <c r="E1029" i="2"/>
  <c r="F1029" i="2"/>
  <c r="G1029" i="2"/>
  <c r="H1029" i="2"/>
  <c r="I1029" i="2"/>
  <c r="J1029" i="2"/>
  <c r="K1029" i="2"/>
  <c r="L1029" i="2"/>
  <c r="M1029" i="2"/>
  <c r="N1029" i="2"/>
  <c r="O1029" i="2"/>
  <c r="B1030" i="2"/>
  <c r="C1030" i="2"/>
  <c r="D1030" i="2"/>
  <c r="E1030" i="2"/>
  <c r="F1030" i="2"/>
  <c r="G1030" i="2"/>
  <c r="H1030" i="2"/>
  <c r="I1030" i="2"/>
  <c r="J1030" i="2"/>
  <c r="K1030" i="2"/>
  <c r="L1030" i="2"/>
  <c r="M1030" i="2"/>
  <c r="N1030" i="2"/>
  <c r="O1030" i="2"/>
  <c r="B1031" i="2"/>
  <c r="C1031" i="2"/>
  <c r="D1031" i="2"/>
  <c r="E1031" i="2"/>
  <c r="F1031" i="2"/>
  <c r="G1031" i="2"/>
  <c r="H1031" i="2"/>
  <c r="I1031" i="2"/>
  <c r="J1031" i="2"/>
  <c r="K1031" i="2"/>
  <c r="L1031" i="2"/>
  <c r="M1031" i="2"/>
  <c r="N1031" i="2"/>
  <c r="O1031" i="2"/>
  <c r="B1032" i="2"/>
  <c r="C1032" i="2"/>
  <c r="D1032" i="2"/>
  <c r="E1032" i="2"/>
  <c r="F1032" i="2"/>
  <c r="G1032" i="2"/>
  <c r="H1032" i="2"/>
  <c r="I1032" i="2"/>
  <c r="J1032" i="2"/>
  <c r="K1032" i="2"/>
  <c r="L1032" i="2"/>
  <c r="M1032" i="2"/>
  <c r="N1032" i="2"/>
  <c r="O1032" i="2"/>
  <c r="B1033" i="2"/>
  <c r="C1033" i="2"/>
  <c r="D1033" i="2"/>
  <c r="E1033" i="2"/>
  <c r="F1033" i="2"/>
  <c r="G1033" i="2"/>
  <c r="H1033" i="2"/>
  <c r="I1033" i="2"/>
  <c r="J1033" i="2"/>
  <c r="K1033" i="2"/>
  <c r="L1033" i="2"/>
  <c r="M1033" i="2"/>
  <c r="N1033" i="2"/>
  <c r="O1033" i="2"/>
  <c r="B1034" i="2"/>
  <c r="C1034" i="2"/>
  <c r="D1034" i="2"/>
  <c r="E1034" i="2"/>
  <c r="F1034" i="2"/>
  <c r="G1034" i="2"/>
  <c r="H1034" i="2"/>
  <c r="I1034" i="2"/>
  <c r="J1034" i="2"/>
  <c r="K1034" i="2"/>
  <c r="L1034" i="2"/>
  <c r="M1034" i="2"/>
  <c r="N1034" i="2"/>
  <c r="O1034" i="2"/>
  <c r="B1035" i="2"/>
  <c r="C1035" i="2"/>
  <c r="D1035" i="2"/>
  <c r="E1035" i="2"/>
  <c r="F1035" i="2"/>
  <c r="G1035" i="2"/>
  <c r="H1035" i="2"/>
  <c r="I1035" i="2"/>
  <c r="J1035" i="2"/>
  <c r="K1035" i="2"/>
  <c r="L1035" i="2"/>
  <c r="M1035" i="2"/>
  <c r="M1156" i="2" s="1"/>
  <c r="N1035" i="2"/>
  <c r="N1156" i="2" s="1"/>
  <c r="O1035" i="2"/>
  <c r="B1036" i="2"/>
  <c r="C1036" i="2"/>
  <c r="D1036" i="2"/>
  <c r="E1036" i="2"/>
  <c r="F1036" i="2"/>
  <c r="G1036" i="2"/>
  <c r="H1036" i="2"/>
  <c r="I1036" i="2"/>
  <c r="J1036" i="2"/>
  <c r="K1036" i="2"/>
  <c r="L1036" i="2"/>
  <c r="M1036" i="2"/>
  <c r="N1036" i="2"/>
  <c r="O1036" i="2"/>
  <c r="B1037" i="2"/>
  <c r="C1037" i="2"/>
  <c r="D1037" i="2"/>
  <c r="E1037" i="2"/>
  <c r="F1037" i="2"/>
  <c r="G1037" i="2"/>
  <c r="H1037" i="2"/>
  <c r="I1037" i="2"/>
  <c r="J1037" i="2"/>
  <c r="K1037" i="2"/>
  <c r="L1037" i="2"/>
  <c r="M1037" i="2"/>
  <c r="N1037" i="2"/>
  <c r="O1037" i="2"/>
  <c r="B1038" i="2"/>
  <c r="C1038" i="2"/>
  <c r="D1038" i="2"/>
  <c r="E1038" i="2"/>
  <c r="F1038" i="2"/>
  <c r="G1038" i="2"/>
  <c r="H1038" i="2"/>
  <c r="I1038" i="2"/>
  <c r="J1038" i="2"/>
  <c r="K1038" i="2"/>
  <c r="L1038" i="2"/>
  <c r="M1038" i="2"/>
  <c r="N1038" i="2"/>
  <c r="O1038" i="2"/>
  <c r="B1039" i="2"/>
  <c r="C1039" i="2"/>
  <c r="D1039" i="2"/>
  <c r="E1039" i="2"/>
  <c r="F1039" i="2"/>
  <c r="G1039" i="2"/>
  <c r="H1039" i="2"/>
  <c r="I1039" i="2"/>
  <c r="J1039" i="2"/>
  <c r="K1039" i="2"/>
  <c r="L1039" i="2"/>
  <c r="M1039" i="2"/>
  <c r="N1039" i="2"/>
  <c r="O1039" i="2"/>
  <c r="B1040" i="2"/>
  <c r="C1040" i="2"/>
  <c r="D1040" i="2"/>
  <c r="E1040" i="2"/>
  <c r="F1040" i="2"/>
  <c r="G1040" i="2"/>
  <c r="H1040" i="2"/>
  <c r="I1040" i="2"/>
  <c r="J1040" i="2"/>
  <c r="K1040" i="2"/>
  <c r="L1040" i="2"/>
  <c r="M1040" i="2"/>
  <c r="N1040" i="2"/>
  <c r="O1040" i="2"/>
  <c r="B1041" i="2"/>
  <c r="C1041" i="2"/>
  <c r="D1041" i="2"/>
  <c r="E1041" i="2"/>
  <c r="F1041" i="2"/>
  <c r="G1041" i="2"/>
  <c r="H1041" i="2"/>
  <c r="I1041" i="2"/>
  <c r="J1041" i="2"/>
  <c r="K1041" i="2"/>
  <c r="L1041" i="2"/>
  <c r="M1041" i="2"/>
  <c r="N1041" i="2"/>
  <c r="O1041" i="2"/>
  <c r="B1042" i="2"/>
  <c r="C1042" i="2"/>
  <c r="D1042" i="2"/>
  <c r="E1042" i="2"/>
  <c r="F1042" i="2"/>
  <c r="G1042" i="2"/>
  <c r="H1042" i="2"/>
  <c r="I1042" i="2"/>
  <c r="J1042" i="2"/>
  <c r="K1042" i="2"/>
  <c r="L1042" i="2"/>
  <c r="M1042" i="2"/>
  <c r="N1042" i="2"/>
  <c r="O1042" i="2"/>
  <c r="B1043" i="2"/>
  <c r="C1043" i="2"/>
  <c r="D1043" i="2"/>
  <c r="E1043" i="2"/>
  <c r="F1043" i="2"/>
  <c r="G1043" i="2"/>
  <c r="H1043" i="2"/>
  <c r="I1043" i="2"/>
  <c r="J1043" i="2"/>
  <c r="K1043" i="2"/>
  <c r="L1043" i="2"/>
  <c r="M1043" i="2"/>
  <c r="N1043" i="2"/>
  <c r="O1043" i="2"/>
  <c r="B1044" i="2"/>
  <c r="C1044" i="2"/>
  <c r="D1044" i="2"/>
  <c r="E1044" i="2"/>
  <c r="F1044" i="2"/>
  <c r="G1044" i="2"/>
  <c r="H1044" i="2"/>
  <c r="I1044" i="2"/>
  <c r="J1044" i="2"/>
  <c r="K1044" i="2"/>
  <c r="L1044" i="2"/>
  <c r="M1044" i="2"/>
  <c r="N1044" i="2"/>
  <c r="O1044" i="2"/>
  <c r="B1045" i="2"/>
  <c r="C1045" i="2"/>
  <c r="D1045" i="2"/>
  <c r="E1045" i="2"/>
  <c r="F1045" i="2"/>
  <c r="G1045" i="2"/>
  <c r="H1045" i="2"/>
  <c r="I1045" i="2"/>
  <c r="J1045" i="2"/>
  <c r="K1045" i="2"/>
  <c r="L1045" i="2"/>
  <c r="M1045" i="2"/>
  <c r="N1045" i="2"/>
  <c r="O1045" i="2"/>
  <c r="B1046" i="2"/>
  <c r="C1046" i="2"/>
  <c r="D1046" i="2"/>
  <c r="E1046" i="2"/>
  <c r="F1046" i="2"/>
  <c r="G1046" i="2"/>
  <c r="H1046" i="2"/>
  <c r="I1046" i="2"/>
  <c r="J1046" i="2"/>
  <c r="K1046" i="2"/>
  <c r="L1046" i="2"/>
  <c r="M1046" i="2"/>
  <c r="N1046" i="2"/>
  <c r="O1046" i="2"/>
  <c r="B1047" i="2"/>
  <c r="C1047" i="2"/>
  <c r="D1047" i="2"/>
  <c r="E1047" i="2"/>
  <c r="F1047" i="2"/>
  <c r="G1047" i="2"/>
  <c r="H1047" i="2"/>
  <c r="I1047" i="2"/>
  <c r="J1047" i="2"/>
  <c r="J1157" i="2" s="1"/>
  <c r="K1047" i="2"/>
  <c r="L1047" i="2"/>
  <c r="M1047" i="2"/>
  <c r="N1047" i="2"/>
  <c r="O1047" i="2"/>
  <c r="B1048" i="2"/>
  <c r="C1048" i="2"/>
  <c r="D1048" i="2"/>
  <c r="E1048" i="2"/>
  <c r="F1048" i="2"/>
  <c r="G1048" i="2"/>
  <c r="H1048" i="2"/>
  <c r="I1048" i="2"/>
  <c r="J1048" i="2"/>
  <c r="K1048" i="2"/>
  <c r="L1048" i="2"/>
  <c r="M1048" i="2"/>
  <c r="N1048" i="2"/>
  <c r="O1048" i="2"/>
  <c r="B1049" i="2"/>
  <c r="C1049" i="2"/>
  <c r="D1049" i="2"/>
  <c r="E1049" i="2"/>
  <c r="F1049" i="2"/>
  <c r="G1049" i="2"/>
  <c r="H1049" i="2"/>
  <c r="I1049" i="2"/>
  <c r="J1049" i="2"/>
  <c r="K1049" i="2"/>
  <c r="L1049" i="2"/>
  <c r="M1049" i="2"/>
  <c r="N1049" i="2"/>
  <c r="O1049" i="2"/>
  <c r="B1050" i="2"/>
  <c r="C1050" i="2"/>
  <c r="D1050" i="2"/>
  <c r="E1050" i="2"/>
  <c r="F1050" i="2"/>
  <c r="G1050" i="2"/>
  <c r="H1050" i="2"/>
  <c r="I1050" i="2"/>
  <c r="J1050" i="2"/>
  <c r="K1050" i="2"/>
  <c r="L1050" i="2"/>
  <c r="M1050" i="2"/>
  <c r="N1050" i="2"/>
  <c r="O1050" i="2"/>
  <c r="B1051" i="2"/>
  <c r="C1051" i="2"/>
  <c r="D1051" i="2"/>
  <c r="E1051" i="2"/>
  <c r="F1051" i="2"/>
  <c r="G1051" i="2"/>
  <c r="H1051" i="2"/>
  <c r="I1051" i="2"/>
  <c r="J1051" i="2"/>
  <c r="K1051" i="2"/>
  <c r="L1051" i="2"/>
  <c r="M1051" i="2"/>
  <c r="N1051" i="2"/>
  <c r="O1051" i="2"/>
  <c r="B1052" i="2"/>
  <c r="C1052" i="2"/>
  <c r="D1052" i="2"/>
  <c r="E1052" i="2"/>
  <c r="F1052" i="2"/>
  <c r="G1052" i="2"/>
  <c r="H1052" i="2"/>
  <c r="I1052" i="2"/>
  <c r="J1052" i="2"/>
  <c r="K1052" i="2"/>
  <c r="L1052" i="2"/>
  <c r="M1052" i="2"/>
  <c r="N1052" i="2"/>
  <c r="O1052" i="2"/>
  <c r="B1053" i="2"/>
  <c r="C1053" i="2"/>
  <c r="D1053" i="2"/>
  <c r="E1053" i="2"/>
  <c r="F1053" i="2"/>
  <c r="G1053" i="2"/>
  <c r="H1053" i="2"/>
  <c r="I1053" i="2"/>
  <c r="J1053" i="2"/>
  <c r="K1053" i="2"/>
  <c r="L1053" i="2"/>
  <c r="M1053" i="2"/>
  <c r="N1053" i="2"/>
  <c r="O1053" i="2"/>
  <c r="B1054" i="2"/>
  <c r="C1054" i="2"/>
  <c r="D1054" i="2"/>
  <c r="E1054" i="2"/>
  <c r="F1054" i="2"/>
  <c r="G1054" i="2"/>
  <c r="H1054" i="2"/>
  <c r="I1054" i="2"/>
  <c r="J1054" i="2"/>
  <c r="K1054" i="2"/>
  <c r="L1054" i="2"/>
  <c r="M1054" i="2"/>
  <c r="N1054" i="2"/>
  <c r="O1054" i="2"/>
  <c r="B1055" i="2"/>
  <c r="C1055" i="2"/>
  <c r="D1055" i="2"/>
  <c r="E1055" i="2"/>
  <c r="F1055" i="2"/>
  <c r="G1055" i="2"/>
  <c r="H1055" i="2"/>
  <c r="I1055" i="2"/>
  <c r="J1055" i="2"/>
  <c r="K1055" i="2"/>
  <c r="L1055" i="2"/>
  <c r="M1055" i="2"/>
  <c r="N1055" i="2"/>
  <c r="O1055" i="2"/>
  <c r="B1056" i="2"/>
  <c r="C1056" i="2"/>
  <c r="D1056" i="2"/>
  <c r="E1056" i="2"/>
  <c r="F1056" i="2"/>
  <c r="G1056" i="2"/>
  <c r="H1056" i="2"/>
  <c r="I1056" i="2"/>
  <c r="J1056" i="2"/>
  <c r="K1056" i="2"/>
  <c r="L1056" i="2"/>
  <c r="M1056" i="2"/>
  <c r="N1056" i="2"/>
  <c r="O1056" i="2"/>
  <c r="B1057" i="2"/>
  <c r="C1057" i="2"/>
  <c r="D1057" i="2"/>
  <c r="E1057" i="2"/>
  <c r="F1057" i="2"/>
  <c r="G1057" i="2"/>
  <c r="H1057" i="2"/>
  <c r="I1057" i="2"/>
  <c r="J1057" i="2"/>
  <c r="K1057" i="2"/>
  <c r="L1057" i="2"/>
  <c r="M1057" i="2"/>
  <c r="N1057" i="2"/>
  <c r="O1057" i="2"/>
  <c r="B1058" i="2"/>
  <c r="B1158" i="2" s="1"/>
  <c r="C1058" i="2"/>
  <c r="D1058" i="2"/>
  <c r="E1058" i="2"/>
  <c r="F1058" i="2"/>
  <c r="G1058" i="2"/>
  <c r="H1058" i="2"/>
  <c r="I1058" i="2"/>
  <c r="J1058" i="2"/>
  <c r="K1058" i="2"/>
  <c r="L1058" i="2"/>
  <c r="L1158" i="2" s="1"/>
  <c r="M1058" i="2"/>
  <c r="N1058" i="2"/>
  <c r="O1058" i="2"/>
  <c r="B1059" i="2"/>
  <c r="C1059" i="2"/>
  <c r="D1059" i="2"/>
  <c r="E1059" i="2"/>
  <c r="F1059" i="2"/>
  <c r="G1059" i="2"/>
  <c r="H1059" i="2"/>
  <c r="I1059" i="2"/>
  <c r="J1059" i="2"/>
  <c r="K1059" i="2"/>
  <c r="L1059" i="2"/>
  <c r="M1059" i="2"/>
  <c r="N1059" i="2"/>
  <c r="O1059" i="2"/>
  <c r="B1060" i="2"/>
  <c r="C1060" i="2"/>
  <c r="D1060" i="2"/>
  <c r="E1060" i="2"/>
  <c r="F1060" i="2"/>
  <c r="G1060" i="2"/>
  <c r="H1060" i="2"/>
  <c r="I1060" i="2"/>
  <c r="J1060" i="2"/>
  <c r="K1060" i="2"/>
  <c r="L1060" i="2"/>
  <c r="M1060" i="2"/>
  <c r="N1060" i="2"/>
  <c r="O1060" i="2"/>
  <c r="B1061" i="2"/>
  <c r="C1061" i="2"/>
  <c r="D1061" i="2"/>
  <c r="E1061" i="2"/>
  <c r="F1061" i="2"/>
  <c r="G1061" i="2"/>
  <c r="H1061" i="2"/>
  <c r="I1061" i="2"/>
  <c r="J1061" i="2"/>
  <c r="K1061" i="2"/>
  <c r="L1061" i="2"/>
  <c r="M1061" i="2"/>
  <c r="N1061" i="2"/>
  <c r="O1061" i="2"/>
  <c r="B1062" i="2"/>
  <c r="C1062" i="2"/>
  <c r="D1062" i="2"/>
  <c r="E1062" i="2"/>
  <c r="F1062" i="2"/>
  <c r="G1062" i="2"/>
  <c r="H1062" i="2"/>
  <c r="I1062" i="2"/>
  <c r="J1062" i="2"/>
  <c r="K1062" i="2"/>
  <c r="L1062" i="2"/>
  <c r="M1062" i="2"/>
  <c r="N1062" i="2"/>
  <c r="O1062" i="2"/>
  <c r="B1063" i="2"/>
  <c r="C1063" i="2"/>
  <c r="D1063" i="2"/>
  <c r="E1063" i="2"/>
  <c r="F1063" i="2"/>
  <c r="G1063" i="2"/>
  <c r="H1063" i="2"/>
  <c r="I1063" i="2"/>
  <c r="J1063" i="2"/>
  <c r="K1063" i="2"/>
  <c r="L1063" i="2"/>
  <c r="M1063" i="2"/>
  <c r="N1063" i="2"/>
  <c r="O1063" i="2"/>
  <c r="B1064" i="2"/>
  <c r="C1064" i="2"/>
  <c r="D1064" i="2"/>
  <c r="E1064" i="2"/>
  <c r="F1064" i="2"/>
  <c r="G1064" i="2"/>
  <c r="H1064" i="2"/>
  <c r="I1064" i="2"/>
  <c r="J1064" i="2"/>
  <c r="K1064" i="2"/>
  <c r="L1064" i="2"/>
  <c r="M1064" i="2"/>
  <c r="N1064" i="2"/>
  <c r="O1064" i="2"/>
  <c r="B1065" i="2"/>
  <c r="C1065" i="2"/>
  <c r="D1065" i="2"/>
  <c r="E1065" i="2"/>
  <c r="F1065" i="2"/>
  <c r="G1065" i="2"/>
  <c r="H1065" i="2"/>
  <c r="I1065" i="2"/>
  <c r="J1065" i="2"/>
  <c r="K1065" i="2"/>
  <c r="L1065" i="2"/>
  <c r="M1065" i="2"/>
  <c r="N1065" i="2"/>
  <c r="O1065" i="2"/>
  <c r="B1066" i="2"/>
  <c r="C1066" i="2"/>
  <c r="D1066" i="2"/>
  <c r="E1066" i="2"/>
  <c r="F1066" i="2"/>
  <c r="G1066" i="2"/>
  <c r="H1066" i="2"/>
  <c r="I1066" i="2"/>
  <c r="J1066" i="2"/>
  <c r="K1066" i="2"/>
  <c r="L1066" i="2"/>
  <c r="M1066" i="2"/>
  <c r="N1066" i="2"/>
  <c r="O1066" i="2"/>
  <c r="B1067" i="2"/>
  <c r="C1067" i="2"/>
  <c r="D1067" i="2"/>
  <c r="E1067" i="2"/>
  <c r="F1067" i="2"/>
  <c r="G1067" i="2"/>
  <c r="H1067" i="2"/>
  <c r="I1067" i="2"/>
  <c r="J1067" i="2"/>
  <c r="K1067" i="2"/>
  <c r="L1067" i="2"/>
  <c r="M1067" i="2"/>
  <c r="N1067" i="2"/>
  <c r="O1067" i="2"/>
  <c r="B1068" i="2"/>
  <c r="C1068" i="2"/>
  <c r="D1068" i="2"/>
  <c r="E1068" i="2"/>
  <c r="F1068" i="2"/>
  <c r="G1068" i="2"/>
  <c r="H1068" i="2"/>
  <c r="I1068" i="2"/>
  <c r="J1068" i="2"/>
  <c r="K1068" i="2"/>
  <c r="L1068" i="2"/>
  <c r="M1068" i="2"/>
  <c r="N1068" i="2"/>
  <c r="O1068" i="2"/>
  <c r="B1069" i="2"/>
  <c r="C1069" i="2"/>
  <c r="D1069" i="2"/>
  <c r="E1069" i="2"/>
  <c r="F1069" i="2"/>
  <c r="G1069" i="2"/>
  <c r="H1069" i="2"/>
  <c r="I1069" i="2"/>
  <c r="J1069" i="2"/>
  <c r="K1069" i="2"/>
  <c r="L1069" i="2"/>
  <c r="M1069" i="2"/>
  <c r="N1069" i="2"/>
  <c r="O1069" i="2"/>
  <c r="B1071" i="2"/>
  <c r="C1071" i="2"/>
  <c r="K1071" i="2"/>
  <c r="M1071" i="2"/>
  <c r="N1071" i="2"/>
  <c r="B1072" i="2"/>
  <c r="J1072" i="2"/>
  <c r="L1072" i="2"/>
  <c r="O1072" i="2"/>
  <c r="I1073" i="2"/>
  <c r="J1073" i="2"/>
  <c r="L1073" i="2"/>
  <c r="N1073" i="2"/>
  <c r="H1074" i="2"/>
  <c r="L1074" i="2"/>
  <c r="F1075" i="2"/>
  <c r="H1075" i="2"/>
  <c r="J1075" i="2"/>
  <c r="H1076" i="2"/>
  <c r="J1076" i="2"/>
  <c r="D1077" i="2"/>
  <c r="F1077" i="2"/>
  <c r="D1078" i="2"/>
  <c r="F1078" i="2"/>
  <c r="H1078" i="2"/>
  <c r="B1079" i="2"/>
  <c r="C1079" i="2"/>
  <c r="F1079" i="2"/>
  <c r="N1079" i="2"/>
  <c r="B1080" i="2"/>
  <c r="D1080" i="2"/>
  <c r="E1080" i="2"/>
  <c r="M1080" i="2"/>
  <c r="O1080" i="2"/>
  <c r="B1081" i="2"/>
  <c r="D1081" i="2"/>
  <c r="L1081" i="2"/>
  <c r="N1081" i="2"/>
  <c r="C1082" i="2"/>
  <c r="K1082" i="2"/>
  <c r="L1082" i="2"/>
  <c r="N1082" i="2"/>
  <c r="B1083" i="2"/>
  <c r="J1083" i="2"/>
  <c r="N1083" i="2"/>
  <c r="H1084" i="2"/>
  <c r="J1084" i="2"/>
  <c r="L1084" i="2"/>
  <c r="J1085" i="2"/>
  <c r="L1085" i="2"/>
  <c r="F1086" i="2"/>
  <c r="H1086" i="2"/>
  <c r="F1087" i="2"/>
  <c r="H1087" i="2"/>
  <c r="J1087" i="2"/>
  <c r="D1088" i="2"/>
  <c r="E1088" i="2"/>
  <c r="H1088" i="2"/>
  <c r="B1089" i="2"/>
  <c r="D1089" i="2"/>
  <c r="F1089" i="2"/>
  <c r="G1089" i="2"/>
  <c r="O1089" i="2"/>
  <c r="D1090" i="2"/>
  <c r="F1090" i="2"/>
  <c r="N1090" i="2"/>
  <c r="B1091" i="2"/>
  <c r="M1091" i="2"/>
  <c r="N1091" i="2"/>
  <c r="B1092" i="2"/>
  <c r="D1092" i="2"/>
  <c r="L1092" i="2"/>
  <c r="B1093" i="2"/>
  <c r="J1093" i="2"/>
  <c r="L1093" i="2"/>
  <c r="N1093" i="2"/>
  <c r="L1094" i="2"/>
  <c r="N1094" i="2"/>
  <c r="H1095" i="2"/>
  <c r="J1095" i="2"/>
  <c r="H1096" i="2"/>
  <c r="J1096" i="2"/>
  <c r="L1096" i="2"/>
  <c r="F1097" i="2"/>
  <c r="G1097" i="2"/>
  <c r="J1097" i="2"/>
  <c r="D1098" i="2"/>
  <c r="F1098" i="2"/>
  <c r="H1098" i="2"/>
  <c r="E1099" i="2"/>
  <c r="F1099" i="2"/>
  <c r="H1099" i="2"/>
  <c r="B1100" i="2"/>
  <c r="D1100" i="2"/>
  <c r="G1100" i="2"/>
  <c r="B1101" i="2"/>
  <c r="D1101" i="2"/>
  <c r="F1101" i="2"/>
  <c r="N1101" i="2"/>
  <c r="D1102" i="2"/>
  <c r="L1102" i="2"/>
  <c r="N1102" i="2"/>
  <c r="B1103" i="2"/>
  <c r="N1103" i="2"/>
  <c r="B1104" i="2"/>
  <c r="J1104" i="2"/>
  <c r="L1104" i="2"/>
  <c r="J1105" i="2"/>
  <c r="L1105" i="2"/>
  <c r="N1105" i="2"/>
  <c r="H1106" i="2"/>
  <c r="L1106" i="2"/>
  <c r="F1107" i="2"/>
  <c r="H1107" i="2"/>
  <c r="J1107" i="2"/>
  <c r="K1107" i="2"/>
  <c r="E1108" i="2"/>
  <c r="H1108" i="2"/>
  <c r="J1108" i="2"/>
  <c r="D1109" i="2"/>
  <c r="F1109" i="2"/>
  <c r="C1110" i="2"/>
  <c r="D1110" i="2"/>
  <c r="F1110" i="2"/>
  <c r="H1110" i="2"/>
  <c r="B1111" i="2"/>
  <c r="F1111" i="2"/>
  <c r="N1111" i="2"/>
  <c r="B1112" i="2"/>
  <c r="D1112" i="2"/>
  <c r="B1113" i="2"/>
  <c r="D1113" i="2"/>
  <c r="L1113" i="2"/>
  <c r="N1113" i="2"/>
  <c r="L1114" i="2"/>
  <c r="N1114" i="2"/>
  <c r="B1115" i="2"/>
  <c r="J1115" i="2"/>
  <c r="K1115" i="2"/>
  <c r="L1116" i="2"/>
  <c r="G1117" i="2"/>
  <c r="I1117" i="2"/>
  <c r="F1119" i="2"/>
  <c r="H1120" i="2"/>
  <c r="B1121" i="2"/>
  <c r="D1121" i="2"/>
  <c r="D1122" i="2"/>
  <c r="F1122" i="2"/>
  <c r="N1122" i="2"/>
  <c r="B1123" i="2"/>
  <c r="B1124" i="2"/>
  <c r="D1124" i="2"/>
  <c r="L1124" i="2"/>
  <c r="N1125" i="2"/>
  <c r="O1125" i="2"/>
  <c r="M1127" i="2"/>
  <c r="G1128" i="2"/>
  <c r="H1128" i="2"/>
  <c r="J1129" i="2"/>
  <c r="D1130" i="2"/>
  <c r="F1130" i="2"/>
  <c r="F1131" i="2"/>
  <c r="H1131" i="2"/>
  <c r="B1132" i="2"/>
  <c r="D1132" i="2"/>
  <c r="D1133" i="2"/>
  <c r="F1133" i="2"/>
  <c r="N1133" i="2"/>
  <c r="O1133" i="2"/>
  <c r="B1135" i="2"/>
  <c r="K1135" i="2"/>
  <c r="M1135" i="2"/>
  <c r="H1137" i="2"/>
  <c r="D1138" i="2"/>
  <c r="K1139" i="2"/>
  <c r="M1140" i="2"/>
  <c r="N1140" i="2"/>
  <c r="L1142" i="2"/>
  <c r="E1144" i="2"/>
  <c r="G1145" i="2"/>
  <c r="H1145" i="2"/>
  <c r="F1147" i="2"/>
  <c r="M1148" i="2"/>
  <c r="O1149" i="2"/>
  <c r="B1150" i="2"/>
  <c r="N1151" i="2"/>
  <c r="G1153" i="2"/>
  <c r="I1154" i="2"/>
  <c r="J1154" i="2"/>
  <c r="H1156" i="2"/>
  <c r="O1157" i="2"/>
  <c r="I1157" i="2" l="1"/>
  <c r="G1156" i="2"/>
  <c r="E1155" i="2"/>
  <c r="O1153" i="2"/>
  <c r="G1152" i="2"/>
  <c r="M1151" i="2"/>
  <c r="I1150" i="2"/>
  <c r="I1149" i="2"/>
  <c r="G1148" i="2"/>
  <c r="E1147" i="2"/>
  <c r="K1146" i="2"/>
  <c r="O1145" i="2"/>
  <c r="M1144" i="2"/>
  <c r="M1143" i="2"/>
  <c r="I1142" i="2"/>
  <c r="C1142" i="2"/>
  <c r="E1140" i="2"/>
  <c r="E1139" i="2"/>
  <c r="O1137" i="2"/>
  <c r="M1136" i="2"/>
  <c r="O1132" i="2"/>
  <c r="E1131" i="2"/>
  <c r="I1129" i="2"/>
  <c r="M1123" i="2"/>
  <c r="C1123" i="2"/>
  <c r="G1121" i="2"/>
  <c r="E1120" i="2"/>
  <c r="C1114" i="2"/>
  <c r="M1112" i="2"/>
  <c r="C1111" i="2"/>
  <c r="O1104" i="2"/>
  <c r="D1158" i="2"/>
  <c r="H1157" i="2"/>
  <c r="B1157" i="2"/>
  <c r="F1156" i="2"/>
  <c r="N1155" i="2"/>
  <c r="D1155" i="2"/>
  <c r="L1154" i="2"/>
  <c r="B1154" i="2"/>
  <c r="J1153" i="2"/>
  <c r="H1152" i="2"/>
  <c r="N1152" i="2"/>
  <c r="F1151" i="2"/>
  <c r="L1151" i="2"/>
  <c r="D1150" i="2"/>
  <c r="J1150" i="2"/>
  <c r="H1149" i="2"/>
  <c r="B1149" i="2"/>
  <c r="F1148" i="2"/>
  <c r="N1147" i="2"/>
  <c r="D1147" i="2"/>
  <c r="L1146" i="2"/>
  <c r="B1146" i="2"/>
  <c r="J1145" i="2"/>
  <c r="H1144" i="2"/>
  <c r="N1144" i="2"/>
  <c r="F1143" i="2"/>
  <c r="L1143" i="2"/>
  <c r="D1142" i="2"/>
  <c r="J1142" i="2"/>
  <c r="H1141" i="2"/>
  <c r="B1141" i="2"/>
  <c r="F1140" i="2"/>
  <c r="N1139" i="2"/>
  <c r="D1139" i="2"/>
  <c r="L1138" i="2"/>
  <c r="B1138" i="2"/>
  <c r="J1137" i="2"/>
  <c r="L1136" i="2"/>
  <c r="J1136" i="2"/>
  <c r="B1136" i="2"/>
  <c r="N1135" i="2"/>
  <c r="N1134" i="2"/>
  <c r="L1134" i="2"/>
  <c r="D1134" i="2"/>
  <c r="B1133" i="2"/>
  <c r="F1129" i="2"/>
  <c r="L1128" i="2"/>
  <c r="J1128" i="2"/>
  <c r="H1127" i="2"/>
  <c r="J1127" i="2"/>
  <c r="N1126" i="2"/>
  <c r="L1126" i="2"/>
  <c r="K1158" i="2"/>
  <c r="G1157" i="2"/>
  <c r="E1156" i="2"/>
  <c r="M1155" i="2"/>
  <c r="C1155" i="2"/>
  <c r="K1154" i="2"/>
  <c r="M1152" i="2"/>
  <c r="E1151" i="2"/>
  <c r="K1150" i="2"/>
  <c r="G1149" i="2"/>
  <c r="O1144" i="2"/>
  <c r="K1143" i="2"/>
  <c r="G1141" i="2"/>
  <c r="O1140" i="2"/>
  <c r="C1138" i="2"/>
  <c r="I1137" i="2"/>
  <c r="C1134" i="2"/>
  <c r="E1132" i="2"/>
  <c r="I1130" i="2"/>
  <c r="G1129" i="2"/>
  <c r="O1124" i="2"/>
  <c r="E1123" i="2"/>
  <c r="M1115" i="2"/>
  <c r="K1114" i="2"/>
  <c r="O1112" i="2"/>
  <c r="E1111" i="2"/>
  <c r="C1103" i="2"/>
  <c r="O1101" i="2"/>
  <c r="E1100" i="2"/>
  <c r="J1158" i="2"/>
  <c r="M1158" i="2"/>
  <c r="E1158" i="2"/>
  <c r="I1156" i="2"/>
  <c r="O1155" i="2"/>
  <c r="G1155" i="2"/>
  <c r="M1154" i="2"/>
  <c r="E1154" i="2"/>
  <c r="I1152" i="2"/>
  <c r="O1151" i="2"/>
  <c r="G1151" i="2"/>
  <c r="M1150" i="2"/>
  <c r="E1150" i="2"/>
  <c r="I1148" i="2"/>
  <c r="O1147" i="2"/>
  <c r="G1147" i="2"/>
  <c r="M1146" i="2"/>
  <c r="E1146" i="2"/>
  <c r="I1144" i="2"/>
  <c r="O1143" i="2"/>
  <c r="G1143" i="2"/>
  <c r="M1142" i="2"/>
  <c r="E1142" i="2"/>
  <c r="I1140" i="2"/>
  <c r="O1139" i="2"/>
  <c r="G1139" i="2"/>
  <c r="M1138" i="2"/>
  <c r="E1138" i="2"/>
  <c r="E1135" i="2"/>
  <c r="G1133" i="2"/>
  <c r="E1117" i="3"/>
  <c r="G1117" i="3"/>
  <c r="I1115" i="3"/>
  <c r="K1115" i="3"/>
  <c r="E1114" i="3"/>
  <c r="I1112" i="3"/>
  <c r="G1112" i="3"/>
  <c r="K1110" i="3"/>
  <c r="E1109" i="3"/>
  <c r="G1109" i="3"/>
  <c r="I1107" i="3"/>
  <c r="K1107" i="3"/>
  <c r="E1106" i="3"/>
  <c r="I1104" i="3"/>
  <c r="G1104" i="3"/>
  <c r="C1103" i="3"/>
  <c r="K1102" i="3"/>
  <c r="E1101" i="3"/>
  <c r="I1099" i="3"/>
  <c r="K1099" i="3"/>
  <c r="E1098" i="3"/>
  <c r="I1158" i="2"/>
  <c r="C1158" i="2"/>
  <c r="O1156" i="2"/>
  <c r="C1154" i="2"/>
  <c r="I1153" i="2"/>
  <c r="O1152" i="2"/>
  <c r="K1151" i="2"/>
  <c r="C1150" i="2"/>
  <c r="O1148" i="2"/>
  <c r="E1148" i="2"/>
  <c r="M1147" i="2"/>
  <c r="C1147" i="2"/>
  <c r="C1146" i="2"/>
  <c r="I1145" i="2"/>
  <c r="G1144" i="2"/>
  <c r="E1143" i="2"/>
  <c r="K1142" i="2"/>
  <c r="I1141" i="2"/>
  <c r="G1140" i="2"/>
  <c r="M1139" i="2"/>
  <c r="C1139" i="2"/>
  <c r="K1138" i="2"/>
  <c r="G1132" i="2"/>
  <c r="C1131" i="2"/>
  <c r="K1127" i="2"/>
  <c r="C1122" i="2"/>
  <c r="O1121" i="2"/>
  <c r="G1120" i="2"/>
  <c r="I1118" i="2"/>
  <c r="E1112" i="2"/>
  <c r="G1109" i="2"/>
  <c r="K1106" i="2"/>
  <c r="I1105" i="2"/>
  <c r="M1104" i="2"/>
  <c r="M1103" i="2"/>
  <c r="K1103" i="2"/>
  <c r="C1102" i="2"/>
  <c r="I1097" i="2"/>
  <c r="G1096" i="2"/>
  <c r="M1095" i="2"/>
  <c r="K1095" i="2"/>
  <c r="I1094" i="2"/>
  <c r="K1094" i="2"/>
  <c r="O1093" i="2"/>
  <c r="O1092" i="2"/>
  <c r="M1092" i="2"/>
  <c r="C1091" i="2"/>
  <c r="G1088" i="2"/>
  <c r="E1087" i="2"/>
  <c r="I1086" i="2"/>
  <c r="K1086" i="2"/>
  <c r="I1085" i="2"/>
  <c r="G1085" i="2"/>
  <c r="M1084" i="2"/>
  <c r="M1083" i="2"/>
  <c r="K1083" i="2"/>
  <c r="O1081" i="2"/>
  <c r="E1079" i="2"/>
  <c r="C1078" i="2"/>
  <c r="I1077" i="2"/>
  <c r="G1077" i="2"/>
  <c r="G1076" i="2"/>
  <c r="E1076" i="2"/>
  <c r="K1075" i="2"/>
  <c r="I1074" i="2"/>
  <c r="K1074" i="2"/>
  <c r="M1072" i="2"/>
  <c r="O1113" i="2"/>
  <c r="E1097" i="3"/>
  <c r="G1096" i="3"/>
  <c r="G1088" i="3"/>
  <c r="K1084" i="3"/>
  <c r="G1077" i="3"/>
  <c r="K1073" i="3"/>
  <c r="E1069" i="3"/>
  <c r="G1069" i="3"/>
  <c r="F1085" i="4"/>
  <c r="AC1064" i="5"/>
  <c r="AB1060" i="5"/>
  <c r="AC1055" i="5"/>
  <c r="AC1051" i="5"/>
  <c r="AB1049" i="5"/>
  <c r="AB1025" i="5"/>
  <c r="AC1020" i="5"/>
  <c r="AB1019" i="5"/>
  <c r="AC1017" i="5"/>
  <c r="AC991" i="5"/>
  <c r="AB990" i="5"/>
  <c r="AB974" i="5"/>
  <c r="AB952" i="5"/>
  <c r="L1125" i="2"/>
  <c r="J1125" i="2"/>
  <c r="B1125" i="2"/>
  <c r="N1123" i="2"/>
  <c r="F1121" i="2"/>
  <c r="D1120" i="2"/>
  <c r="H1119" i="2"/>
  <c r="J1119" i="2"/>
  <c r="H1118" i="2"/>
  <c r="F1118" i="2"/>
  <c r="L1117" i="2"/>
  <c r="J1117" i="2"/>
  <c r="H1116" i="2"/>
  <c r="J1116" i="2"/>
  <c r="N1115" i="2"/>
  <c r="J1114" i="2"/>
  <c r="B1114" i="2"/>
  <c r="L1111" i="2"/>
  <c r="D1111" i="2"/>
  <c r="F1103" i="2"/>
  <c r="F1102" i="2"/>
  <c r="N1099" i="2"/>
  <c r="N1097" i="2"/>
  <c r="N1095" i="2"/>
  <c r="F1095" i="2"/>
  <c r="F1093" i="2"/>
  <c r="F1091" i="2"/>
  <c r="N1089" i="2"/>
  <c r="N1086" i="2"/>
  <c r="N1085" i="2"/>
  <c r="F1085" i="2"/>
  <c r="F1082" i="2"/>
  <c r="F1081" i="2"/>
  <c r="N1078" i="2"/>
  <c r="N1075" i="2"/>
  <c r="N1074" i="2"/>
  <c r="F1074" i="2"/>
  <c r="F1071" i="2"/>
  <c r="B1115" i="3"/>
  <c r="F1111" i="3"/>
  <c r="F1110" i="3"/>
  <c r="B1107" i="3"/>
  <c r="F1103" i="3"/>
  <c r="F1102" i="3"/>
  <c r="B1099" i="3"/>
  <c r="F1095" i="3"/>
  <c r="F1094" i="3"/>
  <c r="F1092" i="3"/>
  <c r="F1089" i="3"/>
  <c r="F1087" i="3"/>
  <c r="H1085" i="3"/>
  <c r="J1083" i="3"/>
  <c r="B1082" i="3"/>
  <c r="F1078" i="3"/>
  <c r="F1076" i="3"/>
  <c r="F1073" i="3"/>
  <c r="F1071" i="3"/>
  <c r="F1069" i="3"/>
  <c r="G1117" i="4"/>
  <c r="H1117" i="4"/>
  <c r="I1117" i="4"/>
  <c r="E1116" i="4"/>
  <c r="G1115" i="4"/>
  <c r="D1114" i="4"/>
  <c r="E1114" i="4"/>
  <c r="I1113" i="4"/>
  <c r="E1112" i="4"/>
  <c r="I1112" i="4"/>
  <c r="G1111" i="4"/>
  <c r="I1111" i="4"/>
  <c r="C1110" i="4"/>
  <c r="D1110" i="4"/>
  <c r="E1110" i="4"/>
  <c r="G1109" i="4"/>
  <c r="H1109" i="4"/>
  <c r="I1109" i="4"/>
  <c r="C1108" i="4"/>
  <c r="D1108" i="4"/>
  <c r="E1108" i="4"/>
  <c r="H1107" i="4"/>
  <c r="I1107" i="4"/>
  <c r="C1106" i="4"/>
  <c r="D1106" i="4"/>
  <c r="F1105" i="4"/>
  <c r="G1105" i="4"/>
  <c r="H1105" i="4"/>
  <c r="C1104" i="4"/>
  <c r="D1104" i="4"/>
  <c r="E1104" i="4"/>
  <c r="G1103" i="4"/>
  <c r="I1103" i="4"/>
  <c r="B1103" i="4"/>
  <c r="D1102" i="4"/>
  <c r="E1102" i="4"/>
  <c r="G1101" i="4"/>
  <c r="H1101" i="4"/>
  <c r="D1100" i="4"/>
  <c r="G1099" i="4"/>
  <c r="H1099" i="4"/>
  <c r="I1099" i="4"/>
  <c r="D1098" i="4"/>
  <c r="E1098" i="4"/>
  <c r="H1097" i="4"/>
  <c r="I1097" i="4"/>
  <c r="C1096" i="4"/>
  <c r="D1096" i="4"/>
  <c r="G1095" i="4"/>
  <c r="I1095" i="4"/>
  <c r="C1094" i="4"/>
  <c r="D1094" i="4"/>
  <c r="E1094" i="4"/>
  <c r="G1093" i="4"/>
  <c r="H1093" i="4"/>
  <c r="C1092" i="4"/>
  <c r="D1092" i="4"/>
  <c r="E1092" i="4"/>
  <c r="H1091" i="4"/>
  <c r="C1090" i="4"/>
  <c r="D1090" i="4"/>
  <c r="E1090" i="4"/>
  <c r="I1090" i="4"/>
  <c r="H1089" i="4"/>
  <c r="C1088" i="4"/>
  <c r="D1088" i="4"/>
  <c r="E1088" i="4"/>
  <c r="G1087" i="4"/>
  <c r="H1087" i="4"/>
  <c r="C1086" i="4"/>
  <c r="D1086" i="4"/>
  <c r="E1086" i="4"/>
  <c r="G1085" i="4"/>
  <c r="C1084" i="4"/>
  <c r="D1084" i="4"/>
  <c r="E1084" i="4"/>
  <c r="G1083" i="4"/>
  <c r="C1082" i="4"/>
  <c r="D1082" i="4"/>
  <c r="E1082" i="4"/>
  <c r="H1082" i="4"/>
  <c r="G1081" i="4"/>
  <c r="C1080" i="4"/>
  <c r="D1080" i="4"/>
  <c r="H1079" i="4"/>
  <c r="I1079" i="4"/>
  <c r="C1078" i="4"/>
  <c r="D1078" i="4"/>
  <c r="I1077" i="4"/>
  <c r="C1076" i="4"/>
  <c r="D1076" i="4"/>
  <c r="I1075" i="4"/>
  <c r="C1074" i="4"/>
  <c r="E1074" i="4"/>
  <c r="I1073" i="4"/>
  <c r="C1072" i="4"/>
  <c r="E1072" i="4"/>
  <c r="H1071" i="4"/>
  <c r="I1071" i="4"/>
  <c r="C1070" i="4"/>
  <c r="E1070" i="4"/>
  <c r="AB1055" i="5"/>
  <c r="AB1032" i="5"/>
  <c r="AB991" i="5"/>
  <c r="AB984" i="5"/>
  <c r="AB961" i="5"/>
  <c r="AB953" i="5"/>
  <c r="M1132" i="2"/>
  <c r="M1128" i="2"/>
  <c r="E1124" i="2"/>
  <c r="I1121" i="2"/>
  <c r="O1116" i="2"/>
  <c r="G1112" i="2"/>
  <c r="I1110" i="2"/>
  <c r="M1107" i="2"/>
  <c r="O1105" i="2"/>
  <c r="E1103" i="2"/>
  <c r="G1101" i="2"/>
  <c r="M1096" i="2"/>
  <c r="C1116" i="4"/>
  <c r="H1115" i="4"/>
  <c r="C1114" i="4"/>
  <c r="G1113" i="4"/>
  <c r="H1111" i="4"/>
  <c r="AC1053" i="5"/>
  <c r="AC1048" i="5"/>
  <c r="AC1040" i="5"/>
  <c r="AC1038" i="5"/>
  <c r="AB1038" i="5"/>
  <c r="AC1024" i="5"/>
  <c r="AB1017" i="5"/>
  <c r="AC1008" i="5"/>
  <c r="AB1008" i="5"/>
  <c r="AC1002" i="5"/>
  <c r="AB1002" i="5"/>
  <c r="AC1000" i="5"/>
  <c r="AB996" i="5"/>
  <c r="AC989" i="5"/>
  <c r="AB986" i="5"/>
  <c r="AC985" i="5"/>
  <c r="AB967" i="5"/>
  <c r="AC966" i="5"/>
  <c r="AB954" i="5"/>
  <c r="H1130" i="2"/>
  <c r="D1085" i="2"/>
  <c r="B1085" i="2"/>
  <c r="D1084" i="2"/>
  <c r="B1084" i="2"/>
  <c r="F1083" i="2"/>
  <c r="H1083" i="2"/>
  <c r="D1082" i="2"/>
  <c r="H1082" i="2"/>
  <c r="J1081" i="2"/>
  <c r="L1080" i="2"/>
  <c r="J1080" i="2"/>
  <c r="H1080" i="2"/>
  <c r="J1079" i="2"/>
  <c r="H1079" i="2"/>
  <c r="L1078" i="2"/>
  <c r="N1077" i="2"/>
  <c r="L1077" i="2"/>
  <c r="J1077" i="2"/>
  <c r="B1077" i="2"/>
  <c r="L1076" i="2"/>
  <c r="D1076" i="2"/>
  <c r="B1076" i="2"/>
  <c r="B1075" i="2"/>
  <c r="D1074" i="2"/>
  <c r="F1073" i="2"/>
  <c r="D1073" i="2"/>
  <c r="B1073" i="2"/>
  <c r="D1072" i="2"/>
  <c r="H1072" i="2"/>
  <c r="J1071" i="2"/>
  <c r="H1071" i="2"/>
  <c r="J1117" i="3"/>
  <c r="J1116" i="3"/>
  <c r="H1114" i="3"/>
  <c r="H1113" i="3"/>
  <c r="B1110" i="3"/>
  <c r="J1109" i="3"/>
  <c r="J1108" i="3"/>
  <c r="H1106" i="3"/>
  <c r="H1105" i="3"/>
  <c r="B1102" i="3"/>
  <c r="J1101" i="3"/>
  <c r="J1100" i="3"/>
  <c r="H1098" i="3"/>
  <c r="H1097" i="3"/>
  <c r="B1094" i="3"/>
  <c r="H1092" i="3"/>
  <c r="H1090" i="3"/>
  <c r="J1090" i="3"/>
  <c r="B1089" i="3"/>
  <c r="J1088" i="3"/>
  <c r="H1087" i="3"/>
  <c r="B1087" i="3"/>
  <c r="J1085" i="3"/>
  <c r="B1084" i="3"/>
  <c r="H1076" i="3"/>
  <c r="H1074" i="3"/>
  <c r="J1074" i="3"/>
  <c r="B1073" i="3"/>
  <c r="J1072" i="3"/>
  <c r="H1071" i="3"/>
  <c r="B1071" i="3"/>
  <c r="J1069" i="3"/>
  <c r="AC1056" i="5"/>
  <c r="AB1044" i="5"/>
  <c r="AC1039" i="5"/>
  <c r="AB1028" i="5"/>
  <c r="AC1023" i="5"/>
  <c r="AB1012" i="5"/>
  <c r="AC1007" i="5"/>
  <c r="AB1001" i="5"/>
  <c r="AC993" i="5"/>
  <c r="AB992" i="5"/>
  <c r="AC986" i="5"/>
  <c r="AB969" i="5"/>
  <c r="AB942" i="5"/>
  <c r="AB935" i="5"/>
  <c r="AB931" i="5"/>
  <c r="AB913" i="5"/>
  <c r="AB910" i="5"/>
  <c r="AB894" i="5"/>
  <c r="AB870" i="5"/>
  <c r="AB861" i="5"/>
  <c r="AB845" i="5"/>
  <c r="AB838" i="5"/>
  <c r="AB837" i="5"/>
  <c r="AB829" i="5"/>
  <c r="AB806" i="5"/>
  <c r="AB805" i="5"/>
  <c r="AB797" i="5"/>
  <c r="AB763" i="5"/>
  <c r="AB755" i="5"/>
  <c r="AB747" i="5"/>
  <c r="AB739" i="5"/>
  <c r="AC983" i="5"/>
  <c r="AB982" i="5"/>
  <c r="AC979" i="5"/>
  <c r="AB975" i="5"/>
  <c r="AC965" i="5"/>
  <c r="AB962" i="5"/>
  <c r="AC961" i="5"/>
  <c r="AB960" i="5"/>
  <c r="AC954" i="5"/>
  <c r="AC951" i="5"/>
  <c r="AB950" i="5"/>
  <c r="AC947" i="5"/>
  <c r="AB943" i="5"/>
  <c r="AC940" i="5"/>
  <c r="AB939" i="5"/>
  <c r="AB934" i="5"/>
  <c r="AC933" i="5"/>
  <c r="AC924" i="5"/>
  <c r="AC921" i="5"/>
  <c r="AB921" i="5"/>
  <c r="AC919" i="5"/>
  <c r="AB919" i="5"/>
  <c r="AB911" i="5"/>
  <c r="AB902" i="5"/>
  <c r="AC900" i="5"/>
  <c r="AB893" i="5"/>
  <c r="AC882" i="5"/>
  <c r="AB875" i="5"/>
  <c r="AC870" i="5"/>
  <c r="AC869" i="5"/>
  <c r="AB864" i="5"/>
  <c r="AC862" i="5"/>
  <c r="AC861" i="5"/>
  <c r="AC857" i="5"/>
  <c r="AB857" i="5"/>
  <c r="AC855" i="5"/>
  <c r="AC854" i="5"/>
  <c r="AB854" i="5"/>
  <c r="AC852" i="5"/>
  <c r="AB851" i="5"/>
  <c r="AB843" i="5"/>
  <c r="AC838" i="5"/>
  <c r="AC837" i="5"/>
  <c r="AB832" i="5"/>
  <c r="AC830" i="5"/>
  <c r="AC829" i="5"/>
  <c r="AC825" i="5"/>
  <c r="AB825" i="5"/>
  <c r="AC823" i="5"/>
  <c r="AC822" i="5"/>
  <c r="AB822" i="5"/>
  <c r="AC820" i="5"/>
  <c r="AB819" i="5"/>
  <c r="AB811" i="5"/>
  <c r="AC806" i="5"/>
  <c r="AC805" i="5"/>
  <c r="AB800" i="5"/>
  <c r="AC798" i="5"/>
  <c r="AC797" i="5"/>
  <c r="AC793" i="5"/>
  <c r="AB793" i="5"/>
  <c r="AC791" i="5"/>
  <c r="AC790" i="5"/>
  <c r="AB790" i="5"/>
  <c r="AC788" i="5"/>
  <c r="AB787" i="5"/>
  <c r="AC775" i="5"/>
  <c r="AC987" i="5"/>
  <c r="AB983" i="5"/>
  <c r="AC980" i="5"/>
  <c r="AB979" i="5"/>
  <c r="AC973" i="5"/>
  <c r="AB970" i="5"/>
  <c r="AC969" i="5"/>
  <c r="AB968" i="5"/>
  <c r="AC962" i="5"/>
  <c r="AC959" i="5"/>
  <c r="AB958" i="5"/>
  <c r="AC955" i="5"/>
  <c r="AB951" i="5"/>
  <c r="AC948" i="5"/>
  <c r="AB947" i="5"/>
  <c r="AC941" i="5"/>
  <c r="AB938" i="5"/>
  <c r="AC937" i="5"/>
  <c r="AB932" i="5"/>
  <c r="AC912" i="5"/>
  <c r="AB907" i="5"/>
  <c r="AC902" i="5"/>
  <c r="AC901" i="5"/>
  <c r="AB899" i="5"/>
  <c r="AC894" i="5"/>
  <c r="AC893" i="5"/>
  <c r="AC887" i="5"/>
  <c r="AC886" i="5"/>
  <c r="AB886" i="5"/>
  <c r="AC884" i="5"/>
  <c r="AB883" i="5"/>
  <c r="AB877" i="5"/>
  <c r="AB869" i="5"/>
  <c r="AC867" i="5"/>
  <c r="AC866" i="5"/>
  <c r="AC859" i="5"/>
  <c r="AB859" i="5"/>
  <c r="AB849" i="5"/>
  <c r="AC835" i="5"/>
  <c r="AC834" i="5"/>
  <c r="AC827" i="5"/>
  <c r="AB827" i="5"/>
  <c r="AC826" i="5"/>
  <c r="AB817" i="5"/>
  <c r="AC802" i="5"/>
  <c r="AB795" i="5"/>
  <c r="AC794" i="5"/>
  <c r="AB785" i="5"/>
  <c r="AB774" i="5"/>
  <c r="AB773" i="5"/>
  <c r="AC981" i="5"/>
  <c r="AB978" i="5"/>
  <c r="AC977" i="5"/>
  <c r="AB976" i="5"/>
  <c r="AC970" i="5"/>
  <c r="AC967" i="5"/>
  <c r="AB966" i="5"/>
  <c r="AC963" i="5"/>
  <c r="AB959" i="5"/>
  <c r="AC949" i="5"/>
  <c r="AB946" i="5"/>
  <c r="AC945" i="5"/>
  <c r="AB944" i="5"/>
  <c r="AC938" i="5"/>
  <c r="AC935" i="5"/>
  <c r="AC931" i="5"/>
  <c r="AC927" i="5"/>
  <c r="AB924" i="5"/>
  <c r="AC920" i="5"/>
  <c r="AB909" i="5"/>
  <c r="AB901" i="5"/>
  <c r="AC899" i="5"/>
  <c r="AC898" i="5"/>
  <c r="AC891" i="5"/>
  <c r="AB891" i="5"/>
  <c r="AB881" i="5"/>
  <c r="AC879" i="5"/>
  <c r="AB878" i="5"/>
  <c r="AC875" i="5"/>
  <c r="AC871" i="5"/>
  <c r="AC864" i="5"/>
  <c r="AC863" i="5"/>
  <c r="AB862" i="5"/>
  <c r="AC856" i="5"/>
  <c r="AB856" i="5"/>
  <c r="AC853" i="5"/>
  <c r="AB846" i="5"/>
  <c r="AC839" i="5"/>
  <c r="AC832" i="5"/>
  <c r="AC831" i="5"/>
  <c r="AB830" i="5"/>
  <c r="AC824" i="5"/>
  <c r="AB824" i="5"/>
  <c r="AC821" i="5"/>
  <c r="AB814" i="5"/>
  <c r="AC807" i="5"/>
  <c r="AB801" i="5"/>
  <c r="AC800" i="5"/>
  <c r="AC799" i="5"/>
  <c r="AB798" i="5"/>
  <c r="AC795" i="5"/>
  <c r="AC792" i="5"/>
  <c r="AB792" i="5"/>
  <c r="AC789" i="5"/>
  <c r="AC774" i="5"/>
  <c r="AC773" i="5"/>
  <c r="AB768" i="5"/>
  <c r="AC766" i="5"/>
  <c r="AB766" i="5"/>
  <c r="AC761" i="5"/>
  <c r="AB760" i="5"/>
  <c r="AC758" i="5"/>
  <c r="AB758" i="5"/>
  <c r="AC753" i="5"/>
  <c r="AB752" i="5"/>
  <c r="AC750" i="5"/>
  <c r="AB750" i="5"/>
  <c r="AC745" i="5"/>
  <c r="AB744" i="5"/>
  <c r="AC742" i="5"/>
  <c r="AB742" i="5"/>
  <c r="AC737" i="5"/>
  <c r="AB736" i="5"/>
  <c r="AC734" i="5"/>
  <c r="AB734" i="5"/>
  <c r="AC729" i="5"/>
  <c r="AB728" i="5"/>
  <c r="AC726" i="5"/>
  <c r="AC720" i="5"/>
  <c r="AC705" i="5"/>
  <c r="AB704" i="5"/>
  <c r="AC702" i="5"/>
  <c r="AB702" i="5"/>
  <c r="AC697" i="5"/>
  <c r="AB696" i="5"/>
  <c r="AC694" i="5"/>
  <c r="AC686" i="5"/>
  <c r="AC680" i="5"/>
  <c r="AB675" i="5"/>
  <c r="AC674" i="5"/>
  <c r="AC666" i="5"/>
  <c r="AC641" i="5"/>
  <c r="AB640" i="5"/>
  <c r="AC638" i="5"/>
  <c r="AB638" i="5"/>
  <c r="AC633" i="5"/>
  <c r="AB632" i="5"/>
  <c r="AC630" i="5"/>
  <c r="AC622" i="5"/>
  <c r="AC607" i="5"/>
  <c r="AC605" i="5"/>
  <c r="AB601" i="5"/>
  <c r="U1118" i="5"/>
  <c r="E1118" i="5"/>
  <c r="AC597" i="5"/>
  <c r="AB596" i="5"/>
  <c r="X1118" i="5"/>
  <c r="H1118" i="5"/>
  <c r="E1117" i="5"/>
  <c r="AC568" i="5"/>
  <c r="Q1116" i="5"/>
  <c r="I1116" i="5"/>
  <c r="X1116" i="5"/>
  <c r="P1116" i="5"/>
  <c r="H1116" i="5"/>
  <c r="R1115" i="5"/>
  <c r="J1115" i="5"/>
  <c r="U1115" i="5"/>
  <c r="E1115" i="5"/>
  <c r="AB553" i="5"/>
  <c r="J1114" i="5"/>
  <c r="AC548" i="5"/>
  <c r="X1114" i="5"/>
  <c r="P1114" i="5"/>
  <c r="AC536" i="5"/>
  <c r="AB536" i="5"/>
  <c r="AB532" i="5"/>
  <c r="AC531" i="5"/>
  <c r="AB531" i="5"/>
  <c r="AC528" i="5"/>
  <c r="AB524" i="5"/>
  <c r="R1112" i="5"/>
  <c r="J1112" i="5"/>
  <c r="X1112" i="5"/>
  <c r="P1112" i="5"/>
  <c r="H1112" i="5"/>
  <c r="AC518" i="5"/>
  <c r="AB513" i="5"/>
  <c r="AC511" i="5"/>
  <c r="AC497" i="5"/>
  <c r="U1110" i="5"/>
  <c r="E1110" i="5"/>
  <c r="AB492" i="5"/>
  <c r="AC486" i="5"/>
  <c r="AC484" i="5"/>
  <c r="AC477" i="5"/>
  <c r="AB476" i="5"/>
  <c r="AC467" i="5"/>
  <c r="AC463" i="5"/>
  <c r="AC460" i="5"/>
  <c r="AC446" i="5"/>
  <c r="R1106" i="5"/>
  <c r="J1106" i="5"/>
  <c r="AC444" i="5"/>
  <c r="AC441" i="5"/>
  <c r="AC439" i="5"/>
  <c r="AC437" i="5"/>
  <c r="S1105" i="5"/>
  <c r="K1105" i="5"/>
  <c r="AC433" i="5"/>
  <c r="AB433" i="5"/>
  <c r="AC427" i="5"/>
  <c r="AB427" i="5"/>
  <c r="AC414" i="5"/>
  <c r="AB412" i="5"/>
  <c r="AC410" i="5"/>
  <c r="AC408" i="5"/>
  <c r="AC401" i="5"/>
  <c r="AB401" i="5"/>
  <c r="AC395" i="5"/>
  <c r="AB395" i="5"/>
  <c r="AC382" i="5"/>
  <c r="AB380" i="5"/>
  <c r="AC378" i="5"/>
  <c r="AC375" i="5"/>
  <c r="AB370" i="5"/>
  <c r="AC365" i="5"/>
  <c r="AB360" i="5"/>
  <c r="AB342" i="5"/>
  <c r="W1096" i="5"/>
  <c r="G1096" i="5"/>
  <c r="AC326" i="5"/>
  <c r="AB323" i="5"/>
  <c r="AC318" i="5"/>
  <c r="AC302" i="5"/>
  <c r="AC274" i="5"/>
  <c r="AB274" i="5"/>
  <c r="AC262" i="5"/>
  <c r="AB232" i="5"/>
  <c r="AB718" i="5"/>
  <c r="AB716" i="5"/>
  <c r="AB707" i="5"/>
  <c r="AB665" i="5"/>
  <c r="AB660" i="5"/>
  <c r="AB654" i="5"/>
  <c r="AB652" i="5"/>
  <c r="AB643" i="5"/>
  <c r="AB603" i="5"/>
  <c r="AB598" i="5"/>
  <c r="AB582" i="5"/>
  <c r="AB574" i="5"/>
  <c r="T1116" i="5"/>
  <c r="L1116" i="5"/>
  <c r="AB570" i="5"/>
  <c r="T1114" i="5"/>
  <c r="L1114" i="5"/>
  <c r="D1114" i="5"/>
  <c r="AB526" i="5"/>
  <c r="AB521" i="5"/>
  <c r="V1112" i="5"/>
  <c r="Q1112" i="5"/>
  <c r="I1112" i="5"/>
  <c r="AB505" i="5"/>
  <c r="AB489" i="5"/>
  <c r="AB484" i="5"/>
  <c r="W1109" i="5"/>
  <c r="O1109" i="5"/>
  <c r="G1109" i="5"/>
  <c r="AB444" i="5"/>
  <c r="AB432" i="5"/>
  <c r="AB388" i="5"/>
  <c r="AB369" i="5"/>
  <c r="AB363" i="5"/>
  <c r="AB350" i="5"/>
  <c r="AB344" i="5"/>
  <c r="AB314" i="5"/>
  <c r="AB307" i="5"/>
  <c r="AB286" i="5"/>
  <c r="AB278" i="5"/>
  <c r="AB267" i="5"/>
  <c r="AB769" i="5"/>
  <c r="AC768" i="5"/>
  <c r="AC765" i="5"/>
  <c r="AC763" i="5"/>
  <c r="AC757" i="5"/>
  <c r="AC755" i="5"/>
  <c r="AC749" i="5"/>
  <c r="AC747" i="5"/>
  <c r="AC741" i="5"/>
  <c r="AC739" i="5"/>
  <c r="AC733" i="5"/>
  <c r="AB729" i="5"/>
  <c r="AC727" i="5"/>
  <c r="AC725" i="5"/>
  <c r="AB724" i="5"/>
  <c r="AC718" i="5"/>
  <c r="AC715" i="5"/>
  <c r="AC703" i="5"/>
  <c r="AC701" i="5"/>
  <c r="AB697" i="5"/>
  <c r="AC695" i="5"/>
  <c r="AC693" i="5"/>
  <c r="AB692" i="5"/>
  <c r="AC687" i="5"/>
  <c r="AC676" i="5"/>
  <c r="AC668" i="5"/>
  <c r="AB667" i="5"/>
  <c r="AB662" i="5"/>
  <c r="AC660" i="5"/>
  <c r="AB659" i="5"/>
  <c r="AB657" i="5"/>
  <c r="AC639" i="5"/>
  <c r="AC637" i="5"/>
  <c r="AB633" i="5"/>
  <c r="AC631" i="5"/>
  <c r="AC629" i="5"/>
  <c r="AB628" i="5"/>
  <c r="AC623" i="5"/>
  <c r="AC609" i="5"/>
  <c r="AC606" i="5"/>
  <c r="AB606" i="5"/>
  <c r="AC601" i="5"/>
  <c r="AB600" i="5"/>
  <c r="AC598" i="5"/>
  <c r="T1118" i="5"/>
  <c r="L1118" i="5"/>
  <c r="D1118" i="5"/>
  <c r="AC590" i="5"/>
  <c r="AC578" i="5"/>
  <c r="AC570" i="5"/>
  <c r="AB568" i="5"/>
  <c r="AC558" i="5"/>
  <c r="AB558" i="5"/>
  <c r="AC552" i="5"/>
  <c r="AB552" i="5"/>
  <c r="AB548" i="5"/>
  <c r="AC542" i="5"/>
  <c r="AC532" i="5"/>
  <c r="V1113" i="5"/>
  <c r="F1113" i="5"/>
  <c r="AC523" i="5"/>
  <c r="W1112" i="5"/>
  <c r="AC517" i="5"/>
  <c r="G1112" i="5"/>
  <c r="AB511" i="5"/>
  <c r="AC510" i="5"/>
  <c r="AB510" i="5"/>
  <c r="AB502" i="5"/>
  <c r="AC491" i="5"/>
  <c r="AB487" i="5"/>
  <c r="Q1109" i="5"/>
  <c r="I1109" i="5"/>
  <c r="Q1108" i="5"/>
  <c r="I1108" i="5"/>
  <c r="AC475" i="5"/>
  <c r="AB472" i="5"/>
  <c r="AB470" i="5"/>
  <c r="AB466" i="5"/>
  <c r="AB458" i="5"/>
  <c r="X1106" i="5"/>
  <c r="P1106" i="5"/>
  <c r="H1106" i="5"/>
  <c r="AB447" i="5"/>
  <c r="AC445" i="5"/>
  <c r="AC436" i="5"/>
  <c r="AC432" i="5"/>
  <c r="AC426" i="5"/>
  <c r="AB414" i="5"/>
  <c r="AC406" i="5"/>
  <c r="AB405" i="5"/>
  <c r="AC400" i="5"/>
  <c r="W1101" i="5"/>
  <c r="G1101" i="5"/>
  <c r="AB382" i="5"/>
  <c r="AC367" i="5"/>
  <c r="AC361" i="5"/>
  <c r="U1098" i="5"/>
  <c r="AB355" i="5"/>
  <c r="S1098" i="5"/>
  <c r="X1097" i="5"/>
  <c r="P1097" i="5"/>
  <c r="AC342" i="5"/>
  <c r="AB339" i="5"/>
  <c r="AC331" i="5"/>
  <c r="AC329" i="5"/>
  <c r="AB326" i="5"/>
  <c r="AB320" i="5"/>
  <c r="AB318" i="5"/>
  <c r="AC313" i="5"/>
  <c r="AB299" i="5"/>
  <c r="AC291" i="5"/>
  <c r="AC286" i="5"/>
  <c r="AC283" i="5"/>
  <c r="AB283" i="5"/>
  <c r="AC278" i="5"/>
  <c r="AC275" i="5"/>
  <c r="AB275" i="5"/>
  <c r="AC273" i="5"/>
  <c r="AB273" i="5"/>
  <c r="AC260" i="5"/>
  <c r="AB260" i="5"/>
  <c r="AC239" i="5"/>
  <c r="AB765" i="5"/>
  <c r="AC764" i="5"/>
  <c r="AB757" i="5"/>
  <c r="AC756" i="5"/>
  <c r="AB749" i="5"/>
  <c r="AC748" i="5"/>
  <c r="AB741" i="5"/>
  <c r="AC740" i="5"/>
  <c r="AC732" i="5"/>
  <c r="AB726" i="5"/>
  <c r="AC724" i="5"/>
  <c r="AB723" i="5"/>
  <c r="AB721" i="5"/>
  <c r="AC714" i="5"/>
  <c r="AC710" i="5"/>
  <c r="AC700" i="5"/>
  <c r="AB694" i="5"/>
  <c r="AC692" i="5"/>
  <c r="AB680" i="5"/>
  <c r="AC678" i="5"/>
  <c r="AB678" i="5"/>
  <c r="AC673" i="5"/>
  <c r="AC670" i="5"/>
  <c r="AB670" i="5"/>
  <c r="AC665" i="5"/>
  <c r="AB664" i="5"/>
  <c r="AC662" i="5"/>
  <c r="AC650" i="5"/>
  <c r="AC646" i="5"/>
  <c r="AC636" i="5"/>
  <c r="AB630" i="5"/>
  <c r="AC628" i="5"/>
  <c r="AB611" i="5"/>
  <c r="AC610" i="5"/>
  <c r="AC602" i="5"/>
  <c r="X1117" i="5"/>
  <c r="P1117" i="5"/>
  <c r="H1117" i="5"/>
  <c r="AC586" i="5"/>
  <c r="AC579" i="5"/>
  <c r="AC575" i="5"/>
  <c r="AC573" i="5"/>
  <c r="G1116" i="5"/>
  <c r="U1116" i="5"/>
  <c r="AC571" i="5"/>
  <c r="AC569" i="5"/>
  <c r="AC567" i="5"/>
  <c r="R1116" i="5"/>
  <c r="J1116" i="5"/>
  <c r="X1115" i="5"/>
  <c r="P1115" i="5"/>
  <c r="H1115" i="5"/>
  <c r="W1115" i="5"/>
  <c r="G1115" i="5"/>
  <c r="AC555" i="5"/>
  <c r="AC547" i="5"/>
  <c r="AC545" i="5"/>
  <c r="AC535" i="5"/>
  <c r="AC533" i="5"/>
  <c r="AC530" i="5"/>
  <c r="AC526" i="5"/>
  <c r="AB518" i="5"/>
  <c r="E1111" i="5"/>
  <c r="AC507" i="5"/>
  <c r="AC503" i="5"/>
  <c r="AC492" i="5"/>
  <c r="AC489" i="5"/>
  <c r="W1108" i="5"/>
  <c r="O1108" i="5"/>
  <c r="G1108" i="5"/>
  <c r="AC476" i="5"/>
  <c r="AC473" i="5"/>
  <c r="AC471" i="5"/>
  <c r="X1108" i="5"/>
  <c r="H1108" i="5"/>
  <c r="AB468" i="5"/>
  <c r="AC466" i="5"/>
  <c r="AC458" i="5"/>
  <c r="AB457" i="5"/>
  <c r="V1106" i="5"/>
  <c r="AB455" i="5"/>
  <c r="AC452" i="5"/>
  <c r="AC443" i="5"/>
  <c r="AB438" i="5"/>
  <c r="AB434" i="5"/>
  <c r="AC429" i="5"/>
  <c r="AB426" i="5"/>
  <c r="AB424" i="5"/>
  <c r="AC407" i="5"/>
  <c r="T1102" i="5"/>
  <c r="L1102" i="5"/>
  <c r="D1102" i="5"/>
  <c r="AB402" i="5"/>
  <c r="AB394" i="5"/>
  <c r="AB392" i="5"/>
  <c r="AC374" i="5"/>
  <c r="AB373" i="5"/>
  <c r="AC370" i="5"/>
  <c r="AC368" i="5"/>
  <c r="AC362" i="5"/>
  <c r="AB352" i="5"/>
  <c r="AC350" i="5"/>
  <c r="V1097" i="5"/>
  <c r="Q1097" i="5"/>
  <c r="I1097" i="5"/>
  <c r="AC337" i="5"/>
  <c r="AB336" i="5"/>
  <c r="AB334" i="5"/>
  <c r="AB328" i="5"/>
  <c r="AC322" i="5"/>
  <c r="AB310" i="5"/>
  <c r="AC306" i="5"/>
  <c r="AB304" i="5"/>
  <c r="AB302" i="5"/>
  <c r="AB296" i="5"/>
  <c r="AC289" i="5"/>
  <c r="W1092" i="5"/>
  <c r="O1092" i="5"/>
  <c r="G1092" i="5"/>
  <c r="V1092" i="5"/>
  <c r="N1092" i="5"/>
  <c r="F1092" i="5"/>
  <c r="AB282" i="5"/>
  <c r="AC266" i="5"/>
  <c r="AB266" i="5"/>
  <c r="AB265" i="5"/>
  <c r="AC261" i="5"/>
  <c r="AB250" i="5"/>
  <c r="AB253" i="5"/>
  <c r="AC236" i="5"/>
  <c r="AB236" i="5"/>
  <c r="AC234" i="5"/>
  <c r="AB234" i="5"/>
  <c r="AB233" i="5"/>
  <c r="AC229" i="5"/>
  <c r="AC222" i="5"/>
  <c r="AC219" i="5"/>
  <c r="AB219" i="5"/>
  <c r="AB217" i="5"/>
  <c r="AC214" i="5"/>
  <c r="AC209" i="5"/>
  <c r="AB209" i="5"/>
  <c r="AC207" i="5"/>
  <c r="AC201" i="5"/>
  <c r="AC183" i="5"/>
  <c r="AC175" i="5"/>
  <c r="AB170" i="5"/>
  <c r="AC163" i="5"/>
  <c r="AC155" i="5"/>
  <c r="AB155" i="5"/>
  <c r="AC154" i="5"/>
  <c r="AB152" i="5"/>
  <c r="AC150" i="5"/>
  <c r="AC148" i="5"/>
  <c r="AB148" i="5"/>
  <c r="AB142" i="5"/>
  <c r="AC138" i="5"/>
  <c r="AC136" i="5"/>
  <c r="AB134" i="5"/>
  <c r="AC133" i="5"/>
  <c r="AC132" i="5"/>
  <c r="AC130" i="5"/>
  <c r="AB130" i="5"/>
  <c r="AC125" i="5"/>
  <c r="AB125" i="5"/>
  <c r="AC123" i="5"/>
  <c r="AB123" i="5"/>
  <c r="AB117" i="5"/>
  <c r="AC112" i="5"/>
  <c r="AB110" i="5"/>
  <c r="AC107" i="5"/>
  <c r="AB107" i="5"/>
  <c r="AB106" i="5"/>
  <c r="AC105" i="5"/>
  <c r="AB99" i="5"/>
  <c r="AB98" i="5"/>
  <c r="AC97" i="5"/>
  <c r="AB91" i="5"/>
  <c r="AB90" i="5"/>
  <c r="AC89" i="5"/>
  <c r="AB83" i="5"/>
  <c r="AB82" i="5"/>
  <c r="AC81" i="5"/>
  <c r="AB75" i="5"/>
  <c r="AB74" i="5"/>
  <c r="AB67" i="5"/>
  <c r="AB66" i="5"/>
  <c r="AC65" i="5"/>
  <c r="AB60" i="5"/>
  <c r="AB56" i="5"/>
  <c r="AB52" i="5"/>
  <c r="AB48" i="5"/>
  <c r="AB47" i="5"/>
  <c r="AB44" i="5"/>
  <c r="AB40" i="5"/>
  <c r="AB221" i="5"/>
  <c r="AB200" i="5"/>
  <c r="AB182" i="5"/>
  <c r="AB157" i="5"/>
  <c r="AB138" i="5"/>
  <c r="AB104" i="5"/>
  <c r="AB103" i="5"/>
  <c r="AB95" i="5"/>
  <c r="AB88" i="5"/>
  <c r="AB87" i="5"/>
  <c r="AB79" i="5"/>
  <c r="AB72" i="5"/>
  <c r="AB71" i="5"/>
  <c r="AB63" i="5"/>
  <c r="AB37" i="5"/>
  <c r="AB36" i="5"/>
  <c r="AC253" i="5"/>
  <c r="AB246" i="5"/>
  <c r="AC238" i="5"/>
  <c r="AC235" i="5"/>
  <c r="AB235" i="5"/>
  <c r="AC233" i="5"/>
  <c r="AC225" i="5"/>
  <c r="AB214" i="5"/>
  <c r="AB213" i="5"/>
  <c r="AC212" i="5"/>
  <c r="AC210" i="5"/>
  <c r="AB210" i="5"/>
  <c r="AC199" i="5"/>
  <c r="AC191" i="5"/>
  <c r="AC179" i="5"/>
  <c r="AC149" i="5"/>
  <c r="AB149" i="5"/>
  <c r="AC147" i="5"/>
  <c r="AB147" i="5"/>
  <c r="AC145" i="5"/>
  <c r="AC139" i="5"/>
  <c r="AC134" i="5"/>
  <c r="AB133" i="5"/>
  <c r="AC131" i="5"/>
  <c r="AB131" i="5"/>
  <c r="AC129" i="5"/>
  <c r="AC110" i="5"/>
  <c r="AC103" i="5"/>
  <c r="AC95" i="5"/>
  <c r="AC87" i="5"/>
  <c r="AC79" i="5"/>
  <c r="AC71" i="5"/>
  <c r="AC63" i="5"/>
  <c r="AB58" i="5"/>
  <c r="AB54" i="5"/>
  <c r="AB50" i="5"/>
  <c r="AC42" i="5"/>
  <c r="AB42" i="5"/>
  <c r="AC41" i="5"/>
  <c r="AC39" i="5"/>
  <c r="AC254" i="5"/>
  <c r="AC251" i="5"/>
  <c r="AB251" i="5"/>
  <c r="AC246" i="5"/>
  <c r="AC243" i="5"/>
  <c r="AB243" i="5"/>
  <c r="AC241" i="5"/>
  <c r="AB241" i="5"/>
  <c r="AC228" i="5"/>
  <c r="AB228" i="5"/>
  <c r="AC221" i="5"/>
  <c r="AC213" i="5"/>
  <c r="AB206" i="5"/>
  <c r="AC200" i="5"/>
  <c r="AB198" i="5"/>
  <c r="AC197" i="5"/>
  <c r="AB197" i="5"/>
  <c r="AC195" i="5"/>
  <c r="AB195" i="5"/>
  <c r="AC193" i="5"/>
  <c r="AC187" i="5"/>
  <c r="AB187" i="5"/>
  <c r="AC186" i="5"/>
  <c r="AB184" i="5"/>
  <c r="AC182" i="5"/>
  <c r="AC180" i="5"/>
  <c r="AB180" i="5"/>
  <c r="AB174" i="5"/>
  <c r="AC168" i="5"/>
  <c r="AC165" i="5"/>
  <c r="AB165" i="5"/>
  <c r="AC153" i="5"/>
  <c r="AC135" i="5"/>
  <c r="AB128" i="5"/>
  <c r="AC116" i="5"/>
  <c r="AC111" i="5"/>
  <c r="AC104" i="5"/>
  <c r="AB102" i="5"/>
  <c r="AC96" i="5"/>
  <c r="AB94" i="5"/>
  <c r="AC88" i="5"/>
  <c r="AB86" i="5"/>
  <c r="AC80" i="5"/>
  <c r="AB78" i="5"/>
  <c r="AC72" i="5"/>
  <c r="AB70" i="5"/>
  <c r="AC64" i="5"/>
  <c r="AB62" i="5"/>
  <c r="AB59" i="5"/>
  <c r="AB55" i="5"/>
  <c r="AB51" i="5"/>
  <c r="AC47" i="5"/>
  <c r="AB39" i="5"/>
  <c r="AC37" i="5"/>
  <c r="AB33" i="5"/>
  <c r="AB30" i="5"/>
  <c r="AC27" i="5"/>
  <c r="L1039" i="6"/>
  <c r="L1034" i="6"/>
  <c r="L1027" i="6"/>
  <c r="L1018" i="6"/>
  <c r="L1015" i="6"/>
  <c r="L1006" i="6"/>
  <c r="L996" i="6"/>
  <c r="L976" i="6"/>
  <c r="L964" i="6"/>
  <c r="L941" i="6"/>
  <c r="L934" i="6"/>
  <c r="L921" i="6"/>
  <c r="L912" i="6"/>
  <c r="L904" i="6"/>
  <c r="L900" i="6"/>
  <c r="L896" i="6"/>
  <c r="L877" i="6"/>
  <c r="L872" i="6"/>
  <c r="L854" i="6"/>
  <c r="L849" i="6"/>
  <c r="L828" i="6"/>
  <c r="L822" i="6"/>
  <c r="L814" i="6"/>
  <c r="L806" i="6"/>
  <c r="L804" i="6"/>
  <c r="L798" i="6"/>
  <c r="L796" i="6"/>
  <c r="L785" i="6"/>
  <c r="L778" i="6"/>
  <c r="L775" i="6"/>
  <c r="L752" i="6"/>
  <c r="L750" i="6"/>
  <c r="L744" i="6"/>
  <c r="L692" i="6"/>
  <c r="L685" i="6"/>
  <c r="L679" i="6"/>
  <c r="L675" i="6"/>
  <c r="L674" i="6"/>
  <c r="L664" i="6"/>
  <c r="L663" i="6"/>
  <c r="L655" i="6"/>
  <c r="L631" i="6"/>
  <c r="L625" i="6"/>
  <c r="L608" i="6"/>
  <c r="L579" i="6"/>
  <c r="L574" i="6"/>
  <c r="L552" i="6"/>
  <c r="L551" i="6"/>
  <c r="L497" i="6"/>
  <c r="L478" i="6"/>
  <c r="E1109" i="6"/>
  <c r="F1107" i="6"/>
  <c r="L471" i="6"/>
  <c r="AC35" i="5"/>
  <c r="AC34" i="5"/>
  <c r="AB28" i="5"/>
  <c r="AB27" i="5"/>
  <c r="AC25" i="5"/>
  <c r="L1065" i="6"/>
  <c r="L1052" i="6"/>
  <c r="L1022" i="6"/>
  <c r="L1019" i="6"/>
  <c r="L999" i="6"/>
  <c r="L995" i="6"/>
  <c r="L962" i="6"/>
  <c r="L958" i="6"/>
  <c r="L953" i="6"/>
  <c r="L938" i="6"/>
  <c r="L936" i="6"/>
  <c r="L898" i="6"/>
  <c r="L870" i="6"/>
  <c r="L865" i="6"/>
  <c r="L860" i="6"/>
  <c r="L857" i="6"/>
  <c r="L848" i="6"/>
  <c r="L842" i="6"/>
  <c r="L831" i="6"/>
  <c r="L825" i="6"/>
  <c r="L818" i="6"/>
  <c r="L809" i="6"/>
  <c r="L801" i="6"/>
  <c r="L791" i="6"/>
  <c r="L784" i="6"/>
  <c r="L782" i="6"/>
  <c r="L770" i="6"/>
  <c r="L761" i="6"/>
  <c r="L743" i="6"/>
  <c r="L740" i="6"/>
  <c r="L733" i="6"/>
  <c r="L726" i="6"/>
  <c r="L722" i="6"/>
  <c r="L709" i="6"/>
  <c r="L699" i="6"/>
  <c r="L673" i="6"/>
  <c r="L662" i="6"/>
  <c r="L659" i="6"/>
  <c r="L621" i="6"/>
  <c r="L615" i="6"/>
  <c r="L600" i="6"/>
  <c r="L596" i="6"/>
  <c r="L589" i="6"/>
  <c r="L584" i="6"/>
  <c r="L583" i="6"/>
  <c r="L566" i="6"/>
  <c r="L565" i="6"/>
  <c r="L556" i="6"/>
  <c r="L543" i="6"/>
  <c r="L531" i="6"/>
  <c r="L526" i="6"/>
  <c r="L518" i="6"/>
  <c r="T1109" i="6"/>
  <c r="L502" i="6"/>
  <c r="AC36" i="5"/>
  <c r="AB35" i="5"/>
  <c r="AC33" i="5"/>
  <c r="AC32" i="5"/>
  <c r="AB29" i="5"/>
  <c r="AB25" i="5"/>
  <c r="L1062" i="6"/>
  <c r="L1055" i="6"/>
  <c r="L1047" i="6"/>
  <c r="L1038" i="6"/>
  <c r="L1005" i="6"/>
  <c r="L992" i="6"/>
  <c r="L991" i="6"/>
  <c r="L988" i="6"/>
  <c r="L983" i="6"/>
  <c r="L974" i="6"/>
  <c r="L968" i="6"/>
  <c r="L967" i="6"/>
  <c r="L948" i="6"/>
  <c r="L940" i="6"/>
  <c r="L932" i="6"/>
  <c r="L919" i="6"/>
  <c r="L903" i="6"/>
  <c r="L884" i="6"/>
  <c r="L874" i="6"/>
  <c r="L871" i="6"/>
  <c r="L858" i="6"/>
  <c r="L844" i="6"/>
  <c r="L833" i="6"/>
  <c r="L820" i="6"/>
  <c r="L812" i="6"/>
  <c r="L810" i="6"/>
  <c r="L793" i="6"/>
  <c r="L783" i="6"/>
  <c r="L781" i="6"/>
  <c r="L780" i="6"/>
  <c r="L772" i="6"/>
  <c r="L769" i="6"/>
  <c r="L753" i="6"/>
  <c r="L751" i="6"/>
  <c r="L731" i="6"/>
  <c r="L728" i="6"/>
  <c r="L723" i="6"/>
  <c r="L720" i="6"/>
  <c r="L710" i="6"/>
  <c r="L703" i="6"/>
  <c r="L677" i="6"/>
  <c r="L676" i="6"/>
  <c r="L670" i="6"/>
  <c r="L653" i="6"/>
  <c r="L649" i="6"/>
  <c r="L640" i="6"/>
  <c r="L624" i="6"/>
  <c r="L598" i="6"/>
  <c r="L590" i="6"/>
  <c r="L582" i="6"/>
  <c r="L581" i="6"/>
  <c r="L573" i="6"/>
  <c r="L563" i="6"/>
  <c r="L554" i="6"/>
  <c r="L524" i="6"/>
  <c r="L523" i="6"/>
  <c r="L515" i="6"/>
  <c r="L481" i="6"/>
  <c r="L475" i="6"/>
  <c r="L459" i="6"/>
  <c r="L443" i="6"/>
  <c r="L433" i="6"/>
  <c r="L429" i="6"/>
  <c r="L416" i="6"/>
  <c r="L371" i="6"/>
  <c r="L366" i="6"/>
  <c r="L365" i="6"/>
  <c r="L362" i="6"/>
  <c r="L352" i="6"/>
  <c r="L351" i="6"/>
  <c r="L345" i="6"/>
  <c r="L303" i="6"/>
  <c r="N1093" i="6"/>
  <c r="L298" i="6"/>
  <c r="L297" i="6"/>
  <c r="L290" i="6"/>
  <c r="L289" i="6"/>
  <c r="L255" i="6"/>
  <c r="L254" i="6"/>
  <c r="L249" i="6"/>
  <c r="L243" i="6"/>
  <c r="L242" i="6"/>
  <c r="L236" i="6"/>
  <c r="L215" i="6"/>
  <c r="L214" i="6"/>
  <c r="L145" i="6"/>
  <c r="L139" i="6"/>
  <c r="L133" i="6"/>
  <c r="L107" i="6"/>
  <c r="L103" i="6"/>
  <c r="L97" i="6"/>
  <c r="L93" i="6"/>
  <c r="T1075" i="6"/>
  <c r="L89" i="6"/>
  <c r="L451" i="6"/>
  <c r="L439" i="6"/>
  <c r="L428" i="6"/>
  <c r="L424" i="6"/>
  <c r="L422" i="6"/>
  <c r="N1102" i="6"/>
  <c r="L418" i="6"/>
  <c r="L415" i="6"/>
  <c r="L398" i="6"/>
  <c r="L386" i="6"/>
  <c r="L385" i="6"/>
  <c r="L372" i="6"/>
  <c r="N1098" i="6"/>
  <c r="L360" i="6"/>
  <c r="L336" i="6"/>
  <c r="L335" i="6"/>
  <c r="N1094" i="6"/>
  <c r="L312" i="6"/>
  <c r="L288" i="6"/>
  <c r="L282" i="6"/>
  <c r="L281" i="6"/>
  <c r="L279" i="6"/>
  <c r="L270" i="6"/>
  <c r="L266" i="6"/>
  <c r="L265" i="6"/>
  <c r="L261" i="6"/>
  <c r="L252" i="6"/>
  <c r="L231" i="6"/>
  <c r="L230" i="6"/>
  <c r="L212" i="6"/>
  <c r="L207" i="6"/>
  <c r="L206" i="6"/>
  <c r="L177" i="6"/>
  <c r="L173" i="6"/>
  <c r="L155" i="6"/>
  <c r="L149" i="6"/>
  <c r="L108" i="6"/>
  <c r="L106" i="6"/>
  <c r="L94" i="6"/>
  <c r="L92" i="6"/>
  <c r="L87" i="6"/>
  <c r="E1104" i="6"/>
  <c r="N1101" i="6"/>
  <c r="L400" i="6"/>
  <c r="L391" i="6"/>
  <c r="L384" i="6"/>
  <c r="L383" i="6"/>
  <c r="N1099" i="6"/>
  <c r="L378" i="6"/>
  <c r="L377" i="6"/>
  <c r="T1097" i="6"/>
  <c r="L339" i="6"/>
  <c r="L334" i="6"/>
  <c r="L330" i="6"/>
  <c r="L329" i="6"/>
  <c r="L325" i="6"/>
  <c r="T1094" i="6"/>
  <c r="L273" i="6"/>
  <c r="F1085" i="6"/>
  <c r="T1084" i="6"/>
  <c r="L195" i="6"/>
  <c r="L181" i="6"/>
  <c r="L174" i="6"/>
  <c r="L550" i="6"/>
  <c r="L540" i="6"/>
  <c r="L539" i="6"/>
  <c r="L536" i="6"/>
  <c r="L522" i="6"/>
  <c r="L521" i="6"/>
  <c r="L505" i="6"/>
  <c r="L499" i="6"/>
  <c r="L494" i="6"/>
  <c r="L485" i="6"/>
  <c r="L473" i="6"/>
  <c r="L469" i="6"/>
  <c r="L462" i="6"/>
  <c r="L453" i="6"/>
  <c r="L446" i="6"/>
  <c r="L427" i="6"/>
  <c r="L423" i="6"/>
  <c r="L413" i="6"/>
  <c r="L410" i="6"/>
  <c r="L408" i="6"/>
  <c r="L406" i="6"/>
  <c r="L402" i="6"/>
  <c r="L382" i="6"/>
  <c r="L368" i="6"/>
  <c r="L367" i="6"/>
  <c r="L354" i="6"/>
  <c r="L353" i="6"/>
  <c r="E1096" i="6"/>
  <c r="L340" i="6"/>
  <c r="L323" i="6"/>
  <c r="L320" i="6"/>
  <c r="L319" i="6"/>
  <c r="L306" i="6"/>
  <c r="L305" i="6"/>
  <c r="L292" i="6"/>
  <c r="L283" i="6"/>
  <c r="L277" i="6"/>
  <c r="L260" i="6"/>
  <c r="L244" i="6"/>
  <c r="L239" i="6"/>
  <c r="L238" i="6"/>
  <c r="L226" i="6"/>
  <c r="L220" i="6"/>
  <c r="L199" i="6"/>
  <c r="L198" i="6"/>
  <c r="L193" i="6"/>
  <c r="L189" i="6"/>
  <c r="L161" i="6"/>
  <c r="L157" i="6"/>
  <c r="L140" i="6"/>
  <c r="L129" i="6"/>
  <c r="L123" i="6"/>
  <c r="L117" i="6"/>
  <c r="L105" i="6"/>
  <c r="L99" i="6"/>
  <c r="I1118" i="3"/>
  <c r="J1118" i="3"/>
  <c r="C1118" i="3"/>
  <c r="A1119" i="3"/>
  <c r="G1118" i="3"/>
  <c r="H1118" i="3"/>
  <c r="B1118" i="3"/>
  <c r="E1118" i="3"/>
  <c r="F1118" i="3"/>
  <c r="K1118" i="3"/>
  <c r="H1118" i="4"/>
  <c r="B1118" i="4"/>
  <c r="A1119" i="4"/>
  <c r="C1118" i="4"/>
  <c r="E1118" i="4"/>
  <c r="I1118" i="4"/>
  <c r="J1118" i="4"/>
  <c r="D1118" i="4"/>
  <c r="F1118" i="4"/>
  <c r="G1118" i="4"/>
  <c r="AB445" i="5"/>
  <c r="B1106" i="5"/>
  <c r="O1158" i="2"/>
  <c r="M1157" i="2"/>
  <c r="C1157" i="2"/>
  <c r="K1156" i="2"/>
  <c r="K1153" i="2"/>
  <c r="G1150" i="2"/>
  <c r="E1149" i="2"/>
  <c r="C1148" i="2"/>
  <c r="I1147" i="2"/>
  <c r="G1146" i="2"/>
  <c r="E1145" i="2"/>
  <c r="K1144" i="2"/>
  <c r="I1143" i="2"/>
  <c r="O1142" i="2"/>
  <c r="K1141" i="2"/>
  <c r="K1140" i="2"/>
  <c r="I1139" i="2"/>
  <c r="M1137" i="2"/>
  <c r="C1137" i="2"/>
  <c r="C1136" i="2"/>
  <c r="C1132" i="2"/>
  <c r="M1131" i="2"/>
  <c r="O1129" i="2"/>
  <c r="C1129" i="2"/>
  <c r="O1128" i="2"/>
  <c r="C1128" i="2"/>
  <c r="E1127" i="2"/>
  <c r="I1125" i="2"/>
  <c r="C1125" i="2"/>
  <c r="K1124" i="2"/>
  <c r="I1122" i="2"/>
  <c r="K1121" i="2"/>
  <c r="O1120" i="2"/>
  <c r="C1120" i="2"/>
  <c r="M1119" i="2"/>
  <c r="O1117" i="2"/>
  <c r="C1117" i="2"/>
  <c r="C1116" i="2"/>
  <c r="C1115" i="2"/>
  <c r="I1114" i="2"/>
  <c r="C1112" i="2"/>
  <c r="M1111" i="2"/>
  <c r="K1109" i="2"/>
  <c r="O1108" i="2"/>
  <c r="C1108" i="2"/>
  <c r="C1107" i="2"/>
  <c r="G1104" i="2"/>
  <c r="K1104" i="2"/>
  <c r="I1102" i="2"/>
  <c r="M1100" i="2"/>
  <c r="K1099" i="2"/>
  <c r="C1096" i="2"/>
  <c r="C1094" i="2"/>
  <c r="C1092" i="2"/>
  <c r="I1089" i="2"/>
  <c r="C1089" i="2"/>
  <c r="M1088" i="2"/>
  <c r="K1088" i="2"/>
  <c r="K1087" i="2"/>
  <c r="K1085" i="2"/>
  <c r="O1084" i="2"/>
  <c r="K1084" i="2"/>
  <c r="K1081" i="2"/>
  <c r="G1080" i="2"/>
  <c r="K1080" i="2"/>
  <c r="K1079" i="2"/>
  <c r="I1078" i="2"/>
  <c r="K1077" i="2"/>
  <c r="M1076" i="2"/>
  <c r="C1076" i="2"/>
  <c r="M1075" i="2"/>
  <c r="G1073" i="2"/>
  <c r="C1073" i="2"/>
  <c r="G1072" i="2"/>
  <c r="E1072" i="2"/>
  <c r="K1113" i="2"/>
  <c r="AB572" i="5"/>
  <c r="D1116" i="5"/>
  <c r="L470" i="6"/>
  <c r="D1107" i="6"/>
  <c r="L409" i="6"/>
  <c r="I1102" i="6"/>
  <c r="L369" i="6"/>
  <c r="F1098" i="6"/>
  <c r="D1157" i="2"/>
  <c r="L1156" i="2"/>
  <c r="J1156" i="2"/>
  <c r="J1155" i="2"/>
  <c r="D1153" i="2"/>
  <c r="L1152" i="2"/>
  <c r="J1152" i="2"/>
  <c r="B1151" i="2"/>
  <c r="L1149" i="2"/>
  <c r="D1148" i="2"/>
  <c r="J1148" i="2"/>
  <c r="B1147" i="2"/>
  <c r="L1145" i="2"/>
  <c r="L1144" i="2"/>
  <c r="J1144" i="2"/>
  <c r="J1143" i="2"/>
  <c r="L1141" i="2"/>
  <c r="D1140" i="2"/>
  <c r="J1140" i="2"/>
  <c r="B1139" i="2"/>
  <c r="D1137" i="2"/>
  <c r="D1135" i="2"/>
  <c r="J1134" i="2"/>
  <c r="L1133" i="2"/>
  <c r="J1132" i="2"/>
  <c r="L1131" i="2"/>
  <c r="J1131" i="2"/>
  <c r="N1130" i="2"/>
  <c r="B1130" i="2"/>
  <c r="L1129" i="2"/>
  <c r="B1129" i="2"/>
  <c r="B1128" i="2"/>
  <c r="D1127" i="2"/>
  <c r="D1126" i="2"/>
  <c r="B1126" i="2"/>
  <c r="D1125" i="2"/>
  <c r="J1124" i="2"/>
  <c r="D1123" i="2"/>
  <c r="L1122" i="2"/>
  <c r="J1122" i="2"/>
  <c r="J1121" i="2"/>
  <c r="L1120" i="2"/>
  <c r="B1120" i="2"/>
  <c r="N1119" i="2"/>
  <c r="L1119" i="2"/>
  <c r="B1119" i="2"/>
  <c r="D1118" i="2"/>
  <c r="B1118" i="2"/>
  <c r="D1117" i="2"/>
  <c r="D1116" i="2"/>
  <c r="L1115" i="2"/>
  <c r="G1158" i="2"/>
  <c r="K1157" i="2"/>
  <c r="I1155" i="2"/>
  <c r="O1154" i="2"/>
  <c r="M1153" i="2"/>
  <c r="C1153" i="2"/>
  <c r="C1152" i="2"/>
  <c r="I1151" i="2"/>
  <c r="M1149" i="2"/>
  <c r="K1149" i="2"/>
  <c r="K1148" i="2"/>
  <c r="O1146" i="2"/>
  <c r="M1145" i="2"/>
  <c r="K1145" i="2"/>
  <c r="C1144" i="2"/>
  <c r="G1142" i="2"/>
  <c r="M1141" i="2"/>
  <c r="C1141" i="2"/>
  <c r="O1138" i="2"/>
  <c r="K1137" i="2"/>
  <c r="G1136" i="2"/>
  <c r="E1136" i="2"/>
  <c r="K1134" i="2"/>
  <c r="I1133" i="2"/>
  <c r="K1133" i="2"/>
  <c r="K1132" i="2"/>
  <c r="K1131" i="2"/>
  <c r="K1130" i="2"/>
  <c r="K1128" i="2"/>
  <c r="C1126" i="2"/>
  <c r="G1125" i="2"/>
  <c r="G1124" i="2"/>
  <c r="K1122" i="2"/>
  <c r="C1121" i="2"/>
  <c r="M1120" i="2"/>
  <c r="K1119" i="2"/>
  <c r="C1118" i="2"/>
  <c r="K1117" i="2"/>
  <c r="G1116" i="2"/>
  <c r="K1116" i="2"/>
  <c r="E1115" i="2"/>
  <c r="K1110" i="2"/>
  <c r="O1109" i="2"/>
  <c r="M1108" i="2"/>
  <c r="C1106" i="2"/>
  <c r="G1105" i="2"/>
  <c r="C1105" i="2"/>
  <c r="C1104" i="2"/>
  <c r="K1102" i="2"/>
  <c r="I1101" i="2"/>
  <c r="C1101" i="2"/>
  <c r="K1100" i="2"/>
  <c r="M1099" i="2"/>
  <c r="K1098" i="2"/>
  <c r="O1097" i="2"/>
  <c r="K1097" i="2"/>
  <c r="E1096" i="2"/>
  <c r="C1095" i="2"/>
  <c r="G1093" i="2"/>
  <c r="C1093" i="2"/>
  <c r="G1092" i="2"/>
  <c r="K1092" i="2"/>
  <c r="K1091" i="2"/>
  <c r="K1090" i="2"/>
  <c r="K1089" i="2"/>
  <c r="C1088" i="2"/>
  <c r="M1087" i="2"/>
  <c r="C1085" i="2"/>
  <c r="G1084" i="2"/>
  <c r="C1084" i="2"/>
  <c r="E1083" i="2"/>
  <c r="I1082" i="2"/>
  <c r="I1081" i="2"/>
  <c r="C1081" i="2"/>
  <c r="C1080" i="2"/>
  <c r="C1077" i="2"/>
  <c r="K1076" i="2"/>
  <c r="C1075" i="2"/>
  <c r="C1074" i="2"/>
  <c r="O1073" i="2"/>
  <c r="K1072" i="2"/>
  <c r="G1113" i="2"/>
  <c r="E1071" i="2"/>
  <c r="F1104" i="6"/>
  <c r="S350" i="6"/>
  <c r="AC351" i="5"/>
  <c r="S322" i="6"/>
  <c r="S1094" i="6" s="1"/>
  <c r="Q1094" i="6"/>
  <c r="L1157" i="2"/>
  <c r="D1156" i="2"/>
  <c r="B1156" i="2"/>
  <c r="B1155" i="2"/>
  <c r="L1153" i="2"/>
  <c r="D1152" i="2"/>
  <c r="B1152" i="2"/>
  <c r="J1151" i="2"/>
  <c r="D1149" i="2"/>
  <c r="L1148" i="2"/>
  <c r="B1148" i="2"/>
  <c r="J1147" i="2"/>
  <c r="D1145" i="2"/>
  <c r="D1144" i="2"/>
  <c r="B1144" i="2"/>
  <c r="B1143" i="2"/>
  <c r="D1141" i="2"/>
  <c r="L1140" i="2"/>
  <c r="B1140" i="2"/>
  <c r="J1139" i="2"/>
  <c r="L1137" i="2"/>
  <c r="B1137" i="2"/>
  <c r="D1136" i="2"/>
  <c r="L1135" i="2"/>
  <c r="J1135" i="2"/>
  <c r="B1134" i="2"/>
  <c r="J1133" i="2"/>
  <c r="L1132" i="2"/>
  <c r="D1131" i="2"/>
  <c r="B1131" i="2"/>
  <c r="L1130" i="2"/>
  <c r="J1130" i="2"/>
  <c r="D1129" i="2"/>
  <c r="D1128" i="2"/>
  <c r="L1127" i="2"/>
  <c r="B1127" i="2"/>
  <c r="F1126" i="2"/>
  <c r="J1126" i="2"/>
  <c r="L1123" i="2"/>
  <c r="J1123" i="2"/>
  <c r="B1122" i="2"/>
  <c r="L1121" i="2"/>
  <c r="J1120" i="2"/>
  <c r="D1119" i="2"/>
  <c r="L1118" i="2"/>
  <c r="J1118" i="2"/>
  <c r="B1117" i="2"/>
  <c r="B1116" i="2"/>
  <c r="F1115" i="2"/>
  <c r="D1115" i="2"/>
  <c r="H1158" i="2"/>
  <c r="H1155" i="2"/>
  <c r="H1154" i="2"/>
  <c r="H1151" i="2"/>
  <c r="H1150" i="2"/>
  <c r="H1147" i="2"/>
  <c r="H1146" i="2"/>
  <c r="H1143" i="2"/>
  <c r="H1142" i="2"/>
  <c r="H1139" i="2"/>
  <c r="H1138" i="2"/>
  <c r="H1136" i="2"/>
  <c r="H1135" i="2"/>
  <c r="H1134" i="2"/>
  <c r="H1133" i="2"/>
  <c r="H1132" i="2"/>
  <c r="H1129" i="2"/>
  <c r="H1126" i="2"/>
  <c r="H1125" i="2"/>
  <c r="H1124" i="2"/>
  <c r="H1123" i="2"/>
  <c r="H1122" i="2"/>
  <c r="H1121" i="2"/>
  <c r="H1117" i="2"/>
  <c r="H1115" i="2"/>
  <c r="D1114" i="2"/>
  <c r="H1114" i="2"/>
  <c r="L1112" i="2"/>
  <c r="J1112" i="2"/>
  <c r="H1112" i="2"/>
  <c r="J1111" i="2"/>
  <c r="H1111" i="2"/>
  <c r="L1110" i="2"/>
  <c r="J1110" i="2"/>
  <c r="B1110" i="2"/>
  <c r="N1109" i="2"/>
  <c r="L1109" i="2"/>
  <c r="J1109" i="2"/>
  <c r="B1109" i="2"/>
  <c r="H1109" i="2"/>
  <c r="L1108" i="2"/>
  <c r="D1108" i="2"/>
  <c r="B1108" i="2"/>
  <c r="L1107" i="2"/>
  <c r="D1107" i="2"/>
  <c r="B1107" i="2"/>
  <c r="D1106" i="2"/>
  <c r="J1106" i="2"/>
  <c r="B1106" i="2"/>
  <c r="F1105" i="2"/>
  <c r="D1105" i="2"/>
  <c r="B1105" i="2"/>
  <c r="H1105" i="2"/>
  <c r="D1104" i="2"/>
  <c r="H1104" i="2"/>
  <c r="L1103" i="2"/>
  <c r="D1103" i="2"/>
  <c r="J1103" i="2"/>
  <c r="H1103" i="2"/>
  <c r="J1102" i="2"/>
  <c r="B1102" i="2"/>
  <c r="H1102" i="2"/>
  <c r="L1101" i="2"/>
  <c r="J1101" i="2"/>
  <c r="H1101" i="2"/>
  <c r="L1100" i="2"/>
  <c r="J1100" i="2"/>
  <c r="H1100" i="2"/>
  <c r="L1099" i="2"/>
  <c r="D1099" i="2"/>
  <c r="J1099" i="2"/>
  <c r="B1099" i="2"/>
  <c r="N1098" i="2"/>
  <c r="L1098" i="2"/>
  <c r="J1098" i="2"/>
  <c r="B1098" i="2"/>
  <c r="L1097" i="2"/>
  <c r="D1097" i="2"/>
  <c r="B1097" i="2"/>
  <c r="H1097" i="2"/>
  <c r="D1096" i="2"/>
  <c r="B1096" i="2"/>
  <c r="L1095" i="2"/>
  <c r="D1095" i="2"/>
  <c r="B1095" i="2"/>
  <c r="F1094" i="2"/>
  <c r="D1094" i="2"/>
  <c r="J1094" i="2"/>
  <c r="B1094" i="2"/>
  <c r="H1094" i="2"/>
  <c r="D1093" i="2"/>
  <c r="H1093" i="2"/>
  <c r="J1092" i="2"/>
  <c r="H1092" i="2"/>
  <c r="L1091" i="2"/>
  <c r="D1091" i="2"/>
  <c r="J1091" i="2"/>
  <c r="H1091" i="2"/>
  <c r="L1090" i="2"/>
  <c r="J1090" i="2"/>
  <c r="B1090" i="2"/>
  <c r="H1090" i="2"/>
  <c r="L1089" i="2"/>
  <c r="J1089" i="2"/>
  <c r="H1089" i="2"/>
  <c r="L1088" i="2"/>
  <c r="J1088" i="2"/>
  <c r="B1088" i="2"/>
  <c r="N1087" i="2"/>
  <c r="L1087" i="2"/>
  <c r="D1087" i="2"/>
  <c r="B1087" i="2"/>
  <c r="L1086" i="2"/>
  <c r="D1086" i="2"/>
  <c r="J1113" i="2"/>
  <c r="AB436" i="5"/>
  <c r="C1105" i="5"/>
  <c r="AB346" i="5"/>
  <c r="E1157" i="2"/>
  <c r="C1156" i="2"/>
  <c r="G1154" i="2"/>
  <c r="E1153" i="2"/>
  <c r="K1152" i="2"/>
  <c r="O1150" i="2"/>
  <c r="C1149" i="2"/>
  <c r="C1145" i="2"/>
  <c r="E1141" i="2"/>
  <c r="C1140" i="2"/>
  <c r="G1138" i="2"/>
  <c r="E1137" i="2"/>
  <c r="K1136" i="2"/>
  <c r="I1134" i="2"/>
  <c r="C1133" i="2"/>
  <c r="C1130" i="2"/>
  <c r="K1129" i="2"/>
  <c r="E1128" i="2"/>
  <c r="C1127" i="2"/>
  <c r="K1125" i="2"/>
  <c r="C1124" i="2"/>
  <c r="K1123" i="2"/>
  <c r="K1120" i="2"/>
  <c r="C1119" i="2"/>
  <c r="E1116" i="2"/>
  <c r="K1112" i="2"/>
  <c r="K1111" i="2"/>
  <c r="C1109" i="2"/>
  <c r="K1108" i="2"/>
  <c r="E1107" i="2"/>
  <c r="K1105" i="2"/>
  <c r="E1104" i="2"/>
  <c r="K1101" i="2"/>
  <c r="C1100" i="2"/>
  <c r="C1098" i="2"/>
  <c r="C1097" i="2"/>
  <c r="O1096" i="2"/>
  <c r="K1096" i="2"/>
  <c r="E1095" i="2"/>
  <c r="I1093" i="2"/>
  <c r="K1093" i="2"/>
  <c r="E1092" i="2"/>
  <c r="I1090" i="2"/>
  <c r="O1088" i="2"/>
  <c r="C1087" i="2"/>
  <c r="C1086" i="2"/>
  <c r="O1085" i="2"/>
  <c r="E1084" i="2"/>
  <c r="C1083" i="2"/>
  <c r="G1081" i="2"/>
  <c r="M1079" i="2"/>
  <c r="K1078" i="2"/>
  <c r="O1077" i="2"/>
  <c r="O1076" i="2"/>
  <c r="E1075" i="2"/>
  <c r="K1073" i="2"/>
  <c r="C1072" i="2"/>
  <c r="I1113" i="2"/>
  <c r="C1113" i="2"/>
  <c r="S504" i="6"/>
  <c r="S1110" i="6" s="1"/>
  <c r="Q1110" i="6"/>
  <c r="L426" i="6"/>
  <c r="L1103" i="6" s="1"/>
  <c r="E1103" i="6"/>
  <c r="K1117" i="3"/>
  <c r="C1117" i="3"/>
  <c r="I1116" i="3"/>
  <c r="K1116" i="3"/>
  <c r="C1116" i="3"/>
  <c r="E1116" i="3"/>
  <c r="G1116" i="3"/>
  <c r="C1115" i="3"/>
  <c r="E1115" i="3"/>
  <c r="G1115" i="3"/>
  <c r="K1114" i="3"/>
  <c r="C1114" i="3"/>
  <c r="G1114" i="3"/>
  <c r="K1113" i="3"/>
  <c r="C1113" i="3"/>
  <c r="E1113" i="3"/>
  <c r="G1113" i="3"/>
  <c r="K1112" i="3"/>
  <c r="C1112" i="3"/>
  <c r="E1112" i="3"/>
  <c r="I1111" i="3"/>
  <c r="K1111" i="3"/>
  <c r="E1111" i="3"/>
  <c r="G1111" i="3"/>
  <c r="C1110" i="3"/>
  <c r="E1110" i="3"/>
  <c r="G1110" i="3"/>
  <c r="K1109" i="3"/>
  <c r="C1109" i="3"/>
  <c r="I1108" i="3"/>
  <c r="K1108" i="3"/>
  <c r="C1108" i="3"/>
  <c r="E1108" i="3"/>
  <c r="G1108" i="3"/>
  <c r="C1107" i="3"/>
  <c r="E1107" i="3"/>
  <c r="G1107" i="3"/>
  <c r="K1106" i="3"/>
  <c r="C1106" i="3"/>
  <c r="G1106" i="3"/>
  <c r="K1105" i="3"/>
  <c r="C1105" i="3"/>
  <c r="E1105" i="3"/>
  <c r="G1105" i="3"/>
  <c r="K1104" i="3"/>
  <c r="C1104" i="3"/>
  <c r="E1104" i="3"/>
  <c r="I1103" i="3"/>
  <c r="K1103" i="3"/>
  <c r="E1103" i="3"/>
  <c r="G1103" i="3"/>
  <c r="C1102" i="3"/>
  <c r="E1102" i="3"/>
  <c r="G1102" i="3"/>
  <c r="K1101" i="3"/>
  <c r="C1101" i="3"/>
  <c r="I1100" i="3"/>
  <c r="K1100" i="3"/>
  <c r="C1100" i="3"/>
  <c r="E1100" i="3"/>
  <c r="G1100" i="3"/>
  <c r="C1099" i="3"/>
  <c r="E1099" i="3"/>
  <c r="G1099" i="3"/>
  <c r="K1098" i="3"/>
  <c r="C1098" i="3"/>
  <c r="G1098" i="3"/>
  <c r="K1097" i="3"/>
  <c r="C1097" i="3"/>
  <c r="G1097" i="3"/>
  <c r="K1096" i="3"/>
  <c r="C1096" i="3"/>
  <c r="E1096" i="3"/>
  <c r="I1095" i="3"/>
  <c r="K1095" i="3"/>
  <c r="E1095" i="3"/>
  <c r="G1095" i="3"/>
  <c r="C1094" i="3"/>
  <c r="E1094" i="3"/>
  <c r="G1094" i="3"/>
  <c r="K1093" i="3"/>
  <c r="C1093" i="3"/>
  <c r="E1093" i="3"/>
  <c r="I1092" i="3"/>
  <c r="K1092" i="3"/>
  <c r="C1092" i="3"/>
  <c r="E1092" i="3"/>
  <c r="G1092" i="3"/>
  <c r="K1091" i="3"/>
  <c r="C1091" i="3"/>
  <c r="E1091" i="3"/>
  <c r="G1091" i="3"/>
  <c r="K1090" i="3"/>
  <c r="C1090" i="3"/>
  <c r="G1090" i="3"/>
  <c r="I1089" i="3"/>
  <c r="C1089" i="3"/>
  <c r="E1089" i="3"/>
  <c r="G1089" i="3"/>
  <c r="I1088" i="3"/>
  <c r="K1088" i="3"/>
  <c r="K1087" i="3"/>
  <c r="C1087" i="3"/>
  <c r="E1087" i="3"/>
  <c r="G1087" i="3"/>
  <c r="K1086" i="3"/>
  <c r="C1086" i="3"/>
  <c r="E1086" i="3"/>
  <c r="K1085" i="3"/>
  <c r="C1085" i="3"/>
  <c r="E1085" i="3"/>
  <c r="G1085" i="3"/>
  <c r="C1084" i="3"/>
  <c r="E1084" i="3"/>
  <c r="G1084" i="3"/>
  <c r="I1083" i="3"/>
  <c r="K1083" i="3"/>
  <c r="E1083" i="3"/>
  <c r="G1083" i="3"/>
  <c r="C1082" i="3"/>
  <c r="E1082" i="3"/>
  <c r="G1082" i="3"/>
  <c r="I1081" i="3"/>
  <c r="K1081" i="3"/>
  <c r="E1081" i="3"/>
  <c r="G1081" i="3"/>
  <c r="I1080" i="3"/>
  <c r="K1080" i="3"/>
  <c r="C1080" i="3"/>
  <c r="E1080" i="3"/>
  <c r="G1080" i="3"/>
  <c r="K1079" i="3"/>
  <c r="C1079" i="3"/>
  <c r="G1079" i="3"/>
  <c r="I1078" i="3"/>
  <c r="K1078" i="3"/>
  <c r="C1078" i="3"/>
  <c r="E1078" i="3"/>
  <c r="G1078" i="3"/>
  <c r="K1077" i="3"/>
  <c r="C1077" i="3"/>
  <c r="E1077" i="3"/>
  <c r="I1076" i="3"/>
  <c r="K1076" i="3"/>
  <c r="C1076" i="3"/>
  <c r="E1076" i="3"/>
  <c r="G1076" i="3"/>
  <c r="K1075" i="3"/>
  <c r="C1075" i="3"/>
  <c r="E1075" i="3"/>
  <c r="G1075" i="3"/>
  <c r="K1074" i="3"/>
  <c r="C1074" i="3"/>
  <c r="G1074" i="3"/>
  <c r="I1073" i="3"/>
  <c r="C1073" i="3"/>
  <c r="E1073" i="3"/>
  <c r="G1073" i="3"/>
  <c r="I1072" i="3"/>
  <c r="K1072" i="3"/>
  <c r="K1071" i="3"/>
  <c r="C1071" i="3"/>
  <c r="E1071" i="3"/>
  <c r="G1071" i="3"/>
  <c r="K1070" i="3"/>
  <c r="C1070" i="3"/>
  <c r="E1070" i="3"/>
  <c r="N1158" i="2"/>
  <c r="F1158" i="2"/>
  <c r="N1157" i="2"/>
  <c r="F1157" i="2"/>
  <c r="N1154" i="2"/>
  <c r="F1154" i="2"/>
  <c r="N1153" i="2"/>
  <c r="F1153" i="2"/>
  <c r="N1150" i="2"/>
  <c r="F1150" i="2"/>
  <c r="N1149" i="2"/>
  <c r="F1149" i="2"/>
  <c r="N1146" i="2"/>
  <c r="F1146" i="2"/>
  <c r="N1145" i="2"/>
  <c r="F1145" i="2"/>
  <c r="N1142" i="2"/>
  <c r="F1142" i="2"/>
  <c r="N1141" i="2"/>
  <c r="F1141" i="2"/>
  <c r="N1138" i="2"/>
  <c r="F1138" i="2"/>
  <c r="N1137" i="2"/>
  <c r="F1137" i="2"/>
  <c r="F1135" i="2"/>
  <c r="F1134" i="2"/>
  <c r="N1131" i="2"/>
  <c r="N1129" i="2"/>
  <c r="N1127" i="2"/>
  <c r="F1127" i="2"/>
  <c r="F1125" i="2"/>
  <c r="F1123" i="2"/>
  <c r="N1121" i="2"/>
  <c r="N1118" i="2"/>
  <c r="N1117" i="2"/>
  <c r="F1117" i="2"/>
  <c r="F1114" i="2"/>
  <c r="N1110" i="2"/>
  <c r="N1107" i="2"/>
  <c r="N1106" i="2"/>
  <c r="F1106" i="2"/>
  <c r="F1113" i="2"/>
  <c r="I1117" i="3"/>
  <c r="I1114" i="3"/>
  <c r="I1113" i="3"/>
  <c r="I1110" i="3"/>
  <c r="I1109" i="3"/>
  <c r="I1106" i="3"/>
  <c r="I1105" i="3"/>
  <c r="I1102" i="3"/>
  <c r="I1101" i="3"/>
  <c r="I1098" i="3"/>
  <c r="I1097" i="3"/>
  <c r="I1094" i="3"/>
  <c r="I1093" i="3"/>
  <c r="I1090" i="3"/>
  <c r="I1087" i="3"/>
  <c r="I1085" i="3"/>
  <c r="I1082" i="3"/>
  <c r="I1079" i="3"/>
  <c r="I1077" i="3"/>
  <c r="I1074" i="3"/>
  <c r="I1071" i="3"/>
  <c r="I1069" i="3"/>
  <c r="AB936" i="5"/>
  <c r="B1086" i="2"/>
  <c r="J1082" i="2"/>
  <c r="D1079" i="2"/>
  <c r="J1078" i="2"/>
  <c r="D1075" i="2"/>
  <c r="H1073" i="2"/>
  <c r="H1113" i="2"/>
  <c r="F1112" i="3"/>
  <c r="F1108" i="3"/>
  <c r="F1101" i="3"/>
  <c r="F1100" i="3"/>
  <c r="F1097" i="3"/>
  <c r="F1096" i="3"/>
  <c r="F1093" i="3"/>
  <c r="F1091" i="3"/>
  <c r="F1090" i="3"/>
  <c r="F1088" i="3"/>
  <c r="F1085" i="3"/>
  <c r="F1083" i="3"/>
  <c r="F1082" i="3"/>
  <c r="F1080" i="3"/>
  <c r="F1077" i="3"/>
  <c r="F1075" i="3"/>
  <c r="F1074" i="3"/>
  <c r="F1072" i="3"/>
  <c r="AC1035" i="5"/>
  <c r="F1117" i="4"/>
  <c r="J1116" i="4"/>
  <c r="B1116" i="4"/>
  <c r="F1115" i="4"/>
  <c r="F1113" i="4"/>
  <c r="J1112" i="4"/>
  <c r="F1111" i="4"/>
  <c r="J1110" i="4"/>
  <c r="J1108" i="4"/>
  <c r="B1108" i="4"/>
  <c r="F1107" i="4"/>
  <c r="J1106" i="4"/>
  <c r="B1106" i="4"/>
  <c r="B1104" i="4"/>
  <c r="F1103" i="4"/>
  <c r="J1102" i="4"/>
  <c r="F1101" i="4"/>
  <c r="B1100" i="4"/>
  <c r="F1099" i="4"/>
  <c r="J1098" i="4"/>
  <c r="B1098" i="4"/>
  <c r="J1096" i="4"/>
  <c r="B1096" i="4"/>
  <c r="F1095" i="4"/>
  <c r="B1094" i="4"/>
  <c r="F1093" i="4"/>
  <c r="B1092" i="4"/>
  <c r="F1091" i="4"/>
  <c r="B1090" i="4"/>
  <c r="F1089" i="4"/>
  <c r="B1088" i="4"/>
  <c r="B1086" i="4"/>
  <c r="J1084" i="4"/>
  <c r="B1084" i="4"/>
  <c r="J1082" i="4"/>
  <c r="B1082" i="4"/>
  <c r="F1081" i="4"/>
  <c r="J1080" i="4"/>
  <c r="B1080" i="4"/>
  <c r="F1079" i="4"/>
  <c r="J1078" i="4"/>
  <c r="B1078" i="4"/>
  <c r="F1077" i="4"/>
  <c r="J1076" i="4"/>
  <c r="B1076" i="4"/>
  <c r="F1075" i="4"/>
  <c r="J1074" i="4"/>
  <c r="B1074" i="4"/>
  <c r="F1073" i="4"/>
  <c r="J1072" i="4"/>
  <c r="B1072" i="4"/>
  <c r="J1070" i="4"/>
  <c r="B1070" i="4"/>
  <c r="J1086" i="2"/>
  <c r="L1083" i="2"/>
  <c r="L1079" i="2"/>
  <c r="B1078" i="2"/>
  <c r="H1077" i="2"/>
  <c r="B1074" i="2"/>
  <c r="L1071" i="2"/>
  <c r="F1105" i="3"/>
  <c r="F1104" i="3"/>
  <c r="N1136" i="2"/>
  <c r="F1132" i="2"/>
  <c r="N1124" i="2"/>
  <c r="N1120" i="2"/>
  <c r="N1116" i="2"/>
  <c r="N1104" i="2"/>
  <c r="N1100" i="2"/>
  <c r="N1096" i="2"/>
  <c r="N1088" i="2"/>
  <c r="N1084" i="2"/>
  <c r="F1080" i="2"/>
  <c r="F1076" i="2"/>
  <c r="B1117" i="3"/>
  <c r="H1116" i="3"/>
  <c r="B1116" i="3"/>
  <c r="H1115" i="3"/>
  <c r="J1115" i="3"/>
  <c r="J1114" i="3"/>
  <c r="B1113" i="3"/>
  <c r="H1112" i="3"/>
  <c r="B1112" i="3"/>
  <c r="H1111" i="3"/>
  <c r="J1111" i="3"/>
  <c r="J1110" i="3"/>
  <c r="B1109" i="3"/>
  <c r="H1108" i="3"/>
  <c r="B1108" i="3"/>
  <c r="H1107" i="3"/>
  <c r="J1107" i="3"/>
  <c r="J1106" i="3"/>
  <c r="B1105" i="3"/>
  <c r="H1104" i="3"/>
  <c r="B1104" i="3"/>
  <c r="H1103" i="3"/>
  <c r="J1103" i="3"/>
  <c r="J1102" i="3"/>
  <c r="B1101" i="3"/>
  <c r="H1100" i="3"/>
  <c r="B1100" i="3"/>
  <c r="H1099" i="3"/>
  <c r="J1099" i="3"/>
  <c r="J1098" i="3"/>
  <c r="B1097" i="3"/>
  <c r="H1096" i="3"/>
  <c r="B1096" i="3"/>
  <c r="H1095" i="3"/>
  <c r="J1095" i="3"/>
  <c r="J1094" i="3"/>
  <c r="B1093" i="3"/>
  <c r="J1092" i="3"/>
  <c r="H1091" i="3"/>
  <c r="B1091" i="3"/>
  <c r="H1089" i="3"/>
  <c r="J1089" i="3"/>
  <c r="H1088" i="3"/>
  <c r="B1088" i="3"/>
  <c r="J1087" i="3"/>
  <c r="H1086" i="3"/>
  <c r="J1086" i="3"/>
  <c r="B1086" i="3"/>
  <c r="B1085" i="3"/>
  <c r="J1084" i="3"/>
  <c r="H1083" i="3"/>
  <c r="B1083" i="3"/>
  <c r="H1081" i="3"/>
  <c r="J1081" i="3"/>
  <c r="H1080" i="3"/>
  <c r="B1080" i="3"/>
  <c r="J1079" i="3"/>
  <c r="H1078" i="3"/>
  <c r="J1078" i="3"/>
  <c r="B1078" i="3"/>
  <c r="B1077" i="3"/>
  <c r="J1076" i="3"/>
  <c r="H1075" i="3"/>
  <c r="B1075" i="3"/>
  <c r="H1073" i="3"/>
  <c r="J1073" i="3"/>
  <c r="H1072" i="3"/>
  <c r="B1072" i="3"/>
  <c r="J1071" i="3"/>
  <c r="H1070" i="3"/>
  <c r="J1070" i="3"/>
  <c r="B1070" i="3"/>
  <c r="B1069" i="3"/>
  <c r="J1117" i="4"/>
  <c r="B1117" i="4"/>
  <c r="C1117" i="4"/>
  <c r="D1117" i="4"/>
  <c r="G1116" i="4"/>
  <c r="B1115" i="4"/>
  <c r="C1115" i="4"/>
  <c r="D1115" i="4"/>
  <c r="E1115" i="4"/>
  <c r="F1114" i="4"/>
  <c r="H1114" i="4"/>
  <c r="I1114" i="4"/>
  <c r="J1113" i="4"/>
  <c r="B1113" i="4"/>
  <c r="D1113" i="4"/>
  <c r="E1113" i="4"/>
  <c r="F1112" i="4"/>
  <c r="G1112" i="4"/>
  <c r="H1112" i="4"/>
  <c r="B1111" i="4"/>
  <c r="E1111" i="4"/>
  <c r="F1110" i="4"/>
  <c r="G1110" i="4"/>
  <c r="H1110" i="4"/>
  <c r="I1110" i="4"/>
  <c r="J1109" i="4"/>
  <c r="B1109" i="4"/>
  <c r="D1109" i="4"/>
  <c r="H1108" i="4"/>
  <c r="I1108" i="4"/>
  <c r="J1107" i="4"/>
  <c r="B1107" i="4"/>
  <c r="C1107" i="4"/>
  <c r="E1107" i="4"/>
  <c r="F1106" i="4"/>
  <c r="H1106" i="4"/>
  <c r="J1105" i="4"/>
  <c r="B1105" i="4"/>
  <c r="C1105" i="4"/>
  <c r="D1105" i="4"/>
  <c r="E1105" i="4"/>
  <c r="F1104" i="4"/>
  <c r="H1104" i="4"/>
  <c r="C1103" i="4"/>
  <c r="D1103" i="4"/>
  <c r="E1103" i="4"/>
  <c r="F1102" i="4"/>
  <c r="G1102" i="4"/>
  <c r="H1102" i="4"/>
  <c r="J1101" i="4"/>
  <c r="B1101" i="4"/>
  <c r="E1101" i="4"/>
  <c r="F1100" i="4"/>
  <c r="G1100" i="4"/>
  <c r="H1100" i="4"/>
  <c r="I1100" i="4"/>
  <c r="J1099" i="4"/>
  <c r="C1099" i="4"/>
  <c r="G1098" i="4"/>
  <c r="H1098" i="4"/>
  <c r="I1098" i="4"/>
  <c r="J1097" i="4"/>
  <c r="B1097" i="4"/>
  <c r="C1097" i="4"/>
  <c r="E1097" i="4"/>
  <c r="F1096" i="4"/>
  <c r="I1096" i="4"/>
  <c r="J1095" i="4"/>
  <c r="B1095" i="4"/>
  <c r="C1095" i="4"/>
  <c r="D1095" i="4"/>
  <c r="G1094" i="4"/>
  <c r="H1094" i="4"/>
  <c r="J1093" i="4"/>
  <c r="B1093" i="4"/>
  <c r="C1093" i="4"/>
  <c r="D1093" i="4"/>
  <c r="E1093" i="4"/>
  <c r="F1092" i="4"/>
  <c r="H1092" i="4"/>
  <c r="B1091" i="4"/>
  <c r="C1091" i="4"/>
  <c r="D1091" i="4"/>
  <c r="E1091" i="4"/>
  <c r="F1090" i="4"/>
  <c r="H1090" i="4"/>
  <c r="B1089" i="4"/>
  <c r="C1089" i="4"/>
  <c r="D1089" i="4"/>
  <c r="E1089" i="4"/>
  <c r="G1088" i="4"/>
  <c r="H1088" i="4"/>
  <c r="B1087" i="4"/>
  <c r="C1087" i="4"/>
  <c r="D1087" i="4"/>
  <c r="E1087" i="4"/>
  <c r="G1086" i="4"/>
  <c r="I1086" i="4"/>
  <c r="J1085" i="4"/>
  <c r="B1085" i="4"/>
  <c r="C1085" i="4"/>
  <c r="D1085" i="4"/>
  <c r="E1085" i="4"/>
  <c r="G1084" i="4"/>
  <c r="J1083" i="4"/>
  <c r="B1083" i="4"/>
  <c r="C1083" i="4"/>
  <c r="D1083" i="4"/>
  <c r="E1083" i="4"/>
  <c r="G1082" i="4"/>
  <c r="J1081" i="4"/>
  <c r="B1081" i="4"/>
  <c r="C1081" i="4"/>
  <c r="D1081" i="4"/>
  <c r="F1080" i="4"/>
  <c r="G1080" i="4"/>
  <c r="J1079" i="4"/>
  <c r="B1079" i="4"/>
  <c r="C1079" i="4"/>
  <c r="D1079" i="4"/>
  <c r="F1078" i="4"/>
  <c r="I1078" i="4"/>
  <c r="J1077" i="4"/>
  <c r="B1077" i="4"/>
  <c r="C1077" i="4"/>
  <c r="D1077" i="4"/>
  <c r="F1076" i="4"/>
  <c r="I1076" i="4"/>
  <c r="J1075" i="4"/>
  <c r="B1075" i="4"/>
  <c r="C1075" i="4"/>
  <c r="D1075" i="4"/>
  <c r="F1074" i="4"/>
  <c r="I1074" i="4"/>
  <c r="J1073" i="4"/>
  <c r="B1073" i="4"/>
  <c r="C1073" i="4"/>
  <c r="E1073" i="4"/>
  <c r="G1072" i="4"/>
  <c r="I1072" i="4"/>
  <c r="J1071" i="4"/>
  <c r="B1071" i="4"/>
  <c r="C1071" i="4"/>
  <c r="E1071" i="4"/>
  <c r="H1070" i="4"/>
  <c r="I1070" i="4"/>
  <c r="C1069" i="4"/>
  <c r="E1069" i="4"/>
  <c r="J1069" i="4"/>
  <c r="F1117" i="3"/>
  <c r="F1116" i="3"/>
  <c r="F1113" i="3"/>
  <c r="N1132" i="2"/>
  <c r="N1128" i="2"/>
  <c r="F1124" i="2"/>
  <c r="F1116" i="2"/>
  <c r="F1112" i="2"/>
  <c r="F1108" i="2"/>
  <c r="F1092" i="2"/>
  <c r="F1088" i="2"/>
  <c r="N1076" i="2"/>
  <c r="F1072" i="2"/>
  <c r="O1135" i="2"/>
  <c r="O1134" i="2"/>
  <c r="E1134" i="2"/>
  <c r="E1133" i="2"/>
  <c r="I1132" i="2"/>
  <c r="O1131" i="2"/>
  <c r="M1130" i="2"/>
  <c r="E1129" i="2"/>
  <c r="O1127" i="2"/>
  <c r="O1126" i="2"/>
  <c r="E1126" i="2"/>
  <c r="M1125" i="2"/>
  <c r="I1124" i="2"/>
  <c r="O1123" i="2"/>
  <c r="O1122" i="2"/>
  <c r="E1122" i="2"/>
  <c r="M1121" i="2"/>
  <c r="O1119" i="2"/>
  <c r="O1118" i="2"/>
  <c r="M1118" i="2"/>
  <c r="E1117" i="2"/>
  <c r="I1116" i="2"/>
  <c r="O1115" i="2"/>
  <c r="O1114" i="2"/>
  <c r="E1114" i="2"/>
  <c r="I1112" i="2"/>
  <c r="O1111" i="2"/>
  <c r="O1110" i="2"/>
  <c r="E1110" i="2"/>
  <c r="M1109" i="2"/>
  <c r="O1107" i="2"/>
  <c r="G1107" i="2"/>
  <c r="O1106" i="2"/>
  <c r="G1106" i="2"/>
  <c r="M1106" i="2"/>
  <c r="E1106" i="2"/>
  <c r="M1105" i="2"/>
  <c r="E1105" i="2"/>
  <c r="I1104" i="2"/>
  <c r="I1103" i="2"/>
  <c r="O1103" i="2"/>
  <c r="G1103" i="2"/>
  <c r="O1102" i="2"/>
  <c r="G1102" i="2"/>
  <c r="M1102" i="2"/>
  <c r="E1102" i="2"/>
  <c r="M1101" i="2"/>
  <c r="E1101" i="2"/>
  <c r="I1100" i="2"/>
  <c r="I1099" i="2"/>
  <c r="O1099" i="2"/>
  <c r="G1099" i="2"/>
  <c r="O1098" i="2"/>
  <c r="G1098" i="2"/>
  <c r="M1098" i="2"/>
  <c r="E1098" i="2"/>
  <c r="M1097" i="2"/>
  <c r="E1097" i="2"/>
  <c r="I1096" i="2"/>
  <c r="I1095" i="2"/>
  <c r="O1095" i="2"/>
  <c r="G1095" i="2"/>
  <c r="O1094" i="2"/>
  <c r="G1094" i="2"/>
  <c r="M1094" i="2"/>
  <c r="E1094" i="2"/>
  <c r="M1093" i="2"/>
  <c r="E1093" i="2"/>
  <c r="I1092" i="2"/>
  <c r="I1091" i="2"/>
  <c r="O1091" i="2"/>
  <c r="G1091" i="2"/>
  <c r="O1090" i="2"/>
  <c r="G1090" i="2"/>
  <c r="M1090" i="2"/>
  <c r="E1090" i="2"/>
  <c r="M1089" i="2"/>
  <c r="E1089" i="2"/>
  <c r="I1088" i="2"/>
  <c r="I1087" i="2"/>
  <c r="O1087" i="2"/>
  <c r="G1087" i="2"/>
  <c r="O1086" i="2"/>
  <c r="G1086" i="2"/>
  <c r="M1086" i="2"/>
  <c r="E1086" i="2"/>
  <c r="M1085" i="2"/>
  <c r="E1085" i="2"/>
  <c r="I1084" i="2"/>
  <c r="I1083" i="2"/>
  <c r="O1083" i="2"/>
  <c r="G1083" i="2"/>
  <c r="O1082" i="2"/>
  <c r="G1082" i="2"/>
  <c r="M1082" i="2"/>
  <c r="E1082" i="2"/>
  <c r="M1081" i="2"/>
  <c r="E1081" i="2"/>
  <c r="I1080" i="2"/>
  <c r="I1079" i="2"/>
  <c r="O1079" i="2"/>
  <c r="G1079" i="2"/>
  <c r="O1078" i="2"/>
  <c r="G1078" i="2"/>
  <c r="M1078" i="2"/>
  <c r="E1078" i="2"/>
  <c r="M1077" i="2"/>
  <c r="E1077" i="2"/>
  <c r="I1076" i="2"/>
  <c r="I1075" i="2"/>
  <c r="O1075" i="2"/>
  <c r="G1075" i="2"/>
  <c r="O1074" i="2"/>
  <c r="G1074" i="2"/>
  <c r="M1074" i="2"/>
  <c r="E1074" i="2"/>
  <c r="M1073" i="2"/>
  <c r="E1073" i="2"/>
  <c r="I1072" i="2"/>
  <c r="M1113" i="2"/>
  <c r="E1113" i="2"/>
  <c r="I1071" i="2"/>
  <c r="O1071" i="2"/>
  <c r="G1071" i="2"/>
  <c r="H1085" i="2"/>
  <c r="D1083" i="2"/>
  <c r="B1082" i="2"/>
  <c r="H1081" i="2"/>
  <c r="L1075" i="2"/>
  <c r="J1074" i="2"/>
  <c r="D1071" i="2"/>
  <c r="F1109" i="3"/>
  <c r="F1136" i="2"/>
  <c r="F1128" i="2"/>
  <c r="F1120" i="2"/>
  <c r="N1112" i="2"/>
  <c r="N1108" i="2"/>
  <c r="F1104" i="2"/>
  <c r="F1100" i="2"/>
  <c r="F1096" i="2"/>
  <c r="N1092" i="2"/>
  <c r="F1084" i="2"/>
  <c r="N1080" i="2"/>
  <c r="N1072" i="2"/>
  <c r="I1136" i="2"/>
  <c r="I1135" i="2"/>
  <c r="G1135" i="2"/>
  <c r="G1134" i="2"/>
  <c r="M1134" i="2"/>
  <c r="M1133" i="2"/>
  <c r="I1131" i="2"/>
  <c r="G1131" i="2"/>
  <c r="O1130" i="2"/>
  <c r="G1130" i="2"/>
  <c r="E1130" i="2"/>
  <c r="M1129" i="2"/>
  <c r="I1128" i="2"/>
  <c r="I1127" i="2"/>
  <c r="G1127" i="2"/>
  <c r="G1126" i="2"/>
  <c r="M1126" i="2"/>
  <c r="E1125" i="2"/>
  <c r="I1123" i="2"/>
  <c r="G1123" i="2"/>
  <c r="G1122" i="2"/>
  <c r="M1122" i="2"/>
  <c r="E1121" i="2"/>
  <c r="I1120" i="2"/>
  <c r="I1119" i="2"/>
  <c r="G1119" i="2"/>
  <c r="G1118" i="2"/>
  <c r="E1118" i="2"/>
  <c r="M1117" i="2"/>
  <c r="I1115" i="2"/>
  <c r="G1115" i="2"/>
  <c r="G1114" i="2"/>
  <c r="M1114" i="2"/>
  <c r="I1111" i="2"/>
  <c r="G1111" i="2"/>
  <c r="G1110" i="2"/>
  <c r="M1110" i="2"/>
  <c r="E1109" i="2"/>
  <c r="I1108" i="2"/>
  <c r="I1107" i="2"/>
  <c r="B1119" i="5"/>
  <c r="J1119" i="5"/>
  <c r="R1119" i="5"/>
  <c r="C1119" i="5"/>
  <c r="K1119" i="5"/>
  <c r="S1119" i="5"/>
  <c r="A1120" i="5"/>
  <c r="D1119" i="5"/>
  <c r="N1119" i="5"/>
  <c r="X1119" i="5"/>
  <c r="E1119" i="5"/>
  <c r="O1119" i="5"/>
  <c r="F1119" i="5"/>
  <c r="P1119" i="5"/>
  <c r="G1119" i="5"/>
  <c r="Q1119" i="5"/>
  <c r="H1119" i="5"/>
  <c r="T1119" i="5"/>
  <c r="W1119" i="5"/>
  <c r="I1119" i="5"/>
  <c r="L1119" i="5"/>
  <c r="U1119" i="5"/>
  <c r="V1119" i="5"/>
  <c r="M1119" i="5"/>
  <c r="AB850" i="5"/>
  <c r="AB818" i="5"/>
  <c r="AB781" i="5"/>
  <c r="AB780" i="5"/>
  <c r="AB778" i="5"/>
  <c r="AB776" i="5"/>
  <c r="AC529" i="5"/>
  <c r="N1113" i="5"/>
  <c r="D1116" i="4"/>
  <c r="D1112" i="4"/>
  <c r="AB1063" i="5"/>
  <c r="AB1062" i="5"/>
  <c r="AB1061" i="5"/>
  <c r="AB1031" i="5"/>
  <c r="AB1030" i="5"/>
  <c r="AB1029" i="5"/>
  <c r="AB1015" i="5"/>
  <c r="AB1014" i="5"/>
  <c r="AB1013" i="5"/>
  <c r="AB810" i="5"/>
  <c r="AB808" i="5"/>
  <c r="AB714" i="5"/>
  <c r="AC591" i="5"/>
  <c r="P1118" i="5"/>
  <c r="AC554" i="5"/>
  <c r="M1115" i="5"/>
  <c r="AB549" i="5"/>
  <c r="B1114" i="5"/>
  <c r="Q1114" i="5"/>
  <c r="I1114" i="5"/>
  <c r="AB522" i="5"/>
  <c r="B1112" i="5"/>
  <c r="AB485" i="5"/>
  <c r="AC469" i="5"/>
  <c r="P1108" i="5"/>
  <c r="AB813" i="5"/>
  <c r="AB812" i="5"/>
  <c r="AB631" i="5"/>
  <c r="AB597" i="5"/>
  <c r="AC915" i="5"/>
  <c r="AC1066" i="5"/>
  <c r="AB1066" i="5"/>
  <c r="AB1048" i="5"/>
  <c r="AC1003" i="5"/>
  <c r="AB926" i="5"/>
  <c r="AB925" i="5"/>
  <c r="AC584" i="5"/>
  <c r="R1109" i="5"/>
  <c r="J1109" i="5"/>
  <c r="AB483" i="5"/>
  <c r="AC478" i="5"/>
  <c r="AC464" i="5"/>
  <c r="M1107" i="5"/>
  <c r="AC454" i="5"/>
  <c r="O1106" i="5"/>
  <c r="AB454" i="5"/>
  <c r="G1106" i="5"/>
  <c r="AC330" i="5"/>
  <c r="O1096" i="5"/>
  <c r="AC1067" i="5"/>
  <c r="AB1026" i="5"/>
  <c r="AB999" i="5"/>
  <c r="AB998" i="5"/>
  <c r="AB997" i="5"/>
  <c r="AB693" i="5"/>
  <c r="AB1058" i="5"/>
  <c r="AB1057" i="5"/>
  <c r="AC1052" i="5"/>
  <c r="AB1051" i="5"/>
  <c r="AB1040" i="5"/>
  <c r="AC1034" i="5"/>
  <c r="AB1034" i="5"/>
  <c r="AB1023" i="5"/>
  <c r="AC1006" i="5"/>
  <c r="AB1006" i="5"/>
  <c r="AB994" i="5"/>
  <c r="AC972" i="5"/>
  <c r="AB971" i="5"/>
  <c r="AB930" i="5"/>
  <c r="AB928" i="5"/>
  <c r="AC896" i="5"/>
  <c r="AC888" i="5"/>
  <c r="AB888" i="5"/>
  <c r="AB788" i="5"/>
  <c r="AC772" i="5"/>
  <c r="AB731" i="5"/>
  <c r="AC643" i="5"/>
  <c r="V1115" i="5"/>
  <c r="N1115" i="5"/>
  <c r="AB556" i="5"/>
  <c r="F1115" i="5"/>
  <c r="AC527" i="5"/>
  <c r="M1112" i="5"/>
  <c r="AB523" i="5"/>
  <c r="AC1054" i="5"/>
  <c r="AB1054" i="5"/>
  <c r="AB1042" i="5"/>
  <c r="AB1041" i="5"/>
  <c r="AC1036" i="5"/>
  <c r="AB1035" i="5"/>
  <c r="AB1024" i="5"/>
  <c r="AC1018" i="5"/>
  <c r="AB1018" i="5"/>
  <c r="AB1007" i="5"/>
  <c r="AC988" i="5"/>
  <c r="AB987" i="5"/>
  <c r="AB839" i="5"/>
  <c r="W1117" i="5"/>
  <c r="O1117" i="5"/>
  <c r="AC581" i="5"/>
  <c r="G1117" i="5"/>
  <c r="AB566" i="5"/>
  <c r="B1116" i="5"/>
  <c r="AC560" i="5"/>
  <c r="O1115" i="5"/>
  <c r="AC1065" i="5"/>
  <c r="AB1046" i="5"/>
  <c r="AB1045" i="5"/>
  <c r="AC1037" i="5"/>
  <c r="AC1019" i="5"/>
  <c r="AC1001" i="5"/>
  <c r="AC964" i="5"/>
  <c r="AB963" i="5"/>
  <c r="AB807" i="5"/>
  <c r="AB690" i="5"/>
  <c r="AC580" i="5"/>
  <c r="M1117" i="5"/>
  <c r="AB569" i="5"/>
  <c r="AC1068" i="5"/>
  <c r="AB1067" i="5"/>
  <c r="AB1056" i="5"/>
  <c r="AC1050" i="5"/>
  <c r="AB1050" i="5"/>
  <c r="AB1039" i="5"/>
  <c r="AC1022" i="5"/>
  <c r="AB1022" i="5"/>
  <c r="AB1010" i="5"/>
  <c r="AB1009" i="5"/>
  <c r="AC1004" i="5"/>
  <c r="AB1003" i="5"/>
  <c r="AC956" i="5"/>
  <c r="AB955" i="5"/>
  <c r="AC914" i="5"/>
  <c r="AB786" i="5"/>
  <c r="AB775" i="5"/>
  <c r="AB727" i="5"/>
  <c r="AB650" i="5"/>
  <c r="AC599" i="5"/>
  <c r="M1118" i="5"/>
  <c r="R1118" i="5"/>
  <c r="J1118" i="5"/>
  <c r="AB594" i="5"/>
  <c r="B1118" i="5"/>
  <c r="I1118" i="5"/>
  <c r="AC514" i="5"/>
  <c r="M1111" i="5"/>
  <c r="S1107" i="5"/>
  <c r="K1107" i="5"/>
  <c r="AB460" i="5"/>
  <c r="C1107" i="5"/>
  <c r="AC356" i="5"/>
  <c r="M1098" i="5"/>
  <c r="AB356" i="5"/>
  <c r="E1098" i="5"/>
  <c r="AC346" i="5"/>
  <c r="O1097" i="5"/>
  <c r="AB988" i="5"/>
  <c r="AB980" i="5"/>
  <c r="AB972" i="5"/>
  <c r="AB964" i="5"/>
  <c r="AB956" i="5"/>
  <c r="AB948" i="5"/>
  <c r="AB940" i="5"/>
  <c r="AB933" i="5"/>
  <c r="AC922" i="5"/>
  <c r="AC916" i="5"/>
  <c r="AB915" i="5"/>
  <c r="AB896" i="5"/>
  <c r="AC889" i="5"/>
  <c r="AB889" i="5"/>
  <c r="AB882" i="5"/>
  <c r="AB871" i="5"/>
  <c r="AC858" i="5"/>
  <c r="AB844" i="5"/>
  <c r="AB842" i="5"/>
  <c r="AB840" i="5"/>
  <c r="AB833" i="5"/>
  <c r="AB820" i="5"/>
  <c r="AC804" i="5"/>
  <c r="AC796" i="5"/>
  <c r="AB789" i="5"/>
  <c r="AC786" i="5"/>
  <c r="AB771" i="5"/>
  <c r="AB695" i="5"/>
  <c r="AB658" i="5"/>
  <c r="AC648" i="5"/>
  <c r="AC644" i="5"/>
  <c r="AB635" i="5"/>
  <c r="AB618" i="5"/>
  <c r="AB608" i="5"/>
  <c r="AB571" i="5"/>
  <c r="AB486" i="5"/>
  <c r="V1109" i="5"/>
  <c r="AC481" i="5"/>
  <c r="N1109" i="5"/>
  <c r="F1109" i="5"/>
  <c r="AB464" i="5"/>
  <c r="U1102" i="5"/>
  <c r="AC397" i="5"/>
  <c r="M1102" i="5"/>
  <c r="E1102" i="5"/>
  <c r="AC347" i="5"/>
  <c r="N1097" i="5"/>
  <c r="AB347" i="5"/>
  <c r="F1097" i="5"/>
  <c r="AB1068" i="5"/>
  <c r="AB1052" i="5"/>
  <c r="AB1036" i="5"/>
  <c r="AB1020" i="5"/>
  <c r="AB1004" i="5"/>
  <c r="AC929" i="5"/>
  <c r="AC923" i="5"/>
  <c r="AB914" i="5"/>
  <c r="AB912" i="5"/>
  <c r="AB903" i="5"/>
  <c r="AC890" i="5"/>
  <c r="AB876" i="5"/>
  <c r="AB874" i="5"/>
  <c r="AB872" i="5"/>
  <c r="AB865" i="5"/>
  <c r="AB852" i="5"/>
  <c r="AC836" i="5"/>
  <c r="AC828" i="5"/>
  <c r="AB821" i="5"/>
  <c r="AC818" i="5"/>
  <c r="AB803" i="5"/>
  <c r="AC707" i="5"/>
  <c r="AB661" i="5"/>
  <c r="AB625" i="5"/>
  <c r="AB620" i="5"/>
  <c r="AB599" i="5"/>
  <c r="AB527" i="5"/>
  <c r="AB249" i="5"/>
  <c r="AB248" i="5"/>
  <c r="R1089" i="5"/>
  <c r="J1089" i="5"/>
  <c r="AB247" i="5"/>
  <c r="B1089" i="5"/>
  <c r="AB989" i="5"/>
  <c r="AB981" i="5"/>
  <c r="AB973" i="5"/>
  <c r="AB965" i="5"/>
  <c r="AB957" i="5"/>
  <c r="AB949" i="5"/>
  <c r="AB941" i="5"/>
  <c r="AC930" i="5"/>
  <c r="AB923" i="5"/>
  <c r="AB916" i="5"/>
  <c r="AB908" i="5"/>
  <c r="AB906" i="5"/>
  <c r="AB904" i="5"/>
  <c r="AB897" i="5"/>
  <c r="AB884" i="5"/>
  <c r="AC860" i="5"/>
  <c r="AB853" i="5"/>
  <c r="AB835" i="5"/>
  <c r="AC767" i="5"/>
  <c r="AC759" i="5"/>
  <c r="AC751" i="5"/>
  <c r="AC743" i="5"/>
  <c r="AC735" i="5"/>
  <c r="AB722" i="5"/>
  <c r="AC712" i="5"/>
  <c r="AC708" i="5"/>
  <c r="AB699" i="5"/>
  <c r="AB682" i="5"/>
  <c r="AB672" i="5"/>
  <c r="AC611" i="5"/>
  <c r="AB560" i="5"/>
  <c r="B1115" i="5"/>
  <c r="AC549" i="5"/>
  <c r="M1114" i="5"/>
  <c r="AB538" i="5"/>
  <c r="AB529" i="5"/>
  <c r="AC1060" i="5"/>
  <c r="AC1059" i="5"/>
  <c r="AB1053" i="5"/>
  <c r="AC1044" i="5"/>
  <c r="AC1043" i="5"/>
  <c r="AB1037" i="5"/>
  <c r="AC1028" i="5"/>
  <c r="AC1027" i="5"/>
  <c r="AB1021" i="5"/>
  <c r="AC1012" i="5"/>
  <c r="AC1011" i="5"/>
  <c r="AB1005" i="5"/>
  <c r="AC996" i="5"/>
  <c r="AC995" i="5"/>
  <c r="AB922" i="5"/>
  <c r="AB920" i="5"/>
  <c r="AC892" i="5"/>
  <c r="AB885" i="5"/>
  <c r="AB867" i="5"/>
  <c r="AB725" i="5"/>
  <c r="AB689" i="5"/>
  <c r="AB684" i="5"/>
  <c r="AB663" i="5"/>
  <c r="AB626" i="5"/>
  <c r="AC612" i="5"/>
  <c r="AB586" i="5"/>
  <c r="AB576" i="5"/>
  <c r="S1111" i="5"/>
  <c r="K1111" i="5"/>
  <c r="AB508" i="5"/>
  <c r="C1111" i="5"/>
  <c r="AB507" i="5"/>
  <c r="R1111" i="5"/>
  <c r="J1111" i="5"/>
  <c r="AB506" i="5"/>
  <c r="B1111" i="5"/>
  <c r="AC493" i="5"/>
  <c r="M1110" i="5"/>
  <c r="AC394" i="5"/>
  <c r="O1101" i="5"/>
  <c r="AB330" i="5"/>
  <c r="AC202" i="5"/>
  <c r="M1085" i="5"/>
  <c r="AB917" i="5"/>
  <c r="AC661" i="5"/>
  <c r="AB629" i="5"/>
  <c r="AB593" i="5"/>
  <c r="AB588" i="5"/>
  <c r="V1117" i="5"/>
  <c r="N1117" i="5"/>
  <c r="AB579" i="5"/>
  <c r="F1117" i="5"/>
  <c r="AB544" i="5"/>
  <c r="W1113" i="5"/>
  <c r="O1113" i="5"/>
  <c r="G1113" i="5"/>
  <c r="AC897" i="5"/>
  <c r="AB879" i="5"/>
  <c r="AC865" i="5"/>
  <c r="AB847" i="5"/>
  <c r="AC833" i="5"/>
  <c r="AB815" i="5"/>
  <c r="AC803" i="5"/>
  <c r="AC801" i="5"/>
  <c r="AB783" i="5"/>
  <c r="AC771" i="5"/>
  <c r="AC769" i="5"/>
  <c r="AC760" i="5"/>
  <c r="AC752" i="5"/>
  <c r="AC744" i="5"/>
  <c r="AC736" i="5"/>
  <c r="AC731" i="5"/>
  <c r="AB719" i="5"/>
  <c r="AB717" i="5"/>
  <c r="AC704" i="5"/>
  <c r="AC699" i="5"/>
  <c r="AB687" i="5"/>
  <c r="AB685" i="5"/>
  <c r="AC672" i="5"/>
  <c r="AC667" i="5"/>
  <c r="AB655" i="5"/>
  <c r="AB653" i="5"/>
  <c r="AC640" i="5"/>
  <c r="AC635" i="5"/>
  <c r="AB623" i="5"/>
  <c r="AB621" i="5"/>
  <c r="AC608" i="5"/>
  <c r="AC603" i="5"/>
  <c r="AC1119" i="5" s="1"/>
  <c r="AB591" i="5"/>
  <c r="AB589" i="5"/>
  <c r="AC576" i="5"/>
  <c r="AB565" i="5"/>
  <c r="AB543" i="5"/>
  <c r="AB539" i="5"/>
  <c r="AB504" i="5"/>
  <c r="AB443" i="5"/>
  <c r="AB900" i="5"/>
  <c r="AB898" i="5"/>
  <c r="AC883" i="5"/>
  <c r="AB868" i="5"/>
  <c r="AB866" i="5"/>
  <c r="AC851" i="5"/>
  <c r="AB836" i="5"/>
  <c r="AB834" i="5"/>
  <c r="AB804" i="5"/>
  <c r="AB802" i="5"/>
  <c r="AB772" i="5"/>
  <c r="AB770" i="5"/>
  <c r="AB761" i="5"/>
  <c r="AB753" i="5"/>
  <c r="AB745" i="5"/>
  <c r="AB737" i="5"/>
  <c r="AB732" i="5"/>
  <c r="AB730" i="5"/>
  <c r="AC713" i="5"/>
  <c r="AB705" i="5"/>
  <c r="AB700" i="5"/>
  <c r="AB698" i="5"/>
  <c r="AC681" i="5"/>
  <c r="AB673" i="5"/>
  <c r="AB668" i="5"/>
  <c r="AB666" i="5"/>
  <c r="AC649" i="5"/>
  <c r="AB641" i="5"/>
  <c r="AB636" i="5"/>
  <c r="AB634" i="5"/>
  <c r="AC617" i="5"/>
  <c r="AB609" i="5"/>
  <c r="AB604" i="5"/>
  <c r="AB602" i="5"/>
  <c r="AC585" i="5"/>
  <c r="AB577" i="5"/>
  <c r="AC559" i="5"/>
  <c r="AB550" i="5"/>
  <c r="AB528" i="5"/>
  <c r="AB512" i="5"/>
  <c r="AC500" i="5"/>
  <c r="AB491" i="5"/>
  <c r="AB475" i="5"/>
  <c r="AB446" i="5"/>
  <c r="AC420" i="5"/>
  <c r="AB420" i="5"/>
  <c r="AB368" i="5"/>
  <c r="AB256" i="5"/>
  <c r="AB255" i="5"/>
  <c r="AB202" i="5"/>
  <c r="AB177" i="5"/>
  <c r="AB166" i="5"/>
  <c r="AC910" i="5"/>
  <c r="AB895" i="5"/>
  <c r="AC881" i="5"/>
  <c r="AC878" i="5"/>
  <c r="AB863" i="5"/>
  <c r="AC849" i="5"/>
  <c r="AC846" i="5"/>
  <c r="AB831" i="5"/>
  <c r="AC819" i="5"/>
  <c r="AC817" i="5"/>
  <c r="AC814" i="5"/>
  <c r="AB799" i="5"/>
  <c r="AC787" i="5"/>
  <c r="AC785" i="5"/>
  <c r="AC782" i="5"/>
  <c r="AB767" i="5"/>
  <c r="AB759" i="5"/>
  <c r="AB751" i="5"/>
  <c r="AB743" i="5"/>
  <c r="AB735" i="5"/>
  <c r="AB733" i="5"/>
  <c r="AC716" i="5"/>
  <c r="AB703" i="5"/>
  <c r="AB701" i="5"/>
  <c r="AC688" i="5"/>
  <c r="AC684" i="5"/>
  <c r="AC683" i="5"/>
  <c r="AB671" i="5"/>
  <c r="AB669" i="5"/>
  <c r="AC656" i="5"/>
  <c r="AC654" i="5"/>
  <c r="AC652" i="5"/>
  <c r="AC651" i="5"/>
  <c r="AB639" i="5"/>
  <c r="AB637" i="5"/>
  <c r="AC624" i="5"/>
  <c r="AC620" i="5"/>
  <c r="AC619" i="5"/>
  <c r="AB607" i="5"/>
  <c r="AB605" i="5"/>
  <c r="AC592" i="5"/>
  <c r="AC588" i="5"/>
  <c r="AC587" i="5"/>
  <c r="AB575" i="5"/>
  <c r="AB573" i="5"/>
  <c r="AC564" i="5"/>
  <c r="AC538" i="5"/>
  <c r="AB537" i="5"/>
  <c r="AB533" i="5"/>
  <c r="AC520" i="5"/>
  <c r="AB520" i="5"/>
  <c r="AC501" i="5"/>
  <c r="AC483" i="5"/>
  <c r="AB306" i="5"/>
  <c r="AB305" i="5"/>
  <c r="AB892" i="5"/>
  <c r="AB890" i="5"/>
  <c r="AB860" i="5"/>
  <c r="AB858" i="5"/>
  <c r="AC843" i="5"/>
  <c r="AB828" i="5"/>
  <c r="AB826" i="5"/>
  <c r="AB796" i="5"/>
  <c r="AB794" i="5"/>
  <c r="AB764" i="5"/>
  <c r="AB762" i="5"/>
  <c r="AB756" i="5"/>
  <c r="AB754" i="5"/>
  <c r="AB748" i="5"/>
  <c r="AB746" i="5"/>
  <c r="AB740" i="5"/>
  <c r="AB738" i="5"/>
  <c r="AC721" i="5"/>
  <c r="AB713" i="5"/>
  <c r="AB708" i="5"/>
  <c r="AB706" i="5"/>
  <c r="AC689" i="5"/>
  <c r="AB681" i="5"/>
  <c r="AB676" i="5"/>
  <c r="AB674" i="5"/>
  <c r="AC657" i="5"/>
  <c r="AB649" i="5"/>
  <c r="AB644" i="5"/>
  <c r="AB642" i="5"/>
  <c r="AC625" i="5"/>
  <c r="AB617" i="5"/>
  <c r="AB612" i="5"/>
  <c r="AB610" i="5"/>
  <c r="AC593" i="5"/>
  <c r="AB585" i="5"/>
  <c r="AB580" i="5"/>
  <c r="AB578" i="5"/>
  <c r="AC565" i="5"/>
  <c r="AB554" i="5"/>
  <c r="AC543" i="5"/>
  <c r="AB534" i="5"/>
  <c r="AB519" i="5"/>
  <c r="AB514" i="5"/>
  <c r="AB500" i="5"/>
  <c r="AB493" i="5"/>
  <c r="AB477" i="5"/>
  <c r="AB440" i="5"/>
  <c r="AB400" i="5"/>
  <c r="AB362" i="5"/>
  <c r="AB289" i="5"/>
  <c r="AB115" i="5"/>
  <c r="AB114" i="5"/>
  <c r="AC905" i="5"/>
  <c r="AB887" i="5"/>
  <c r="AC873" i="5"/>
  <c r="AB855" i="5"/>
  <c r="AC841" i="5"/>
  <c r="AB823" i="5"/>
  <c r="AC811" i="5"/>
  <c r="AC809" i="5"/>
  <c r="AB791" i="5"/>
  <c r="AC779" i="5"/>
  <c r="AC777" i="5"/>
  <c r="AC728" i="5"/>
  <c r="AC723" i="5"/>
  <c r="AB711" i="5"/>
  <c r="AB709" i="5"/>
  <c r="AC696" i="5"/>
  <c r="AC691" i="5"/>
  <c r="AB679" i="5"/>
  <c r="AB677" i="5"/>
  <c r="AC664" i="5"/>
  <c r="AC659" i="5"/>
  <c r="AB647" i="5"/>
  <c r="AB645" i="5"/>
  <c r="AC632" i="5"/>
  <c r="AC627" i="5"/>
  <c r="AB615" i="5"/>
  <c r="AB613" i="5"/>
  <c r="AC600" i="5"/>
  <c r="AC595" i="5"/>
  <c r="AB583" i="5"/>
  <c r="AB581" i="5"/>
  <c r="AB564" i="5"/>
  <c r="AB559" i="5"/>
  <c r="AB555" i="5"/>
  <c r="AB515" i="5"/>
  <c r="AB494" i="5"/>
  <c r="AB478" i="5"/>
  <c r="AB329" i="5"/>
  <c r="AB290" i="5"/>
  <c r="AB562" i="5"/>
  <c r="AC556" i="5"/>
  <c r="AC553" i="5"/>
  <c r="AB546" i="5"/>
  <c r="AC540" i="5"/>
  <c r="AC537" i="5"/>
  <c r="AB530" i="5"/>
  <c r="AC524" i="5"/>
  <c r="AC521" i="5"/>
  <c r="AB509" i="5"/>
  <c r="AC495" i="5"/>
  <c r="AC490" i="5"/>
  <c r="AC487" i="5"/>
  <c r="AC482" i="5"/>
  <c r="AC479" i="5"/>
  <c r="AC474" i="5"/>
  <c r="AB473" i="5"/>
  <c r="AB461" i="5"/>
  <c r="AB459" i="5"/>
  <c r="AC449" i="5"/>
  <c r="AC448" i="5"/>
  <c r="AC447" i="5"/>
  <c r="AC442" i="5"/>
  <c r="AB441" i="5"/>
  <c r="AC428" i="5"/>
  <c r="AB428" i="5"/>
  <c r="AB417" i="5"/>
  <c r="AC396" i="5"/>
  <c r="AB396" i="5"/>
  <c r="AB385" i="5"/>
  <c r="AC364" i="5"/>
  <c r="AB364" i="5"/>
  <c r="AB353" i="5"/>
  <c r="AC339" i="5"/>
  <c r="AB297" i="5"/>
  <c r="AB294" i="5"/>
  <c r="AC276" i="5"/>
  <c r="AB276" i="5"/>
  <c r="AB226" i="5"/>
  <c r="AC519" i="5"/>
  <c r="AC1112" i="5" s="1"/>
  <c r="AB501" i="5"/>
  <c r="AB469" i="5"/>
  <c r="AB467" i="5"/>
  <c r="AC457" i="5"/>
  <c r="AC456" i="5"/>
  <c r="AC455" i="5"/>
  <c r="AC450" i="5"/>
  <c r="AB449" i="5"/>
  <c r="AB437" i="5"/>
  <c r="AB435" i="5"/>
  <c r="AB423" i="5"/>
  <c r="AB403" i="5"/>
  <c r="AB391" i="5"/>
  <c r="AB371" i="5"/>
  <c r="AB359" i="5"/>
  <c r="AB313" i="5"/>
  <c r="AB258" i="5"/>
  <c r="AB216" i="5"/>
  <c r="AB215" i="5"/>
  <c r="AC211" i="5"/>
  <c r="AB211" i="5"/>
  <c r="AB171" i="5"/>
  <c r="AC166" i="5"/>
  <c r="AB92" i="5"/>
  <c r="AB76" i="5"/>
  <c r="AB557" i="5"/>
  <c r="AB541" i="5"/>
  <c r="AB525" i="5"/>
  <c r="AC516" i="5"/>
  <c r="AC513" i="5"/>
  <c r="AB498" i="5"/>
  <c r="AB496" i="5"/>
  <c r="AB490" i="5"/>
  <c r="AB488" i="5"/>
  <c r="AB482" i="5"/>
  <c r="AB480" i="5"/>
  <c r="AB474" i="5"/>
  <c r="AB448" i="5"/>
  <c r="AB442" i="5"/>
  <c r="AC419" i="5"/>
  <c r="AC387" i="5"/>
  <c r="AC355" i="5"/>
  <c r="AB321" i="5"/>
  <c r="AC299" i="5"/>
  <c r="AC268" i="5"/>
  <c r="AB268" i="5"/>
  <c r="AB175" i="5"/>
  <c r="AB162" i="5"/>
  <c r="AB161" i="5"/>
  <c r="AB159" i="5"/>
  <c r="AB136" i="5"/>
  <c r="AC124" i="5"/>
  <c r="AB124" i="5"/>
  <c r="AC508" i="5"/>
  <c r="AC505" i="5"/>
  <c r="AC1111" i="5" s="1"/>
  <c r="AB456" i="5"/>
  <c r="AB450" i="5"/>
  <c r="AC421" i="5"/>
  <c r="AB408" i="5"/>
  <c r="AC389" i="5"/>
  <c r="AB376" i="5"/>
  <c r="AC357" i="5"/>
  <c r="AB337" i="5"/>
  <c r="AB224" i="5"/>
  <c r="AB223" i="5"/>
  <c r="AB188" i="5"/>
  <c r="AB178" i="5"/>
  <c r="AB21" i="5"/>
  <c r="AC572" i="5"/>
  <c r="AB517" i="5"/>
  <c r="AC472" i="5"/>
  <c r="AB465" i="5"/>
  <c r="AB453" i="5"/>
  <c r="AB451" i="5"/>
  <c r="AC440" i="5"/>
  <c r="AB411" i="5"/>
  <c r="AB409" i="5"/>
  <c r="AB379" i="5"/>
  <c r="AB377" i="5"/>
  <c r="AB345" i="5"/>
  <c r="AC323" i="5"/>
  <c r="AB280" i="5"/>
  <c r="AB279" i="5"/>
  <c r="AC244" i="5"/>
  <c r="AB244" i="5"/>
  <c r="AB431" i="5"/>
  <c r="AB422" i="5"/>
  <c r="AB413" i="5"/>
  <c r="AB399" i="5"/>
  <c r="AB390" i="5"/>
  <c r="AB381" i="5"/>
  <c r="AB367" i="5"/>
  <c r="AB358" i="5"/>
  <c r="AB349" i="5"/>
  <c r="AB341" i="5"/>
  <c r="AB333" i="5"/>
  <c r="AB325" i="5"/>
  <c r="AB317" i="5"/>
  <c r="AB309" i="5"/>
  <c r="AB277" i="5"/>
  <c r="AB270" i="5"/>
  <c r="AB245" i="5"/>
  <c r="AB238" i="5"/>
  <c r="AB204" i="5"/>
  <c r="AB186" i="5"/>
  <c r="AB140" i="5"/>
  <c r="AB132" i="5"/>
  <c r="AC405" i="5"/>
  <c r="AC404" i="5"/>
  <c r="AC373" i="5"/>
  <c r="AC372" i="5"/>
  <c r="AB301" i="5"/>
  <c r="AB293" i="5"/>
  <c r="AB285" i="5"/>
  <c r="AB271" i="5"/>
  <c r="AB239" i="5"/>
  <c r="AB193" i="5"/>
  <c r="AB191" i="5"/>
  <c r="AB121" i="5"/>
  <c r="AB119" i="5"/>
  <c r="AB113" i="5"/>
  <c r="AB100" i="5"/>
  <c r="AB84" i="5"/>
  <c r="AB68" i="5"/>
  <c r="S1116" i="6"/>
  <c r="S1115" i="6"/>
  <c r="S1117" i="6"/>
  <c r="L504" i="6"/>
  <c r="C1110" i="6"/>
  <c r="L503" i="6"/>
  <c r="F1109" i="6"/>
  <c r="L490" i="6"/>
  <c r="D1108" i="6"/>
  <c r="L476" i="6"/>
  <c r="E1107" i="6"/>
  <c r="L436" i="6"/>
  <c r="D1104" i="6"/>
  <c r="S1104" i="6"/>
  <c r="Q408" i="6"/>
  <c r="R1102" i="6"/>
  <c r="L350" i="6"/>
  <c r="C1097" i="6"/>
  <c r="F1097" i="6"/>
  <c r="L349" i="6"/>
  <c r="L321" i="6"/>
  <c r="F1094" i="6"/>
  <c r="L302" i="6"/>
  <c r="C1093" i="6"/>
  <c r="L301" i="6"/>
  <c r="F1093" i="6"/>
  <c r="L276" i="6"/>
  <c r="C1091" i="6"/>
  <c r="AC430" i="5"/>
  <c r="AB429" i="5"/>
  <c r="AB415" i="5"/>
  <c r="AB406" i="5"/>
  <c r="AC398" i="5"/>
  <c r="AB397" i="5"/>
  <c r="AB383" i="5"/>
  <c r="AB374" i="5"/>
  <c r="AC366" i="5"/>
  <c r="AB365" i="5"/>
  <c r="AB351" i="5"/>
  <c r="AB343" i="5"/>
  <c r="AB335" i="5"/>
  <c r="AB327" i="5"/>
  <c r="AB319" i="5"/>
  <c r="AB311" i="5"/>
  <c r="AB303" i="5"/>
  <c r="AB295" i="5"/>
  <c r="AB287" i="5"/>
  <c r="AC282" i="5"/>
  <c r="AC269" i="5"/>
  <c r="AB261" i="5"/>
  <c r="AB254" i="5"/>
  <c r="AC250" i="5"/>
  <c r="AC237" i="5"/>
  <c r="AC1088" i="5" s="1"/>
  <c r="AB229" i="5"/>
  <c r="AB222" i="5"/>
  <c r="AC218" i="5"/>
  <c r="AC185" i="5"/>
  <c r="AB172" i="5"/>
  <c r="AC167" i="5"/>
  <c r="AB154" i="5"/>
  <c r="AC24" i="5"/>
  <c r="AB430" i="5"/>
  <c r="AC422" i="5"/>
  <c r="AB421" i="5"/>
  <c r="AB407" i="5"/>
  <c r="AB398" i="5"/>
  <c r="AC390" i="5"/>
  <c r="AB389" i="5"/>
  <c r="AB375" i="5"/>
  <c r="AB366" i="5"/>
  <c r="AC358" i="5"/>
  <c r="AB357" i="5"/>
  <c r="AC348" i="5"/>
  <c r="AB348" i="5"/>
  <c r="AC340" i="5"/>
  <c r="AB340" i="5"/>
  <c r="AC332" i="5"/>
  <c r="AB332" i="5"/>
  <c r="AC324" i="5"/>
  <c r="AB324" i="5"/>
  <c r="AC316" i="5"/>
  <c r="AB316" i="5"/>
  <c r="AC308" i="5"/>
  <c r="AB308" i="5"/>
  <c r="AC300" i="5"/>
  <c r="AB300" i="5"/>
  <c r="AC292" i="5"/>
  <c r="AB292" i="5"/>
  <c r="AC284" i="5"/>
  <c r="AB284" i="5"/>
  <c r="AC277" i="5"/>
  <c r="AC1092" i="5" s="1"/>
  <c r="AB269" i="5"/>
  <c r="AB262" i="5"/>
  <c r="AC258" i="5"/>
  <c r="AC245" i="5"/>
  <c r="AB237" i="5"/>
  <c r="AB230" i="5"/>
  <c r="AC226" i="5"/>
  <c r="AB156" i="5"/>
  <c r="AC151" i="5"/>
  <c r="AB108" i="5"/>
  <c r="AB96" i="5"/>
  <c r="AB80" i="5"/>
  <c r="AB64" i="5"/>
  <c r="AC413" i="5"/>
  <c r="AC412" i="5"/>
  <c r="AC381" i="5"/>
  <c r="AC380" i="5"/>
  <c r="AC349" i="5"/>
  <c r="AC341" i="5"/>
  <c r="AC333" i="5"/>
  <c r="AC325" i="5"/>
  <c r="AC317" i="5"/>
  <c r="AC309" i="5"/>
  <c r="AC301" i="5"/>
  <c r="AC293" i="5"/>
  <c r="AC285" i="5"/>
  <c r="AB263" i="5"/>
  <c r="AC259" i="5"/>
  <c r="AB259" i="5"/>
  <c r="AC252" i="5"/>
  <c r="AB252" i="5"/>
  <c r="AB231" i="5"/>
  <c r="AC227" i="5"/>
  <c r="AB227" i="5"/>
  <c r="AC220" i="5"/>
  <c r="AB220" i="5"/>
  <c r="AB212" i="5"/>
  <c r="AB207" i="5"/>
  <c r="AB1086" i="5" s="1"/>
  <c r="AB203" i="5"/>
  <c r="AC198" i="5"/>
  <c r="AC1085" i="5" s="1"/>
  <c r="AC181" i="5"/>
  <c r="AB181" i="5"/>
  <c r="AB168" i="5"/>
  <c r="AC164" i="5"/>
  <c r="AB164" i="5"/>
  <c r="AC152" i="5"/>
  <c r="AB150" i="5"/>
  <c r="AB145" i="5"/>
  <c r="AB143" i="5"/>
  <c r="AB139" i="5"/>
  <c r="AC127" i="5"/>
  <c r="AC126" i="5"/>
  <c r="AB112" i="5"/>
  <c r="AB111" i="5"/>
  <c r="AC31" i="5"/>
  <c r="AB41" i="5"/>
  <c r="B1094" i="6"/>
  <c r="A1095" i="6"/>
  <c r="AC128" i="5"/>
  <c r="AC117" i="5"/>
  <c r="AC46" i="5"/>
  <c r="AB46" i="5"/>
  <c r="AC45" i="5"/>
  <c r="AC1072" i="5" s="1"/>
  <c r="AB45" i="5"/>
  <c r="AC30" i="5"/>
  <c r="AC22" i="5"/>
  <c r="AC1070" i="5" s="1"/>
  <c r="L1003" i="6"/>
  <c r="L705" i="6"/>
  <c r="AB201" i="5"/>
  <c r="AB199" i="5"/>
  <c r="AB185" i="5"/>
  <c r="AB183" i="5"/>
  <c r="AB169" i="5"/>
  <c r="AB167" i="5"/>
  <c r="AB153" i="5"/>
  <c r="AB151" i="5"/>
  <c r="AB137" i="5"/>
  <c r="AB135" i="5"/>
  <c r="AB1080" i="5" s="1"/>
  <c r="AB126" i="5"/>
  <c r="AC118" i="5"/>
  <c r="AB105" i="5"/>
  <c r="AB97" i="5"/>
  <c r="AB1077" i="5" s="1"/>
  <c r="AB89" i="5"/>
  <c r="AB81" i="5"/>
  <c r="AB73" i="5"/>
  <c r="AB65" i="5"/>
  <c r="AB38" i="5"/>
  <c r="AB32" i="5"/>
  <c r="AB31" i="5"/>
  <c r="AB24" i="5"/>
  <c r="AB23" i="5"/>
  <c r="L1044" i="6"/>
  <c r="L1042" i="6"/>
  <c r="L1028" i="6"/>
  <c r="L913" i="6"/>
  <c r="L852" i="6"/>
  <c r="AC206" i="5"/>
  <c r="AC1086" i="5" s="1"/>
  <c r="AC192" i="5"/>
  <c r="AC190" i="5"/>
  <c r="AC176" i="5"/>
  <c r="AC174" i="5"/>
  <c r="AC160" i="5"/>
  <c r="AC158" i="5"/>
  <c r="AC144" i="5"/>
  <c r="AC142" i="5"/>
  <c r="AC120" i="5"/>
  <c r="AC109" i="5"/>
  <c r="AC101" i="5"/>
  <c r="AC1077" i="5" s="1"/>
  <c r="AC93" i="5"/>
  <c r="AC85" i="5"/>
  <c r="AC1076" i="5" s="1"/>
  <c r="AC77" i="5"/>
  <c r="AC69" i="5"/>
  <c r="AC61" i="5"/>
  <c r="L1066" i="6"/>
  <c r="L1051" i="6"/>
  <c r="L1029" i="6"/>
  <c r="L914" i="6"/>
  <c r="AB129" i="5"/>
  <c r="AB127" i="5"/>
  <c r="AB118" i="5"/>
  <c r="AB22" i="5"/>
  <c r="L1036" i="6"/>
  <c r="L1020" i="6"/>
  <c r="L1009" i="6"/>
  <c r="L910" i="6"/>
  <c r="S468" i="6"/>
  <c r="S1107" i="6" s="1"/>
  <c r="Q1107" i="6"/>
  <c r="L396" i="6"/>
  <c r="E1101" i="6"/>
  <c r="N1097" i="6"/>
  <c r="L1046" i="6"/>
  <c r="L1012" i="6"/>
  <c r="L1010" i="6"/>
  <c r="L978" i="6"/>
  <c r="L924" i="6"/>
  <c r="L911" i="6"/>
  <c r="L893" i="6"/>
  <c r="L886" i="6"/>
  <c r="L862" i="6"/>
  <c r="L816" i="6"/>
  <c r="L538" i="6"/>
  <c r="E1110" i="6"/>
  <c r="E1112" i="6"/>
  <c r="E1114" i="6"/>
  <c r="E1116" i="6"/>
  <c r="S1112" i="6"/>
  <c r="S1114" i="6"/>
  <c r="L506" i="6"/>
  <c r="C1112" i="6"/>
  <c r="S500" i="6"/>
  <c r="S1109" i="6" s="1"/>
  <c r="Q1109" i="6"/>
  <c r="S1108" i="6"/>
  <c r="Q1105" i="6"/>
  <c r="S454" i="6"/>
  <c r="S1105" i="6" s="1"/>
  <c r="L447" i="6"/>
  <c r="E1105" i="6"/>
  <c r="L412" i="6"/>
  <c r="E1102" i="6"/>
  <c r="L337" i="6"/>
  <c r="F1096" i="6"/>
  <c r="Q72" i="6"/>
  <c r="AC73" i="5" s="1"/>
  <c r="AC1075" i="5" s="1"/>
  <c r="R1074" i="6"/>
  <c r="S1073" i="6"/>
  <c r="L1059" i="6"/>
  <c r="L1026" i="6"/>
  <c r="L1024" i="6"/>
  <c r="L1021" i="6"/>
  <c r="L944" i="6"/>
  <c r="L931" i="6"/>
  <c r="L916" i="6"/>
  <c r="L869" i="6"/>
  <c r="L1063" i="6"/>
  <c r="L1061" i="6"/>
  <c r="L1048" i="6"/>
  <c r="L1033" i="6"/>
  <c r="L1014" i="6"/>
  <c r="L1007" i="6"/>
  <c r="L975" i="6"/>
  <c r="L957" i="6"/>
  <c r="L950" i="6"/>
  <c r="L926" i="6"/>
  <c r="L889" i="6"/>
  <c r="L876" i="6"/>
  <c r="L840" i="6"/>
  <c r="L834" i="6"/>
  <c r="L688" i="6"/>
  <c r="L1050" i="6"/>
  <c r="L1041" i="6"/>
  <c r="L1023" i="6"/>
  <c r="L1004" i="6"/>
  <c r="L987" i="6"/>
  <c r="L980" i="6"/>
  <c r="L933" i="6"/>
  <c r="L902" i="6"/>
  <c r="L879" i="6"/>
  <c r="L1016" i="6"/>
  <c r="L1001" i="6"/>
  <c r="L985" i="6"/>
  <c r="L971" i="6"/>
  <c r="L959" i="6"/>
  <c r="L952" i="6"/>
  <c r="L907" i="6"/>
  <c r="L895" i="6"/>
  <c r="L888" i="6"/>
  <c r="L867" i="6"/>
  <c r="L845" i="6"/>
  <c r="L837" i="6"/>
  <c r="L817" i="6"/>
  <c r="L792" i="6"/>
  <c r="L786" i="6"/>
  <c r="L713" i="6"/>
  <c r="L639" i="6"/>
  <c r="L635" i="6"/>
  <c r="L489" i="6"/>
  <c r="L479" i="6"/>
  <c r="L1057" i="6"/>
  <c r="L1040" i="6"/>
  <c r="L1025" i="6"/>
  <c r="L1008" i="6"/>
  <c r="L973" i="6"/>
  <c r="L954" i="6"/>
  <c r="L942" i="6"/>
  <c r="L909" i="6"/>
  <c r="L890" i="6"/>
  <c r="L878" i="6"/>
  <c r="L859" i="6"/>
  <c r="L824" i="6"/>
  <c r="L821" i="6"/>
  <c r="L800" i="6"/>
  <c r="L794" i="6"/>
  <c r="L768" i="6"/>
  <c r="L757" i="6"/>
  <c r="L746" i="6"/>
  <c r="L650" i="6"/>
  <c r="L553" i="6"/>
  <c r="I1105" i="6"/>
  <c r="L455" i="6"/>
  <c r="Q1099" i="6"/>
  <c r="S380" i="6"/>
  <c r="S1099" i="6" s="1"/>
  <c r="L990" i="6"/>
  <c r="L963" i="6"/>
  <c r="L956" i="6"/>
  <c r="L946" i="6"/>
  <c r="L925" i="6"/>
  <c r="L899" i="6"/>
  <c r="L892" i="6"/>
  <c r="L882" i="6"/>
  <c r="L861" i="6"/>
  <c r="L846" i="6"/>
  <c r="L838" i="6"/>
  <c r="L588" i="6"/>
  <c r="L510" i="6"/>
  <c r="L186" i="6"/>
  <c r="D1083" i="6"/>
  <c r="Q168" i="6"/>
  <c r="R1082" i="6"/>
  <c r="Q156" i="6"/>
  <c r="R1081" i="6"/>
  <c r="L1064" i="6"/>
  <c r="L1049" i="6"/>
  <c r="L1032" i="6"/>
  <c r="L1017" i="6"/>
  <c r="L1000" i="6"/>
  <c r="L984" i="6"/>
  <c r="L939" i="6"/>
  <c r="L927" i="6"/>
  <c r="L920" i="6"/>
  <c r="L875" i="6"/>
  <c r="L863" i="6"/>
  <c r="L856" i="6"/>
  <c r="L826" i="6"/>
  <c r="L808" i="6"/>
  <c r="L802" i="6"/>
  <c r="L776" i="6"/>
  <c r="L774" i="6"/>
  <c r="L748" i="6"/>
  <c r="L724" i="6"/>
  <c r="L652" i="6"/>
  <c r="L458" i="6"/>
  <c r="E1106" i="6"/>
  <c r="S422" i="6"/>
  <c r="S1103" i="6" s="1"/>
  <c r="Q1103" i="6"/>
  <c r="L394" i="6"/>
  <c r="E1100" i="6"/>
  <c r="F1099" i="6"/>
  <c r="L381" i="6"/>
  <c r="Q1097" i="6"/>
  <c r="S348" i="6"/>
  <c r="L813" i="6"/>
  <c r="L805" i="6"/>
  <c r="L797" i="6"/>
  <c r="L789" i="6"/>
  <c r="L779" i="6"/>
  <c r="L760" i="6"/>
  <c r="L701" i="6"/>
  <c r="L691" i="6"/>
  <c r="L660" i="6"/>
  <c r="L658" i="6"/>
  <c r="L647" i="6"/>
  <c r="L645" i="6"/>
  <c r="L766" i="6"/>
  <c r="L741" i="6"/>
  <c r="L732" i="6"/>
  <c r="L682" i="6"/>
  <c r="S20" i="6"/>
  <c r="S1069" i="6" s="1"/>
  <c r="L955" i="6"/>
  <c r="L923" i="6"/>
  <c r="L891" i="6"/>
  <c r="L765" i="6"/>
  <c r="L755" i="6"/>
  <c r="L736" i="6"/>
  <c r="L717" i="6"/>
  <c r="L715" i="6"/>
  <c r="L696" i="6"/>
  <c r="L686" i="6"/>
  <c r="L681" i="6"/>
  <c r="L657" i="6"/>
  <c r="L638" i="6"/>
  <c r="L633" i="6"/>
  <c r="L586" i="6"/>
  <c r="L558" i="6"/>
  <c r="L535" i="6"/>
  <c r="L517" i="6"/>
  <c r="L508" i="6"/>
  <c r="L467" i="6"/>
  <c r="L464" i="6"/>
  <c r="L461" i="6"/>
  <c r="L441" i="6"/>
  <c r="L438" i="6"/>
  <c r="L188" i="6"/>
  <c r="L185" i="6"/>
  <c r="L179" i="6"/>
  <c r="L979" i="6"/>
  <c r="L947" i="6"/>
  <c r="L915" i="6"/>
  <c r="L883" i="6"/>
  <c r="L767" i="6"/>
  <c r="L706" i="6"/>
  <c r="L646" i="6"/>
  <c r="L643" i="6"/>
  <c r="L626" i="6"/>
  <c r="L567" i="6"/>
  <c r="L549" i="6"/>
  <c r="L487" i="6"/>
  <c r="L449" i="6"/>
  <c r="L981" i="6"/>
  <c r="L949" i="6"/>
  <c r="L917" i="6"/>
  <c r="L885" i="6"/>
  <c r="L853" i="6"/>
  <c r="L851" i="6"/>
  <c r="L843" i="6"/>
  <c r="L835" i="6"/>
  <c r="L827" i="6"/>
  <c r="L819" i="6"/>
  <c r="L811" i="6"/>
  <c r="L803" i="6"/>
  <c r="L795" i="6"/>
  <c r="L787" i="6"/>
  <c r="L777" i="6"/>
  <c r="L739" i="6"/>
  <c r="L729" i="6"/>
  <c r="L727" i="6"/>
  <c r="L708" i="6"/>
  <c r="L689" i="6"/>
  <c r="L680" i="6"/>
  <c r="L671" i="6"/>
  <c r="L669" i="6"/>
  <c r="L592" i="6"/>
  <c r="L570" i="6"/>
  <c r="L542" i="6"/>
  <c r="L519" i="6"/>
  <c r="L501" i="6"/>
  <c r="L492" i="6"/>
  <c r="L472" i="6"/>
  <c r="L431" i="6"/>
  <c r="L405" i="6"/>
  <c r="L758" i="6"/>
  <c r="L694" i="6"/>
  <c r="L637" i="6"/>
  <c r="L630" i="6"/>
  <c r="L605" i="6"/>
  <c r="L576" i="6"/>
  <c r="L560" i="6"/>
  <c r="L544" i="6"/>
  <c r="L528" i="6"/>
  <c r="L512" i="6"/>
  <c r="L496" i="6"/>
  <c r="L435" i="6"/>
  <c r="L389" i="6"/>
  <c r="L376" i="6"/>
  <c r="L344" i="6"/>
  <c r="L296" i="6"/>
  <c r="L718" i="6"/>
  <c r="L678" i="6"/>
  <c r="L665" i="6"/>
  <c r="L632" i="6"/>
  <c r="L617" i="6"/>
  <c r="L578" i="6"/>
  <c r="L562" i="6"/>
  <c r="L546" i="6"/>
  <c r="L530" i="6"/>
  <c r="L514" i="6"/>
  <c r="L498" i="6"/>
  <c r="L445" i="6"/>
  <c r="L1105" i="6" s="1"/>
  <c r="L225" i="6"/>
  <c r="L219" i="6"/>
  <c r="L742" i="6"/>
  <c r="L623" i="6"/>
  <c r="L619" i="6"/>
  <c r="L580" i="6"/>
  <c r="L564" i="6"/>
  <c r="L548" i="6"/>
  <c r="L532" i="6"/>
  <c r="L516" i="6"/>
  <c r="L500" i="6"/>
  <c r="L483" i="6"/>
  <c r="L419" i="6"/>
  <c r="L359" i="6"/>
  <c r="L274" i="6"/>
  <c r="L137" i="6"/>
  <c r="L131" i="6"/>
  <c r="L119" i="6"/>
  <c r="L26" i="6"/>
  <c r="L22" i="6"/>
  <c r="L1069" i="6" s="1"/>
  <c r="L636" i="6"/>
  <c r="L614" i="6"/>
  <c r="L609" i="6"/>
  <c r="L361" i="6"/>
  <c r="L322" i="6"/>
  <c r="L285" i="6"/>
  <c r="L257" i="6"/>
  <c r="L251" i="6"/>
  <c r="L30" i="6"/>
  <c r="S27" i="6"/>
  <c r="S1070" i="6" s="1"/>
  <c r="L333" i="6"/>
  <c r="L269" i="6"/>
  <c r="L142" i="6"/>
  <c r="L71" i="6"/>
  <c r="L57" i="6"/>
  <c r="L51" i="6"/>
  <c r="S39" i="6"/>
  <c r="Q39" i="6"/>
  <c r="L388" i="6"/>
  <c r="L356" i="6"/>
  <c r="L328" i="6"/>
  <c r="L308" i="6"/>
  <c r="L287" i="6"/>
  <c r="L264" i="6"/>
  <c r="S43" i="6"/>
  <c r="Q43" i="6"/>
  <c r="L374" i="6"/>
  <c r="L358" i="6"/>
  <c r="L342" i="6"/>
  <c r="L326" i="6"/>
  <c r="L310" i="6"/>
  <c r="L294" i="6"/>
  <c r="L1092" i="6" s="1"/>
  <c r="L278" i="6"/>
  <c r="L262" i="6"/>
  <c r="L259" i="6"/>
  <c r="L233" i="6"/>
  <c r="L227" i="6"/>
  <c r="L201" i="6"/>
  <c r="L167" i="6"/>
  <c r="L153" i="6"/>
  <c r="L147" i="6"/>
  <c r="L110" i="6"/>
  <c r="L76" i="6"/>
  <c r="L241" i="6"/>
  <c r="L235" i="6"/>
  <c r="L209" i="6"/>
  <c r="L203" i="6"/>
  <c r="L172" i="6"/>
  <c r="L135" i="6"/>
  <c r="L121" i="6"/>
  <c r="L115" i="6"/>
  <c r="L78" i="6"/>
  <c r="L42" i="6"/>
  <c r="L607" i="6"/>
  <c r="L380" i="6"/>
  <c r="L364" i="6"/>
  <c r="L348" i="6"/>
  <c r="L332" i="6"/>
  <c r="L316" i="6"/>
  <c r="L300" i="6"/>
  <c r="L284" i="6"/>
  <c r="L268" i="6"/>
  <c r="L183" i="6"/>
  <c r="L169" i="6"/>
  <c r="L163" i="6"/>
  <c r="L126" i="6"/>
  <c r="L192" i="6"/>
  <c r="L176" i="6"/>
  <c r="L160" i="6"/>
  <c r="L144" i="6"/>
  <c r="L1080" i="6" s="1"/>
  <c r="L128" i="6"/>
  <c r="L112" i="6"/>
  <c r="L96" i="6"/>
  <c r="L80" i="6"/>
  <c r="L64" i="6"/>
  <c r="L50" i="6"/>
  <c r="L31" i="6"/>
  <c r="L29" i="6"/>
  <c r="L601" i="6"/>
  <c r="L253" i="6"/>
  <c r="L245" i="6"/>
  <c r="L237" i="6"/>
  <c r="L229" i="6"/>
  <c r="L221" i="6"/>
  <c r="L213" i="6"/>
  <c r="L205" i="6"/>
  <c r="L197" i="6"/>
  <c r="L101" i="6"/>
  <c r="L85" i="6"/>
  <c r="L1075" i="6" s="1"/>
  <c r="L69" i="6"/>
  <c r="L53" i="6"/>
  <c r="L40" i="6"/>
  <c r="L654" i="6"/>
  <c r="L641" i="6"/>
  <c r="L622" i="6"/>
  <c r="L610" i="6"/>
  <c r="L606" i="6"/>
  <c r="L49" i="6"/>
  <c r="S45" i="6"/>
  <c r="L44" i="6"/>
  <c r="L34" i="6"/>
  <c r="S41" i="6"/>
  <c r="AC1100" i="5" l="1"/>
  <c r="AB1089" i="5"/>
  <c r="AB1091" i="5"/>
  <c r="AB1101" i="5"/>
  <c r="AB1116" i="5"/>
  <c r="AC1109" i="5"/>
  <c r="L1076" i="6"/>
  <c r="L1081" i="6"/>
  <c r="L1109" i="6"/>
  <c r="AB1078" i="5"/>
  <c r="AC1089" i="5"/>
  <c r="AC1113" i="5"/>
  <c r="L1088" i="6"/>
  <c r="L1098" i="6"/>
  <c r="L1104" i="6"/>
  <c r="AC1074" i="5"/>
  <c r="AC1080" i="5"/>
  <c r="AB1071" i="5"/>
  <c r="AB1075" i="5"/>
  <c r="AC1096" i="5"/>
  <c r="AB1094" i="5"/>
  <c r="AB1119" i="5"/>
  <c r="AC1117" i="5"/>
  <c r="AB1107" i="5"/>
  <c r="AB1115" i="5"/>
  <c r="AB1093" i="5"/>
  <c r="AC1110" i="5"/>
  <c r="L1107" i="6"/>
  <c r="AB1073" i="5"/>
  <c r="L1085" i="6"/>
  <c r="L1095" i="6"/>
  <c r="L1086" i="6"/>
  <c r="L1106" i="6"/>
  <c r="S168" i="6"/>
  <c r="S1082" i="6" s="1"/>
  <c r="Q1082" i="6"/>
  <c r="L1096" i="6"/>
  <c r="AB1072" i="5"/>
  <c r="AC169" i="5"/>
  <c r="AC1083" i="5" s="1"/>
  <c r="AB1090" i="5"/>
  <c r="L1091" i="6"/>
  <c r="AB1095" i="5"/>
  <c r="L1102" i="6"/>
  <c r="AB1079" i="5"/>
  <c r="AC1099" i="5"/>
  <c r="L1093" i="6"/>
  <c r="AC1095" i="5"/>
  <c r="AB1098" i="5"/>
  <c r="AB1112" i="5"/>
  <c r="AB1099" i="5"/>
  <c r="L1087" i="6"/>
  <c r="L1073" i="6"/>
  <c r="L1084" i="6"/>
  <c r="L1094" i="6"/>
  <c r="L1074" i="6"/>
  <c r="L1099" i="6"/>
  <c r="L1100" i="6"/>
  <c r="L1114" i="6"/>
  <c r="L1113" i="6"/>
  <c r="L1115" i="6"/>
  <c r="L1116" i="6"/>
  <c r="L1111" i="6"/>
  <c r="L1112" i="6"/>
  <c r="AB1087" i="5"/>
  <c r="AB1104" i="5"/>
  <c r="AC1087" i="5"/>
  <c r="AB1085" i="5"/>
  <c r="AB1103" i="5"/>
  <c r="AC1091" i="5"/>
  <c r="AC1114" i="5"/>
  <c r="AB1111" i="5"/>
  <c r="AC1102" i="5"/>
  <c r="AB1106" i="5"/>
  <c r="F1119" i="4"/>
  <c r="J1119" i="4"/>
  <c r="B1119" i="4"/>
  <c r="A1120" i="4"/>
  <c r="D1119" i="4"/>
  <c r="H1119" i="4"/>
  <c r="I1119" i="4"/>
  <c r="G1119" i="4"/>
  <c r="C1119" i="4"/>
  <c r="E1119" i="4"/>
  <c r="L1072" i="6"/>
  <c r="L1078" i="6"/>
  <c r="L1077" i="6"/>
  <c r="Q1071" i="6"/>
  <c r="L1117" i="6"/>
  <c r="AC1078" i="5"/>
  <c r="AB1076" i="5"/>
  <c r="AC1093" i="5"/>
  <c r="S408" i="6"/>
  <c r="S1102" i="6" s="1"/>
  <c r="Q1102" i="6"/>
  <c r="AC409" i="5"/>
  <c r="AC1103" i="5" s="1"/>
  <c r="AB1092" i="5"/>
  <c r="AB1070" i="5"/>
  <c r="AC1079" i="5"/>
  <c r="AC1107" i="5"/>
  <c r="AB1118" i="5"/>
  <c r="G1119" i="3"/>
  <c r="H1119" i="3"/>
  <c r="J1119" i="3"/>
  <c r="E1119" i="3"/>
  <c r="F1119" i="3"/>
  <c r="I1119" i="3"/>
  <c r="K1119" i="3"/>
  <c r="A1120" i="3"/>
  <c r="C1119" i="3"/>
  <c r="B1119" i="3"/>
  <c r="AB1102" i="5"/>
  <c r="AB1097" i="5"/>
  <c r="AC1118" i="5"/>
  <c r="AB1074" i="5"/>
  <c r="AC1106" i="5"/>
  <c r="L1079" i="6"/>
  <c r="S1071" i="6"/>
  <c r="AB1084" i="5"/>
  <c r="AC1105" i="5"/>
  <c r="AB1109" i="5"/>
  <c r="AC1115" i="5"/>
  <c r="AC1108" i="5"/>
  <c r="L1089" i="6"/>
  <c r="L1082" i="6"/>
  <c r="L1090" i="6"/>
  <c r="L1108" i="6"/>
  <c r="S156" i="6"/>
  <c r="S1081" i="6" s="1"/>
  <c r="Q1081" i="6"/>
  <c r="AC157" i="5"/>
  <c r="AC1082" i="5" s="1"/>
  <c r="S72" i="6"/>
  <c r="S1074" i="6" s="1"/>
  <c r="Q1074" i="6"/>
  <c r="AB1083" i="5"/>
  <c r="AC1071" i="5"/>
  <c r="AC1084" i="5"/>
  <c r="AC1081" i="5"/>
  <c r="AC1104" i="5"/>
  <c r="AB1082" i="5"/>
  <c r="AB1105" i="5"/>
  <c r="AB1108" i="5"/>
  <c r="AC1097" i="5"/>
  <c r="AB1110" i="5"/>
  <c r="AB1113" i="5"/>
  <c r="L1071" i="6"/>
  <c r="AB1117" i="5"/>
  <c r="H1120" i="5"/>
  <c r="P1120" i="5"/>
  <c r="X1120" i="5"/>
  <c r="I1120" i="5"/>
  <c r="Q1120" i="5"/>
  <c r="AB1120" i="5"/>
  <c r="J1120" i="5"/>
  <c r="T1120" i="5"/>
  <c r="K1120" i="5"/>
  <c r="U1120" i="5"/>
  <c r="B1120" i="5"/>
  <c r="L1120" i="5"/>
  <c r="V1120" i="5"/>
  <c r="C1120" i="5"/>
  <c r="M1120" i="5"/>
  <c r="W1120" i="5"/>
  <c r="D1120" i="5"/>
  <c r="N1120" i="5"/>
  <c r="AC1120" i="5"/>
  <c r="G1120" i="5"/>
  <c r="O1120" i="5"/>
  <c r="S1120" i="5"/>
  <c r="E1120" i="5"/>
  <c r="R1120" i="5"/>
  <c r="A1121" i="5"/>
  <c r="F1120" i="5"/>
  <c r="L1097" i="6"/>
  <c r="B1095" i="6"/>
  <c r="A1096" i="6"/>
  <c r="AC1098" i="5"/>
  <c r="AC1090" i="5"/>
  <c r="AB1088" i="5"/>
  <c r="AB1114" i="5"/>
  <c r="AC1116" i="5"/>
  <c r="L1083" i="6"/>
  <c r="L1070" i="6"/>
  <c r="S1097" i="6"/>
  <c r="L1101" i="6"/>
  <c r="AB1081" i="5"/>
  <c r="AC1094" i="5"/>
  <c r="AB1100" i="5"/>
  <c r="L1110" i="6"/>
  <c r="AB1096" i="5"/>
  <c r="AC1101" i="5"/>
  <c r="B1096" i="6" l="1"/>
  <c r="A1097" i="6"/>
  <c r="D1120" i="4"/>
  <c r="I1120" i="4"/>
  <c r="J1120" i="4"/>
  <c r="C1120" i="4"/>
  <c r="G1120" i="4"/>
  <c r="H1120" i="4"/>
  <c r="B1120" i="4"/>
  <c r="E1120" i="4"/>
  <c r="F1120" i="4"/>
  <c r="A1121" i="4"/>
  <c r="E1120" i="3"/>
  <c r="F1120" i="3"/>
  <c r="H1120" i="3"/>
  <c r="B1120" i="3"/>
  <c r="K1120" i="3"/>
  <c r="A1121" i="3"/>
  <c r="C1120" i="3"/>
  <c r="J1120" i="3"/>
  <c r="G1120" i="3"/>
  <c r="I1120" i="3"/>
  <c r="F1121" i="5"/>
  <c r="N1121" i="5"/>
  <c r="V1121" i="5"/>
  <c r="G1121" i="5"/>
  <c r="O1121" i="5"/>
  <c r="W1121" i="5"/>
  <c r="D1121" i="5"/>
  <c r="P1121" i="5"/>
  <c r="AC1121" i="5"/>
  <c r="E1121" i="5"/>
  <c r="Q1121" i="5"/>
  <c r="A1122" i="5"/>
  <c r="H1121" i="5"/>
  <c r="R1121" i="5"/>
  <c r="I1121" i="5"/>
  <c r="S1121" i="5"/>
  <c r="J1121" i="5"/>
  <c r="T1121" i="5"/>
  <c r="B1121" i="5"/>
  <c r="L1121" i="5"/>
  <c r="M1121" i="5"/>
  <c r="X1121" i="5"/>
  <c r="AB1121" i="5"/>
  <c r="K1121" i="5"/>
  <c r="U1121" i="5"/>
  <c r="C1121" i="5"/>
  <c r="B1121" i="4" l="1"/>
  <c r="J1121" i="4"/>
  <c r="H1121" i="4"/>
  <c r="I1121" i="4"/>
  <c r="C1121" i="4"/>
  <c r="F1121" i="4"/>
  <c r="G1121" i="4"/>
  <c r="D1121" i="4"/>
  <c r="A1122" i="4"/>
  <c r="E1121" i="4"/>
  <c r="D1122" i="5"/>
  <c r="L1122" i="5"/>
  <c r="T1122" i="5"/>
  <c r="E1122" i="5"/>
  <c r="M1122" i="5"/>
  <c r="U1122" i="5"/>
  <c r="J1122" i="5"/>
  <c r="V1122" i="5"/>
  <c r="K1122" i="5"/>
  <c r="W1122" i="5"/>
  <c r="B1122" i="5"/>
  <c r="N1122" i="5"/>
  <c r="X1122" i="5"/>
  <c r="C1122" i="5"/>
  <c r="O1122" i="5"/>
  <c r="AB1122" i="5"/>
  <c r="F1122" i="5"/>
  <c r="P1122" i="5"/>
  <c r="AC1122" i="5"/>
  <c r="G1122" i="5"/>
  <c r="Q1122" i="5"/>
  <c r="R1122" i="5"/>
  <c r="A1123" i="5"/>
  <c r="H1122" i="5"/>
  <c r="S1122" i="5"/>
  <c r="I1122" i="5"/>
  <c r="B1121" i="3"/>
  <c r="K1121" i="3"/>
  <c r="C1121" i="3"/>
  <c r="A1122" i="3"/>
  <c r="F1121" i="3"/>
  <c r="I1121" i="3"/>
  <c r="G1121" i="3"/>
  <c r="E1121" i="3"/>
  <c r="H1121" i="3"/>
  <c r="J1121" i="3"/>
  <c r="B1097" i="6"/>
  <c r="A1098" i="6"/>
  <c r="I1122" i="3" l="1"/>
  <c r="J1122" i="3"/>
  <c r="C1122" i="3"/>
  <c r="A1123" i="3"/>
  <c r="G1122" i="3"/>
  <c r="H1122" i="3"/>
  <c r="K1122" i="3"/>
  <c r="B1122" i="3"/>
  <c r="E1122" i="3"/>
  <c r="F1122" i="3"/>
  <c r="B1098" i="6"/>
  <c r="A1099" i="6"/>
  <c r="B1123" i="5"/>
  <c r="J1123" i="5"/>
  <c r="R1123" i="5"/>
  <c r="AC1123" i="5"/>
  <c r="C1123" i="5"/>
  <c r="K1123" i="5"/>
  <c r="S1123" i="5"/>
  <c r="A1124" i="5"/>
  <c r="F1123" i="5"/>
  <c r="P1123" i="5"/>
  <c r="G1123" i="5"/>
  <c r="Q1123" i="5"/>
  <c r="H1123" i="5"/>
  <c r="T1123" i="5"/>
  <c r="I1123" i="5"/>
  <c r="U1123" i="5"/>
  <c r="L1123" i="5"/>
  <c r="V1123" i="5"/>
  <c r="E1123" i="5"/>
  <c r="O1123" i="5"/>
  <c r="W1123" i="5"/>
  <c r="AB1123" i="5"/>
  <c r="N1123" i="5"/>
  <c r="X1123" i="5"/>
  <c r="D1123" i="5"/>
  <c r="M1123" i="5"/>
  <c r="H1122" i="4"/>
  <c r="G1122" i="4"/>
  <c r="I1122" i="4"/>
  <c r="B1122" i="4"/>
  <c r="A1123" i="4"/>
  <c r="E1122" i="4"/>
  <c r="F1122" i="4"/>
  <c r="D1122" i="4"/>
  <c r="J1122" i="4"/>
  <c r="C1122" i="4"/>
  <c r="H1124" i="5" l="1"/>
  <c r="P1124" i="5"/>
  <c r="X1124" i="5"/>
  <c r="I1124" i="5"/>
  <c r="Q1124" i="5"/>
  <c r="AB1124" i="5"/>
  <c r="B1124" i="5"/>
  <c r="L1124" i="5"/>
  <c r="V1124" i="5"/>
  <c r="C1124" i="5"/>
  <c r="M1124" i="5"/>
  <c r="W1124" i="5"/>
  <c r="D1124" i="5"/>
  <c r="N1124" i="5"/>
  <c r="AC1124" i="5"/>
  <c r="E1124" i="5"/>
  <c r="O1124" i="5"/>
  <c r="A1125" i="5"/>
  <c r="F1124" i="5"/>
  <c r="R1124" i="5"/>
  <c r="J1124" i="5"/>
  <c r="T1124" i="5"/>
  <c r="U1124" i="5"/>
  <c r="G1124" i="5"/>
  <c r="K1124" i="5"/>
  <c r="S1124" i="5"/>
  <c r="G1123" i="3"/>
  <c r="H1123" i="3"/>
  <c r="J1123" i="3"/>
  <c r="E1123" i="3"/>
  <c r="F1123" i="3"/>
  <c r="B1123" i="3"/>
  <c r="C1123" i="3"/>
  <c r="A1124" i="3"/>
  <c r="I1123" i="3"/>
  <c r="K1123" i="3"/>
  <c r="B1099" i="6"/>
  <c r="A1100" i="6"/>
  <c r="F1123" i="4"/>
  <c r="G1123" i="4"/>
  <c r="H1123" i="4"/>
  <c r="J1123" i="4"/>
  <c r="D1123" i="4"/>
  <c r="E1123" i="4"/>
  <c r="B1123" i="4"/>
  <c r="C1123" i="4"/>
  <c r="I1123" i="4"/>
  <c r="A1124" i="4"/>
  <c r="A1101" i="6" l="1"/>
  <c r="B1100" i="6"/>
  <c r="E1124" i="3"/>
  <c r="F1124" i="3"/>
  <c r="H1124" i="3"/>
  <c r="B1124" i="3"/>
  <c r="K1124" i="3"/>
  <c r="C1124" i="3"/>
  <c r="I1124" i="3"/>
  <c r="G1124" i="3"/>
  <c r="A1125" i="3"/>
  <c r="J1124" i="3"/>
  <c r="F1125" i="5"/>
  <c r="N1125" i="5"/>
  <c r="V1125" i="5"/>
  <c r="G1125" i="5"/>
  <c r="O1125" i="5"/>
  <c r="W1125" i="5"/>
  <c r="H1125" i="5"/>
  <c r="R1125" i="5"/>
  <c r="I1125" i="5"/>
  <c r="S1125" i="5"/>
  <c r="J1125" i="5"/>
  <c r="T1125" i="5"/>
  <c r="K1125" i="5"/>
  <c r="U1125" i="5"/>
  <c r="B1125" i="5"/>
  <c r="L1125" i="5"/>
  <c r="X1125" i="5"/>
  <c r="M1125" i="5"/>
  <c r="AB1125" i="5"/>
  <c r="AC1125" i="5"/>
  <c r="D1125" i="5"/>
  <c r="C1125" i="5"/>
  <c r="Q1125" i="5"/>
  <c r="A1126" i="5"/>
  <c r="P1125" i="5"/>
  <c r="E1125" i="5"/>
  <c r="D1124" i="4"/>
  <c r="F1124" i="4"/>
  <c r="G1124" i="4"/>
  <c r="I1124" i="4"/>
  <c r="C1124" i="4"/>
  <c r="E1124" i="4"/>
  <c r="J1124" i="4"/>
  <c r="A1125" i="4"/>
  <c r="H1124" i="4"/>
  <c r="B1124" i="4"/>
  <c r="B1125" i="4" l="1"/>
  <c r="J1125" i="4"/>
  <c r="E1125" i="4"/>
  <c r="F1125" i="4"/>
  <c r="H1125" i="4"/>
  <c r="C1125" i="4"/>
  <c r="D1125" i="4"/>
  <c r="G1125" i="4"/>
  <c r="I1125" i="4"/>
  <c r="A1126" i="4"/>
  <c r="D1126" i="5"/>
  <c r="L1126" i="5"/>
  <c r="T1126" i="5"/>
  <c r="E1126" i="5"/>
  <c r="M1126" i="5"/>
  <c r="U1126" i="5"/>
  <c r="B1126" i="5"/>
  <c r="N1126" i="5"/>
  <c r="X1126" i="5"/>
  <c r="C1126" i="5"/>
  <c r="O1126" i="5"/>
  <c r="AB1126" i="5"/>
  <c r="F1126" i="5"/>
  <c r="P1126" i="5"/>
  <c r="AC1126" i="5"/>
  <c r="G1126" i="5"/>
  <c r="Q1126" i="5"/>
  <c r="A1127" i="5"/>
  <c r="H1126" i="5"/>
  <c r="R1126" i="5"/>
  <c r="K1126" i="5"/>
  <c r="W1126" i="5"/>
  <c r="I1126" i="5"/>
  <c r="J1126" i="5"/>
  <c r="S1126" i="5"/>
  <c r="V1126" i="5"/>
  <c r="B1125" i="3"/>
  <c r="K1125" i="3"/>
  <c r="C1125" i="3"/>
  <c r="A1126" i="3"/>
  <c r="F1125" i="3"/>
  <c r="I1125" i="3"/>
  <c r="J1125" i="3"/>
  <c r="H1125" i="3"/>
  <c r="E1125" i="3"/>
  <c r="G1125" i="3"/>
  <c r="B1101" i="6"/>
  <c r="A1102" i="6"/>
  <c r="I1126" i="3" l="1"/>
  <c r="J1126" i="3"/>
  <c r="C1126" i="3"/>
  <c r="A1127" i="3"/>
  <c r="G1126" i="3"/>
  <c r="B1126" i="3"/>
  <c r="E1126" i="3"/>
  <c r="H1126" i="3"/>
  <c r="F1126" i="3"/>
  <c r="K1126" i="3"/>
  <c r="B1127" i="5"/>
  <c r="J1127" i="5"/>
  <c r="R1127" i="5"/>
  <c r="AC1127" i="5"/>
  <c r="C1127" i="5"/>
  <c r="K1127" i="5"/>
  <c r="S1127" i="5"/>
  <c r="A1128" i="5"/>
  <c r="H1127" i="5"/>
  <c r="T1127" i="5"/>
  <c r="I1127" i="5"/>
  <c r="U1127" i="5"/>
  <c r="L1127" i="5"/>
  <c r="V1127" i="5"/>
  <c r="M1127" i="5"/>
  <c r="W1127" i="5"/>
  <c r="D1127" i="5"/>
  <c r="N1127" i="5"/>
  <c r="X1127" i="5"/>
  <c r="P1127" i="5"/>
  <c r="E1127" i="5"/>
  <c r="G1127" i="5"/>
  <c r="F1127" i="5"/>
  <c r="AB1127" i="5"/>
  <c r="O1127" i="5"/>
  <c r="Q1127" i="5"/>
  <c r="A1103" i="6"/>
  <c r="B1102" i="6"/>
  <c r="H1126" i="4"/>
  <c r="D1126" i="4"/>
  <c r="E1126" i="4"/>
  <c r="G1126" i="4"/>
  <c r="B1126" i="4"/>
  <c r="A1127" i="4"/>
  <c r="C1126" i="4"/>
  <c r="J1126" i="4"/>
  <c r="I1126" i="4"/>
  <c r="F1126" i="4"/>
  <c r="F1127" i="4" l="1"/>
  <c r="C1127" i="4"/>
  <c r="D1127" i="4"/>
  <c r="G1127" i="4"/>
  <c r="J1127" i="4"/>
  <c r="B1127" i="4"/>
  <c r="A1128" i="4"/>
  <c r="E1127" i="4"/>
  <c r="H1127" i="4"/>
  <c r="I1127" i="4"/>
  <c r="G1127" i="3"/>
  <c r="H1127" i="3"/>
  <c r="J1127" i="3"/>
  <c r="E1127" i="3"/>
  <c r="F1127" i="3"/>
  <c r="K1127" i="3"/>
  <c r="I1127" i="3"/>
  <c r="A1128" i="3"/>
  <c r="B1127" i="3"/>
  <c r="C1127" i="3"/>
  <c r="H1128" i="5"/>
  <c r="P1128" i="5"/>
  <c r="X1128" i="5"/>
  <c r="I1128" i="5"/>
  <c r="Q1128" i="5"/>
  <c r="AB1128" i="5"/>
  <c r="D1128" i="5"/>
  <c r="N1128" i="5"/>
  <c r="AC1128" i="5"/>
  <c r="E1128" i="5"/>
  <c r="O1128" i="5"/>
  <c r="A1129" i="5"/>
  <c r="F1128" i="5"/>
  <c r="R1128" i="5"/>
  <c r="G1128" i="5"/>
  <c r="S1128" i="5"/>
  <c r="J1128" i="5"/>
  <c r="T1128" i="5"/>
  <c r="U1128" i="5"/>
  <c r="B1128" i="5"/>
  <c r="C1128" i="5"/>
  <c r="L1128" i="5"/>
  <c r="M1128" i="5"/>
  <c r="V1128" i="5"/>
  <c r="K1128" i="5"/>
  <c r="W1128" i="5"/>
  <c r="B1103" i="6"/>
  <c r="A1104" i="6"/>
  <c r="A1105" i="6" l="1"/>
  <c r="B1104" i="6"/>
  <c r="F1129" i="5"/>
  <c r="N1129" i="5"/>
  <c r="V1129" i="5"/>
  <c r="G1129" i="5"/>
  <c r="O1129" i="5"/>
  <c r="W1129" i="5"/>
  <c r="J1129" i="5"/>
  <c r="T1129" i="5"/>
  <c r="K1129" i="5"/>
  <c r="U1129" i="5"/>
  <c r="B1129" i="5"/>
  <c r="L1129" i="5"/>
  <c r="X1129" i="5"/>
  <c r="C1129" i="5"/>
  <c r="M1129" i="5"/>
  <c r="AB1129" i="5"/>
  <c r="D1129" i="5"/>
  <c r="P1129" i="5"/>
  <c r="AC1129" i="5"/>
  <c r="S1129" i="5"/>
  <c r="E1129" i="5"/>
  <c r="H1129" i="5"/>
  <c r="Q1129" i="5"/>
  <c r="I1129" i="5"/>
  <c r="R1129" i="5"/>
  <c r="A1130" i="5"/>
  <c r="D1128" i="4"/>
  <c r="B1128" i="4"/>
  <c r="A1129" i="4"/>
  <c r="C1128" i="4"/>
  <c r="F1128" i="4"/>
  <c r="I1128" i="4"/>
  <c r="J1128" i="4"/>
  <c r="E1128" i="4"/>
  <c r="G1128" i="4"/>
  <c r="H1128" i="4"/>
  <c r="E1128" i="3"/>
  <c r="F1128" i="3"/>
  <c r="H1128" i="3"/>
  <c r="B1128" i="3"/>
  <c r="K1128" i="3"/>
  <c r="A1129" i="3"/>
  <c r="C1128" i="3"/>
  <c r="G1128" i="3"/>
  <c r="I1128" i="3"/>
  <c r="J1128" i="3"/>
  <c r="B1129" i="3" l="1"/>
  <c r="K1129" i="3"/>
  <c r="C1129" i="3"/>
  <c r="A1130" i="3"/>
  <c r="F1129" i="3"/>
  <c r="I1129" i="3"/>
  <c r="E1129" i="3"/>
  <c r="G1129" i="3"/>
  <c r="H1129" i="3"/>
  <c r="J1129" i="3"/>
  <c r="D1130" i="5"/>
  <c r="L1130" i="5"/>
  <c r="T1130" i="5"/>
  <c r="E1130" i="5"/>
  <c r="M1130" i="5"/>
  <c r="U1130" i="5"/>
  <c r="F1130" i="5"/>
  <c r="P1130" i="5"/>
  <c r="AC1130" i="5"/>
  <c r="G1130" i="5"/>
  <c r="Q1130" i="5"/>
  <c r="A1131" i="5"/>
  <c r="H1130" i="5"/>
  <c r="R1130" i="5"/>
  <c r="I1130" i="5"/>
  <c r="S1130" i="5"/>
  <c r="J1130" i="5"/>
  <c r="V1130" i="5"/>
  <c r="X1130" i="5"/>
  <c r="C1130" i="5"/>
  <c r="K1130" i="5"/>
  <c r="O1130" i="5"/>
  <c r="W1130" i="5"/>
  <c r="AB1130" i="5"/>
  <c r="B1130" i="5"/>
  <c r="N1130" i="5"/>
  <c r="B1129" i="4"/>
  <c r="J1129" i="4"/>
  <c r="A1130" i="4"/>
  <c r="C1129" i="4"/>
  <c r="E1129" i="4"/>
  <c r="H1129" i="4"/>
  <c r="I1129" i="4"/>
  <c r="G1129" i="4"/>
  <c r="F1129" i="4"/>
  <c r="D1129" i="4"/>
  <c r="A1106" i="6"/>
  <c r="B1105" i="6"/>
  <c r="A1107" i="6" l="1"/>
  <c r="B1106" i="6"/>
  <c r="H1130" i="4"/>
  <c r="J1130" i="4"/>
  <c r="B1130" i="4"/>
  <c r="A1131" i="4"/>
  <c r="D1130" i="4"/>
  <c r="G1130" i="4"/>
  <c r="I1130" i="4"/>
  <c r="C1130" i="4"/>
  <c r="E1130" i="4"/>
  <c r="F1130" i="4"/>
  <c r="B1131" i="5"/>
  <c r="J1131" i="5"/>
  <c r="R1131" i="5"/>
  <c r="AC1131" i="5"/>
  <c r="C1131" i="5"/>
  <c r="K1131" i="5"/>
  <c r="S1131" i="5"/>
  <c r="A1132" i="5"/>
  <c r="L1131" i="5"/>
  <c r="V1131" i="5"/>
  <c r="M1131" i="5"/>
  <c r="W1131" i="5"/>
  <c r="D1131" i="5"/>
  <c r="N1131" i="5"/>
  <c r="X1131" i="5"/>
  <c r="E1131" i="5"/>
  <c r="O1131" i="5"/>
  <c r="AB1131" i="5"/>
  <c r="F1131" i="5"/>
  <c r="P1131" i="5"/>
  <c r="H1131" i="5"/>
  <c r="I1131" i="5"/>
  <c r="T1131" i="5"/>
  <c r="Q1131" i="5"/>
  <c r="U1131" i="5"/>
  <c r="G1131" i="5"/>
  <c r="I1130" i="3"/>
  <c r="J1130" i="3"/>
  <c r="C1130" i="3"/>
  <c r="A1131" i="3"/>
  <c r="G1130" i="3"/>
  <c r="H1130" i="3"/>
  <c r="K1130" i="3"/>
  <c r="E1130" i="3"/>
  <c r="F1130" i="3"/>
  <c r="B1130" i="3"/>
  <c r="F1131" i="4" l="1"/>
  <c r="I1131" i="4"/>
  <c r="J1131" i="4"/>
  <c r="C1131" i="4"/>
  <c r="G1131" i="4"/>
  <c r="H1131" i="4"/>
  <c r="B1131" i="4"/>
  <c r="A1132" i="4"/>
  <c r="E1131" i="4"/>
  <c r="D1131" i="4"/>
  <c r="G1131" i="3"/>
  <c r="H1131" i="3"/>
  <c r="J1131" i="3"/>
  <c r="E1131" i="3"/>
  <c r="B1131" i="3"/>
  <c r="F1131" i="3"/>
  <c r="C1131" i="3"/>
  <c r="I1131" i="3"/>
  <c r="K1131" i="3"/>
  <c r="A1132" i="3"/>
  <c r="H1132" i="5"/>
  <c r="P1132" i="5"/>
  <c r="X1132" i="5"/>
  <c r="I1132" i="5"/>
  <c r="Q1132" i="5"/>
  <c r="AB1132" i="5"/>
  <c r="F1132" i="5"/>
  <c r="R1132" i="5"/>
  <c r="G1132" i="5"/>
  <c r="S1132" i="5"/>
  <c r="J1132" i="5"/>
  <c r="T1132" i="5"/>
  <c r="K1132" i="5"/>
  <c r="U1132" i="5"/>
  <c r="B1132" i="5"/>
  <c r="L1132" i="5"/>
  <c r="V1132" i="5"/>
  <c r="C1132" i="5"/>
  <c r="A1133" i="5"/>
  <c r="M1132" i="5"/>
  <c r="N1132" i="5"/>
  <c r="W1132" i="5"/>
  <c r="AC1132" i="5"/>
  <c r="E1132" i="5"/>
  <c r="O1132" i="5"/>
  <c r="D1132" i="5"/>
  <c r="A1108" i="6"/>
  <c r="B1107" i="6"/>
  <c r="D1132" i="4" l="1"/>
  <c r="H1132" i="4"/>
  <c r="I1132" i="4"/>
  <c r="B1132" i="4"/>
  <c r="A1133" i="4"/>
  <c r="F1132" i="4"/>
  <c r="G1132" i="4"/>
  <c r="C1132" i="4"/>
  <c r="E1132" i="4"/>
  <c r="J1132" i="4"/>
  <c r="A1109" i="6"/>
  <c r="B1108" i="6"/>
  <c r="E1132" i="3"/>
  <c r="F1132" i="3"/>
  <c r="H1132" i="3"/>
  <c r="B1132" i="3"/>
  <c r="K1132" i="3"/>
  <c r="C1132" i="3"/>
  <c r="A1133" i="3"/>
  <c r="G1132" i="3"/>
  <c r="I1132" i="3"/>
  <c r="J1132" i="3"/>
  <c r="F1133" i="5"/>
  <c r="N1133" i="5"/>
  <c r="V1133" i="5"/>
  <c r="G1133" i="5"/>
  <c r="O1133" i="5"/>
  <c r="W1133" i="5"/>
  <c r="B1133" i="5"/>
  <c r="L1133" i="5"/>
  <c r="X1133" i="5"/>
  <c r="C1133" i="5"/>
  <c r="M1133" i="5"/>
  <c r="AB1133" i="5"/>
  <c r="D1133" i="5"/>
  <c r="P1133" i="5"/>
  <c r="AC1133" i="5"/>
  <c r="E1133" i="5"/>
  <c r="Q1133" i="5"/>
  <c r="A1134" i="5"/>
  <c r="H1133" i="5"/>
  <c r="R1133" i="5"/>
  <c r="K1133" i="5"/>
  <c r="S1133" i="5"/>
  <c r="U1133" i="5"/>
  <c r="I1133" i="5"/>
  <c r="T1133" i="5"/>
  <c r="J1133" i="5"/>
  <c r="B1133" i="4" l="1"/>
  <c r="J1133" i="4"/>
  <c r="G1133" i="4"/>
  <c r="H1133" i="4"/>
  <c r="A1134" i="4"/>
  <c r="E1133" i="4"/>
  <c r="F1133" i="4"/>
  <c r="C1133" i="4"/>
  <c r="D1133" i="4"/>
  <c r="I1133" i="4"/>
  <c r="D1134" i="5"/>
  <c r="L1134" i="5"/>
  <c r="T1134" i="5"/>
  <c r="E1134" i="5"/>
  <c r="M1134" i="5"/>
  <c r="U1134" i="5"/>
  <c r="H1134" i="5"/>
  <c r="R1134" i="5"/>
  <c r="I1134" i="5"/>
  <c r="S1134" i="5"/>
  <c r="J1134" i="5"/>
  <c r="V1134" i="5"/>
  <c r="K1134" i="5"/>
  <c r="W1134" i="5"/>
  <c r="B1134" i="5"/>
  <c r="N1134" i="5"/>
  <c r="X1134" i="5"/>
  <c r="F1134" i="5"/>
  <c r="P1134" i="5"/>
  <c r="Q1134" i="5"/>
  <c r="AC1134" i="5"/>
  <c r="A1135" i="5"/>
  <c r="O1134" i="5"/>
  <c r="AB1134" i="5"/>
  <c r="C1134" i="5"/>
  <c r="G1134" i="5"/>
  <c r="B1133" i="3"/>
  <c r="K1133" i="3"/>
  <c r="C1133" i="3"/>
  <c r="A1134" i="3"/>
  <c r="F1133" i="3"/>
  <c r="I1133" i="3"/>
  <c r="J1133" i="3"/>
  <c r="E1133" i="3"/>
  <c r="G1133" i="3"/>
  <c r="H1133" i="3"/>
  <c r="B1109" i="6"/>
  <c r="A1110" i="6"/>
  <c r="H1134" i="4" l="1"/>
  <c r="F1134" i="4"/>
  <c r="G1134" i="4"/>
  <c r="J1134" i="4"/>
  <c r="D1134" i="4"/>
  <c r="E1134" i="4"/>
  <c r="I1134" i="4"/>
  <c r="A1135" i="4"/>
  <c r="C1134" i="4"/>
  <c r="B1134" i="4"/>
  <c r="A1111" i="6"/>
  <c r="B1110" i="6"/>
  <c r="I1134" i="3"/>
  <c r="J1134" i="3"/>
  <c r="C1134" i="3"/>
  <c r="A1135" i="3"/>
  <c r="G1134" i="3"/>
  <c r="E1134" i="3"/>
  <c r="B1134" i="3"/>
  <c r="H1134" i="3"/>
  <c r="F1134" i="3"/>
  <c r="K1134" i="3"/>
  <c r="B1135" i="5"/>
  <c r="J1135" i="5"/>
  <c r="R1135" i="5"/>
  <c r="AC1135" i="5"/>
  <c r="C1135" i="5"/>
  <c r="K1135" i="5"/>
  <c r="S1135" i="5"/>
  <c r="A1136" i="5"/>
  <c r="D1135" i="5"/>
  <c r="N1135" i="5"/>
  <c r="X1135" i="5"/>
  <c r="E1135" i="5"/>
  <c r="O1135" i="5"/>
  <c r="AB1135" i="5"/>
  <c r="F1135" i="5"/>
  <c r="P1135" i="5"/>
  <c r="G1135" i="5"/>
  <c r="Q1135" i="5"/>
  <c r="H1135" i="5"/>
  <c r="T1135" i="5"/>
  <c r="I1135" i="5"/>
  <c r="U1135" i="5"/>
  <c r="V1135" i="5"/>
  <c r="L1135" i="5"/>
  <c r="W1135" i="5"/>
  <c r="M1135" i="5"/>
  <c r="G1135" i="3" l="1"/>
  <c r="H1135" i="3"/>
  <c r="J1135" i="3"/>
  <c r="E1135" i="3"/>
  <c r="F1135" i="3"/>
  <c r="I1135" i="3"/>
  <c r="K1135" i="3"/>
  <c r="A1136" i="3"/>
  <c r="B1135" i="3"/>
  <c r="C1135" i="3"/>
  <c r="F1135" i="4"/>
  <c r="E1135" i="4"/>
  <c r="G1135" i="4"/>
  <c r="I1135" i="4"/>
  <c r="C1135" i="4"/>
  <c r="D1135" i="4"/>
  <c r="B1135" i="4"/>
  <c r="H1135" i="4"/>
  <c r="J1135" i="4"/>
  <c r="A1136" i="4"/>
  <c r="H1136" i="5"/>
  <c r="P1136" i="5"/>
  <c r="X1136" i="5"/>
  <c r="I1136" i="5"/>
  <c r="Q1136" i="5"/>
  <c r="AB1136" i="5"/>
  <c r="J1136" i="5"/>
  <c r="T1136" i="5"/>
  <c r="K1136" i="5"/>
  <c r="U1136" i="5"/>
  <c r="B1136" i="5"/>
  <c r="L1136" i="5"/>
  <c r="V1136" i="5"/>
  <c r="C1136" i="5"/>
  <c r="M1136" i="5"/>
  <c r="W1136" i="5"/>
  <c r="D1136" i="5"/>
  <c r="N1136" i="5"/>
  <c r="AC1136" i="5"/>
  <c r="G1136" i="5"/>
  <c r="S1136" i="5"/>
  <c r="A1137" i="5"/>
  <c r="E1136" i="5"/>
  <c r="R1136" i="5"/>
  <c r="O1136" i="5"/>
  <c r="F1136" i="5"/>
  <c r="A1112" i="6"/>
  <c r="B1111" i="6"/>
  <c r="E1136" i="3" l="1"/>
  <c r="F1136" i="3"/>
  <c r="H1136" i="3"/>
  <c r="B1136" i="3"/>
  <c r="K1136" i="3"/>
  <c r="A1137" i="3"/>
  <c r="C1136" i="3"/>
  <c r="J1136" i="3"/>
  <c r="G1136" i="3"/>
  <c r="I1136" i="3"/>
  <c r="A1113" i="6"/>
  <c r="B1112" i="6"/>
  <c r="D1136" i="4"/>
  <c r="E1136" i="4"/>
  <c r="F1136" i="4"/>
  <c r="H1136" i="4"/>
  <c r="B1136" i="4"/>
  <c r="A1137" i="4"/>
  <c r="C1136" i="4"/>
  <c r="J1136" i="4"/>
  <c r="I1136" i="4"/>
  <c r="G1136" i="4"/>
  <c r="F1137" i="5"/>
  <c r="N1137" i="5"/>
  <c r="V1137" i="5"/>
  <c r="G1137" i="5"/>
  <c r="O1137" i="5"/>
  <c r="W1137" i="5"/>
  <c r="D1137" i="5"/>
  <c r="P1137" i="5"/>
  <c r="AC1137" i="5"/>
  <c r="E1137" i="5"/>
  <c r="Q1137" i="5"/>
  <c r="A1138" i="5"/>
  <c r="H1137" i="5"/>
  <c r="R1137" i="5"/>
  <c r="I1137" i="5"/>
  <c r="S1137" i="5"/>
  <c r="J1137" i="5"/>
  <c r="T1137" i="5"/>
  <c r="L1137" i="5"/>
  <c r="X1137" i="5"/>
  <c r="AB1137" i="5"/>
  <c r="C1137" i="5"/>
  <c r="K1137" i="5"/>
  <c r="M1137" i="5"/>
  <c r="B1137" i="5"/>
  <c r="U1137" i="5"/>
  <c r="B1137" i="3" l="1"/>
  <c r="K1137" i="3"/>
  <c r="C1137" i="3"/>
  <c r="A1138" i="3"/>
  <c r="F1137" i="3"/>
  <c r="I1137" i="3"/>
  <c r="E1137" i="3"/>
  <c r="G1137" i="3"/>
  <c r="J1137" i="3"/>
  <c r="H1137" i="3"/>
  <c r="B1113" i="6"/>
  <c r="A1114" i="6"/>
  <c r="D1138" i="5"/>
  <c r="L1138" i="5"/>
  <c r="T1138" i="5"/>
  <c r="E1138" i="5"/>
  <c r="M1138" i="5"/>
  <c r="U1138" i="5"/>
  <c r="J1138" i="5"/>
  <c r="V1138" i="5"/>
  <c r="K1138" i="5"/>
  <c r="W1138" i="5"/>
  <c r="B1138" i="5"/>
  <c r="N1138" i="5"/>
  <c r="X1138" i="5"/>
  <c r="C1138" i="5"/>
  <c r="O1138" i="5"/>
  <c r="AB1138" i="5"/>
  <c r="F1138" i="5"/>
  <c r="P1138" i="5"/>
  <c r="AC1138" i="5"/>
  <c r="Q1138" i="5"/>
  <c r="A1139" i="5"/>
  <c r="H1138" i="5"/>
  <c r="G1138" i="5"/>
  <c r="S1138" i="5"/>
  <c r="I1138" i="5"/>
  <c r="R1138" i="5"/>
  <c r="B1137" i="4"/>
  <c r="J1137" i="4"/>
  <c r="D1137" i="4"/>
  <c r="E1137" i="4"/>
  <c r="G1137" i="4"/>
  <c r="A1138" i="4"/>
  <c r="C1137" i="4"/>
  <c r="F1137" i="4"/>
  <c r="H1137" i="4"/>
  <c r="I1137" i="4"/>
  <c r="H1138" i="4" l="1"/>
  <c r="C1138" i="4"/>
  <c r="D1138" i="4"/>
  <c r="F1138" i="4"/>
  <c r="J1138" i="4"/>
  <c r="B1138" i="4"/>
  <c r="A1139" i="4"/>
  <c r="E1138" i="4"/>
  <c r="G1138" i="4"/>
  <c r="I1138" i="4"/>
  <c r="A1115" i="6"/>
  <c r="B1114" i="6"/>
  <c r="I1138" i="3"/>
  <c r="J1138" i="3"/>
  <c r="C1138" i="3"/>
  <c r="A1139" i="3"/>
  <c r="G1138" i="3"/>
  <c r="H1138" i="3"/>
  <c r="K1138" i="3"/>
  <c r="F1138" i="3"/>
  <c r="B1138" i="3"/>
  <c r="E1138" i="3"/>
  <c r="B1139" i="5"/>
  <c r="J1139" i="5"/>
  <c r="R1139" i="5"/>
  <c r="AC1139" i="5"/>
  <c r="C1139" i="5"/>
  <c r="K1139" i="5"/>
  <c r="S1139" i="5"/>
  <c r="A1140" i="5"/>
  <c r="F1139" i="5"/>
  <c r="P1139" i="5"/>
  <c r="G1139" i="5"/>
  <c r="Q1139" i="5"/>
  <c r="H1139" i="5"/>
  <c r="T1139" i="5"/>
  <c r="I1139" i="5"/>
  <c r="U1139" i="5"/>
  <c r="L1139" i="5"/>
  <c r="V1139" i="5"/>
  <c r="O1139" i="5"/>
  <c r="AB1139" i="5"/>
  <c r="D1139" i="5"/>
  <c r="M1139" i="5"/>
  <c r="N1139" i="5"/>
  <c r="W1139" i="5"/>
  <c r="E1139" i="5"/>
  <c r="X1139" i="5"/>
  <c r="G1139" i="3" l="1"/>
  <c r="H1139" i="3"/>
  <c r="J1139" i="3"/>
  <c r="E1139" i="3"/>
  <c r="B1139" i="3"/>
  <c r="F1139" i="3"/>
  <c r="C1139" i="3"/>
  <c r="I1139" i="3"/>
  <c r="K1139" i="3"/>
  <c r="A1140" i="3"/>
  <c r="F1139" i="4"/>
  <c r="B1139" i="4"/>
  <c r="A1140" i="4"/>
  <c r="C1139" i="4"/>
  <c r="E1139" i="4"/>
  <c r="I1139" i="4"/>
  <c r="J1139" i="4"/>
  <c r="G1139" i="4"/>
  <c r="H1139" i="4"/>
  <c r="D1139" i="4"/>
  <c r="H1140" i="5"/>
  <c r="P1140" i="5"/>
  <c r="X1140" i="5"/>
  <c r="I1140" i="5"/>
  <c r="Q1140" i="5"/>
  <c r="AB1140" i="5"/>
  <c r="B1140" i="5"/>
  <c r="L1140" i="5"/>
  <c r="V1140" i="5"/>
  <c r="C1140" i="5"/>
  <c r="M1140" i="5"/>
  <c r="W1140" i="5"/>
  <c r="D1140" i="5"/>
  <c r="N1140" i="5"/>
  <c r="AC1140" i="5"/>
  <c r="E1140" i="5"/>
  <c r="O1140" i="5"/>
  <c r="A1141" i="5"/>
  <c r="F1140" i="5"/>
  <c r="R1140" i="5"/>
  <c r="T1140" i="5"/>
  <c r="G1140" i="5"/>
  <c r="K1140" i="5"/>
  <c r="J1140" i="5"/>
  <c r="S1140" i="5"/>
  <c r="U1140" i="5"/>
  <c r="B1115" i="6"/>
  <c r="A1116" i="6"/>
  <c r="A1117" i="6" l="1"/>
  <c r="B1116" i="6"/>
  <c r="F1141" i="5"/>
  <c r="N1141" i="5"/>
  <c r="V1141" i="5"/>
  <c r="G1141" i="5"/>
  <c r="O1141" i="5"/>
  <c r="W1141" i="5"/>
  <c r="H1141" i="5"/>
  <c r="R1141" i="5"/>
  <c r="I1141" i="5"/>
  <c r="S1141" i="5"/>
  <c r="J1141" i="5"/>
  <c r="T1141" i="5"/>
  <c r="K1141" i="5"/>
  <c r="U1141" i="5"/>
  <c r="B1141" i="5"/>
  <c r="L1141" i="5"/>
  <c r="X1141" i="5"/>
  <c r="AB1141" i="5"/>
  <c r="D1141" i="5"/>
  <c r="E1141" i="5"/>
  <c r="P1141" i="5"/>
  <c r="Q1141" i="5"/>
  <c r="AC1141" i="5"/>
  <c r="C1141" i="5"/>
  <c r="M1141" i="5"/>
  <c r="A1142" i="5"/>
  <c r="D1140" i="4"/>
  <c r="J1140" i="4"/>
  <c r="B1140" i="4"/>
  <c r="A1141" i="4"/>
  <c r="E1140" i="4"/>
  <c r="H1140" i="4"/>
  <c r="I1140" i="4"/>
  <c r="C1140" i="4"/>
  <c r="F1140" i="4"/>
  <c r="G1140" i="4"/>
  <c r="E1140" i="3"/>
  <c r="F1140" i="3"/>
  <c r="H1140" i="3"/>
  <c r="B1140" i="3"/>
  <c r="K1140" i="3"/>
  <c r="C1140" i="3"/>
  <c r="G1140" i="3"/>
  <c r="I1140" i="3"/>
  <c r="A1141" i="3"/>
  <c r="J1140" i="3"/>
  <c r="D1142" i="5" l="1"/>
  <c r="L1142" i="5"/>
  <c r="T1142" i="5"/>
  <c r="E1142" i="5"/>
  <c r="M1142" i="5"/>
  <c r="U1142" i="5"/>
  <c r="B1142" i="5"/>
  <c r="N1142" i="5"/>
  <c r="X1142" i="5"/>
  <c r="C1142" i="5"/>
  <c r="O1142" i="5"/>
  <c r="AB1142" i="5"/>
  <c r="F1142" i="5"/>
  <c r="P1142" i="5"/>
  <c r="AC1142" i="5"/>
  <c r="G1142" i="5"/>
  <c r="Q1142" i="5"/>
  <c r="A1143" i="5"/>
  <c r="H1142" i="5"/>
  <c r="R1142" i="5"/>
  <c r="W1142" i="5"/>
  <c r="I1142" i="5"/>
  <c r="J1142" i="5"/>
  <c r="S1142" i="5"/>
  <c r="K1142" i="5"/>
  <c r="V1142" i="5"/>
  <c r="B1141" i="4"/>
  <c r="J1141" i="4"/>
  <c r="I1141" i="4"/>
  <c r="A1142" i="4"/>
  <c r="D1141" i="4"/>
  <c r="G1141" i="4"/>
  <c r="H1141" i="4"/>
  <c r="F1141" i="4"/>
  <c r="C1141" i="4"/>
  <c r="E1141" i="4"/>
  <c r="B1141" i="3"/>
  <c r="K1141" i="3"/>
  <c r="C1141" i="3"/>
  <c r="A1142" i="3"/>
  <c r="F1141" i="3"/>
  <c r="I1141" i="3"/>
  <c r="J1141" i="3"/>
  <c r="G1141" i="3"/>
  <c r="E1141" i="3"/>
  <c r="H1141" i="3"/>
  <c r="A1118" i="6"/>
  <c r="B1117" i="6"/>
  <c r="I1142" i="3" l="1"/>
  <c r="J1142" i="3"/>
  <c r="C1142" i="3"/>
  <c r="A1143" i="3"/>
  <c r="G1142" i="3"/>
  <c r="E1142" i="3"/>
  <c r="B1142" i="3"/>
  <c r="F1142" i="3"/>
  <c r="H1142" i="3"/>
  <c r="K1142" i="3"/>
  <c r="C1118" i="6"/>
  <c r="K1118" i="6"/>
  <c r="S1118" i="6"/>
  <c r="E1118" i="6"/>
  <c r="M1118" i="6"/>
  <c r="A1119" i="6"/>
  <c r="L1118" i="6"/>
  <c r="B1118" i="6"/>
  <c r="N1118" i="6"/>
  <c r="D1118" i="6"/>
  <c r="O1118" i="6"/>
  <c r="F1118" i="6"/>
  <c r="P1118" i="6"/>
  <c r="R1118" i="6"/>
  <c r="T1118" i="6"/>
  <c r="G1118" i="6"/>
  <c r="Q1118" i="6"/>
  <c r="J1118" i="6"/>
  <c r="I1118" i="6"/>
  <c r="H1118" i="6"/>
  <c r="H1142" i="4"/>
  <c r="I1142" i="4"/>
  <c r="J1142" i="4"/>
  <c r="C1142" i="4"/>
  <c r="F1142" i="4"/>
  <c r="G1142" i="4"/>
  <c r="B1142" i="4"/>
  <c r="D1142" i="4"/>
  <c r="E1142" i="4"/>
  <c r="A1143" i="4"/>
  <c r="B1143" i="5"/>
  <c r="J1143" i="5"/>
  <c r="R1143" i="5"/>
  <c r="AC1143" i="5"/>
  <c r="C1143" i="5"/>
  <c r="K1143" i="5"/>
  <c r="S1143" i="5"/>
  <c r="A1144" i="5"/>
  <c r="H1143" i="5"/>
  <c r="T1143" i="5"/>
  <c r="I1143" i="5"/>
  <c r="U1143" i="5"/>
  <c r="L1143" i="5"/>
  <c r="V1143" i="5"/>
  <c r="M1143" i="5"/>
  <c r="W1143" i="5"/>
  <c r="D1143" i="5"/>
  <c r="N1143" i="5"/>
  <c r="X1143" i="5"/>
  <c r="G1143" i="5"/>
  <c r="O1143" i="5"/>
  <c r="Q1143" i="5"/>
  <c r="AB1143" i="5"/>
  <c r="F1143" i="5"/>
  <c r="P1143" i="5"/>
  <c r="E1143" i="5"/>
  <c r="H1144" i="5" l="1"/>
  <c r="P1144" i="5"/>
  <c r="X1144" i="5"/>
  <c r="I1144" i="5"/>
  <c r="Q1144" i="5"/>
  <c r="AB1144" i="5"/>
  <c r="D1144" i="5"/>
  <c r="N1144" i="5"/>
  <c r="AC1144" i="5"/>
  <c r="E1144" i="5"/>
  <c r="O1144" i="5"/>
  <c r="A1145" i="5"/>
  <c r="F1144" i="5"/>
  <c r="R1144" i="5"/>
  <c r="G1144" i="5"/>
  <c r="S1144" i="5"/>
  <c r="J1144" i="5"/>
  <c r="T1144" i="5"/>
  <c r="B1144" i="5"/>
  <c r="L1144" i="5"/>
  <c r="M1144" i="5"/>
  <c r="V1144" i="5"/>
  <c r="C1144" i="5"/>
  <c r="U1144" i="5"/>
  <c r="K1144" i="5"/>
  <c r="W1144" i="5"/>
  <c r="F1143" i="4"/>
  <c r="H1143" i="4"/>
  <c r="I1143" i="4"/>
  <c r="B1143" i="4"/>
  <c r="A1144" i="4"/>
  <c r="E1143" i="4"/>
  <c r="G1143" i="4"/>
  <c r="C1143" i="4"/>
  <c r="D1143" i="4"/>
  <c r="J1143" i="4"/>
  <c r="G1119" i="6"/>
  <c r="O1119" i="6"/>
  <c r="I1119" i="6"/>
  <c r="Q1119" i="6"/>
  <c r="C1119" i="6"/>
  <c r="M1119" i="6"/>
  <c r="D1119" i="6"/>
  <c r="N1119" i="6"/>
  <c r="E1119" i="6"/>
  <c r="P1119" i="6"/>
  <c r="F1119" i="6"/>
  <c r="R1119" i="6"/>
  <c r="T1119" i="6"/>
  <c r="A1120" i="6"/>
  <c r="B1119" i="6"/>
  <c r="H1119" i="6"/>
  <c r="S1119" i="6"/>
  <c r="K1119" i="6"/>
  <c r="L1119" i="6"/>
  <c r="J1119" i="6"/>
  <c r="G1143" i="3"/>
  <c r="H1143" i="3"/>
  <c r="J1143" i="3"/>
  <c r="E1143" i="3"/>
  <c r="F1143" i="3"/>
  <c r="I1143" i="3"/>
  <c r="K1143" i="3"/>
  <c r="A1144" i="3"/>
  <c r="B1143" i="3"/>
  <c r="C1143" i="3"/>
  <c r="E1144" i="3" l="1"/>
  <c r="F1144" i="3"/>
  <c r="H1144" i="3"/>
  <c r="B1144" i="3"/>
  <c r="K1144" i="3"/>
  <c r="A1145" i="3"/>
  <c r="C1144" i="3"/>
  <c r="G1144" i="3"/>
  <c r="J1144" i="3"/>
  <c r="I1144" i="3"/>
  <c r="D1144" i="4"/>
  <c r="G1144" i="4"/>
  <c r="H1144" i="4"/>
  <c r="J1144" i="4"/>
  <c r="E1144" i="4"/>
  <c r="F1144" i="4"/>
  <c r="C1144" i="4"/>
  <c r="I1144" i="4"/>
  <c r="A1145" i="4"/>
  <c r="B1144" i="4"/>
  <c r="F1145" i="5"/>
  <c r="N1145" i="5"/>
  <c r="V1145" i="5"/>
  <c r="G1145" i="5"/>
  <c r="O1145" i="5"/>
  <c r="W1145" i="5"/>
  <c r="J1145" i="5"/>
  <c r="T1145" i="5"/>
  <c r="K1145" i="5"/>
  <c r="U1145" i="5"/>
  <c r="B1145" i="5"/>
  <c r="L1145" i="5"/>
  <c r="X1145" i="5"/>
  <c r="C1145" i="5"/>
  <c r="M1145" i="5"/>
  <c r="AB1145" i="5"/>
  <c r="D1145" i="5"/>
  <c r="P1145" i="5"/>
  <c r="AC1145" i="5"/>
  <c r="E1145" i="5"/>
  <c r="Q1145" i="5"/>
  <c r="R1145" i="5"/>
  <c r="A1146" i="5"/>
  <c r="I1145" i="5"/>
  <c r="S1145" i="5"/>
  <c r="H1145" i="5"/>
  <c r="C1120" i="6"/>
  <c r="K1120" i="6"/>
  <c r="S1120" i="6"/>
  <c r="E1120" i="6"/>
  <c r="M1120" i="6"/>
  <c r="A1121" i="6"/>
  <c r="D1120" i="6"/>
  <c r="O1120" i="6"/>
  <c r="F1120" i="6"/>
  <c r="P1120" i="6"/>
  <c r="G1120" i="6"/>
  <c r="Q1120" i="6"/>
  <c r="H1120" i="6"/>
  <c r="R1120" i="6"/>
  <c r="B1120" i="6"/>
  <c r="I1120" i="6"/>
  <c r="T1120" i="6"/>
  <c r="L1120" i="6"/>
  <c r="N1120" i="6"/>
  <c r="J1120" i="6"/>
  <c r="B1145" i="3" l="1"/>
  <c r="K1145" i="3"/>
  <c r="C1145" i="3"/>
  <c r="A1146" i="3"/>
  <c r="F1145" i="3"/>
  <c r="I1145" i="3"/>
  <c r="E1145" i="3"/>
  <c r="G1145" i="3"/>
  <c r="J1145" i="3"/>
  <c r="H1145" i="3"/>
  <c r="D1146" i="5"/>
  <c r="L1146" i="5"/>
  <c r="T1146" i="5"/>
  <c r="E1146" i="5"/>
  <c r="M1146" i="5"/>
  <c r="U1146" i="5"/>
  <c r="F1146" i="5"/>
  <c r="P1146" i="5"/>
  <c r="AC1146" i="5"/>
  <c r="G1146" i="5"/>
  <c r="Q1146" i="5"/>
  <c r="A1147" i="5"/>
  <c r="H1146" i="5"/>
  <c r="R1146" i="5"/>
  <c r="I1146" i="5"/>
  <c r="S1146" i="5"/>
  <c r="J1146" i="5"/>
  <c r="V1146" i="5"/>
  <c r="C1146" i="5"/>
  <c r="O1146" i="5"/>
  <c r="W1146" i="5"/>
  <c r="AB1146" i="5"/>
  <c r="B1146" i="5"/>
  <c r="K1146" i="5"/>
  <c r="X1146" i="5"/>
  <c r="N1146" i="5"/>
  <c r="B1145" i="4"/>
  <c r="J1145" i="4"/>
  <c r="F1145" i="4"/>
  <c r="G1145" i="4"/>
  <c r="I1145" i="4"/>
  <c r="D1145" i="4"/>
  <c r="E1145" i="4"/>
  <c r="C1145" i="4"/>
  <c r="H1145" i="4"/>
  <c r="A1146" i="4"/>
  <c r="G1121" i="6"/>
  <c r="O1121" i="6"/>
  <c r="I1121" i="6"/>
  <c r="Q1121" i="6"/>
  <c r="E1121" i="6"/>
  <c r="P1121" i="6"/>
  <c r="F1121" i="6"/>
  <c r="R1121" i="6"/>
  <c r="H1121" i="6"/>
  <c r="S1121" i="6"/>
  <c r="J1121" i="6"/>
  <c r="T1121" i="6"/>
  <c r="B1121" i="6"/>
  <c r="C1121" i="6"/>
  <c r="D1121" i="6"/>
  <c r="K1121" i="6"/>
  <c r="A1122" i="6"/>
  <c r="M1121" i="6"/>
  <c r="N1121" i="6"/>
  <c r="L1121" i="6"/>
  <c r="C1122" i="6" l="1"/>
  <c r="K1122" i="6"/>
  <c r="S1122" i="6"/>
  <c r="E1122" i="6"/>
  <c r="M1122" i="6"/>
  <c r="A1123" i="6"/>
  <c r="G1122" i="6"/>
  <c r="Q1122" i="6"/>
  <c r="H1122" i="6"/>
  <c r="R1122" i="6"/>
  <c r="I1122" i="6"/>
  <c r="T1122" i="6"/>
  <c r="J1122" i="6"/>
  <c r="B1122" i="6"/>
  <c r="D1122" i="6"/>
  <c r="F1122" i="6"/>
  <c r="L1122" i="6"/>
  <c r="N1122" i="6"/>
  <c r="O1122" i="6"/>
  <c r="P1122" i="6"/>
  <c r="H1146" i="4"/>
  <c r="E1146" i="4"/>
  <c r="F1146" i="4"/>
  <c r="I1146" i="4"/>
  <c r="C1146" i="4"/>
  <c r="D1146" i="4"/>
  <c r="J1146" i="4"/>
  <c r="A1147" i="4"/>
  <c r="G1146" i="4"/>
  <c r="B1146" i="4"/>
  <c r="B1147" i="5"/>
  <c r="J1147" i="5"/>
  <c r="R1147" i="5"/>
  <c r="AC1147" i="5"/>
  <c r="C1147" i="5"/>
  <c r="K1147" i="5"/>
  <c r="S1147" i="5"/>
  <c r="A1148" i="5"/>
  <c r="L1147" i="5"/>
  <c r="V1147" i="5"/>
  <c r="M1147" i="5"/>
  <c r="W1147" i="5"/>
  <c r="D1147" i="5"/>
  <c r="N1147" i="5"/>
  <c r="X1147" i="5"/>
  <c r="E1147" i="5"/>
  <c r="O1147" i="5"/>
  <c r="AB1147" i="5"/>
  <c r="F1147" i="5"/>
  <c r="P1147" i="5"/>
  <c r="H1147" i="5"/>
  <c r="T1147" i="5"/>
  <c r="U1147" i="5"/>
  <c r="Q1147" i="5"/>
  <c r="G1147" i="5"/>
  <c r="I1147" i="5"/>
  <c r="I1146" i="3"/>
  <c r="J1146" i="3"/>
  <c r="C1146" i="3"/>
  <c r="A1147" i="3"/>
  <c r="G1146" i="3"/>
  <c r="H1146" i="3"/>
  <c r="K1146" i="3"/>
  <c r="E1146" i="3"/>
  <c r="B1146" i="3"/>
  <c r="F1146" i="3"/>
  <c r="H1148" i="5" l="1"/>
  <c r="P1148" i="5"/>
  <c r="X1148" i="5"/>
  <c r="I1148" i="5"/>
  <c r="Q1148" i="5"/>
  <c r="AB1148" i="5"/>
  <c r="F1148" i="5"/>
  <c r="R1148" i="5"/>
  <c r="G1148" i="5"/>
  <c r="S1148" i="5"/>
  <c r="J1148" i="5"/>
  <c r="T1148" i="5"/>
  <c r="K1148" i="5"/>
  <c r="U1148" i="5"/>
  <c r="B1148" i="5"/>
  <c r="L1148" i="5"/>
  <c r="V1148" i="5"/>
  <c r="M1148" i="5"/>
  <c r="W1148" i="5"/>
  <c r="AC1148" i="5"/>
  <c r="D1148" i="5"/>
  <c r="E1148" i="5"/>
  <c r="N1148" i="5"/>
  <c r="A1149" i="5"/>
  <c r="C1148" i="5"/>
  <c r="O1148" i="5"/>
  <c r="G1123" i="6"/>
  <c r="O1123" i="6"/>
  <c r="I1123" i="6"/>
  <c r="Q1123" i="6"/>
  <c r="H1123" i="6"/>
  <c r="S1123" i="6"/>
  <c r="J1123" i="6"/>
  <c r="T1123" i="6"/>
  <c r="K1123" i="6"/>
  <c r="A1124" i="6"/>
  <c r="B1123" i="6"/>
  <c r="L1123" i="6"/>
  <c r="D1123" i="6"/>
  <c r="E1123" i="6"/>
  <c r="F1123" i="6"/>
  <c r="M1123" i="6"/>
  <c r="C1123" i="6"/>
  <c r="N1123" i="6"/>
  <c r="P1123" i="6"/>
  <c r="R1123" i="6"/>
  <c r="G1147" i="3"/>
  <c r="H1147" i="3"/>
  <c r="J1147" i="3"/>
  <c r="E1147" i="3"/>
  <c r="B1147" i="3"/>
  <c r="F1147" i="3"/>
  <c r="C1147" i="3"/>
  <c r="I1147" i="3"/>
  <c r="K1147" i="3"/>
  <c r="A1148" i="3"/>
  <c r="F1147" i="4"/>
  <c r="D1147" i="4"/>
  <c r="E1147" i="4"/>
  <c r="H1147" i="4"/>
  <c r="B1147" i="4"/>
  <c r="A1148" i="4"/>
  <c r="C1147" i="4"/>
  <c r="G1147" i="4"/>
  <c r="I1147" i="4"/>
  <c r="J1147" i="4"/>
  <c r="D1148" i="4" l="1"/>
  <c r="C1148" i="4"/>
  <c r="E1148" i="4"/>
  <c r="G1148" i="4"/>
  <c r="J1148" i="4"/>
  <c r="B1148" i="4"/>
  <c r="A1149" i="4"/>
  <c r="I1148" i="4"/>
  <c r="F1148" i="4"/>
  <c r="H1148" i="4"/>
  <c r="C1124" i="6"/>
  <c r="K1124" i="6"/>
  <c r="S1124" i="6"/>
  <c r="E1124" i="6"/>
  <c r="M1124" i="6"/>
  <c r="A1125" i="6"/>
  <c r="I1124" i="6"/>
  <c r="T1124" i="6"/>
  <c r="J1124" i="6"/>
  <c r="L1124" i="6"/>
  <c r="B1124" i="6"/>
  <c r="N1124" i="6"/>
  <c r="F1124" i="6"/>
  <c r="G1124" i="6"/>
  <c r="H1124" i="6"/>
  <c r="O1124" i="6"/>
  <c r="D1124" i="6"/>
  <c r="R1124" i="6"/>
  <c r="P1124" i="6"/>
  <c r="Q1124" i="6"/>
  <c r="F1149" i="5"/>
  <c r="N1149" i="5"/>
  <c r="V1149" i="5"/>
  <c r="G1149" i="5"/>
  <c r="O1149" i="5"/>
  <c r="W1149" i="5"/>
  <c r="B1149" i="5"/>
  <c r="L1149" i="5"/>
  <c r="X1149" i="5"/>
  <c r="C1149" i="5"/>
  <c r="M1149" i="5"/>
  <c r="AB1149" i="5"/>
  <c r="D1149" i="5"/>
  <c r="P1149" i="5"/>
  <c r="AC1149" i="5"/>
  <c r="E1149" i="5"/>
  <c r="Q1149" i="5"/>
  <c r="A1150" i="5"/>
  <c r="H1149" i="5"/>
  <c r="R1149" i="5"/>
  <c r="K1149" i="5"/>
  <c r="U1149" i="5"/>
  <c r="I1149" i="5"/>
  <c r="T1149" i="5"/>
  <c r="S1149" i="5"/>
  <c r="J1149" i="5"/>
  <c r="E1148" i="3"/>
  <c r="F1148" i="3"/>
  <c r="H1148" i="3"/>
  <c r="B1148" i="3"/>
  <c r="K1148" i="3"/>
  <c r="C1148" i="3"/>
  <c r="G1148" i="3"/>
  <c r="I1148" i="3"/>
  <c r="J1148" i="3"/>
  <c r="A1149" i="3"/>
  <c r="D1150" i="5" l="1"/>
  <c r="L1150" i="5"/>
  <c r="T1150" i="5"/>
  <c r="E1150" i="5"/>
  <c r="M1150" i="5"/>
  <c r="U1150" i="5"/>
  <c r="H1150" i="5"/>
  <c r="R1150" i="5"/>
  <c r="I1150" i="5"/>
  <c r="S1150" i="5"/>
  <c r="J1150" i="5"/>
  <c r="V1150" i="5"/>
  <c r="K1150" i="5"/>
  <c r="W1150" i="5"/>
  <c r="B1150" i="5"/>
  <c r="N1150" i="5"/>
  <c r="X1150" i="5"/>
  <c r="P1150" i="5"/>
  <c r="AC1150" i="5"/>
  <c r="C1150" i="5"/>
  <c r="A1151" i="5"/>
  <c r="G1150" i="5"/>
  <c r="O1150" i="5"/>
  <c r="Q1150" i="5"/>
  <c r="F1150" i="5"/>
  <c r="AB1150" i="5"/>
  <c r="G1125" i="6"/>
  <c r="O1125" i="6"/>
  <c r="I1125" i="6"/>
  <c r="Q1125" i="6"/>
  <c r="K1125" i="6"/>
  <c r="A1126" i="6"/>
  <c r="B1125" i="6"/>
  <c r="L1125" i="6"/>
  <c r="C1125" i="6"/>
  <c r="M1125" i="6"/>
  <c r="D1125" i="6"/>
  <c r="N1125" i="6"/>
  <c r="F1125" i="6"/>
  <c r="H1125" i="6"/>
  <c r="J1125" i="6"/>
  <c r="P1125" i="6"/>
  <c r="E1125" i="6"/>
  <c r="R1125" i="6"/>
  <c r="T1125" i="6"/>
  <c r="S1125" i="6"/>
  <c r="B1149" i="4"/>
  <c r="C1149" i="4"/>
  <c r="A1150" i="4"/>
  <c r="D1149" i="4"/>
  <c r="F1149" i="4"/>
  <c r="I1149" i="4"/>
  <c r="J1149" i="4"/>
  <c r="E1149" i="4"/>
  <c r="G1149" i="4"/>
  <c r="H1149" i="4"/>
  <c r="B1149" i="3"/>
  <c r="K1149" i="3"/>
  <c r="C1149" i="3"/>
  <c r="A1150" i="3"/>
  <c r="F1149" i="3"/>
  <c r="I1149" i="3"/>
  <c r="J1149" i="3"/>
  <c r="H1149" i="3"/>
  <c r="E1149" i="3"/>
  <c r="G1149" i="3"/>
  <c r="C1126" i="6" l="1"/>
  <c r="K1126" i="6"/>
  <c r="S1126" i="6"/>
  <c r="E1126" i="6"/>
  <c r="M1126" i="6"/>
  <c r="A1127" i="6"/>
  <c r="L1126" i="6"/>
  <c r="B1126" i="6"/>
  <c r="N1126" i="6"/>
  <c r="D1126" i="6"/>
  <c r="O1126" i="6"/>
  <c r="F1126" i="6"/>
  <c r="P1126" i="6"/>
  <c r="H1126" i="6"/>
  <c r="I1126" i="6"/>
  <c r="J1126" i="6"/>
  <c r="Q1126" i="6"/>
  <c r="G1126" i="6"/>
  <c r="R1126" i="6"/>
  <c r="T1126" i="6"/>
  <c r="B1151" i="5"/>
  <c r="J1151" i="5"/>
  <c r="R1151" i="5"/>
  <c r="AC1151" i="5"/>
  <c r="C1151" i="5"/>
  <c r="K1151" i="5"/>
  <c r="S1151" i="5"/>
  <c r="A1152" i="5"/>
  <c r="D1151" i="5"/>
  <c r="N1151" i="5"/>
  <c r="X1151" i="5"/>
  <c r="E1151" i="5"/>
  <c r="O1151" i="5"/>
  <c r="AB1151" i="5"/>
  <c r="F1151" i="5"/>
  <c r="P1151" i="5"/>
  <c r="G1151" i="5"/>
  <c r="Q1151" i="5"/>
  <c r="H1151" i="5"/>
  <c r="T1151" i="5"/>
  <c r="U1151" i="5"/>
  <c r="L1151" i="5"/>
  <c r="I1151" i="5"/>
  <c r="W1151" i="5"/>
  <c r="M1151" i="5"/>
  <c r="V1151" i="5"/>
  <c r="I1150" i="3"/>
  <c r="J1150" i="3"/>
  <c r="C1150" i="3"/>
  <c r="A1151" i="3"/>
  <c r="G1150" i="3"/>
  <c r="H1150" i="3"/>
  <c r="B1150" i="3"/>
  <c r="E1150" i="3"/>
  <c r="F1150" i="3"/>
  <c r="K1150" i="3"/>
  <c r="I1150" i="4"/>
  <c r="B1150" i="4"/>
  <c r="J1150" i="4"/>
  <c r="D1150" i="4"/>
  <c r="G1150" i="4"/>
  <c r="H1150" i="4"/>
  <c r="C1150" i="4"/>
  <c r="E1150" i="4"/>
  <c r="A1151" i="4"/>
  <c r="F1150" i="4"/>
  <c r="G1127" i="6" l="1"/>
  <c r="O1127" i="6"/>
  <c r="I1127" i="6"/>
  <c r="Q1127" i="6"/>
  <c r="C1127" i="6"/>
  <c r="M1127" i="6"/>
  <c r="D1127" i="6"/>
  <c r="N1127" i="6"/>
  <c r="E1127" i="6"/>
  <c r="P1127" i="6"/>
  <c r="F1127" i="6"/>
  <c r="R1127" i="6"/>
  <c r="J1127" i="6"/>
  <c r="K1127" i="6"/>
  <c r="L1127" i="6"/>
  <c r="S1127" i="6"/>
  <c r="H1127" i="6"/>
  <c r="A1128" i="6"/>
  <c r="B1127" i="6"/>
  <c r="T1127" i="6"/>
  <c r="H1152" i="5"/>
  <c r="P1152" i="5"/>
  <c r="X1152" i="5"/>
  <c r="I1152" i="5"/>
  <c r="Q1152" i="5"/>
  <c r="AB1152" i="5"/>
  <c r="J1152" i="5"/>
  <c r="T1152" i="5"/>
  <c r="K1152" i="5"/>
  <c r="U1152" i="5"/>
  <c r="B1152" i="5"/>
  <c r="L1152" i="5"/>
  <c r="V1152" i="5"/>
  <c r="C1152" i="5"/>
  <c r="M1152" i="5"/>
  <c r="W1152" i="5"/>
  <c r="D1152" i="5"/>
  <c r="N1152" i="5"/>
  <c r="AC1152" i="5"/>
  <c r="S1152" i="5"/>
  <c r="E1152" i="5"/>
  <c r="F1152" i="5"/>
  <c r="O1152" i="5"/>
  <c r="R1152" i="5"/>
  <c r="A1153" i="5"/>
  <c r="G1152" i="5"/>
  <c r="G1151" i="3"/>
  <c r="H1151" i="3"/>
  <c r="J1151" i="3"/>
  <c r="E1151" i="3"/>
  <c r="F1151" i="3"/>
  <c r="K1151" i="3"/>
  <c r="I1151" i="3"/>
  <c r="A1152" i="3"/>
  <c r="C1151" i="3"/>
  <c r="B1151" i="3"/>
  <c r="G1151" i="4"/>
  <c r="H1151" i="4"/>
  <c r="B1151" i="4"/>
  <c r="J1151" i="4"/>
  <c r="E1151" i="4"/>
  <c r="F1151" i="4"/>
  <c r="D1151" i="4"/>
  <c r="I1151" i="4"/>
  <c r="A1152" i="4"/>
  <c r="C1151" i="4"/>
  <c r="E1152" i="3" l="1"/>
  <c r="F1152" i="3"/>
  <c r="H1152" i="3"/>
  <c r="B1152" i="3"/>
  <c r="K1152" i="3"/>
  <c r="A1153" i="3"/>
  <c r="C1152" i="3"/>
  <c r="G1152" i="3"/>
  <c r="I1152" i="3"/>
  <c r="J1152" i="3"/>
  <c r="C1128" i="6"/>
  <c r="K1128" i="6"/>
  <c r="S1128" i="6"/>
  <c r="E1128" i="6"/>
  <c r="M1128" i="6"/>
  <c r="A1129" i="6"/>
  <c r="D1128" i="6"/>
  <c r="O1128" i="6"/>
  <c r="F1128" i="6"/>
  <c r="P1128" i="6"/>
  <c r="G1128" i="6"/>
  <c r="Q1128" i="6"/>
  <c r="H1128" i="6"/>
  <c r="R1128" i="6"/>
  <c r="J1128" i="6"/>
  <c r="L1128" i="6"/>
  <c r="N1128" i="6"/>
  <c r="T1128" i="6"/>
  <c r="I1128" i="6"/>
  <c r="B1128" i="6"/>
  <c r="F1153" i="5"/>
  <c r="N1153" i="5"/>
  <c r="V1153" i="5"/>
  <c r="G1153" i="5"/>
  <c r="O1153" i="5"/>
  <c r="W1153" i="5"/>
  <c r="D1153" i="5"/>
  <c r="P1153" i="5"/>
  <c r="AC1153" i="5"/>
  <c r="E1153" i="5"/>
  <c r="Q1153" i="5"/>
  <c r="A1154" i="5"/>
  <c r="H1153" i="5"/>
  <c r="R1153" i="5"/>
  <c r="I1153" i="5"/>
  <c r="S1153" i="5"/>
  <c r="J1153" i="5"/>
  <c r="T1153" i="5"/>
  <c r="X1153" i="5"/>
  <c r="C1153" i="5"/>
  <c r="K1153" i="5"/>
  <c r="M1153" i="5"/>
  <c r="L1153" i="5"/>
  <c r="B1153" i="5"/>
  <c r="U1153" i="5"/>
  <c r="AB1153" i="5"/>
  <c r="E1152" i="4"/>
  <c r="F1152" i="4"/>
  <c r="H1152" i="4"/>
  <c r="C1152" i="4"/>
  <c r="A1153" i="4"/>
  <c r="D1152" i="4"/>
  <c r="B1152" i="4"/>
  <c r="G1152" i="4"/>
  <c r="I1152" i="4"/>
  <c r="J1152" i="4"/>
  <c r="G1129" i="6" l="1"/>
  <c r="O1129" i="6"/>
  <c r="I1129" i="6"/>
  <c r="Q1129" i="6"/>
  <c r="E1129" i="6"/>
  <c r="P1129" i="6"/>
  <c r="F1129" i="6"/>
  <c r="R1129" i="6"/>
  <c r="H1129" i="6"/>
  <c r="S1129" i="6"/>
  <c r="J1129" i="6"/>
  <c r="T1129" i="6"/>
  <c r="L1129" i="6"/>
  <c r="M1129" i="6"/>
  <c r="N1129" i="6"/>
  <c r="A1130" i="6"/>
  <c r="K1129" i="6"/>
  <c r="C1129" i="6"/>
  <c r="B1129" i="6"/>
  <c r="D1129" i="6"/>
  <c r="B1153" i="3"/>
  <c r="K1153" i="3"/>
  <c r="C1153" i="3"/>
  <c r="A1154" i="3"/>
  <c r="F1153" i="3"/>
  <c r="I1153" i="3"/>
  <c r="E1153" i="3"/>
  <c r="J1153" i="3"/>
  <c r="G1153" i="3"/>
  <c r="H1153" i="3"/>
  <c r="C1153" i="4"/>
  <c r="A1154" i="4"/>
  <c r="D1153" i="4"/>
  <c r="F1153" i="4"/>
  <c r="I1153" i="4"/>
  <c r="B1153" i="4"/>
  <c r="J1153" i="4"/>
  <c r="G1153" i="4"/>
  <c r="H1153" i="4"/>
  <c r="E1153" i="4"/>
  <c r="D1154" i="5"/>
  <c r="L1154" i="5"/>
  <c r="T1154" i="5"/>
  <c r="E1154" i="5"/>
  <c r="M1154" i="5"/>
  <c r="U1154" i="5"/>
  <c r="J1154" i="5"/>
  <c r="V1154" i="5"/>
  <c r="K1154" i="5"/>
  <c r="W1154" i="5"/>
  <c r="B1154" i="5"/>
  <c r="N1154" i="5"/>
  <c r="X1154" i="5"/>
  <c r="C1154" i="5"/>
  <c r="O1154" i="5"/>
  <c r="AB1154" i="5"/>
  <c r="F1154" i="5"/>
  <c r="P1154" i="5"/>
  <c r="AC1154" i="5"/>
  <c r="A1155" i="5"/>
  <c r="H1154" i="5"/>
  <c r="I1154" i="5"/>
  <c r="R1154" i="5"/>
  <c r="S1154" i="5"/>
  <c r="G1154" i="5"/>
  <c r="Q1154" i="5"/>
  <c r="I1154" i="4" l="1"/>
  <c r="B1154" i="4"/>
  <c r="J1154" i="4"/>
  <c r="D1154" i="4"/>
  <c r="G1154" i="4"/>
  <c r="H1154" i="4"/>
  <c r="C1154" i="4"/>
  <c r="E1154" i="4"/>
  <c r="F1154" i="4"/>
  <c r="A1155" i="4"/>
  <c r="I1154" i="3"/>
  <c r="J1154" i="3"/>
  <c r="C1154" i="3"/>
  <c r="A1155" i="3"/>
  <c r="G1154" i="3"/>
  <c r="H1154" i="3"/>
  <c r="K1154" i="3"/>
  <c r="F1154" i="3"/>
  <c r="B1154" i="3"/>
  <c r="E1154" i="3"/>
  <c r="C1130" i="6"/>
  <c r="K1130" i="6"/>
  <c r="S1130" i="6"/>
  <c r="E1130" i="6"/>
  <c r="M1130" i="6"/>
  <c r="A1131" i="6"/>
  <c r="G1130" i="6"/>
  <c r="Q1130" i="6"/>
  <c r="H1130" i="6"/>
  <c r="R1130" i="6"/>
  <c r="I1130" i="6"/>
  <c r="T1130" i="6"/>
  <c r="J1130" i="6"/>
  <c r="N1130" i="6"/>
  <c r="O1130" i="6"/>
  <c r="P1130" i="6"/>
  <c r="L1130" i="6"/>
  <c r="D1130" i="6"/>
  <c r="F1130" i="6"/>
  <c r="B1130" i="6"/>
  <c r="B1155" i="5"/>
  <c r="J1155" i="5"/>
  <c r="R1155" i="5"/>
  <c r="AC1155" i="5"/>
  <c r="C1155" i="5"/>
  <c r="K1155" i="5"/>
  <c r="S1155" i="5"/>
  <c r="A1156" i="5"/>
  <c r="F1155" i="5"/>
  <c r="P1155" i="5"/>
  <c r="G1155" i="5"/>
  <c r="Q1155" i="5"/>
  <c r="H1155" i="5"/>
  <c r="T1155" i="5"/>
  <c r="I1155" i="5"/>
  <c r="U1155" i="5"/>
  <c r="L1155" i="5"/>
  <c r="V1155" i="5"/>
  <c r="AB1155" i="5"/>
  <c r="M1155" i="5"/>
  <c r="N1155" i="5"/>
  <c r="W1155" i="5"/>
  <c r="D1155" i="5"/>
  <c r="O1155" i="5"/>
  <c r="X1155" i="5"/>
  <c r="E1155" i="5"/>
  <c r="H1156" i="5" l="1"/>
  <c r="P1156" i="5"/>
  <c r="X1156" i="5"/>
  <c r="I1156" i="5"/>
  <c r="Q1156" i="5"/>
  <c r="AB1156" i="5"/>
  <c r="B1156" i="5"/>
  <c r="L1156" i="5"/>
  <c r="V1156" i="5"/>
  <c r="C1156" i="5"/>
  <c r="M1156" i="5"/>
  <c r="W1156" i="5"/>
  <c r="D1156" i="5"/>
  <c r="N1156" i="5"/>
  <c r="AC1156" i="5"/>
  <c r="E1156" i="5"/>
  <c r="O1156" i="5"/>
  <c r="A1157" i="5"/>
  <c r="F1156" i="5"/>
  <c r="K1156" i="5"/>
  <c r="R1156" i="5"/>
  <c r="T1156" i="5"/>
  <c r="U1156" i="5"/>
  <c r="J1156" i="5"/>
  <c r="S1156" i="5"/>
  <c r="G1156" i="5"/>
  <c r="G1155" i="3"/>
  <c r="H1155" i="3"/>
  <c r="J1155" i="3"/>
  <c r="E1155" i="3"/>
  <c r="B1155" i="3"/>
  <c r="C1155" i="3"/>
  <c r="F1155" i="3"/>
  <c r="K1155" i="3"/>
  <c r="A1156" i="3"/>
  <c r="I1155" i="3"/>
  <c r="G1131" i="6"/>
  <c r="O1131" i="6"/>
  <c r="I1131" i="6"/>
  <c r="Q1131" i="6"/>
  <c r="H1131" i="6"/>
  <c r="S1131" i="6"/>
  <c r="J1131" i="6"/>
  <c r="T1131" i="6"/>
  <c r="K1131" i="6"/>
  <c r="A1132" i="6"/>
  <c r="B1131" i="6"/>
  <c r="L1131" i="6"/>
  <c r="N1131" i="6"/>
  <c r="P1131" i="6"/>
  <c r="R1131" i="6"/>
  <c r="C1131" i="6"/>
  <c r="M1131" i="6"/>
  <c r="D1131" i="6"/>
  <c r="E1131" i="6"/>
  <c r="F1131" i="6"/>
  <c r="G1155" i="4"/>
  <c r="H1155" i="4"/>
  <c r="B1155" i="4"/>
  <c r="J1155" i="4"/>
  <c r="E1155" i="4"/>
  <c r="F1155" i="4"/>
  <c r="I1155" i="4"/>
  <c r="A1156" i="4"/>
  <c r="D1155" i="4"/>
  <c r="C1155" i="4"/>
  <c r="E1156" i="4" l="1"/>
  <c r="F1156" i="4"/>
  <c r="H1156" i="4"/>
  <c r="C1156" i="4"/>
  <c r="D1156" i="4"/>
  <c r="B1156" i="4"/>
  <c r="G1156" i="4"/>
  <c r="I1156" i="4"/>
  <c r="J1156" i="4"/>
  <c r="C1132" i="6"/>
  <c r="K1132" i="6"/>
  <c r="S1132" i="6"/>
  <c r="E1132" i="6"/>
  <c r="M1132" i="6"/>
  <c r="A1133" i="6"/>
  <c r="I1132" i="6"/>
  <c r="T1132" i="6"/>
  <c r="J1132" i="6"/>
  <c r="L1132" i="6"/>
  <c r="B1132" i="6"/>
  <c r="N1132" i="6"/>
  <c r="P1132" i="6"/>
  <c r="Q1132" i="6"/>
  <c r="R1132" i="6"/>
  <c r="D1132" i="6"/>
  <c r="O1132" i="6"/>
  <c r="F1132" i="6"/>
  <c r="G1132" i="6"/>
  <c r="H1132" i="6"/>
  <c r="E1156" i="3"/>
  <c r="F1156" i="3"/>
  <c r="H1156" i="3"/>
  <c r="B1156" i="3"/>
  <c r="K1156" i="3"/>
  <c r="C1156" i="3"/>
  <c r="I1156" i="3"/>
  <c r="G1156" i="3"/>
  <c r="J1156" i="3"/>
  <c r="F1157" i="5"/>
  <c r="N1157" i="5"/>
  <c r="V1157" i="5"/>
  <c r="G1157" i="5"/>
  <c r="O1157" i="5"/>
  <c r="H1157" i="5"/>
  <c r="R1157" i="5"/>
  <c r="I1157" i="5"/>
  <c r="S1157" i="5"/>
  <c r="J1157" i="5"/>
  <c r="T1157" i="5"/>
  <c r="K1157" i="5"/>
  <c r="U1157" i="5"/>
  <c r="B1157" i="5"/>
  <c r="W1157" i="5"/>
  <c r="E1157" i="5"/>
  <c r="AC1157" i="5"/>
  <c r="L1157" i="5"/>
  <c r="P1157" i="5"/>
  <c r="C1157" i="5"/>
  <c r="M1157" i="5"/>
  <c r="AB1157" i="5"/>
  <c r="D1157" i="5"/>
  <c r="Q1157" i="5"/>
  <c r="X1157" i="5"/>
  <c r="G1133" i="6" l="1"/>
  <c r="O1133" i="6"/>
  <c r="I1133" i="6"/>
  <c r="Q1133" i="6"/>
  <c r="K1133" i="6"/>
  <c r="A1134" i="6"/>
  <c r="B1133" i="6"/>
  <c r="L1133" i="6"/>
  <c r="C1133" i="6"/>
  <c r="M1133" i="6"/>
  <c r="D1133" i="6"/>
  <c r="N1133" i="6"/>
  <c r="R1133" i="6"/>
  <c r="S1133" i="6"/>
  <c r="T1133" i="6"/>
  <c r="E1133" i="6"/>
  <c r="P1133" i="6"/>
  <c r="J1133" i="6"/>
  <c r="F1133" i="6"/>
  <c r="H1133" i="6"/>
  <c r="C1134" i="6" l="1"/>
  <c r="K1134" i="6"/>
  <c r="S1134" i="6"/>
  <c r="E1134" i="6"/>
  <c r="M1134" i="6"/>
  <c r="A1135" i="6"/>
  <c r="L1134" i="6"/>
  <c r="B1134" i="6"/>
  <c r="N1134" i="6"/>
  <c r="D1134" i="6"/>
  <c r="O1134" i="6"/>
  <c r="F1134" i="6"/>
  <c r="P1134" i="6"/>
  <c r="R1134" i="6"/>
  <c r="T1134" i="6"/>
  <c r="G1134" i="6"/>
  <c r="Q1134" i="6"/>
  <c r="H1134" i="6"/>
  <c r="J1134" i="6"/>
  <c r="I1134" i="6"/>
  <c r="G1135" i="6" l="1"/>
  <c r="O1135" i="6"/>
  <c r="I1135" i="6"/>
  <c r="Q1135" i="6"/>
  <c r="C1135" i="6"/>
  <c r="M1135" i="6"/>
  <c r="D1135" i="6"/>
  <c r="N1135" i="6"/>
  <c r="E1135" i="6"/>
  <c r="P1135" i="6"/>
  <c r="F1135" i="6"/>
  <c r="R1135" i="6"/>
  <c r="T1135" i="6"/>
  <c r="A1136" i="6"/>
  <c r="B1135" i="6"/>
  <c r="H1135" i="6"/>
  <c r="S1135" i="6"/>
  <c r="L1135" i="6"/>
  <c r="K1135" i="6"/>
  <c r="J1135" i="6"/>
  <c r="C1136" i="6" l="1"/>
  <c r="K1136" i="6"/>
  <c r="S1136" i="6"/>
  <c r="E1136" i="6"/>
  <c r="M1136" i="6"/>
  <c r="A1137" i="6"/>
  <c r="D1136" i="6"/>
  <c r="O1136" i="6"/>
  <c r="F1136" i="6"/>
  <c r="P1136" i="6"/>
  <c r="G1136" i="6"/>
  <c r="Q1136" i="6"/>
  <c r="H1136" i="6"/>
  <c r="R1136" i="6"/>
  <c r="B1136" i="6"/>
  <c r="I1136" i="6"/>
  <c r="T1136" i="6"/>
  <c r="L1136" i="6"/>
  <c r="N1136" i="6"/>
  <c r="J1136" i="6"/>
  <c r="G1137" i="6" l="1"/>
  <c r="O1137" i="6"/>
  <c r="I1137" i="6"/>
  <c r="Q1137" i="6"/>
  <c r="E1137" i="6"/>
  <c r="P1137" i="6"/>
  <c r="F1137" i="6"/>
  <c r="R1137" i="6"/>
  <c r="H1137" i="6"/>
  <c r="S1137" i="6"/>
  <c r="J1137" i="6"/>
  <c r="T1137" i="6"/>
  <c r="B1137" i="6"/>
  <c r="C1137" i="6"/>
  <c r="D1137" i="6"/>
  <c r="K1137" i="6"/>
  <c r="A1138" i="6"/>
  <c r="M1137" i="6"/>
  <c r="L1137" i="6"/>
  <c r="N1137" i="6"/>
  <c r="C1138" i="6" l="1"/>
  <c r="K1138" i="6"/>
  <c r="S1138" i="6"/>
  <c r="E1138" i="6"/>
  <c r="M1138" i="6"/>
  <c r="A1139" i="6"/>
  <c r="G1138" i="6"/>
  <c r="Q1138" i="6"/>
  <c r="H1138" i="6"/>
  <c r="R1138" i="6"/>
  <c r="I1138" i="6"/>
  <c r="T1138" i="6"/>
  <c r="J1138" i="6"/>
  <c r="B1138" i="6"/>
  <c r="D1138" i="6"/>
  <c r="F1138" i="6"/>
  <c r="L1138" i="6"/>
  <c r="O1138" i="6"/>
  <c r="P1138" i="6"/>
  <c r="N1138" i="6"/>
  <c r="G1139" i="6" l="1"/>
  <c r="O1139" i="6"/>
  <c r="I1139" i="6"/>
  <c r="Q1139" i="6"/>
  <c r="H1139" i="6"/>
  <c r="S1139" i="6"/>
  <c r="J1139" i="6"/>
  <c r="T1139" i="6"/>
  <c r="K1139" i="6"/>
  <c r="A1140" i="6"/>
  <c r="B1139" i="6"/>
  <c r="L1139" i="6"/>
  <c r="D1139" i="6"/>
  <c r="E1139" i="6"/>
  <c r="F1139" i="6"/>
  <c r="M1139" i="6"/>
  <c r="C1139" i="6"/>
  <c r="N1139" i="6"/>
  <c r="P1139" i="6"/>
  <c r="R1139" i="6"/>
  <c r="C1140" i="6" l="1"/>
  <c r="K1140" i="6"/>
  <c r="S1140" i="6"/>
  <c r="E1140" i="6"/>
  <c r="M1140" i="6"/>
  <c r="A1141" i="6"/>
  <c r="I1140" i="6"/>
  <c r="T1140" i="6"/>
  <c r="J1140" i="6"/>
  <c r="L1140" i="6"/>
  <c r="B1140" i="6"/>
  <c r="N1140" i="6"/>
  <c r="F1140" i="6"/>
  <c r="G1140" i="6"/>
  <c r="H1140" i="6"/>
  <c r="O1140" i="6"/>
  <c r="D1140" i="6"/>
  <c r="P1140" i="6"/>
  <c r="R1140" i="6"/>
  <c r="Q1140" i="6"/>
  <c r="G1141" i="6" l="1"/>
  <c r="O1141" i="6"/>
  <c r="I1141" i="6"/>
  <c r="Q1141" i="6"/>
  <c r="K1141" i="6"/>
  <c r="A1142" i="6"/>
  <c r="B1141" i="6"/>
  <c r="L1141" i="6"/>
  <c r="C1141" i="6"/>
  <c r="M1141" i="6"/>
  <c r="D1141" i="6"/>
  <c r="N1141" i="6"/>
  <c r="F1141" i="6"/>
  <c r="H1141" i="6"/>
  <c r="J1141" i="6"/>
  <c r="P1141" i="6"/>
  <c r="E1141" i="6"/>
  <c r="T1141" i="6"/>
  <c r="R1141" i="6"/>
  <c r="S1141" i="6"/>
  <c r="C1142" i="6" l="1"/>
  <c r="K1142" i="6"/>
  <c r="S1142" i="6"/>
  <c r="E1142" i="6"/>
  <c r="M1142" i="6"/>
  <c r="A1143" i="6"/>
  <c r="L1142" i="6"/>
  <c r="B1142" i="6"/>
  <c r="N1142" i="6"/>
  <c r="D1142" i="6"/>
  <c r="O1142" i="6"/>
  <c r="F1142" i="6"/>
  <c r="P1142" i="6"/>
  <c r="H1142" i="6"/>
  <c r="I1142" i="6"/>
  <c r="J1142" i="6"/>
  <c r="Q1142" i="6"/>
  <c r="G1142" i="6"/>
  <c r="R1142" i="6"/>
  <c r="T1142" i="6"/>
  <c r="G1143" i="6" l="1"/>
  <c r="O1143" i="6"/>
  <c r="I1143" i="6"/>
  <c r="Q1143" i="6"/>
  <c r="C1143" i="6"/>
  <c r="M1143" i="6"/>
  <c r="D1143" i="6"/>
  <c r="N1143" i="6"/>
  <c r="E1143" i="6"/>
  <c r="P1143" i="6"/>
  <c r="F1143" i="6"/>
  <c r="R1143" i="6"/>
  <c r="J1143" i="6"/>
  <c r="K1143" i="6"/>
  <c r="L1143" i="6"/>
  <c r="S1143" i="6"/>
  <c r="H1143" i="6"/>
  <c r="B1143" i="6"/>
  <c r="T1143" i="6"/>
  <c r="A1144" i="6"/>
  <c r="C1144" i="6" l="1"/>
  <c r="K1144" i="6"/>
  <c r="S1144" i="6"/>
  <c r="E1144" i="6"/>
  <c r="M1144" i="6"/>
  <c r="A1145" i="6"/>
  <c r="D1144" i="6"/>
  <c r="O1144" i="6"/>
  <c r="F1144" i="6"/>
  <c r="P1144" i="6"/>
  <c r="G1144" i="6"/>
  <c r="Q1144" i="6"/>
  <c r="H1144" i="6"/>
  <c r="R1144" i="6"/>
  <c r="J1144" i="6"/>
  <c r="L1144" i="6"/>
  <c r="N1144" i="6"/>
  <c r="T1144" i="6"/>
  <c r="I1144" i="6"/>
  <c r="B1144" i="6"/>
  <c r="G1145" i="6" l="1"/>
  <c r="O1145" i="6"/>
  <c r="I1145" i="6"/>
  <c r="Q1145" i="6"/>
  <c r="E1145" i="6"/>
  <c r="P1145" i="6"/>
  <c r="F1145" i="6"/>
  <c r="R1145" i="6"/>
  <c r="H1145" i="6"/>
  <c r="S1145" i="6"/>
  <c r="J1145" i="6"/>
  <c r="T1145" i="6"/>
  <c r="L1145" i="6"/>
  <c r="M1145" i="6"/>
  <c r="N1145" i="6"/>
  <c r="A1146" i="6"/>
  <c r="K1145" i="6"/>
  <c r="C1145" i="6"/>
  <c r="D1145" i="6"/>
  <c r="B1145" i="6"/>
  <c r="C1146" i="6" l="1"/>
  <c r="K1146" i="6"/>
  <c r="S1146" i="6"/>
  <c r="E1146" i="6"/>
  <c r="M1146" i="6"/>
  <c r="A1147" i="6"/>
  <c r="G1146" i="6"/>
  <c r="Q1146" i="6"/>
  <c r="H1146" i="6"/>
  <c r="R1146" i="6"/>
  <c r="I1146" i="6"/>
  <c r="T1146" i="6"/>
  <c r="J1146" i="6"/>
  <c r="N1146" i="6"/>
  <c r="O1146" i="6"/>
  <c r="P1146" i="6"/>
  <c r="L1146" i="6"/>
  <c r="D1146" i="6"/>
  <c r="F1146" i="6"/>
  <c r="B1146" i="6"/>
  <c r="G1147" i="6" l="1"/>
  <c r="O1147" i="6"/>
  <c r="I1147" i="6"/>
  <c r="Q1147" i="6"/>
  <c r="H1147" i="6"/>
  <c r="S1147" i="6"/>
  <c r="J1147" i="6"/>
  <c r="T1147" i="6"/>
  <c r="K1147" i="6"/>
  <c r="A1148" i="6"/>
  <c r="B1147" i="6"/>
  <c r="L1147" i="6"/>
  <c r="N1147" i="6"/>
  <c r="P1147" i="6"/>
  <c r="R1147" i="6"/>
  <c r="C1147" i="6"/>
  <c r="M1147" i="6"/>
  <c r="E1147" i="6"/>
  <c r="F1147" i="6"/>
  <c r="D1147" i="6"/>
  <c r="C1148" i="6" l="1"/>
  <c r="K1148" i="6"/>
  <c r="S1148" i="6"/>
  <c r="E1148" i="6"/>
  <c r="M1148" i="6"/>
  <c r="A1149" i="6"/>
  <c r="I1148" i="6"/>
  <c r="T1148" i="6"/>
  <c r="J1148" i="6"/>
  <c r="L1148" i="6"/>
  <c r="B1148" i="6"/>
  <c r="N1148" i="6"/>
  <c r="P1148" i="6"/>
  <c r="Q1148" i="6"/>
  <c r="R1148" i="6"/>
  <c r="D1148" i="6"/>
  <c r="O1148" i="6"/>
  <c r="F1148" i="6"/>
  <c r="G1148" i="6"/>
  <c r="H1148" i="6"/>
  <c r="G1149" i="6" l="1"/>
  <c r="O1149" i="6"/>
  <c r="I1149" i="6"/>
  <c r="Q1149" i="6"/>
  <c r="K1149" i="6"/>
  <c r="A1150" i="6"/>
  <c r="B1149" i="6"/>
  <c r="L1149" i="6"/>
  <c r="C1149" i="6"/>
  <c r="M1149" i="6"/>
  <c r="D1149" i="6"/>
  <c r="N1149" i="6"/>
  <c r="R1149" i="6"/>
  <c r="S1149" i="6"/>
  <c r="T1149" i="6"/>
  <c r="E1149" i="6"/>
  <c r="P1149" i="6"/>
  <c r="F1149" i="6"/>
  <c r="H1149" i="6"/>
  <c r="J1149" i="6"/>
  <c r="C1150" i="6" l="1"/>
  <c r="K1150" i="6"/>
  <c r="S1150" i="6"/>
  <c r="E1150" i="6"/>
  <c r="M1150" i="6"/>
  <c r="A1151" i="6"/>
  <c r="L1150" i="6"/>
  <c r="B1150" i="6"/>
  <c r="N1150" i="6"/>
  <c r="D1150" i="6"/>
  <c r="O1150" i="6"/>
  <c r="F1150" i="6"/>
  <c r="P1150" i="6"/>
  <c r="R1150" i="6"/>
  <c r="T1150" i="6"/>
  <c r="G1150" i="6"/>
  <c r="Q1150" i="6"/>
  <c r="J1150" i="6"/>
  <c r="H1150" i="6"/>
  <c r="I1150" i="6"/>
  <c r="G1151" i="6" l="1"/>
  <c r="O1151" i="6"/>
  <c r="I1151" i="6"/>
  <c r="Q1151" i="6"/>
  <c r="C1151" i="6"/>
  <c r="M1151" i="6"/>
  <c r="D1151" i="6"/>
  <c r="N1151" i="6"/>
  <c r="E1151" i="6"/>
  <c r="P1151" i="6"/>
  <c r="F1151" i="6"/>
  <c r="R1151" i="6"/>
  <c r="T1151" i="6"/>
  <c r="A1152" i="6"/>
  <c r="B1151" i="6"/>
  <c r="H1151" i="6"/>
  <c r="S1151" i="6"/>
  <c r="J1151" i="6"/>
  <c r="L1151" i="6"/>
  <c r="K1151" i="6"/>
  <c r="C1152" i="6" l="1"/>
  <c r="K1152" i="6"/>
  <c r="S1152" i="6"/>
  <c r="E1152" i="6"/>
  <c r="M1152" i="6"/>
  <c r="A1153" i="6"/>
  <c r="D1152" i="6"/>
  <c r="O1152" i="6"/>
  <c r="F1152" i="6"/>
  <c r="P1152" i="6"/>
  <c r="G1152" i="6"/>
  <c r="Q1152" i="6"/>
  <c r="H1152" i="6"/>
  <c r="R1152" i="6"/>
  <c r="B1152" i="6"/>
  <c r="I1152" i="6"/>
  <c r="T1152" i="6"/>
  <c r="N1152" i="6"/>
  <c r="J1152" i="6"/>
  <c r="L1152" i="6"/>
  <c r="G1153" i="6" l="1"/>
  <c r="O1153" i="6"/>
  <c r="E1153" i="6"/>
  <c r="N1153" i="6"/>
  <c r="F1153" i="6"/>
  <c r="P1153" i="6"/>
  <c r="H1153" i="6"/>
  <c r="Q1153" i="6"/>
  <c r="I1153" i="6"/>
  <c r="R1153" i="6"/>
  <c r="B1153" i="6"/>
  <c r="T1153" i="6"/>
  <c r="C1153" i="6"/>
  <c r="A1154" i="6"/>
  <c r="D1153" i="6"/>
  <c r="J1153" i="6"/>
  <c r="S1153" i="6"/>
  <c r="L1153" i="6"/>
  <c r="M1153" i="6"/>
  <c r="K1153" i="6"/>
  <c r="C1154" i="6" l="1"/>
  <c r="K1154" i="6"/>
  <c r="S1154" i="6"/>
  <c r="D1154" i="6"/>
  <c r="M1154" i="6"/>
  <c r="E1154" i="6"/>
  <c r="N1154" i="6"/>
  <c r="F1154" i="6"/>
  <c r="O1154" i="6"/>
  <c r="G1154" i="6"/>
  <c r="P1154" i="6"/>
  <c r="R1154" i="6"/>
  <c r="T1154" i="6"/>
  <c r="B1154" i="6"/>
  <c r="A1155" i="6"/>
  <c r="H1154" i="6"/>
  <c r="Q1154" i="6"/>
  <c r="J1154" i="6"/>
  <c r="I1154" i="6"/>
  <c r="L1154" i="6"/>
  <c r="G1155" i="6" l="1"/>
  <c r="O1155" i="6"/>
  <c r="B1155" i="6"/>
  <c r="K1155" i="6"/>
  <c r="T1155" i="6"/>
  <c r="C1155" i="6"/>
  <c r="L1155" i="6"/>
  <c r="A1156" i="6"/>
  <c r="D1155" i="6"/>
  <c r="M1155" i="6"/>
  <c r="E1155" i="6"/>
  <c r="N1155" i="6"/>
  <c r="Q1155" i="6"/>
  <c r="R1155" i="6"/>
  <c r="S1155" i="6"/>
  <c r="F1155" i="6"/>
  <c r="P1155" i="6"/>
  <c r="I1155" i="6"/>
  <c r="J1155" i="6"/>
  <c r="H1155" i="6"/>
  <c r="C1156" i="6" l="1"/>
  <c r="K1156" i="6"/>
  <c r="S1156" i="6"/>
  <c r="I1156" i="6"/>
  <c r="R1156" i="6"/>
  <c r="J1156" i="6"/>
  <c r="T1156" i="6"/>
  <c r="B1156" i="6"/>
  <c r="L1156" i="6"/>
  <c r="D1156" i="6"/>
  <c r="M1156" i="6"/>
  <c r="O1156" i="6"/>
  <c r="P1156" i="6"/>
  <c r="Q1156" i="6"/>
  <c r="E1156" i="6"/>
  <c r="N1156" i="6"/>
  <c r="F1156" i="6"/>
  <c r="G1156" i="6"/>
  <c r="H1156" i="6"/>
</calcChain>
</file>

<file path=xl/sharedStrings.xml><?xml version="1.0" encoding="utf-8"?>
<sst xmlns="http://schemas.openxmlformats.org/spreadsheetml/2006/main" count="254" uniqueCount="102">
  <si>
    <t>WITHOUT NOx</t>
  </si>
  <si>
    <t>WITH NOx</t>
  </si>
  <si>
    <t>Selection</t>
  </si>
  <si>
    <t>Natural Gas</t>
  </si>
  <si>
    <t>WITHOUT SO2 &amp; NOx</t>
  </si>
  <si>
    <t>WITH SO2 &amp; NOx</t>
  </si>
  <si>
    <t>Heavy Oil SO2</t>
  </si>
  <si>
    <t>HIGH PRICES</t>
  </si>
  <si>
    <t>MEDIUM PRICES</t>
  </si>
  <si>
    <t>LOW PRICES</t>
  </si>
  <si>
    <t>Coal</t>
  </si>
  <si>
    <t>Light Oil SO2</t>
  </si>
  <si>
    <t>Heavy Oil</t>
  </si>
  <si>
    <t>Light Oil</t>
  </si>
  <si>
    <t>$/MMBTU</t>
  </si>
  <si>
    <t>MONTH</t>
  </si>
  <si>
    <t>DISPATCH PRICE WITH SO2 &amp; NOx</t>
  </si>
  <si>
    <t>DISPATCH PRICE WITHOUT SO2 &amp; NOx</t>
  </si>
  <si>
    <t>WEIGHTED AVERAGE WITH SO2 &amp; NOx</t>
  </si>
  <si>
    <t>WEIGHTED AVERAGE WITHOUT SO2 &amp; NOx</t>
  </si>
  <si>
    <t>CEDAR BAY</t>
  </si>
  <si>
    <t>ICL</t>
  </si>
  <si>
    <t>ST. JOHNS RIVER POWER PARK</t>
  </si>
  <si>
    <t>PLANT SCHERER UNIT 4</t>
  </si>
  <si>
    <t>HIGH</t>
  </si>
  <si>
    <t>LOW</t>
  </si>
  <si>
    <t xml:space="preserve"> </t>
  </si>
  <si>
    <t>August 05, 2013 - LISA GORMAN</t>
  </si>
  <si>
    <t>RIVIERA</t>
  </si>
  <si>
    <t>CANAVERAL</t>
  </si>
  <si>
    <t>MARTIN</t>
  </si>
  <si>
    <t>PUTNAM</t>
  </si>
  <si>
    <t>FT MYERS</t>
  </si>
  <si>
    <t>LAUDERDALE</t>
  </si>
  <si>
    <t>PORT EVERGLADES</t>
  </si>
  <si>
    <t>OLEANDER</t>
  </si>
  <si>
    <t>WCEC</t>
  </si>
  <si>
    <t>TURKEY POINT</t>
  </si>
  <si>
    <t>$/BBL.</t>
  </si>
  <si>
    <t>WTI</t>
  </si>
  <si>
    <t>RIVIERA 1%</t>
  </si>
  <si>
    <t>SANFORD 1%</t>
  </si>
  <si>
    <t>INDIAN RIVER &amp; CANAVERAL 1%</t>
  </si>
  <si>
    <r>
      <t>TURKEY POINT 1%</t>
    </r>
    <r>
      <rPr>
        <b/>
        <sz val="14"/>
        <rFont val="Arial"/>
        <family val="2"/>
      </rPr>
      <t>/</t>
    </r>
    <r>
      <rPr>
        <b/>
        <sz val="14"/>
        <color indexed="17"/>
        <rFont val="Arial"/>
        <family val="2"/>
      </rPr>
      <t>0.7%</t>
    </r>
  </si>
  <si>
    <t>MANATEE 1%/0.7%</t>
  </si>
  <si>
    <t>PORT EVERGLADES 1%</t>
  </si>
  <si>
    <t>MARTIN 1%</t>
  </si>
  <si>
    <t>MARTIN 0.7%</t>
  </si>
  <si>
    <t>MM$</t>
  </si>
  <si>
    <t>WEIGHTED AVERAGE GULFSTREAM FIRM</t>
  </si>
  <si>
    <t>WEIGHTED AVERAGE FGT FIRM</t>
  </si>
  <si>
    <t>UPS REPLACEMENT SUNK DEMAND CHARGE</t>
  </si>
  <si>
    <t>UPS REPLACEMENT DISPATCH PRICE</t>
  </si>
  <si>
    <t>BAY GAS STORAGE DEMAND CHARGE</t>
  </si>
  <si>
    <t>GULF SOUTH</t>
  </si>
  <si>
    <t>TRANSCO 4A</t>
  </si>
  <si>
    <t>SESH</t>
  </si>
  <si>
    <t>GULFSTREAM</t>
  </si>
  <si>
    <t>FGT</t>
  </si>
  <si>
    <t>HENRY HUB</t>
  </si>
  <si>
    <t>GULFSTREAM NON-FIRM BACKHAUL</t>
  </si>
  <si>
    <t>GULFSTREAM NON-FIRM</t>
  </si>
  <si>
    <r>
      <t xml:space="preserve">GULFSTREAM FIRM </t>
    </r>
    <r>
      <rPr>
        <b/>
        <sz val="12"/>
        <color indexed="10"/>
        <rFont val="Arial"/>
        <family val="2"/>
      </rPr>
      <t>TRANSNCO 4A</t>
    </r>
    <r>
      <rPr>
        <b/>
        <sz val="12"/>
        <rFont val="Arial"/>
        <family val="2"/>
      </rPr>
      <t xml:space="preserve"> VOLUMES</t>
    </r>
  </si>
  <si>
    <t>GULFSTREAM FIRM CONTRACTUAL DISPATCH PRICE</t>
  </si>
  <si>
    <r>
      <t xml:space="preserve">GULFSTREAM FIRM </t>
    </r>
    <r>
      <rPr>
        <b/>
        <sz val="12"/>
        <color indexed="12"/>
        <rFont val="Arial"/>
        <family val="2"/>
      </rPr>
      <t xml:space="preserve">GULF SOUTH </t>
    </r>
    <r>
      <rPr>
        <b/>
        <sz val="12"/>
        <rFont val="Arial"/>
        <family val="2"/>
      </rPr>
      <t>DISPATCH PRICE</t>
    </r>
  </si>
  <si>
    <r>
      <t xml:space="preserve">GULFSTREAM FIRM </t>
    </r>
    <r>
      <rPr>
        <b/>
        <sz val="12"/>
        <color indexed="17"/>
        <rFont val="Arial"/>
        <family val="2"/>
      </rPr>
      <t>SESH</t>
    </r>
    <r>
      <rPr>
        <b/>
        <sz val="12"/>
        <rFont val="Arial"/>
        <family val="2"/>
      </rPr>
      <t xml:space="preserve"> DISPATCH PRICE</t>
    </r>
  </si>
  <si>
    <t>FGT NON-FIRM</t>
  </si>
  <si>
    <t>FUTURE GAS PIPELINE</t>
  </si>
  <si>
    <r>
      <t xml:space="preserve">PHASE VIII FGT FIRM FROM </t>
    </r>
    <r>
      <rPr>
        <b/>
        <sz val="12"/>
        <color indexed="17"/>
        <rFont val="Arial"/>
        <family val="2"/>
      </rPr>
      <t>SESH</t>
    </r>
  </si>
  <si>
    <r>
      <t xml:space="preserve">PHASE VIII FGT FIRM FROM </t>
    </r>
    <r>
      <rPr>
        <b/>
        <sz val="12"/>
        <color indexed="10"/>
        <rFont val="Arial"/>
        <family val="2"/>
      </rPr>
      <t>TRANSCO 4A</t>
    </r>
  </si>
  <si>
    <t>PHASE VIII ZONE 3 MOBILE BAY/DESTIN FGT FIRM</t>
  </si>
  <si>
    <r>
      <t xml:space="preserve">ZONE 3 MOBILE BAY/DESTIN FGT FIRM </t>
    </r>
    <r>
      <rPr>
        <b/>
        <sz val="12"/>
        <color indexed="12"/>
        <rFont val="Arial"/>
        <family val="2"/>
      </rPr>
      <t>GULF SOUTH</t>
    </r>
  </si>
  <si>
    <r>
      <t xml:space="preserve">ZONE 3 MOBILE BAY/DESTIN FGT FIRM </t>
    </r>
    <r>
      <rPr>
        <b/>
        <sz val="12"/>
        <color indexed="17"/>
        <rFont val="Arial"/>
        <family val="2"/>
      </rPr>
      <t>SESH</t>
    </r>
  </si>
  <si>
    <t>ZONE 3 MOBILE BAY/DESTIN FGT FIRM</t>
  </si>
  <si>
    <t>ZONE 3 FGT FIRM</t>
  </si>
  <si>
    <t>ZONE 2 FGT FIRM</t>
  </si>
  <si>
    <t>ZONE 1 FGT FIRM</t>
  </si>
  <si>
    <t>ESTMATED SUNK DEMAND CHARGE(S) FOR THE NEW PIPELINE WILL BE PROVIDED UPON REQUEST</t>
  </si>
  <si>
    <t>FIRM TRANSPORT AND STORAGE CONTRACTS THROUGH FGT PHASE VIII</t>
  </si>
  <si>
    <t>SUNK DEMAND CHARGE FOR ALL CURRENT</t>
  </si>
  <si>
    <t>MMCF/DAY</t>
  </si>
  <si>
    <t>DAYS</t>
  </si>
  <si>
    <t>GULFSTREAM NON-FIRM &amp; NON-FIRM BACKHAUL</t>
  </si>
  <si>
    <t>TOTAL GULFSTREAM FIRM</t>
  </si>
  <si>
    <r>
      <t xml:space="preserve">GULFSTREAM FIRN </t>
    </r>
    <r>
      <rPr>
        <b/>
        <sz val="12"/>
        <color indexed="10"/>
        <rFont val="Arial"/>
        <family val="2"/>
      </rPr>
      <t>TRANSNCO 4A</t>
    </r>
    <r>
      <rPr>
        <b/>
        <sz val="12"/>
        <rFont val="Arial"/>
        <family val="2"/>
      </rPr>
      <t xml:space="preserve"> VOLUMES</t>
    </r>
  </si>
  <si>
    <t>GULFSTREAM FIRM CONTRACTUAL BALANCE</t>
  </si>
  <si>
    <r>
      <t xml:space="preserve">GULFSTREAM FIRM </t>
    </r>
    <r>
      <rPr>
        <b/>
        <sz val="12"/>
        <color indexed="12"/>
        <rFont val="Arial"/>
        <family val="2"/>
      </rPr>
      <t>GULF SOUTH</t>
    </r>
    <r>
      <rPr>
        <b/>
        <sz val="12"/>
        <rFont val="Arial"/>
        <family val="2"/>
      </rPr>
      <t xml:space="preserve"> VOLUMES</t>
    </r>
  </si>
  <si>
    <r>
      <t xml:space="preserve">GULFSTREAM FIRM </t>
    </r>
    <r>
      <rPr>
        <b/>
        <sz val="12"/>
        <color indexed="17"/>
        <rFont val="Arial"/>
        <family val="2"/>
      </rPr>
      <t>SESH</t>
    </r>
    <r>
      <rPr>
        <b/>
        <sz val="12"/>
        <rFont val="Arial"/>
        <family val="2"/>
      </rPr>
      <t xml:space="preserve"> VOLUMES</t>
    </r>
  </si>
  <si>
    <t>TOTAL FGT FIRM</t>
  </si>
  <si>
    <t>PHASE VIII FTS 3</t>
  </si>
  <si>
    <t>FGT FIRM BY ZONE</t>
  </si>
  <si>
    <t>Florida Power &amp; Light Company</t>
  </si>
  <si>
    <t>Docket No. 160154-EI</t>
  </si>
  <si>
    <t>Staff's First Set of Interrogatories</t>
  </si>
  <si>
    <t>Interrogatory No. 2</t>
  </si>
  <si>
    <t>Tab 1 of 6</t>
  </si>
  <si>
    <t>Attachment No. 19</t>
  </si>
  <si>
    <t>Tab 2 of 6</t>
  </si>
  <si>
    <t>Tab 3 of 6</t>
  </si>
  <si>
    <t>Tab 4 of 6</t>
  </si>
  <si>
    <t>Tab 5 of 6</t>
  </si>
  <si>
    <t>Tab 6 of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</si>
</sst>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164" formatCode="0.000000"/>
    <numFmt numFmtId="165" formatCode="0_)"/>
    <numFmt numFmtId="166" formatCode="&quot;$&quot;#,##0.00"/>
    <numFmt numFmtId="167" formatCode="[$-409]mmm\-yy;@"/>
    <numFmt numFmtId="168" formatCode="&quot;$&quot;#,##0.0"/>
    <numFmt numFmtId="169" formatCode="&quot;$&quot;#,##0.0_);[Red]\(&quot;$&quot;#,##0.0\)"/>
    <numFmt numFmtId="170" formatCode="0.0"/>
  </numFmts>
  <fonts count="21" x14ac:knownFonts="1">
    <font>
      <sz val="12"/>
      <name val="Helv"/>
    </font>
    <font>
      <sz val="11"/>
      <color theme="1"/>
      <name val="Calibri"/>
      <family val="2"/>
      <scheme val="minor"/>
    </font>
    <font>
      <sz val="12"/>
      <name val="Helv"/>
    </font>
    <font>
      <sz val="12"/>
      <color indexed="12"/>
      <name val="Helv"/>
    </font>
    <font>
      <b/>
      <sz val="12"/>
      <name val="Helv"/>
    </font>
    <font>
      <sz val="10"/>
      <name val="Arial"/>
      <family val="2"/>
    </font>
    <font>
      <sz val="12"/>
      <name val="Arial"/>
      <family val="2"/>
    </font>
    <font>
      <b/>
      <u val="singleAccounting"/>
      <sz val="12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b/>
      <sz val="12"/>
      <color indexed="12"/>
      <name val="Arial"/>
      <family val="2"/>
    </font>
    <font>
      <b/>
      <sz val="14"/>
      <name val="Arial"/>
      <family val="2"/>
    </font>
    <font>
      <b/>
      <sz val="14"/>
      <color indexed="17"/>
      <name val="Arial"/>
      <family val="2"/>
    </font>
    <font>
      <sz val="12"/>
      <color indexed="12"/>
      <name val="Arial"/>
      <family val="2"/>
    </font>
    <font>
      <sz val="12"/>
      <color theme="3"/>
      <name val="Arial"/>
      <family val="2"/>
    </font>
    <font>
      <b/>
      <sz val="12"/>
      <color theme="3"/>
      <name val="Arial"/>
      <family val="2"/>
    </font>
    <font>
      <b/>
      <sz val="12"/>
      <color indexed="10"/>
      <name val="Arial"/>
      <family val="2"/>
    </font>
    <font>
      <b/>
      <sz val="12"/>
      <color indexed="17"/>
      <name val="Arial"/>
      <family val="2"/>
    </font>
    <font>
      <b/>
      <sz val="16"/>
      <color rgb="FFFF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6FFFF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</borders>
  <cellStyleXfs count="25">
    <xf numFmtId="164" fontId="0" fillId="0" borderId="0">
      <alignment horizontal="left" wrapText="1"/>
    </xf>
    <xf numFmtId="44" fontId="5" fillId="0" borderId="0" applyFont="0" applyFill="0" applyBorder="0" applyAlignment="0" applyProtection="0"/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5" fillId="0" borderId="0"/>
  </cellStyleXfs>
  <cellXfs count="124">
    <xf numFmtId="164" fontId="0" fillId="0" borderId="0" xfId="0">
      <alignment horizontal="left" wrapText="1"/>
    </xf>
    <xf numFmtId="165" fontId="0" fillId="0" borderId="0" xfId="0" applyNumberFormat="1" applyAlignment="1"/>
    <xf numFmtId="165" fontId="3" fillId="0" borderId="1" xfId="0" quotePrefix="1" applyNumberFormat="1" applyFont="1" applyBorder="1" applyAlignment="1">
      <alignment horizontal="left"/>
    </xf>
    <xf numFmtId="165" fontId="3" fillId="0" borderId="3" xfId="0" quotePrefix="1" applyNumberFormat="1" applyFont="1" applyBorder="1" applyAlignment="1">
      <alignment horizontal="left"/>
    </xf>
    <xf numFmtId="165" fontId="4" fillId="0" borderId="4" xfId="0" applyNumberFormat="1" applyFont="1" applyBorder="1" applyAlignment="1"/>
    <xf numFmtId="165" fontId="3" fillId="0" borderId="1" xfId="0" applyNumberFormat="1" applyFont="1" applyBorder="1" applyAlignment="1"/>
    <xf numFmtId="165" fontId="3" fillId="0" borderId="3" xfId="0" applyNumberFormat="1" applyFont="1" applyBorder="1" applyAlignment="1"/>
    <xf numFmtId="165" fontId="4" fillId="0" borderId="4" xfId="0" quotePrefix="1" applyNumberFormat="1" applyFont="1" applyBorder="1" applyAlignment="1">
      <alignment horizontal="left"/>
    </xf>
    <xf numFmtId="0" fontId="5" fillId="0" borderId="0" xfId="24"/>
    <xf numFmtId="166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166" fontId="6" fillId="0" borderId="0" xfId="1" applyNumberFormat="1" applyFont="1" applyAlignment="1">
      <alignment horizontal="center"/>
    </xf>
    <xf numFmtId="165" fontId="6" fillId="0" borderId="0" xfId="0" applyNumberFormat="1" applyFont="1" applyAlignment="1"/>
    <xf numFmtId="17" fontId="6" fillId="0" borderId="0" xfId="0" applyNumberFormat="1" applyFont="1" applyAlignment="1">
      <alignment horizontal="center"/>
    </xf>
    <xf numFmtId="166" fontId="6" fillId="0" borderId="0" xfId="24" applyNumberFormat="1" applyFont="1" applyAlignment="1">
      <alignment horizontal="center"/>
    </xf>
    <xf numFmtId="44" fontId="7" fillId="0" borderId="0" xfId="1" applyFont="1" applyAlignment="1">
      <alignment horizontal="center"/>
    </xf>
    <xf numFmtId="0" fontId="8" fillId="0" borderId="0" xfId="24" applyFont="1" applyAlignment="1">
      <alignment horizontal="center"/>
    </xf>
    <xf numFmtId="165" fontId="9" fillId="0" borderId="0" xfId="0" quotePrefix="1" applyNumberFormat="1" applyFont="1" applyFill="1" applyAlignment="1">
      <alignment horizontal="center"/>
    </xf>
    <xf numFmtId="165" fontId="9" fillId="0" borderId="0" xfId="0" applyNumberFormat="1" applyFont="1" applyFill="1" applyAlignment="1">
      <alignment horizontal="center"/>
    </xf>
    <xf numFmtId="165" fontId="9" fillId="2" borderId="0" xfId="0" quotePrefix="1" applyNumberFormat="1" applyFont="1" applyFill="1" applyAlignment="1">
      <alignment horizontal="center"/>
    </xf>
    <xf numFmtId="165" fontId="9" fillId="3" borderId="0" xfId="0" quotePrefix="1" applyNumberFormat="1" applyFont="1" applyFill="1" applyAlignment="1">
      <alignment horizontal="center"/>
    </xf>
    <xf numFmtId="165" fontId="9" fillId="4" borderId="0" xfId="0" quotePrefix="1" applyNumberFormat="1" applyFont="1" applyFill="1" applyAlignment="1">
      <alignment horizontal="center"/>
    </xf>
    <xf numFmtId="0" fontId="5" fillId="0" borderId="0" xfId="24" applyFill="1"/>
    <xf numFmtId="165" fontId="9" fillId="2" borderId="0" xfId="0" quotePrefix="1" applyNumberFormat="1" applyFont="1" applyFill="1" applyAlignment="1">
      <alignment horizontal="center" vertical="center" wrapText="1"/>
    </xf>
    <xf numFmtId="165" fontId="9" fillId="3" borderId="0" xfId="0" quotePrefix="1" applyNumberFormat="1" applyFont="1" applyFill="1" applyAlignment="1">
      <alignment horizontal="center" vertical="center" wrapText="1"/>
    </xf>
    <xf numFmtId="165" fontId="9" fillId="4" borderId="0" xfId="0" quotePrefix="1" applyNumberFormat="1" applyFont="1" applyFill="1" applyAlignment="1">
      <alignment horizontal="center" vertical="center" wrapText="1"/>
    </xf>
    <xf numFmtId="0" fontId="10" fillId="0" borderId="0" xfId="24" applyFont="1"/>
    <xf numFmtId="10" fontId="9" fillId="7" borderId="0" xfId="24" quotePrefix="1" applyNumberFormat="1" applyFont="1" applyFill="1" applyAlignment="1">
      <alignment horizontal="center"/>
    </xf>
    <xf numFmtId="15" fontId="9" fillId="7" borderId="0" xfId="24" applyNumberFormat="1" applyFont="1" applyFill="1" applyAlignment="1">
      <alignment horizontal="left"/>
    </xf>
    <xf numFmtId="15" fontId="9" fillId="0" borderId="0" xfId="24" quotePrefix="1" applyNumberFormat="1" applyFont="1" applyAlignment="1">
      <alignment horizontal="left"/>
    </xf>
    <xf numFmtId="0" fontId="11" fillId="0" borderId="0" xfId="24" applyFont="1"/>
    <xf numFmtId="0" fontId="5" fillId="0" borderId="0" xfId="24" applyAlignment="1">
      <alignment horizontal="center"/>
    </xf>
    <xf numFmtId="17" fontId="2" fillId="0" borderId="0" xfId="0" applyNumberFormat="1" applyFont="1" applyAlignment="1">
      <alignment horizontal="center"/>
    </xf>
    <xf numFmtId="17" fontId="0" fillId="0" borderId="0" xfId="0" applyNumberFormat="1" applyAlignment="1">
      <alignment horizontal="center"/>
    </xf>
    <xf numFmtId="167" fontId="6" fillId="0" borderId="0" xfId="0" applyNumberFormat="1" applyFont="1" applyAlignment="1">
      <alignment horizontal="center"/>
    </xf>
    <xf numFmtId="8" fontId="5" fillId="0" borderId="0" xfId="24" applyNumberFormat="1"/>
    <xf numFmtId="0" fontId="5" fillId="0" borderId="0" xfId="24" applyAlignment="1">
      <alignment horizontal="center" wrapText="1"/>
    </xf>
    <xf numFmtId="0" fontId="9" fillId="0" borderId="0" xfId="24" applyFont="1" applyAlignment="1">
      <alignment horizontal="center" wrapText="1"/>
    </xf>
    <xf numFmtId="0" fontId="8" fillId="0" borderId="0" xfId="24" applyFont="1" applyAlignment="1">
      <alignment horizontal="center" wrapText="1"/>
    </xf>
    <xf numFmtId="0" fontId="9" fillId="0" borderId="0" xfId="24" quotePrefix="1" applyFont="1" applyAlignment="1">
      <alignment horizontal="center" wrapText="1"/>
    </xf>
    <xf numFmtId="10" fontId="12" fillId="7" borderId="0" xfId="24" applyNumberFormat="1" applyFont="1" applyFill="1" applyAlignment="1">
      <alignment horizontal="center"/>
    </xf>
    <xf numFmtId="0" fontId="9" fillId="7" borderId="0" xfId="24" applyFont="1" applyFill="1" applyAlignment="1">
      <alignment horizontal="center"/>
    </xf>
    <xf numFmtId="166" fontId="9" fillId="0" borderId="0" xfId="24" applyNumberFormat="1" applyFont="1" applyFill="1" applyAlignment="1">
      <alignment horizontal="center"/>
    </xf>
    <xf numFmtId="15" fontId="9" fillId="0" borderId="0" xfId="24" applyNumberFormat="1" applyFont="1" applyAlignment="1">
      <alignment horizontal="left"/>
    </xf>
    <xf numFmtId="8" fontId="6" fillId="0" borderId="0" xfId="24" applyNumberFormat="1" applyFont="1" applyAlignment="1">
      <alignment horizontal="center"/>
    </xf>
    <xf numFmtId="166" fontId="6" fillId="6" borderId="0" xfId="24" applyNumberFormat="1" applyFont="1" applyFill="1" applyAlignment="1">
      <alignment horizontal="center"/>
    </xf>
    <xf numFmtId="166" fontId="6" fillId="8" borderId="0" xfId="24" applyNumberFormat="1" applyFont="1" applyFill="1" applyAlignment="1">
      <alignment horizontal="center"/>
    </xf>
    <xf numFmtId="15" fontId="9" fillId="0" borderId="0" xfId="24" applyNumberFormat="1" applyFont="1" applyFill="1" applyAlignment="1">
      <alignment horizontal="left"/>
    </xf>
    <xf numFmtId="0" fontId="5" fillId="0" borderId="0" xfId="24" applyFill="1" applyAlignment="1">
      <alignment horizontal="center"/>
    </xf>
    <xf numFmtId="168" fontId="6" fillId="0" borderId="0" xfId="24" applyNumberFormat="1" applyFont="1" applyAlignment="1">
      <alignment horizontal="center"/>
    </xf>
    <xf numFmtId="166" fontId="6" fillId="3" borderId="0" xfId="24" applyNumberFormat="1" applyFont="1" applyFill="1" applyAlignment="1">
      <alignment horizontal="center"/>
    </xf>
    <xf numFmtId="168" fontId="5" fillId="0" borderId="0" xfId="24" applyNumberFormat="1"/>
    <xf numFmtId="166" fontId="5" fillId="0" borderId="0" xfId="24" applyNumberFormat="1"/>
    <xf numFmtId="166" fontId="9" fillId="5" borderId="0" xfId="24" applyNumberFormat="1" applyFont="1" applyFill="1" applyAlignment="1">
      <alignment horizontal="center"/>
    </xf>
    <xf numFmtId="168" fontId="6" fillId="0" borderId="0" xfId="24" applyNumberFormat="1" applyFont="1"/>
    <xf numFmtId="166" fontId="6" fillId="0" borderId="0" xfId="24" applyNumberFormat="1" applyFont="1"/>
    <xf numFmtId="168" fontId="15" fillId="0" borderId="0" xfId="24" applyNumberFormat="1" applyFont="1" applyAlignment="1">
      <alignment horizontal="center"/>
    </xf>
    <xf numFmtId="169" fontId="6" fillId="0" borderId="0" xfId="24" applyNumberFormat="1" applyFont="1" applyAlignment="1">
      <alignment horizontal="center"/>
    </xf>
    <xf numFmtId="168" fontId="15" fillId="9" borderId="0" xfId="24" applyNumberFormat="1" applyFont="1" applyFill="1" applyAlignment="1">
      <alignment horizontal="center"/>
    </xf>
    <xf numFmtId="169" fontId="6" fillId="5" borderId="0" xfId="24" applyNumberFormat="1" applyFont="1" applyFill="1" applyAlignment="1">
      <alignment horizontal="center"/>
    </xf>
    <xf numFmtId="168" fontId="15" fillId="10" borderId="0" xfId="24" applyNumberFormat="1" applyFont="1" applyFill="1" applyAlignment="1">
      <alignment horizontal="center"/>
    </xf>
    <xf numFmtId="168" fontId="15" fillId="11" borderId="0" xfId="24" applyNumberFormat="1" applyFont="1" applyFill="1" applyAlignment="1">
      <alignment horizontal="center"/>
    </xf>
    <xf numFmtId="166" fontId="6" fillId="5" borderId="0" xfId="24" applyNumberFormat="1" applyFont="1" applyFill="1" applyAlignment="1">
      <alignment horizontal="center"/>
    </xf>
    <xf numFmtId="168" fontId="15" fillId="12" borderId="0" xfId="24" applyNumberFormat="1" applyFont="1" applyFill="1" applyAlignment="1">
      <alignment horizontal="center"/>
    </xf>
    <xf numFmtId="168" fontId="15" fillId="13" borderId="0" xfId="24" applyNumberFormat="1" applyFont="1" applyFill="1" applyAlignment="1">
      <alignment horizontal="center"/>
    </xf>
    <xf numFmtId="168" fontId="15" fillId="14" borderId="0" xfId="24" applyNumberFormat="1" applyFont="1" applyFill="1" applyAlignment="1">
      <alignment horizontal="center"/>
    </xf>
    <xf numFmtId="166" fontId="16" fillId="6" borderId="0" xfId="24" applyNumberFormat="1" applyFont="1" applyFill="1" applyAlignment="1">
      <alignment horizontal="center"/>
    </xf>
    <xf numFmtId="166" fontId="16" fillId="3" borderId="0" xfId="24" applyNumberFormat="1" applyFont="1" applyFill="1" applyAlignment="1">
      <alignment horizontal="center"/>
    </xf>
    <xf numFmtId="168" fontId="16" fillId="0" borderId="0" xfId="24" applyNumberFormat="1" applyFont="1" applyAlignment="1">
      <alignment horizontal="center"/>
    </xf>
    <xf numFmtId="166" fontId="16" fillId="0" borderId="0" xfId="24" applyNumberFormat="1" applyFont="1" applyAlignment="1">
      <alignment horizontal="center"/>
    </xf>
    <xf numFmtId="169" fontId="16" fillId="0" borderId="0" xfId="24" applyNumberFormat="1" applyFont="1" applyAlignment="1">
      <alignment horizontal="center"/>
    </xf>
    <xf numFmtId="166" fontId="17" fillId="5" borderId="0" xfId="24" applyNumberFormat="1" applyFont="1" applyFill="1" applyAlignment="1">
      <alignment horizontal="center"/>
    </xf>
    <xf numFmtId="0" fontId="9" fillId="6" borderId="0" xfId="24" applyFont="1" applyFill="1" applyAlignment="1">
      <alignment horizontal="center" wrapText="1"/>
    </xf>
    <xf numFmtId="0" fontId="9" fillId="3" borderId="0" xfId="24" applyFont="1" applyFill="1" applyAlignment="1">
      <alignment horizontal="center" wrapText="1"/>
    </xf>
    <xf numFmtId="0" fontId="9" fillId="5" borderId="0" xfId="24" applyFont="1" applyFill="1" applyAlignment="1">
      <alignment horizontal="center" wrapText="1"/>
    </xf>
    <xf numFmtId="0" fontId="9" fillId="6" borderId="0" xfId="24" quotePrefix="1" applyFont="1" applyFill="1" applyAlignment="1">
      <alignment horizontal="center" wrapText="1"/>
    </xf>
    <xf numFmtId="0" fontId="9" fillId="2" borderId="0" xfId="24" quotePrefix="1" applyFont="1" applyFill="1" applyAlignment="1">
      <alignment horizontal="center" wrapText="1"/>
    </xf>
    <xf numFmtId="0" fontId="9" fillId="3" borderId="0" xfId="24" quotePrefix="1" applyFont="1" applyFill="1" applyAlignment="1">
      <alignment horizontal="center" wrapText="1"/>
    </xf>
    <xf numFmtId="0" fontId="9" fillId="0" borderId="0" xfId="24" applyFont="1" applyAlignment="1">
      <alignment horizontal="center"/>
    </xf>
    <xf numFmtId="10" fontId="9" fillId="0" borderId="0" xfId="24" applyNumberFormat="1" applyFont="1" applyFill="1" applyAlignment="1">
      <alignment horizontal="center"/>
    </xf>
    <xf numFmtId="0" fontId="9" fillId="0" borderId="0" xfId="24" applyFont="1" applyFill="1" applyAlignment="1">
      <alignment horizontal="center"/>
    </xf>
    <xf numFmtId="10" fontId="9" fillId="7" borderId="0" xfId="24" applyNumberFormat="1" applyFont="1" applyFill="1" applyAlignment="1">
      <alignment horizontal="center"/>
    </xf>
    <xf numFmtId="0" fontId="9" fillId="0" borderId="0" xfId="24" quotePrefix="1" applyFont="1" applyAlignment="1">
      <alignment horizontal="center"/>
    </xf>
    <xf numFmtId="1" fontId="6" fillId="0" borderId="0" xfId="24" applyNumberFormat="1" applyFont="1" applyAlignment="1">
      <alignment horizontal="center"/>
    </xf>
    <xf numFmtId="1" fontId="5" fillId="0" borderId="0" xfId="24" applyNumberFormat="1" applyAlignment="1">
      <alignment horizontal="center"/>
    </xf>
    <xf numFmtId="1" fontId="6" fillId="15" borderId="0" xfId="24" applyNumberFormat="1" applyFont="1" applyFill="1" applyAlignment="1">
      <alignment horizontal="center"/>
    </xf>
    <xf numFmtId="1" fontId="6" fillId="0" borderId="0" xfId="24" applyNumberFormat="1" applyFont="1" applyFill="1" applyAlignment="1">
      <alignment horizontal="center"/>
    </xf>
    <xf numFmtId="3" fontId="6" fillId="0" borderId="0" xfId="24" applyNumberFormat="1" applyFont="1" applyAlignment="1">
      <alignment horizontal="center"/>
    </xf>
    <xf numFmtId="3" fontId="6" fillId="0" borderId="0" xfId="24" applyNumberFormat="1" applyFont="1" applyFill="1" applyAlignment="1">
      <alignment horizontal="center"/>
    </xf>
    <xf numFmtId="3" fontId="6" fillId="15" borderId="0" xfId="24" applyNumberFormat="1" applyFont="1" applyFill="1" applyAlignment="1">
      <alignment horizontal="center"/>
    </xf>
    <xf numFmtId="170" fontId="9" fillId="5" borderId="0" xfId="24" applyNumberFormat="1" applyFont="1" applyFill="1" applyAlignment="1">
      <alignment horizontal="center"/>
    </xf>
    <xf numFmtId="3" fontId="6" fillId="5" borderId="0" xfId="24" applyNumberFormat="1" applyFont="1" applyFill="1" applyAlignment="1">
      <alignment horizontal="center"/>
    </xf>
    <xf numFmtId="3" fontId="6" fillId="0" borderId="0" xfId="0" applyNumberFormat="1" applyFont="1" applyAlignment="1">
      <alignment horizontal="center"/>
    </xf>
    <xf numFmtId="1" fontId="6" fillId="0" borderId="0" xfId="0" applyNumberFormat="1" applyFont="1" applyAlignment="1"/>
    <xf numFmtId="1" fontId="9" fillId="5" borderId="0" xfId="24" applyNumberFormat="1" applyFont="1" applyFill="1" applyAlignment="1">
      <alignment horizontal="center"/>
    </xf>
    <xf numFmtId="1" fontId="2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6" fillId="0" borderId="0" xfId="0" applyNumberFormat="1" applyFont="1" applyAlignment="1">
      <alignment horizontal="center"/>
    </xf>
    <xf numFmtId="1" fontId="6" fillId="5" borderId="0" xfId="24" applyNumberFormat="1" applyFont="1" applyFill="1" applyAlignment="1">
      <alignment horizontal="center"/>
    </xf>
    <xf numFmtId="0" fontId="8" fillId="5" borderId="0" xfId="24" applyFont="1" applyFill="1" applyAlignment="1">
      <alignment horizontal="center" wrapText="1"/>
    </xf>
    <xf numFmtId="0" fontId="9" fillId="2" borderId="0" xfId="24" applyFont="1" applyFill="1" applyAlignment="1">
      <alignment horizontal="center" wrapText="1"/>
    </xf>
    <xf numFmtId="0" fontId="6" fillId="0" borderId="0" xfId="24" applyFont="1" applyAlignment="1">
      <alignment horizontal="center" wrapText="1"/>
    </xf>
    <xf numFmtId="0" fontId="9" fillId="0" borderId="0" xfId="24" quotePrefix="1" applyFont="1" applyFill="1" applyAlignment="1">
      <alignment horizontal="center"/>
    </xf>
    <xf numFmtId="0" fontId="9" fillId="0" borderId="0" xfId="24" applyFont="1" applyFill="1" applyAlignment="1"/>
    <xf numFmtId="0" fontId="9" fillId="4" borderId="0" xfId="24" applyFont="1" applyFill="1" applyAlignment="1">
      <alignment horizontal="center"/>
    </xf>
    <xf numFmtId="0" fontId="9" fillId="6" borderId="0" xfId="24" quotePrefix="1" applyFont="1" applyFill="1" applyAlignment="1">
      <alignment horizontal="center"/>
    </xf>
    <xf numFmtId="0" fontId="9" fillId="0" borderId="0" xfId="24" applyFont="1"/>
    <xf numFmtId="165" fontId="0" fillId="0" borderId="0" xfId="0" applyNumberFormat="1" applyFill="1" applyAlignment="1"/>
    <xf numFmtId="165" fontId="4" fillId="0" borderId="0" xfId="0" applyNumberFormat="1" applyFont="1" applyAlignment="1">
      <alignment horizontal="left"/>
    </xf>
    <xf numFmtId="165" fontId="3" fillId="0" borderId="2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5" fontId="3" fillId="0" borderId="3" xfId="0" applyNumberFormat="1" applyFont="1" applyBorder="1" applyAlignment="1">
      <alignment horizontal="center" vertical="center"/>
    </xf>
    <xf numFmtId="165" fontId="9" fillId="6" borderId="0" xfId="0" quotePrefix="1" applyNumberFormat="1" applyFont="1" applyFill="1" applyAlignment="1">
      <alignment horizontal="center"/>
    </xf>
    <xf numFmtId="0" fontId="9" fillId="0" borderId="0" xfId="24" applyFont="1" applyAlignment="1">
      <alignment horizontal="center"/>
    </xf>
    <xf numFmtId="0" fontId="9" fillId="5" borderId="0" xfId="24" quotePrefix="1" applyFont="1" applyFill="1" applyAlignment="1">
      <alignment horizontal="center"/>
    </xf>
    <xf numFmtId="0" fontId="9" fillId="5" borderId="0" xfId="24" applyFont="1" applyFill="1" applyAlignment="1">
      <alignment horizontal="center"/>
    </xf>
    <xf numFmtId="0" fontId="9" fillId="6" borderId="0" xfId="24" applyFont="1" applyFill="1" applyAlignment="1">
      <alignment horizontal="center"/>
    </xf>
    <xf numFmtId="0" fontId="9" fillId="6" borderId="0" xfId="24" quotePrefix="1" applyFont="1" applyFill="1" applyAlignment="1">
      <alignment horizontal="center"/>
    </xf>
    <xf numFmtId="0" fontId="20" fillId="6" borderId="7" xfId="24" quotePrefix="1" applyFont="1" applyFill="1" applyBorder="1" applyAlignment="1">
      <alignment horizontal="center"/>
    </xf>
    <xf numFmtId="0" fontId="20" fillId="6" borderId="6" xfId="24" quotePrefix="1" applyFont="1" applyFill="1" applyBorder="1" applyAlignment="1">
      <alignment horizontal="center"/>
    </xf>
    <xf numFmtId="0" fontId="20" fillId="6" borderId="5" xfId="24" quotePrefix="1" applyFont="1" applyFill="1" applyBorder="1" applyAlignment="1">
      <alignment horizontal="center"/>
    </xf>
    <xf numFmtId="0" fontId="9" fillId="0" borderId="0" xfId="24" quotePrefix="1" applyFont="1" applyFill="1" applyAlignment="1">
      <alignment horizontal="center"/>
    </xf>
    <xf numFmtId="0" fontId="9" fillId="4" borderId="0" xfId="24" quotePrefix="1" applyFont="1" applyFill="1" applyAlignment="1">
      <alignment horizontal="center"/>
    </xf>
    <xf numFmtId="0" fontId="9" fillId="4" borderId="0" xfId="24" applyFont="1" applyFill="1" applyAlignment="1">
      <alignment horizontal="center"/>
    </xf>
  </cellXfs>
  <cellStyles count="25">
    <cellStyle name="_CC Oil" xfId="2"/>
    <cellStyle name="_DSO Oil" xfId="3"/>
    <cellStyle name="_FLCC Oil" xfId="4"/>
    <cellStyle name="_FLPEGT Oil" xfId="5"/>
    <cellStyle name="_FMCT Oil" xfId="6"/>
    <cellStyle name="_GTDW_DataTemplate" xfId="7"/>
    <cellStyle name="_Gulfstream Gas" xfId="8"/>
    <cellStyle name="_MR .7 Oil" xfId="9"/>
    <cellStyle name="_MR 1 Oil" xfId="10"/>
    <cellStyle name="_MRCT Oil" xfId="11"/>
    <cellStyle name="_MT Gulfstream Gas" xfId="12"/>
    <cellStyle name="_MT Oil" xfId="13"/>
    <cellStyle name="_OLCT Oil" xfId="14"/>
    <cellStyle name="_PE Oil" xfId="15"/>
    <cellStyle name="_PN Oil" xfId="16"/>
    <cellStyle name="_RV Oil" xfId="17"/>
    <cellStyle name="_SHCT Oil" xfId="18"/>
    <cellStyle name="_SN Oil" xfId="19"/>
    <cellStyle name="_TP Oil" xfId="20"/>
    <cellStyle name="Currency" xfId="1" builtinId="4"/>
    <cellStyle name="Normal" xfId="0" builtinId="0"/>
    <cellStyle name="Normal 2" xfId="21"/>
    <cellStyle name="Normal 2 2" xfId="22"/>
    <cellStyle name="Normal 2 3" xfId="23"/>
    <cellStyle name="Normal_060415 RAP Fuel Price Forecast Template - Case 1 (Historical Spread)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3" dropStyle="combo" dx="18" fmlaLink="CONTROL!$C$32" fmlaRange="CONTROL!$B$32:$B$34" sel="2" val="0"/>
</file>

<file path=xl/ctrlProps/ctrlProp2.xml><?xml version="1.0" encoding="utf-8"?>
<formControlPr xmlns="http://schemas.microsoft.com/office/spreadsheetml/2009/9/main" objectType="Drop" dropLines="3" dropStyle="combo" dx="18" fmlaLink="CONTROL!$C$9" fmlaRange="CONTROL!$B$9:$B$11" sel="2" val="0"/>
</file>

<file path=xl/ctrlProps/ctrlProp3.xml><?xml version="1.0" encoding="utf-8"?>
<formControlPr xmlns="http://schemas.microsoft.com/office/spreadsheetml/2009/9/main" objectType="Drop" dropLines="2" dropStyle="combo" dx="18" fmlaLink="CONTROL!$C$27" fmlaRange="CONTROL!$B$27:$B$28" val="0"/>
</file>

<file path=xl/ctrlProps/ctrlProp4.xml><?xml version="1.0" encoding="utf-8"?>
<formControlPr xmlns="http://schemas.microsoft.com/office/spreadsheetml/2009/9/main" objectType="Drop" dropLines="3" dropStyle="combo" dx="18" fmlaLink="CONTROL!$C$15" fmlaRange="CONTROL!$B$15:$B$17" sel="2" val="0"/>
</file>

<file path=xl/ctrlProps/ctrlProp5.xml><?xml version="1.0" encoding="utf-8"?>
<formControlPr xmlns="http://schemas.microsoft.com/office/spreadsheetml/2009/9/main" objectType="Drop" dropLines="2" dropStyle="combo" dx="18" fmlaLink="CONTROL!$C$38" fmlaRange="CONTROL!$B$38:$B$39" val="0"/>
</file>

<file path=xl/ctrlProps/ctrlProp6.xml><?xml version="1.0" encoding="utf-8"?>
<formControlPr xmlns="http://schemas.microsoft.com/office/spreadsheetml/2009/9/main" objectType="Drop" dropLines="3" dropStyle="combo" dx="18" fmlaLink="CONTROL!$C$21" fmlaRange="CONTROL!$B$21:$B$23" sel="2" val="0"/>
</file>

<file path=xl/ctrlProps/ctrlProp7.xml><?xml version="1.0" encoding="utf-8"?>
<formControlPr xmlns="http://schemas.microsoft.com/office/spreadsheetml/2009/9/main" objectType="Drop" dropLines="2" dropStyle="combo" dx="18" fmlaLink="CONTROL!$C$42" fmlaRange="CONTROL!$B$42:$B$43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7</xdr:row>
          <xdr:rowOff>38100</xdr:rowOff>
        </xdr:from>
        <xdr:to>
          <xdr:col>6</xdr:col>
          <xdr:colOff>381000</xdr:colOff>
          <xdr:row>8</xdr:row>
          <xdr:rowOff>95250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7</xdr:row>
          <xdr:rowOff>28575</xdr:rowOff>
        </xdr:from>
        <xdr:to>
          <xdr:col>7</xdr:col>
          <xdr:colOff>123825</xdr:colOff>
          <xdr:row>8</xdr:row>
          <xdr:rowOff>114300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295275</xdr:colOff>
          <xdr:row>7</xdr:row>
          <xdr:rowOff>57150</xdr:rowOff>
        </xdr:from>
        <xdr:to>
          <xdr:col>8</xdr:col>
          <xdr:colOff>314325</xdr:colOff>
          <xdr:row>8</xdr:row>
          <xdr:rowOff>133350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7</xdr:row>
          <xdr:rowOff>133350</xdr:rowOff>
        </xdr:from>
        <xdr:to>
          <xdr:col>8</xdr:col>
          <xdr:colOff>304800</xdr:colOff>
          <xdr:row>9</xdr:row>
          <xdr:rowOff>19050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438150</xdr:colOff>
          <xdr:row>7</xdr:row>
          <xdr:rowOff>133350</xdr:rowOff>
        </xdr:from>
        <xdr:to>
          <xdr:col>9</xdr:col>
          <xdr:colOff>571500</xdr:colOff>
          <xdr:row>9</xdr:row>
          <xdr:rowOff>19050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7</xdr:row>
          <xdr:rowOff>28575</xdr:rowOff>
        </xdr:from>
        <xdr:to>
          <xdr:col>8</xdr:col>
          <xdr:colOff>552450</xdr:colOff>
          <xdr:row>8</xdr:row>
          <xdr:rowOff>114300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7</xdr:row>
          <xdr:rowOff>133350</xdr:rowOff>
        </xdr:from>
        <xdr:to>
          <xdr:col>12</xdr:col>
          <xdr:colOff>266700</xdr:colOff>
          <xdr:row>9</xdr:row>
          <xdr:rowOff>9525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exu0ocl\040609%20FUEL%20COST%20RECOVERY%20-%20IRP%20SHORT%20&amp;%20LONG-TERM%20FOSSIL%20FUEL%20PRICE%20FORECA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XD0FJ7\AppData\Local\Temp\Temp1_2013.zip\2013\8.%20August\130805%202013%20-%202100%20LONG-TERM%20FORECAST%20FPL%20METHODOLOGY%20-%20To%20Delete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ndex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REG\GenTrader%20Data\Weekly%20Long%20Run\040914\Inputs\GTDW_DataTempl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L OIL BACKUP 2"/>
      <sheetName val="GRAPH DATA"/>
      <sheetName val="CURRENT FPL VS. FCR FORECAST"/>
      <sheetName val="CURRENT VS. PREVIOUS FPL FORE."/>
      <sheetName val="CURRENT FPL VS. PIRA FORECAST"/>
      <sheetName val="FPL FORECAST VS. FORWARD CURVE"/>
      <sheetName val="FPL MOST LIKELY OIL BACKUP 1"/>
      <sheetName val="COMPARISON OF DISPATCH PRICES"/>
      <sheetName val="FOSSIL FUEL GRAPH"/>
      <sheetName val="MOST LIKELY OIL FORECAST UPDATE"/>
      <sheetName val="MOST LIKELY OIL PRICE FORECAST"/>
      <sheetName val="LOW PRICE OIL FORECAST"/>
      <sheetName val="HIGH PRICE OIL FORECAST"/>
      <sheetName val="WEEKLY GAS FORECAST UPDATE"/>
      <sheetName val="MOST LIKELY GAS PRICE &amp; AVAIL"/>
      <sheetName val="MOST LIKELY COAL &amp; PET COKE"/>
      <sheetName val="FPL MOST LIKELY GAS BACKUP 2"/>
      <sheetName val="FPL MOST LIKELY GAS BACKUP 1"/>
      <sheetName val="FPL LOW PRICE GAS BACKUP 1"/>
      <sheetName val="FPL HIGH PRICE GAS BACKUP 1"/>
      <sheetName val="LOW PRICE GAS &amp; AVAILABILITY"/>
      <sheetName val="HIGH PRICE GAS &amp; AVAILA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W Curves"/>
      <sheetName val="_Setup_"/>
      <sheetName val="PIRA - LONG TERM OIL BACKUP"/>
      <sheetName val="PIRA - LONG TERM GAS BACKUP"/>
      <sheetName val="OIL &amp; GAS SEASONALITY"/>
      <sheetName val="DISTILLATE &amp; RESIDUAL FUEL OIL"/>
      <sheetName val="FGT NON-FIRM"/>
      <sheetName val="FGT PRIMARY FIRM ZONE 1"/>
      <sheetName val="FGT PRIMARY FIRM ZONE 2"/>
      <sheetName val="FGT PRIMARY FIRM ZONE 3"/>
      <sheetName val="FGT FIRM ZONE 3 MOBILE BAY-DES"/>
      <sheetName val="FTS 3  FIRM ZONE 3 MOBILE BAY-D"/>
      <sheetName val="TRANSCO 4A LATERAL TO FTS 3"/>
      <sheetName val="TRANSCO 4 LATERAL TO GULFSTREAM"/>
      <sheetName val="SESH TO FGT FIRM ZONE 3 MOB BAY"/>
      <sheetName val="SESH TO FTS 3"/>
      <sheetName val="SESH TO GULFSTREAM"/>
      <sheetName val="GULFSTREAM FIRM "/>
      <sheetName val="GULFSTREAM NON-FIRM"/>
      <sheetName val="GULFSTREAM NON-FIRM  BACKHAUL "/>
      <sheetName val="UPS REPLACEMENT"/>
      <sheetName val="FUTURE GAS PIPELINE"/>
      <sheetName val="Upload"/>
      <sheetName val="MOST LIKELY COAL &amp; PET COKE"/>
      <sheetName val="GULF SOUTH TO FGT Z3 MOBILE BAY"/>
      <sheetName val="GULF SOUTH TO GULFSTREAM"/>
    </sheetNames>
    <sheetDataSet>
      <sheetData sheetId="0"/>
      <sheetData sheetId="1"/>
      <sheetData sheetId="2"/>
      <sheetData sheetId="3"/>
      <sheetData sheetId="4"/>
      <sheetData sheetId="5"/>
      <sheetData sheetId="6">
        <row r="95">
          <cell r="P95">
            <v>100</v>
          </cell>
        </row>
        <row r="96">
          <cell r="P96">
            <v>100</v>
          </cell>
        </row>
        <row r="97">
          <cell r="P97">
            <v>100</v>
          </cell>
        </row>
        <row r="98">
          <cell r="P98">
            <v>100</v>
          </cell>
        </row>
        <row r="99">
          <cell r="P99">
            <v>75</v>
          </cell>
        </row>
        <row r="100">
          <cell r="P100">
            <v>30</v>
          </cell>
        </row>
        <row r="101">
          <cell r="P101">
            <v>30</v>
          </cell>
        </row>
        <row r="102">
          <cell r="P102">
            <v>30</v>
          </cell>
        </row>
        <row r="103">
          <cell r="P103">
            <v>30</v>
          </cell>
        </row>
        <row r="104">
          <cell r="P104">
            <v>75</v>
          </cell>
        </row>
        <row r="105">
          <cell r="P105">
            <v>100</v>
          </cell>
        </row>
        <row r="106">
          <cell r="P106">
            <v>100</v>
          </cell>
        </row>
        <row r="107">
          <cell r="P107">
            <v>100</v>
          </cell>
        </row>
        <row r="108">
          <cell r="P108">
            <v>100</v>
          </cell>
        </row>
        <row r="109">
          <cell r="P109">
            <v>100</v>
          </cell>
        </row>
        <row r="110">
          <cell r="P110">
            <v>100</v>
          </cell>
        </row>
        <row r="111">
          <cell r="P111">
            <v>75</v>
          </cell>
        </row>
        <row r="112">
          <cell r="P112">
            <v>30</v>
          </cell>
        </row>
        <row r="113">
          <cell r="P113">
            <v>30</v>
          </cell>
        </row>
        <row r="114">
          <cell r="P114">
            <v>30</v>
          </cell>
        </row>
        <row r="115">
          <cell r="P115">
            <v>30</v>
          </cell>
        </row>
        <row r="116">
          <cell r="P116">
            <v>75</v>
          </cell>
        </row>
        <row r="117">
          <cell r="P117">
            <v>100</v>
          </cell>
        </row>
        <row r="118">
          <cell r="P118">
            <v>100</v>
          </cell>
        </row>
        <row r="119">
          <cell r="P119">
            <v>100</v>
          </cell>
        </row>
        <row r="120">
          <cell r="P120">
            <v>100</v>
          </cell>
        </row>
        <row r="121">
          <cell r="P121">
            <v>100</v>
          </cell>
        </row>
        <row r="122">
          <cell r="P122">
            <v>100</v>
          </cell>
        </row>
        <row r="123">
          <cell r="P123">
            <v>75</v>
          </cell>
        </row>
        <row r="124">
          <cell r="P124">
            <v>30</v>
          </cell>
        </row>
        <row r="125">
          <cell r="P125">
            <v>30</v>
          </cell>
        </row>
        <row r="126">
          <cell r="P126">
            <v>30</v>
          </cell>
        </row>
        <row r="127">
          <cell r="P127">
            <v>30</v>
          </cell>
        </row>
        <row r="128">
          <cell r="P128">
            <v>75</v>
          </cell>
        </row>
        <row r="129">
          <cell r="P129">
            <v>100</v>
          </cell>
        </row>
        <row r="130">
          <cell r="P130">
            <v>100</v>
          </cell>
        </row>
        <row r="131">
          <cell r="P131">
            <v>100</v>
          </cell>
        </row>
        <row r="132">
          <cell r="P132">
            <v>100</v>
          </cell>
        </row>
        <row r="133">
          <cell r="P133">
            <v>100</v>
          </cell>
        </row>
        <row r="134">
          <cell r="P134">
            <v>100</v>
          </cell>
        </row>
        <row r="135">
          <cell r="P135">
            <v>75</v>
          </cell>
        </row>
        <row r="136">
          <cell r="P136">
            <v>30</v>
          </cell>
        </row>
        <row r="137">
          <cell r="P137">
            <v>30</v>
          </cell>
        </row>
        <row r="138">
          <cell r="P138">
            <v>30</v>
          </cell>
        </row>
        <row r="139">
          <cell r="P139">
            <v>30</v>
          </cell>
        </row>
        <row r="140">
          <cell r="P140">
            <v>75</v>
          </cell>
        </row>
        <row r="141">
          <cell r="P141">
            <v>100</v>
          </cell>
        </row>
        <row r="142">
          <cell r="P142">
            <v>100</v>
          </cell>
        </row>
        <row r="143">
          <cell r="P143">
            <v>100</v>
          </cell>
        </row>
        <row r="144">
          <cell r="P144">
            <v>100</v>
          </cell>
        </row>
        <row r="145">
          <cell r="P145">
            <v>100</v>
          </cell>
        </row>
        <row r="146">
          <cell r="P146">
            <v>100</v>
          </cell>
        </row>
        <row r="147">
          <cell r="P147">
            <v>75</v>
          </cell>
        </row>
        <row r="148">
          <cell r="P148">
            <v>30</v>
          </cell>
        </row>
        <row r="149">
          <cell r="P149">
            <v>30</v>
          </cell>
        </row>
        <row r="150">
          <cell r="P150">
            <v>30</v>
          </cell>
        </row>
        <row r="151">
          <cell r="P151">
            <v>30</v>
          </cell>
        </row>
        <row r="152">
          <cell r="P152">
            <v>75</v>
          </cell>
        </row>
        <row r="153">
          <cell r="P153">
            <v>100</v>
          </cell>
        </row>
        <row r="154">
          <cell r="P154">
            <v>100</v>
          </cell>
        </row>
        <row r="155">
          <cell r="P155">
            <v>100</v>
          </cell>
        </row>
        <row r="156">
          <cell r="P156">
            <v>100</v>
          </cell>
        </row>
        <row r="157">
          <cell r="P157">
            <v>100</v>
          </cell>
        </row>
        <row r="158">
          <cell r="P158">
            <v>100</v>
          </cell>
        </row>
        <row r="159">
          <cell r="P159">
            <v>75</v>
          </cell>
        </row>
        <row r="160">
          <cell r="P160">
            <v>30</v>
          </cell>
        </row>
        <row r="161">
          <cell r="P161">
            <v>30</v>
          </cell>
        </row>
        <row r="162">
          <cell r="P162">
            <v>30</v>
          </cell>
        </row>
        <row r="163">
          <cell r="P163">
            <v>30</v>
          </cell>
        </row>
        <row r="164">
          <cell r="P164">
            <v>75</v>
          </cell>
        </row>
        <row r="165">
          <cell r="P165">
            <v>100</v>
          </cell>
        </row>
        <row r="166">
          <cell r="P166">
            <v>100</v>
          </cell>
        </row>
        <row r="167">
          <cell r="P167">
            <v>100</v>
          </cell>
        </row>
        <row r="168">
          <cell r="P168">
            <v>100</v>
          </cell>
        </row>
        <row r="169">
          <cell r="P169">
            <v>100</v>
          </cell>
        </row>
        <row r="170">
          <cell r="P170">
            <v>100</v>
          </cell>
        </row>
        <row r="171">
          <cell r="P171">
            <v>75</v>
          </cell>
        </row>
        <row r="172">
          <cell r="P172">
            <v>30</v>
          </cell>
        </row>
        <row r="173">
          <cell r="P173">
            <v>30</v>
          </cell>
        </row>
        <row r="174">
          <cell r="P174">
            <v>30</v>
          </cell>
        </row>
        <row r="175">
          <cell r="P175">
            <v>30</v>
          </cell>
        </row>
        <row r="176">
          <cell r="P176">
            <v>75</v>
          </cell>
        </row>
        <row r="177">
          <cell r="P177">
            <v>100</v>
          </cell>
        </row>
        <row r="178">
          <cell r="P178">
            <v>100</v>
          </cell>
        </row>
        <row r="179">
          <cell r="P179">
            <v>100</v>
          </cell>
        </row>
        <row r="180">
          <cell r="P180">
            <v>100</v>
          </cell>
        </row>
        <row r="181">
          <cell r="P181">
            <v>100</v>
          </cell>
        </row>
        <row r="182">
          <cell r="P182">
            <v>100</v>
          </cell>
        </row>
        <row r="183">
          <cell r="P183">
            <v>75</v>
          </cell>
        </row>
        <row r="184">
          <cell r="P184">
            <v>30</v>
          </cell>
        </row>
        <row r="185">
          <cell r="P185">
            <v>30</v>
          </cell>
        </row>
        <row r="186">
          <cell r="P186">
            <v>30</v>
          </cell>
        </row>
        <row r="187">
          <cell r="P187">
            <v>30</v>
          </cell>
        </row>
        <row r="188">
          <cell r="P188">
            <v>75</v>
          </cell>
        </row>
        <row r="189">
          <cell r="P189">
            <v>100</v>
          </cell>
        </row>
        <row r="190">
          <cell r="P190">
            <v>100</v>
          </cell>
        </row>
        <row r="191">
          <cell r="P191">
            <v>100</v>
          </cell>
        </row>
        <row r="192">
          <cell r="P192">
            <v>100</v>
          </cell>
        </row>
        <row r="193">
          <cell r="P193">
            <v>100</v>
          </cell>
        </row>
        <row r="194">
          <cell r="P194">
            <v>100</v>
          </cell>
        </row>
        <row r="195">
          <cell r="P195">
            <v>75</v>
          </cell>
        </row>
        <row r="196">
          <cell r="P196">
            <v>30</v>
          </cell>
        </row>
        <row r="197">
          <cell r="P197">
            <v>30</v>
          </cell>
        </row>
        <row r="198">
          <cell r="P198">
            <v>30</v>
          </cell>
        </row>
        <row r="199">
          <cell r="P199">
            <v>30</v>
          </cell>
        </row>
        <row r="200">
          <cell r="P200">
            <v>75</v>
          </cell>
        </row>
        <row r="201">
          <cell r="P201">
            <v>100</v>
          </cell>
        </row>
        <row r="202">
          <cell r="P202">
            <v>100</v>
          </cell>
        </row>
        <row r="203">
          <cell r="P203">
            <v>100</v>
          </cell>
        </row>
        <row r="204">
          <cell r="P204">
            <v>100</v>
          </cell>
        </row>
        <row r="205">
          <cell r="P205">
            <v>100</v>
          </cell>
        </row>
        <row r="206">
          <cell r="P206">
            <v>100</v>
          </cell>
        </row>
        <row r="207">
          <cell r="P207">
            <v>75</v>
          </cell>
        </row>
        <row r="208">
          <cell r="P208">
            <v>30</v>
          </cell>
        </row>
        <row r="209">
          <cell r="P209">
            <v>30</v>
          </cell>
        </row>
        <row r="210">
          <cell r="P210">
            <v>30</v>
          </cell>
        </row>
        <row r="211">
          <cell r="P211">
            <v>30</v>
          </cell>
        </row>
        <row r="212">
          <cell r="P212">
            <v>75</v>
          </cell>
        </row>
        <row r="213">
          <cell r="P213">
            <v>100</v>
          </cell>
        </row>
        <row r="214">
          <cell r="P214">
            <v>100</v>
          </cell>
        </row>
        <row r="215">
          <cell r="P215">
            <v>100</v>
          </cell>
        </row>
        <row r="216">
          <cell r="P216">
            <v>100</v>
          </cell>
        </row>
        <row r="217">
          <cell r="P217">
            <v>100</v>
          </cell>
        </row>
        <row r="218">
          <cell r="P218">
            <v>100</v>
          </cell>
        </row>
        <row r="219">
          <cell r="P219">
            <v>75</v>
          </cell>
        </row>
        <row r="220">
          <cell r="P220">
            <v>30</v>
          </cell>
        </row>
        <row r="221">
          <cell r="P221">
            <v>30</v>
          </cell>
        </row>
        <row r="222">
          <cell r="P222">
            <v>30</v>
          </cell>
        </row>
        <row r="223">
          <cell r="P223">
            <v>30</v>
          </cell>
        </row>
        <row r="224">
          <cell r="P224">
            <v>75</v>
          </cell>
        </row>
        <row r="225">
          <cell r="P225">
            <v>100</v>
          </cell>
        </row>
        <row r="226">
          <cell r="P226">
            <v>100</v>
          </cell>
        </row>
        <row r="227">
          <cell r="P227">
            <v>100</v>
          </cell>
        </row>
        <row r="228">
          <cell r="P228">
            <v>100</v>
          </cell>
        </row>
        <row r="229">
          <cell r="P229">
            <v>100</v>
          </cell>
        </row>
        <row r="230">
          <cell r="P230">
            <v>100</v>
          </cell>
        </row>
        <row r="231">
          <cell r="P231">
            <v>75</v>
          </cell>
        </row>
        <row r="232">
          <cell r="P232">
            <v>30</v>
          </cell>
        </row>
        <row r="233">
          <cell r="P233">
            <v>30</v>
          </cell>
        </row>
        <row r="234">
          <cell r="P234">
            <v>30</v>
          </cell>
        </row>
        <row r="235">
          <cell r="P235">
            <v>30</v>
          </cell>
        </row>
        <row r="236">
          <cell r="P236">
            <v>75</v>
          </cell>
        </row>
        <row r="237">
          <cell r="P237">
            <v>100</v>
          </cell>
        </row>
        <row r="238">
          <cell r="P238">
            <v>100</v>
          </cell>
        </row>
        <row r="239">
          <cell r="P239">
            <v>100</v>
          </cell>
        </row>
        <row r="240">
          <cell r="P240">
            <v>100</v>
          </cell>
        </row>
        <row r="241">
          <cell r="P241">
            <v>100</v>
          </cell>
        </row>
        <row r="242">
          <cell r="P242">
            <v>100</v>
          </cell>
        </row>
        <row r="243">
          <cell r="P243">
            <v>75</v>
          </cell>
        </row>
        <row r="244">
          <cell r="P244">
            <v>30</v>
          </cell>
        </row>
        <row r="245">
          <cell r="P245">
            <v>30</v>
          </cell>
        </row>
        <row r="246">
          <cell r="P246">
            <v>30</v>
          </cell>
        </row>
        <row r="247">
          <cell r="P247">
            <v>30</v>
          </cell>
        </row>
        <row r="248">
          <cell r="P248">
            <v>75</v>
          </cell>
        </row>
        <row r="249">
          <cell r="P249">
            <v>100</v>
          </cell>
        </row>
        <row r="250">
          <cell r="P250">
            <v>100</v>
          </cell>
        </row>
        <row r="251">
          <cell r="P251">
            <v>100</v>
          </cell>
        </row>
        <row r="252">
          <cell r="P252">
            <v>100</v>
          </cell>
        </row>
        <row r="253">
          <cell r="P253">
            <v>100</v>
          </cell>
        </row>
        <row r="254">
          <cell r="P254">
            <v>100</v>
          </cell>
        </row>
        <row r="255">
          <cell r="P255">
            <v>75</v>
          </cell>
        </row>
        <row r="256">
          <cell r="P256">
            <v>30</v>
          </cell>
        </row>
        <row r="257">
          <cell r="P257">
            <v>30</v>
          </cell>
        </row>
        <row r="258">
          <cell r="P258">
            <v>30</v>
          </cell>
        </row>
        <row r="259">
          <cell r="P259">
            <v>30</v>
          </cell>
        </row>
        <row r="260">
          <cell r="P260">
            <v>75</v>
          </cell>
        </row>
        <row r="261">
          <cell r="P261">
            <v>100</v>
          </cell>
        </row>
        <row r="262">
          <cell r="P262">
            <v>100</v>
          </cell>
        </row>
        <row r="263">
          <cell r="P263">
            <v>100</v>
          </cell>
        </row>
        <row r="264">
          <cell r="P264">
            <v>100</v>
          </cell>
        </row>
        <row r="265">
          <cell r="P265">
            <v>100</v>
          </cell>
        </row>
        <row r="266">
          <cell r="P266">
            <v>100</v>
          </cell>
        </row>
        <row r="267">
          <cell r="P267">
            <v>75</v>
          </cell>
        </row>
        <row r="268">
          <cell r="P268">
            <v>30</v>
          </cell>
        </row>
        <row r="269">
          <cell r="P269">
            <v>30</v>
          </cell>
        </row>
        <row r="270">
          <cell r="P270">
            <v>30</v>
          </cell>
        </row>
        <row r="271">
          <cell r="P271">
            <v>30</v>
          </cell>
        </row>
        <row r="272">
          <cell r="P272">
            <v>75</v>
          </cell>
        </row>
        <row r="273">
          <cell r="P273">
            <v>100</v>
          </cell>
        </row>
        <row r="274">
          <cell r="P274">
            <v>100</v>
          </cell>
        </row>
        <row r="275">
          <cell r="P275">
            <v>100</v>
          </cell>
        </row>
        <row r="276">
          <cell r="P276">
            <v>100</v>
          </cell>
        </row>
        <row r="277">
          <cell r="P277">
            <v>100</v>
          </cell>
        </row>
        <row r="278">
          <cell r="P278">
            <v>100</v>
          </cell>
        </row>
        <row r="279">
          <cell r="P279">
            <v>75</v>
          </cell>
        </row>
        <row r="280">
          <cell r="P280">
            <v>30</v>
          </cell>
        </row>
        <row r="281">
          <cell r="P281">
            <v>30</v>
          </cell>
        </row>
        <row r="282">
          <cell r="P282">
            <v>30</v>
          </cell>
        </row>
        <row r="283">
          <cell r="P283">
            <v>30</v>
          </cell>
        </row>
        <row r="284">
          <cell r="P284">
            <v>75</v>
          </cell>
        </row>
        <row r="285">
          <cell r="P285">
            <v>100</v>
          </cell>
        </row>
        <row r="286">
          <cell r="P286">
            <v>100</v>
          </cell>
        </row>
        <row r="287">
          <cell r="P287">
            <v>100</v>
          </cell>
        </row>
        <row r="288">
          <cell r="P288">
            <v>100</v>
          </cell>
        </row>
        <row r="289">
          <cell r="P289">
            <v>100</v>
          </cell>
        </row>
        <row r="290">
          <cell r="P290">
            <v>100</v>
          </cell>
        </row>
        <row r="291">
          <cell r="P291">
            <v>75</v>
          </cell>
        </row>
        <row r="292">
          <cell r="P292">
            <v>30</v>
          </cell>
        </row>
        <row r="293">
          <cell r="P293">
            <v>30</v>
          </cell>
        </row>
        <row r="294">
          <cell r="P294">
            <v>30</v>
          </cell>
        </row>
        <row r="295">
          <cell r="P295">
            <v>30</v>
          </cell>
        </row>
        <row r="296">
          <cell r="P296">
            <v>75</v>
          </cell>
        </row>
        <row r="297">
          <cell r="P297">
            <v>100</v>
          </cell>
        </row>
        <row r="298">
          <cell r="P298">
            <v>100</v>
          </cell>
        </row>
        <row r="299">
          <cell r="P299">
            <v>100</v>
          </cell>
        </row>
        <row r="300">
          <cell r="P300">
            <v>100</v>
          </cell>
        </row>
        <row r="301">
          <cell r="P301">
            <v>100</v>
          </cell>
        </row>
        <row r="302">
          <cell r="P302">
            <v>100</v>
          </cell>
        </row>
        <row r="303">
          <cell r="P303">
            <v>75</v>
          </cell>
        </row>
        <row r="304">
          <cell r="P304">
            <v>30</v>
          </cell>
        </row>
        <row r="305">
          <cell r="P305">
            <v>30</v>
          </cell>
        </row>
        <row r="306">
          <cell r="P306">
            <v>30</v>
          </cell>
        </row>
        <row r="307">
          <cell r="P307">
            <v>30</v>
          </cell>
        </row>
        <row r="308">
          <cell r="P308">
            <v>75</v>
          </cell>
        </row>
        <row r="309">
          <cell r="P309">
            <v>100</v>
          </cell>
        </row>
        <row r="310">
          <cell r="P310">
            <v>100</v>
          </cell>
        </row>
        <row r="311">
          <cell r="P311">
            <v>100</v>
          </cell>
        </row>
        <row r="312">
          <cell r="P312">
            <v>100</v>
          </cell>
        </row>
        <row r="313">
          <cell r="P313">
            <v>100</v>
          </cell>
        </row>
        <row r="314">
          <cell r="P314">
            <v>100</v>
          </cell>
        </row>
        <row r="315">
          <cell r="P315">
            <v>75</v>
          </cell>
        </row>
        <row r="316">
          <cell r="P316">
            <v>30</v>
          </cell>
        </row>
        <row r="317">
          <cell r="P317">
            <v>30</v>
          </cell>
        </row>
        <row r="318">
          <cell r="P318">
            <v>30</v>
          </cell>
        </row>
        <row r="319">
          <cell r="P319">
            <v>30</v>
          </cell>
        </row>
        <row r="320">
          <cell r="P320">
            <v>75</v>
          </cell>
        </row>
        <row r="321">
          <cell r="P321">
            <v>100</v>
          </cell>
        </row>
        <row r="322">
          <cell r="P322">
            <v>100</v>
          </cell>
        </row>
        <row r="323">
          <cell r="P323">
            <v>100</v>
          </cell>
        </row>
        <row r="324">
          <cell r="P324">
            <v>100</v>
          </cell>
        </row>
        <row r="325">
          <cell r="P325">
            <v>100</v>
          </cell>
        </row>
        <row r="326">
          <cell r="P326">
            <v>100</v>
          </cell>
        </row>
        <row r="327">
          <cell r="P327">
            <v>75</v>
          </cell>
        </row>
        <row r="328">
          <cell r="P328">
            <v>30</v>
          </cell>
        </row>
        <row r="329">
          <cell r="P329">
            <v>30</v>
          </cell>
        </row>
        <row r="330">
          <cell r="P330">
            <v>30</v>
          </cell>
        </row>
        <row r="331">
          <cell r="P331">
            <v>30</v>
          </cell>
        </row>
        <row r="332">
          <cell r="P332">
            <v>75</v>
          </cell>
        </row>
        <row r="333">
          <cell r="P333">
            <v>100</v>
          </cell>
        </row>
        <row r="334">
          <cell r="P334">
            <v>100</v>
          </cell>
        </row>
        <row r="335">
          <cell r="P335">
            <v>100</v>
          </cell>
        </row>
        <row r="336">
          <cell r="P336">
            <v>100</v>
          </cell>
        </row>
        <row r="337">
          <cell r="P337">
            <v>100</v>
          </cell>
        </row>
        <row r="338">
          <cell r="P338">
            <v>100</v>
          </cell>
        </row>
        <row r="339">
          <cell r="P339">
            <v>75</v>
          </cell>
        </row>
        <row r="340">
          <cell r="P340">
            <v>30</v>
          </cell>
        </row>
        <row r="341">
          <cell r="P341">
            <v>30</v>
          </cell>
        </row>
        <row r="342">
          <cell r="P342">
            <v>30</v>
          </cell>
        </row>
        <row r="343">
          <cell r="P343">
            <v>30</v>
          </cell>
        </row>
        <row r="344">
          <cell r="P344">
            <v>75</v>
          </cell>
        </row>
        <row r="345">
          <cell r="P345">
            <v>100</v>
          </cell>
        </row>
        <row r="346">
          <cell r="P346">
            <v>100</v>
          </cell>
        </row>
        <row r="347">
          <cell r="P347">
            <v>100</v>
          </cell>
        </row>
        <row r="348">
          <cell r="P348">
            <v>100</v>
          </cell>
        </row>
        <row r="349">
          <cell r="P349">
            <v>100</v>
          </cell>
        </row>
        <row r="350">
          <cell r="P350">
            <v>100</v>
          </cell>
        </row>
        <row r="351">
          <cell r="P351">
            <v>75</v>
          </cell>
        </row>
        <row r="352">
          <cell r="P352">
            <v>30</v>
          </cell>
        </row>
        <row r="353">
          <cell r="P353">
            <v>30</v>
          </cell>
        </row>
        <row r="354">
          <cell r="P354">
            <v>30</v>
          </cell>
        </row>
        <row r="355">
          <cell r="P355">
            <v>30</v>
          </cell>
        </row>
        <row r="356">
          <cell r="P356">
            <v>75</v>
          </cell>
        </row>
        <row r="357">
          <cell r="P357">
            <v>100</v>
          </cell>
        </row>
        <row r="358">
          <cell r="P358">
            <v>100</v>
          </cell>
        </row>
        <row r="359">
          <cell r="P359">
            <v>100</v>
          </cell>
        </row>
        <row r="360">
          <cell r="P360">
            <v>100</v>
          </cell>
        </row>
        <row r="361">
          <cell r="P361">
            <v>100</v>
          </cell>
        </row>
        <row r="362">
          <cell r="P362">
            <v>100</v>
          </cell>
        </row>
        <row r="363">
          <cell r="P363">
            <v>75</v>
          </cell>
        </row>
        <row r="364">
          <cell r="P364">
            <v>30</v>
          </cell>
        </row>
        <row r="365">
          <cell r="P365">
            <v>30</v>
          </cell>
        </row>
        <row r="366">
          <cell r="P366">
            <v>30</v>
          </cell>
        </row>
        <row r="367">
          <cell r="P367">
            <v>30</v>
          </cell>
        </row>
        <row r="368">
          <cell r="P368">
            <v>75</v>
          </cell>
        </row>
        <row r="369">
          <cell r="P369">
            <v>100</v>
          </cell>
        </row>
        <row r="370">
          <cell r="P370">
            <v>100</v>
          </cell>
        </row>
        <row r="371">
          <cell r="P371">
            <v>100</v>
          </cell>
        </row>
        <row r="372">
          <cell r="P372">
            <v>100</v>
          </cell>
        </row>
        <row r="373">
          <cell r="P373">
            <v>100</v>
          </cell>
        </row>
        <row r="374">
          <cell r="P374">
            <v>100</v>
          </cell>
        </row>
        <row r="375">
          <cell r="P375">
            <v>75</v>
          </cell>
        </row>
        <row r="376">
          <cell r="P376">
            <v>30</v>
          </cell>
        </row>
        <row r="377">
          <cell r="P377">
            <v>30</v>
          </cell>
        </row>
        <row r="378">
          <cell r="P378">
            <v>30</v>
          </cell>
        </row>
        <row r="379">
          <cell r="P379">
            <v>30</v>
          </cell>
        </row>
        <row r="380">
          <cell r="P380">
            <v>75</v>
          </cell>
        </row>
        <row r="381">
          <cell r="P381">
            <v>100</v>
          </cell>
        </row>
        <row r="382">
          <cell r="P382">
            <v>100</v>
          </cell>
        </row>
        <row r="383">
          <cell r="P383">
            <v>100</v>
          </cell>
        </row>
        <row r="384">
          <cell r="P384">
            <v>100</v>
          </cell>
        </row>
        <row r="385">
          <cell r="P385">
            <v>100</v>
          </cell>
        </row>
        <row r="386">
          <cell r="P386">
            <v>100</v>
          </cell>
        </row>
        <row r="387">
          <cell r="P387">
            <v>75</v>
          </cell>
        </row>
        <row r="388">
          <cell r="P388">
            <v>30</v>
          </cell>
        </row>
        <row r="389">
          <cell r="P389">
            <v>30</v>
          </cell>
        </row>
        <row r="390">
          <cell r="P390">
            <v>30</v>
          </cell>
        </row>
        <row r="391">
          <cell r="P391">
            <v>30</v>
          </cell>
        </row>
        <row r="392">
          <cell r="P392">
            <v>75</v>
          </cell>
        </row>
        <row r="393">
          <cell r="P393">
            <v>100</v>
          </cell>
        </row>
        <row r="394">
          <cell r="P394">
            <v>100</v>
          </cell>
        </row>
        <row r="395">
          <cell r="P395">
            <v>100</v>
          </cell>
        </row>
        <row r="396">
          <cell r="P396">
            <v>100</v>
          </cell>
        </row>
        <row r="397">
          <cell r="P397">
            <v>100</v>
          </cell>
        </row>
        <row r="398">
          <cell r="P398">
            <v>100</v>
          </cell>
        </row>
        <row r="399">
          <cell r="P399">
            <v>75</v>
          </cell>
        </row>
        <row r="400">
          <cell r="P400">
            <v>30</v>
          </cell>
        </row>
        <row r="401">
          <cell r="P401">
            <v>30</v>
          </cell>
        </row>
        <row r="402">
          <cell r="P402">
            <v>30</v>
          </cell>
        </row>
        <row r="403">
          <cell r="P403">
            <v>30</v>
          </cell>
        </row>
        <row r="404">
          <cell r="P404">
            <v>75</v>
          </cell>
        </row>
        <row r="405">
          <cell r="P405">
            <v>100</v>
          </cell>
        </row>
        <row r="406">
          <cell r="P406">
            <v>100</v>
          </cell>
        </row>
        <row r="407">
          <cell r="P407">
            <v>100</v>
          </cell>
        </row>
        <row r="408">
          <cell r="P408">
            <v>100</v>
          </cell>
        </row>
        <row r="409">
          <cell r="P409">
            <v>100</v>
          </cell>
        </row>
        <row r="410">
          <cell r="P410">
            <v>100</v>
          </cell>
        </row>
        <row r="411">
          <cell r="P411">
            <v>75</v>
          </cell>
        </row>
        <row r="412">
          <cell r="P412">
            <v>30</v>
          </cell>
        </row>
        <row r="413">
          <cell r="P413">
            <v>30</v>
          </cell>
        </row>
        <row r="414">
          <cell r="P414">
            <v>30</v>
          </cell>
        </row>
        <row r="415">
          <cell r="P415">
            <v>30</v>
          </cell>
        </row>
        <row r="416">
          <cell r="P416">
            <v>75</v>
          </cell>
        </row>
        <row r="417">
          <cell r="P417">
            <v>100</v>
          </cell>
        </row>
        <row r="418">
          <cell r="P418">
            <v>100</v>
          </cell>
        </row>
        <row r="419">
          <cell r="P419">
            <v>100</v>
          </cell>
        </row>
        <row r="420">
          <cell r="P420">
            <v>100</v>
          </cell>
        </row>
        <row r="421">
          <cell r="P421">
            <v>100</v>
          </cell>
        </row>
        <row r="422">
          <cell r="P422">
            <v>100</v>
          </cell>
        </row>
        <row r="423">
          <cell r="P423">
            <v>75</v>
          </cell>
        </row>
        <row r="424">
          <cell r="P424">
            <v>30</v>
          </cell>
        </row>
        <row r="425">
          <cell r="P425">
            <v>30</v>
          </cell>
        </row>
        <row r="426">
          <cell r="P426">
            <v>30</v>
          </cell>
        </row>
        <row r="427">
          <cell r="P427">
            <v>30</v>
          </cell>
        </row>
        <row r="428">
          <cell r="P428">
            <v>75</v>
          </cell>
        </row>
        <row r="429">
          <cell r="P429">
            <v>100</v>
          </cell>
        </row>
        <row r="430">
          <cell r="P430">
            <v>100</v>
          </cell>
        </row>
        <row r="431">
          <cell r="P431">
            <v>100</v>
          </cell>
        </row>
        <row r="432">
          <cell r="P432">
            <v>100</v>
          </cell>
        </row>
        <row r="433">
          <cell r="P433">
            <v>100</v>
          </cell>
        </row>
        <row r="434">
          <cell r="P434">
            <v>100</v>
          </cell>
        </row>
        <row r="435">
          <cell r="P435">
            <v>75</v>
          </cell>
        </row>
        <row r="436">
          <cell r="P436">
            <v>30</v>
          </cell>
        </row>
        <row r="437">
          <cell r="P437">
            <v>30</v>
          </cell>
        </row>
        <row r="438">
          <cell r="P438">
            <v>30</v>
          </cell>
        </row>
        <row r="439">
          <cell r="P439">
            <v>30</v>
          </cell>
        </row>
        <row r="440">
          <cell r="P440">
            <v>75</v>
          </cell>
        </row>
        <row r="441">
          <cell r="P441">
            <v>100</v>
          </cell>
        </row>
        <row r="442">
          <cell r="P442">
            <v>100</v>
          </cell>
        </row>
        <row r="443">
          <cell r="P443">
            <v>100</v>
          </cell>
        </row>
        <row r="444">
          <cell r="P444">
            <v>100</v>
          </cell>
        </row>
        <row r="445">
          <cell r="P445">
            <v>100</v>
          </cell>
        </row>
        <row r="446">
          <cell r="P446">
            <v>100</v>
          </cell>
        </row>
        <row r="447">
          <cell r="P447">
            <v>75</v>
          </cell>
        </row>
        <row r="448">
          <cell r="P448">
            <v>30</v>
          </cell>
        </row>
        <row r="449">
          <cell r="P449">
            <v>30</v>
          </cell>
        </row>
        <row r="450">
          <cell r="P450">
            <v>30</v>
          </cell>
        </row>
        <row r="451">
          <cell r="P451">
            <v>30</v>
          </cell>
        </row>
        <row r="452">
          <cell r="P452">
            <v>75</v>
          </cell>
        </row>
        <row r="453">
          <cell r="P453">
            <v>100</v>
          </cell>
        </row>
        <row r="454">
          <cell r="P454">
            <v>100</v>
          </cell>
        </row>
        <row r="455">
          <cell r="P455">
            <v>100</v>
          </cell>
        </row>
        <row r="456">
          <cell r="P456">
            <v>100</v>
          </cell>
        </row>
        <row r="457">
          <cell r="P457">
            <v>100</v>
          </cell>
        </row>
        <row r="458">
          <cell r="P458">
            <v>100</v>
          </cell>
        </row>
        <row r="459">
          <cell r="P459">
            <v>75</v>
          </cell>
        </row>
        <row r="460">
          <cell r="P460">
            <v>30</v>
          </cell>
        </row>
        <row r="461">
          <cell r="P461">
            <v>30</v>
          </cell>
        </row>
        <row r="462">
          <cell r="P462">
            <v>30</v>
          </cell>
        </row>
        <row r="463">
          <cell r="P463">
            <v>30</v>
          </cell>
        </row>
        <row r="464">
          <cell r="P464">
            <v>75</v>
          </cell>
        </row>
        <row r="465">
          <cell r="P465">
            <v>100</v>
          </cell>
        </row>
        <row r="466">
          <cell r="P466">
            <v>100</v>
          </cell>
        </row>
        <row r="467">
          <cell r="P467">
            <v>100</v>
          </cell>
        </row>
        <row r="468">
          <cell r="P468">
            <v>100</v>
          </cell>
        </row>
        <row r="469">
          <cell r="P469">
            <v>100</v>
          </cell>
        </row>
        <row r="470">
          <cell r="P470">
            <v>100</v>
          </cell>
        </row>
        <row r="471">
          <cell r="P471">
            <v>75</v>
          </cell>
        </row>
        <row r="472">
          <cell r="P472">
            <v>30</v>
          </cell>
        </row>
        <row r="473">
          <cell r="P473">
            <v>30</v>
          </cell>
        </row>
        <row r="474">
          <cell r="P474">
            <v>30</v>
          </cell>
        </row>
        <row r="475">
          <cell r="P475">
            <v>30</v>
          </cell>
        </row>
        <row r="476">
          <cell r="P476">
            <v>75</v>
          </cell>
        </row>
        <row r="477">
          <cell r="P477">
            <v>100</v>
          </cell>
        </row>
        <row r="478">
          <cell r="P478">
            <v>100</v>
          </cell>
        </row>
        <row r="479">
          <cell r="P479">
            <v>100</v>
          </cell>
        </row>
        <row r="480">
          <cell r="P480">
            <v>100</v>
          </cell>
        </row>
        <row r="481">
          <cell r="P481">
            <v>100</v>
          </cell>
        </row>
        <row r="482">
          <cell r="P482">
            <v>100</v>
          </cell>
        </row>
        <row r="483">
          <cell r="P483">
            <v>75</v>
          </cell>
        </row>
        <row r="484">
          <cell r="P484">
            <v>30</v>
          </cell>
        </row>
        <row r="485">
          <cell r="P485">
            <v>30</v>
          </cell>
        </row>
        <row r="486">
          <cell r="P486">
            <v>30</v>
          </cell>
        </row>
        <row r="487">
          <cell r="P487">
            <v>30</v>
          </cell>
        </row>
        <row r="488">
          <cell r="P488">
            <v>75</v>
          </cell>
        </row>
        <row r="489">
          <cell r="P489">
            <v>100</v>
          </cell>
        </row>
        <row r="490">
          <cell r="P490">
            <v>100</v>
          </cell>
        </row>
        <row r="491">
          <cell r="P491">
            <v>100</v>
          </cell>
        </row>
        <row r="492">
          <cell r="P492">
            <v>100</v>
          </cell>
        </row>
        <row r="493">
          <cell r="P493">
            <v>100</v>
          </cell>
        </row>
        <row r="494">
          <cell r="P494">
            <v>100</v>
          </cell>
        </row>
        <row r="495">
          <cell r="P495">
            <v>75</v>
          </cell>
        </row>
        <row r="496">
          <cell r="P496">
            <v>30</v>
          </cell>
        </row>
        <row r="497">
          <cell r="P497">
            <v>30</v>
          </cell>
        </row>
        <row r="498">
          <cell r="P498">
            <v>30</v>
          </cell>
        </row>
        <row r="499">
          <cell r="P499">
            <v>30</v>
          </cell>
        </row>
        <row r="500">
          <cell r="P500">
            <v>75</v>
          </cell>
        </row>
        <row r="501">
          <cell r="P501">
            <v>100</v>
          </cell>
        </row>
        <row r="502">
          <cell r="P502">
            <v>100</v>
          </cell>
        </row>
        <row r="503">
          <cell r="P503">
            <v>100</v>
          </cell>
        </row>
        <row r="504">
          <cell r="P504">
            <v>100</v>
          </cell>
        </row>
        <row r="505">
          <cell r="P505">
            <v>100</v>
          </cell>
        </row>
        <row r="506">
          <cell r="P506">
            <v>100</v>
          </cell>
        </row>
        <row r="507">
          <cell r="P507">
            <v>75</v>
          </cell>
        </row>
        <row r="508">
          <cell r="P508">
            <v>30</v>
          </cell>
        </row>
        <row r="509">
          <cell r="P509">
            <v>30</v>
          </cell>
        </row>
        <row r="510">
          <cell r="P510">
            <v>30</v>
          </cell>
        </row>
        <row r="511">
          <cell r="P511">
            <v>30</v>
          </cell>
        </row>
        <row r="512">
          <cell r="P512">
            <v>75</v>
          </cell>
        </row>
        <row r="513">
          <cell r="P513">
            <v>100</v>
          </cell>
        </row>
        <row r="514">
          <cell r="P514">
            <v>100</v>
          </cell>
        </row>
        <row r="515">
          <cell r="P515">
            <v>100</v>
          </cell>
        </row>
        <row r="516">
          <cell r="P516">
            <v>100</v>
          </cell>
        </row>
        <row r="517">
          <cell r="P517">
            <v>100</v>
          </cell>
        </row>
        <row r="518">
          <cell r="P518">
            <v>100</v>
          </cell>
        </row>
        <row r="519">
          <cell r="P519">
            <v>75</v>
          </cell>
        </row>
        <row r="520">
          <cell r="P520">
            <v>30</v>
          </cell>
        </row>
        <row r="521">
          <cell r="P521">
            <v>30</v>
          </cell>
        </row>
        <row r="522">
          <cell r="P522">
            <v>30</v>
          </cell>
        </row>
        <row r="523">
          <cell r="P523">
            <v>30</v>
          </cell>
        </row>
        <row r="524">
          <cell r="P524">
            <v>75</v>
          </cell>
        </row>
        <row r="525">
          <cell r="P525">
            <v>100</v>
          </cell>
        </row>
        <row r="526">
          <cell r="P526">
            <v>100</v>
          </cell>
        </row>
        <row r="527">
          <cell r="P527">
            <v>100</v>
          </cell>
        </row>
        <row r="528">
          <cell r="P528">
            <v>100</v>
          </cell>
        </row>
        <row r="529">
          <cell r="P529">
            <v>100</v>
          </cell>
        </row>
        <row r="530">
          <cell r="P530">
            <v>100</v>
          </cell>
        </row>
        <row r="531">
          <cell r="P531">
            <v>75</v>
          </cell>
        </row>
        <row r="532">
          <cell r="P532">
            <v>30</v>
          </cell>
        </row>
        <row r="533">
          <cell r="P533">
            <v>30</v>
          </cell>
        </row>
        <row r="534">
          <cell r="P534">
            <v>30</v>
          </cell>
        </row>
        <row r="535">
          <cell r="P535">
            <v>30</v>
          </cell>
        </row>
        <row r="536">
          <cell r="P536">
            <v>75</v>
          </cell>
        </row>
        <row r="537">
          <cell r="P537">
            <v>100</v>
          </cell>
        </row>
        <row r="538">
          <cell r="P538">
            <v>100</v>
          </cell>
        </row>
        <row r="539">
          <cell r="P539">
            <v>100</v>
          </cell>
        </row>
        <row r="540">
          <cell r="P540">
            <v>100</v>
          </cell>
        </row>
        <row r="541">
          <cell r="P541">
            <v>100</v>
          </cell>
        </row>
        <row r="542">
          <cell r="P542">
            <v>100</v>
          </cell>
        </row>
        <row r="543">
          <cell r="P543">
            <v>75</v>
          </cell>
        </row>
        <row r="544">
          <cell r="P544">
            <v>30</v>
          </cell>
        </row>
        <row r="545">
          <cell r="P545">
            <v>30</v>
          </cell>
        </row>
        <row r="546">
          <cell r="P546">
            <v>30</v>
          </cell>
        </row>
        <row r="547">
          <cell r="P547">
            <v>30</v>
          </cell>
        </row>
        <row r="548">
          <cell r="P548">
            <v>75</v>
          </cell>
        </row>
        <row r="549">
          <cell r="P549">
            <v>100</v>
          </cell>
        </row>
        <row r="550">
          <cell r="P550">
            <v>100</v>
          </cell>
        </row>
        <row r="551">
          <cell r="P551">
            <v>100</v>
          </cell>
        </row>
        <row r="552">
          <cell r="P552">
            <v>100</v>
          </cell>
        </row>
        <row r="553">
          <cell r="P553">
            <v>100</v>
          </cell>
        </row>
        <row r="554">
          <cell r="P554">
            <v>100</v>
          </cell>
        </row>
        <row r="555">
          <cell r="P555">
            <v>75</v>
          </cell>
        </row>
        <row r="556">
          <cell r="P556">
            <v>30</v>
          </cell>
        </row>
        <row r="557">
          <cell r="P557">
            <v>30</v>
          </cell>
        </row>
        <row r="558">
          <cell r="P558">
            <v>30</v>
          </cell>
        </row>
        <row r="559">
          <cell r="P559">
            <v>30</v>
          </cell>
        </row>
        <row r="560">
          <cell r="P560">
            <v>75</v>
          </cell>
        </row>
        <row r="561">
          <cell r="P561">
            <v>100</v>
          </cell>
        </row>
        <row r="562">
          <cell r="P562">
            <v>100</v>
          </cell>
        </row>
        <row r="563">
          <cell r="P563">
            <v>100</v>
          </cell>
        </row>
        <row r="564">
          <cell r="P564">
            <v>100</v>
          </cell>
        </row>
        <row r="565">
          <cell r="P565">
            <v>100</v>
          </cell>
        </row>
        <row r="566">
          <cell r="P566">
            <v>100</v>
          </cell>
        </row>
        <row r="567">
          <cell r="P567">
            <v>75</v>
          </cell>
        </row>
        <row r="568">
          <cell r="P568">
            <v>30</v>
          </cell>
        </row>
        <row r="569">
          <cell r="P569">
            <v>30</v>
          </cell>
        </row>
        <row r="570">
          <cell r="P570">
            <v>30</v>
          </cell>
        </row>
        <row r="571">
          <cell r="P571">
            <v>30</v>
          </cell>
        </row>
        <row r="572">
          <cell r="P572">
            <v>75</v>
          </cell>
        </row>
        <row r="573">
          <cell r="P573">
            <v>100</v>
          </cell>
        </row>
        <row r="574">
          <cell r="P574">
            <v>100</v>
          </cell>
        </row>
        <row r="575">
          <cell r="P575">
            <v>100</v>
          </cell>
        </row>
        <row r="576">
          <cell r="P576">
            <v>100</v>
          </cell>
        </row>
        <row r="577">
          <cell r="P577">
            <v>100</v>
          </cell>
        </row>
        <row r="578">
          <cell r="P578">
            <v>100</v>
          </cell>
        </row>
        <row r="579">
          <cell r="P579">
            <v>75</v>
          </cell>
        </row>
        <row r="580">
          <cell r="P580">
            <v>30</v>
          </cell>
        </row>
        <row r="581">
          <cell r="P581">
            <v>30</v>
          </cell>
        </row>
        <row r="582">
          <cell r="P582">
            <v>30</v>
          </cell>
        </row>
        <row r="583">
          <cell r="P583">
            <v>30</v>
          </cell>
        </row>
        <row r="584">
          <cell r="P584">
            <v>75</v>
          </cell>
        </row>
        <row r="585">
          <cell r="P585">
            <v>100</v>
          </cell>
        </row>
        <row r="586">
          <cell r="P586">
            <v>100</v>
          </cell>
        </row>
        <row r="587">
          <cell r="P587">
            <v>100</v>
          </cell>
        </row>
        <row r="588">
          <cell r="P588">
            <v>100</v>
          </cell>
        </row>
        <row r="589">
          <cell r="P589">
            <v>100</v>
          </cell>
        </row>
        <row r="590">
          <cell r="P590">
            <v>100</v>
          </cell>
        </row>
        <row r="591">
          <cell r="P591">
            <v>75</v>
          </cell>
        </row>
        <row r="592">
          <cell r="P592">
            <v>30</v>
          </cell>
        </row>
        <row r="593">
          <cell r="P593">
            <v>30</v>
          </cell>
        </row>
        <row r="594">
          <cell r="P594">
            <v>30</v>
          </cell>
        </row>
        <row r="595">
          <cell r="P595">
            <v>30</v>
          </cell>
        </row>
        <row r="596">
          <cell r="P596">
            <v>75</v>
          </cell>
        </row>
        <row r="597">
          <cell r="P597">
            <v>100</v>
          </cell>
        </row>
        <row r="598">
          <cell r="P598">
            <v>100</v>
          </cell>
        </row>
        <row r="599">
          <cell r="P599">
            <v>100</v>
          </cell>
        </row>
        <row r="600">
          <cell r="P600">
            <v>100</v>
          </cell>
        </row>
        <row r="601">
          <cell r="P601">
            <v>100</v>
          </cell>
        </row>
        <row r="602">
          <cell r="P602">
            <v>100</v>
          </cell>
        </row>
        <row r="603">
          <cell r="P603">
            <v>75</v>
          </cell>
        </row>
        <row r="604">
          <cell r="P604">
            <v>30</v>
          </cell>
        </row>
        <row r="605">
          <cell r="P605">
            <v>30</v>
          </cell>
        </row>
        <row r="606">
          <cell r="P606">
            <v>30</v>
          </cell>
        </row>
        <row r="607">
          <cell r="P607">
            <v>30</v>
          </cell>
        </row>
        <row r="608">
          <cell r="P608">
            <v>75</v>
          </cell>
        </row>
        <row r="609">
          <cell r="P609">
            <v>100</v>
          </cell>
        </row>
        <row r="610">
          <cell r="P610">
            <v>100</v>
          </cell>
        </row>
        <row r="611">
          <cell r="P611">
            <v>100</v>
          </cell>
        </row>
        <row r="612">
          <cell r="P612">
            <v>100</v>
          </cell>
        </row>
        <row r="613">
          <cell r="P613">
            <v>100</v>
          </cell>
        </row>
        <row r="614">
          <cell r="P614">
            <v>100</v>
          </cell>
        </row>
        <row r="615">
          <cell r="P615">
            <v>75</v>
          </cell>
        </row>
        <row r="616">
          <cell r="P616">
            <v>30</v>
          </cell>
        </row>
        <row r="617">
          <cell r="P617">
            <v>30</v>
          </cell>
        </row>
        <row r="618">
          <cell r="P618">
            <v>30</v>
          </cell>
        </row>
        <row r="619">
          <cell r="P619">
            <v>30</v>
          </cell>
        </row>
        <row r="620">
          <cell r="P620">
            <v>75</v>
          </cell>
        </row>
        <row r="621">
          <cell r="P621">
            <v>100</v>
          </cell>
        </row>
        <row r="622">
          <cell r="P622">
            <v>100</v>
          </cell>
        </row>
        <row r="623">
          <cell r="P623">
            <v>100</v>
          </cell>
        </row>
        <row r="624">
          <cell r="P624">
            <v>100</v>
          </cell>
        </row>
        <row r="625">
          <cell r="P625">
            <v>100</v>
          </cell>
        </row>
        <row r="626">
          <cell r="P626">
            <v>100</v>
          </cell>
        </row>
        <row r="627">
          <cell r="P627">
            <v>75</v>
          </cell>
        </row>
        <row r="628">
          <cell r="P628">
            <v>30</v>
          </cell>
        </row>
        <row r="629">
          <cell r="P629">
            <v>30</v>
          </cell>
        </row>
        <row r="630">
          <cell r="P630">
            <v>30</v>
          </cell>
        </row>
        <row r="631">
          <cell r="P631">
            <v>30</v>
          </cell>
        </row>
        <row r="632">
          <cell r="P632">
            <v>75</v>
          </cell>
        </row>
        <row r="633">
          <cell r="P633">
            <v>100</v>
          </cell>
        </row>
        <row r="634">
          <cell r="P634">
            <v>100</v>
          </cell>
        </row>
        <row r="635">
          <cell r="P635">
            <v>100</v>
          </cell>
        </row>
        <row r="636">
          <cell r="P636">
            <v>100</v>
          </cell>
        </row>
        <row r="637">
          <cell r="P637">
            <v>100</v>
          </cell>
        </row>
        <row r="638">
          <cell r="P638">
            <v>100</v>
          </cell>
        </row>
        <row r="639">
          <cell r="P639">
            <v>75</v>
          </cell>
        </row>
        <row r="640">
          <cell r="P640">
            <v>30</v>
          </cell>
        </row>
        <row r="641">
          <cell r="P641">
            <v>30</v>
          </cell>
        </row>
        <row r="642">
          <cell r="P642">
            <v>30</v>
          </cell>
        </row>
        <row r="643">
          <cell r="P643">
            <v>30</v>
          </cell>
        </row>
        <row r="644">
          <cell r="P644">
            <v>75</v>
          </cell>
        </row>
        <row r="645">
          <cell r="P645">
            <v>100</v>
          </cell>
        </row>
        <row r="646">
          <cell r="P646">
            <v>100</v>
          </cell>
        </row>
        <row r="647">
          <cell r="P647">
            <v>100</v>
          </cell>
        </row>
        <row r="648">
          <cell r="P648">
            <v>100</v>
          </cell>
        </row>
        <row r="649">
          <cell r="P649">
            <v>100</v>
          </cell>
        </row>
        <row r="650">
          <cell r="P650">
            <v>100</v>
          </cell>
        </row>
        <row r="651">
          <cell r="P651">
            <v>75</v>
          </cell>
        </row>
        <row r="652">
          <cell r="P652">
            <v>30</v>
          </cell>
        </row>
        <row r="653">
          <cell r="P653">
            <v>30</v>
          </cell>
        </row>
        <row r="654">
          <cell r="P654">
            <v>30</v>
          </cell>
        </row>
        <row r="655">
          <cell r="P655">
            <v>30</v>
          </cell>
        </row>
        <row r="656">
          <cell r="P656">
            <v>75</v>
          </cell>
        </row>
        <row r="657">
          <cell r="P657">
            <v>100</v>
          </cell>
        </row>
        <row r="658">
          <cell r="P658">
            <v>100</v>
          </cell>
        </row>
        <row r="659">
          <cell r="P659">
            <v>100</v>
          </cell>
        </row>
        <row r="660">
          <cell r="P660">
            <v>100</v>
          </cell>
        </row>
        <row r="661">
          <cell r="P661">
            <v>100</v>
          </cell>
        </row>
        <row r="662">
          <cell r="P662">
            <v>100</v>
          </cell>
        </row>
        <row r="663">
          <cell r="P663">
            <v>75</v>
          </cell>
        </row>
        <row r="664">
          <cell r="P664">
            <v>30</v>
          </cell>
        </row>
        <row r="665">
          <cell r="P665">
            <v>30</v>
          </cell>
        </row>
        <row r="666">
          <cell r="P666">
            <v>30</v>
          </cell>
        </row>
        <row r="667">
          <cell r="P667">
            <v>30</v>
          </cell>
        </row>
        <row r="668">
          <cell r="P668">
            <v>75</v>
          </cell>
        </row>
        <row r="669">
          <cell r="P669">
            <v>100</v>
          </cell>
        </row>
        <row r="670">
          <cell r="P670">
            <v>100</v>
          </cell>
        </row>
        <row r="671">
          <cell r="P671">
            <v>100</v>
          </cell>
        </row>
        <row r="672">
          <cell r="P672">
            <v>100</v>
          </cell>
        </row>
        <row r="673">
          <cell r="P673">
            <v>100</v>
          </cell>
        </row>
        <row r="674">
          <cell r="P674">
            <v>100</v>
          </cell>
        </row>
        <row r="675">
          <cell r="P675">
            <v>75</v>
          </cell>
        </row>
        <row r="676">
          <cell r="P676">
            <v>30</v>
          </cell>
        </row>
        <row r="677">
          <cell r="P677">
            <v>30</v>
          </cell>
        </row>
        <row r="678">
          <cell r="P678">
            <v>30</v>
          </cell>
        </row>
        <row r="679">
          <cell r="P679">
            <v>30</v>
          </cell>
        </row>
        <row r="680">
          <cell r="P680">
            <v>75</v>
          </cell>
        </row>
        <row r="681">
          <cell r="P681">
            <v>100</v>
          </cell>
        </row>
        <row r="682">
          <cell r="P682">
            <v>100</v>
          </cell>
        </row>
        <row r="683">
          <cell r="P683">
            <v>100</v>
          </cell>
        </row>
        <row r="684">
          <cell r="P684">
            <v>100</v>
          </cell>
        </row>
        <row r="685">
          <cell r="P685">
            <v>100</v>
          </cell>
        </row>
        <row r="686">
          <cell r="P686">
            <v>100</v>
          </cell>
        </row>
        <row r="687">
          <cell r="P687">
            <v>75</v>
          </cell>
        </row>
        <row r="688">
          <cell r="P688">
            <v>30</v>
          </cell>
        </row>
        <row r="689">
          <cell r="P689">
            <v>30</v>
          </cell>
        </row>
        <row r="690">
          <cell r="P690">
            <v>30</v>
          </cell>
        </row>
        <row r="691">
          <cell r="P691">
            <v>30</v>
          </cell>
        </row>
        <row r="692">
          <cell r="P692">
            <v>75</v>
          </cell>
        </row>
        <row r="693">
          <cell r="P693">
            <v>100</v>
          </cell>
        </row>
        <row r="694">
          <cell r="P694">
            <v>100</v>
          </cell>
        </row>
        <row r="695">
          <cell r="P695">
            <v>100</v>
          </cell>
        </row>
        <row r="696">
          <cell r="P696">
            <v>100</v>
          </cell>
        </row>
        <row r="697">
          <cell r="P697">
            <v>100</v>
          </cell>
        </row>
        <row r="698">
          <cell r="P698">
            <v>100</v>
          </cell>
        </row>
        <row r="699">
          <cell r="P699">
            <v>75</v>
          </cell>
        </row>
        <row r="700">
          <cell r="P700">
            <v>30</v>
          </cell>
        </row>
        <row r="701">
          <cell r="P701">
            <v>30</v>
          </cell>
        </row>
        <row r="702">
          <cell r="P702">
            <v>30</v>
          </cell>
        </row>
        <row r="703">
          <cell r="P703">
            <v>30</v>
          </cell>
        </row>
        <row r="704">
          <cell r="P704">
            <v>75</v>
          </cell>
        </row>
        <row r="705">
          <cell r="P705">
            <v>100</v>
          </cell>
        </row>
        <row r="706">
          <cell r="P706">
            <v>100</v>
          </cell>
        </row>
        <row r="707">
          <cell r="P707">
            <v>100</v>
          </cell>
        </row>
        <row r="708">
          <cell r="P708">
            <v>100</v>
          </cell>
        </row>
        <row r="709">
          <cell r="P709">
            <v>100</v>
          </cell>
        </row>
        <row r="710">
          <cell r="P710">
            <v>100</v>
          </cell>
        </row>
        <row r="711">
          <cell r="P711">
            <v>75</v>
          </cell>
        </row>
        <row r="712">
          <cell r="P712">
            <v>30</v>
          </cell>
        </row>
        <row r="713">
          <cell r="P713">
            <v>30</v>
          </cell>
        </row>
        <row r="714">
          <cell r="P714">
            <v>30</v>
          </cell>
        </row>
        <row r="715">
          <cell r="P715">
            <v>30</v>
          </cell>
        </row>
        <row r="716">
          <cell r="P716">
            <v>75</v>
          </cell>
        </row>
        <row r="717">
          <cell r="P717">
            <v>100</v>
          </cell>
        </row>
        <row r="718">
          <cell r="P718">
            <v>100</v>
          </cell>
        </row>
        <row r="719">
          <cell r="P719">
            <v>100</v>
          </cell>
        </row>
        <row r="720">
          <cell r="P720">
            <v>100</v>
          </cell>
        </row>
        <row r="721">
          <cell r="P721">
            <v>100</v>
          </cell>
        </row>
        <row r="722">
          <cell r="P722">
            <v>100</v>
          </cell>
        </row>
        <row r="723">
          <cell r="P723">
            <v>75</v>
          </cell>
        </row>
        <row r="724">
          <cell r="P724">
            <v>30</v>
          </cell>
        </row>
        <row r="725">
          <cell r="P725">
            <v>30</v>
          </cell>
        </row>
        <row r="726">
          <cell r="P726">
            <v>30</v>
          </cell>
        </row>
        <row r="727">
          <cell r="P727">
            <v>30</v>
          </cell>
        </row>
        <row r="728">
          <cell r="P728">
            <v>75</v>
          </cell>
        </row>
        <row r="729">
          <cell r="P729">
            <v>100</v>
          </cell>
        </row>
        <row r="730">
          <cell r="P730">
            <v>100</v>
          </cell>
        </row>
        <row r="731">
          <cell r="P731">
            <v>100</v>
          </cell>
        </row>
        <row r="732">
          <cell r="P732">
            <v>100</v>
          </cell>
        </row>
        <row r="733">
          <cell r="P733">
            <v>100</v>
          </cell>
        </row>
        <row r="734">
          <cell r="P734">
            <v>100</v>
          </cell>
        </row>
        <row r="735">
          <cell r="P735">
            <v>75</v>
          </cell>
        </row>
        <row r="736">
          <cell r="P736">
            <v>30</v>
          </cell>
        </row>
        <row r="737">
          <cell r="P737">
            <v>30</v>
          </cell>
        </row>
        <row r="738">
          <cell r="P738">
            <v>30</v>
          </cell>
        </row>
        <row r="739">
          <cell r="P739">
            <v>30</v>
          </cell>
        </row>
        <row r="740">
          <cell r="P740">
            <v>75</v>
          </cell>
        </row>
        <row r="741">
          <cell r="P741">
            <v>100</v>
          </cell>
        </row>
        <row r="742">
          <cell r="P742">
            <v>100</v>
          </cell>
        </row>
        <row r="743">
          <cell r="P743">
            <v>100</v>
          </cell>
        </row>
        <row r="744">
          <cell r="P744">
            <v>100</v>
          </cell>
        </row>
        <row r="745">
          <cell r="P745">
            <v>100</v>
          </cell>
        </row>
        <row r="746">
          <cell r="P746">
            <v>100</v>
          </cell>
        </row>
        <row r="747">
          <cell r="P747">
            <v>75</v>
          </cell>
        </row>
        <row r="748">
          <cell r="P748">
            <v>30</v>
          </cell>
        </row>
        <row r="749">
          <cell r="P749">
            <v>30</v>
          </cell>
        </row>
        <row r="750">
          <cell r="P750">
            <v>30</v>
          </cell>
        </row>
        <row r="751">
          <cell r="P751">
            <v>30</v>
          </cell>
        </row>
        <row r="752">
          <cell r="P752">
            <v>75</v>
          </cell>
        </row>
        <row r="753">
          <cell r="P753">
            <v>100</v>
          </cell>
        </row>
        <row r="754">
          <cell r="P754">
            <v>100</v>
          </cell>
        </row>
        <row r="755">
          <cell r="P755">
            <v>100</v>
          </cell>
        </row>
        <row r="756">
          <cell r="P756">
            <v>100</v>
          </cell>
        </row>
        <row r="757">
          <cell r="P757">
            <v>100</v>
          </cell>
        </row>
        <row r="758">
          <cell r="P758">
            <v>100</v>
          </cell>
        </row>
        <row r="759">
          <cell r="P759">
            <v>75</v>
          </cell>
        </row>
        <row r="760">
          <cell r="P760">
            <v>30</v>
          </cell>
        </row>
        <row r="761">
          <cell r="P761">
            <v>30</v>
          </cell>
        </row>
        <row r="762">
          <cell r="P762">
            <v>30</v>
          </cell>
        </row>
        <row r="763">
          <cell r="P763">
            <v>30</v>
          </cell>
        </row>
        <row r="764">
          <cell r="P764">
            <v>75</v>
          </cell>
        </row>
        <row r="765">
          <cell r="P765">
            <v>100</v>
          </cell>
        </row>
        <row r="766">
          <cell r="P766">
            <v>100</v>
          </cell>
        </row>
        <row r="767">
          <cell r="P767">
            <v>100</v>
          </cell>
        </row>
        <row r="768">
          <cell r="P768">
            <v>100</v>
          </cell>
        </row>
        <row r="769">
          <cell r="P769">
            <v>100</v>
          </cell>
        </row>
        <row r="770">
          <cell r="P770">
            <v>100</v>
          </cell>
        </row>
        <row r="771">
          <cell r="P771">
            <v>75</v>
          </cell>
        </row>
        <row r="772">
          <cell r="P772">
            <v>30</v>
          </cell>
        </row>
        <row r="773">
          <cell r="P773">
            <v>30</v>
          </cell>
        </row>
        <row r="774">
          <cell r="P774">
            <v>30</v>
          </cell>
        </row>
        <row r="775">
          <cell r="P775">
            <v>30</v>
          </cell>
        </row>
        <row r="776">
          <cell r="P776">
            <v>75</v>
          </cell>
        </row>
        <row r="777">
          <cell r="P777">
            <v>100</v>
          </cell>
        </row>
        <row r="778">
          <cell r="P778">
            <v>100</v>
          </cell>
        </row>
        <row r="779">
          <cell r="P779">
            <v>100</v>
          </cell>
        </row>
        <row r="780">
          <cell r="P780">
            <v>100</v>
          </cell>
        </row>
        <row r="781">
          <cell r="P781">
            <v>100</v>
          </cell>
        </row>
        <row r="782">
          <cell r="P782">
            <v>100</v>
          </cell>
        </row>
        <row r="783">
          <cell r="P783">
            <v>75</v>
          </cell>
        </row>
        <row r="784">
          <cell r="P784">
            <v>30</v>
          </cell>
        </row>
        <row r="785">
          <cell r="P785">
            <v>30</v>
          </cell>
        </row>
        <row r="786">
          <cell r="P786">
            <v>30</v>
          </cell>
        </row>
        <row r="787">
          <cell r="P787">
            <v>30</v>
          </cell>
        </row>
        <row r="788">
          <cell r="P788">
            <v>75</v>
          </cell>
        </row>
        <row r="789">
          <cell r="P789">
            <v>100</v>
          </cell>
        </row>
        <row r="790">
          <cell r="P790">
            <v>100</v>
          </cell>
        </row>
        <row r="791">
          <cell r="P791">
            <v>100</v>
          </cell>
        </row>
        <row r="792">
          <cell r="P792">
            <v>100</v>
          </cell>
        </row>
        <row r="793">
          <cell r="P793">
            <v>100</v>
          </cell>
        </row>
        <row r="794">
          <cell r="P794">
            <v>100</v>
          </cell>
        </row>
        <row r="795">
          <cell r="P795">
            <v>75</v>
          </cell>
        </row>
        <row r="796">
          <cell r="P796">
            <v>30</v>
          </cell>
        </row>
        <row r="797">
          <cell r="P797">
            <v>30</v>
          </cell>
        </row>
        <row r="798">
          <cell r="P798">
            <v>30</v>
          </cell>
        </row>
        <row r="799">
          <cell r="P799">
            <v>30</v>
          </cell>
        </row>
        <row r="800">
          <cell r="P800">
            <v>75</v>
          </cell>
        </row>
        <row r="801">
          <cell r="P801">
            <v>100</v>
          </cell>
        </row>
        <row r="802">
          <cell r="P802">
            <v>100</v>
          </cell>
        </row>
        <row r="803">
          <cell r="P803">
            <v>100</v>
          </cell>
        </row>
        <row r="804">
          <cell r="P804">
            <v>100</v>
          </cell>
        </row>
        <row r="805">
          <cell r="P805">
            <v>100</v>
          </cell>
        </row>
        <row r="806">
          <cell r="P806">
            <v>100</v>
          </cell>
        </row>
        <row r="807">
          <cell r="P807">
            <v>75</v>
          </cell>
        </row>
        <row r="808">
          <cell r="P808">
            <v>30</v>
          </cell>
        </row>
        <row r="809">
          <cell r="P809">
            <v>30</v>
          </cell>
        </row>
        <row r="810">
          <cell r="P810">
            <v>30</v>
          </cell>
        </row>
        <row r="811">
          <cell r="P811">
            <v>30</v>
          </cell>
        </row>
        <row r="812">
          <cell r="P812">
            <v>75</v>
          </cell>
        </row>
        <row r="813">
          <cell r="P813">
            <v>100</v>
          </cell>
        </row>
        <row r="814">
          <cell r="P814">
            <v>100</v>
          </cell>
        </row>
        <row r="815">
          <cell r="P815">
            <v>100</v>
          </cell>
        </row>
        <row r="816">
          <cell r="P816">
            <v>100</v>
          </cell>
        </row>
        <row r="817">
          <cell r="P817">
            <v>100</v>
          </cell>
        </row>
        <row r="818">
          <cell r="P818">
            <v>100</v>
          </cell>
        </row>
        <row r="819">
          <cell r="P819">
            <v>75</v>
          </cell>
        </row>
        <row r="820">
          <cell r="P820">
            <v>30</v>
          </cell>
        </row>
        <row r="821">
          <cell r="P821">
            <v>30</v>
          </cell>
        </row>
        <row r="822">
          <cell r="P822">
            <v>30</v>
          </cell>
        </row>
        <row r="823">
          <cell r="P823">
            <v>30</v>
          </cell>
        </row>
        <row r="824">
          <cell r="P824">
            <v>75</v>
          </cell>
        </row>
        <row r="825">
          <cell r="P825">
            <v>100</v>
          </cell>
        </row>
        <row r="826">
          <cell r="P826">
            <v>100</v>
          </cell>
        </row>
        <row r="827">
          <cell r="P827">
            <v>100</v>
          </cell>
        </row>
        <row r="828">
          <cell r="P828">
            <v>100</v>
          </cell>
        </row>
        <row r="829">
          <cell r="P829">
            <v>100</v>
          </cell>
        </row>
        <row r="830">
          <cell r="P830">
            <v>100</v>
          </cell>
        </row>
        <row r="831">
          <cell r="P831">
            <v>75</v>
          </cell>
        </row>
        <row r="832">
          <cell r="P832">
            <v>30</v>
          </cell>
        </row>
        <row r="833">
          <cell r="P833">
            <v>30</v>
          </cell>
        </row>
        <row r="834">
          <cell r="P834">
            <v>30</v>
          </cell>
        </row>
        <row r="835">
          <cell r="P835">
            <v>30</v>
          </cell>
        </row>
        <row r="836">
          <cell r="P836">
            <v>75</v>
          </cell>
        </row>
        <row r="837">
          <cell r="P837">
            <v>100</v>
          </cell>
        </row>
        <row r="838">
          <cell r="P838">
            <v>100</v>
          </cell>
        </row>
        <row r="839">
          <cell r="P839">
            <v>100</v>
          </cell>
        </row>
        <row r="840">
          <cell r="P840">
            <v>100</v>
          </cell>
        </row>
        <row r="841">
          <cell r="P841">
            <v>100</v>
          </cell>
        </row>
        <row r="842">
          <cell r="P842">
            <v>100</v>
          </cell>
        </row>
        <row r="843">
          <cell r="P843">
            <v>75</v>
          </cell>
        </row>
        <row r="844">
          <cell r="P844">
            <v>30</v>
          </cell>
        </row>
        <row r="845">
          <cell r="P845">
            <v>30</v>
          </cell>
        </row>
        <row r="846">
          <cell r="P846">
            <v>30</v>
          </cell>
        </row>
        <row r="847">
          <cell r="P847">
            <v>30</v>
          </cell>
        </row>
        <row r="848">
          <cell r="P848">
            <v>75</v>
          </cell>
        </row>
        <row r="849">
          <cell r="P849">
            <v>100</v>
          </cell>
        </row>
        <row r="850">
          <cell r="P850">
            <v>100</v>
          </cell>
        </row>
        <row r="851">
          <cell r="P851">
            <v>100</v>
          </cell>
        </row>
        <row r="852">
          <cell r="P852">
            <v>100</v>
          </cell>
        </row>
        <row r="853">
          <cell r="P853">
            <v>100</v>
          </cell>
        </row>
        <row r="854">
          <cell r="P854">
            <v>100</v>
          </cell>
        </row>
        <row r="855">
          <cell r="P855">
            <v>75</v>
          </cell>
        </row>
        <row r="856">
          <cell r="P856">
            <v>30</v>
          </cell>
        </row>
        <row r="857">
          <cell r="P857">
            <v>30</v>
          </cell>
        </row>
        <row r="858">
          <cell r="P858">
            <v>30</v>
          </cell>
        </row>
        <row r="859">
          <cell r="P859">
            <v>30</v>
          </cell>
        </row>
        <row r="860">
          <cell r="P860">
            <v>75</v>
          </cell>
        </row>
        <row r="861">
          <cell r="P861">
            <v>100</v>
          </cell>
        </row>
        <row r="862">
          <cell r="P862">
            <v>100</v>
          </cell>
        </row>
        <row r="863">
          <cell r="P863">
            <v>100</v>
          </cell>
        </row>
        <row r="864">
          <cell r="P864">
            <v>100</v>
          </cell>
        </row>
        <row r="865">
          <cell r="P865">
            <v>100</v>
          </cell>
        </row>
        <row r="866">
          <cell r="P866">
            <v>100</v>
          </cell>
        </row>
        <row r="867">
          <cell r="P867">
            <v>75</v>
          </cell>
        </row>
        <row r="868">
          <cell r="P868">
            <v>30</v>
          </cell>
        </row>
        <row r="869">
          <cell r="P869">
            <v>30</v>
          </cell>
        </row>
        <row r="870">
          <cell r="P870">
            <v>30</v>
          </cell>
        </row>
        <row r="871">
          <cell r="P871">
            <v>30</v>
          </cell>
        </row>
        <row r="872">
          <cell r="P872">
            <v>75</v>
          </cell>
        </row>
        <row r="873">
          <cell r="P873">
            <v>100</v>
          </cell>
        </row>
        <row r="874">
          <cell r="P874">
            <v>100</v>
          </cell>
        </row>
        <row r="875">
          <cell r="P875">
            <v>100</v>
          </cell>
        </row>
        <row r="876">
          <cell r="P876">
            <v>100</v>
          </cell>
        </row>
        <row r="877">
          <cell r="P877">
            <v>100</v>
          </cell>
        </row>
        <row r="878">
          <cell r="P878">
            <v>100</v>
          </cell>
        </row>
        <row r="879">
          <cell r="P879">
            <v>75</v>
          </cell>
        </row>
        <row r="880">
          <cell r="P880">
            <v>30</v>
          </cell>
        </row>
        <row r="881">
          <cell r="P881">
            <v>30</v>
          </cell>
        </row>
        <row r="882">
          <cell r="P882">
            <v>30</v>
          </cell>
        </row>
        <row r="883">
          <cell r="P883">
            <v>30</v>
          </cell>
        </row>
        <row r="884">
          <cell r="P884">
            <v>75</v>
          </cell>
        </row>
        <row r="885">
          <cell r="P885">
            <v>100</v>
          </cell>
        </row>
        <row r="886">
          <cell r="P886">
            <v>100</v>
          </cell>
        </row>
        <row r="887">
          <cell r="P887">
            <v>100</v>
          </cell>
        </row>
        <row r="888">
          <cell r="P888">
            <v>100</v>
          </cell>
        </row>
        <row r="889">
          <cell r="P889">
            <v>100</v>
          </cell>
        </row>
        <row r="890">
          <cell r="P890">
            <v>100</v>
          </cell>
        </row>
        <row r="891">
          <cell r="P891">
            <v>75</v>
          </cell>
        </row>
        <row r="892">
          <cell r="P892">
            <v>30</v>
          </cell>
        </row>
        <row r="893">
          <cell r="P893">
            <v>30</v>
          </cell>
        </row>
        <row r="894">
          <cell r="P894">
            <v>30</v>
          </cell>
        </row>
        <row r="895">
          <cell r="P895">
            <v>30</v>
          </cell>
        </row>
        <row r="896">
          <cell r="P896">
            <v>75</v>
          </cell>
        </row>
        <row r="897">
          <cell r="P897">
            <v>100</v>
          </cell>
        </row>
        <row r="898">
          <cell r="P898">
            <v>100</v>
          </cell>
        </row>
        <row r="899">
          <cell r="P899">
            <v>100</v>
          </cell>
        </row>
        <row r="900">
          <cell r="P900">
            <v>100</v>
          </cell>
        </row>
        <row r="901">
          <cell r="P901">
            <v>100</v>
          </cell>
        </row>
        <row r="902">
          <cell r="P902">
            <v>100</v>
          </cell>
        </row>
        <row r="903">
          <cell r="P903">
            <v>75</v>
          </cell>
        </row>
        <row r="904">
          <cell r="P904">
            <v>30</v>
          </cell>
        </row>
        <row r="905">
          <cell r="P905">
            <v>30</v>
          </cell>
        </row>
        <row r="906">
          <cell r="P906">
            <v>30</v>
          </cell>
        </row>
        <row r="907">
          <cell r="P907">
            <v>30</v>
          </cell>
        </row>
        <row r="908">
          <cell r="P908">
            <v>75</v>
          </cell>
        </row>
        <row r="909">
          <cell r="P909">
            <v>100</v>
          </cell>
        </row>
        <row r="910">
          <cell r="P910">
            <v>100</v>
          </cell>
        </row>
        <row r="911">
          <cell r="P911">
            <v>100</v>
          </cell>
        </row>
        <row r="912">
          <cell r="P912">
            <v>100</v>
          </cell>
        </row>
        <row r="913">
          <cell r="P913">
            <v>100</v>
          </cell>
        </row>
        <row r="914">
          <cell r="P914">
            <v>100</v>
          </cell>
        </row>
        <row r="915">
          <cell r="P915">
            <v>75</v>
          </cell>
        </row>
        <row r="916">
          <cell r="P916">
            <v>30</v>
          </cell>
        </row>
        <row r="917">
          <cell r="P917">
            <v>30</v>
          </cell>
        </row>
        <row r="918">
          <cell r="P918">
            <v>30</v>
          </cell>
        </row>
        <row r="919">
          <cell r="P919">
            <v>30</v>
          </cell>
        </row>
        <row r="920">
          <cell r="P920">
            <v>75</v>
          </cell>
        </row>
        <row r="921">
          <cell r="P921">
            <v>100</v>
          </cell>
        </row>
        <row r="922">
          <cell r="P922">
            <v>100</v>
          </cell>
        </row>
        <row r="923">
          <cell r="P923">
            <v>100</v>
          </cell>
        </row>
        <row r="924">
          <cell r="P924">
            <v>100</v>
          </cell>
        </row>
        <row r="925">
          <cell r="P925">
            <v>100</v>
          </cell>
        </row>
        <row r="926">
          <cell r="P926">
            <v>100</v>
          </cell>
        </row>
        <row r="927">
          <cell r="P927">
            <v>75</v>
          </cell>
        </row>
        <row r="928">
          <cell r="P928">
            <v>30</v>
          </cell>
        </row>
        <row r="929">
          <cell r="P929">
            <v>30</v>
          </cell>
        </row>
        <row r="930">
          <cell r="P930">
            <v>30</v>
          </cell>
        </row>
        <row r="931">
          <cell r="P931">
            <v>30</v>
          </cell>
        </row>
        <row r="932">
          <cell r="P932">
            <v>75</v>
          </cell>
        </row>
        <row r="933">
          <cell r="P933">
            <v>100</v>
          </cell>
        </row>
        <row r="934">
          <cell r="P934">
            <v>100</v>
          </cell>
        </row>
        <row r="935">
          <cell r="P935">
            <v>100</v>
          </cell>
        </row>
        <row r="936">
          <cell r="P936">
            <v>100</v>
          </cell>
        </row>
        <row r="937">
          <cell r="P937">
            <v>100</v>
          </cell>
        </row>
        <row r="938">
          <cell r="P938">
            <v>100</v>
          </cell>
        </row>
        <row r="939">
          <cell r="P939">
            <v>75</v>
          </cell>
        </row>
        <row r="940">
          <cell r="P940">
            <v>30</v>
          </cell>
        </row>
        <row r="941">
          <cell r="P941">
            <v>30</v>
          </cell>
        </row>
        <row r="942">
          <cell r="P942">
            <v>30</v>
          </cell>
        </row>
        <row r="943">
          <cell r="P943">
            <v>30</v>
          </cell>
        </row>
        <row r="944">
          <cell r="P944">
            <v>75</v>
          </cell>
        </row>
        <row r="945">
          <cell r="P945">
            <v>100</v>
          </cell>
        </row>
        <row r="946">
          <cell r="P946">
            <v>100</v>
          </cell>
        </row>
        <row r="947">
          <cell r="P947">
            <v>100</v>
          </cell>
        </row>
        <row r="948">
          <cell r="P948">
            <v>100</v>
          </cell>
        </row>
        <row r="949">
          <cell r="P949">
            <v>100</v>
          </cell>
        </row>
        <row r="950">
          <cell r="P950">
            <v>100</v>
          </cell>
        </row>
        <row r="951">
          <cell r="P951">
            <v>75</v>
          </cell>
        </row>
        <row r="952">
          <cell r="P952">
            <v>30</v>
          </cell>
        </row>
        <row r="953">
          <cell r="P953">
            <v>30</v>
          </cell>
        </row>
        <row r="954">
          <cell r="P954">
            <v>30</v>
          </cell>
        </row>
        <row r="955">
          <cell r="P955">
            <v>30</v>
          </cell>
        </row>
        <row r="956">
          <cell r="P956">
            <v>75</v>
          </cell>
        </row>
        <row r="957">
          <cell r="P957">
            <v>100</v>
          </cell>
        </row>
        <row r="958">
          <cell r="P958">
            <v>100</v>
          </cell>
        </row>
        <row r="959">
          <cell r="P959">
            <v>100</v>
          </cell>
        </row>
        <row r="960">
          <cell r="P960">
            <v>100</v>
          </cell>
        </row>
        <row r="961">
          <cell r="P961">
            <v>100</v>
          </cell>
        </row>
        <row r="962">
          <cell r="P962">
            <v>100</v>
          </cell>
        </row>
        <row r="963">
          <cell r="P963">
            <v>75</v>
          </cell>
        </row>
        <row r="964">
          <cell r="P964">
            <v>30</v>
          </cell>
        </row>
        <row r="965">
          <cell r="P965">
            <v>30</v>
          </cell>
        </row>
        <row r="966">
          <cell r="P966">
            <v>30</v>
          </cell>
        </row>
        <row r="967">
          <cell r="P967">
            <v>30</v>
          </cell>
        </row>
        <row r="968">
          <cell r="P968">
            <v>75</v>
          </cell>
        </row>
        <row r="969">
          <cell r="P969">
            <v>100</v>
          </cell>
        </row>
        <row r="970">
          <cell r="P970">
            <v>100</v>
          </cell>
        </row>
        <row r="971">
          <cell r="P971">
            <v>100</v>
          </cell>
        </row>
        <row r="972">
          <cell r="P972">
            <v>100</v>
          </cell>
        </row>
        <row r="973">
          <cell r="P973">
            <v>100</v>
          </cell>
        </row>
        <row r="974">
          <cell r="P974">
            <v>100</v>
          </cell>
        </row>
        <row r="975">
          <cell r="P975">
            <v>75</v>
          </cell>
        </row>
        <row r="976">
          <cell r="P976">
            <v>30</v>
          </cell>
        </row>
        <row r="977">
          <cell r="P977">
            <v>30</v>
          </cell>
        </row>
        <row r="978">
          <cell r="P978">
            <v>30</v>
          </cell>
        </row>
        <row r="979">
          <cell r="P979">
            <v>30</v>
          </cell>
        </row>
        <row r="980">
          <cell r="P980">
            <v>75</v>
          </cell>
        </row>
        <row r="981">
          <cell r="P981">
            <v>100</v>
          </cell>
        </row>
        <row r="982">
          <cell r="P982">
            <v>100</v>
          </cell>
        </row>
        <row r="983">
          <cell r="P983">
            <v>100</v>
          </cell>
        </row>
        <row r="984">
          <cell r="P984">
            <v>100</v>
          </cell>
        </row>
        <row r="985">
          <cell r="P985">
            <v>100</v>
          </cell>
        </row>
        <row r="986">
          <cell r="P986">
            <v>100</v>
          </cell>
        </row>
        <row r="987">
          <cell r="P987">
            <v>75</v>
          </cell>
        </row>
        <row r="988">
          <cell r="P988">
            <v>30</v>
          </cell>
        </row>
        <row r="989">
          <cell r="P989">
            <v>30</v>
          </cell>
        </row>
        <row r="990">
          <cell r="P990">
            <v>30</v>
          </cell>
        </row>
        <row r="991">
          <cell r="P991">
            <v>30</v>
          </cell>
        </row>
        <row r="992">
          <cell r="P992">
            <v>75</v>
          </cell>
        </row>
        <row r="993">
          <cell r="P993">
            <v>100</v>
          </cell>
        </row>
        <row r="994">
          <cell r="P994">
            <v>100</v>
          </cell>
        </row>
        <row r="995">
          <cell r="P995">
            <v>100</v>
          </cell>
        </row>
        <row r="996">
          <cell r="P996">
            <v>100</v>
          </cell>
        </row>
        <row r="997">
          <cell r="P997">
            <v>100</v>
          </cell>
        </row>
        <row r="998">
          <cell r="P998">
            <v>100</v>
          </cell>
        </row>
        <row r="999">
          <cell r="P999">
            <v>75</v>
          </cell>
        </row>
        <row r="1000">
          <cell r="P1000">
            <v>30</v>
          </cell>
        </row>
        <row r="1001">
          <cell r="P1001">
            <v>30</v>
          </cell>
        </row>
        <row r="1002">
          <cell r="P1002">
            <v>30</v>
          </cell>
        </row>
        <row r="1003">
          <cell r="P1003">
            <v>30</v>
          </cell>
        </row>
        <row r="1004">
          <cell r="P1004">
            <v>75</v>
          </cell>
        </row>
        <row r="1005">
          <cell r="P1005">
            <v>100</v>
          </cell>
        </row>
        <row r="1006">
          <cell r="P1006">
            <v>100</v>
          </cell>
        </row>
        <row r="1007">
          <cell r="P1007">
            <v>100</v>
          </cell>
        </row>
        <row r="1008">
          <cell r="P1008">
            <v>100</v>
          </cell>
        </row>
        <row r="1009">
          <cell r="P1009">
            <v>100</v>
          </cell>
        </row>
        <row r="1010">
          <cell r="P1010">
            <v>100</v>
          </cell>
        </row>
        <row r="1011">
          <cell r="P1011">
            <v>75</v>
          </cell>
        </row>
        <row r="1012">
          <cell r="P1012">
            <v>30</v>
          </cell>
        </row>
        <row r="1013">
          <cell r="P1013">
            <v>30</v>
          </cell>
        </row>
        <row r="1014">
          <cell r="P1014">
            <v>30</v>
          </cell>
        </row>
        <row r="1015">
          <cell r="P1015">
            <v>30</v>
          </cell>
        </row>
        <row r="1016">
          <cell r="P1016">
            <v>75</v>
          </cell>
        </row>
        <row r="1017">
          <cell r="P1017">
            <v>100</v>
          </cell>
        </row>
        <row r="1018">
          <cell r="P1018">
            <v>100</v>
          </cell>
        </row>
        <row r="1019">
          <cell r="P1019">
            <v>100</v>
          </cell>
        </row>
        <row r="1020">
          <cell r="P1020">
            <v>100</v>
          </cell>
        </row>
        <row r="1021">
          <cell r="P1021">
            <v>100</v>
          </cell>
        </row>
        <row r="1022">
          <cell r="P1022">
            <v>100</v>
          </cell>
        </row>
        <row r="1023">
          <cell r="P1023">
            <v>75</v>
          </cell>
        </row>
        <row r="1024">
          <cell r="P1024">
            <v>30</v>
          </cell>
        </row>
        <row r="1025">
          <cell r="P1025">
            <v>30</v>
          </cell>
        </row>
        <row r="1026">
          <cell r="P1026">
            <v>30</v>
          </cell>
        </row>
        <row r="1027">
          <cell r="P1027">
            <v>30</v>
          </cell>
        </row>
        <row r="1028">
          <cell r="P1028">
            <v>75</v>
          </cell>
        </row>
        <row r="1029">
          <cell r="P1029">
            <v>100</v>
          </cell>
        </row>
        <row r="1030">
          <cell r="P1030">
            <v>100</v>
          </cell>
        </row>
        <row r="1031">
          <cell r="P1031">
            <v>100</v>
          </cell>
        </row>
        <row r="1032">
          <cell r="P1032">
            <v>100</v>
          </cell>
        </row>
        <row r="1033">
          <cell r="P1033">
            <v>100</v>
          </cell>
        </row>
        <row r="1034">
          <cell r="P1034">
            <v>100</v>
          </cell>
        </row>
        <row r="1035">
          <cell r="P1035">
            <v>75</v>
          </cell>
        </row>
        <row r="1036">
          <cell r="P1036">
            <v>30</v>
          </cell>
        </row>
        <row r="1037">
          <cell r="P1037">
            <v>30</v>
          </cell>
        </row>
        <row r="1038">
          <cell r="P1038">
            <v>30</v>
          </cell>
        </row>
        <row r="1039">
          <cell r="P1039">
            <v>30</v>
          </cell>
        </row>
        <row r="1040">
          <cell r="P1040">
            <v>75</v>
          </cell>
        </row>
        <row r="1041">
          <cell r="P1041">
            <v>100</v>
          </cell>
        </row>
        <row r="1042">
          <cell r="P1042">
            <v>100</v>
          </cell>
        </row>
        <row r="1043">
          <cell r="P1043">
            <v>100</v>
          </cell>
        </row>
        <row r="1044">
          <cell r="P1044">
            <v>100</v>
          </cell>
        </row>
        <row r="1045">
          <cell r="P1045">
            <v>100</v>
          </cell>
        </row>
        <row r="1046">
          <cell r="P1046">
            <v>100</v>
          </cell>
        </row>
        <row r="1047">
          <cell r="P1047">
            <v>75</v>
          </cell>
        </row>
        <row r="1048">
          <cell r="P1048">
            <v>30</v>
          </cell>
        </row>
        <row r="1049">
          <cell r="P1049">
            <v>30</v>
          </cell>
        </row>
        <row r="1050">
          <cell r="P1050">
            <v>30</v>
          </cell>
        </row>
        <row r="1051">
          <cell r="P1051">
            <v>30</v>
          </cell>
        </row>
        <row r="1052">
          <cell r="P1052">
            <v>75</v>
          </cell>
        </row>
        <row r="1053">
          <cell r="P1053">
            <v>100</v>
          </cell>
        </row>
        <row r="1054">
          <cell r="P1054">
            <v>100</v>
          </cell>
        </row>
        <row r="1055">
          <cell r="P1055">
            <v>100</v>
          </cell>
        </row>
        <row r="1056">
          <cell r="P1056">
            <v>100</v>
          </cell>
        </row>
        <row r="1057">
          <cell r="P1057">
            <v>100</v>
          </cell>
        </row>
        <row r="1058">
          <cell r="P1058">
            <v>100</v>
          </cell>
        </row>
        <row r="1059">
          <cell r="P1059">
            <v>75</v>
          </cell>
        </row>
        <row r="1060">
          <cell r="P1060">
            <v>30</v>
          </cell>
        </row>
        <row r="1061">
          <cell r="P1061">
            <v>30</v>
          </cell>
        </row>
        <row r="1062">
          <cell r="P1062">
            <v>30</v>
          </cell>
        </row>
        <row r="1063">
          <cell r="P1063">
            <v>30</v>
          </cell>
        </row>
        <row r="1064">
          <cell r="P1064">
            <v>75</v>
          </cell>
        </row>
        <row r="1065">
          <cell r="P1065">
            <v>100</v>
          </cell>
        </row>
        <row r="1066">
          <cell r="P1066">
            <v>100</v>
          </cell>
        </row>
        <row r="1067">
          <cell r="P1067">
            <v>100</v>
          </cell>
        </row>
        <row r="1068">
          <cell r="P1068">
            <v>100</v>
          </cell>
        </row>
        <row r="1069">
          <cell r="P1069">
            <v>100</v>
          </cell>
        </row>
        <row r="1070">
          <cell r="P1070">
            <v>100</v>
          </cell>
        </row>
        <row r="1071">
          <cell r="P1071">
            <v>75</v>
          </cell>
        </row>
        <row r="1072">
          <cell r="P1072">
            <v>30</v>
          </cell>
        </row>
        <row r="1073">
          <cell r="P1073">
            <v>30</v>
          </cell>
        </row>
        <row r="1074">
          <cell r="P1074">
            <v>30</v>
          </cell>
        </row>
        <row r="1075">
          <cell r="P1075">
            <v>30</v>
          </cell>
        </row>
        <row r="1076">
          <cell r="P1076">
            <v>75</v>
          </cell>
        </row>
        <row r="1077">
          <cell r="P1077">
            <v>100</v>
          </cell>
        </row>
        <row r="1078">
          <cell r="P1078">
            <v>100</v>
          </cell>
        </row>
      </sheetData>
      <sheetData sheetId="7">
        <row r="95">
          <cell r="V95">
            <v>122.58</v>
          </cell>
        </row>
        <row r="96">
          <cell r="V96">
            <v>122.58</v>
          </cell>
        </row>
        <row r="97">
          <cell r="V97">
            <v>122.58</v>
          </cell>
        </row>
        <row r="98">
          <cell r="V98">
            <v>141.29300000000001</v>
          </cell>
        </row>
        <row r="99">
          <cell r="V99">
            <v>194.20499999999998</v>
          </cell>
        </row>
        <row r="100">
          <cell r="V100">
            <v>194.20499999999998</v>
          </cell>
        </row>
        <row r="101">
          <cell r="V101">
            <v>194.20499999999998</v>
          </cell>
        </row>
        <row r="102">
          <cell r="V102">
            <v>194.20499999999998</v>
          </cell>
        </row>
        <row r="103">
          <cell r="V103">
            <v>194.20499999999998</v>
          </cell>
        </row>
        <row r="104">
          <cell r="V104">
            <v>131.881</v>
          </cell>
        </row>
        <row r="105">
          <cell r="V105">
            <v>122.58</v>
          </cell>
        </row>
        <row r="106">
          <cell r="V106">
            <v>122.58</v>
          </cell>
        </row>
        <row r="107">
          <cell r="V107">
            <v>122.58</v>
          </cell>
        </row>
        <row r="108">
          <cell r="V108">
            <v>122.58</v>
          </cell>
        </row>
        <row r="109">
          <cell r="V109">
            <v>122.58</v>
          </cell>
        </row>
        <row r="110">
          <cell r="V110">
            <v>141.29300000000001</v>
          </cell>
        </row>
        <row r="111">
          <cell r="V111">
            <v>194.20499999999998</v>
          </cell>
        </row>
        <row r="112">
          <cell r="V112">
            <v>194.20499999999998</v>
          </cell>
        </row>
        <row r="113">
          <cell r="V113">
            <v>194.20499999999998</v>
          </cell>
        </row>
        <row r="114">
          <cell r="V114">
            <v>194.20499999999998</v>
          </cell>
        </row>
        <row r="115">
          <cell r="V115">
            <v>194.20499999999998</v>
          </cell>
        </row>
        <row r="116">
          <cell r="V116">
            <v>131.881</v>
          </cell>
        </row>
        <row r="117">
          <cell r="V117">
            <v>122.58</v>
          </cell>
        </row>
        <row r="118">
          <cell r="V118">
            <v>122.58</v>
          </cell>
        </row>
        <row r="119">
          <cell r="V119">
            <v>122.58</v>
          </cell>
        </row>
        <row r="120">
          <cell r="V120">
            <v>122.58</v>
          </cell>
        </row>
        <row r="121">
          <cell r="V121">
            <v>122.58</v>
          </cell>
        </row>
        <row r="122">
          <cell r="V122">
            <v>141.29300000000001</v>
          </cell>
        </row>
        <row r="123">
          <cell r="V123">
            <v>194.20499999999998</v>
          </cell>
        </row>
        <row r="124">
          <cell r="V124">
            <v>194.20499999999998</v>
          </cell>
        </row>
        <row r="125">
          <cell r="V125">
            <v>194.20499999999998</v>
          </cell>
        </row>
        <row r="126">
          <cell r="V126">
            <v>194.20499999999998</v>
          </cell>
        </row>
        <row r="127">
          <cell r="V127">
            <v>194.20499999999998</v>
          </cell>
        </row>
        <row r="128">
          <cell r="V128">
            <v>131.881</v>
          </cell>
        </row>
        <row r="129">
          <cell r="V129">
            <v>122.58</v>
          </cell>
        </row>
        <row r="130">
          <cell r="V130">
            <v>122.58</v>
          </cell>
        </row>
        <row r="131">
          <cell r="V131">
            <v>122.58</v>
          </cell>
        </row>
        <row r="132">
          <cell r="V132">
            <v>122.58</v>
          </cell>
        </row>
        <row r="133">
          <cell r="V133">
            <v>122.58</v>
          </cell>
        </row>
        <row r="134">
          <cell r="V134">
            <v>141.29300000000001</v>
          </cell>
        </row>
        <row r="135">
          <cell r="V135">
            <v>194.20499999999998</v>
          </cell>
        </row>
        <row r="136">
          <cell r="V136">
            <v>194.20499999999998</v>
          </cell>
        </row>
        <row r="137">
          <cell r="V137">
            <v>194.20499999999998</v>
          </cell>
        </row>
        <row r="138">
          <cell r="V138">
            <v>194.20499999999998</v>
          </cell>
        </row>
        <row r="139">
          <cell r="V139">
            <v>194.20499999999998</v>
          </cell>
        </row>
        <row r="140">
          <cell r="V140">
            <v>131.881</v>
          </cell>
        </row>
        <row r="141">
          <cell r="V141">
            <v>122.58</v>
          </cell>
        </row>
        <row r="142">
          <cell r="V142">
            <v>122.58</v>
          </cell>
        </row>
        <row r="143">
          <cell r="V143">
            <v>122.58</v>
          </cell>
        </row>
        <row r="144">
          <cell r="V144">
            <v>122.58</v>
          </cell>
        </row>
        <row r="145">
          <cell r="V145">
            <v>122.58</v>
          </cell>
        </row>
        <row r="146">
          <cell r="V146">
            <v>141.29300000000001</v>
          </cell>
        </row>
        <row r="147">
          <cell r="V147">
            <v>194.20499999999998</v>
          </cell>
        </row>
        <row r="148">
          <cell r="V148">
            <v>194.20499999999998</v>
          </cell>
        </row>
        <row r="149">
          <cell r="V149">
            <v>194.20499999999998</v>
          </cell>
        </row>
        <row r="150">
          <cell r="V150">
            <v>194.20499999999998</v>
          </cell>
        </row>
        <row r="151">
          <cell r="V151">
            <v>194.20499999999998</v>
          </cell>
        </row>
        <row r="152">
          <cell r="V152">
            <v>131.881</v>
          </cell>
        </row>
        <row r="153">
          <cell r="V153">
            <v>122.58</v>
          </cell>
        </row>
        <row r="154">
          <cell r="V154">
            <v>122.58</v>
          </cell>
        </row>
        <row r="155">
          <cell r="V155">
            <v>122.58</v>
          </cell>
        </row>
        <row r="156">
          <cell r="V156">
            <v>122.58</v>
          </cell>
        </row>
        <row r="157">
          <cell r="V157">
            <v>122.58</v>
          </cell>
        </row>
        <row r="158">
          <cell r="V158">
            <v>141.29300000000001</v>
          </cell>
        </row>
        <row r="159">
          <cell r="V159">
            <v>194.20499999999998</v>
          </cell>
        </row>
        <row r="160">
          <cell r="V160">
            <v>194.20499999999998</v>
          </cell>
        </row>
        <row r="161">
          <cell r="V161">
            <v>194.20499999999998</v>
          </cell>
        </row>
        <row r="162">
          <cell r="V162">
            <v>194.20499999999998</v>
          </cell>
        </row>
        <row r="163">
          <cell r="V163">
            <v>194.20499999999998</v>
          </cell>
        </row>
        <row r="164">
          <cell r="V164">
            <v>131.881</v>
          </cell>
        </row>
        <row r="165">
          <cell r="V165">
            <v>122.58</v>
          </cell>
        </row>
        <row r="166">
          <cell r="V166">
            <v>122.58</v>
          </cell>
        </row>
        <row r="167">
          <cell r="V167">
            <v>122.58</v>
          </cell>
        </row>
        <row r="168">
          <cell r="V168">
            <v>122.58</v>
          </cell>
        </row>
        <row r="169">
          <cell r="V169">
            <v>122.58</v>
          </cell>
        </row>
        <row r="170">
          <cell r="V170">
            <v>141.29300000000001</v>
          </cell>
        </row>
        <row r="171">
          <cell r="V171">
            <v>194.20499999999998</v>
          </cell>
        </row>
        <row r="172">
          <cell r="V172">
            <v>194.20499999999998</v>
          </cell>
        </row>
        <row r="173">
          <cell r="V173">
            <v>194.20499999999998</v>
          </cell>
        </row>
        <row r="174">
          <cell r="V174">
            <v>194.20499999999998</v>
          </cell>
        </row>
        <row r="175">
          <cell r="V175">
            <v>194.20499999999998</v>
          </cell>
        </row>
        <row r="176">
          <cell r="V176">
            <v>131.881</v>
          </cell>
        </row>
        <row r="177">
          <cell r="V177">
            <v>122.58</v>
          </cell>
        </row>
        <row r="178">
          <cell r="V178">
            <v>122.58</v>
          </cell>
        </row>
        <row r="179">
          <cell r="V179">
            <v>122.58</v>
          </cell>
        </row>
        <row r="180">
          <cell r="V180">
            <v>122.58</v>
          </cell>
        </row>
        <row r="181">
          <cell r="V181">
            <v>122.58</v>
          </cell>
        </row>
        <row r="182">
          <cell r="V182">
            <v>141.29300000000001</v>
          </cell>
        </row>
        <row r="183">
          <cell r="V183">
            <v>194.20499999999998</v>
          </cell>
        </row>
        <row r="184">
          <cell r="V184">
            <v>194.20499999999998</v>
          </cell>
        </row>
        <row r="185">
          <cell r="V185">
            <v>194.20499999999998</v>
          </cell>
        </row>
        <row r="186">
          <cell r="V186">
            <v>194.20499999999998</v>
          </cell>
        </row>
        <row r="187">
          <cell r="V187">
            <v>194.20499999999998</v>
          </cell>
        </row>
        <row r="188">
          <cell r="V188">
            <v>131.881</v>
          </cell>
        </row>
        <row r="189">
          <cell r="V189">
            <v>122.58</v>
          </cell>
        </row>
        <row r="190">
          <cell r="V190">
            <v>122.58</v>
          </cell>
        </row>
        <row r="191">
          <cell r="V191">
            <v>122.58</v>
          </cell>
        </row>
        <row r="192">
          <cell r="V192">
            <v>122.58</v>
          </cell>
        </row>
        <row r="193">
          <cell r="V193">
            <v>122.58</v>
          </cell>
        </row>
        <row r="194">
          <cell r="V194">
            <v>141.29300000000001</v>
          </cell>
        </row>
        <row r="195">
          <cell r="V195">
            <v>194.20499999999998</v>
          </cell>
        </row>
        <row r="196">
          <cell r="V196">
            <v>194.20499999999998</v>
          </cell>
        </row>
        <row r="197">
          <cell r="V197">
            <v>194.20499999999998</v>
          </cell>
        </row>
        <row r="198">
          <cell r="V198">
            <v>194.20499999999998</v>
          </cell>
        </row>
        <row r="199">
          <cell r="V199">
            <v>194.20499999999998</v>
          </cell>
        </row>
        <row r="200">
          <cell r="V200">
            <v>131.881</v>
          </cell>
        </row>
        <row r="201">
          <cell r="V201">
            <v>122.58</v>
          </cell>
        </row>
        <row r="202">
          <cell r="V202">
            <v>122.58</v>
          </cell>
        </row>
        <row r="203">
          <cell r="V203">
            <v>122.58</v>
          </cell>
        </row>
        <row r="204">
          <cell r="V204">
            <v>122.58</v>
          </cell>
        </row>
        <row r="205">
          <cell r="V205">
            <v>122.58</v>
          </cell>
        </row>
        <row r="206">
          <cell r="V206">
            <v>141.29300000000001</v>
          </cell>
        </row>
        <row r="207">
          <cell r="V207">
            <v>194.20499999999998</v>
          </cell>
        </row>
        <row r="208">
          <cell r="V208">
            <v>194.20499999999998</v>
          </cell>
        </row>
        <row r="209">
          <cell r="V209">
            <v>194.20499999999998</v>
          </cell>
        </row>
        <row r="210">
          <cell r="V210">
            <v>194.20499999999998</v>
          </cell>
        </row>
        <row r="211">
          <cell r="V211">
            <v>194.20499999999998</v>
          </cell>
        </row>
        <row r="212">
          <cell r="V212">
            <v>131.881</v>
          </cell>
        </row>
        <row r="213">
          <cell r="V213">
            <v>122.58</v>
          </cell>
        </row>
        <row r="214">
          <cell r="V214">
            <v>122.58</v>
          </cell>
        </row>
        <row r="215">
          <cell r="V215">
            <v>122.58</v>
          </cell>
        </row>
        <row r="216">
          <cell r="V216">
            <v>122.58</v>
          </cell>
        </row>
        <row r="217">
          <cell r="V217">
            <v>122.58</v>
          </cell>
        </row>
        <row r="218">
          <cell r="V218">
            <v>141.29300000000001</v>
          </cell>
        </row>
        <row r="219">
          <cell r="V219">
            <v>194.20499999999998</v>
          </cell>
        </row>
        <row r="220">
          <cell r="V220">
            <v>194.20499999999998</v>
          </cell>
        </row>
        <row r="221">
          <cell r="V221">
            <v>194.20499999999998</v>
          </cell>
        </row>
        <row r="222">
          <cell r="V222">
            <v>194.20499999999998</v>
          </cell>
        </row>
        <row r="223">
          <cell r="V223">
            <v>194.20499999999998</v>
          </cell>
        </row>
        <row r="224">
          <cell r="V224">
            <v>131.881</v>
          </cell>
        </row>
        <row r="225">
          <cell r="V225">
            <v>122.58</v>
          </cell>
        </row>
        <row r="226">
          <cell r="V226">
            <v>122.58</v>
          </cell>
        </row>
        <row r="227">
          <cell r="V227">
            <v>122.58</v>
          </cell>
        </row>
        <row r="228">
          <cell r="V228">
            <v>122.58</v>
          </cell>
        </row>
        <row r="229">
          <cell r="V229">
            <v>122.58</v>
          </cell>
        </row>
        <row r="230">
          <cell r="V230">
            <v>141.29300000000001</v>
          </cell>
        </row>
        <row r="231">
          <cell r="V231">
            <v>194.20499999999998</v>
          </cell>
        </row>
        <row r="232">
          <cell r="V232">
            <v>194.20499999999998</v>
          </cell>
        </row>
        <row r="233">
          <cell r="V233">
            <v>194.20499999999998</v>
          </cell>
        </row>
        <row r="234">
          <cell r="V234">
            <v>194.20499999999998</v>
          </cell>
        </row>
        <row r="235">
          <cell r="V235">
            <v>194.20499999999998</v>
          </cell>
        </row>
        <row r="236">
          <cell r="V236">
            <v>131.881</v>
          </cell>
        </row>
        <row r="237">
          <cell r="V237">
            <v>122.58</v>
          </cell>
        </row>
        <row r="238">
          <cell r="V238">
            <v>122.58</v>
          </cell>
        </row>
        <row r="239">
          <cell r="V239">
            <v>122.58</v>
          </cell>
        </row>
        <row r="240">
          <cell r="V240">
            <v>122.58</v>
          </cell>
        </row>
        <row r="241">
          <cell r="V241">
            <v>122.58</v>
          </cell>
        </row>
        <row r="242">
          <cell r="V242">
            <v>141.29300000000001</v>
          </cell>
        </row>
        <row r="243">
          <cell r="V243">
            <v>194.20499999999998</v>
          </cell>
        </row>
        <row r="244">
          <cell r="V244">
            <v>194.20499999999998</v>
          </cell>
        </row>
        <row r="245">
          <cell r="V245">
            <v>194.20499999999998</v>
          </cell>
        </row>
        <row r="246">
          <cell r="V246">
            <v>194.20499999999998</v>
          </cell>
        </row>
        <row r="247">
          <cell r="V247">
            <v>194.20499999999998</v>
          </cell>
        </row>
        <row r="248">
          <cell r="V248">
            <v>131.881</v>
          </cell>
        </row>
        <row r="249">
          <cell r="V249">
            <v>122.58</v>
          </cell>
        </row>
        <row r="250">
          <cell r="V250">
            <v>122.58</v>
          </cell>
        </row>
        <row r="251">
          <cell r="V251">
            <v>122.58</v>
          </cell>
        </row>
        <row r="252">
          <cell r="V252">
            <v>122.58</v>
          </cell>
        </row>
        <row r="253">
          <cell r="V253">
            <v>122.58</v>
          </cell>
        </row>
        <row r="254">
          <cell r="V254">
            <v>141.29300000000001</v>
          </cell>
        </row>
        <row r="255">
          <cell r="V255">
            <v>194.20499999999998</v>
          </cell>
        </row>
        <row r="256">
          <cell r="V256">
            <v>194.20499999999998</v>
          </cell>
        </row>
        <row r="257">
          <cell r="V257">
            <v>194.20499999999998</v>
          </cell>
        </row>
        <row r="258">
          <cell r="V258">
            <v>194.20499999999998</v>
          </cell>
        </row>
        <row r="259">
          <cell r="V259">
            <v>194.20499999999998</v>
          </cell>
        </row>
        <row r="260">
          <cell r="V260">
            <v>131.881</v>
          </cell>
        </row>
        <row r="261">
          <cell r="V261">
            <v>122.58</v>
          </cell>
        </row>
        <row r="262">
          <cell r="V262">
            <v>122.58</v>
          </cell>
        </row>
        <row r="263">
          <cell r="V263">
            <v>122.58</v>
          </cell>
        </row>
        <row r="264">
          <cell r="V264">
            <v>122.58</v>
          </cell>
        </row>
        <row r="265">
          <cell r="V265">
            <v>122.58</v>
          </cell>
        </row>
        <row r="266">
          <cell r="V266">
            <v>141.29300000000001</v>
          </cell>
        </row>
        <row r="267">
          <cell r="V267">
            <v>194.20499999999998</v>
          </cell>
        </row>
        <row r="268">
          <cell r="V268">
            <v>194.20499999999998</v>
          </cell>
        </row>
        <row r="269">
          <cell r="V269">
            <v>194.20499999999998</v>
          </cell>
        </row>
        <row r="270">
          <cell r="V270">
            <v>194.20499999999998</v>
          </cell>
        </row>
        <row r="271">
          <cell r="V271">
            <v>194.20499999999998</v>
          </cell>
        </row>
        <row r="272">
          <cell r="V272">
            <v>131.881</v>
          </cell>
        </row>
        <row r="273">
          <cell r="V273">
            <v>122.58</v>
          </cell>
        </row>
        <row r="274">
          <cell r="V274">
            <v>122.58</v>
          </cell>
        </row>
        <row r="275">
          <cell r="V275">
            <v>122.58</v>
          </cell>
        </row>
        <row r="276">
          <cell r="V276">
            <v>122.58</v>
          </cell>
        </row>
        <row r="277">
          <cell r="V277">
            <v>122.58</v>
          </cell>
        </row>
        <row r="278">
          <cell r="V278">
            <v>141.29300000000001</v>
          </cell>
        </row>
        <row r="279">
          <cell r="V279">
            <v>194.20499999999998</v>
          </cell>
        </row>
        <row r="280">
          <cell r="V280">
            <v>194.20499999999998</v>
          </cell>
        </row>
        <row r="281">
          <cell r="V281">
            <v>194.20499999999998</v>
          </cell>
        </row>
        <row r="282">
          <cell r="V282">
            <v>194.20499999999998</v>
          </cell>
        </row>
        <row r="283">
          <cell r="V283">
            <v>194.20499999999998</v>
          </cell>
        </row>
        <row r="284">
          <cell r="V284">
            <v>131.881</v>
          </cell>
        </row>
        <row r="285">
          <cell r="V285">
            <v>122.58</v>
          </cell>
        </row>
        <row r="286">
          <cell r="V286">
            <v>122.58</v>
          </cell>
        </row>
        <row r="287">
          <cell r="V287">
            <v>122.58</v>
          </cell>
        </row>
        <row r="288">
          <cell r="V288">
            <v>122.58</v>
          </cell>
        </row>
        <row r="289">
          <cell r="V289">
            <v>122.58</v>
          </cell>
        </row>
        <row r="290">
          <cell r="V290">
            <v>141.29300000000001</v>
          </cell>
        </row>
        <row r="291">
          <cell r="V291">
            <v>194.20499999999998</v>
          </cell>
        </row>
        <row r="292">
          <cell r="V292">
            <v>194.20499999999998</v>
          </cell>
        </row>
        <row r="293">
          <cell r="V293">
            <v>194.20499999999998</v>
          </cell>
        </row>
        <row r="294">
          <cell r="V294">
            <v>194.20499999999998</v>
          </cell>
        </row>
        <row r="295">
          <cell r="V295">
            <v>194.20499999999998</v>
          </cell>
        </row>
        <row r="296">
          <cell r="V296">
            <v>131.881</v>
          </cell>
        </row>
        <row r="297">
          <cell r="V297">
            <v>122.58</v>
          </cell>
        </row>
        <row r="298">
          <cell r="V298">
            <v>122.58</v>
          </cell>
        </row>
        <row r="299">
          <cell r="V299">
            <v>122.58</v>
          </cell>
        </row>
        <row r="300">
          <cell r="V300">
            <v>122.58</v>
          </cell>
        </row>
        <row r="301">
          <cell r="V301">
            <v>122.58</v>
          </cell>
        </row>
        <row r="302">
          <cell r="V302">
            <v>141.29300000000001</v>
          </cell>
        </row>
        <row r="303">
          <cell r="V303">
            <v>194.20499999999998</v>
          </cell>
        </row>
        <row r="304">
          <cell r="V304">
            <v>194.20499999999998</v>
          </cell>
        </row>
        <row r="305">
          <cell r="V305">
            <v>194.20499999999998</v>
          </cell>
        </row>
        <row r="306">
          <cell r="V306">
            <v>194.20499999999998</v>
          </cell>
        </row>
        <row r="307">
          <cell r="V307">
            <v>194.20499999999998</v>
          </cell>
        </row>
        <row r="308">
          <cell r="V308">
            <v>131.881</v>
          </cell>
        </row>
        <row r="309">
          <cell r="V309">
            <v>122.58</v>
          </cell>
        </row>
        <row r="310">
          <cell r="V310">
            <v>122.58</v>
          </cell>
        </row>
        <row r="311">
          <cell r="V311">
            <v>122.58</v>
          </cell>
        </row>
        <row r="312">
          <cell r="V312">
            <v>122.58</v>
          </cell>
        </row>
        <row r="313">
          <cell r="V313">
            <v>122.58</v>
          </cell>
        </row>
        <row r="314">
          <cell r="V314">
            <v>141.29300000000001</v>
          </cell>
        </row>
        <row r="315">
          <cell r="V315">
            <v>194.20499999999998</v>
          </cell>
        </row>
        <row r="316">
          <cell r="V316">
            <v>194.20499999999998</v>
          </cell>
        </row>
        <row r="317">
          <cell r="V317">
            <v>194.20499999999998</v>
          </cell>
        </row>
        <row r="318">
          <cell r="V318">
            <v>194.20499999999998</v>
          </cell>
        </row>
        <row r="319">
          <cell r="V319">
            <v>194.20499999999998</v>
          </cell>
        </row>
        <row r="320">
          <cell r="V320">
            <v>131.881</v>
          </cell>
        </row>
        <row r="321">
          <cell r="V321">
            <v>122.58</v>
          </cell>
        </row>
        <row r="322">
          <cell r="V322">
            <v>122.58</v>
          </cell>
        </row>
        <row r="323">
          <cell r="V323">
            <v>122.58</v>
          </cell>
        </row>
        <row r="324">
          <cell r="V324">
            <v>122.58</v>
          </cell>
        </row>
        <row r="325">
          <cell r="V325">
            <v>122.58</v>
          </cell>
        </row>
        <row r="326">
          <cell r="V326">
            <v>141.29300000000001</v>
          </cell>
        </row>
        <row r="327">
          <cell r="V327">
            <v>194.20499999999998</v>
          </cell>
        </row>
        <row r="328">
          <cell r="V328">
            <v>194.20499999999998</v>
          </cell>
        </row>
        <row r="329">
          <cell r="V329">
            <v>194.20499999999998</v>
          </cell>
        </row>
        <row r="330">
          <cell r="V330">
            <v>194.20499999999998</v>
          </cell>
        </row>
        <row r="331">
          <cell r="V331">
            <v>194.20499999999998</v>
          </cell>
        </row>
        <row r="332">
          <cell r="V332">
            <v>131.881</v>
          </cell>
        </row>
        <row r="333">
          <cell r="V333">
            <v>122.58</v>
          </cell>
        </row>
        <row r="334">
          <cell r="V334">
            <v>122.58</v>
          </cell>
        </row>
        <row r="335">
          <cell r="V335">
            <v>122.58</v>
          </cell>
        </row>
        <row r="336">
          <cell r="V336">
            <v>122.58</v>
          </cell>
        </row>
        <row r="337">
          <cell r="V337">
            <v>122.58</v>
          </cell>
        </row>
        <row r="338">
          <cell r="V338">
            <v>141.29300000000001</v>
          </cell>
        </row>
        <row r="339">
          <cell r="V339">
            <v>194.20499999999998</v>
          </cell>
        </row>
        <row r="340">
          <cell r="V340">
            <v>194.20499999999998</v>
          </cell>
        </row>
        <row r="341">
          <cell r="V341">
            <v>194.20499999999998</v>
          </cell>
        </row>
        <row r="342">
          <cell r="V342">
            <v>194.20499999999998</v>
          </cell>
        </row>
        <row r="343">
          <cell r="V343">
            <v>194.20499999999998</v>
          </cell>
        </row>
        <row r="344">
          <cell r="V344">
            <v>131.881</v>
          </cell>
        </row>
        <row r="345">
          <cell r="V345">
            <v>122.58</v>
          </cell>
        </row>
        <row r="346">
          <cell r="V346">
            <v>122.58</v>
          </cell>
        </row>
        <row r="347">
          <cell r="V347">
            <v>122.58</v>
          </cell>
        </row>
        <row r="348">
          <cell r="V348">
            <v>122.58</v>
          </cell>
        </row>
        <row r="349">
          <cell r="V349">
            <v>122.58</v>
          </cell>
        </row>
        <row r="350">
          <cell r="V350">
            <v>141.29300000000001</v>
          </cell>
        </row>
        <row r="351">
          <cell r="V351">
            <v>194.20499999999998</v>
          </cell>
        </row>
        <row r="352">
          <cell r="V352">
            <v>194.20499999999998</v>
          </cell>
        </row>
        <row r="353">
          <cell r="V353">
            <v>194.20499999999998</v>
          </cell>
        </row>
        <row r="354">
          <cell r="V354">
            <v>194.20499999999998</v>
          </cell>
        </row>
        <row r="355">
          <cell r="V355">
            <v>194.20499999999998</v>
          </cell>
        </row>
        <row r="356">
          <cell r="V356">
            <v>131.881</v>
          </cell>
        </row>
        <row r="357">
          <cell r="V357">
            <v>122.58</v>
          </cell>
        </row>
        <row r="358">
          <cell r="V358">
            <v>122.58</v>
          </cell>
        </row>
        <row r="359">
          <cell r="V359">
            <v>122.58</v>
          </cell>
        </row>
        <row r="360">
          <cell r="V360">
            <v>122.58</v>
          </cell>
        </row>
        <row r="361">
          <cell r="V361">
            <v>122.58</v>
          </cell>
        </row>
        <row r="362">
          <cell r="V362">
            <v>141.29300000000001</v>
          </cell>
        </row>
        <row r="363">
          <cell r="V363">
            <v>194.20499999999998</v>
          </cell>
        </row>
        <row r="364">
          <cell r="V364">
            <v>194.20499999999998</v>
          </cell>
        </row>
        <row r="365">
          <cell r="V365">
            <v>194.20499999999998</v>
          </cell>
        </row>
        <row r="366">
          <cell r="V366">
            <v>194.20499999999998</v>
          </cell>
        </row>
        <row r="367">
          <cell r="V367">
            <v>194.20499999999998</v>
          </cell>
        </row>
        <row r="368">
          <cell r="V368">
            <v>131.881</v>
          </cell>
        </row>
        <row r="369">
          <cell r="V369">
            <v>122.58</v>
          </cell>
        </row>
        <row r="370">
          <cell r="V370">
            <v>122.58</v>
          </cell>
        </row>
        <row r="371">
          <cell r="V371">
            <v>122.58</v>
          </cell>
        </row>
        <row r="372">
          <cell r="V372">
            <v>122.58</v>
          </cell>
        </row>
        <row r="373">
          <cell r="V373">
            <v>122.58</v>
          </cell>
        </row>
        <row r="374">
          <cell r="V374">
            <v>141.29300000000001</v>
          </cell>
        </row>
        <row r="375">
          <cell r="V375">
            <v>194.20499999999998</v>
          </cell>
        </row>
        <row r="376">
          <cell r="V376">
            <v>194.20499999999998</v>
          </cell>
        </row>
        <row r="377">
          <cell r="V377">
            <v>194.20499999999998</v>
          </cell>
        </row>
        <row r="378">
          <cell r="V378">
            <v>194.20499999999998</v>
          </cell>
        </row>
        <row r="379">
          <cell r="V379">
            <v>194.20499999999998</v>
          </cell>
        </row>
        <row r="380">
          <cell r="V380">
            <v>131.881</v>
          </cell>
        </row>
        <row r="381">
          <cell r="V381">
            <v>122.58</v>
          </cell>
        </row>
        <row r="382">
          <cell r="V382">
            <v>122.58</v>
          </cell>
        </row>
        <row r="383">
          <cell r="V383">
            <v>122.58</v>
          </cell>
        </row>
        <row r="384">
          <cell r="V384">
            <v>122.58</v>
          </cell>
        </row>
        <row r="385">
          <cell r="V385">
            <v>122.58</v>
          </cell>
        </row>
        <row r="386">
          <cell r="V386">
            <v>141.29300000000001</v>
          </cell>
        </row>
        <row r="387">
          <cell r="V387">
            <v>194.20499999999998</v>
          </cell>
        </row>
        <row r="388">
          <cell r="V388">
            <v>194.20499999999998</v>
          </cell>
        </row>
        <row r="389">
          <cell r="V389">
            <v>194.20499999999998</v>
          </cell>
        </row>
        <row r="390">
          <cell r="V390">
            <v>194.20499999999998</v>
          </cell>
        </row>
        <row r="391">
          <cell r="V391">
            <v>194.20499999999998</v>
          </cell>
        </row>
        <row r="392">
          <cell r="V392">
            <v>131.881</v>
          </cell>
        </row>
        <row r="393">
          <cell r="V393">
            <v>122.58</v>
          </cell>
        </row>
        <row r="394">
          <cell r="V394">
            <v>122.58</v>
          </cell>
        </row>
        <row r="395">
          <cell r="V395">
            <v>122.58</v>
          </cell>
        </row>
        <row r="396">
          <cell r="V396">
            <v>122.58</v>
          </cell>
        </row>
        <row r="397">
          <cell r="V397">
            <v>122.58</v>
          </cell>
        </row>
        <row r="398">
          <cell r="V398">
            <v>141.29300000000001</v>
          </cell>
        </row>
        <row r="399">
          <cell r="V399">
            <v>194.20499999999998</v>
          </cell>
        </row>
        <row r="400">
          <cell r="V400">
            <v>194.20499999999998</v>
          </cell>
        </row>
        <row r="401">
          <cell r="V401">
            <v>194.20499999999998</v>
          </cell>
        </row>
        <row r="402">
          <cell r="V402">
            <v>194.20499999999998</v>
          </cell>
        </row>
        <row r="403">
          <cell r="V403">
            <v>194.20499999999998</v>
          </cell>
        </row>
        <row r="404">
          <cell r="V404">
            <v>131.881</v>
          </cell>
        </row>
        <row r="405">
          <cell r="V405">
            <v>122.58</v>
          </cell>
        </row>
        <row r="406">
          <cell r="V406">
            <v>122.58</v>
          </cell>
        </row>
        <row r="407">
          <cell r="V407">
            <v>122.58</v>
          </cell>
        </row>
        <row r="408">
          <cell r="V408">
            <v>122.58</v>
          </cell>
        </row>
        <row r="409">
          <cell r="V409">
            <v>122.58</v>
          </cell>
        </row>
        <row r="410">
          <cell r="V410">
            <v>141.29300000000001</v>
          </cell>
        </row>
        <row r="411">
          <cell r="V411">
            <v>194.20499999999998</v>
          </cell>
        </row>
        <row r="412">
          <cell r="V412">
            <v>194.20499999999998</v>
          </cell>
        </row>
        <row r="413">
          <cell r="V413">
            <v>194.20499999999998</v>
          </cell>
        </row>
        <row r="414">
          <cell r="V414">
            <v>194.20499999999998</v>
          </cell>
        </row>
        <row r="415">
          <cell r="V415">
            <v>194.20499999999998</v>
          </cell>
        </row>
        <row r="416">
          <cell r="V416">
            <v>131.881</v>
          </cell>
        </row>
        <row r="417">
          <cell r="V417">
            <v>122.58</v>
          </cell>
        </row>
        <row r="418">
          <cell r="V418">
            <v>122.58</v>
          </cell>
        </row>
        <row r="419">
          <cell r="V419">
            <v>122.58</v>
          </cell>
        </row>
        <row r="420">
          <cell r="V420">
            <v>122.58</v>
          </cell>
        </row>
        <row r="421">
          <cell r="V421">
            <v>122.58</v>
          </cell>
        </row>
        <row r="422">
          <cell r="V422">
            <v>141.29300000000001</v>
          </cell>
        </row>
        <row r="423">
          <cell r="V423">
            <v>194.20499999999998</v>
          </cell>
        </row>
        <row r="424">
          <cell r="V424">
            <v>194.20499999999998</v>
          </cell>
        </row>
        <row r="425">
          <cell r="V425">
            <v>194.20499999999998</v>
          </cell>
        </row>
        <row r="426">
          <cell r="V426">
            <v>194.20499999999998</v>
          </cell>
        </row>
        <row r="427">
          <cell r="V427">
            <v>194.20499999999998</v>
          </cell>
        </row>
        <row r="428">
          <cell r="V428">
            <v>131.881</v>
          </cell>
        </row>
        <row r="429">
          <cell r="V429">
            <v>122.58</v>
          </cell>
        </row>
        <row r="430">
          <cell r="V430">
            <v>122.58</v>
          </cell>
        </row>
        <row r="431">
          <cell r="V431">
            <v>122.58</v>
          </cell>
        </row>
        <row r="432">
          <cell r="V432">
            <v>122.58</v>
          </cell>
        </row>
        <row r="433">
          <cell r="V433">
            <v>122.58</v>
          </cell>
        </row>
        <row r="434">
          <cell r="V434">
            <v>141.29300000000001</v>
          </cell>
        </row>
        <row r="435">
          <cell r="V435">
            <v>194.20499999999998</v>
          </cell>
        </row>
        <row r="436">
          <cell r="V436">
            <v>194.20499999999998</v>
          </cell>
        </row>
        <row r="437">
          <cell r="V437">
            <v>194.20499999999998</v>
          </cell>
        </row>
        <row r="438">
          <cell r="V438">
            <v>194.20499999999998</v>
          </cell>
        </row>
        <row r="439">
          <cell r="V439">
            <v>194.20499999999998</v>
          </cell>
        </row>
        <row r="440">
          <cell r="V440">
            <v>131.881</v>
          </cell>
        </row>
        <row r="441">
          <cell r="V441">
            <v>122.58</v>
          </cell>
        </row>
        <row r="442">
          <cell r="V442">
            <v>122.58</v>
          </cell>
        </row>
        <row r="443">
          <cell r="V443">
            <v>122.58</v>
          </cell>
        </row>
        <row r="444">
          <cell r="V444">
            <v>122.58</v>
          </cell>
        </row>
        <row r="445">
          <cell r="V445">
            <v>122.58</v>
          </cell>
        </row>
        <row r="446">
          <cell r="V446">
            <v>141.29300000000001</v>
          </cell>
        </row>
        <row r="447">
          <cell r="V447">
            <v>194.20499999999998</v>
          </cell>
        </row>
        <row r="448">
          <cell r="V448">
            <v>194.20499999999998</v>
          </cell>
        </row>
        <row r="449">
          <cell r="V449">
            <v>194.20499999999998</v>
          </cell>
        </row>
        <row r="450">
          <cell r="V450">
            <v>194.20499999999998</v>
          </cell>
        </row>
        <row r="451">
          <cell r="V451">
            <v>194.20499999999998</v>
          </cell>
        </row>
        <row r="452">
          <cell r="V452">
            <v>131.881</v>
          </cell>
        </row>
        <row r="453">
          <cell r="V453">
            <v>122.58</v>
          </cell>
        </row>
        <row r="454">
          <cell r="V454">
            <v>122.58</v>
          </cell>
        </row>
        <row r="455">
          <cell r="V455">
            <v>122.58</v>
          </cell>
        </row>
        <row r="456">
          <cell r="V456">
            <v>122.58</v>
          </cell>
        </row>
        <row r="457">
          <cell r="V457">
            <v>122.58</v>
          </cell>
        </row>
        <row r="458">
          <cell r="V458">
            <v>141.29300000000001</v>
          </cell>
        </row>
        <row r="459">
          <cell r="V459">
            <v>194.20499999999998</v>
          </cell>
        </row>
        <row r="460">
          <cell r="V460">
            <v>194.20499999999998</v>
          </cell>
        </row>
        <row r="461">
          <cell r="V461">
            <v>194.20499999999998</v>
          </cell>
        </row>
        <row r="462">
          <cell r="V462">
            <v>194.20499999999998</v>
          </cell>
        </row>
        <row r="463">
          <cell r="V463">
            <v>194.20499999999998</v>
          </cell>
        </row>
        <row r="464">
          <cell r="V464">
            <v>131.881</v>
          </cell>
        </row>
        <row r="465">
          <cell r="V465">
            <v>122.58</v>
          </cell>
        </row>
        <row r="466">
          <cell r="V466">
            <v>122.58</v>
          </cell>
        </row>
        <row r="467">
          <cell r="V467">
            <v>122.58</v>
          </cell>
        </row>
        <row r="468">
          <cell r="V468">
            <v>122.58</v>
          </cell>
        </row>
        <row r="469">
          <cell r="V469">
            <v>122.58</v>
          </cell>
        </row>
        <row r="470">
          <cell r="V470">
            <v>141.29300000000001</v>
          </cell>
        </row>
        <row r="471">
          <cell r="V471">
            <v>194.20499999999998</v>
          </cell>
        </row>
        <row r="472">
          <cell r="V472">
            <v>194.20499999999998</v>
          </cell>
        </row>
        <row r="473">
          <cell r="V473">
            <v>194.20499999999998</v>
          </cell>
        </row>
        <row r="474">
          <cell r="V474">
            <v>194.20499999999998</v>
          </cell>
        </row>
        <row r="475">
          <cell r="V475">
            <v>194.20499999999998</v>
          </cell>
        </row>
        <row r="476">
          <cell r="V476">
            <v>131.881</v>
          </cell>
        </row>
        <row r="477">
          <cell r="V477">
            <v>122.58</v>
          </cell>
        </row>
        <row r="478">
          <cell r="V478">
            <v>122.58</v>
          </cell>
        </row>
        <row r="479">
          <cell r="V479">
            <v>122.58</v>
          </cell>
        </row>
        <row r="480">
          <cell r="V480">
            <v>122.58</v>
          </cell>
        </row>
        <row r="481">
          <cell r="V481">
            <v>122.58</v>
          </cell>
        </row>
        <row r="482">
          <cell r="V482">
            <v>141.29300000000001</v>
          </cell>
        </row>
        <row r="483">
          <cell r="V483">
            <v>194.20499999999998</v>
          </cell>
        </row>
        <row r="484">
          <cell r="V484">
            <v>194.20499999999998</v>
          </cell>
        </row>
        <row r="485">
          <cell r="V485">
            <v>194.20499999999998</v>
          </cell>
        </row>
        <row r="486">
          <cell r="V486">
            <v>194.20499999999998</v>
          </cell>
        </row>
        <row r="487">
          <cell r="V487">
            <v>194.20499999999998</v>
          </cell>
        </row>
        <row r="488">
          <cell r="V488">
            <v>131.881</v>
          </cell>
        </row>
        <row r="489">
          <cell r="V489">
            <v>122.58</v>
          </cell>
        </row>
        <row r="490">
          <cell r="V490">
            <v>122.58</v>
          </cell>
        </row>
        <row r="491">
          <cell r="V491">
            <v>122.58</v>
          </cell>
        </row>
        <row r="492">
          <cell r="V492">
            <v>122.58</v>
          </cell>
        </row>
        <row r="493">
          <cell r="V493">
            <v>122.58</v>
          </cell>
        </row>
        <row r="494">
          <cell r="V494">
            <v>141.29300000000001</v>
          </cell>
        </row>
        <row r="495">
          <cell r="V495">
            <v>194.20499999999998</v>
          </cell>
        </row>
        <row r="496">
          <cell r="V496">
            <v>194.20499999999998</v>
          </cell>
        </row>
        <row r="497">
          <cell r="V497">
            <v>194.20499999999998</v>
          </cell>
        </row>
        <row r="498">
          <cell r="V498">
            <v>194.20499999999998</v>
          </cell>
        </row>
        <row r="499">
          <cell r="V499">
            <v>194.20499999999998</v>
          </cell>
        </row>
        <row r="500">
          <cell r="V500">
            <v>131.881</v>
          </cell>
        </row>
        <row r="501">
          <cell r="V501">
            <v>122.58</v>
          </cell>
        </row>
        <row r="502">
          <cell r="V502">
            <v>122.58</v>
          </cell>
        </row>
        <row r="503">
          <cell r="V503">
            <v>122.58</v>
          </cell>
        </row>
        <row r="504">
          <cell r="V504">
            <v>122.58</v>
          </cell>
        </row>
        <row r="505">
          <cell r="V505">
            <v>122.58</v>
          </cell>
        </row>
        <row r="506">
          <cell r="V506">
            <v>141.29300000000001</v>
          </cell>
        </row>
        <row r="507">
          <cell r="V507">
            <v>194.20499999999998</v>
          </cell>
        </row>
        <row r="508">
          <cell r="V508">
            <v>194.20499999999998</v>
          </cell>
        </row>
        <row r="509">
          <cell r="V509">
            <v>194.20499999999998</v>
          </cell>
        </row>
        <row r="510">
          <cell r="V510">
            <v>194.20499999999998</v>
          </cell>
        </row>
        <row r="511">
          <cell r="V511">
            <v>194.20499999999998</v>
          </cell>
        </row>
        <row r="512">
          <cell r="V512">
            <v>131.881</v>
          </cell>
        </row>
        <row r="513">
          <cell r="V513">
            <v>122.58</v>
          </cell>
        </row>
        <row r="514">
          <cell r="V514">
            <v>122.58</v>
          </cell>
        </row>
        <row r="515">
          <cell r="V515">
            <v>122.58</v>
          </cell>
        </row>
        <row r="516">
          <cell r="V516">
            <v>122.58</v>
          </cell>
        </row>
        <row r="517">
          <cell r="V517">
            <v>122.58</v>
          </cell>
        </row>
        <row r="518">
          <cell r="V518">
            <v>141.29300000000001</v>
          </cell>
        </row>
        <row r="519">
          <cell r="V519">
            <v>194.20499999999998</v>
          </cell>
        </row>
        <row r="520">
          <cell r="V520">
            <v>194.20499999999998</v>
          </cell>
        </row>
        <row r="521">
          <cell r="V521">
            <v>194.20499999999998</v>
          </cell>
        </row>
        <row r="522">
          <cell r="V522">
            <v>194.20499999999998</v>
          </cell>
        </row>
        <row r="523">
          <cell r="V523">
            <v>194.20499999999998</v>
          </cell>
        </row>
        <row r="524">
          <cell r="V524">
            <v>131.881</v>
          </cell>
        </row>
        <row r="525">
          <cell r="V525">
            <v>122.58</v>
          </cell>
        </row>
        <row r="526">
          <cell r="V526">
            <v>122.58</v>
          </cell>
        </row>
        <row r="527">
          <cell r="V527">
            <v>122.58</v>
          </cell>
        </row>
        <row r="528">
          <cell r="V528">
            <v>122.58</v>
          </cell>
        </row>
        <row r="529">
          <cell r="V529">
            <v>122.58</v>
          </cell>
        </row>
        <row r="530">
          <cell r="V530">
            <v>141.29300000000001</v>
          </cell>
        </row>
        <row r="531">
          <cell r="V531">
            <v>194.20499999999998</v>
          </cell>
        </row>
        <row r="532">
          <cell r="V532">
            <v>194.20499999999998</v>
          </cell>
        </row>
        <row r="533">
          <cell r="V533">
            <v>194.20499999999998</v>
          </cell>
        </row>
        <row r="534">
          <cell r="V534">
            <v>194.20499999999998</v>
          </cell>
        </row>
        <row r="535">
          <cell r="V535">
            <v>194.20499999999998</v>
          </cell>
        </row>
        <row r="536">
          <cell r="V536">
            <v>131.881</v>
          </cell>
        </row>
        <row r="537">
          <cell r="V537">
            <v>122.58</v>
          </cell>
        </row>
        <row r="538">
          <cell r="V538">
            <v>122.58</v>
          </cell>
        </row>
        <row r="539">
          <cell r="V539">
            <v>122.58</v>
          </cell>
        </row>
        <row r="540">
          <cell r="V540">
            <v>122.58</v>
          </cell>
        </row>
        <row r="541">
          <cell r="V541">
            <v>122.58</v>
          </cell>
        </row>
        <row r="542">
          <cell r="V542">
            <v>141.29300000000001</v>
          </cell>
        </row>
        <row r="543">
          <cell r="V543">
            <v>194.20499999999998</v>
          </cell>
        </row>
        <row r="544">
          <cell r="V544">
            <v>194.20499999999998</v>
          </cell>
        </row>
        <row r="545">
          <cell r="V545">
            <v>194.20499999999998</v>
          </cell>
        </row>
        <row r="546">
          <cell r="V546">
            <v>194.20499999999998</v>
          </cell>
        </row>
        <row r="547">
          <cell r="V547">
            <v>194.20499999999998</v>
          </cell>
        </row>
        <row r="548">
          <cell r="V548">
            <v>131.881</v>
          </cell>
        </row>
        <row r="549">
          <cell r="V549">
            <v>122.58</v>
          </cell>
        </row>
        <row r="550">
          <cell r="V550">
            <v>122.58</v>
          </cell>
        </row>
        <row r="551">
          <cell r="V551">
            <v>122.58</v>
          </cell>
        </row>
        <row r="552">
          <cell r="V552">
            <v>122.58</v>
          </cell>
        </row>
        <row r="553">
          <cell r="V553">
            <v>122.58</v>
          </cell>
        </row>
        <row r="554">
          <cell r="V554">
            <v>141.29300000000001</v>
          </cell>
        </row>
        <row r="555">
          <cell r="V555">
            <v>194.20499999999998</v>
          </cell>
        </row>
        <row r="556">
          <cell r="V556">
            <v>194.20499999999998</v>
          </cell>
        </row>
        <row r="557">
          <cell r="V557">
            <v>194.20499999999998</v>
          </cell>
        </row>
        <row r="558">
          <cell r="V558">
            <v>194.20499999999998</v>
          </cell>
        </row>
        <row r="559">
          <cell r="V559">
            <v>194.20499999999998</v>
          </cell>
        </row>
        <row r="560">
          <cell r="V560">
            <v>131.881</v>
          </cell>
        </row>
        <row r="561">
          <cell r="V561">
            <v>122.58</v>
          </cell>
        </row>
        <row r="562">
          <cell r="V562">
            <v>122.58</v>
          </cell>
        </row>
        <row r="563">
          <cell r="V563">
            <v>122.58</v>
          </cell>
        </row>
        <row r="564">
          <cell r="V564">
            <v>122.58</v>
          </cell>
        </row>
        <row r="565">
          <cell r="V565">
            <v>122.58</v>
          </cell>
        </row>
        <row r="566">
          <cell r="V566">
            <v>141.29300000000001</v>
          </cell>
        </row>
        <row r="567">
          <cell r="V567">
            <v>194.20499999999998</v>
          </cell>
        </row>
        <row r="568">
          <cell r="V568">
            <v>194.20499999999998</v>
          </cell>
        </row>
        <row r="569">
          <cell r="V569">
            <v>194.20499999999998</v>
          </cell>
        </row>
        <row r="570">
          <cell r="V570">
            <v>194.20499999999998</v>
          </cell>
        </row>
        <row r="571">
          <cell r="V571">
            <v>194.20499999999998</v>
          </cell>
        </row>
        <row r="572">
          <cell r="V572">
            <v>131.881</v>
          </cell>
        </row>
        <row r="573">
          <cell r="V573">
            <v>122.58</v>
          </cell>
        </row>
        <row r="574">
          <cell r="V574">
            <v>122.58</v>
          </cell>
        </row>
        <row r="575">
          <cell r="V575">
            <v>122.58</v>
          </cell>
        </row>
        <row r="576">
          <cell r="V576">
            <v>122.58</v>
          </cell>
        </row>
        <row r="577">
          <cell r="V577">
            <v>122.58</v>
          </cell>
        </row>
        <row r="578">
          <cell r="V578">
            <v>141.29300000000001</v>
          </cell>
        </row>
        <row r="579">
          <cell r="V579">
            <v>194.20499999999998</v>
          </cell>
        </row>
        <row r="580">
          <cell r="V580">
            <v>194.20499999999998</v>
          </cell>
        </row>
        <row r="581">
          <cell r="V581">
            <v>194.20499999999998</v>
          </cell>
        </row>
        <row r="582">
          <cell r="V582">
            <v>194.20499999999998</v>
          </cell>
        </row>
        <row r="583">
          <cell r="V583">
            <v>194.20499999999998</v>
          </cell>
        </row>
        <row r="584">
          <cell r="V584">
            <v>131.881</v>
          </cell>
        </row>
        <row r="585">
          <cell r="V585">
            <v>122.58</v>
          </cell>
        </row>
        <row r="586">
          <cell r="V586">
            <v>122.58</v>
          </cell>
        </row>
        <row r="587">
          <cell r="V587">
            <v>122.58</v>
          </cell>
        </row>
        <row r="588">
          <cell r="V588">
            <v>122.58</v>
          </cell>
        </row>
        <row r="589">
          <cell r="V589">
            <v>122.58</v>
          </cell>
        </row>
        <row r="590">
          <cell r="V590">
            <v>141.29300000000001</v>
          </cell>
        </row>
        <row r="591">
          <cell r="V591">
            <v>194.20499999999998</v>
          </cell>
        </row>
        <row r="592">
          <cell r="V592">
            <v>194.20499999999998</v>
          </cell>
        </row>
        <row r="593">
          <cell r="V593">
            <v>194.20499999999998</v>
          </cell>
        </row>
        <row r="594">
          <cell r="V594">
            <v>194.20499999999998</v>
          </cell>
        </row>
        <row r="595">
          <cell r="V595">
            <v>194.20499999999998</v>
          </cell>
        </row>
        <row r="596">
          <cell r="V596">
            <v>131.881</v>
          </cell>
        </row>
        <row r="597">
          <cell r="V597">
            <v>122.58</v>
          </cell>
        </row>
        <row r="598">
          <cell r="V598">
            <v>122.58</v>
          </cell>
        </row>
        <row r="599">
          <cell r="V599">
            <v>122.58</v>
          </cell>
        </row>
        <row r="600">
          <cell r="V600">
            <v>122.58</v>
          </cell>
        </row>
        <row r="601">
          <cell r="V601">
            <v>122.58</v>
          </cell>
        </row>
        <row r="602">
          <cell r="V602">
            <v>141.29300000000001</v>
          </cell>
        </row>
        <row r="603">
          <cell r="V603">
            <v>194.20499999999998</v>
          </cell>
        </row>
        <row r="604">
          <cell r="V604">
            <v>194.20499999999998</v>
          </cell>
        </row>
        <row r="605">
          <cell r="V605">
            <v>194.20499999999998</v>
          </cell>
        </row>
        <row r="606">
          <cell r="V606">
            <v>194.20499999999998</v>
          </cell>
        </row>
        <row r="607">
          <cell r="V607">
            <v>194.20499999999998</v>
          </cell>
        </row>
        <row r="608">
          <cell r="V608">
            <v>131.881</v>
          </cell>
        </row>
        <row r="609">
          <cell r="V609">
            <v>122.58</v>
          </cell>
        </row>
        <row r="610">
          <cell r="V610">
            <v>122.58</v>
          </cell>
        </row>
        <row r="611">
          <cell r="V611">
            <v>122.58</v>
          </cell>
        </row>
        <row r="612">
          <cell r="V612">
            <v>122.58</v>
          </cell>
        </row>
        <row r="613">
          <cell r="V613">
            <v>122.58</v>
          </cell>
        </row>
        <row r="614">
          <cell r="V614">
            <v>141.29300000000001</v>
          </cell>
        </row>
        <row r="615">
          <cell r="V615">
            <v>194.20499999999998</v>
          </cell>
        </row>
        <row r="616">
          <cell r="V616">
            <v>194.20499999999998</v>
          </cell>
        </row>
        <row r="617">
          <cell r="V617">
            <v>194.20499999999998</v>
          </cell>
        </row>
        <row r="618">
          <cell r="V618">
            <v>194.20499999999998</v>
          </cell>
        </row>
        <row r="619">
          <cell r="V619">
            <v>194.20499999999998</v>
          </cell>
        </row>
        <row r="620">
          <cell r="V620">
            <v>131.881</v>
          </cell>
        </row>
        <row r="621">
          <cell r="V621">
            <v>122.58</v>
          </cell>
        </row>
        <row r="622">
          <cell r="V622">
            <v>122.58</v>
          </cell>
        </row>
        <row r="623">
          <cell r="V623">
            <v>122.58</v>
          </cell>
        </row>
        <row r="624">
          <cell r="V624">
            <v>122.58</v>
          </cell>
        </row>
        <row r="625">
          <cell r="V625">
            <v>122.58</v>
          </cell>
        </row>
        <row r="626">
          <cell r="V626">
            <v>141.29300000000001</v>
          </cell>
        </row>
        <row r="627">
          <cell r="V627">
            <v>194.20499999999998</v>
          </cell>
        </row>
        <row r="628">
          <cell r="V628">
            <v>194.20499999999998</v>
          </cell>
        </row>
        <row r="629">
          <cell r="V629">
            <v>194.20499999999998</v>
          </cell>
        </row>
        <row r="630">
          <cell r="V630">
            <v>194.20499999999998</v>
          </cell>
        </row>
        <row r="631">
          <cell r="V631">
            <v>194.20499999999998</v>
          </cell>
        </row>
        <row r="632">
          <cell r="V632">
            <v>131.881</v>
          </cell>
        </row>
        <row r="633">
          <cell r="V633">
            <v>122.58</v>
          </cell>
        </row>
        <row r="634">
          <cell r="V634">
            <v>122.58</v>
          </cell>
        </row>
        <row r="635">
          <cell r="V635">
            <v>122.58</v>
          </cell>
        </row>
        <row r="636">
          <cell r="V636">
            <v>122.58</v>
          </cell>
        </row>
        <row r="637">
          <cell r="V637">
            <v>122.58</v>
          </cell>
        </row>
        <row r="638">
          <cell r="V638">
            <v>141.29300000000001</v>
          </cell>
        </row>
        <row r="639">
          <cell r="V639">
            <v>194.20499999999998</v>
          </cell>
        </row>
        <row r="640">
          <cell r="V640">
            <v>194.20499999999998</v>
          </cell>
        </row>
        <row r="641">
          <cell r="V641">
            <v>194.20499999999998</v>
          </cell>
        </row>
        <row r="642">
          <cell r="V642">
            <v>194.20499999999998</v>
          </cell>
        </row>
        <row r="643">
          <cell r="V643">
            <v>194.20499999999998</v>
          </cell>
        </row>
        <row r="644">
          <cell r="V644">
            <v>131.881</v>
          </cell>
        </row>
        <row r="645">
          <cell r="V645">
            <v>122.58</v>
          </cell>
        </row>
        <row r="646">
          <cell r="V646">
            <v>122.58</v>
          </cell>
        </row>
        <row r="647">
          <cell r="V647">
            <v>122.58</v>
          </cell>
        </row>
        <row r="648">
          <cell r="V648">
            <v>122.58</v>
          </cell>
        </row>
        <row r="649">
          <cell r="V649">
            <v>122.58</v>
          </cell>
        </row>
        <row r="650">
          <cell r="V650">
            <v>141.29300000000001</v>
          </cell>
        </row>
        <row r="651">
          <cell r="V651">
            <v>194.20499999999998</v>
          </cell>
        </row>
        <row r="652">
          <cell r="V652">
            <v>194.20499999999998</v>
          </cell>
        </row>
        <row r="653">
          <cell r="V653">
            <v>194.20499999999998</v>
          </cell>
        </row>
        <row r="654">
          <cell r="V654">
            <v>194.20499999999998</v>
          </cell>
        </row>
        <row r="655">
          <cell r="V655">
            <v>194.20499999999998</v>
          </cell>
        </row>
        <row r="656">
          <cell r="V656">
            <v>131.881</v>
          </cell>
        </row>
        <row r="657">
          <cell r="V657">
            <v>122.58</v>
          </cell>
        </row>
        <row r="658">
          <cell r="V658">
            <v>122.58</v>
          </cell>
        </row>
        <row r="659">
          <cell r="V659">
            <v>122.58</v>
          </cell>
        </row>
        <row r="660">
          <cell r="V660">
            <v>122.58</v>
          </cell>
        </row>
        <row r="661">
          <cell r="V661">
            <v>122.58</v>
          </cell>
        </row>
        <row r="662">
          <cell r="V662">
            <v>141.29300000000001</v>
          </cell>
        </row>
        <row r="663">
          <cell r="V663">
            <v>194.20499999999998</v>
          </cell>
        </row>
        <row r="664">
          <cell r="V664">
            <v>194.20499999999998</v>
          </cell>
        </row>
        <row r="665">
          <cell r="V665">
            <v>194.20499999999998</v>
          </cell>
        </row>
        <row r="666">
          <cell r="V666">
            <v>194.20499999999998</v>
          </cell>
        </row>
        <row r="667">
          <cell r="V667">
            <v>194.20499999999998</v>
          </cell>
        </row>
        <row r="668">
          <cell r="V668">
            <v>131.881</v>
          </cell>
        </row>
        <row r="669">
          <cell r="V669">
            <v>122.58</v>
          </cell>
        </row>
        <row r="670">
          <cell r="V670">
            <v>122.58</v>
          </cell>
        </row>
        <row r="671">
          <cell r="V671">
            <v>122.58</v>
          </cell>
        </row>
        <row r="672">
          <cell r="V672">
            <v>122.58</v>
          </cell>
        </row>
        <row r="673">
          <cell r="V673">
            <v>122.58</v>
          </cell>
        </row>
        <row r="674">
          <cell r="V674">
            <v>141.29300000000001</v>
          </cell>
        </row>
        <row r="675">
          <cell r="V675">
            <v>194.20499999999998</v>
          </cell>
        </row>
        <row r="676">
          <cell r="V676">
            <v>194.20499999999998</v>
          </cell>
        </row>
        <row r="677">
          <cell r="V677">
            <v>194.20499999999998</v>
          </cell>
        </row>
        <row r="678">
          <cell r="V678">
            <v>194.20499999999998</v>
          </cell>
        </row>
        <row r="679">
          <cell r="V679">
            <v>194.20499999999998</v>
          </cell>
        </row>
        <row r="680">
          <cell r="V680">
            <v>131.881</v>
          </cell>
        </row>
        <row r="681">
          <cell r="V681">
            <v>122.58</v>
          </cell>
        </row>
        <row r="682">
          <cell r="V682">
            <v>122.58</v>
          </cell>
        </row>
        <row r="683">
          <cell r="V683">
            <v>122.58</v>
          </cell>
        </row>
        <row r="684">
          <cell r="V684">
            <v>122.58</v>
          </cell>
        </row>
        <row r="685">
          <cell r="V685">
            <v>122.58</v>
          </cell>
        </row>
        <row r="686">
          <cell r="V686">
            <v>141.29300000000001</v>
          </cell>
        </row>
        <row r="687">
          <cell r="V687">
            <v>194.20499999999998</v>
          </cell>
        </row>
        <row r="688">
          <cell r="V688">
            <v>194.20499999999998</v>
          </cell>
        </row>
        <row r="689">
          <cell r="V689">
            <v>194.20499999999998</v>
          </cell>
        </row>
        <row r="690">
          <cell r="V690">
            <v>194.20499999999998</v>
          </cell>
        </row>
        <row r="691">
          <cell r="V691">
            <v>194.20499999999998</v>
          </cell>
        </row>
        <row r="692">
          <cell r="V692">
            <v>131.881</v>
          </cell>
        </row>
        <row r="693">
          <cell r="V693">
            <v>122.58</v>
          </cell>
        </row>
        <row r="694">
          <cell r="V694">
            <v>122.58</v>
          </cell>
        </row>
        <row r="695">
          <cell r="V695">
            <v>122.58</v>
          </cell>
        </row>
        <row r="696">
          <cell r="V696">
            <v>122.58</v>
          </cell>
        </row>
        <row r="697">
          <cell r="V697">
            <v>122.58</v>
          </cell>
        </row>
        <row r="698">
          <cell r="V698">
            <v>141.29300000000001</v>
          </cell>
        </row>
        <row r="699">
          <cell r="V699">
            <v>194.20499999999998</v>
          </cell>
        </row>
        <row r="700">
          <cell r="V700">
            <v>194.20499999999998</v>
          </cell>
        </row>
        <row r="701">
          <cell r="V701">
            <v>194.20499999999998</v>
          </cell>
        </row>
        <row r="702">
          <cell r="V702">
            <v>194.20499999999998</v>
          </cell>
        </row>
        <row r="703">
          <cell r="V703">
            <v>194.20499999999998</v>
          </cell>
        </row>
        <row r="704">
          <cell r="V704">
            <v>131.881</v>
          </cell>
        </row>
        <row r="705">
          <cell r="V705">
            <v>122.58</v>
          </cell>
        </row>
        <row r="706">
          <cell r="V706">
            <v>122.58</v>
          </cell>
        </row>
        <row r="707">
          <cell r="V707">
            <v>122.58</v>
          </cell>
        </row>
        <row r="708">
          <cell r="V708">
            <v>122.58</v>
          </cell>
        </row>
        <row r="709">
          <cell r="V709">
            <v>122.58</v>
          </cell>
        </row>
        <row r="710">
          <cell r="V710">
            <v>141.29300000000001</v>
          </cell>
        </row>
        <row r="711">
          <cell r="V711">
            <v>194.20499999999998</v>
          </cell>
        </row>
        <row r="712">
          <cell r="V712">
            <v>194.20499999999998</v>
          </cell>
        </row>
        <row r="713">
          <cell r="V713">
            <v>194.20499999999998</v>
          </cell>
        </row>
        <row r="714">
          <cell r="V714">
            <v>194.20499999999998</v>
          </cell>
        </row>
        <row r="715">
          <cell r="V715">
            <v>194.20499999999998</v>
          </cell>
        </row>
        <row r="716">
          <cell r="V716">
            <v>131.881</v>
          </cell>
        </row>
        <row r="717">
          <cell r="V717">
            <v>122.58</v>
          </cell>
        </row>
        <row r="718">
          <cell r="V718">
            <v>122.58</v>
          </cell>
        </row>
        <row r="719">
          <cell r="V719">
            <v>122.58</v>
          </cell>
        </row>
        <row r="720">
          <cell r="V720">
            <v>122.58</v>
          </cell>
        </row>
        <row r="721">
          <cell r="V721">
            <v>122.58</v>
          </cell>
        </row>
        <row r="722">
          <cell r="V722">
            <v>141.29300000000001</v>
          </cell>
        </row>
        <row r="723">
          <cell r="V723">
            <v>194.20499999999998</v>
          </cell>
        </row>
        <row r="724">
          <cell r="V724">
            <v>194.20499999999998</v>
          </cell>
        </row>
        <row r="725">
          <cell r="V725">
            <v>194.20499999999998</v>
          </cell>
        </row>
        <row r="726">
          <cell r="V726">
            <v>194.20499999999998</v>
          </cell>
        </row>
        <row r="727">
          <cell r="V727">
            <v>194.20499999999998</v>
          </cell>
        </row>
        <row r="728">
          <cell r="V728">
            <v>131.881</v>
          </cell>
        </row>
        <row r="729">
          <cell r="V729">
            <v>122.58</v>
          </cell>
        </row>
        <row r="730">
          <cell r="V730">
            <v>122.58</v>
          </cell>
        </row>
        <row r="731">
          <cell r="V731">
            <v>122.58</v>
          </cell>
        </row>
        <row r="732">
          <cell r="V732">
            <v>122.58</v>
          </cell>
        </row>
        <row r="733">
          <cell r="V733">
            <v>122.58</v>
          </cell>
        </row>
        <row r="734">
          <cell r="V734">
            <v>141.29300000000001</v>
          </cell>
        </row>
        <row r="735">
          <cell r="V735">
            <v>194.20499999999998</v>
          </cell>
        </row>
        <row r="736">
          <cell r="V736">
            <v>194.20499999999998</v>
          </cell>
        </row>
        <row r="737">
          <cell r="V737">
            <v>194.20499999999998</v>
          </cell>
        </row>
        <row r="738">
          <cell r="V738">
            <v>194.20499999999998</v>
          </cell>
        </row>
        <row r="739">
          <cell r="V739">
            <v>194.20499999999998</v>
          </cell>
        </row>
        <row r="740">
          <cell r="V740">
            <v>131.881</v>
          </cell>
        </row>
        <row r="741">
          <cell r="V741">
            <v>122.58</v>
          </cell>
        </row>
        <row r="742">
          <cell r="V742">
            <v>122.58</v>
          </cell>
        </row>
        <row r="743">
          <cell r="V743">
            <v>122.58</v>
          </cell>
        </row>
        <row r="744">
          <cell r="V744">
            <v>122.58</v>
          </cell>
        </row>
        <row r="745">
          <cell r="V745">
            <v>122.58</v>
          </cell>
        </row>
        <row r="746">
          <cell r="V746">
            <v>141.29300000000001</v>
          </cell>
        </row>
        <row r="747">
          <cell r="V747">
            <v>194.20499999999998</v>
          </cell>
        </row>
        <row r="748">
          <cell r="V748">
            <v>194.20499999999998</v>
          </cell>
        </row>
        <row r="749">
          <cell r="V749">
            <v>194.20499999999998</v>
          </cell>
        </row>
        <row r="750">
          <cell r="V750">
            <v>194.20499999999998</v>
          </cell>
        </row>
        <row r="751">
          <cell r="V751">
            <v>194.20499999999998</v>
          </cell>
        </row>
        <row r="752">
          <cell r="V752">
            <v>131.881</v>
          </cell>
        </row>
        <row r="753">
          <cell r="V753">
            <v>122.58</v>
          </cell>
        </row>
        <row r="754">
          <cell r="V754">
            <v>122.58</v>
          </cell>
        </row>
        <row r="755">
          <cell r="V755">
            <v>122.58</v>
          </cell>
        </row>
        <row r="756">
          <cell r="V756">
            <v>122.58</v>
          </cell>
        </row>
        <row r="757">
          <cell r="V757">
            <v>122.58</v>
          </cell>
        </row>
        <row r="758">
          <cell r="V758">
            <v>141.29300000000001</v>
          </cell>
        </row>
        <row r="759">
          <cell r="V759">
            <v>194.20499999999998</v>
          </cell>
        </row>
        <row r="760">
          <cell r="V760">
            <v>194.20499999999998</v>
          </cell>
        </row>
        <row r="761">
          <cell r="V761">
            <v>194.20499999999998</v>
          </cell>
        </row>
        <row r="762">
          <cell r="V762">
            <v>194.20499999999998</v>
          </cell>
        </row>
        <row r="763">
          <cell r="V763">
            <v>194.20499999999998</v>
          </cell>
        </row>
        <row r="764">
          <cell r="V764">
            <v>131.881</v>
          </cell>
        </row>
        <row r="765">
          <cell r="V765">
            <v>122.58</v>
          </cell>
        </row>
        <row r="766">
          <cell r="V766">
            <v>122.58</v>
          </cell>
        </row>
        <row r="767">
          <cell r="V767">
            <v>122.58</v>
          </cell>
        </row>
        <row r="768">
          <cell r="V768">
            <v>122.58</v>
          </cell>
        </row>
        <row r="769">
          <cell r="V769">
            <v>122.58</v>
          </cell>
        </row>
        <row r="770">
          <cell r="V770">
            <v>141.29300000000001</v>
          </cell>
        </row>
        <row r="771">
          <cell r="V771">
            <v>194.20499999999998</v>
          </cell>
        </row>
        <row r="772">
          <cell r="V772">
            <v>194.20499999999998</v>
          </cell>
        </row>
        <row r="773">
          <cell r="V773">
            <v>194.20499999999998</v>
          </cell>
        </row>
        <row r="774">
          <cell r="V774">
            <v>194.20499999999998</v>
          </cell>
        </row>
        <row r="775">
          <cell r="V775">
            <v>194.20499999999998</v>
          </cell>
        </row>
        <row r="776">
          <cell r="V776">
            <v>131.881</v>
          </cell>
        </row>
        <row r="777">
          <cell r="V777">
            <v>122.58</v>
          </cell>
        </row>
        <row r="778">
          <cell r="V778">
            <v>122.58</v>
          </cell>
        </row>
        <row r="779">
          <cell r="V779">
            <v>122.58</v>
          </cell>
        </row>
        <row r="780">
          <cell r="V780">
            <v>122.58</v>
          </cell>
        </row>
        <row r="781">
          <cell r="V781">
            <v>122.58</v>
          </cell>
        </row>
        <row r="782">
          <cell r="V782">
            <v>141.29300000000001</v>
          </cell>
        </row>
        <row r="783">
          <cell r="V783">
            <v>194.20499999999998</v>
          </cell>
        </row>
        <row r="784">
          <cell r="V784">
            <v>194.20499999999998</v>
          </cell>
        </row>
        <row r="785">
          <cell r="V785">
            <v>194.20499999999998</v>
          </cell>
        </row>
        <row r="786">
          <cell r="V786">
            <v>194.20499999999998</v>
          </cell>
        </row>
        <row r="787">
          <cell r="V787">
            <v>194.20499999999998</v>
          </cell>
        </row>
        <row r="788">
          <cell r="V788">
            <v>131.881</v>
          </cell>
        </row>
        <row r="789">
          <cell r="V789">
            <v>122.58</v>
          </cell>
        </row>
        <row r="790">
          <cell r="V790">
            <v>122.58</v>
          </cell>
        </row>
        <row r="791">
          <cell r="V791">
            <v>122.58</v>
          </cell>
        </row>
        <row r="792">
          <cell r="V792">
            <v>122.58</v>
          </cell>
        </row>
        <row r="793">
          <cell r="V793">
            <v>122.58</v>
          </cell>
        </row>
        <row r="794">
          <cell r="V794">
            <v>141.29300000000001</v>
          </cell>
        </row>
        <row r="795">
          <cell r="V795">
            <v>194.20499999999998</v>
          </cell>
        </row>
        <row r="796">
          <cell r="V796">
            <v>194.20499999999998</v>
          </cell>
        </row>
        <row r="797">
          <cell r="V797">
            <v>194.20499999999998</v>
          </cell>
        </row>
        <row r="798">
          <cell r="V798">
            <v>194.20499999999998</v>
          </cell>
        </row>
        <row r="799">
          <cell r="V799">
            <v>194.20499999999998</v>
          </cell>
        </row>
        <row r="800">
          <cell r="V800">
            <v>131.881</v>
          </cell>
        </row>
        <row r="801">
          <cell r="V801">
            <v>122.58</v>
          </cell>
        </row>
        <row r="802">
          <cell r="V802">
            <v>122.58</v>
          </cell>
        </row>
        <row r="803">
          <cell r="V803">
            <v>122.58</v>
          </cell>
        </row>
        <row r="804">
          <cell r="V804">
            <v>122.58</v>
          </cell>
        </row>
        <row r="805">
          <cell r="V805">
            <v>122.58</v>
          </cell>
        </row>
        <row r="806">
          <cell r="V806">
            <v>141.29300000000001</v>
          </cell>
        </row>
        <row r="807">
          <cell r="V807">
            <v>194.20499999999998</v>
          </cell>
        </row>
        <row r="808">
          <cell r="V808">
            <v>194.20499999999998</v>
          </cell>
        </row>
        <row r="809">
          <cell r="V809">
            <v>194.20499999999998</v>
          </cell>
        </row>
        <row r="810">
          <cell r="V810">
            <v>194.20499999999998</v>
          </cell>
        </row>
        <row r="811">
          <cell r="V811">
            <v>194.20499999999998</v>
          </cell>
        </row>
        <row r="812">
          <cell r="V812">
            <v>131.881</v>
          </cell>
        </row>
        <row r="813">
          <cell r="V813">
            <v>122.58</v>
          </cell>
        </row>
        <row r="814">
          <cell r="V814">
            <v>122.58</v>
          </cell>
        </row>
        <row r="815">
          <cell r="V815">
            <v>122.58</v>
          </cell>
        </row>
        <row r="816">
          <cell r="V816">
            <v>122.58</v>
          </cell>
        </row>
        <row r="817">
          <cell r="V817">
            <v>122.58</v>
          </cell>
        </row>
        <row r="818">
          <cell r="V818">
            <v>141.29300000000001</v>
          </cell>
        </row>
        <row r="819">
          <cell r="V819">
            <v>194.20499999999998</v>
          </cell>
        </row>
        <row r="820">
          <cell r="V820">
            <v>194.20499999999998</v>
          </cell>
        </row>
        <row r="821">
          <cell r="V821">
            <v>194.20499999999998</v>
          </cell>
        </row>
        <row r="822">
          <cell r="V822">
            <v>194.20499999999998</v>
          </cell>
        </row>
        <row r="823">
          <cell r="V823">
            <v>194.20499999999998</v>
          </cell>
        </row>
        <row r="824">
          <cell r="V824">
            <v>131.881</v>
          </cell>
        </row>
        <row r="825">
          <cell r="V825">
            <v>122.58</v>
          </cell>
        </row>
        <row r="826">
          <cell r="V826">
            <v>122.58</v>
          </cell>
        </row>
        <row r="827">
          <cell r="V827">
            <v>122.58</v>
          </cell>
        </row>
        <row r="828">
          <cell r="V828">
            <v>122.58</v>
          </cell>
        </row>
        <row r="829">
          <cell r="V829">
            <v>122.58</v>
          </cell>
        </row>
        <row r="830">
          <cell r="V830">
            <v>141.29300000000001</v>
          </cell>
        </row>
        <row r="831">
          <cell r="V831">
            <v>194.20499999999998</v>
          </cell>
        </row>
        <row r="832">
          <cell r="V832">
            <v>194.20499999999998</v>
          </cell>
        </row>
        <row r="833">
          <cell r="V833">
            <v>194.20499999999998</v>
          </cell>
        </row>
        <row r="834">
          <cell r="V834">
            <v>194.20499999999998</v>
          </cell>
        </row>
        <row r="835">
          <cell r="V835">
            <v>194.20499999999998</v>
          </cell>
        </row>
        <row r="836">
          <cell r="V836">
            <v>131.881</v>
          </cell>
        </row>
        <row r="837">
          <cell r="V837">
            <v>122.58</v>
          </cell>
        </row>
        <row r="838">
          <cell r="V838">
            <v>122.58</v>
          </cell>
        </row>
        <row r="839">
          <cell r="V839">
            <v>122.58</v>
          </cell>
        </row>
        <row r="840">
          <cell r="V840">
            <v>122.58</v>
          </cell>
        </row>
        <row r="841">
          <cell r="V841">
            <v>122.58</v>
          </cell>
        </row>
        <row r="842">
          <cell r="V842">
            <v>141.29300000000001</v>
          </cell>
        </row>
        <row r="843">
          <cell r="V843">
            <v>194.20499999999998</v>
          </cell>
        </row>
        <row r="844">
          <cell r="V844">
            <v>194.20499999999998</v>
          </cell>
        </row>
        <row r="845">
          <cell r="V845">
            <v>194.20499999999998</v>
          </cell>
        </row>
        <row r="846">
          <cell r="V846">
            <v>194.20499999999998</v>
          </cell>
        </row>
        <row r="847">
          <cell r="V847">
            <v>194.20499999999998</v>
          </cell>
        </row>
        <row r="848">
          <cell r="V848">
            <v>131.881</v>
          </cell>
        </row>
        <row r="849">
          <cell r="V849">
            <v>122.58</v>
          </cell>
        </row>
        <row r="850">
          <cell r="V850">
            <v>122.58</v>
          </cell>
        </row>
        <row r="851">
          <cell r="V851">
            <v>122.58</v>
          </cell>
        </row>
        <row r="852">
          <cell r="V852">
            <v>122.58</v>
          </cell>
        </row>
        <row r="853">
          <cell r="V853">
            <v>122.58</v>
          </cell>
        </row>
        <row r="854">
          <cell r="V854">
            <v>141.29300000000001</v>
          </cell>
        </row>
        <row r="855">
          <cell r="V855">
            <v>194.20499999999998</v>
          </cell>
        </row>
        <row r="856">
          <cell r="V856">
            <v>194.20499999999998</v>
          </cell>
        </row>
        <row r="857">
          <cell r="V857">
            <v>194.20499999999998</v>
          </cell>
        </row>
        <row r="858">
          <cell r="V858">
            <v>194.20499999999998</v>
          </cell>
        </row>
        <row r="859">
          <cell r="V859">
            <v>194.20499999999998</v>
          </cell>
        </row>
        <row r="860">
          <cell r="V860">
            <v>131.881</v>
          </cell>
        </row>
        <row r="861">
          <cell r="V861">
            <v>122.58</v>
          </cell>
        </row>
        <row r="862">
          <cell r="V862">
            <v>122.58</v>
          </cell>
        </row>
        <row r="863">
          <cell r="V863">
            <v>122.58</v>
          </cell>
        </row>
        <row r="864">
          <cell r="V864">
            <v>122.58</v>
          </cell>
        </row>
        <row r="865">
          <cell r="V865">
            <v>122.58</v>
          </cell>
        </row>
        <row r="866">
          <cell r="V866">
            <v>141.29300000000001</v>
          </cell>
        </row>
        <row r="867">
          <cell r="V867">
            <v>194.20499999999998</v>
          </cell>
        </row>
        <row r="868">
          <cell r="V868">
            <v>194.20499999999998</v>
          </cell>
        </row>
        <row r="869">
          <cell r="V869">
            <v>194.20499999999998</v>
          </cell>
        </row>
        <row r="870">
          <cell r="V870">
            <v>194.20499999999998</v>
          </cell>
        </row>
        <row r="871">
          <cell r="V871">
            <v>194.20499999999998</v>
          </cell>
        </row>
        <row r="872">
          <cell r="V872">
            <v>131.881</v>
          </cell>
        </row>
        <row r="873">
          <cell r="V873">
            <v>122.58</v>
          </cell>
        </row>
        <row r="874">
          <cell r="V874">
            <v>122.58</v>
          </cell>
        </row>
        <row r="875">
          <cell r="V875">
            <v>122.58</v>
          </cell>
        </row>
        <row r="876">
          <cell r="V876">
            <v>122.58</v>
          </cell>
        </row>
        <row r="877">
          <cell r="V877">
            <v>122.58</v>
          </cell>
        </row>
        <row r="878">
          <cell r="V878">
            <v>141.29300000000001</v>
          </cell>
        </row>
        <row r="879">
          <cell r="V879">
            <v>194.20499999999998</v>
          </cell>
        </row>
        <row r="880">
          <cell r="V880">
            <v>194.20499999999998</v>
          </cell>
        </row>
        <row r="881">
          <cell r="V881">
            <v>194.20499999999998</v>
          </cell>
        </row>
        <row r="882">
          <cell r="V882">
            <v>194.20499999999998</v>
          </cell>
        </row>
        <row r="883">
          <cell r="V883">
            <v>194.20499999999998</v>
          </cell>
        </row>
        <row r="884">
          <cell r="V884">
            <v>131.881</v>
          </cell>
        </row>
        <row r="885">
          <cell r="V885">
            <v>122.58</v>
          </cell>
        </row>
        <row r="886">
          <cell r="V886">
            <v>122.58</v>
          </cell>
        </row>
        <row r="887">
          <cell r="V887">
            <v>122.58</v>
          </cell>
        </row>
        <row r="888">
          <cell r="V888">
            <v>122.58</v>
          </cell>
        </row>
        <row r="889">
          <cell r="V889">
            <v>122.58</v>
          </cell>
        </row>
        <row r="890">
          <cell r="V890">
            <v>141.29300000000001</v>
          </cell>
        </row>
        <row r="891">
          <cell r="V891">
            <v>194.20499999999998</v>
          </cell>
        </row>
        <row r="892">
          <cell r="V892">
            <v>194.20499999999998</v>
          </cell>
        </row>
        <row r="893">
          <cell r="V893">
            <v>194.20499999999998</v>
          </cell>
        </row>
        <row r="894">
          <cell r="V894">
            <v>194.20499999999998</v>
          </cell>
        </row>
        <row r="895">
          <cell r="V895">
            <v>194.20499999999998</v>
          </cell>
        </row>
        <row r="896">
          <cell r="V896">
            <v>131.881</v>
          </cell>
        </row>
        <row r="897">
          <cell r="V897">
            <v>122.58</v>
          </cell>
        </row>
        <row r="898">
          <cell r="V898">
            <v>122.58</v>
          </cell>
        </row>
        <row r="899">
          <cell r="V899">
            <v>122.58</v>
          </cell>
        </row>
        <row r="900">
          <cell r="V900">
            <v>122.58</v>
          </cell>
        </row>
        <row r="901">
          <cell r="V901">
            <v>122.58</v>
          </cell>
        </row>
        <row r="902">
          <cell r="V902">
            <v>141.29300000000001</v>
          </cell>
        </row>
        <row r="903">
          <cell r="V903">
            <v>194.20499999999998</v>
          </cell>
        </row>
        <row r="904">
          <cell r="V904">
            <v>194.20499999999998</v>
          </cell>
        </row>
        <row r="905">
          <cell r="V905">
            <v>194.20499999999998</v>
          </cell>
        </row>
        <row r="906">
          <cell r="V906">
            <v>194.20499999999998</v>
          </cell>
        </row>
        <row r="907">
          <cell r="V907">
            <v>194.20499999999998</v>
          </cell>
        </row>
        <row r="908">
          <cell r="V908">
            <v>131.881</v>
          </cell>
        </row>
        <row r="909">
          <cell r="V909">
            <v>122.58</v>
          </cell>
        </row>
        <row r="910">
          <cell r="V910">
            <v>122.58</v>
          </cell>
        </row>
        <row r="911">
          <cell r="V911">
            <v>122.58</v>
          </cell>
        </row>
        <row r="912">
          <cell r="V912">
            <v>122.58</v>
          </cell>
        </row>
        <row r="913">
          <cell r="V913">
            <v>122.58</v>
          </cell>
        </row>
        <row r="914">
          <cell r="V914">
            <v>141.29300000000001</v>
          </cell>
        </row>
        <row r="915">
          <cell r="V915">
            <v>194.20499999999998</v>
          </cell>
        </row>
        <row r="916">
          <cell r="V916">
            <v>194.20499999999998</v>
          </cell>
        </row>
        <row r="917">
          <cell r="V917">
            <v>194.20499999999998</v>
          </cell>
        </row>
        <row r="918">
          <cell r="V918">
            <v>194.20499999999998</v>
          </cell>
        </row>
        <row r="919">
          <cell r="V919">
            <v>194.20499999999998</v>
          </cell>
        </row>
        <row r="920">
          <cell r="V920">
            <v>131.881</v>
          </cell>
        </row>
        <row r="921">
          <cell r="V921">
            <v>122.58</v>
          </cell>
        </row>
        <row r="922">
          <cell r="V922">
            <v>122.58</v>
          </cell>
        </row>
        <row r="923">
          <cell r="V923">
            <v>122.58</v>
          </cell>
        </row>
        <row r="924">
          <cell r="V924">
            <v>122.58</v>
          </cell>
        </row>
        <row r="925">
          <cell r="V925">
            <v>122.58</v>
          </cell>
        </row>
        <row r="926">
          <cell r="V926">
            <v>141.29300000000001</v>
          </cell>
        </row>
        <row r="927">
          <cell r="V927">
            <v>194.20499999999998</v>
          </cell>
        </row>
        <row r="928">
          <cell r="V928">
            <v>194.20499999999998</v>
          </cell>
        </row>
        <row r="929">
          <cell r="V929">
            <v>194.20499999999998</v>
          </cell>
        </row>
        <row r="930">
          <cell r="V930">
            <v>194.20499999999998</v>
          </cell>
        </row>
        <row r="931">
          <cell r="V931">
            <v>194.20499999999998</v>
          </cell>
        </row>
        <row r="932">
          <cell r="V932">
            <v>131.881</v>
          </cell>
        </row>
        <row r="933">
          <cell r="V933">
            <v>122.58</v>
          </cell>
        </row>
        <row r="934">
          <cell r="V934">
            <v>122.58</v>
          </cell>
        </row>
        <row r="935">
          <cell r="V935">
            <v>122.58</v>
          </cell>
        </row>
        <row r="936">
          <cell r="V936">
            <v>122.58</v>
          </cell>
        </row>
        <row r="937">
          <cell r="V937">
            <v>122.58</v>
          </cell>
        </row>
        <row r="938">
          <cell r="V938">
            <v>141.29300000000001</v>
          </cell>
        </row>
        <row r="939">
          <cell r="V939">
            <v>194.20499999999998</v>
          </cell>
        </row>
        <row r="940">
          <cell r="V940">
            <v>194.20499999999998</v>
          </cell>
        </row>
        <row r="941">
          <cell r="V941">
            <v>194.20499999999998</v>
          </cell>
        </row>
        <row r="942">
          <cell r="V942">
            <v>194.20499999999998</v>
          </cell>
        </row>
        <row r="943">
          <cell r="V943">
            <v>194.20499999999998</v>
          </cell>
        </row>
        <row r="944">
          <cell r="V944">
            <v>131.881</v>
          </cell>
        </row>
        <row r="945">
          <cell r="V945">
            <v>122.58</v>
          </cell>
        </row>
        <row r="946">
          <cell r="V946">
            <v>122.58</v>
          </cell>
        </row>
        <row r="947">
          <cell r="V947">
            <v>122.58</v>
          </cell>
        </row>
        <row r="948">
          <cell r="V948">
            <v>122.58</v>
          </cell>
        </row>
        <row r="949">
          <cell r="V949">
            <v>122.58</v>
          </cell>
        </row>
        <row r="950">
          <cell r="V950">
            <v>141.29300000000001</v>
          </cell>
        </row>
        <row r="951">
          <cell r="V951">
            <v>194.20499999999998</v>
          </cell>
        </row>
        <row r="952">
          <cell r="V952">
            <v>194.20499999999998</v>
          </cell>
        </row>
        <row r="953">
          <cell r="V953">
            <v>194.20499999999998</v>
          </cell>
        </row>
        <row r="954">
          <cell r="V954">
            <v>194.20499999999998</v>
          </cell>
        </row>
        <row r="955">
          <cell r="V955">
            <v>194.20499999999998</v>
          </cell>
        </row>
        <row r="956">
          <cell r="V956">
            <v>131.881</v>
          </cell>
        </row>
        <row r="957">
          <cell r="V957">
            <v>122.58</v>
          </cell>
        </row>
        <row r="958">
          <cell r="V958">
            <v>122.58</v>
          </cell>
        </row>
        <row r="959">
          <cell r="V959">
            <v>122.58</v>
          </cell>
        </row>
        <row r="960">
          <cell r="V960">
            <v>122.58</v>
          </cell>
        </row>
        <row r="961">
          <cell r="V961">
            <v>122.58</v>
          </cell>
        </row>
        <row r="962">
          <cell r="V962">
            <v>141.29300000000001</v>
          </cell>
        </row>
        <row r="963">
          <cell r="V963">
            <v>194.20499999999998</v>
          </cell>
        </row>
        <row r="964">
          <cell r="V964">
            <v>194.20499999999998</v>
          </cell>
        </row>
        <row r="965">
          <cell r="V965">
            <v>194.20499999999998</v>
          </cell>
        </row>
        <row r="966">
          <cell r="V966">
            <v>194.20499999999998</v>
          </cell>
        </row>
        <row r="967">
          <cell r="V967">
            <v>194.20499999999998</v>
          </cell>
        </row>
        <row r="968">
          <cell r="V968">
            <v>131.881</v>
          </cell>
        </row>
        <row r="969">
          <cell r="V969">
            <v>122.58</v>
          </cell>
        </row>
        <row r="970">
          <cell r="V970">
            <v>122.58</v>
          </cell>
        </row>
        <row r="971">
          <cell r="V971">
            <v>122.58</v>
          </cell>
        </row>
        <row r="972">
          <cell r="V972">
            <v>122.58</v>
          </cell>
        </row>
        <row r="973">
          <cell r="V973">
            <v>122.58</v>
          </cell>
        </row>
        <row r="974">
          <cell r="V974">
            <v>141.29300000000001</v>
          </cell>
        </row>
        <row r="975">
          <cell r="V975">
            <v>194.20499999999998</v>
          </cell>
        </row>
        <row r="976">
          <cell r="V976">
            <v>194.20499999999998</v>
          </cell>
        </row>
        <row r="977">
          <cell r="V977">
            <v>194.20499999999998</v>
          </cell>
        </row>
        <row r="978">
          <cell r="V978">
            <v>194.20499999999998</v>
          </cell>
        </row>
        <row r="979">
          <cell r="V979">
            <v>194.20499999999998</v>
          </cell>
        </row>
        <row r="980">
          <cell r="V980">
            <v>131.881</v>
          </cell>
        </row>
        <row r="981">
          <cell r="V981">
            <v>122.58</v>
          </cell>
        </row>
        <row r="982">
          <cell r="V982">
            <v>122.58</v>
          </cell>
        </row>
        <row r="983">
          <cell r="V983">
            <v>122.58</v>
          </cell>
        </row>
        <row r="984">
          <cell r="V984">
            <v>122.58</v>
          </cell>
        </row>
        <row r="985">
          <cell r="V985">
            <v>122.58</v>
          </cell>
        </row>
        <row r="986">
          <cell r="V986">
            <v>141.29300000000001</v>
          </cell>
        </row>
        <row r="987">
          <cell r="V987">
            <v>194.20499999999998</v>
          </cell>
        </row>
        <row r="988">
          <cell r="V988">
            <v>194.20499999999998</v>
          </cell>
        </row>
        <row r="989">
          <cell r="V989">
            <v>194.20499999999998</v>
          </cell>
        </row>
        <row r="990">
          <cell r="V990">
            <v>194.20499999999998</v>
          </cell>
        </row>
        <row r="991">
          <cell r="V991">
            <v>194.20499999999998</v>
          </cell>
        </row>
        <row r="992">
          <cell r="V992">
            <v>131.881</v>
          </cell>
        </row>
        <row r="993">
          <cell r="V993">
            <v>122.58</v>
          </cell>
        </row>
        <row r="994">
          <cell r="V994">
            <v>122.58</v>
          </cell>
        </row>
        <row r="995">
          <cell r="V995">
            <v>122.58</v>
          </cell>
        </row>
        <row r="996">
          <cell r="V996">
            <v>122.58</v>
          </cell>
        </row>
        <row r="997">
          <cell r="V997">
            <v>122.58</v>
          </cell>
        </row>
        <row r="998">
          <cell r="V998">
            <v>141.29300000000001</v>
          </cell>
        </row>
        <row r="999">
          <cell r="V999">
            <v>194.20499999999998</v>
          </cell>
        </row>
        <row r="1000">
          <cell r="V1000">
            <v>194.20499999999998</v>
          </cell>
        </row>
        <row r="1001">
          <cell r="V1001">
            <v>194.20499999999998</v>
          </cell>
        </row>
        <row r="1002">
          <cell r="V1002">
            <v>194.20499999999998</v>
          </cell>
        </row>
        <row r="1003">
          <cell r="V1003">
            <v>194.20499999999998</v>
          </cell>
        </row>
        <row r="1004">
          <cell r="V1004">
            <v>131.881</v>
          </cell>
        </row>
        <row r="1005">
          <cell r="V1005">
            <v>122.58</v>
          </cell>
        </row>
        <row r="1006">
          <cell r="V1006">
            <v>122.58</v>
          </cell>
        </row>
        <row r="1007">
          <cell r="V1007">
            <v>122.58</v>
          </cell>
        </row>
        <row r="1008">
          <cell r="V1008">
            <v>122.58</v>
          </cell>
        </row>
        <row r="1009">
          <cell r="V1009">
            <v>122.58</v>
          </cell>
        </row>
        <row r="1010">
          <cell r="V1010">
            <v>141.29300000000001</v>
          </cell>
        </row>
        <row r="1011">
          <cell r="V1011">
            <v>194.20499999999998</v>
          </cell>
        </row>
        <row r="1012">
          <cell r="V1012">
            <v>194.20499999999998</v>
          </cell>
        </row>
        <row r="1013">
          <cell r="V1013">
            <v>194.20499999999998</v>
          </cell>
        </row>
        <row r="1014">
          <cell r="V1014">
            <v>194.20499999999998</v>
          </cell>
        </row>
        <row r="1015">
          <cell r="V1015">
            <v>194.20499999999998</v>
          </cell>
        </row>
        <row r="1016">
          <cell r="V1016">
            <v>131.881</v>
          </cell>
        </row>
        <row r="1017">
          <cell r="V1017">
            <v>122.58</v>
          </cell>
        </row>
        <row r="1018">
          <cell r="V1018">
            <v>122.58</v>
          </cell>
        </row>
        <row r="1019">
          <cell r="V1019">
            <v>122.58</v>
          </cell>
        </row>
        <row r="1020">
          <cell r="V1020">
            <v>122.58</v>
          </cell>
        </row>
        <row r="1021">
          <cell r="V1021">
            <v>122.58</v>
          </cell>
        </row>
        <row r="1022">
          <cell r="V1022">
            <v>141.29300000000001</v>
          </cell>
        </row>
        <row r="1023">
          <cell r="V1023">
            <v>194.20499999999998</v>
          </cell>
        </row>
        <row r="1024">
          <cell r="V1024">
            <v>194.20499999999998</v>
          </cell>
        </row>
        <row r="1025">
          <cell r="V1025">
            <v>194.20499999999998</v>
          </cell>
        </row>
        <row r="1026">
          <cell r="V1026">
            <v>194.20499999999998</v>
          </cell>
        </row>
        <row r="1027">
          <cell r="V1027">
            <v>194.20499999999998</v>
          </cell>
        </row>
        <row r="1028">
          <cell r="V1028">
            <v>131.881</v>
          </cell>
        </row>
        <row r="1029">
          <cell r="V1029">
            <v>122.58</v>
          </cell>
        </row>
        <row r="1030">
          <cell r="V1030">
            <v>122.58</v>
          </cell>
        </row>
        <row r="1031">
          <cell r="V1031">
            <v>122.58</v>
          </cell>
        </row>
        <row r="1032">
          <cell r="V1032">
            <v>122.58</v>
          </cell>
        </row>
        <row r="1033">
          <cell r="V1033">
            <v>122.58</v>
          </cell>
        </row>
        <row r="1034">
          <cell r="V1034">
            <v>141.29300000000001</v>
          </cell>
        </row>
        <row r="1035">
          <cell r="V1035">
            <v>194.20499999999998</v>
          </cell>
        </row>
        <row r="1036">
          <cell r="V1036">
            <v>194.20499999999998</v>
          </cell>
        </row>
        <row r="1037">
          <cell r="V1037">
            <v>194.20499999999998</v>
          </cell>
        </row>
        <row r="1038">
          <cell r="V1038">
            <v>194.20499999999998</v>
          </cell>
        </row>
        <row r="1039">
          <cell r="V1039">
            <v>194.20499999999998</v>
          </cell>
        </row>
        <row r="1040">
          <cell r="V1040">
            <v>131.881</v>
          </cell>
        </row>
        <row r="1041">
          <cell r="V1041">
            <v>122.58</v>
          </cell>
        </row>
        <row r="1042">
          <cell r="V1042">
            <v>122.58</v>
          </cell>
        </row>
        <row r="1043">
          <cell r="V1043">
            <v>122.58</v>
          </cell>
        </row>
        <row r="1044">
          <cell r="V1044">
            <v>122.58</v>
          </cell>
        </row>
        <row r="1045">
          <cell r="V1045">
            <v>122.58</v>
          </cell>
        </row>
        <row r="1046">
          <cell r="V1046">
            <v>141.29300000000001</v>
          </cell>
        </row>
        <row r="1047">
          <cell r="V1047">
            <v>194.20499999999998</v>
          </cell>
        </row>
        <row r="1048">
          <cell r="V1048">
            <v>194.20499999999998</v>
          </cell>
        </row>
        <row r="1049">
          <cell r="V1049">
            <v>194.20499999999998</v>
          </cell>
        </row>
        <row r="1050">
          <cell r="V1050">
            <v>194.20499999999998</v>
          </cell>
        </row>
        <row r="1051">
          <cell r="V1051">
            <v>194.20499999999998</v>
          </cell>
        </row>
        <row r="1052">
          <cell r="V1052">
            <v>131.881</v>
          </cell>
        </row>
        <row r="1053">
          <cell r="V1053">
            <v>122.58</v>
          </cell>
        </row>
        <row r="1054">
          <cell r="V1054">
            <v>122.58</v>
          </cell>
        </row>
        <row r="1055">
          <cell r="V1055">
            <v>122.58</v>
          </cell>
        </row>
        <row r="1056">
          <cell r="V1056">
            <v>122.58</v>
          </cell>
        </row>
        <row r="1057">
          <cell r="V1057">
            <v>122.58</v>
          </cell>
        </row>
        <row r="1058">
          <cell r="V1058">
            <v>141.29300000000001</v>
          </cell>
        </row>
        <row r="1059">
          <cell r="V1059">
            <v>194.20499999999998</v>
          </cell>
        </row>
        <row r="1060">
          <cell r="V1060">
            <v>194.20499999999998</v>
          </cell>
        </row>
        <row r="1061">
          <cell r="V1061">
            <v>194.20499999999998</v>
          </cell>
        </row>
        <row r="1062">
          <cell r="V1062">
            <v>194.20499999999998</v>
          </cell>
        </row>
        <row r="1063">
          <cell r="V1063">
            <v>194.20499999999998</v>
          </cell>
        </row>
        <row r="1064">
          <cell r="V1064">
            <v>131.881</v>
          </cell>
        </row>
        <row r="1065">
          <cell r="V1065">
            <v>122.58</v>
          </cell>
        </row>
        <row r="1066">
          <cell r="V1066">
            <v>122.58</v>
          </cell>
        </row>
        <row r="1067">
          <cell r="V1067">
            <v>122.58</v>
          </cell>
        </row>
        <row r="1068">
          <cell r="V1068">
            <v>122.58</v>
          </cell>
        </row>
        <row r="1069">
          <cell r="V1069">
            <v>122.58</v>
          </cell>
        </row>
        <row r="1070">
          <cell r="V1070">
            <v>141.29300000000001</v>
          </cell>
        </row>
        <row r="1071">
          <cell r="V1071">
            <v>194.20499999999998</v>
          </cell>
        </row>
        <row r="1072">
          <cell r="V1072">
            <v>194.20499999999998</v>
          </cell>
        </row>
        <row r="1073">
          <cell r="V1073">
            <v>194.20499999999998</v>
          </cell>
        </row>
        <row r="1074">
          <cell r="V1074">
            <v>194.20499999999998</v>
          </cell>
        </row>
        <row r="1075">
          <cell r="V1075">
            <v>194.20499999999998</v>
          </cell>
        </row>
        <row r="1076">
          <cell r="V1076">
            <v>131.881</v>
          </cell>
        </row>
        <row r="1077">
          <cell r="V1077">
            <v>122.58</v>
          </cell>
        </row>
        <row r="1078">
          <cell r="V1078">
            <v>122.58</v>
          </cell>
        </row>
      </sheetData>
      <sheetData sheetId="8">
        <row r="95">
          <cell r="V95">
            <v>297.94100000000003</v>
          </cell>
        </row>
        <row r="96">
          <cell r="V96">
            <v>297.94100000000003</v>
          </cell>
        </row>
        <row r="97">
          <cell r="V97">
            <v>297.94100000000003</v>
          </cell>
        </row>
        <row r="98">
          <cell r="V98">
            <v>267.99299999999999</v>
          </cell>
        </row>
        <row r="99">
          <cell r="V99">
            <v>267.46600000000001</v>
          </cell>
        </row>
        <row r="100">
          <cell r="V100">
            <v>267.46600000000001</v>
          </cell>
        </row>
        <row r="101">
          <cell r="V101">
            <v>267.46600000000001</v>
          </cell>
        </row>
        <row r="102">
          <cell r="V102">
            <v>267.46600000000001</v>
          </cell>
        </row>
        <row r="103">
          <cell r="V103">
            <v>267.46600000000001</v>
          </cell>
        </row>
        <row r="104">
          <cell r="V104">
            <v>277.16699999999997</v>
          </cell>
        </row>
        <row r="105">
          <cell r="V105">
            <v>297.94100000000003</v>
          </cell>
        </row>
        <row r="106">
          <cell r="V106">
            <v>297.94100000000003</v>
          </cell>
        </row>
        <row r="107">
          <cell r="V107">
            <v>297.94100000000003</v>
          </cell>
        </row>
        <row r="108">
          <cell r="V108">
            <v>297.94100000000003</v>
          </cell>
        </row>
        <row r="109">
          <cell r="V109">
            <v>297.94100000000003</v>
          </cell>
        </row>
        <row r="110">
          <cell r="V110">
            <v>267.99299999999999</v>
          </cell>
        </row>
        <row r="111">
          <cell r="V111">
            <v>267.46600000000001</v>
          </cell>
        </row>
        <row r="112">
          <cell r="V112">
            <v>267.46600000000001</v>
          </cell>
        </row>
        <row r="113">
          <cell r="V113">
            <v>267.46600000000001</v>
          </cell>
        </row>
        <row r="114">
          <cell r="V114">
            <v>267.46600000000001</v>
          </cell>
        </row>
        <row r="115">
          <cell r="V115">
            <v>267.46600000000001</v>
          </cell>
        </row>
        <row r="116">
          <cell r="V116">
            <v>277.16699999999997</v>
          </cell>
        </row>
        <row r="117">
          <cell r="V117">
            <v>297.94100000000003</v>
          </cell>
        </row>
        <row r="118">
          <cell r="V118">
            <v>297.94100000000003</v>
          </cell>
        </row>
        <row r="119">
          <cell r="V119">
            <v>297.94100000000003</v>
          </cell>
        </row>
        <row r="120">
          <cell r="V120">
            <v>297.94100000000003</v>
          </cell>
        </row>
        <row r="121">
          <cell r="V121">
            <v>297.94100000000003</v>
          </cell>
        </row>
        <row r="122">
          <cell r="V122">
            <v>267.99299999999999</v>
          </cell>
        </row>
        <row r="123">
          <cell r="V123">
            <v>267.46600000000001</v>
          </cell>
        </row>
        <row r="124">
          <cell r="V124">
            <v>267.46600000000001</v>
          </cell>
        </row>
        <row r="125">
          <cell r="V125">
            <v>267.46600000000001</v>
          </cell>
        </row>
        <row r="126">
          <cell r="V126">
            <v>267.46600000000001</v>
          </cell>
        </row>
        <row r="127">
          <cell r="V127">
            <v>267.46600000000001</v>
          </cell>
        </row>
        <row r="128">
          <cell r="V128">
            <v>277.16699999999997</v>
          </cell>
        </row>
        <row r="129">
          <cell r="V129">
            <v>297.94100000000003</v>
          </cell>
        </row>
        <row r="130">
          <cell r="V130">
            <v>297.94100000000003</v>
          </cell>
        </row>
        <row r="131">
          <cell r="V131">
            <v>297.94100000000003</v>
          </cell>
        </row>
        <row r="132">
          <cell r="V132">
            <v>297.94100000000003</v>
          </cell>
        </row>
        <row r="133">
          <cell r="V133">
            <v>297.94100000000003</v>
          </cell>
        </row>
        <row r="134">
          <cell r="V134">
            <v>267.99299999999999</v>
          </cell>
        </row>
        <row r="135">
          <cell r="V135">
            <v>267.46600000000001</v>
          </cell>
        </row>
        <row r="136">
          <cell r="V136">
            <v>267.46600000000001</v>
          </cell>
        </row>
        <row r="137">
          <cell r="V137">
            <v>267.46600000000001</v>
          </cell>
        </row>
        <row r="138">
          <cell r="V138">
            <v>267.46600000000001</v>
          </cell>
        </row>
        <row r="139">
          <cell r="V139">
            <v>267.46600000000001</v>
          </cell>
        </row>
        <row r="140">
          <cell r="V140">
            <v>277.16699999999997</v>
          </cell>
        </row>
        <row r="141">
          <cell r="V141">
            <v>297.94100000000003</v>
          </cell>
        </row>
        <row r="142">
          <cell r="V142">
            <v>297.94100000000003</v>
          </cell>
        </row>
        <row r="143">
          <cell r="V143">
            <v>297.94100000000003</v>
          </cell>
        </row>
        <row r="144">
          <cell r="V144">
            <v>297.94100000000003</v>
          </cell>
        </row>
        <row r="145">
          <cell r="V145">
            <v>297.94100000000003</v>
          </cell>
        </row>
        <row r="146">
          <cell r="V146">
            <v>267.99299999999999</v>
          </cell>
        </row>
        <row r="147">
          <cell r="V147">
            <v>267.46600000000001</v>
          </cell>
        </row>
        <row r="148">
          <cell r="V148">
            <v>267.46600000000001</v>
          </cell>
        </row>
        <row r="149">
          <cell r="V149">
            <v>267.46600000000001</v>
          </cell>
        </row>
        <row r="150">
          <cell r="V150">
            <v>267.46600000000001</v>
          </cell>
        </row>
        <row r="151">
          <cell r="V151">
            <v>267.46600000000001</v>
          </cell>
        </row>
        <row r="152">
          <cell r="V152">
            <v>277.16699999999997</v>
          </cell>
        </row>
        <row r="153">
          <cell r="V153">
            <v>297.94100000000003</v>
          </cell>
        </row>
        <row r="154">
          <cell r="V154">
            <v>297.94100000000003</v>
          </cell>
        </row>
        <row r="155">
          <cell r="V155">
            <v>297.94100000000003</v>
          </cell>
        </row>
        <row r="156">
          <cell r="V156">
            <v>297.94100000000003</v>
          </cell>
        </row>
        <row r="157">
          <cell r="V157">
            <v>297.94100000000003</v>
          </cell>
        </row>
        <row r="158">
          <cell r="V158">
            <v>267.99299999999999</v>
          </cell>
        </row>
        <row r="159">
          <cell r="V159">
            <v>267.46600000000001</v>
          </cell>
        </row>
        <row r="160">
          <cell r="V160">
            <v>267.46600000000001</v>
          </cell>
        </row>
        <row r="161">
          <cell r="V161">
            <v>267.46600000000001</v>
          </cell>
        </row>
        <row r="162">
          <cell r="V162">
            <v>267.46600000000001</v>
          </cell>
        </row>
        <row r="163">
          <cell r="V163">
            <v>267.46600000000001</v>
          </cell>
        </row>
        <row r="164">
          <cell r="V164">
            <v>277.16699999999997</v>
          </cell>
        </row>
        <row r="165">
          <cell r="V165">
            <v>297.94100000000003</v>
          </cell>
        </row>
        <row r="166">
          <cell r="V166">
            <v>297.94100000000003</v>
          </cell>
        </row>
        <row r="167">
          <cell r="V167">
            <v>297.94100000000003</v>
          </cell>
        </row>
        <row r="168">
          <cell r="V168">
            <v>297.94100000000003</v>
          </cell>
        </row>
        <row r="169">
          <cell r="V169">
            <v>297.94100000000003</v>
          </cell>
        </row>
        <row r="170">
          <cell r="V170">
            <v>267.99299999999999</v>
          </cell>
        </row>
        <row r="171">
          <cell r="V171">
            <v>267.46600000000001</v>
          </cell>
        </row>
        <row r="172">
          <cell r="V172">
            <v>267.46600000000001</v>
          </cell>
        </row>
        <row r="173">
          <cell r="V173">
            <v>267.46600000000001</v>
          </cell>
        </row>
        <row r="174">
          <cell r="V174">
            <v>267.46600000000001</v>
          </cell>
        </row>
        <row r="175">
          <cell r="V175">
            <v>267.46600000000001</v>
          </cell>
        </row>
        <row r="176">
          <cell r="V176">
            <v>277.16699999999997</v>
          </cell>
        </row>
        <row r="177">
          <cell r="V177">
            <v>297.94100000000003</v>
          </cell>
        </row>
        <row r="178">
          <cell r="V178">
            <v>297.94100000000003</v>
          </cell>
        </row>
        <row r="179">
          <cell r="V179">
            <v>297.94100000000003</v>
          </cell>
        </row>
        <row r="180">
          <cell r="V180">
            <v>297.94100000000003</v>
          </cell>
        </row>
        <row r="181">
          <cell r="V181">
            <v>297.94100000000003</v>
          </cell>
        </row>
        <row r="182">
          <cell r="V182">
            <v>267.99299999999999</v>
          </cell>
        </row>
        <row r="183">
          <cell r="V183">
            <v>267.46600000000001</v>
          </cell>
        </row>
        <row r="184">
          <cell r="V184">
            <v>267.46600000000001</v>
          </cell>
        </row>
        <row r="185">
          <cell r="V185">
            <v>267.46600000000001</v>
          </cell>
        </row>
        <row r="186">
          <cell r="V186">
            <v>267.46600000000001</v>
          </cell>
        </row>
        <row r="187">
          <cell r="V187">
            <v>267.46600000000001</v>
          </cell>
        </row>
        <row r="188">
          <cell r="V188">
            <v>277.16699999999997</v>
          </cell>
        </row>
        <row r="189">
          <cell r="V189">
            <v>297.94100000000003</v>
          </cell>
        </row>
        <row r="190">
          <cell r="V190">
            <v>297.94100000000003</v>
          </cell>
        </row>
        <row r="191">
          <cell r="V191">
            <v>297.94100000000003</v>
          </cell>
        </row>
        <row r="192">
          <cell r="V192">
            <v>297.94100000000003</v>
          </cell>
        </row>
        <row r="193">
          <cell r="V193">
            <v>297.94100000000003</v>
          </cell>
        </row>
        <row r="194">
          <cell r="V194">
            <v>267.99299999999999</v>
          </cell>
        </row>
        <row r="195">
          <cell r="V195">
            <v>267.46600000000001</v>
          </cell>
        </row>
        <row r="196">
          <cell r="V196">
            <v>267.46600000000001</v>
          </cell>
        </row>
        <row r="197">
          <cell r="V197">
            <v>267.46600000000001</v>
          </cell>
        </row>
        <row r="198">
          <cell r="V198">
            <v>267.46600000000001</v>
          </cell>
        </row>
        <row r="199">
          <cell r="V199">
            <v>267.46600000000001</v>
          </cell>
        </row>
        <row r="200">
          <cell r="V200">
            <v>277.16699999999997</v>
          </cell>
        </row>
        <row r="201">
          <cell r="V201">
            <v>297.94100000000003</v>
          </cell>
        </row>
        <row r="202">
          <cell r="V202">
            <v>297.94100000000003</v>
          </cell>
        </row>
        <row r="203">
          <cell r="V203">
            <v>297.94100000000003</v>
          </cell>
        </row>
        <row r="204">
          <cell r="V204">
            <v>297.94100000000003</v>
          </cell>
        </row>
        <row r="205">
          <cell r="V205">
            <v>297.94100000000003</v>
          </cell>
        </row>
        <row r="206">
          <cell r="V206">
            <v>267.99299999999999</v>
          </cell>
        </row>
        <row r="207">
          <cell r="V207">
            <v>267.46600000000001</v>
          </cell>
        </row>
        <row r="208">
          <cell r="V208">
            <v>267.46600000000001</v>
          </cell>
        </row>
        <row r="209">
          <cell r="V209">
            <v>267.46600000000001</v>
          </cell>
        </row>
        <row r="210">
          <cell r="V210">
            <v>267.46600000000001</v>
          </cell>
        </row>
        <row r="211">
          <cell r="V211">
            <v>267.46600000000001</v>
          </cell>
        </row>
        <row r="212">
          <cell r="V212">
            <v>277.16699999999997</v>
          </cell>
        </row>
        <row r="213">
          <cell r="V213">
            <v>297.94100000000003</v>
          </cell>
        </row>
        <row r="214">
          <cell r="V214">
            <v>297.94100000000003</v>
          </cell>
        </row>
        <row r="215">
          <cell r="V215">
            <v>297.94100000000003</v>
          </cell>
        </row>
        <row r="216">
          <cell r="V216">
            <v>297.94100000000003</v>
          </cell>
        </row>
        <row r="217">
          <cell r="V217">
            <v>297.94100000000003</v>
          </cell>
        </row>
        <row r="218">
          <cell r="V218">
            <v>267.99299999999999</v>
          </cell>
        </row>
        <row r="219">
          <cell r="V219">
            <v>267.46600000000001</v>
          </cell>
        </row>
        <row r="220">
          <cell r="V220">
            <v>267.46600000000001</v>
          </cell>
        </row>
        <row r="221">
          <cell r="V221">
            <v>267.46600000000001</v>
          </cell>
        </row>
        <row r="222">
          <cell r="V222">
            <v>267.46600000000001</v>
          </cell>
        </row>
        <row r="223">
          <cell r="V223">
            <v>267.46600000000001</v>
          </cell>
        </row>
        <row r="224">
          <cell r="V224">
            <v>277.16699999999997</v>
          </cell>
        </row>
        <row r="225">
          <cell r="V225">
            <v>297.94100000000003</v>
          </cell>
        </row>
        <row r="226">
          <cell r="V226">
            <v>297.94100000000003</v>
          </cell>
        </row>
        <row r="227">
          <cell r="V227">
            <v>297.94100000000003</v>
          </cell>
        </row>
        <row r="228">
          <cell r="V228">
            <v>297.94100000000003</v>
          </cell>
        </row>
        <row r="229">
          <cell r="V229">
            <v>297.94100000000003</v>
          </cell>
        </row>
        <row r="230">
          <cell r="V230">
            <v>267.99299999999999</v>
          </cell>
        </row>
        <row r="231">
          <cell r="V231">
            <v>267.46600000000001</v>
          </cell>
        </row>
        <row r="232">
          <cell r="V232">
            <v>267.46600000000001</v>
          </cell>
        </row>
        <row r="233">
          <cell r="V233">
            <v>267.46600000000001</v>
          </cell>
        </row>
        <row r="234">
          <cell r="V234">
            <v>267.46600000000001</v>
          </cell>
        </row>
        <row r="235">
          <cell r="V235">
            <v>267.46600000000001</v>
          </cell>
        </row>
        <row r="236">
          <cell r="V236">
            <v>277.16699999999997</v>
          </cell>
        </row>
        <row r="237">
          <cell r="V237">
            <v>297.94100000000003</v>
          </cell>
        </row>
        <row r="238">
          <cell r="V238">
            <v>297.94100000000003</v>
          </cell>
        </row>
        <row r="239">
          <cell r="V239">
            <v>297.94100000000003</v>
          </cell>
        </row>
        <row r="240">
          <cell r="V240">
            <v>297.94100000000003</v>
          </cell>
        </row>
        <row r="241">
          <cell r="V241">
            <v>297.94100000000003</v>
          </cell>
        </row>
        <row r="242">
          <cell r="V242">
            <v>267.99299999999999</v>
          </cell>
        </row>
        <row r="243">
          <cell r="V243">
            <v>267.46600000000001</v>
          </cell>
        </row>
        <row r="244">
          <cell r="V244">
            <v>267.46600000000001</v>
          </cell>
        </row>
        <row r="245">
          <cell r="V245">
            <v>267.46600000000001</v>
          </cell>
        </row>
        <row r="246">
          <cell r="V246">
            <v>267.46600000000001</v>
          </cell>
        </row>
        <row r="247">
          <cell r="V247">
            <v>267.46600000000001</v>
          </cell>
        </row>
        <row r="248">
          <cell r="V248">
            <v>277.16699999999997</v>
          </cell>
        </row>
        <row r="249">
          <cell r="V249">
            <v>297.94100000000003</v>
          </cell>
        </row>
        <row r="250">
          <cell r="V250">
            <v>297.94100000000003</v>
          </cell>
        </row>
        <row r="251">
          <cell r="V251">
            <v>297.94100000000003</v>
          </cell>
        </row>
        <row r="252">
          <cell r="V252">
            <v>297.94100000000003</v>
          </cell>
        </row>
        <row r="253">
          <cell r="V253">
            <v>297.94100000000003</v>
          </cell>
        </row>
        <row r="254">
          <cell r="V254">
            <v>267.99299999999999</v>
          </cell>
        </row>
        <row r="255">
          <cell r="V255">
            <v>267.46600000000001</v>
          </cell>
        </row>
        <row r="256">
          <cell r="V256">
            <v>267.46600000000001</v>
          </cell>
        </row>
        <row r="257">
          <cell r="V257">
            <v>267.46600000000001</v>
          </cell>
        </row>
        <row r="258">
          <cell r="V258">
            <v>267.46600000000001</v>
          </cell>
        </row>
        <row r="259">
          <cell r="V259">
            <v>267.46600000000001</v>
          </cell>
        </row>
        <row r="260">
          <cell r="V260">
            <v>277.16699999999997</v>
          </cell>
        </row>
        <row r="261">
          <cell r="V261">
            <v>297.94100000000003</v>
          </cell>
        </row>
        <row r="262">
          <cell r="V262">
            <v>297.94100000000003</v>
          </cell>
        </row>
        <row r="263">
          <cell r="V263">
            <v>297.94100000000003</v>
          </cell>
        </row>
        <row r="264">
          <cell r="V264">
            <v>297.94100000000003</v>
          </cell>
        </row>
        <row r="265">
          <cell r="V265">
            <v>297.94100000000003</v>
          </cell>
        </row>
        <row r="266">
          <cell r="V266">
            <v>267.99299999999999</v>
          </cell>
        </row>
        <row r="267">
          <cell r="V267">
            <v>267.46600000000001</v>
          </cell>
        </row>
        <row r="268">
          <cell r="V268">
            <v>267.46600000000001</v>
          </cell>
        </row>
        <row r="269">
          <cell r="V269">
            <v>267.46600000000001</v>
          </cell>
        </row>
        <row r="270">
          <cell r="V270">
            <v>267.46600000000001</v>
          </cell>
        </row>
        <row r="271">
          <cell r="V271">
            <v>267.46600000000001</v>
          </cell>
        </row>
        <row r="272">
          <cell r="V272">
            <v>277.16699999999997</v>
          </cell>
        </row>
        <row r="273">
          <cell r="V273">
            <v>297.94100000000003</v>
          </cell>
        </row>
        <row r="274">
          <cell r="V274">
            <v>297.94100000000003</v>
          </cell>
        </row>
        <row r="275">
          <cell r="V275">
            <v>297.94100000000003</v>
          </cell>
        </row>
        <row r="276">
          <cell r="V276">
            <v>297.94100000000003</v>
          </cell>
        </row>
        <row r="277">
          <cell r="V277">
            <v>297.94100000000003</v>
          </cell>
        </row>
        <row r="278">
          <cell r="V278">
            <v>267.99299999999999</v>
          </cell>
        </row>
        <row r="279">
          <cell r="V279">
            <v>267.46600000000001</v>
          </cell>
        </row>
        <row r="280">
          <cell r="V280">
            <v>267.46600000000001</v>
          </cell>
        </row>
        <row r="281">
          <cell r="V281">
            <v>267.46600000000001</v>
          </cell>
        </row>
        <row r="282">
          <cell r="V282">
            <v>267.46600000000001</v>
          </cell>
        </row>
        <row r="283">
          <cell r="V283">
            <v>267.46600000000001</v>
          </cell>
        </row>
        <row r="284">
          <cell r="V284">
            <v>277.16699999999997</v>
          </cell>
        </row>
        <row r="285">
          <cell r="V285">
            <v>297.94100000000003</v>
          </cell>
        </row>
        <row r="286">
          <cell r="V286">
            <v>297.94100000000003</v>
          </cell>
        </row>
        <row r="287">
          <cell r="V287">
            <v>297.94100000000003</v>
          </cell>
        </row>
        <row r="288">
          <cell r="V288">
            <v>297.94100000000003</v>
          </cell>
        </row>
        <row r="289">
          <cell r="V289">
            <v>297.94100000000003</v>
          </cell>
        </row>
        <row r="290">
          <cell r="V290">
            <v>267.99299999999999</v>
          </cell>
        </row>
        <row r="291">
          <cell r="V291">
            <v>267.46600000000001</v>
          </cell>
        </row>
        <row r="292">
          <cell r="V292">
            <v>267.46600000000001</v>
          </cell>
        </row>
        <row r="293">
          <cell r="V293">
            <v>267.46600000000001</v>
          </cell>
        </row>
        <row r="294">
          <cell r="V294">
            <v>267.46600000000001</v>
          </cell>
        </row>
        <row r="295">
          <cell r="V295">
            <v>267.46600000000001</v>
          </cell>
        </row>
        <row r="296">
          <cell r="V296">
            <v>277.16699999999997</v>
          </cell>
        </row>
        <row r="297">
          <cell r="V297">
            <v>297.94100000000003</v>
          </cell>
        </row>
        <row r="298">
          <cell r="V298">
            <v>297.94100000000003</v>
          </cell>
        </row>
        <row r="299">
          <cell r="V299">
            <v>297.94100000000003</v>
          </cell>
        </row>
        <row r="300">
          <cell r="V300">
            <v>297.94100000000003</v>
          </cell>
        </row>
        <row r="301">
          <cell r="V301">
            <v>297.94100000000003</v>
          </cell>
        </row>
        <row r="302">
          <cell r="V302">
            <v>267.99299999999999</v>
          </cell>
        </row>
        <row r="303">
          <cell r="V303">
            <v>267.46600000000001</v>
          </cell>
        </row>
        <row r="304">
          <cell r="V304">
            <v>267.46600000000001</v>
          </cell>
        </row>
        <row r="305">
          <cell r="V305">
            <v>267.46600000000001</v>
          </cell>
        </row>
        <row r="306">
          <cell r="V306">
            <v>267.46600000000001</v>
          </cell>
        </row>
        <row r="307">
          <cell r="V307">
            <v>267.46600000000001</v>
          </cell>
        </row>
        <row r="308">
          <cell r="V308">
            <v>277.16699999999997</v>
          </cell>
        </row>
        <row r="309">
          <cell r="V309">
            <v>297.94100000000003</v>
          </cell>
        </row>
        <row r="310">
          <cell r="V310">
            <v>297.94100000000003</v>
          </cell>
        </row>
        <row r="311">
          <cell r="V311">
            <v>297.94100000000003</v>
          </cell>
        </row>
        <row r="312">
          <cell r="V312">
            <v>297.94100000000003</v>
          </cell>
        </row>
        <row r="313">
          <cell r="V313">
            <v>297.94100000000003</v>
          </cell>
        </row>
        <row r="314">
          <cell r="V314">
            <v>267.99299999999999</v>
          </cell>
        </row>
        <row r="315">
          <cell r="V315">
            <v>267.46600000000001</v>
          </cell>
        </row>
        <row r="316">
          <cell r="V316">
            <v>267.46600000000001</v>
          </cell>
        </row>
        <row r="317">
          <cell r="V317">
            <v>267.46600000000001</v>
          </cell>
        </row>
        <row r="318">
          <cell r="V318">
            <v>267.46600000000001</v>
          </cell>
        </row>
        <row r="319">
          <cell r="V319">
            <v>267.46600000000001</v>
          </cell>
        </row>
        <row r="320">
          <cell r="V320">
            <v>277.16699999999997</v>
          </cell>
        </row>
        <row r="321">
          <cell r="V321">
            <v>297.94100000000003</v>
          </cell>
        </row>
        <row r="322">
          <cell r="V322">
            <v>297.94100000000003</v>
          </cell>
        </row>
        <row r="323">
          <cell r="V323">
            <v>297.94100000000003</v>
          </cell>
        </row>
        <row r="324">
          <cell r="V324">
            <v>297.94100000000003</v>
          </cell>
        </row>
        <row r="325">
          <cell r="V325">
            <v>297.94100000000003</v>
          </cell>
        </row>
        <row r="326">
          <cell r="V326">
            <v>267.99299999999999</v>
          </cell>
        </row>
        <row r="327">
          <cell r="V327">
            <v>267.46600000000001</v>
          </cell>
        </row>
        <row r="328">
          <cell r="V328">
            <v>267.46600000000001</v>
          </cell>
        </row>
        <row r="329">
          <cell r="V329">
            <v>267.46600000000001</v>
          </cell>
        </row>
        <row r="330">
          <cell r="V330">
            <v>267.46600000000001</v>
          </cell>
        </row>
        <row r="331">
          <cell r="V331">
            <v>267.46600000000001</v>
          </cell>
        </row>
        <row r="332">
          <cell r="V332">
            <v>277.16699999999997</v>
          </cell>
        </row>
        <row r="333">
          <cell r="V333">
            <v>297.94100000000003</v>
          </cell>
        </row>
        <row r="334">
          <cell r="V334">
            <v>297.94100000000003</v>
          </cell>
        </row>
        <row r="335">
          <cell r="V335">
            <v>297.94100000000003</v>
          </cell>
        </row>
        <row r="336">
          <cell r="V336">
            <v>297.94100000000003</v>
          </cell>
        </row>
        <row r="337">
          <cell r="V337">
            <v>297.94100000000003</v>
          </cell>
        </row>
        <row r="338">
          <cell r="V338">
            <v>267.99299999999999</v>
          </cell>
        </row>
        <row r="339">
          <cell r="V339">
            <v>267.46600000000001</v>
          </cell>
        </row>
        <row r="340">
          <cell r="V340">
            <v>267.46600000000001</v>
          </cell>
        </row>
        <row r="341">
          <cell r="V341">
            <v>267.46600000000001</v>
          </cell>
        </row>
        <row r="342">
          <cell r="V342">
            <v>267.46600000000001</v>
          </cell>
        </row>
        <row r="343">
          <cell r="V343">
            <v>267.46600000000001</v>
          </cell>
        </row>
        <row r="344">
          <cell r="V344">
            <v>277.16699999999997</v>
          </cell>
        </row>
        <row r="345">
          <cell r="V345">
            <v>297.94100000000003</v>
          </cell>
        </row>
        <row r="346">
          <cell r="V346">
            <v>297.94100000000003</v>
          </cell>
        </row>
        <row r="347">
          <cell r="V347">
            <v>297.94100000000003</v>
          </cell>
        </row>
        <row r="348">
          <cell r="V348">
            <v>297.94100000000003</v>
          </cell>
        </row>
        <row r="349">
          <cell r="V349">
            <v>297.94100000000003</v>
          </cell>
        </row>
        <row r="350">
          <cell r="V350">
            <v>267.99299999999999</v>
          </cell>
        </row>
        <row r="351">
          <cell r="V351">
            <v>267.46600000000001</v>
          </cell>
        </row>
        <row r="352">
          <cell r="V352">
            <v>267.46600000000001</v>
          </cell>
        </row>
        <row r="353">
          <cell r="V353">
            <v>267.46600000000001</v>
          </cell>
        </row>
        <row r="354">
          <cell r="V354">
            <v>267.46600000000001</v>
          </cell>
        </row>
        <row r="355">
          <cell r="V355">
            <v>267.46600000000001</v>
          </cell>
        </row>
        <row r="356">
          <cell r="V356">
            <v>277.16699999999997</v>
          </cell>
        </row>
        <row r="357">
          <cell r="V357">
            <v>297.94100000000003</v>
          </cell>
        </row>
        <row r="358">
          <cell r="V358">
            <v>297.94100000000003</v>
          </cell>
        </row>
        <row r="359">
          <cell r="V359">
            <v>297.94100000000003</v>
          </cell>
        </row>
        <row r="360">
          <cell r="V360">
            <v>297.94100000000003</v>
          </cell>
        </row>
        <row r="361">
          <cell r="V361">
            <v>297.94100000000003</v>
          </cell>
        </row>
        <row r="362">
          <cell r="V362">
            <v>267.99299999999999</v>
          </cell>
        </row>
        <row r="363">
          <cell r="V363">
            <v>267.46600000000001</v>
          </cell>
        </row>
        <row r="364">
          <cell r="V364">
            <v>267.46600000000001</v>
          </cell>
        </row>
        <row r="365">
          <cell r="V365">
            <v>267.46600000000001</v>
          </cell>
        </row>
        <row r="366">
          <cell r="V366">
            <v>267.46600000000001</v>
          </cell>
        </row>
        <row r="367">
          <cell r="V367">
            <v>267.46600000000001</v>
          </cell>
        </row>
        <row r="368">
          <cell r="V368">
            <v>277.16699999999997</v>
          </cell>
        </row>
        <row r="369">
          <cell r="V369">
            <v>297.94100000000003</v>
          </cell>
        </row>
        <row r="370">
          <cell r="V370">
            <v>297.94100000000003</v>
          </cell>
        </row>
        <row r="371">
          <cell r="V371">
            <v>297.94100000000003</v>
          </cell>
        </row>
        <row r="372">
          <cell r="V372">
            <v>297.94100000000003</v>
          </cell>
        </row>
        <row r="373">
          <cell r="V373">
            <v>297.94100000000003</v>
          </cell>
        </row>
        <row r="374">
          <cell r="V374">
            <v>267.99299999999999</v>
          </cell>
        </row>
        <row r="375">
          <cell r="V375">
            <v>267.46600000000001</v>
          </cell>
        </row>
        <row r="376">
          <cell r="V376">
            <v>267.46600000000001</v>
          </cell>
        </row>
        <row r="377">
          <cell r="V377">
            <v>267.46600000000001</v>
          </cell>
        </row>
        <row r="378">
          <cell r="V378">
            <v>267.46600000000001</v>
          </cell>
        </row>
        <row r="379">
          <cell r="V379">
            <v>267.46600000000001</v>
          </cell>
        </row>
        <row r="380">
          <cell r="V380">
            <v>277.16699999999997</v>
          </cell>
        </row>
        <row r="381">
          <cell r="V381">
            <v>297.94100000000003</v>
          </cell>
        </row>
        <row r="382">
          <cell r="V382">
            <v>297.94100000000003</v>
          </cell>
        </row>
        <row r="383">
          <cell r="V383">
            <v>297.94100000000003</v>
          </cell>
        </row>
        <row r="384">
          <cell r="V384">
            <v>297.94100000000003</v>
          </cell>
        </row>
        <row r="385">
          <cell r="V385">
            <v>297.94100000000003</v>
          </cell>
        </row>
        <row r="386">
          <cell r="V386">
            <v>267.99299999999999</v>
          </cell>
        </row>
        <row r="387">
          <cell r="V387">
            <v>267.46600000000001</v>
          </cell>
        </row>
        <row r="388">
          <cell r="V388">
            <v>267.46600000000001</v>
          </cell>
        </row>
        <row r="389">
          <cell r="V389">
            <v>267.46600000000001</v>
          </cell>
        </row>
        <row r="390">
          <cell r="V390">
            <v>267.46600000000001</v>
          </cell>
        </row>
        <row r="391">
          <cell r="V391">
            <v>267.46600000000001</v>
          </cell>
        </row>
        <row r="392">
          <cell r="V392">
            <v>277.16699999999997</v>
          </cell>
        </row>
        <row r="393">
          <cell r="V393">
            <v>297.94100000000003</v>
          </cell>
        </row>
        <row r="394">
          <cell r="V394">
            <v>297.94100000000003</v>
          </cell>
        </row>
        <row r="395">
          <cell r="V395">
            <v>297.94100000000003</v>
          </cell>
        </row>
        <row r="396">
          <cell r="V396">
            <v>297.94100000000003</v>
          </cell>
        </row>
        <row r="397">
          <cell r="V397">
            <v>297.94100000000003</v>
          </cell>
        </row>
        <row r="398">
          <cell r="V398">
            <v>267.99299999999999</v>
          </cell>
        </row>
        <row r="399">
          <cell r="V399">
            <v>267.46600000000001</v>
          </cell>
        </row>
        <row r="400">
          <cell r="V400">
            <v>267.46600000000001</v>
          </cell>
        </row>
        <row r="401">
          <cell r="V401">
            <v>267.46600000000001</v>
          </cell>
        </row>
        <row r="402">
          <cell r="V402">
            <v>267.46600000000001</v>
          </cell>
        </row>
        <row r="403">
          <cell r="V403">
            <v>267.46600000000001</v>
          </cell>
        </row>
        <row r="404">
          <cell r="V404">
            <v>277.16699999999997</v>
          </cell>
        </row>
        <row r="405">
          <cell r="V405">
            <v>297.94100000000003</v>
          </cell>
        </row>
        <row r="406">
          <cell r="V406">
            <v>297.94100000000003</v>
          </cell>
        </row>
        <row r="407">
          <cell r="V407">
            <v>297.94100000000003</v>
          </cell>
        </row>
        <row r="408">
          <cell r="V408">
            <v>297.94100000000003</v>
          </cell>
        </row>
        <row r="409">
          <cell r="V409">
            <v>297.94100000000003</v>
          </cell>
        </row>
        <row r="410">
          <cell r="V410">
            <v>267.99299999999999</v>
          </cell>
        </row>
        <row r="411">
          <cell r="V411">
            <v>267.46600000000001</v>
          </cell>
        </row>
        <row r="412">
          <cell r="V412">
            <v>267.46600000000001</v>
          </cell>
        </row>
        <row r="413">
          <cell r="V413">
            <v>267.46600000000001</v>
          </cell>
        </row>
        <row r="414">
          <cell r="V414">
            <v>267.46600000000001</v>
          </cell>
        </row>
        <row r="415">
          <cell r="V415">
            <v>267.46600000000001</v>
          </cell>
        </row>
        <row r="416">
          <cell r="V416">
            <v>277.16699999999997</v>
          </cell>
        </row>
        <row r="417">
          <cell r="V417">
            <v>297.94100000000003</v>
          </cell>
        </row>
        <row r="418">
          <cell r="V418">
            <v>297.94100000000003</v>
          </cell>
        </row>
        <row r="419">
          <cell r="V419">
            <v>297.94100000000003</v>
          </cell>
        </row>
        <row r="420">
          <cell r="V420">
            <v>297.94100000000003</v>
          </cell>
        </row>
        <row r="421">
          <cell r="V421">
            <v>297.94100000000003</v>
          </cell>
        </row>
        <row r="422">
          <cell r="V422">
            <v>267.99299999999999</v>
          </cell>
        </row>
        <row r="423">
          <cell r="V423">
            <v>267.46600000000001</v>
          </cell>
        </row>
        <row r="424">
          <cell r="V424">
            <v>267.46600000000001</v>
          </cell>
        </row>
        <row r="425">
          <cell r="V425">
            <v>267.46600000000001</v>
          </cell>
        </row>
        <row r="426">
          <cell r="V426">
            <v>267.46600000000001</v>
          </cell>
        </row>
        <row r="427">
          <cell r="V427">
            <v>267.46600000000001</v>
          </cell>
        </row>
        <row r="428">
          <cell r="V428">
            <v>277.16699999999997</v>
          </cell>
        </row>
        <row r="429">
          <cell r="V429">
            <v>297.94100000000003</v>
          </cell>
        </row>
        <row r="430">
          <cell r="V430">
            <v>297.94100000000003</v>
          </cell>
        </row>
        <row r="431">
          <cell r="V431">
            <v>297.94100000000003</v>
          </cell>
        </row>
        <row r="432">
          <cell r="V432">
            <v>297.94100000000003</v>
          </cell>
        </row>
        <row r="433">
          <cell r="V433">
            <v>297.94100000000003</v>
          </cell>
        </row>
        <row r="434">
          <cell r="V434">
            <v>267.99299999999999</v>
          </cell>
        </row>
        <row r="435">
          <cell r="V435">
            <v>267.46600000000001</v>
          </cell>
        </row>
        <row r="436">
          <cell r="V436">
            <v>267.46600000000001</v>
          </cell>
        </row>
        <row r="437">
          <cell r="V437">
            <v>267.46600000000001</v>
          </cell>
        </row>
        <row r="438">
          <cell r="V438">
            <v>267.46600000000001</v>
          </cell>
        </row>
        <row r="439">
          <cell r="V439">
            <v>267.46600000000001</v>
          </cell>
        </row>
        <row r="440">
          <cell r="V440">
            <v>277.16699999999997</v>
          </cell>
        </row>
        <row r="441">
          <cell r="V441">
            <v>297.94100000000003</v>
          </cell>
        </row>
        <row r="442">
          <cell r="V442">
            <v>297.94100000000003</v>
          </cell>
        </row>
        <row r="443">
          <cell r="V443">
            <v>297.94100000000003</v>
          </cell>
        </row>
        <row r="444">
          <cell r="V444">
            <v>297.94100000000003</v>
          </cell>
        </row>
        <row r="445">
          <cell r="V445">
            <v>297.94100000000003</v>
          </cell>
        </row>
        <row r="446">
          <cell r="V446">
            <v>267.99299999999999</v>
          </cell>
        </row>
        <row r="447">
          <cell r="V447">
            <v>267.46600000000001</v>
          </cell>
        </row>
        <row r="448">
          <cell r="V448">
            <v>267.46600000000001</v>
          </cell>
        </row>
        <row r="449">
          <cell r="V449">
            <v>267.46600000000001</v>
          </cell>
        </row>
        <row r="450">
          <cell r="V450">
            <v>267.46600000000001</v>
          </cell>
        </row>
        <row r="451">
          <cell r="V451">
            <v>267.46600000000001</v>
          </cell>
        </row>
        <row r="452">
          <cell r="V452">
            <v>277.16699999999997</v>
          </cell>
        </row>
        <row r="453">
          <cell r="V453">
            <v>297.94100000000003</v>
          </cell>
        </row>
        <row r="454">
          <cell r="V454">
            <v>297.94100000000003</v>
          </cell>
        </row>
        <row r="455">
          <cell r="V455">
            <v>297.94100000000003</v>
          </cell>
        </row>
        <row r="456">
          <cell r="V456">
            <v>297.94100000000003</v>
          </cell>
        </row>
        <row r="457">
          <cell r="V457">
            <v>297.94100000000003</v>
          </cell>
        </row>
        <row r="458">
          <cell r="V458">
            <v>267.99299999999999</v>
          </cell>
        </row>
        <row r="459">
          <cell r="V459">
            <v>267.46600000000001</v>
          </cell>
        </row>
        <row r="460">
          <cell r="V460">
            <v>267.46600000000001</v>
          </cell>
        </row>
        <row r="461">
          <cell r="V461">
            <v>267.46600000000001</v>
          </cell>
        </row>
        <row r="462">
          <cell r="V462">
            <v>267.46600000000001</v>
          </cell>
        </row>
        <row r="463">
          <cell r="V463">
            <v>267.46600000000001</v>
          </cell>
        </row>
        <row r="464">
          <cell r="V464">
            <v>277.16699999999997</v>
          </cell>
        </row>
        <row r="465">
          <cell r="V465">
            <v>297.94100000000003</v>
          </cell>
        </row>
        <row r="466">
          <cell r="V466">
            <v>297.94100000000003</v>
          </cell>
        </row>
        <row r="467">
          <cell r="V467">
            <v>297.94100000000003</v>
          </cell>
        </row>
        <row r="468">
          <cell r="V468">
            <v>297.94100000000003</v>
          </cell>
        </row>
        <row r="469">
          <cell r="V469">
            <v>297.94100000000003</v>
          </cell>
        </row>
        <row r="470">
          <cell r="V470">
            <v>267.99299999999999</v>
          </cell>
        </row>
        <row r="471">
          <cell r="V471">
            <v>267.46600000000001</v>
          </cell>
        </row>
        <row r="472">
          <cell r="V472">
            <v>267.46600000000001</v>
          </cell>
        </row>
        <row r="473">
          <cell r="V473">
            <v>267.46600000000001</v>
          </cell>
        </row>
        <row r="474">
          <cell r="V474">
            <v>267.46600000000001</v>
          </cell>
        </row>
        <row r="475">
          <cell r="V475">
            <v>267.46600000000001</v>
          </cell>
        </row>
        <row r="476">
          <cell r="V476">
            <v>277.16699999999997</v>
          </cell>
        </row>
        <row r="477">
          <cell r="V477">
            <v>297.94100000000003</v>
          </cell>
        </row>
        <row r="478">
          <cell r="V478">
            <v>297.94100000000003</v>
          </cell>
        </row>
        <row r="479">
          <cell r="V479">
            <v>297.94100000000003</v>
          </cell>
        </row>
        <row r="480">
          <cell r="V480">
            <v>297.94100000000003</v>
          </cell>
        </row>
        <row r="481">
          <cell r="V481">
            <v>297.94100000000003</v>
          </cell>
        </row>
        <row r="482">
          <cell r="V482">
            <v>267.99299999999999</v>
          </cell>
        </row>
        <row r="483">
          <cell r="V483">
            <v>267.46600000000001</v>
          </cell>
        </row>
        <row r="484">
          <cell r="V484">
            <v>267.46600000000001</v>
          </cell>
        </row>
        <row r="485">
          <cell r="V485">
            <v>267.46600000000001</v>
          </cell>
        </row>
        <row r="486">
          <cell r="V486">
            <v>267.46600000000001</v>
          </cell>
        </row>
        <row r="487">
          <cell r="V487">
            <v>267.46600000000001</v>
          </cell>
        </row>
        <row r="488">
          <cell r="V488">
            <v>277.16699999999997</v>
          </cell>
        </row>
        <row r="489">
          <cell r="V489">
            <v>297.94100000000003</v>
          </cell>
        </row>
        <row r="490">
          <cell r="V490">
            <v>297.94100000000003</v>
          </cell>
        </row>
        <row r="491">
          <cell r="V491">
            <v>297.94100000000003</v>
          </cell>
        </row>
        <row r="492">
          <cell r="V492">
            <v>297.94100000000003</v>
          </cell>
        </row>
        <row r="493">
          <cell r="V493">
            <v>297.94100000000003</v>
          </cell>
        </row>
        <row r="494">
          <cell r="V494">
            <v>267.99299999999999</v>
          </cell>
        </row>
        <row r="495">
          <cell r="V495">
            <v>267.46600000000001</v>
          </cell>
        </row>
        <row r="496">
          <cell r="V496">
            <v>267.46600000000001</v>
          </cell>
        </row>
        <row r="497">
          <cell r="V497">
            <v>267.46600000000001</v>
          </cell>
        </row>
        <row r="498">
          <cell r="V498">
            <v>267.46600000000001</v>
          </cell>
        </row>
        <row r="499">
          <cell r="V499">
            <v>267.46600000000001</v>
          </cell>
        </row>
        <row r="500">
          <cell r="V500">
            <v>277.16699999999997</v>
          </cell>
        </row>
        <row r="501">
          <cell r="V501">
            <v>297.94100000000003</v>
          </cell>
        </row>
        <row r="502">
          <cell r="V502">
            <v>297.94100000000003</v>
          </cell>
        </row>
        <row r="503">
          <cell r="V503">
            <v>297.94100000000003</v>
          </cell>
        </row>
        <row r="504">
          <cell r="V504">
            <v>297.94100000000003</v>
          </cell>
        </row>
        <row r="505">
          <cell r="V505">
            <v>297.94100000000003</v>
          </cell>
        </row>
        <row r="506">
          <cell r="V506">
            <v>267.99299999999999</v>
          </cell>
        </row>
        <row r="507">
          <cell r="V507">
            <v>267.46600000000001</v>
          </cell>
        </row>
        <row r="508">
          <cell r="V508">
            <v>267.46600000000001</v>
          </cell>
        </row>
        <row r="509">
          <cell r="V509">
            <v>267.46600000000001</v>
          </cell>
        </row>
        <row r="510">
          <cell r="V510">
            <v>267.46600000000001</v>
          </cell>
        </row>
        <row r="511">
          <cell r="V511">
            <v>267.46600000000001</v>
          </cell>
        </row>
        <row r="512">
          <cell r="V512">
            <v>277.16699999999997</v>
          </cell>
        </row>
        <row r="513">
          <cell r="V513">
            <v>297.94100000000003</v>
          </cell>
        </row>
        <row r="514">
          <cell r="V514">
            <v>297.94100000000003</v>
          </cell>
        </row>
        <row r="515">
          <cell r="V515">
            <v>297.94100000000003</v>
          </cell>
        </row>
        <row r="516">
          <cell r="V516">
            <v>297.94100000000003</v>
          </cell>
        </row>
        <row r="517">
          <cell r="V517">
            <v>297.94100000000003</v>
          </cell>
        </row>
        <row r="518">
          <cell r="V518">
            <v>267.99299999999999</v>
          </cell>
        </row>
        <row r="519">
          <cell r="V519">
            <v>267.46600000000001</v>
          </cell>
        </row>
        <row r="520">
          <cell r="V520">
            <v>267.46600000000001</v>
          </cell>
        </row>
        <row r="521">
          <cell r="V521">
            <v>267.46600000000001</v>
          </cell>
        </row>
        <row r="522">
          <cell r="V522">
            <v>267.46600000000001</v>
          </cell>
        </row>
        <row r="523">
          <cell r="V523">
            <v>267.46600000000001</v>
          </cell>
        </row>
        <row r="524">
          <cell r="V524">
            <v>277.16699999999997</v>
          </cell>
        </row>
        <row r="525">
          <cell r="V525">
            <v>297.94100000000003</v>
          </cell>
        </row>
        <row r="526">
          <cell r="V526">
            <v>297.94100000000003</v>
          </cell>
        </row>
        <row r="527">
          <cell r="V527">
            <v>297.94100000000003</v>
          </cell>
        </row>
        <row r="528">
          <cell r="V528">
            <v>297.94100000000003</v>
          </cell>
        </row>
        <row r="529">
          <cell r="V529">
            <v>297.94100000000003</v>
          </cell>
        </row>
        <row r="530">
          <cell r="V530">
            <v>267.99299999999999</v>
          </cell>
        </row>
        <row r="531">
          <cell r="V531">
            <v>267.46600000000001</v>
          </cell>
        </row>
        <row r="532">
          <cell r="V532">
            <v>267.46600000000001</v>
          </cell>
        </row>
        <row r="533">
          <cell r="V533">
            <v>267.46600000000001</v>
          </cell>
        </row>
        <row r="534">
          <cell r="V534">
            <v>267.46600000000001</v>
          </cell>
        </row>
        <row r="535">
          <cell r="V535">
            <v>267.46600000000001</v>
          </cell>
        </row>
        <row r="536">
          <cell r="V536">
            <v>277.16699999999997</v>
          </cell>
        </row>
        <row r="537">
          <cell r="V537">
            <v>297.94100000000003</v>
          </cell>
        </row>
        <row r="538">
          <cell r="V538">
            <v>297.94100000000003</v>
          </cell>
        </row>
        <row r="539">
          <cell r="V539">
            <v>297.94100000000003</v>
          </cell>
        </row>
        <row r="540">
          <cell r="V540">
            <v>297.94100000000003</v>
          </cell>
        </row>
        <row r="541">
          <cell r="V541">
            <v>297.94100000000003</v>
          </cell>
        </row>
        <row r="542">
          <cell r="V542">
            <v>267.99299999999999</v>
          </cell>
        </row>
        <row r="543">
          <cell r="V543">
            <v>267.46600000000001</v>
          </cell>
        </row>
        <row r="544">
          <cell r="V544">
            <v>267.46600000000001</v>
          </cell>
        </row>
        <row r="545">
          <cell r="V545">
            <v>267.46600000000001</v>
          </cell>
        </row>
        <row r="546">
          <cell r="V546">
            <v>267.46600000000001</v>
          </cell>
        </row>
        <row r="547">
          <cell r="V547">
            <v>267.46600000000001</v>
          </cell>
        </row>
        <row r="548">
          <cell r="V548">
            <v>277.16699999999997</v>
          </cell>
        </row>
        <row r="549">
          <cell r="V549">
            <v>297.94100000000003</v>
          </cell>
        </row>
        <row r="550">
          <cell r="V550">
            <v>297.94100000000003</v>
          </cell>
        </row>
        <row r="551">
          <cell r="V551">
            <v>297.94100000000003</v>
          </cell>
        </row>
        <row r="552">
          <cell r="V552">
            <v>297.94100000000003</v>
          </cell>
        </row>
        <row r="553">
          <cell r="V553">
            <v>297.94100000000003</v>
          </cell>
        </row>
        <row r="554">
          <cell r="V554">
            <v>267.99299999999999</v>
          </cell>
        </row>
        <row r="555">
          <cell r="V555">
            <v>267.46600000000001</v>
          </cell>
        </row>
        <row r="556">
          <cell r="V556">
            <v>267.46600000000001</v>
          </cell>
        </row>
        <row r="557">
          <cell r="V557">
            <v>267.46600000000001</v>
          </cell>
        </row>
        <row r="558">
          <cell r="V558">
            <v>267.46600000000001</v>
          </cell>
        </row>
        <row r="559">
          <cell r="V559">
            <v>267.46600000000001</v>
          </cell>
        </row>
        <row r="560">
          <cell r="V560">
            <v>277.16699999999997</v>
          </cell>
        </row>
        <row r="561">
          <cell r="V561">
            <v>297.94100000000003</v>
          </cell>
        </row>
        <row r="562">
          <cell r="V562">
            <v>297.94100000000003</v>
          </cell>
        </row>
        <row r="563">
          <cell r="V563">
            <v>297.94100000000003</v>
          </cell>
        </row>
        <row r="564">
          <cell r="V564">
            <v>297.94100000000003</v>
          </cell>
        </row>
        <row r="565">
          <cell r="V565">
            <v>297.94100000000003</v>
          </cell>
        </row>
        <row r="566">
          <cell r="V566">
            <v>267.99299999999999</v>
          </cell>
        </row>
        <row r="567">
          <cell r="V567">
            <v>267.46600000000001</v>
          </cell>
        </row>
        <row r="568">
          <cell r="V568">
            <v>267.46600000000001</v>
          </cell>
        </row>
        <row r="569">
          <cell r="V569">
            <v>267.46600000000001</v>
          </cell>
        </row>
        <row r="570">
          <cell r="V570">
            <v>267.46600000000001</v>
          </cell>
        </row>
        <row r="571">
          <cell r="V571">
            <v>267.46600000000001</v>
          </cell>
        </row>
        <row r="572">
          <cell r="V572">
            <v>277.16699999999997</v>
          </cell>
        </row>
        <row r="573">
          <cell r="V573">
            <v>297.94100000000003</v>
          </cell>
        </row>
        <row r="574">
          <cell r="V574">
            <v>297.94100000000003</v>
          </cell>
        </row>
        <row r="575">
          <cell r="V575">
            <v>297.94100000000003</v>
          </cell>
        </row>
        <row r="576">
          <cell r="V576">
            <v>297.94100000000003</v>
          </cell>
        </row>
        <row r="577">
          <cell r="V577">
            <v>297.94100000000003</v>
          </cell>
        </row>
        <row r="578">
          <cell r="V578">
            <v>267.99299999999999</v>
          </cell>
        </row>
        <row r="579">
          <cell r="V579">
            <v>267.46600000000001</v>
          </cell>
        </row>
        <row r="580">
          <cell r="V580">
            <v>267.46600000000001</v>
          </cell>
        </row>
        <row r="581">
          <cell r="V581">
            <v>267.46600000000001</v>
          </cell>
        </row>
        <row r="582">
          <cell r="V582">
            <v>267.46600000000001</v>
          </cell>
        </row>
        <row r="583">
          <cell r="V583">
            <v>267.46600000000001</v>
          </cell>
        </row>
        <row r="584">
          <cell r="V584">
            <v>277.16699999999997</v>
          </cell>
        </row>
        <row r="585">
          <cell r="V585">
            <v>297.94100000000003</v>
          </cell>
        </row>
        <row r="586">
          <cell r="V586">
            <v>297.94100000000003</v>
          </cell>
        </row>
        <row r="587">
          <cell r="V587">
            <v>297.94100000000003</v>
          </cell>
        </row>
        <row r="588">
          <cell r="V588">
            <v>297.94100000000003</v>
          </cell>
        </row>
        <row r="589">
          <cell r="V589">
            <v>297.94100000000003</v>
          </cell>
        </row>
        <row r="590">
          <cell r="V590">
            <v>267.99299999999999</v>
          </cell>
        </row>
        <row r="591">
          <cell r="V591">
            <v>267.46600000000001</v>
          </cell>
        </row>
        <row r="592">
          <cell r="V592">
            <v>267.46600000000001</v>
          </cell>
        </row>
        <row r="593">
          <cell r="V593">
            <v>267.46600000000001</v>
          </cell>
        </row>
        <row r="594">
          <cell r="V594">
            <v>267.46600000000001</v>
          </cell>
        </row>
        <row r="595">
          <cell r="V595">
            <v>267.46600000000001</v>
          </cell>
        </row>
        <row r="596">
          <cell r="V596">
            <v>277.16699999999997</v>
          </cell>
        </row>
        <row r="597">
          <cell r="V597">
            <v>297.94100000000003</v>
          </cell>
        </row>
        <row r="598">
          <cell r="V598">
            <v>297.94100000000003</v>
          </cell>
        </row>
        <row r="599">
          <cell r="V599">
            <v>297.94100000000003</v>
          </cell>
        </row>
        <row r="600">
          <cell r="V600">
            <v>297.94100000000003</v>
          </cell>
        </row>
        <row r="601">
          <cell r="V601">
            <v>297.94100000000003</v>
          </cell>
        </row>
        <row r="602">
          <cell r="V602">
            <v>267.99299999999999</v>
          </cell>
        </row>
        <row r="603">
          <cell r="V603">
            <v>267.46600000000001</v>
          </cell>
        </row>
        <row r="604">
          <cell r="V604">
            <v>267.46600000000001</v>
          </cell>
        </row>
        <row r="605">
          <cell r="V605">
            <v>267.46600000000001</v>
          </cell>
        </row>
        <row r="606">
          <cell r="V606">
            <v>267.46600000000001</v>
          </cell>
        </row>
        <row r="607">
          <cell r="V607">
            <v>267.46600000000001</v>
          </cell>
        </row>
        <row r="608">
          <cell r="V608">
            <v>277.16699999999997</v>
          </cell>
        </row>
        <row r="609">
          <cell r="V609">
            <v>297.94100000000003</v>
          </cell>
        </row>
        <row r="610">
          <cell r="V610">
            <v>297.94100000000003</v>
          </cell>
        </row>
        <row r="611">
          <cell r="V611">
            <v>297.94100000000003</v>
          </cell>
        </row>
        <row r="612">
          <cell r="V612">
            <v>297.94100000000003</v>
          </cell>
        </row>
        <row r="613">
          <cell r="V613">
            <v>297.94100000000003</v>
          </cell>
        </row>
        <row r="614">
          <cell r="V614">
            <v>267.99299999999999</v>
          </cell>
        </row>
        <row r="615">
          <cell r="V615">
            <v>267.46600000000001</v>
          </cell>
        </row>
        <row r="616">
          <cell r="V616">
            <v>267.46600000000001</v>
          </cell>
        </row>
        <row r="617">
          <cell r="V617">
            <v>267.46600000000001</v>
          </cell>
        </row>
        <row r="618">
          <cell r="V618">
            <v>267.46600000000001</v>
          </cell>
        </row>
        <row r="619">
          <cell r="V619">
            <v>267.46600000000001</v>
          </cell>
        </row>
        <row r="620">
          <cell r="V620">
            <v>277.16699999999997</v>
          </cell>
        </row>
        <row r="621">
          <cell r="V621">
            <v>297.94100000000003</v>
          </cell>
        </row>
        <row r="622">
          <cell r="V622">
            <v>297.94100000000003</v>
          </cell>
        </row>
        <row r="623">
          <cell r="V623">
            <v>297.94100000000003</v>
          </cell>
        </row>
        <row r="624">
          <cell r="V624">
            <v>297.94100000000003</v>
          </cell>
        </row>
        <row r="625">
          <cell r="V625">
            <v>297.94100000000003</v>
          </cell>
        </row>
        <row r="626">
          <cell r="V626">
            <v>267.99299999999999</v>
          </cell>
        </row>
        <row r="627">
          <cell r="V627">
            <v>267.46600000000001</v>
          </cell>
        </row>
        <row r="628">
          <cell r="V628">
            <v>267.46600000000001</v>
          </cell>
        </row>
        <row r="629">
          <cell r="V629">
            <v>267.46600000000001</v>
          </cell>
        </row>
        <row r="630">
          <cell r="V630">
            <v>267.46600000000001</v>
          </cell>
        </row>
        <row r="631">
          <cell r="V631">
            <v>267.46600000000001</v>
          </cell>
        </row>
        <row r="632">
          <cell r="V632">
            <v>277.16699999999997</v>
          </cell>
        </row>
        <row r="633">
          <cell r="V633">
            <v>297.94100000000003</v>
          </cell>
        </row>
        <row r="634">
          <cell r="V634">
            <v>297.94100000000003</v>
          </cell>
        </row>
        <row r="635">
          <cell r="V635">
            <v>297.94100000000003</v>
          </cell>
        </row>
        <row r="636">
          <cell r="V636">
            <v>297.94100000000003</v>
          </cell>
        </row>
        <row r="637">
          <cell r="V637">
            <v>297.94100000000003</v>
          </cell>
        </row>
        <row r="638">
          <cell r="V638">
            <v>267.99299999999999</v>
          </cell>
        </row>
        <row r="639">
          <cell r="V639">
            <v>267.46600000000001</v>
          </cell>
        </row>
        <row r="640">
          <cell r="V640">
            <v>267.46600000000001</v>
          </cell>
        </row>
        <row r="641">
          <cell r="V641">
            <v>267.46600000000001</v>
          </cell>
        </row>
        <row r="642">
          <cell r="V642">
            <v>267.46600000000001</v>
          </cell>
        </row>
        <row r="643">
          <cell r="V643">
            <v>267.46600000000001</v>
          </cell>
        </row>
        <row r="644">
          <cell r="V644">
            <v>277.16699999999997</v>
          </cell>
        </row>
        <row r="645">
          <cell r="V645">
            <v>297.94100000000003</v>
          </cell>
        </row>
        <row r="646">
          <cell r="V646">
            <v>297.94100000000003</v>
          </cell>
        </row>
        <row r="647">
          <cell r="V647">
            <v>297.94100000000003</v>
          </cell>
        </row>
        <row r="648">
          <cell r="V648">
            <v>297.94100000000003</v>
          </cell>
        </row>
        <row r="649">
          <cell r="V649">
            <v>297.94100000000003</v>
          </cell>
        </row>
        <row r="650">
          <cell r="V650">
            <v>267.99299999999999</v>
          </cell>
        </row>
        <row r="651">
          <cell r="V651">
            <v>267.46600000000001</v>
          </cell>
        </row>
        <row r="652">
          <cell r="V652">
            <v>267.46600000000001</v>
          </cell>
        </row>
        <row r="653">
          <cell r="V653">
            <v>267.46600000000001</v>
          </cell>
        </row>
        <row r="654">
          <cell r="V654">
            <v>267.46600000000001</v>
          </cell>
        </row>
        <row r="655">
          <cell r="V655">
            <v>267.46600000000001</v>
          </cell>
        </row>
        <row r="656">
          <cell r="V656">
            <v>277.16699999999997</v>
          </cell>
        </row>
        <row r="657">
          <cell r="V657">
            <v>297.94100000000003</v>
          </cell>
        </row>
        <row r="658">
          <cell r="V658">
            <v>297.94100000000003</v>
          </cell>
        </row>
        <row r="659">
          <cell r="V659">
            <v>297.94100000000003</v>
          </cell>
        </row>
        <row r="660">
          <cell r="V660">
            <v>297.94100000000003</v>
          </cell>
        </row>
        <row r="661">
          <cell r="V661">
            <v>297.94100000000003</v>
          </cell>
        </row>
        <row r="662">
          <cell r="V662">
            <v>267.99299999999999</v>
          </cell>
        </row>
        <row r="663">
          <cell r="V663">
            <v>267.46600000000001</v>
          </cell>
        </row>
        <row r="664">
          <cell r="V664">
            <v>267.46600000000001</v>
          </cell>
        </row>
        <row r="665">
          <cell r="V665">
            <v>267.46600000000001</v>
          </cell>
        </row>
        <row r="666">
          <cell r="V666">
            <v>267.46600000000001</v>
          </cell>
        </row>
        <row r="667">
          <cell r="V667">
            <v>267.46600000000001</v>
          </cell>
        </row>
        <row r="668">
          <cell r="V668">
            <v>277.16699999999997</v>
          </cell>
        </row>
        <row r="669">
          <cell r="V669">
            <v>297.94100000000003</v>
          </cell>
        </row>
        <row r="670">
          <cell r="V670">
            <v>297.94100000000003</v>
          </cell>
        </row>
        <row r="671">
          <cell r="V671">
            <v>297.94100000000003</v>
          </cell>
        </row>
        <row r="672">
          <cell r="V672">
            <v>297.94100000000003</v>
          </cell>
        </row>
        <row r="673">
          <cell r="V673">
            <v>297.94100000000003</v>
          </cell>
        </row>
        <row r="674">
          <cell r="V674">
            <v>267.99299999999999</v>
          </cell>
        </row>
        <row r="675">
          <cell r="V675">
            <v>267.46600000000001</v>
          </cell>
        </row>
        <row r="676">
          <cell r="V676">
            <v>267.46600000000001</v>
          </cell>
        </row>
        <row r="677">
          <cell r="V677">
            <v>267.46600000000001</v>
          </cell>
        </row>
        <row r="678">
          <cell r="V678">
            <v>267.46600000000001</v>
          </cell>
        </row>
        <row r="679">
          <cell r="V679">
            <v>267.46600000000001</v>
          </cell>
        </row>
        <row r="680">
          <cell r="V680">
            <v>277.16699999999997</v>
          </cell>
        </row>
        <row r="681">
          <cell r="V681">
            <v>297.94100000000003</v>
          </cell>
        </row>
        <row r="682">
          <cell r="V682">
            <v>297.94100000000003</v>
          </cell>
        </row>
        <row r="683">
          <cell r="V683">
            <v>297.94100000000003</v>
          </cell>
        </row>
        <row r="684">
          <cell r="V684">
            <v>297.94100000000003</v>
          </cell>
        </row>
        <row r="685">
          <cell r="V685">
            <v>297.94100000000003</v>
          </cell>
        </row>
        <row r="686">
          <cell r="V686">
            <v>267.99299999999999</v>
          </cell>
        </row>
        <row r="687">
          <cell r="V687">
            <v>267.46600000000001</v>
          </cell>
        </row>
        <row r="688">
          <cell r="V688">
            <v>267.46600000000001</v>
          </cell>
        </row>
        <row r="689">
          <cell r="V689">
            <v>267.46600000000001</v>
          </cell>
        </row>
        <row r="690">
          <cell r="V690">
            <v>267.46600000000001</v>
          </cell>
        </row>
        <row r="691">
          <cell r="V691">
            <v>267.46600000000001</v>
          </cell>
        </row>
        <row r="692">
          <cell r="V692">
            <v>277.16699999999997</v>
          </cell>
        </row>
        <row r="693">
          <cell r="V693">
            <v>297.94100000000003</v>
          </cell>
        </row>
        <row r="694">
          <cell r="V694">
            <v>297.94100000000003</v>
          </cell>
        </row>
        <row r="695">
          <cell r="V695">
            <v>297.94100000000003</v>
          </cell>
        </row>
        <row r="696">
          <cell r="V696">
            <v>297.94100000000003</v>
          </cell>
        </row>
        <row r="697">
          <cell r="V697">
            <v>297.94100000000003</v>
          </cell>
        </row>
        <row r="698">
          <cell r="V698">
            <v>267.99299999999999</v>
          </cell>
        </row>
        <row r="699">
          <cell r="V699">
            <v>267.46600000000001</v>
          </cell>
        </row>
        <row r="700">
          <cell r="V700">
            <v>267.46600000000001</v>
          </cell>
        </row>
        <row r="701">
          <cell r="V701">
            <v>267.46600000000001</v>
          </cell>
        </row>
        <row r="702">
          <cell r="V702">
            <v>267.46600000000001</v>
          </cell>
        </row>
        <row r="703">
          <cell r="V703">
            <v>267.46600000000001</v>
          </cell>
        </row>
        <row r="704">
          <cell r="V704">
            <v>277.16699999999997</v>
          </cell>
        </row>
        <row r="705">
          <cell r="V705">
            <v>297.94100000000003</v>
          </cell>
        </row>
        <row r="706">
          <cell r="V706">
            <v>297.94100000000003</v>
          </cell>
        </row>
        <row r="707">
          <cell r="V707">
            <v>297.94100000000003</v>
          </cell>
        </row>
        <row r="708">
          <cell r="V708">
            <v>297.94100000000003</v>
          </cell>
        </row>
        <row r="709">
          <cell r="V709">
            <v>297.94100000000003</v>
          </cell>
        </row>
        <row r="710">
          <cell r="V710">
            <v>267.99299999999999</v>
          </cell>
        </row>
        <row r="711">
          <cell r="V711">
            <v>267.46600000000001</v>
          </cell>
        </row>
        <row r="712">
          <cell r="V712">
            <v>267.46600000000001</v>
          </cell>
        </row>
        <row r="713">
          <cell r="V713">
            <v>267.46600000000001</v>
          </cell>
        </row>
        <row r="714">
          <cell r="V714">
            <v>267.46600000000001</v>
          </cell>
        </row>
        <row r="715">
          <cell r="V715">
            <v>267.46600000000001</v>
          </cell>
        </row>
        <row r="716">
          <cell r="V716">
            <v>277.16699999999997</v>
          </cell>
        </row>
        <row r="717">
          <cell r="V717">
            <v>297.94100000000003</v>
          </cell>
        </row>
        <row r="718">
          <cell r="V718">
            <v>297.94100000000003</v>
          </cell>
        </row>
        <row r="719">
          <cell r="V719">
            <v>297.94100000000003</v>
          </cell>
        </row>
        <row r="720">
          <cell r="V720">
            <v>297.94100000000003</v>
          </cell>
        </row>
        <row r="721">
          <cell r="V721">
            <v>297.94100000000003</v>
          </cell>
        </row>
        <row r="722">
          <cell r="V722">
            <v>267.99299999999999</v>
          </cell>
        </row>
        <row r="723">
          <cell r="V723">
            <v>267.46600000000001</v>
          </cell>
        </row>
        <row r="724">
          <cell r="V724">
            <v>267.46600000000001</v>
          </cell>
        </row>
        <row r="725">
          <cell r="V725">
            <v>267.46600000000001</v>
          </cell>
        </row>
        <row r="726">
          <cell r="V726">
            <v>267.46600000000001</v>
          </cell>
        </row>
        <row r="727">
          <cell r="V727">
            <v>267.46600000000001</v>
          </cell>
        </row>
        <row r="728">
          <cell r="V728">
            <v>277.16699999999997</v>
          </cell>
        </row>
        <row r="729">
          <cell r="V729">
            <v>297.94100000000003</v>
          </cell>
        </row>
        <row r="730">
          <cell r="V730">
            <v>297.94100000000003</v>
          </cell>
        </row>
        <row r="731">
          <cell r="V731">
            <v>297.94100000000003</v>
          </cell>
        </row>
        <row r="732">
          <cell r="V732">
            <v>297.94100000000003</v>
          </cell>
        </row>
        <row r="733">
          <cell r="V733">
            <v>297.94100000000003</v>
          </cell>
        </row>
        <row r="734">
          <cell r="V734">
            <v>267.99299999999999</v>
          </cell>
        </row>
        <row r="735">
          <cell r="V735">
            <v>267.46600000000001</v>
          </cell>
        </row>
        <row r="736">
          <cell r="V736">
            <v>267.46600000000001</v>
          </cell>
        </row>
        <row r="737">
          <cell r="V737">
            <v>267.46600000000001</v>
          </cell>
        </row>
        <row r="738">
          <cell r="V738">
            <v>267.46600000000001</v>
          </cell>
        </row>
        <row r="739">
          <cell r="V739">
            <v>267.46600000000001</v>
          </cell>
        </row>
        <row r="740">
          <cell r="V740">
            <v>277.16699999999997</v>
          </cell>
        </row>
        <row r="741">
          <cell r="V741">
            <v>297.94100000000003</v>
          </cell>
        </row>
        <row r="742">
          <cell r="V742">
            <v>297.94100000000003</v>
          </cell>
        </row>
        <row r="743">
          <cell r="V743">
            <v>297.94100000000003</v>
          </cell>
        </row>
        <row r="744">
          <cell r="V744">
            <v>297.94100000000003</v>
          </cell>
        </row>
        <row r="745">
          <cell r="V745">
            <v>297.94100000000003</v>
          </cell>
        </row>
        <row r="746">
          <cell r="V746">
            <v>267.99299999999999</v>
          </cell>
        </row>
        <row r="747">
          <cell r="V747">
            <v>267.46600000000001</v>
          </cell>
        </row>
        <row r="748">
          <cell r="V748">
            <v>267.46600000000001</v>
          </cell>
        </row>
        <row r="749">
          <cell r="V749">
            <v>267.46600000000001</v>
          </cell>
        </row>
        <row r="750">
          <cell r="V750">
            <v>267.46600000000001</v>
          </cell>
        </row>
        <row r="751">
          <cell r="V751">
            <v>267.46600000000001</v>
          </cell>
        </row>
        <row r="752">
          <cell r="V752">
            <v>277.16699999999997</v>
          </cell>
        </row>
        <row r="753">
          <cell r="V753">
            <v>297.94100000000003</v>
          </cell>
        </row>
        <row r="754">
          <cell r="V754">
            <v>297.94100000000003</v>
          </cell>
        </row>
        <row r="755">
          <cell r="V755">
            <v>297.94100000000003</v>
          </cell>
        </row>
        <row r="756">
          <cell r="V756">
            <v>297.94100000000003</v>
          </cell>
        </row>
        <row r="757">
          <cell r="V757">
            <v>297.94100000000003</v>
          </cell>
        </row>
        <row r="758">
          <cell r="V758">
            <v>267.99299999999999</v>
          </cell>
        </row>
        <row r="759">
          <cell r="V759">
            <v>267.46600000000001</v>
          </cell>
        </row>
        <row r="760">
          <cell r="V760">
            <v>267.46600000000001</v>
          </cell>
        </row>
        <row r="761">
          <cell r="V761">
            <v>267.46600000000001</v>
          </cell>
        </row>
        <row r="762">
          <cell r="V762">
            <v>267.46600000000001</v>
          </cell>
        </row>
        <row r="763">
          <cell r="V763">
            <v>267.46600000000001</v>
          </cell>
        </row>
        <row r="764">
          <cell r="V764">
            <v>277.16699999999997</v>
          </cell>
        </row>
        <row r="765">
          <cell r="V765">
            <v>297.94100000000003</v>
          </cell>
        </row>
        <row r="766">
          <cell r="V766">
            <v>297.94100000000003</v>
          </cell>
        </row>
        <row r="767">
          <cell r="V767">
            <v>297.94100000000003</v>
          </cell>
        </row>
        <row r="768">
          <cell r="V768">
            <v>297.94100000000003</v>
          </cell>
        </row>
        <row r="769">
          <cell r="V769">
            <v>297.94100000000003</v>
          </cell>
        </row>
        <row r="770">
          <cell r="V770">
            <v>267.99299999999999</v>
          </cell>
        </row>
        <row r="771">
          <cell r="V771">
            <v>267.46600000000001</v>
          </cell>
        </row>
        <row r="772">
          <cell r="V772">
            <v>267.46600000000001</v>
          </cell>
        </row>
        <row r="773">
          <cell r="V773">
            <v>267.46600000000001</v>
          </cell>
        </row>
        <row r="774">
          <cell r="V774">
            <v>267.46600000000001</v>
          </cell>
        </row>
        <row r="775">
          <cell r="V775">
            <v>267.46600000000001</v>
          </cell>
        </row>
        <row r="776">
          <cell r="V776">
            <v>277.16699999999997</v>
          </cell>
        </row>
        <row r="777">
          <cell r="V777">
            <v>297.94100000000003</v>
          </cell>
        </row>
        <row r="778">
          <cell r="V778">
            <v>297.94100000000003</v>
          </cell>
        </row>
        <row r="779">
          <cell r="V779">
            <v>297.94100000000003</v>
          </cell>
        </row>
        <row r="780">
          <cell r="V780">
            <v>297.94100000000003</v>
          </cell>
        </row>
        <row r="781">
          <cell r="V781">
            <v>297.94100000000003</v>
          </cell>
        </row>
        <row r="782">
          <cell r="V782">
            <v>267.99299999999999</v>
          </cell>
        </row>
        <row r="783">
          <cell r="V783">
            <v>267.46600000000001</v>
          </cell>
        </row>
        <row r="784">
          <cell r="V784">
            <v>267.46600000000001</v>
          </cell>
        </row>
        <row r="785">
          <cell r="V785">
            <v>267.46600000000001</v>
          </cell>
        </row>
        <row r="786">
          <cell r="V786">
            <v>267.46600000000001</v>
          </cell>
        </row>
        <row r="787">
          <cell r="V787">
            <v>267.46600000000001</v>
          </cell>
        </row>
        <row r="788">
          <cell r="V788">
            <v>277.16699999999997</v>
          </cell>
        </row>
        <row r="789">
          <cell r="V789">
            <v>297.94100000000003</v>
          </cell>
        </row>
        <row r="790">
          <cell r="V790">
            <v>297.94100000000003</v>
          </cell>
        </row>
        <row r="791">
          <cell r="V791">
            <v>297.94100000000003</v>
          </cell>
        </row>
        <row r="792">
          <cell r="V792">
            <v>297.94100000000003</v>
          </cell>
        </row>
        <row r="793">
          <cell r="V793">
            <v>297.94100000000003</v>
          </cell>
        </row>
        <row r="794">
          <cell r="V794">
            <v>267.99299999999999</v>
          </cell>
        </row>
        <row r="795">
          <cell r="V795">
            <v>267.46600000000001</v>
          </cell>
        </row>
        <row r="796">
          <cell r="V796">
            <v>267.46600000000001</v>
          </cell>
        </row>
        <row r="797">
          <cell r="V797">
            <v>267.46600000000001</v>
          </cell>
        </row>
        <row r="798">
          <cell r="V798">
            <v>267.46600000000001</v>
          </cell>
        </row>
        <row r="799">
          <cell r="V799">
            <v>267.46600000000001</v>
          </cell>
        </row>
        <row r="800">
          <cell r="V800">
            <v>277.16699999999997</v>
          </cell>
        </row>
        <row r="801">
          <cell r="V801">
            <v>297.94100000000003</v>
          </cell>
        </row>
        <row r="802">
          <cell r="V802">
            <v>297.94100000000003</v>
          </cell>
        </row>
        <row r="803">
          <cell r="V803">
            <v>297.94100000000003</v>
          </cell>
        </row>
        <row r="804">
          <cell r="V804">
            <v>297.94100000000003</v>
          </cell>
        </row>
        <row r="805">
          <cell r="V805">
            <v>297.94100000000003</v>
          </cell>
        </row>
        <row r="806">
          <cell r="V806">
            <v>267.99299999999999</v>
          </cell>
        </row>
        <row r="807">
          <cell r="V807">
            <v>267.46600000000001</v>
          </cell>
        </row>
        <row r="808">
          <cell r="V808">
            <v>267.46600000000001</v>
          </cell>
        </row>
        <row r="809">
          <cell r="V809">
            <v>267.46600000000001</v>
          </cell>
        </row>
        <row r="810">
          <cell r="V810">
            <v>267.46600000000001</v>
          </cell>
        </row>
        <row r="811">
          <cell r="V811">
            <v>267.46600000000001</v>
          </cell>
        </row>
        <row r="812">
          <cell r="V812">
            <v>277.16699999999997</v>
          </cell>
        </row>
        <row r="813">
          <cell r="V813">
            <v>297.94100000000003</v>
          </cell>
        </row>
        <row r="814">
          <cell r="V814">
            <v>297.94100000000003</v>
          </cell>
        </row>
        <row r="815">
          <cell r="V815">
            <v>297.94100000000003</v>
          </cell>
        </row>
        <row r="816">
          <cell r="V816">
            <v>297.94100000000003</v>
          </cell>
        </row>
        <row r="817">
          <cell r="V817">
            <v>297.94100000000003</v>
          </cell>
        </row>
        <row r="818">
          <cell r="V818">
            <v>267.99299999999999</v>
          </cell>
        </row>
        <row r="819">
          <cell r="V819">
            <v>267.46600000000001</v>
          </cell>
        </row>
        <row r="820">
          <cell r="V820">
            <v>267.46600000000001</v>
          </cell>
        </row>
        <row r="821">
          <cell r="V821">
            <v>267.46600000000001</v>
          </cell>
        </row>
        <row r="822">
          <cell r="V822">
            <v>267.46600000000001</v>
          </cell>
        </row>
        <row r="823">
          <cell r="V823">
            <v>267.46600000000001</v>
          </cell>
        </row>
        <row r="824">
          <cell r="V824">
            <v>277.16699999999997</v>
          </cell>
        </row>
        <row r="825">
          <cell r="V825">
            <v>297.94100000000003</v>
          </cell>
        </row>
        <row r="826">
          <cell r="V826">
            <v>297.94100000000003</v>
          </cell>
        </row>
        <row r="827">
          <cell r="V827">
            <v>297.94100000000003</v>
          </cell>
        </row>
        <row r="828">
          <cell r="V828">
            <v>297.94100000000003</v>
          </cell>
        </row>
        <row r="829">
          <cell r="V829">
            <v>297.94100000000003</v>
          </cell>
        </row>
        <row r="830">
          <cell r="V830">
            <v>267.99299999999999</v>
          </cell>
        </row>
        <row r="831">
          <cell r="V831">
            <v>267.46600000000001</v>
          </cell>
        </row>
        <row r="832">
          <cell r="V832">
            <v>267.46600000000001</v>
          </cell>
        </row>
        <row r="833">
          <cell r="V833">
            <v>267.46600000000001</v>
          </cell>
        </row>
        <row r="834">
          <cell r="V834">
            <v>267.46600000000001</v>
          </cell>
        </row>
        <row r="835">
          <cell r="V835">
            <v>267.46600000000001</v>
          </cell>
        </row>
        <row r="836">
          <cell r="V836">
            <v>277.16699999999997</v>
          </cell>
        </row>
        <row r="837">
          <cell r="V837">
            <v>297.94100000000003</v>
          </cell>
        </row>
        <row r="838">
          <cell r="V838">
            <v>297.94100000000003</v>
          </cell>
        </row>
        <row r="839">
          <cell r="V839">
            <v>297.94100000000003</v>
          </cell>
        </row>
        <row r="840">
          <cell r="V840">
            <v>297.94100000000003</v>
          </cell>
        </row>
        <row r="841">
          <cell r="V841">
            <v>297.94100000000003</v>
          </cell>
        </row>
        <row r="842">
          <cell r="V842">
            <v>267.99299999999999</v>
          </cell>
        </row>
        <row r="843">
          <cell r="V843">
            <v>267.46600000000001</v>
          </cell>
        </row>
        <row r="844">
          <cell r="V844">
            <v>267.46600000000001</v>
          </cell>
        </row>
        <row r="845">
          <cell r="V845">
            <v>267.46600000000001</v>
          </cell>
        </row>
        <row r="846">
          <cell r="V846">
            <v>267.46600000000001</v>
          </cell>
        </row>
        <row r="847">
          <cell r="V847">
            <v>267.46600000000001</v>
          </cell>
        </row>
        <row r="848">
          <cell r="V848">
            <v>277.16699999999997</v>
          </cell>
        </row>
        <row r="849">
          <cell r="V849">
            <v>297.94100000000003</v>
          </cell>
        </row>
        <row r="850">
          <cell r="V850">
            <v>297.94100000000003</v>
          </cell>
        </row>
        <row r="851">
          <cell r="V851">
            <v>297.94100000000003</v>
          </cell>
        </row>
        <row r="852">
          <cell r="V852">
            <v>297.94100000000003</v>
          </cell>
        </row>
        <row r="853">
          <cell r="V853">
            <v>297.94100000000003</v>
          </cell>
        </row>
        <row r="854">
          <cell r="V854">
            <v>267.99299999999999</v>
          </cell>
        </row>
        <row r="855">
          <cell r="V855">
            <v>267.46600000000001</v>
          </cell>
        </row>
        <row r="856">
          <cell r="V856">
            <v>267.46600000000001</v>
          </cell>
        </row>
        <row r="857">
          <cell r="V857">
            <v>267.46600000000001</v>
          </cell>
        </row>
        <row r="858">
          <cell r="V858">
            <v>267.46600000000001</v>
          </cell>
        </row>
        <row r="859">
          <cell r="V859">
            <v>267.46600000000001</v>
          </cell>
        </row>
        <row r="860">
          <cell r="V860">
            <v>277.16699999999997</v>
          </cell>
        </row>
        <row r="861">
          <cell r="V861">
            <v>297.94100000000003</v>
          </cell>
        </row>
        <row r="862">
          <cell r="V862">
            <v>297.94100000000003</v>
          </cell>
        </row>
        <row r="863">
          <cell r="V863">
            <v>297.94100000000003</v>
          </cell>
        </row>
        <row r="864">
          <cell r="V864">
            <v>297.94100000000003</v>
          </cell>
        </row>
        <row r="865">
          <cell r="V865">
            <v>297.94100000000003</v>
          </cell>
        </row>
        <row r="866">
          <cell r="V866">
            <v>267.99299999999999</v>
          </cell>
        </row>
        <row r="867">
          <cell r="V867">
            <v>267.46600000000001</v>
          </cell>
        </row>
        <row r="868">
          <cell r="V868">
            <v>267.46600000000001</v>
          </cell>
        </row>
        <row r="869">
          <cell r="V869">
            <v>267.46600000000001</v>
          </cell>
        </row>
        <row r="870">
          <cell r="V870">
            <v>267.46600000000001</v>
          </cell>
        </row>
        <row r="871">
          <cell r="V871">
            <v>267.46600000000001</v>
          </cell>
        </row>
        <row r="872">
          <cell r="V872">
            <v>277.16699999999997</v>
          </cell>
        </row>
        <row r="873">
          <cell r="V873">
            <v>297.94100000000003</v>
          </cell>
        </row>
        <row r="874">
          <cell r="V874">
            <v>297.94100000000003</v>
          </cell>
        </row>
        <row r="875">
          <cell r="V875">
            <v>297.94100000000003</v>
          </cell>
        </row>
        <row r="876">
          <cell r="V876">
            <v>297.94100000000003</v>
          </cell>
        </row>
        <row r="877">
          <cell r="V877">
            <v>297.94100000000003</v>
          </cell>
        </row>
        <row r="878">
          <cell r="V878">
            <v>267.99299999999999</v>
          </cell>
        </row>
        <row r="879">
          <cell r="V879">
            <v>267.46600000000001</v>
          </cell>
        </row>
        <row r="880">
          <cell r="V880">
            <v>267.46600000000001</v>
          </cell>
        </row>
        <row r="881">
          <cell r="V881">
            <v>267.46600000000001</v>
          </cell>
        </row>
        <row r="882">
          <cell r="V882">
            <v>267.46600000000001</v>
          </cell>
        </row>
        <row r="883">
          <cell r="V883">
            <v>267.46600000000001</v>
          </cell>
        </row>
        <row r="884">
          <cell r="V884">
            <v>277.16699999999997</v>
          </cell>
        </row>
        <row r="885">
          <cell r="V885">
            <v>297.94100000000003</v>
          </cell>
        </row>
        <row r="886">
          <cell r="V886">
            <v>297.94100000000003</v>
          </cell>
        </row>
        <row r="887">
          <cell r="V887">
            <v>297.94100000000003</v>
          </cell>
        </row>
        <row r="888">
          <cell r="V888">
            <v>297.94100000000003</v>
          </cell>
        </row>
        <row r="889">
          <cell r="V889">
            <v>297.94100000000003</v>
          </cell>
        </row>
        <row r="890">
          <cell r="V890">
            <v>267.99299999999999</v>
          </cell>
        </row>
        <row r="891">
          <cell r="V891">
            <v>267.46600000000001</v>
          </cell>
        </row>
        <row r="892">
          <cell r="V892">
            <v>267.46600000000001</v>
          </cell>
        </row>
        <row r="893">
          <cell r="V893">
            <v>267.46600000000001</v>
          </cell>
        </row>
        <row r="894">
          <cell r="V894">
            <v>267.46600000000001</v>
          </cell>
        </row>
        <row r="895">
          <cell r="V895">
            <v>267.46600000000001</v>
          </cell>
        </row>
        <row r="896">
          <cell r="V896">
            <v>277.16699999999997</v>
          </cell>
        </row>
        <row r="897">
          <cell r="V897">
            <v>297.94100000000003</v>
          </cell>
        </row>
        <row r="898">
          <cell r="V898">
            <v>297.94100000000003</v>
          </cell>
        </row>
        <row r="899">
          <cell r="V899">
            <v>297.94100000000003</v>
          </cell>
        </row>
        <row r="900">
          <cell r="V900">
            <v>297.94100000000003</v>
          </cell>
        </row>
        <row r="901">
          <cell r="V901">
            <v>297.94100000000003</v>
          </cell>
        </row>
        <row r="902">
          <cell r="V902">
            <v>267.99299999999999</v>
          </cell>
        </row>
        <row r="903">
          <cell r="V903">
            <v>267.46600000000001</v>
          </cell>
        </row>
        <row r="904">
          <cell r="V904">
            <v>267.46600000000001</v>
          </cell>
        </row>
        <row r="905">
          <cell r="V905">
            <v>267.46600000000001</v>
          </cell>
        </row>
        <row r="906">
          <cell r="V906">
            <v>267.46600000000001</v>
          </cell>
        </row>
        <row r="907">
          <cell r="V907">
            <v>267.46600000000001</v>
          </cell>
        </row>
        <row r="908">
          <cell r="V908">
            <v>277.16699999999997</v>
          </cell>
        </row>
        <row r="909">
          <cell r="V909">
            <v>297.94100000000003</v>
          </cell>
        </row>
        <row r="910">
          <cell r="V910">
            <v>297.94100000000003</v>
          </cell>
        </row>
        <row r="911">
          <cell r="V911">
            <v>297.94100000000003</v>
          </cell>
        </row>
        <row r="912">
          <cell r="V912">
            <v>297.94100000000003</v>
          </cell>
        </row>
        <row r="913">
          <cell r="V913">
            <v>297.94100000000003</v>
          </cell>
        </row>
        <row r="914">
          <cell r="V914">
            <v>267.99299999999999</v>
          </cell>
        </row>
        <row r="915">
          <cell r="V915">
            <v>267.46600000000001</v>
          </cell>
        </row>
        <row r="916">
          <cell r="V916">
            <v>267.46600000000001</v>
          </cell>
        </row>
        <row r="917">
          <cell r="V917">
            <v>267.46600000000001</v>
          </cell>
        </row>
        <row r="918">
          <cell r="V918">
            <v>267.46600000000001</v>
          </cell>
        </row>
        <row r="919">
          <cell r="V919">
            <v>267.46600000000001</v>
          </cell>
        </row>
        <row r="920">
          <cell r="V920">
            <v>277.16699999999997</v>
          </cell>
        </row>
        <row r="921">
          <cell r="V921">
            <v>297.94100000000003</v>
          </cell>
        </row>
        <row r="922">
          <cell r="V922">
            <v>297.94100000000003</v>
          </cell>
        </row>
        <row r="923">
          <cell r="V923">
            <v>297.94100000000003</v>
          </cell>
        </row>
        <row r="924">
          <cell r="V924">
            <v>297.94100000000003</v>
          </cell>
        </row>
        <row r="925">
          <cell r="V925">
            <v>297.94100000000003</v>
          </cell>
        </row>
        <row r="926">
          <cell r="V926">
            <v>267.99299999999999</v>
          </cell>
        </row>
        <row r="927">
          <cell r="V927">
            <v>267.46600000000001</v>
          </cell>
        </row>
        <row r="928">
          <cell r="V928">
            <v>267.46600000000001</v>
          </cell>
        </row>
        <row r="929">
          <cell r="V929">
            <v>267.46600000000001</v>
          </cell>
        </row>
        <row r="930">
          <cell r="V930">
            <v>267.46600000000001</v>
          </cell>
        </row>
        <row r="931">
          <cell r="V931">
            <v>267.46600000000001</v>
          </cell>
        </row>
        <row r="932">
          <cell r="V932">
            <v>277.16699999999997</v>
          </cell>
        </row>
        <row r="933">
          <cell r="V933">
            <v>297.94100000000003</v>
          </cell>
        </row>
        <row r="934">
          <cell r="V934">
            <v>297.94100000000003</v>
          </cell>
        </row>
        <row r="935">
          <cell r="V935">
            <v>297.94100000000003</v>
          </cell>
        </row>
        <row r="936">
          <cell r="V936">
            <v>297.94100000000003</v>
          </cell>
        </row>
        <row r="937">
          <cell r="V937">
            <v>297.94100000000003</v>
          </cell>
        </row>
        <row r="938">
          <cell r="V938">
            <v>267.99299999999999</v>
          </cell>
        </row>
        <row r="939">
          <cell r="V939">
            <v>267.46600000000001</v>
          </cell>
        </row>
        <row r="940">
          <cell r="V940">
            <v>267.46600000000001</v>
          </cell>
        </row>
        <row r="941">
          <cell r="V941">
            <v>267.46600000000001</v>
          </cell>
        </row>
        <row r="942">
          <cell r="V942">
            <v>267.46600000000001</v>
          </cell>
        </row>
        <row r="943">
          <cell r="V943">
            <v>267.46600000000001</v>
          </cell>
        </row>
        <row r="944">
          <cell r="V944">
            <v>277.16699999999997</v>
          </cell>
        </row>
        <row r="945">
          <cell r="V945">
            <v>297.94100000000003</v>
          </cell>
        </row>
        <row r="946">
          <cell r="V946">
            <v>297.94100000000003</v>
          </cell>
        </row>
        <row r="947">
          <cell r="V947">
            <v>297.94100000000003</v>
          </cell>
        </row>
        <row r="948">
          <cell r="V948">
            <v>297.94100000000003</v>
          </cell>
        </row>
        <row r="949">
          <cell r="V949">
            <v>297.94100000000003</v>
          </cell>
        </row>
        <row r="950">
          <cell r="V950">
            <v>267.99299999999999</v>
          </cell>
        </row>
        <row r="951">
          <cell r="V951">
            <v>267.46600000000001</v>
          </cell>
        </row>
        <row r="952">
          <cell r="V952">
            <v>267.46600000000001</v>
          </cell>
        </row>
        <row r="953">
          <cell r="V953">
            <v>267.46600000000001</v>
          </cell>
        </row>
        <row r="954">
          <cell r="V954">
            <v>267.46600000000001</v>
          </cell>
        </row>
        <row r="955">
          <cell r="V955">
            <v>267.46600000000001</v>
          </cell>
        </row>
        <row r="956">
          <cell r="V956">
            <v>277.16699999999997</v>
          </cell>
        </row>
        <row r="957">
          <cell r="V957">
            <v>297.94100000000003</v>
          </cell>
        </row>
        <row r="958">
          <cell r="V958">
            <v>297.94100000000003</v>
          </cell>
        </row>
        <row r="959">
          <cell r="V959">
            <v>297.94100000000003</v>
          </cell>
        </row>
        <row r="960">
          <cell r="V960">
            <v>297.94100000000003</v>
          </cell>
        </row>
        <row r="961">
          <cell r="V961">
            <v>297.94100000000003</v>
          </cell>
        </row>
        <row r="962">
          <cell r="V962">
            <v>267.99299999999999</v>
          </cell>
        </row>
        <row r="963">
          <cell r="V963">
            <v>267.46600000000001</v>
          </cell>
        </row>
        <row r="964">
          <cell r="V964">
            <v>267.46600000000001</v>
          </cell>
        </row>
        <row r="965">
          <cell r="V965">
            <v>267.46600000000001</v>
          </cell>
        </row>
        <row r="966">
          <cell r="V966">
            <v>267.46600000000001</v>
          </cell>
        </row>
        <row r="967">
          <cell r="V967">
            <v>267.46600000000001</v>
          </cell>
        </row>
        <row r="968">
          <cell r="V968">
            <v>277.16699999999997</v>
          </cell>
        </row>
        <row r="969">
          <cell r="V969">
            <v>297.94100000000003</v>
          </cell>
        </row>
        <row r="970">
          <cell r="V970">
            <v>297.94100000000003</v>
          </cell>
        </row>
        <row r="971">
          <cell r="V971">
            <v>297.94100000000003</v>
          </cell>
        </row>
        <row r="972">
          <cell r="V972">
            <v>297.94100000000003</v>
          </cell>
        </row>
        <row r="973">
          <cell r="V973">
            <v>297.94100000000003</v>
          </cell>
        </row>
        <row r="974">
          <cell r="V974">
            <v>267.99299999999999</v>
          </cell>
        </row>
        <row r="975">
          <cell r="V975">
            <v>267.46600000000001</v>
          </cell>
        </row>
        <row r="976">
          <cell r="V976">
            <v>267.46600000000001</v>
          </cell>
        </row>
        <row r="977">
          <cell r="V977">
            <v>267.46600000000001</v>
          </cell>
        </row>
        <row r="978">
          <cell r="V978">
            <v>267.46600000000001</v>
          </cell>
        </row>
        <row r="979">
          <cell r="V979">
            <v>267.46600000000001</v>
          </cell>
        </row>
        <row r="980">
          <cell r="V980">
            <v>277.16699999999997</v>
          </cell>
        </row>
        <row r="981">
          <cell r="V981">
            <v>297.94100000000003</v>
          </cell>
        </row>
        <row r="982">
          <cell r="V982">
            <v>297.94100000000003</v>
          </cell>
        </row>
        <row r="983">
          <cell r="V983">
            <v>297.94100000000003</v>
          </cell>
        </row>
        <row r="984">
          <cell r="V984">
            <v>297.94100000000003</v>
          </cell>
        </row>
        <row r="985">
          <cell r="V985">
            <v>297.94100000000003</v>
          </cell>
        </row>
        <row r="986">
          <cell r="V986">
            <v>267.99299999999999</v>
          </cell>
        </row>
        <row r="987">
          <cell r="V987">
            <v>267.46600000000001</v>
          </cell>
        </row>
        <row r="988">
          <cell r="V988">
            <v>267.46600000000001</v>
          </cell>
        </row>
        <row r="989">
          <cell r="V989">
            <v>267.46600000000001</v>
          </cell>
        </row>
        <row r="990">
          <cell r="V990">
            <v>267.46600000000001</v>
          </cell>
        </row>
        <row r="991">
          <cell r="V991">
            <v>267.46600000000001</v>
          </cell>
        </row>
        <row r="992">
          <cell r="V992">
            <v>277.16699999999997</v>
          </cell>
        </row>
        <row r="993">
          <cell r="V993">
            <v>297.94100000000003</v>
          </cell>
        </row>
        <row r="994">
          <cell r="V994">
            <v>297.94100000000003</v>
          </cell>
        </row>
        <row r="995">
          <cell r="V995">
            <v>297.94100000000003</v>
          </cell>
        </row>
        <row r="996">
          <cell r="V996">
            <v>297.94100000000003</v>
          </cell>
        </row>
        <row r="997">
          <cell r="V997">
            <v>297.94100000000003</v>
          </cell>
        </row>
        <row r="998">
          <cell r="V998">
            <v>267.99299999999999</v>
          </cell>
        </row>
        <row r="999">
          <cell r="V999">
            <v>267.46600000000001</v>
          </cell>
        </row>
        <row r="1000">
          <cell r="V1000">
            <v>267.46600000000001</v>
          </cell>
        </row>
        <row r="1001">
          <cell r="V1001">
            <v>267.46600000000001</v>
          </cell>
        </row>
        <row r="1002">
          <cell r="V1002">
            <v>267.46600000000001</v>
          </cell>
        </row>
        <row r="1003">
          <cell r="V1003">
            <v>267.46600000000001</v>
          </cell>
        </row>
        <row r="1004">
          <cell r="V1004">
            <v>277.16699999999997</v>
          </cell>
        </row>
        <row r="1005">
          <cell r="V1005">
            <v>297.94100000000003</v>
          </cell>
        </row>
        <row r="1006">
          <cell r="V1006">
            <v>297.94100000000003</v>
          </cell>
        </row>
        <row r="1007">
          <cell r="V1007">
            <v>297.94100000000003</v>
          </cell>
        </row>
        <row r="1008">
          <cell r="V1008">
            <v>297.94100000000003</v>
          </cell>
        </row>
        <row r="1009">
          <cell r="V1009">
            <v>297.94100000000003</v>
          </cell>
        </row>
        <row r="1010">
          <cell r="V1010">
            <v>267.99299999999999</v>
          </cell>
        </row>
        <row r="1011">
          <cell r="V1011">
            <v>267.46600000000001</v>
          </cell>
        </row>
        <row r="1012">
          <cell r="V1012">
            <v>267.46600000000001</v>
          </cell>
        </row>
        <row r="1013">
          <cell r="V1013">
            <v>267.46600000000001</v>
          </cell>
        </row>
        <row r="1014">
          <cell r="V1014">
            <v>267.46600000000001</v>
          </cell>
        </row>
        <row r="1015">
          <cell r="V1015">
            <v>267.46600000000001</v>
          </cell>
        </row>
        <row r="1016">
          <cell r="V1016">
            <v>277.16699999999997</v>
          </cell>
        </row>
        <row r="1017">
          <cell r="V1017">
            <v>297.94100000000003</v>
          </cell>
        </row>
        <row r="1018">
          <cell r="V1018">
            <v>297.94100000000003</v>
          </cell>
        </row>
        <row r="1019">
          <cell r="V1019">
            <v>297.94100000000003</v>
          </cell>
        </row>
        <row r="1020">
          <cell r="V1020">
            <v>297.94100000000003</v>
          </cell>
        </row>
        <row r="1021">
          <cell r="V1021">
            <v>297.94100000000003</v>
          </cell>
        </row>
        <row r="1022">
          <cell r="V1022">
            <v>267.99299999999999</v>
          </cell>
        </row>
        <row r="1023">
          <cell r="V1023">
            <v>267.46600000000001</v>
          </cell>
        </row>
        <row r="1024">
          <cell r="V1024">
            <v>267.46600000000001</v>
          </cell>
        </row>
        <row r="1025">
          <cell r="V1025">
            <v>267.46600000000001</v>
          </cell>
        </row>
        <row r="1026">
          <cell r="V1026">
            <v>267.46600000000001</v>
          </cell>
        </row>
        <row r="1027">
          <cell r="V1027">
            <v>267.46600000000001</v>
          </cell>
        </row>
        <row r="1028">
          <cell r="V1028">
            <v>277.16699999999997</v>
          </cell>
        </row>
        <row r="1029">
          <cell r="V1029">
            <v>297.94100000000003</v>
          </cell>
        </row>
        <row r="1030">
          <cell r="V1030">
            <v>297.94100000000003</v>
          </cell>
        </row>
        <row r="1031">
          <cell r="V1031">
            <v>297.94100000000003</v>
          </cell>
        </row>
        <row r="1032">
          <cell r="V1032">
            <v>297.94100000000003</v>
          </cell>
        </row>
        <row r="1033">
          <cell r="V1033">
            <v>297.94100000000003</v>
          </cell>
        </row>
        <row r="1034">
          <cell r="V1034">
            <v>267.99299999999999</v>
          </cell>
        </row>
        <row r="1035">
          <cell r="V1035">
            <v>267.46600000000001</v>
          </cell>
        </row>
        <row r="1036">
          <cell r="V1036">
            <v>267.46600000000001</v>
          </cell>
        </row>
        <row r="1037">
          <cell r="V1037">
            <v>267.46600000000001</v>
          </cell>
        </row>
        <row r="1038">
          <cell r="V1038">
            <v>267.46600000000001</v>
          </cell>
        </row>
        <row r="1039">
          <cell r="V1039">
            <v>267.46600000000001</v>
          </cell>
        </row>
        <row r="1040">
          <cell r="V1040">
            <v>277.16699999999997</v>
          </cell>
        </row>
        <row r="1041">
          <cell r="V1041">
            <v>297.94100000000003</v>
          </cell>
        </row>
        <row r="1042">
          <cell r="V1042">
            <v>297.94100000000003</v>
          </cell>
        </row>
        <row r="1043">
          <cell r="V1043">
            <v>297.94100000000003</v>
          </cell>
        </row>
        <row r="1044">
          <cell r="V1044">
            <v>297.94100000000003</v>
          </cell>
        </row>
        <row r="1045">
          <cell r="V1045">
            <v>297.94100000000003</v>
          </cell>
        </row>
        <row r="1046">
          <cell r="V1046">
            <v>267.99299999999999</v>
          </cell>
        </row>
        <row r="1047">
          <cell r="V1047">
            <v>267.46600000000001</v>
          </cell>
        </row>
        <row r="1048">
          <cell r="V1048">
            <v>267.46600000000001</v>
          </cell>
        </row>
        <row r="1049">
          <cell r="V1049">
            <v>267.46600000000001</v>
          </cell>
        </row>
        <row r="1050">
          <cell r="V1050">
            <v>267.46600000000001</v>
          </cell>
        </row>
        <row r="1051">
          <cell r="V1051">
            <v>267.46600000000001</v>
          </cell>
        </row>
        <row r="1052">
          <cell r="V1052">
            <v>277.16699999999997</v>
          </cell>
        </row>
        <row r="1053">
          <cell r="V1053">
            <v>297.94100000000003</v>
          </cell>
        </row>
        <row r="1054">
          <cell r="V1054">
            <v>297.94100000000003</v>
          </cell>
        </row>
        <row r="1055">
          <cell r="V1055">
            <v>297.94100000000003</v>
          </cell>
        </row>
        <row r="1056">
          <cell r="V1056">
            <v>297.94100000000003</v>
          </cell>
        </row>
        <row r="1057">
          <cell r="V1057">
            <v>297.94100000000003</v>
          </cell>
        </row>
        <row r="1058">
          <cell r="V1058">
            <v>267.99299999999999</v>
          </cell>
        </row>
        <row r="1059">
          <cell r="V1059">
            <v>267.46600000000001</v>
          </cell>
        </row>
        <row r="1060">
          <cell r="V1060">
            <v>267.46600000000001</v>
          </cell>
        </row>
        <row r="1061">
          <cell r="V1061">
            <v>267.46600000000001</v>
          </cell>
        </row>
        <row r="1062">
          <cell r="V1062">
            <v>267.46600000000001</v>
          </cell>
        </row>
        <row r="1063">
          <cell r="V1063">
            <v>267.46600000000001</v>
          </cell>
        </row>
        <row r="1064">
          <cell r="V1064">
            <v>277.16699999999997</v>
          </cell>
        </row>
        <row r="1065">
          <cell r="V1065">
            <v>297.94100000000003</v>
          </cell>
        </row>
        <row r="1066">
          <cell r="V1066">
            <v>297.94100000000003</v>
          </cell>
        </row>
        <row r="1067">
          <cell r="V1067">
            <v>297.94100000000003</v>
          </cell>
        </row>
        <row r="1068">
          <cell r="V1068">
            <v>297.94100000000003</v>
          </cell>
        </row>
        <row r="1069">
          <cell r="V1069">
            <v>297.94100000000003</v>
          </cell>
        </row>
        <row r="1070">
          <cell r="V1070">
            <v>267.99299999999999</v>
          </cell>
        </row>
        <row r="1071">
          <cell r="V1071">
            <v>267.46600000000001</v>
          </cell>
        </row>
        <row r="1072">
          <cell r="V1072">
            <v>267.46600000000001</v>
          </cell>
        </row>
        <row r="1073">
          <cell r="V1073">
            <v>267.46600000000001</v>
          </cell>
        </row>
        <row r="1074">
          <cell r="V1074">
            <v>267.46600000000001</v>
          </cell>
        </row>
        <row r="1075">
          <cell r="V1075">
            <v>267.46600000000001</v>
          </cell>
        </row>
        <row r="1076">
          <cell r="V1076">
            <v>277.16699999999997</v>
          </cell>
        </row>
        <row r="1077">
          <cell r="V1077">
            <v>297.94100000000003</v>
          </cell>
        </row>
        <row r="1078">
          <cell r="V1078">
            <v>297.94100000000003</v>
          </cell>
        </row>
      </sheetData>
      <sheetData sheetId="9">
        <row r="95">
          <cell r="V95">
            <v>89.177000000000007</v>
          </cell>
        </row>
        <row r="96">
          <cell r="V96">
            <v>89.177000000000007</v>
          </cell>
        </row>
        <row r="97">
          <cell r="V97">
            <v>89.177000000000007</v>
          </cell>
        </row>
        <row r="98">
          <cell r="V98">
            <v>115.01600000000001</v>
          </cell>
        </row>
        <row r="99">
          <cell r="V99">
            <v>133.845</v>
          </cell>
        </row>
        <row r="100">
          <cell r="V100">
            <v>133.845</v>
          </cell>
        </row>
        <row r="101">
          <cell r="V101">
            <v>133.845</v>
          </cell>
        </row>
        <row r="102">
          <cell r="V102">
            <v>133.845</v>
          </cell>
        </row>
        <row r="103">
          <cell r="V103">
            <v>133.845</v>
          </cell>
        </row>
        <row r="104">
          <cell r="V104">
            <v>79.08</v>
          </cell>
        </row>
        <row r="105">
          <cell r="V105">
            <v>89.177000000000007</v>
          </cell>
        </row>
        <row r="106">
          <cell r="V106">
            <v>89.177000000000007</v>
          </cell>
        </row>
        <row r="107">
          <cell r="V107">
            <v>89.177000000000007</v>
          </cell>
        </row>
        <row r="108">
          <cell r="V108">
            <v>89.177000000000007</v>
          </cell>
        </row>
        <row r="109">
          <cell r="V109">
            <v>89.177000000000007</v>
          </cell>
        </row>
        <row r="110">
          <cell r="V110">
            <v>115.01600000000001</v>
          </cell>
        </row>
        <row r="111">
          <cell r="V111">
            <v>133.845</v>
          </cell>
        </row>
        <row r="112">
          <cell r="V112">
            <v>133.845</v>
          </cell>
        </row>
        <row r="113">
          <cell r="V113">
            <v>133.845</v>
          </cell>
        </row>
        <row r="114">
          <cell r="V114">
            <v>133.845</v>
          </cell>
        </row>
        <row r="115">
          <cell r="V115">
            <v>133.845</v>
          </cell>
        </row>
        <row r="116">
          <cell r="V116">
            <v>79.08</v>
          </cell>
        </row>
        <row r="117">
          <cell r="V117">
            <v>89.177000000000007</v>
          </cell>
        </row>
        <row r="118">
          <cell r="V118">
            <v>89.177000000000007</v>
          </cell>
        </row>
        <row r="119">
          <cell r="V119">
            <v>89.177000000000007</v>
          </cell>
        </row>
        <row r="120">
          <cell r="V120">
            <v>89.177000000000007</v>
          </cell>
        </row>
        <row r="121">
          <cell r="V121">
            <v>89.177000000000007</v>
          </cell>
        </row>
        <row r="122">
          <cell r="V122">
            <v>115.01600000000001</v>
          </cell>
        </row>
        <row r="123">
          <cell r="V123">
            <v>133.845</v>
          </cell>
        </row>
        <row r="124">
          <cell r="V124">
            <v>133.845</v>
          </cell>
        </row>
        <row r="125">
          <cell r="V125">
            <v>133.845</v>
          </cell>
        </row>
        <row r="126">
          <cell r="V126">
            <v>133.845</v>
          </cell>
        </row>
        <row r="127">
          <cell r="V127">
            <v>133.845</v>
          </cell>
        </row>
        <row r="128">
          <cell r="V128">
            <v>79.08</v>
          </cell>
        </row>
        <row r="129">
          <cell r="V129">
            <v>89.177000000000007</v>
          </cell>
        </row>
        <row r="130">
          <cell r="V130">
            <v>89.177000000000007</v>
          </cell>
        </row>
        <row r="131">
          <cell r="V131">
            <v>89.177000000000007</v>
          </cell>
        </row>
        <row r="132">
          <cell r="V132">
            <v>89.177000000000007</v>
          </cell>
        </row>
        <row r="133">
          <cell r="V133">
            <v>89.177000000000007</v>
          </cell>
        </row>
        <row r="134">
          <cell r="V134">
            <v>115.01600000000001</v>
          </cell>
        </row>
        <row r="135">
          <cell r="V135">
            <v>133.845</v>
          </cell>
        </row>
        <row r="136">
          <cell r="V136">
            <v>133.845</v>
          </cell>
        </row>
        <row r="137">
          <cell r="V137">
            <v>133.845</v>
          </cell>
        </row>
        <row r="138">
          <cell r="V138">
            <v>133.845</v>
          </cell>
        </row>
        <row r="139">
          <cell r="V139">
            <v>133.845</v>
          </cell>
        </row>
        <row r="140">
          <cell r="V140">
            <v>79.08</v>
          </cell>
        </row>
        <row r="141">
          <cell r="V141">
            <v>89.177000000000007</v>
          </cell>
        </row>
        <row r="142">
          <cell r="V142">
            <v>89.177000000000007</v>
          </cell>
        </row>
        <row r="143">
          <cell r="V143">
            <v>89.177000000000007</v>
          </cell>
        </row>
        <row r="144">
          <cell r="V144">
            <v>89.177000000000007</v>
          </cell>
        </row>
        <row r="145">
          <cell r="V145">
            <v>89.177000000000007</v>
          </cell>
        </row>
        <row r="146">
          <cell r="V146">
            <v>115.01600000000001</v>
          </cell>
        </row>
        <row r="147">
          <cell r="V147">
            <v>133.845</v>
          </cell>
        </row>
        <row r="148">
          <cell r="V148">
            <v>133.845</v>
          </cell>
        </row>
        <row r="149">
          <cell r="V149">
            <v>133.845</v>
          </cell>
        </row>
        <row r="150">
          <cell r="V150">
            <v>133.845</v>
          </cell>
        </row>
        <row r="151">
          <cell r="V151">
            <v>133.845</v>
          </cell>
        </row>
        <row r="152">
          <cell r="V152">
            <v>79.08</v>
          </cell>
        </row>
        <row r="153">
          <cell r="V153">
            <v>89.177000000000007</v>
          </cell>
        </row>
        <row r="154">
          <cell r="V154">
            <v>89.177000000000007</v>
          </cell>
        </row>
        <row r="155">
          <cell r="V155">
            <v>89.177000000000007</v>
          </cell>
        </row>
        <row r="156">
          <cell r="V156">
            <v>89.177000000000007</v>
          </cell>
        </row>
        <row r="157">
          <cell r="V157">
            <v>89.177000000000007</v>
          </cell>
        </row>
        <row r="158">
          <cell r="V158">
            <v>115.01600000000001</v>
          </cell>
        </row>
        <row r="159">
          <cell r="V159">
            <v>133.845</v>
          </cell>
        </row>
        <row r="160">
          <cell r="V160">
            <v>133.845</v>
          </cell>
        </row>
        <row r="161">
          <cell r="V161">
            <v>133.845</v>
          </cell>
        </row>
        <row r="162">
          <cell r="V162">
            <v>133.845</v>
          </cell>
        </row>
        <row r="163">
          <cell r="V163">
            <v>133.845</v>
          </cell>
        </row>
        <row r="164">
          <cell r="V164">
            <v>79.08</v>
          </cell>
        </row>
        <row r="165">
          <cell r="V165">
            <v>89.177000000000007</v>
          </cell>
        </row>
        <row r="166">
          <cell r="V166">
            <v>89.177000000000007</v>
          </cell>
        </row>
        <row r="167">
          <cell r="V167">
            <v>89.177000000000007</v>
          </cell>
        </row>
        <row r="168">
          <cell r="V168">
            <v>89.177000000000007</v>
          </cell>
        </row>
        <row r="169">
          <cell r="V169">
            <v>89.177000000000007</v>
          </cell>
        </row>
        <row r="170">
          <cell r="V170">
            <v>115.01600000000001</v>
          </cell>
        </row>
        <row r="171">
          <cell r="V171">
            <v>133.845</v>
          </cell>
        </row>
        <row r="172">
          <cell r="V172">
            <v>133.845</v>
          </cell>
        </row>
        <row r="173">
          <cell r="V173">
            <v>133.845</v>
          </cell>
        </row>
        <row r="174">
          <cell r="V174">
            <v>133.845</v>
          </cell>
        </row>
        <row r="175">
          <cell r="V175">
            <v>133.845</v>
          </cell>
        </row>
        <row r="176">
          <cell r="V176">
            <v>79.08</v>
          </cell>
        </row>
        <row r="177">
          <cell r="V177">
            <v>89.177000000000007</v>
          </cell>
        </row>
        <row r="178">
          <cell r="V178">
            <v>89.177000000000007</v>
          </cell>
        </row>
        <row r="179">
          <cell r="V179">
            <v>89.177000000000007</v>
          </cell>
        </row>
        <row r="180">
          <cell r="V180">
            <v>89.177000000000007</v>
          </cell>
        </row>
        <row r="181">
          <cell r="V181">
            <v>89.177000000000007</v>
          </cell>
        </row>
        <row r="182">
          <cell r="V182">
            <v>115.01600000000001</v>
          </cell>
        </row>
        <row r="183">
          <cell r="V183">
            <v>133.845</v>
          </cell>
        </row>
        <row r="184">
          <cell r="V184">
            <v>133.845</v>
          </cell>
        </row>
        <row r="185">
          <cell r="V185">
            <v>133.845</v>
          </cell>
        </row>
        <row r="186">
          <cell r="V186">
            <v>133.845</v>
          </cell>
        </row>
        <row r="187">
          <cell r="V187">
            <v>133.845</v>
          </cell>
        </row>
        <row r="188">
          <cell r="V188">
            <v>79.08</v>
          </cell>
        </row>
        <row r="189">
          <cell r="V189">
            <v>89.177000000000007</v>
          </cell>
        </row>
        <row r="190">
          <cell r="V190">
            <v>89.177000000000007</v>
          </cell>
        </row>
        <row r="191">
          <cell r="V191">
            <v>89.177000000000007</v>
          </cell>
        </row>
        <row r="192">
          <cell r="V192">
            <v>89.177000000000007</v>
          </cell>
        </row>
        <row r="193">
          <cell r="V193">
            <v>89.177000000000007</v>
          </cell>
        </row>
        <row r="194">
          <cell r="V194">
            <v>115.01600000000001</v>
          </cell>
        </row>
        <row r="195">
          <cell r="V195">
            <v>133.845</v>
          </cell>
        </row>
        <row r="196">
          <cell r="V196">
            <v>133.845</v>
          </cell>
        </row>
        <row r="197">
          <cell r="V197">
            <v>133.845</v>
          </cell>
        </row>
        <row r="198">
          <cell r="V198">
            <v>133.845</v>
          </cell>
        </row>
        <row r="199">
          <cell r="V199">
            <v>133.845</v>
          </cell>
        </row>
        <row r="200">
          <cell r="V200">
            <v>79.08</v>
          </cell>
        </row>
        <row r="201">
          <cell r="V201">
            <v>89.177000000000007</v>
          </cell>
        </row>
        <row r="202">
          <cell r="V202">
            <v>89.177000000000007</v>
          </cell>
        </row>
        <row r="203">
          <cell r="V203">
            <v>89.177000000000007</v>
          </cell>
        </row>
        <row r="204">
          <cell r="V204">
            <v>89.177000000000007</v>
          </cell>
        </row>
        <row r="205">
          <cell r="V205">
            <v>89.177000000000007</v>
          </cell>
        </row>
        <row r="206">
          <cell r="V206">
            <v>115.01600000000001</v>
          </cell>
        </row>
        <row r="207">
          <cell r="V207">
            <v>133.845</v>
          </cell>
        </row>
        <row r="208">
          <cell r="V208">
            <v>133.845</v>
          </cell>
        </row>
        <row r="209">
          <cell r="V209">
            <v>133.845</v>
          </cell>
        </row>
        <row r="210">
          <cell r="V210">
            <v>133.845</v>
          </cell>
        </row>
        <row r="211">
          <cell r="V211">
            <v>133.845</v>
          </cell>
        </row>
        <row r="212">
          <cell r="V212">
            <v>79.08</v>
          </cell>
        </row>
        <row r="213">
          <cell r="V213">
            <v>89.177000000000007</v>
          </cell>
        </row>
        <row r="214">
          <cell r="V214">
            <v>89.177000000000007</v>
          </cell>
        </row>
        <row r="215">
          <cell r="V215">
            <v>89.177000000000007</v>
          </cell>
        </row>
        <row r="216">
          <cell r="V216">
            <v>89.177000000000007</v>
          </cell>
        </row>
        <row r="217">
          <cell r="V217">
            <v>89.177000000000007</v>
          </cell>
        </row>
        <row r="218">
          <cell r="V218">
            <v>115.01600000000001</v>
          </cell>
        </row>
        <row r="219">
          <cell r="V219">
            <v>133.845</v>
          </cell>
        </row>
        <row r="220">
          <cell r="V220">
            <v>133.845</v>
          </cell>
        </row>
        <row r="221">
          <cell r="V221">
            <v>133.845</v>
          </cell>
        </row>
        <row r="222">
          <cell r="V222">
            <v>133.845</v>
          </cell>
        </row>
        <row r="223">
          <cell r="V223">
            <v>133.845</v>
          </cell>
        </row>
        <row r="224">
          <cell r="V224">
            <v>79.08</v>
          </cell>
        </row>
        <row r="225">
          <cell r="V225">
            <v>89.177000000000007</v>
          </cell>
        </row>
        <row r="226">
          <cell r="V226">
            <v>89.177000000000007</v>
          </cell>
        </row>
        <row r="227">
          <cell r="V227">
            <v>89.177000000000007</v>
          </cell>
        </row>
        <row r="228">
          <cell r="V228">
            <v>89.177000000000007</v>
          </cell>
        </row>
        <row r="229">
          <cell r="V229">
            <v>89.177000000000007</v>
          </cell>
        </row>
        <row r="230">
          <cell r="V230">
            <v>115.01600000000001</v>
          </cell>
        </row>
        <row r="231">
          <cell r="V231">
            <v>133.845</v>
          </cell>
        </row>
        <row r="232">
          <cell r="V232">
            <v>133.845</v>
          </cell>
        </row>
        <row r="233">
          <cell r="V233">
            <v>133.845</v>
          </cell>
        </row>
        <row r="234">
          <cell r="V234">
            <v>133.845</v>
          </cell>
        </row>
        <row r="235">
          <cell r="V235">
            <v>133.845</v>
          </cell>
        </row>
        <row r="236">
          <cell r="V236">
            <v>79.08</v>
          </cell>
        </row>
        <row r="237">
          <cell r="V237">
            <v>89.177000000000007</v>
          </cell>
        </row>
        <row r="238">
          <cell r="V238">
            <v>89.177000000000007</v>
          </cell>
        </row>
        <row r="239">
          <cell r="V239">
            <v>89.177000000000007</v>
          </cell>
        </row>
        <row r="240">
          <cell r="V240">
            <v>89.177000000000007</v>
          </cell>
        </row>
        <row r="241">
          <cell r="V241">
            <v>89.177000000000007</v>
          </cell>
        </row>
        <row r="242">
          <cell r="V242">
            <v>115.01600000000001</v>
          </cell>
        </row>
        <row r="243">
          <cell r="V243">
            <v>133.845</v>
          </cell>
        </row>
        <row r="244">
          <cell r="V244">
            <v>133.845</v>
          </cell>
        </row>
        <row r="245">
          <cell r="V245">
            <v>133.845</v>
          </cell>
        </row>
        <row r="246">
          <cell r="V246">
            <v>133.845</v>
          </cell>
        </row>
        <row r="247">
          <cell r="V247">
            <v>133.845</v>
          </cell>
        </row>
        <row r="248">
          <cell r="V248">
            <v>79.08</v>
          </cell>
        </row>
        <row r="249">
          <cell r="V249">
            <v>89.177000000000007</v>
          </cell>
        </row>
        <row r="250">
          <cell r="V250">
            <v>89.177000000000007</v>
          </cell>
        </row>
        <row r="251">
          <cell r="V251">
            <v>89.177000000000007</v>
          </cell>
        </row>
        <row r="252">
          <cell r="V252">
            <v>89.177000000000007</v>
          </cell>
        </row>
        <row r="253">
          <cell r="V253">
            <v>89.177000000000007</v>
          </cell>
        </row>
        <row r="254">
          <cell r="V254">
            <v>115.01600000000001</v>
          </cell>
        </row>
        <row r="255">
          <cell r="V255">
            <v>133.845</v>
          </cell>
        </row>
        <row r="256">
          <cell r="V256">
            <v>133.845</v>
          </cell>
        </row>
        <row r="257">
          <cell r="V257">
            <v>133.845</v>
          </cell>
        </row>
        <row r="258">
          <cell r="V258">
            <v>133.845</v>
          </cell>
        </row>
        <row r="259">
          <cell r="V259">
            <v>133.845</v>
          </cell>
        </row>
        <row r="260">
          <cell r="V260">
            <v>79.08</v>
          </cell>
        </row>
        <row r="261">
          <cell r="V261">
            <v>89.177000000000007</v>
          </cell>
        </row>
        <row r="262">
          <cell r="V262">
            <v>89.177000000000007</v>
          </cell>
        </row>
        <row r="263">
          <cell r="V263">
            <v>89.177000000000007</v>
          </cell>
        </row>
        <row r="264">
          <cell r="V264">
            <v>89.177000000000007</v>
          </cell>
        </row>
        <row r="265">
          <cell r="V265">
            <v>89.177000000000007</v>
          </cell>
        </row>
        <row r="266">
          <cell r="V266">
            <v>115.01600000000001</v>
          </cell>
        </row>
        <row r="267">
          <cell r="V267">
            <v>133.845</v>
          </cell>
        </row>
        <row r="268">
          <cell r="V268">
            <v>133.845</v>
          </cell>
        </row>
        <row r="269">
          <cell r="V269">
            <v>133.845</v>
          </cell>
        </row>
        <row r="270">
          <cell r="V270">
            <v>133.845</v>
          </cell>
        </row>
        <row r="271">
          <cell r="V271">
            <v>133.845</v>
          </cell>
        </row>
        <row r="272">
          <cell r="V272">
            <v>79.08</v>
          </cell>
        </row>
        <row r="273">
          <cell r="V273">
            <v>89.177000000000007</v>
          </cell>
        </row>
        <row r="274">
          <cell r="V274">
            <v>89.177000000000007</v>
          </cell>
        </row>
        <row r="275">
          <cell r="V275">
            <v>89.177000000000007</v>
          </cell>
        </row>
        <row r="276">
          <cell r="V276">
            <v>89.177000000000007</v>
          </cell>
        </row>
        <row r="277">
          <cell r="V277">
            <v>89.177000000000007</v>
          </cell>
        </row>
        <row r="278">
          <cell r="V278">
            <v>115.01600000000001</v>
          </cell>
        </row>
        <row r="279">
          <cell r="V279">
            <v>133.845</v>
          </cell>
        </row>
        <row r="280">
          <cell r="V280">
            <v>133.845</v>
          </cell>
        </row>
        <row r="281">
          <cell r="V281">
            <v>133.845</v>
          </cell>
        </row>
        <row r="282">
          <cell r="V282">
            <v>133.845</v>
          </cell>
        </row>
        <row r="283">
          <cell r="V283">
            <v>133.845</v>
          </cell>
        </row>
        <row r="284">
          <cell r="V284">
            <v>79.08</v>
          </cell>
        </row>
        <row r="285">
          <cell r="V285">
            <v>89.177000000000007</v>
          </cell>
        </row>
        <row r="286">
          <cell r="V286">
            <v>89.177000000000007</v>
          </cell>
        </row>
        <row r="287">
          <cell r="V287">
            <v>89.177000000000007</v>
          </cell>
        </row>
        <row r="288">
          <cell r="V288">
            <v>89.177000000000007</v>
          </cell>
        </row>
        <row r="289">
          <cell r="V289">
            <v>89.177000000000007</v>
          </cell>
        </row>
        <row r="290">
          <cell r="V290">
            <v>115.01600000000001</v>
          </cell>
        </row>
        <row r="291">
          <cell r="V291">
            <v>133.845</v>
          </cell>
        </row>
        <row r="292">
          <cell r="V292">
            <v>133.845</v>
          </cell>
        </row>
        <row r="293">
          <cell r="V293">
            <v>133.845</v>
          </cell>
        </row>
        <row r="294">
          <cell r="V294">
            <v>133.845</v>
          </cell>
        </row>
        <row r="295">
          <cell r="V295">
            <v>133.845</v>
          </cell>
        </row>
        <row r="296">
          <cell r="V296">
            <v>79.08</v>
          </cell>
        </row>
        <row r="297">
          <cell r="V297">
            <v>89.177000000000007</v>
          </cell>
        </row>
        <row r="298">
          <cell r="V298">
            <v>89.177000000000007</v>
          </cell>
        </row>
        <row r="299">
          <cell r="V299">
            <v>89.177000000000007</v>
          </cell>
        </row>
        <row r="300">
          <cell r="V300">
            <v>89.177000000000007</v>
          </cell>
        </row>
        <row r="301">
          <cell r="V301">
            <v>89.177000000000007</v>
          </cell>
        </row>
        <row r="302">
          <cell r="V302">
            <v>115.01600000000001</v>
          </cell>
        </row>
        <row r="303">
          <cell r="V303">
            <v>133.845</v>
          </cell>
        </row>
        <row r="304">
          <cell r="V304">
            <v>133.845</v>
          </cell>
        </row>
        <row r="305">
          <cell r="V305">
            <v>133.845</v>
          </cell>
        </row>
        <row r="306">
          <cell r="V306">
            <v>133.845</v>
          </cell>
        </row>
        <row r="307">
          <cell r="V307">
            <v>133.845</v>
          </cell>
        </row>
        <row r="308">
          <cell r="V308">
            <v>79.08</v>
          </cell>
        </row>
        <row r="309">
          <cell r="V309">
            <v>89.177000000000007</v>
          </cell>
        </row>
        <row r="310">
          <cell r="V310">
            <v>89.177000000000007</v>
          </cell>
        </row>
        <row r="311">
          <cell r="V311">
            <v>89.177000000000007</v>
          </cell>
        </row>
        <row r="312">
          <cell r="V312">
            <v>89.177000000000007</v>
          </cell>
        </row>
        <row r="313">
          <cell r="V313">
            <v>89.177000000000007</v>
          </cell>
        </row>
        <row r="314">
          <cell r="V314">
            <v>115.01600000000001</v>
          </cell>
        </row>
        <row r="315">
          <cell r="V315">
            <v>133.845</v>
          </cell>
        </row>
        <row r="316">
          <cell r="V316">
            <v>133.845</v>
          </cell>
        </row>
        <row r="317">
          <cell r="V317">
            <v>133.845</v>
          </cell>
        </row>
        <row r="318">
          <cell r="V318">
            <v>133.845</v>
          </cell>
        </row>
        <row r="319">
          <cell r="V319">
            <v>133.845</v>
          </cell>
        </row>
        <row r="320">
          <cell r="V320">
            <v>79.08</v>
          </cell>
        </row>
        <row r="321">
          <cell r="V321">
            <v>89.177000000000007</v>
          </cell>
        </row>
        <row r="322">
          <cell r="V322">
            <v>89.177000000000007</v>
          </cell>
        </row>
        <row r="323">
          <cell r="V323">
            <v>89.177000000000007</v>
          </cell>
        </row>
        <row r="324">
          <cell r="V324">
            <v>89.177000000000007</v>
          </cell>
        </row>
        <row r="325">
          <cell r="V325">
            <v>89.177000000000007</v>
          </cell>
        </row>
        <row r="326">
          <cell r="V326">
            <v>115.01600000000001</v>
          </cell>
        </row>
        <row r="327">
          <cell r="V327">
            <v>133.845</v>
          </cell>
        </row>
        <row r="328">
          <cell r="V328">
            <v>133.845</v>
          </cell>
        </row>
        <row r="329">
          <cell r="V329">
            <v>133.845</v>
          </cell>
        </row>
        <row r="330">
          <cell r="V330">
            <v>133.845</v>
          </cell>
        </row>
        <row r="331">
          <cell r="V331">
            <v>133.845</v>
          </cell>
        </row>
        <row r="332">
          <cell r="V332">
            <v>79.08</v>
          </cell>
        </row>
        <row r="333">
          <cell r="V333">
            <v>89.177000000000007</v>
          </cell>
        </row>
        <row r="334">
          <cell r="V334">
            <v>89.177000000000007</v>
          </cell>
        </row>
        <row r="335">
          <cell r="V335">
            <v>89.177000000000007</v>
          </cell>
        </row>
        <row r="336">
          <cell r="V336">
            <v>89.177000000000007</v>
          </cell>
        </row>
        <row r="337">
          <cell r="V337">
            <v>89.177000000000007</v>
          </cell>
        </row>
        <row r="338">
          <cell r="V338">
            <v>115.01600000000001</v>
          </cell>
        </row>
        <row r="339">
          <cell r="V339">
            <v>133.845</v>
          </cell>
        </row>
        <row r="340">
          <cell r="V340">
            <v>133.845</v>
          </cell>
        </row>
        <row r="341">
          <cell r="V341">
            <v>133.845</v>
          </cell>
        </row>
        <row r="342">
          <cell r="V342">
            <v>133.845</v>
          </cell>
        </row>
        <row r="343">
          <cell r="V343">
            <v>133.845</v>
          </cell>
        </row>
        <row r="344">
          <cell r="V344">
            <v>79.08</v>
          </cell>
        </row>
        <row r="345">
          <cell r="V345">
            <v>89.177000000000007</v>
          </cell>
        </row>
        <row r="346">
          <cell r="V346">
            <v>89.177000000000007</v>
          </cell>
        </row>
        <row r="347">
          <cell r="V347">
            <v>89.177000000000007</v>
          </cell>
        </row>
        <row r="348">
          <cell r="V348">
            <v>89.177000000000007</v>
          </cell>
        </row>
        <row r="349">
          <cell r="V349">
            <v>89.177000000000007</v>
          </cell>
        </row>
        <row r="350">
          <cell r="V350">
            <v>115.01600000000001</v>
          </cell>
        </row>
        <row r="351">
          <cell r="V351">
            <v>133.845</v>
          </cell>
        </row>
        <row r="352">
          <cell r="V352">
            <v>133.845</v>
          </cell>
        </row>
        <row r="353">
          <cell r="V353">
            <v>133.845</v>
          </cell>
        </row>
        <row r="354">
          <cell r="V354">
            <v>133.845</v>
          </cell>
        </row>
        <row r="355">
          <cell r="V355">
            <v>133.845</v>
          </cell>
        </row>
        <row r="356">
          <cell r="V356">
            <v>79.08</v>
          </cell>
        </row>
        <row r="357">
          <cell r="V357">
            <v>89.177000000000007</v>
          </cell>
        </row>
        <row r="358">
          <cell r="V358">
            <v>89.177000000000007</v>
          </cell>
        </row>
        <row r="359">
          <cell r="V359">
            <v>89.177000000000007</v>
          </cell>
        </row>
        <row r="360">
          <cell r="V360">
            <v>89.177000000000007</v>
          </cell>
        </row>
        <row r="361">
          <cell r="V361">
            <v>89.177000000000007</v>
          </cell>
        </row>
        <row r="362">
          <cell r="V362">
            <v>115.01600000000001</v>
          </cell>
        </row>
        <row r="363">
          <cell r="V363">
            <v>133.845</v>
          </cell>
        </row>
        <row r="364">
          <cell r="V364">
            <v>133.845</v>
          </cell>
        </row>
        <row r="365">
          <cell r="V365">
            <v>133.845</v>
          </cell>
        </row>
        <row r="366">
          <cell r="V366">
            <v>133.845</v>
          </cell>
        </row>
        <row r="367">
          <cell r="V367">
            <v>133.845</v>
          </cell>
        </row>
        <row r="368">
          <cell r="V368">
            <v>79.08</v>
          </cell>
        </row>
        <row r="369">
          <cell r="V369">
            <v>89.177000000000007</v>
          </cell>
        </row>
        <row r="370">
          <cell r="V370">
            <v>89.177000000000007</v>
          </cell>
        </row>
        <row r="371">
          <cell r="V371">
            <v>89.177000000000007</v>
          </cell>
        </row>
        <row r="372">
          <cell r="V372">
            <v>89.177000000000007</v>
          </cell>
        </row>
        <row r="373">
          <cell r="V373">
            <v>89.177000000000007</v>
          </cell>
        </row>
        <row r="374">
          <cell r="V374">
            <v>115.01600000000001</v>
          </cell>
        </row>
        <row r="375">
          <cell r="V375">
            <v>133.845</v>
          </cell>
        </row>
        <row r="376">
          <cell r="V376">
            <v>133.845</v>
          </cell>
        </row>
        <row r="377">
          <cell r="V377">
            <v>133.845</v>
          </cell>
        </row>
        <row r="378">
          <cell r="V378">
            <v>133.845</v>
          </cell>
        </row>
        <row r="379">
          <cell r="V379">
            <v>133.845</v>
          </cell>
        </row>
        <row r="380">
          <cell r="V380">
            <v>79.08</v>
          </cell>
        </row>
        <row r="381">
          <cell r="V381">
            <v>89.177000000000007</v>
          </cell>
        </row>
        <row r="382">
          <cell r="V382">
            <v>89.177000000000007</v>
          </cell>
        </row>
        <row r="383">
          <cell r="V383">
            <v>89.177000000000007</v>
          </cell>
        </row>
        <row r="384">
          <cell r="V384">
            <v>89.177000000000007</v>
          </cell>
        </row>
        <row r="385">
          <cell r="V385">
            <v>89.177000000000007</v>
          </cell>
        </row>
        <row r="386">
          <cell r="V386">
            <v>115.01600000000001</v>
          </cell>
        </row>
        <row r="387">
          <cell r="V387">
            <v>133.845</v>
          </cell>
        </row>
        <row r="388">
          <cell r="V388">
            <v>133.845</v>
          </cell>
        </row>
        <row r="389">
          <cell r="V389">
            <v>133.845</v>
          </cell>
        </row>
        <row r="390">
          <cell r="V390">
            <v>133.845</v>
          </cell>
        </row>
        <row r="391">
          <cell r="V391">
            <v>133.845</v>
          </cell>
        </row>
        <row r="392">
          <cell r="V392">
            <v>79.08</v>
          </cell>
        </row>
        <row r="393">
          <cell r="V393">
            <v>89.177000000000007</v>
          </cell>
        </row>
        <row r="394">
          <cell r="V394">
            <v>89.177000000000007</v>
          </cell>
        </row>
        <row r="395">
          <cell r="V395">
            <v>89.177000000000007</v>
          </cell>
        </row>
        <row r="396">
          <cell r="V396">
            <v>89.177000000000007</v>
          </cell>
        </row>
        <row r="397">
          <cell r="V397">
            <v>89.177000000000007</v>
          </cell>
        </row>
        <row r="398">
          <cell r="V398">
            <v>115.01600000000001</v>
          </cell>
        </row>
        <row r="399">
          <cell r="V399">
            <v>133.845</v>
          </cell>
        </row>
        <row r="400">
          <cell r="V400">
            <v>133.845</v>
          </cell>
        </row>
        <row r="401">
          <cell r="V401">
            <v>133.845</v>
          </cell>
        </row>
        <row r="402">
          <cell r="V402">
            <v>133.845</v>
          </cell>
        </row>
        <row r="403">
          <cell r="V403">
            <v>133.845</v>
          </cell>
        </row>
        <row r="404">
          <cell r="V404">
            <v>79.08</v>
          </cell>
        </row>
        <row r="405">
          <cell r="V405">
            <v>89.177000000000007</v>
          </cell>
        </row>
        <row r="406">
          <cell r="V406">
            <v>89.177000000000007</v>
          </cell>
        </row>
        <row r="407">
          <cell r="V407">
            <v>89.177000000000007</v>
          </cell>
        </row>
        <row r="408">
          <cell r="V408">
            <v>89.177000000000007</v>
          </cell>
        </row>
        <row r="409">
          <cell r="V409">
            <v>89.177000000000007</v>
          </cell>
        </row>
        <row r="410">
          <cell r="V410">
            <v>115.01600000000001</v>
          </cell>
        </row>
        <row r="411">
          <cell r="V411">
            <v>133.845</v>
          </cell>
        </row>
        <row r="412">
          <cell r="V412">
            <v>133.845</v>
          </cell>
        </row>
        <row r="413">
          <cell r="V413">
            <v>133.845</v>
          </cell>
        </row>
        <row r="414">
          <cell r="V414">
            <v>133.845</v>
          </cell>
        </row>
        <row r="415">
          <cell r="V415">
            <v>133.845</v>
          </cell>
        </row>
        <row r="416">
          <cell r="V416">
            <v>79.08</v>
          </cell>
        </row>
        <row r="417">
          <cell r="V417">
            <v>89.177000000000007</v>
          </cell>
        </row>
        <row r="418">
          <cell r="V418">
            <v>89.177000000000007</v>
          </cell>
        </row>
        <row r="419">
          <cell r="V419">
            <v>89.177000000000007</v>
          </cell>
        </row>
        <row r="420">
          <cell r="V420">
            <v>89.177000000000007</v>
          </cell>
        </row>
        <row r="421">
          <cell r="V421">
            <v>89.177000000000007</v>
          </cell>
        </row>
        <row r="422">
          <cell r="V422">
            <v>115.01600000000001</v>
          </cell>
        </row>
        <row r="423">
          <cell r="V423">
            <v>133.845</v>
          </cell>
        </row>
        <row r="424">
          <cell r="V424">
            <v>133.845</v>
          </cell>
        </row>
        <row r="425">
          <cell r="V425">
            <v>133.845</v>
          </cell>
        </row>
        <row r="426">
          <cell r="V426">
            <v>133.845</v>
          </cell>
        </row>
        <row r="427">
          <cell r="V427">
            <v>133.845</v>
          </cell>
        </row>
        <row r="428">
          <cell r="V428">
            <v>79.08</v>
          </cell>
        </row>
        <row r="429">
          <cell r="V429">
            <v>89.177000000000007</v>
          </cell>
        </row>
        <row r="430">
          <cell r="V430">
            <v>89.177000000000007</v>
          </cell>
        </row>
        <row r="431">
          <cell r="V431">
            <v>89.177000000000007</v>
          </cell>
        </row>
        <row r="432">
          <cell r="V432">
            <v>89.177000000000007</v>
          </cell>
        </row>
        <row r="433">
          <cell r="V433">
            <v>89.177000000000007</v>
          </cell>
        </row>
        <row r="434">
          <cell r="V434">
            <v>115.01600000000001</v>
          </cell>
        </row>
        <row r="435">
          <cell r="V435">
            <v>133.845</v>
          </cell>
        </row>
        <row r="436">
          <cell r="V436">
            <v>133.845</v>
          </cell>
        </row>
        <row r="437">
          <cell r="V437">
            <v>133.845</v>
          </cell>
        </row>
        <row r="438">
          <cell r="V438">
            <v>133.845</v>
          </cell>
        </row>
        <row r="439">
          <cell r="V439">
            <v>133.845</v>
          </cell>
        </row>
        <row r="440">
          <cell r="V440">
            <v>79.08</v>
          </cell>
        </row>
        <row r="441">
          <cell r="V441">
            <v>89.177000000000007</v>
          </cell>
        </row>
        <row r="442">
          <cell r="V442">
            <v>89.177000000000007</v>
          </cell>
        </row>
        <row r="443">
          <cell r="V443">
            <v>89.177000000000007</v>
          </cell>
        </row>
        <row r="444">
          <cell r="V444">
            <v>89.177000000000007</v>
          </cell>
        </row>
        <row r="445">
          <cell r="V445">
            <v>89.177000000000007</v>
          </cell>
        </row>
        <row r="446">
          <cell r="V446">
            <v>115.01600000000001</v>
          </cell>
        </row>
        <row r="447">
          <cell r="V447">
            <v>133.845</v>
          </cell>
        </row>
        <row r="448">
          <cell r="V448">
            <v>133.845</v>
          </cell>
        </row>
        <row r="449">
          <cell r="V449">
            <v>133.845</v>
          </cell>
        </row>
        <row r="450">
          <cell r="V450">
            <v>133.845</v>
          </cell>
        </row>
        <row r="451">
          <cell r="V451">
            <v>133.845</v>
          </cell>
        </row>
        <row r="452">
          <cell r="V452">
            <v>79.08</v>
          </cell>
        </row>
        <row r="453">
          <cell r="V453">
            <v>89.177000000000007</v>
          </cell>
        </row>
        <row r="454">
          <cell r="V454">
            <v>89.177000000000007</v>
          </cell>
        </row>
        <row r="455">
          <cell r="V455">
            <v>89.177000000000007</v>
          </cell>
        </row>
        <row r="456">
          <cell r="V456">
            <v>89.177000000000007</v>
          </cell>
        </row>
        <row r="457">
          <cell r="V457">
            <v>89.177000000000007</v>
          </cell>
        </row>
        <row r="458">
          <cell r="V458">
            <v>115.01600000000001</v>
          </cell>
        </row>
        <row r="459">
          <cell r="V459">
            <v>133.845</v>
          </cell>
        </row>
        <row r="460">
          <cell r="V460">
            <v>133.845</v>
          </cell>
        </row>
        <row r="461">
          <cell r="V461">
            <v>133.845</v>
          </cell>
        </row>
        <row r="462">
          <cell r="V462">
            <v>133.845</v>
          </cell>
        </row>
        <row r="463">
          <cell r="V463">
            <v>133.845</v>
          </cell>
        </row>
        <row r="464">
          <cell r="V464">
            <v>79.08</v>
          </cell>
        </row>
        <row r="465">
          <cell r="V465">
            <v>89.177000000000007</v>
          </cell>
        </row>
        <row r="466">
          <cell r="V466">
            <v>89.177000000000007</v>
          </cell>
        </row>
        <row r="467">
          <cell r="V467">
            <v>89.177000000000007</v>
          </cell>
        </row>
        <row r="468">
          <cell r="V468">
            <v>89.177000000000007</v>
          </cell>
        </row>
        <row r="469">
          <cell r="V469">
            <v>89.177000000000007</v>
          </cell>
        </row>
        <row r="470">
          <cell r="V470">
            <v>115.01600000000001</v>
          </cell>
        </row>
        <row r="471">
          <cell r="V471">
            <v>133.845</v>
          </cell>
        </row>
        <row r="472">
          <cell r="V472">
            <v>133.845</v>
          </cell>
        </row>
        <row r="473">
          <cell r="V473">
            <v>133.845</v>
          </cell>
        </row>
        <row r="474">
          <cell r="V474">
            <v>133.845</v>
          </cell>
        </row>
        <row r="475">
          <cell r="V475">
            <v>133.845</v>
          </cell>
        </row>
        <row r="476">
          <cell r="V476">
            <v>79.08</v>
          </cell>
        </row>
        <row r="477">
          <cell r="V477">
            <v>89.177000000000007</v>
          </cell>
        </row>
        <row r="478">
          <cell r="V478">
            <v>89.177000000000007</v>
          </cell>
        </row>
        <row r="479">
          <cell r="V479">
            <v>89.177000000000007</v>
          </cell>
        </row>
        <row r="480">
          <cell r="V480">
            <v>89.177000000000007</v>
          </cell>
        </row>
        <row r="481">
          <cell r="V481">
            <v>89.177000000000007</v>
          </cell>
        </row>
        <row r="482">
          <cell r="V482">
            <v>115.01600000000001</v>
          </cell>
        </row>
        <row r="483">
          <cell r="V483">
            <v>133.845</v>
          </cell>
        </row>
        <row r="484">
          <cell r="V484">
            <v>133.845</v>
          </cell>
        </row>
        <row r="485">
          <cell r="V485">
            <v>133.845</v>
          </cell>
        </row>
        <row r="486">
          <cell r="V486">
            <v>133.845</v>
          </cell>
        </row>
        <row r="487">
          <cell r="V487">
            <v>133.845</v>
          </cell>
        </row>
        <row r="488">
          <cell r="V488">
            <v>79.08</v>
          </cell>
        </row>
        <row r="489">
          <cell r="V489">
            <v>89.177000000000007</v>
          </cell>
        </row>
        <row r="490">
          <cell r="V490">
            <v>89.177000000000007</v>
          </cell>
        </row>
        <row r="491">
          <cell r="V491">
            <v>89.177000000000007</v>
          </cell>
        </row>
        <row r="492">
          <cell r="V492">
            <v>89.177000000000007</v>
          </cell>
        </row>
        <row r="493">
          <cell r="V493">
            <v>89.177000000000007</v>
          </cell>
        </row>
        <row r="494">
          <cell r="V494">
            <v>115.01600000000001</v>
          </cell>
        </row>
        <row r="495">
          <cell r="V495">
            <v>133.845</v>
          </cell>
        </row>
        <row r="496">
          <cell r="V496">
            <v>133.845</v>
          </cell>
        </row>
        <row r="497">
          <cell r="V497">
            <v>133.845</v>
          </cell>
        </row>
        <row r="498">
          <cell r="V498">
            <v>133.845</v>
          </cell>
        </row>
        <row r="499">
          <cell r="V499">
            <v>133.845</v>
          </cell>
        </row>
        <row r="500">
          <cell r="V500">
            <v>79.08</v>
          </cell>
        </row>
        <row r="501">
          <cell r="V501">
            <v>89.177000000000007</v>
          </cell>
        </row>
        <row r="502">
          <cell r="V502">
            <v>89.177000000000007</v>
          </cell>
        </row>
        <row r="503">
          <cell r="V503">
            <v>89.177000000000007</v>
          </cell>
        </row>
        <row r="504">
          <cell r="V504">
            <v>89.177000000000007</v>
          </cell>
        </row>
        <row r="505">
          <cell r="V505">
            <v>89.177000000000007</v>
          </cell>
        </row>
        <row r="506">
          <cell r="V506">
            <v>115.01600000000001</v>
          </cell>
        </row>
        <row r="507">
          <cell r="V507">
            <v>133.845</v>
          </cell>
        </row>
        <row r="508">
          <cell r="V508">
            <v>133.845</v>
          </cell>
        </row>
        <row r="509">
          <cell r="V509">
            <v>133.845</v>
          </cell>
        </row>
        <row r="510">
          <cell r="V510">
            <v>133.845</v>
          </cell>
        </row>
        <row r="511">
          <cell r="V511">
            <v>133.845</v>
          </cell>
        </row>
        <row r="512">
          <cell r="V512">
            <v>79.08</v>
          </cell>
        </row>
        <row r="513">
          <cell r="V513">
            <v>89.177000000000007</v>
          </cell>
        </row>
        <row r="514">
          <cell r="V514">
            <v>89.177000000000007</v>
          </cell>
        </row>
        <row r="515">
          <cell r="V515">
            <v>89.177000000000007</v>
          </cell>
        </row>
        <row r="516">
          <cell r="V516">
            <v>89.177000000000007</v>
          </cell>
        </row>
        <row r="517">
          <cell r="V517">
            <v>89.177000000000007</v>
          </cell>
        </row>
        <row r="518">
          <cell r="V518">
            <v>115.01600000000001</v>
          </cell>
        </row>
        <row r="519">
          <cell r="V519">
            <v>133.845</v>
          </cell>
        </row>
        <row r="520">
          <cell r="V520">
            <v>133.845</v>
          </cell>
        </row>
        <row r="521">
          <cell r="V521">
            <v>133.845</v>
          </cell>
        </row>
        <row r="522">
          <cell r="V522">
            <v>133.845</v>
          </cell>
        </row>
        <row r="523">
          <cell r="V523">
            <v>133.845</v>
          </cell>
        </row>
        <row r="524">
          <cell r="V524">
            <v>79.08</v>
          </cell>
        </row>
        <row r="525">
          <cell r="V525">
            <v>89.177000000000007</v>
          </cell>
        </row>
        <row r="526">
          <cell r="V526">
            <v>89.177000000000007</v>
          </cell>
        </row>
        <row r="527">
          <cell r="V527">
            <v>89.177000000000007</v>
          </cell>
        </row>
        <row r="528">
          <cell r="V528">
            <v>89.177000000000007</v>
          </cell>
        </row>
        <row r="529">
          <cell r="V529">
            <v>89.177000000000007</v>
          </cell>
        </row>
        <row r="530">
          <cell r="V530">
            <v>115.01600000000001</v>
          </cell>
        </row>
        <row r="531">
          <cell r="V531">
            <v>133.845</v>
          </cell>
        </row>
        <row r="532">
          <cell r="V532">
            <v>133.845</v>
          </cell>
        </row>
        <row r="533">
          <cell r="V533">
            <v>133.845</v>
          </cell>
        </row>
        <row r="534">
          <cell r="V534">
            <v>133.845</v>
          </cell>
        </row>
        <row r="535">
          <cell r="V535">
            <v>133.845</v>
          </cell>
        </row>
        <row r="536">
          <cell r="V536">
            <v>79.08</v>
          </cell>
        </row>
        <row r="537">
          <cell r="V537">
            <v>89.177000000000007</v>
          </cell>
        </row>
        <row r="538">
          <cell r="V538">
            <v>89.177000000000007</v>
          </cell>
        </row>
        <row r="539">
          <cell r="V539">
            <v>89.177000000000007</v>
          </cell>
        </row>
        <row r="540">
          <cell r="V540">
            <v>89.177000000000007</v>
          </cell>
        </row>
        <row r="541">
          <cell r="V541">
            <v>89.177000000000007</v>
          </cell>
        </row>
        <row r="542">
          <cell r="V542">
            <v>115.01600000000001</v>
          </cell>
        </row>
        <row r="543">
          <cell r="V543">
            <v>133.845</v>
          </cell>
        </row>
        <row r="544">
          <cell r="V544">
            <v>133.845</v>
          </cell>
        </row>
        <row r="545">
          <cell r="V545">
            <v>133.845</v>
          </cell>
        </row>
        <row r="546">
          <cell r="V546">
            <v>133.845</v>
          </cell>
        </row>
        <row r="547">
          <cell r="V547">
            <v>133.845</v>
          </cell>
        </row>
        <row r="548">
          <cell r="V548">
            <v>79.08</v>
          </cell>
        </row>
        <row r="549">
          <cell r="V549">
            <v>89.177000000000007</v>
          </cell>
        </row>
        <row r="550">
          <cell r="V550">
            <v>89.177000000000007</v>
          </cell>
        </row>
        <row r="551">
          <cell r="V551">
            <v>89.177000000000007</v>
          </cell>
        </row>
        <row r="552">
          <cell r="V552">
            <v>89.177000000000007</v>
          </cell>
        </row>
        <row r="553">
          <cell r="V553">
            <v>89.177000000000007</v>
          </cell>
        </row>
        <row r="554">
          <cell r="V554">
            <v>115.01600000000001</v>
          </cell>
        </row>
        <row r="555">
          <cell r="V555">
            <v>133.845</v>
          </cell>
        </row>
        <row r="556">
          <cell r="V556">
            <v>133.845</v>
          </cell>
        </row>
        <row r="557">
          <cell r="V557">
            <v>133.845</v>
          </cell>
        </row>
        <row r="558">
          <cell r="V558">
            <v>133.845</v>
          </cell>
        </row>
        <row r="559">
          <cell r="V559">
            <v>133.845</v>
          </cell>
        </row>
        <row r="560">
          <cell r="V560">
            <v>79.08</v>
          </cell>
        </row>
        <row r="561">
          <cell r="V561">
            <v>89.177000000000007</v>
          </cell>
        </row>
        <row r="562">
          <cell r="V562">
            <v>89.177000000000007</v>
          </cell>
        </row>
        <row r="563">
          <cell r="V563">
            <v>89.177000000000007</v>
          </cell>
        </row>
        <row r="564">
          <cell r="V564">
            <v>89.177000000000007</v>
          </cell>
        </row>
        <row r="565">
          <cell r="V565">
            <v>89.177000000000007</v>
          </cell>
        </row>
        <row r="566">
          <cell r="V566">
            <v>115.01600000000001</v>
          </cell>
        </row>
        <row r="567">
          <cell r="V567">
            <v>133.845</v>
          </cell>
        </row>
        <row r="568">
          <cell r="V568">
            <v>133.845</v>
          </cell>
        </row>
        <row r="569">
          <cell r="V569">
            <v>133.845</v>
          </cell>
        </row>
        <row r="570">
          <cell r="V570">
            <v>133.845</v>
          </cell>
        </row>
        <row r="571">
          <cell r="V571">
            <v>133.845</v>
          </cell>
        </row>
        <row r="572">
          <cell r="V572">
            <v>79.08</v>
          </cell>
        </row>
        <row r="573">
          <cell r="V573">
            <v>89.177000000000007</v>
          </cell>
        </row>
        <row r="574">
          <cell r="V574">
            <v>89.177000000000007</v>
          </cell>
        </row>
        <row r="575">
          <cell r="V575">
            <v>89.177000000000007</v>
          </cell>
        </row>
        <row r="576">
          <cell r="V576">
            <v>89.177000000000007</v>
          </cell>
        </row>
        <row r="577">
          <cell r="V577">
            <v>89.177000000000007</v>
          </cell>
        </row>
        <row r="578">
          <cell r="V578">
            <v>115.01600000000001</v>
          </cell>
        </row>
        <row r="579">
          <cell r="V579">
            <v>133.845</v>
          </cell>
        </row>
        <row r="580">
          <cell r="V580">
            <v>133.845</v>
          </cell>
        </row>
        <row r="581">
          <cell r="V581">
            <v>133.845</v>
          </cell>
        </row>
        <row r="582">
          <cell r="V582">
            <v>133.845</v>
          </cell>
        </row>
        <row r="583">
          <cell r="V583">
            <v>133.845</v>
          </cell>
        </row>
        <row r="584">
          <cell r="V584">
            <v>79.08</v>
          </cell>
        </row>
        <row r="585">
          <cell r="V585">
            <v>89.177000000000007</v>
          </cell>
        </row>
        <row r="586">
          <cell r="V586">
            <v>89.177000000000007</v>
          </cell>
        </row>
        <row r="587">
          <cell r="V587">
            <v>89.177000000000007</v>
          </cell>
        </row>
        <row r="588">
          <cell r="V588">
            <v>89.177000000000007</v>
          </cell>
        </row>
        <row r="589">
          <cell r="V589">
            <v>89.177000000000007</v>
          </cell>
        </row>
        <row r="590">
          <cell r="V590">
            <v>115.01600000000001</v>
          </cell>
        </row>
        <row r="591">
          <cell r="V591">
            <v>133.845</v>
          </cell>
        </row>
        <row r="592">
          <cell r="V592">
            <v>133.845</v>
          </cell>
        </row>
        <row r="593">
          <cell r="V593">
            <v>133.845</v>
          </cell>
        </row>
        <row r="594">
          <cell r="V594">
            <v>133.845</v>
          </cell>
        </row>
        <row r="595">
          <cell r="V595">
            <v>133.845</v>
          </cell>
        </row>
        <row r="596">
          <cell r="V596">
            <v>79.08</v>
          </cell>
        </row>
        <row r="597">
          <cell r="V597">
            <v>89.177000000000007</v>
          </cell>
        </row>
        <row r="598">
          <cell r="V598">
            <v>89.177000000000007</v>
          </cell>
        </row>
        <row r="599">
          <cell r="V599">
            <v>89.177000000000007</v>
          </cell>
        </row>
        <row r="600">
          <cell r="V600">
            <v>89.177000000000007</v>
          </cell>
        </row>
        <row r="601">
          <cell r="V601">
            <v>89.177000000000007</v>
          </cell>
        </row>
        <row r="602">
          <cell r="V602">
            <v>115.01600000000001</v>
          </cell>
        </row>
        <row r="603">
          <cell r="V603">
            <v>133.845</v>
          </cell>
        </row>
        <row r="604">
          <cell r="V604">
            <v>133.845</v>
          </cell>
        </row>
        <row r="605">
          <cell r="V605">
            <v>133.845</v>
          </cell>
        </row>
        <row r="606">
          <cell r="V606">
            <v>133.845</v>
          </cell>
        </row>
        <row r="607">
          <cell r="V607">
            <v>133.845</v>
          </cell>
        </row>
        <row r="608">
          <cell r="V608">
            <v>79.08</v>
          </cell>
        </row>
        <row r="609">
          <cell r="V609">
            <v>89.177000000000007</v>
          </cell>
        </row>
        <row r="610">
          <cell r="V610">
            <v>89.177000000000007</v>
          </cell>
        </row>
        <row r="611">
          <cell r="V611">
            <v>89.177000000000007</v>
          </cell>
        </row>
        <row r="612">
          <cell r="V612">
            <v>89.177000000000007</v>
          </cell>
        </row>
        <row r="613">
          <cell r="V613">
            <v>89.177000000000007</v>
          </cell>
        </row>
        <row r="614">
          <cell r="V614">
            <v>115.01600000000001</v>
          </cell>
        </row>
        <row r="615">
          <cell r="V615">
            <v>133.845</v>
          </cell>
        </row>
        <row r="616">
          <cell r="V616">
            <v>133.845</v>
          </cell>
        </row>
        <row r="617">
          <cell r="V617">
            <v>133.845</v>
          </cell>
        </row>
        <row r="618">
          <cell r="V618">
            <v>133.845</v>
          </cell>
        </row>
        <row r="619">
          <cell r="V619">
            <v>133.845</v>
          </cell>
        </row>
        <row r="620">
          <cell r="V620">
            <v>79.08</v>
          </cell>
        </row>
        <row r="621">
          <cell r="V621">
            <v>89.177000000000007</v>
          </cell>
        </row>
        <row r="622">
          <cell r="V622">
            <v>89.177000000000007</v>
          </cell>
        </row>
        <row r="623">
          <cell r="V623">
            <v>89.177000000000007</v>
          </cell>
        </row>
        <row r="624">
          <cell r="V624">
            <v>89.177000000000007</v>
          </cell>
        </row>
        <row r="625">
          <cell r="V625">
            <v>89.177000000000007</v>
          </cell>
        </row>
        <row r="626">
          <cell r="V626">
            <v>115.01600000000001</v>
          </cell>
        </row>
        <row r="627">
          <cell r="V627">
            <v>133.845</v>
          </cell>
        </row>
        <row r="628">
          <cell r="V628">
            <v>133.845</v>
          </cell>
        </row>
        <row r="629">
          <cell r="V629">
            <v>133.845</v>
          </cell>
        </row>
        <row r="630">
          <cell r="V630">
            <v>133.845</v>
          </cell>
        </row>
        <row r="631">
          <cell r="V631">
            <v>133.845</v>
          </cell>
        </row>
        <row r="632">
          <cell r="V632">
            <v>79.08</v>
          </cell>
        </row>
        <row r="633">
          <cell r="V633">
            <v>89.177000000000007</v>
          </cell>
        </row>
        <row r="634">
          <cell r="V634">
            <v>89.177000000000007</v>
          </cell>
        </row>
        <row r="635">
          <cell r="V635">
            <v>89.177000000000007</v>
          </cell>
        </row>
        <row r="636">
          <cell r="V636">
            <v>89.177000000000007</v>
          </cell>
        </row>
        <row r="637">
          <cell r="V637">
            <v>89.177000000000007</v>
          </cell>
        </row>
        <row r="638">
          <cell r="V638">
            <v>115.01600000000001</v>
          </cell>
        </row>
        <row r="639">
          <cell r="V639">
            <v>133.845</v>
          </cell>
        </row>
        <row r="640">
          <cell r="V640">
            <v>133.845</v>
          </cell>
        </row>
        <row r="641">
          <cell r="V641">
            <v>133.845</v>
          </cell>
        </row>
        <row r="642">
          <cell r="V642">
            <v>133.845</v>
          </cell>
        </row>
        <row r="643">
          <cell r="V643">
            <v>133.845</v>
          </cell>
        </row>
        <row r="644">
          <cell r="V644">
            <v>79.08</v>
          </cell>
        </row>
        <row r="645">
          <cell r="V645">
            <v>89.177000000000007</v>
          </cell>
        </row>
        <row r="646">
          <cell r="V646">
            <v>89.177000000000007</v>
          </cell>
        </row>
        <row r="647">
          <cell r="V647">
            <v>89.177000000000007</v>
          </cell>
        </row>
        <row r="648">
          <cell r="V648">
            <v>89.177000000000007</v>
          </cell>
        </row>
        <row r="649">
          <cell r="V649">
            <v>89.177000000000007</v>
          </cell>
        </row>
        <row r="650">
          <cell r="V650">
            <v>115.01600000000001</v>
          </cell>
        </row>
        <row r="651">
          <cell r="V651">
            <v>133.845</v>
          </cell>
        </row>
        <row r="652">
          <cell r="V652">
            <v>133.845</v>
          </cell>
        </row>
        <row r="653">
          <cell r="V653">
            <v>133.845</v>
          </cell>
        </row>
        <row r="654">
          <cell r="V654">
            <v>133.845</v>
          </cell>
        </row>
        <row r="655">
          <cell r="V655">
            <v>133.845</v>
          </cell>
        </row>
        <row r="656">
          <cell r="V656">
            <v>79.08</v>
          </cell>
        </row>
        <row r="657">
          <cell r="V657">
            <v>89.177000000000007</v>
          </cell>
        </row>
        <row r="658">
          <cell r="V658">
            <v>89.177000000000007</v>
          </cell>
        </row>
        <row r="659">
          <cell r="V659">
            <v>89.177000000000007</v>
          </cell>
        </row>
        <row r="660">
          <cell r="V660">
            <v>89.177000000000007</v>
          </cell>
        </row>
        <row r="661">
          <cell r="V661">
            <v>89.177000000000007</v>
          </cell>
        </row>
        <row r="662">
          <cell r="V662">
            <v>115.01600000000001</v>
          </cell>
        </row>
        <row r="663">
          <cell r="V663">
            <v>133.845</v>
          </cell>
        </row>
        <row r="664">
          <cell r="V664">
            <v>133.845</v>
          </cell>
        </row>
        <row r="665">
          <cell r="V665">
            <v>133.845</v>
          </cell>
        </row>
        <row r="666">
          <cell r="V666">
            <v>133.845</v>
          </cell>
        </row>
        <row r="667">
          <cell r="V667">
            <v>133.845</v>
          </cell>
        </row>
        <row r="668">
          <cell r="V668">
            <v>79.08</v>
          </cell>
        </row>
        <row r="669">
          <cell r="V669">
            <v>89.177000000000007</v>
          </cell>
        </row>
        <row r="670">
          <cell r="V670">
            <v>89.177000000000007</v>
          </cell>
        </row>
        <row r="671">
          <cell r="V671">
            <v>89.177000000000007</v>
          </cell>
        </row>
        <row r="672">
          <cell r="V672">
            <v>89.177000000000007</v>
          </cell>
        </row>
        <row r="673">
          <cell r="V673">
            <v>89.177000000000007</v>
          </cell>
        </row>
        <row r="674">
          <cell r="V674">
            <v>115.01600000000001</v>
          </cell>
        </row>
        <row r="675">
          <cell r="V675">
            <v>133.845</v>
          </cell>
        </row>
        <row r="676">
          <cell r="V676">
            <v>133.845</v>
          </cell>
        </row>
        <row r="677">
          <cell r="V677">
            <v>133.845</v>
          </cell>
        </row>
        <row r="678">
          <cell r="V678">
            <v>133.845</v>
          </cell>
        </row>
        <row r="679">
          <cell r="V679">
            <v>133.845</v>
          </cell>
        </row>
        <row r="680">
          <cell r="V680">
            <v>79.08</v>
          </cell>
        </row>
        <row r="681">
          <cell r="V681">
            <v>89.177000000000007</v>
          </cell>
        </row>
        <row r="682">
          <cell r="V682">
            <v>89.177000000000007</v>
          </cell>
        </row>
        <row r="683">
          <cell r="V683">
            <v>89.177000000000007</v>
          </cell>
        </row>
        <row r="684">
          <cell r="V684">
            <v>89.177000000000007</v>
          </cell>
        </row>
        <row r="685">
          <cell r="V685">
            <v>89.177000000000007</v>
          </cell>
        </row>
        <row r="686">
          <cell r="V686">
            <v>115.01600000000001</v>
          </cell>
        </row>
        <row r="687">
          <cell r="V687">
            <v>133.845</v>
          </cell>
        </row>
        <row r="688">
          <cell r="V688">
            <v>133.845</v>
          </cell>
        </row>
        <row r="689">
          <cell r="V689">
            <v>133.845</v>
          </cell>
        </row>
        <row r="690">
          <cell r="V690">
            <v>133.845</v>
          </cell>
        </row>
        <row r="691">
          <cell r="V691">
            <v>133.845</v>
          </cell>
        </row>
        <row r="692">
          <cell r="V692">
            <v>79.08</v>
          </cell>
        </row>
        <row r="693">
          <cell r="V693">
            <v>89.177000000000007</v>
          </cell>
        </row>
        <row r="694">
          <cell r="V694">
            <v>89.177000000000007</v>
          </cell>
        </row>
        <row r="695">
          <cell r="V695">
            <v>89.177000000000007</v>
          </cell>
        </row>
        <row r="696">
          <cell r="V696">
            <v>89.177000000000007</v>
          </cell>
        </row>
        <row r="697">
          <cell r="V697">
            <v>89.177000000000007</v>
          </cell>
        </row>
        <row r="698">
          <cell r="V698">
            <v>115.01600000000001</v>
          </cell>
        </row>
        <row r="699">
          <cell r="V699">
            <v>133.845</v>
          </cell>
        </row>
        <row r="700">
          <cell r="V700">
            <v>133.845</v>
          </cell>
        </row>
        <row r="701">
          <cell r="V701">
            <v>133.845</v>
          </cell>
        </row>
        <row r="702">
          <cell r="V702">
            <v>133.845</v>
          </cell>
        </row>
        <row r="703">
          <cell r="V703">
            <v>133.845</v>
          </cell>
        </row>
        <row r="704">
          <cell r="V704">
            <v>79.08</v>
          </cell>
        </row>
        <row r="705">
          <cell r="V705">
            <v>89.177000000000007</v>
          </cell>
        </row>
        <row r="706">
          <cell r="V706">
            <v>89.177000000000007</v>
          </cell>
        </row>
        <row r="707">
          <cell r="V707">
            <v>89.177000000000007</v>
          </cell>
        </row>
        <row r="708">
          <cell r="V708">
            <v>89.177000000000007</v>
          </cell>
        </row>
        <row r="709">
          <cell r="V709">
            <v>89.177000000000007</v>
          </cell>
        </row>
        <row r="710">
          <cell r="V710">
            <v>115.01600000000001</v>
          </cell>
        </row>
        <row r="711">
          <cell r="V711">
            <v>133.845</v>
          </cell>
        </row>
        <row r="712">
          <cell r="V712">
            <v>133.845</v>
          </cell>
        </row>
        <row r="713">
          <cell r="V713">
            <v>133.845</v>
          </cell>
        </row>
        <row r="714">
          <cell r="V714">
            <v>133.845</v>
          </cell>
        </row>
        <row r="715">
          <cell r="V715">
            <v>133.845</v>
          </cell>
        </row>
        <row r="716">
          <cell r="V716">
            <v>79.08</v>
          </cell>
        </row>
        <row r="717">
          <cell r="V717">
            <v>89.177000000000007</v>
          </cell>
        </row>
        <row r="718">
          <cell r="V718">
            <v>89.177000000000007</v>
          </cell>
        </row>
        <row r="719">
          <cell r="V719">
            <v>89.177000000000007</v>
          </cell>
        </row>
        <row r="720">
          <cell r="V720">
            <v>89.177000000000007</v>
          </cell>
        </row>
        <row r="721">
          <cell r="V721">
            <v>89.177000000000007</v>
          </cell>
        </row>
        <row r="722">
          <cell r="V722">
            <v>115.01600000000001</v>
          </cell>
        </row>
        <row r="723">
          <cell r="V723">
            <v>133.845</v>
          </cell>
        </row>
        <row r="724">
          <cell r="V724">
            <v>133.845</v>
          </cell>
        </row>
        <row r="725">
          <cell r="V725">
            <v>133.845</v>
          </cell>
        </row>
        <row r="726">
          <cell r="V726">
            <v>133.845</v>
          </cell>
        </row>
        <row r="727">
          <cell r="V727">
            <v>133.845</v>
          </cell>
        </row>
        <row r="728">
          <cell r="V728">
            <v>79.08</v>
          </cell>
        </row>
        <row r="729">
          <cell r="V729">
            <v>89.177000000000007</v>
          </cell>
        </row>
        <row r="730">
          <cell r="V730">
            <v>89.177000000000007</v>
          </cell>
        </row>
        <row r="731">
          <cell r="V731">
            <v>89.177000000000007</v>
          </cell>
        </row>
        <row r="732">
          <cell r="V732">
            <v>89.177000000000007</v>
          </cell>
        </row>
        <row r="733">
          <cell r="V733">
            <v>89.177000000000007</v>
          </cell>
        </row>
        <row r="734">
          <cell r="V734">
            <v>115.01600000000001</v>
          </cell>
        </row>
        <row r="735">
          <cell r="V735">
            <v>133.845</v>
          </cell>
        </row>
        <row r="736">
          <cell r="V736">
            <v>133.845</v>
          </cell>
        </row>
        <row r="737">
          <cell r="V737">
            <v>133.845</v>
          </cell>
        </row>
        <row r="738">
          <cell r="V738">
            <v>133.845</v>
          </cell>
        </row>
        <row r="739">
          <cell r="V739">
            <v>133.845</v>
          </cell>
        </row>
        <row r="740">
          <cell r="V740">
            <v>79.08</v>
          </cell>
        </row>
        <row r="741">
          <cell r="V741">
            <v>89.177000000000007</v>
          </cell>
        </row>
        <row r="742">
          <cell r="V742">
            <v>89.177000000000007</v>
          </cell>
        </row>
        <row r="743">
          <cell r="V743">
            <v>89.177000000000007</v>
          </cell>
        </row>
        <row r="744">
          <cell r="V744">
            <v>89.177000000000007</v>
          </cell>
        </row>
        <row r="745">
          <cell r="V745">
            <v>89.177000000000007</v>
          </cell>
        </row>
        <row r="746">
          <cell r="V746">
            <v>115.01600000000001</v>
          </cell>
        </row>
        <row r="747">
          <cell r="V747">
            <v>133.845</v>
          </cell>
        </row>
        <row r="748">
          <cell r="V748">
            <v>133.845</v>
          </cell>
        </row>
        <row r="749">
          <cell r="V749">
            <v>133.845</v>
          </cell>
        </row>
        <row r="750">
          <cell r="V750">
            <v>133.845</v>
          </cell>
        </row>
        <row r="751">
          <cell r="V751">
            <v>133.845</v>
          </cell>
        </row>
        <row r="752">
          <cell r="V752">
            <v>79.08</v>
          </cell>
        </row>
        <row r="753">
          <cell r="V753">
            <v>89.177000000000007</v>
          </cell>
        </row>
        <row r="754">
          <cell r="V754">
            <v>89.177000000000007</v>
          </cell>
        </row>
        <row r="755">
          <cell r="V755">
            <v>89.177000000000007</v>
          </cell>
        </row>
        <row r="756">
          <cell r="V756">
            <v>89.177000000000007</v>
          </cell>
        </row>
        <row r="757">
          <cell r="V757">
            <v>89.177000000000007</v>
          </cell>
        </row>
        <row r="758">
          <cell r="V758">
            <v>115.01600000000001</v>
          </cell>
        </row>
        <row r="759">
          <cell r="V759">
            <v>133.845</v>
          </cell>
        </row>
        <row r="760">
          <cell r="V760">
            <v>133.845</v>
          </cell>
        </row>
        <row r="761">
          <cell r="V761">
            <v>133.845</v>
          </cell>
        </row>
        <row r="762">
          <cell r="V762">
            <v>133.845</v>
          </cell>
        </row>
        <row r="763">
          <cell r="V763">
            <v>133.845</v>
          </cell>
        </row>
        <row r="764">
          <cell r="V764">
            <v>79.08</v>
          </cell>
        </row>
        <row r="765">
          <cell r="V765">
            <v>89.177000000000007</v>
          </cell>
        </row>
        <row r="766">
          <cell r="V766">
            <v>89.177000000000007</v>
          </cell>
        </row>
        <row r="767">
          <cell r="V767">
            <v>89.177000000000007</v>
          </cell>
        </row>
        <row r="768">
          <cell r="V768">
            <v>89.177000000000007</v>
          </cell>
        </row>
        <row r="769">
          <cell r="V769">
            <v>89.177000000000007</v>
          </cell>
        </row>
        <row r="770">
          <cell r="V770">
            <v>115.01600000000001</v>
          </cell>
        </row>
        <row r="771">
          <cell r="V771">
            <v>133.845</v>
          </cell>
        </row>
        <row r="772">
          <cell r="V772">
            <v>133.845</v>
          </cell>
        </row>
        <row r="773">
          <cell r="V773">
            <v>133.845</v>
          </cell>
        </row>
        <row r="774">
          <cell r="V774">
            <v>133.845</v>
          </cell>
        </row>
        <row r="775">
          <cell r="V775">
            <v>133.845</v>
          </cell>
        </row>
        <row r="776">
          <cell r="V776">
            <v>79.08</v>
          </cell>
        </row>
        <row r="777">
          <cell r="V777">
            <v>89.177000000000007</v>
          </cell>
        </row>
        <row r="778">
          <cell r="V778">
            <v>89.177000000000007</v>
          </cell>
        </row>
        <row r="779">
          <cell r="V779">
            <v>89.177000000000007</v>
          </cell>
        </row>
        <row r="780">
          <cell r="V780">
            <v>89.177000000000007</v>
          </cell>
        </row>
        <row r="781">
          <cell r="V781">
            <v>89.177000000000007</v>
          </cell>
        </row>
        <row r="782">
          <cell r="V782">
            <v>115.01600000000001</v>
          </cell>
        </row>
        <row r="783">
          <cell r="V783">
            <v>133.845</v>
          </cell>
        </row>
        <row r="784">
          <cell r="V784">
            <v>133.845</v>
          </cell>
        </row>
        <row r="785">
          <cell r="V785">
            <v>133.845</v>
          </cell>
        </row>
        <row r="786">
          <cell r="V786">
            <v>133.845</v>
          </cell>
        </row>
        <row r="787">
          <cell r="V787">
            <v>133.845</v>
          </cell>
        </row>
        <row r="788">
          <cell r="V788">
            <v>79.08</v>
          </cell>
        </row>
        <row r="789">
          <cell r="V789">
            <v>89.177000000000007</v>
          </cell>
        </row>
        <row r="790">
          <cell r="V790">
            <v>89.177000000000007</v>
          </cell>
        </row>
        <row r="791">
          <cell r="V791">
            <v>89.177000000000007</v>
          </cell>
        </row>
        <row r="792">
          <cell r="V792">
            <v>89.177000000000007</v>
          </cell>
        </row>
        <row r="793">
          <cell r="V793">
            <v>89.177000000000007</v>
          </cell>
        </row>
        <row r="794">
          <cell r="V794">
            <v>115.01600000000001</v>
          </cell>
        </row>
        <row r="795">
          <cell r="V795">
            <v>133.845</v>
          </cell>
        </row>
        <row r="796">
          <cell r="V796">
            <v>133.845</v>
          </cell>
        </row>
        <row r="797">
          <cell r="V797">
            <v>133.845</v>
          </cell>
        </row>
        <row r="798">
          <cell r="V798">
            <v>133.845</v>
          </cell>
        </row>
        <row r="799">
          <cell r="V799">
            <v>133.845</v>
          </cell>
        </row>
        <row r="800">
          <cell r="V800">
            <v>79.08</v>
          </cell>
        </row>
        <row r="801">
          <cell r="V801">
            <v>89.177000000000007</v>
          </cell>
        </row>
        <row r="802">
          <cell r="V802">
            <v>89.177000000000007</v>
          </cell>
        </row>
        <row r="803">
          <cell r="V803">
            <v>89.177000000000007</v>
          </cell>
        </row>
        <row r="804">
          <cell r="V804">
            <v>89.177000000000007</v>
          </cell>
        </row>
        <row r="805">
          <cell r="V805">
            <v>89.177000000000007</v>
          </cell>
        </row>
        <row r="806">
          <cell r="V806">
            <v>115.01600000000001</v>
          </cell>
        </row>
        <row r="807">
          <cell r="V807">
            <v>133.845</v>
          </cell>
        </row>
        <row r="808">
          <cell r="V808">
            <v>133.845</v>
          </cell>
        </row>
        <row r="809">
          <cell r="V809">
            <v>133.845</v>
          </cell>
        </row>
        <row r="810">
          <cell r="V810">
            <v>133.845</v>
          </cell>
        </row>
        <row r="811">
          <cell r="V811">
            <v>133.845</v>
          </cell>
        </row>
        <row r="812">
          <cell r="V812">
            <v>79.08</v>
          </cell>
        </row>
        <row r="813">
          <cell r="V813">
            <v>89.177000000000007</v>
          </cell>
        </row>
        <row r="814">
          <cell r="V814">
            <v>89.177000000000007</v>
          </cell>
        </row>
        <row r="815">
          <cell r="V815">
            <v>89.177000000000007</v>
          </cell>
        </row>
        <row r="816">
          <cell r="V816">
            <v>89.177000000000007</v>
          </cell>
        </row>
        <row r="817">
          <cell r="V817">
            <v>89.177000000000007</v>
          </cell>
        </row>
        <row r="818">
          <cell r="V818">
            <v>115.01600000000001</v>
          </cell>
        </row>
        <row r="819">
          <cell r="V819">
            <v>133.845</v>
          </cell>
        </row>
        <row r="820">
          <cell r="V820">
            <v>133.845</v>
          </cell>
        </row>
        <row r="821">
          <cell r="V821">
            <v>133.845</v>
          </cell>
        </row>
        <row r="822">
          <cell r="V822">
            <v>133.845</v>
          </cell>
        </row>
        <row r="823">
          <cell r="V823">
            <v>133.845</v>
          </cell>
        </row>
        <row r="824">
          <cell r="V824">
            <v>79.08</v>
          </cell>
        </row>
        <row r="825">
          <cell r="V825">
            <v>89.177000000000007</v>
          </cell>
        </row>
        <row r="826">
          <cell r="V826">
            <v>89.177000000000007</v>
          </cell>
        </row>
        <row r="827">
          <cell r="V827">
            <v>89.177000000000007</v>
          </cell>
        </row>
        <row r="828">
          <cell r="V828">
            <v>89.177000000000007</v>
          </cell>
        </row>
        <row r="829">
          <cell r="V829">
            <v>89.177000000000007</v>
          </cell>
        </row>
        <row r="830">
          <cell r="V830">
            <v>115.01600000000001</v>
          </cell>
        </row>
        <row r="831">
          <cell r="V831">
            <v>133.845</v>
          </cell>
        </row>
        <row r="832">
          <cell r="V832">
            <v>133.845</v>
          </cell>
        </row>
        <row r="833">
          <cell r="V833">
            <v>133.845</v>
          </cell>
        </row>
        <row r="834">
          <cell r="V834">
            <v>133.845</v>
          </cell>
        </row>
        <row r="835">
          <cell r="V835">
            <v>133.845</v>
          </cell>
        </row>
        <row r="836">
          <cell r="V836">
            <v>79.08</v>
          </cell>
        </row>
        <row r="837">
          <cell r="V837">
            <v>89.177000000000007</v>
          </cell>
        </row>
        <row r="838">
          <cell r="V838">
            <v>89.177000000000007</v>
          </cell>
        </row>
        <row r="839">
          <cell r="V839">
            <v>89.177000000000007</v>
          </cell>
        </row>
        <row r="840">
          <cell r="V840">
            <v>89.177000000000007</v>
          </cell>
        </row>
        <row r="841">
          <cell r="V841">
            <v>89.177000000000007</v>
          </cell>
        </row>
        <row r="842">
          <cell r="V842">
            <v>115.01600000000001</v>
          </cell>
        </row>
        <row r="843">
          <cell r="V843">
            <v>133.845</v>
          </cell>
        </row>
        <row r="844">
          <cell r="V844">
            <v>133.845</v>
          </cell>
        </row>
        <row r="845">
          <cell r="V845">
            <v>133.845</v>
          </cell>
        </row>
        <row r="846">
          <cell r="V846">
            <v>133.845</v>
          </cell>
        </row>
        <row r="847">
          <cell r="V847">
            <v>133.845</v>
          </cell>
        </row>
        <row r="848">
          <cell r="V848">
            <v>79.08</v>
          </cell>
        </row>
        <row r="849">
          <cell r="V849">
            <v>89.177000000000007</v>
          </cell>
        </row>
        <row r="850">
          <cell r="V850">
            <v>89.177000000000007</v>
          </cell>
        </row>
        <row r="851">
          <cell r="V851">
            <v>89.177000000000007</v>
          </cell>
        </row>
        <row r="852">
          <cell r="V852">
            <v>89.177000000000007</v>
          </cell>
        </row>
        <row r="853">
          <cell r="V853">
            <v>89.177000000000007</v>
          </cell>
        </row>
        <row r="854">
          <cell r="V854">
            <v>115.01600000000001</v>
          </cell>
        </row>
        <row r="855">
          <cell r="V855">
            <v>133.845</v>
          </cell>
        </row>
        <row r="856">
          <cell r="V856">
            <v>133.845</v>
          </cell>
        </row>
        <row r="857">
          <cell r="V857">
            <v>133.845</v>
          </cell>
        </row>
        <row r="858">
          <cell r="V858">
            <v>133.845</v>
          </cell>
        </row>
        <row r="859">
          <cell r="V859">
            <v>133.845</v>
          </cell>
        </row>
        <row r="860">
          <cell r="V860">
            <v>79.08</v>
          </cell>
        </row>
        <row r="861">
          <cell r="V861">
            <v>89.177000000000007</v>
          </cell>
        </row>
        <row r="862">
          <cell r="V862">
            <v>89.177000000000007</v>
          </cell>
        </row>
        <row r="863">
          <cell r="V863">
            <v>89.177000000000007</v>
          </cell>
        </row>
        <row r="864">
          <cell r="V864">
            <v>89.177000000000007</v>
          </cell>
        </row>
        <row r="865">
          <cell r="V865">
            <v>89.177000000000007</v>
          </cell>
        </row>
        <row r="866">
          <cell r="V866">
            <v>115.01600000000001</v>
          </cell>
        </row>
        <row r="867">
          <cell r="V867">
            <v>133.845</v>
          </cell>
        </row>
        <row r="868">
          <cell r="V868">
            <v>133.845</v>
          </cell>
        </row>
        <row r="869">
          <cell r="V869">
            <v>133.845</v>
          </cell>
        </row>
        <row r="870">
          <cell r="V870">
            <v>133.845</v>
          </cell>
        </row>
        <row r="871">
          <cell r="V871">
            <v>133.845</v>
          </cell>
        </row>
        <row r="872">
          <cell r="V872">
            <v>79.08</v>
          </cell>
        </row>
        <row r="873">
          <cell r="V873">
            <v>89.177000000000007</v>
          </cell>
        </row>
        <row r="874">
          <cell r="V874">
            <v>89.177000000000007</v>
          </cell>
        </row>
        <row r="875">
          <cell r="V875">
            <v>89.177000000000007</v>
          </cell>
        </row>
        <row r="876">
          <cell r="V876">
            <v>89.177000000000007</v>
          </cell>
        </row>
        <row r="877">
          <cell r="V877">
            <v>89.177000000000007</v>
          </cell>
        </row>
        <row r="878">
          <cell r="V878">
            <v>115.01600000000001</v>
          </cell>
        </row>
        <row r="879">
          <cell r="V879">
            <v>133.845</v>
          </cell>
        </row>
        <row r="880">
          <cell r="V880">
            <v>133.845</v>
          </cell>
        </row>
        <row r="881">
          <cell r="V881">
            <v>133.845</v>
          </cell>
        </row>
        <row r="882">
          <cell r="V882">
            <v>133.845</v>
          </cell>
        </row>
        <row r="883">
          <cell r="V883">
            <v>133.845</v>
          </cell>
        </row>
        <row r="884">
          <cell r="V884">
            <v>79.08</v>
          </cell>
        </row>
        <row r="885">
          <cell r="V885">
            <v>89.177000000000007</v>
          </cell>
        </row>
        <row r="886">
          <cell r="V886">
            <v>89.177000000000007</v>
          </cell>
        </row>
        <row r="887">
          <cell r="V887">
            <v>89.177000000000007</v>
          </cell>
        </row>
        <row r="888">
          <cell r="V888">
            <v>89.177000000000007</v>
          </cell>
        </row>
        <row r="889">
          <cell r="V889">
            <v>89.177000000000007</v>
          </cell>
        </row>
        <row r="890">
          <cell r="V890">
            <v>115.01600000000001</v>
          </cell>
        </row>
        <row r="891">
          <cell r="V891">
            <v>133.845</v>
          </cell>
        </row>
        <row r="892">
          <cell r="V892">
            <v>133.845</v>
          </cell>
        </row>
        <row r="893">
          <cell r="V893">
            <v>133.845</v>
          </cell>
        </row>
        <row r="894">
          <cell r="V894">
            <v>133.845</v>
          </cell>
        </row>
        <row r="895">
          <cell r="V895">
            <v>133.845</v>
          </cell>
        </row>
        <row r="896">
          <cell r="V896">
            <v>79.08</v>
          </cell>
        </row>
        <row r="897">
          <cell r="V897">
            <v>89.177000000000007</v>
          </cell>
        </row>
        <row r="898">
          <cell r="V898">
            <v>89.177000000000007</v>
          </cell>
        </row>
        <row r="899">
          <cell r="V899">
            <v>89.177000000000007</v>
          </cell>
        </row>
        <row r="900">
          <cell r="V900">
            <v>89.177000000000007</v>
          </cell>
        </row>
        <row r="901">
          <cell r="V901">
            <v>89.177000000000007</v>
          </cell>
        </row>
        <row r="902">
          <cell r="V902">
            <v>115.01600000000001</v>
          </cell>
        </row>
        <row r="903">
          <cell r="V903">
            <v>133.845</v>
          </cell>
        </row>
        <row r="904">
          <cell r="V904">
            <v>133.845</v>
          </cell>
        </row>
        <row r="905">
          <cell r="V905">
            <v>133.845</v>
          </cell>
        </row>
        <row r="906">
          <cell r="V906">
            <v>133.845</v>
          </cell>
        </row>
        <row r="907">
          <cell r="V907">
            <v>133.845</v>
          </cell>
        </row>
        <row r="908">
          <cell r="V908">
            <v>79.08</v>
          </cell>
        </row>
        <row r="909">
          <cell r="V909">
            <v>89.177000000000007</v>
          </cell>
        </row>
        <row r="910">
          <cell r="V910">
            <v>89.177000000000007</v>
          </cell>
        </row>
        <row r="911">
          <cell r="V911">
            <v>89.177000000000007</v>
          </cell>
        </row>
        <row r="912">
          <cell r="V912">
            <v>89.177000000000007</v>
          </cell>
        </row>
        <row r="913">
          <cell r="V913">
            <v>89.177000000000007</v>
          </cell>
        </row>
        <row r="914">
          <cell r="V914">
            <v>115.01600000000001</v>
          </cell>
        </row>
        <row r="915">
          <cell r="V915">
            <v>133.845</v>
          </cell>
        </row>
        <row r="916">
          <cell r="V916">
            <v>133.845</v>
          </cell>
        </row>
        <row r="917">
          <cell r="V917">
            <v>133.845</v>
          </cell>
        </row>
        <row r="918">
          <cell r="V918">
            <v>133.845</v>
          </cell>
        </row>
        <row r="919">
          <cell r="V919">
            <v>133.845</v>
          </cell>
        </row>
        <row r="920">
          <cell r="V920">
            <v>79.08</v>
          </cell>
        </row>
        <row r="921">
          <cell r="V921">
            <v>89.177000000000007</v>
          </cell>
        </row>
        <row r="922">
          <cell r="V922">
            <v>89.177000000000007</v>
          </cell>
        </row>
        <row r="923">
          <cell r="V923">
            <v>89.177000000000007</v>
          </cell>
        </row>
        <row r="924">
          <cell r="V924">
            <v>89.177000000000007</v>
          </cell>
        </row>
        <row r="925">
          <cell r="V925">
            <v>89.177000000000007</v>
          </cell>
        </row>
        <row r="926">
          <cell r="V926">
            <v>115.01600000000001</v>
          </cell>
        </row>
        <row r="927">
          <cell r="V927">
            <v>133.845</v>
          </cell>
        </row>
        <row r="928">
          <cell r="V928">
            <v>133.845</v>
          </cell>
        </row>
        <row r="929">
          <cell r="V929">
            <v>133.845</v>
          </cell>
        </row>
        <row r="930">
          <cell r="V930">
            <v>133.845</v>
          </cell>
        </row>
        <row r="931">
          <cell r="V931">
            <v>133.845</v>
          </cell>
        </row>
        <row r="932">
          <cell r="V932">
            <v>79.08</v>
          </cell>
        </row>
        <row r="933">
          <cell r="V933">
            <v>89.177000000000007</v>
          </cell>
        </row>
        <row r="934">
          <cell r="V934">
            <v>89.177000000000007</v>
          </cell>
        </row>
        <row r="935">
          <cell r="V935">
            <v>89.177000000000007</v>
          </cell>
        </row>
        <row r="936">
          <cell r="V936">
            <v>89.177000000000007</v>
          </cell>
        </row>
        <row r="937">
          <cell r="V937">
            <v>89.177000000000007</v>
          </cell>
        </row>
        <row r="938">
          <cell r="V938">
            <v>115.01600000000001</v>
          </cell>
        </row>
        <row r="939">
          <cell r="V939">
            <v>133.845</v>
          </cell>
        </row>
        <row r="940">
          <cell r="V940">
            <v>133.845</v>
          </cell>
        </row>
        <row r="941">
          <cell r="V941">
            <v>133.845</v>
          </cell>
        </row>
        <row r="942">
          <cell r="V942">
            <v>133.845</v>
          </cell>
        </row>
        <row r="943">
          <cell r="V943">
            <v>133.845</v>
          </cell>
        </row>
        <row r="944">
          <cell r="V944">
            <v>79.08</v>
          </cell>
        </row>
        <row r="945">
          <cell r="V945">
            <v>89.177000000000007</v>
          </cell>
        </row>
        <row r="946">
          <cell r="V946">
            <v>89.177000000000007</v>
          </cell>
        </row>
        <row r="947">
          <cell r="V947">
            <v>89.177000000000007</v>
          </cell>
        </row>
        <row r="948">
          <cell r="V948">
            <v>89.177000000000007</v>
          </cell>
        </row>
        <row r="949">
          <cell r="V949">
            <v>89.177000000000007</v>
          </cell>
        </row>
        <row r="950">
          <cell r="V950">
            <v>115.01600000000001</v>
          </cell>
        </row>
        <row r="951">
          <cell r="V951">
            <v>133.845</v>
          </cell>
        </row>
        <row r="952">
          <cell r="V952">
            <v>133.845</v>
          </cell>
        </row>
        <row r="953">
          <cell r="V953">
            <v>133.845</v>
          </cell>
        </row>
        <row r="954">
          <cell r="V954">
            <v>133.845</v>
          </cell>
        </row>
        <row r="955">
          <cell r="V955">
            <v>133.845</v>
          </cell>
        </row>
        <row r="956">
          <cell r="V956">
            <v>79.08</v>
          </cell>
        </row>
        <row r="957">
          <cell r="V957">
            <v>89.177000000000007</v>
          </cell>
        </row>
        <row r="958">
          <cell r="V958">
            <v>89.177000000000007</v>
          </cell>
        </row>
        <row r="959">
          <cell r="V959">
            <v>89.177000000000007</v>
          </cell>
        </row>
        <row r="960">
          <cell r="V960">
            <v>89.177000000000007</v>
          </cell>
        </row>
        <row r="961">
          <cell r="V961">
            <v>89.177000000000007</v>
          </cell>
        </row>
        <row r="962">
          <cell r="V962">
            <v>115.01600000000001</v>
          </cell>
        </row>
        <row r="963">
          <cell r="V963">
            <v>133.845</v>
          </cell>
        </row>
        <row r="964">
          <cell r="V964">
            <v>133.845</v>
          </cell>
        </row>
        <row r="965">
          <cell r="V965">
            <v>133.845</v>
          </cell>
        </row>
        <row r="966">
          <cell r="V966">
            <v>133.845</v>
          </cell>
        </row>
        <row r="967">
          <cell r="V967">
            <v>133.845</v>
          </cell>
        </row>
        <row r="968">
          <cell r="V968">
            <v>79.08</v>
          </cell>
        </row>
        <row r="969">
          <cell r="V969">
            <v>89.177000000000007</v>
          </cell>
        </row>
        <row r="970">
          <cell r="V970">
            <v>89.177000000000007</v>
          </cell>
        </row>
        <row r="971">
          <cell r="V971">
            <v>89.177000000000007</v>
          </cell>
        </row>
        <row r="972">
          <cell r="V972">
            <v>89.177000000000007</v>
          </cell>
        </row>
        <row r="973">
          <cell r="V973">
            <v>89.177000000000007</v>
          </cell>
        </row>
        <row r="974">
          <cell r="V974">
            <v>115.01600000000001</v>
          </cell>
        </row>
        <row r="975">
          <cell r="V975">
            <v>133.845</v>
          </cell>
        </row>
        <row r="976">
          <cell r="V976">
            <v>133.845</v>
          </cell>
        </row>
        <row r="977">
          <cell r="V977">
            <v>133.845</v>
          </cell>
        </row>
        <row r="978">
          <cell r="V978">
            <v>133.845</v>
          </cell>
        </row>
        <row r="979">
          <cell r="V979">
            <v>133.845</v>
          </cell>
        </row>
        <row r="980">
          <cell r="V980">
            <v>79.08</v>
          </cell>
        </row>
        <row r="981">
          <cell r="V981">
            <v>89.177000000000007</v>
          </cell>
        </row>
        <row r="982">
          <cell r="V982">
            <v>89.177000000000007</v>
          </cell>
        </row>
        <row r="983">
          <cell r="V983">
            <v>89.177000000000007</v>
          </cell>
        </row>
        <row r="984">
          <cell r="V984">
            <v>89.177000000000007</v>
          </cell>
        </row>
        <row r="985">
          <cell r="V985">
            <v>89.177000000000007</v>
          </cell>
        </row>
        <row r="986">
          <cell r="V986">
            <v>115.01600000000001</v>
          </cell>
        </row>
        <row r="987">
          <cell r="V987">
            <v>133.845</v>
          </cell>
        </row>
        <row r="988">
          <cell r="V988">
            <v>133.845</v>
          </cell>
        </row>
        <row r="989">
          <cell r="V989">
            <v>133.845</v>
          </cell>
        </row>
        <row r="990">
          <cell r="V990">
            <v>133.845</v>
          </cell>
        </row>
        <row r="991">
          <cell r="V991">
            <v>133.845</v>
          </cell>
        </row>
        <row r="992">
          <cell r="V992">
            <v>79.08</v>
          </cell>
        </row>
        <row r="993">
          <cell r="V993">
            <v>89.177000000000007</v>
          </cell>
        </row>
        <row r="994">
          <cell r="V994">
            <v>89.177000000000007</v>
          </cell>
        </row>
        <row r="995">
          <cell r="V995">
            <v>89.177000000000007</v>
          </cell>
        </row>
        <row r="996">
          <cell r="V996">
            <v>89.177000000000007</v>
          </cell>
        </row>
        <row r="997">
          <cell r="V997">
            <v>89.177000000000007</v>
          </cell>
        </row>
        <row r="998">
          <cell r="V998">
            <v>115.01600000000001</v>
          </cell>
        </row>
        <row r="999">
          <cell r="V999">
            <v>133.845</v>
          </cell>
        </row>
        <row r="1000">
          <cell r="V1000">
            <v>133.845</v>
          </cell>
        </row>
        <row r="1001">
          <cell r="V1001">
            <v>133.845</v>
          </cell>
        </row>
        <row r="1002">
          <cell r="V1002">
            <v>133.845</v>
          </cell>
        </row>
        <row r="1003">
          <cell r="V1003">
            <v>133.845</v>
          </cell>
        </row>
        <row r="1004">
          <cell r="V1004">
            <v>79.08</v>
          </cell>
        </row>
        <row r="1005">
          <cell r="V1005">
            <v>89.177000000000007</v>
          </cell>
        </row>
        <row r="1006">
          <cell r="V1006">
            <v>89.177000000000007</v>
          </cell>
        </row>
        <row r="1007">
          <cell r="V1007">
            <v>89.177000000000007</v>
          </cell>
        </row>
        <row r="1008">
          <cell r="V1008">
            <v>89.177000000000007</v>
          </cell>
        </row>
        <row r="1009">
          <cell r="V1009">
            <v>89.177000000000007</v>
          </cell>
        </row>
        <row r="1010">
          <cell r="V1010">
            <v>115.01600000000001</v>
          </cell>
        </row>
        <row r="1011">
          <cell r="V1011">
            <v>133.845</v>
          </cell>
        </row>
        <row r="1012">
          <cell r="V1012">
            <v>133.845</v>
          </cell>
        </row>
        <row r="1013">
          <cell r="V1013">
            <v>133.845</v>
          </cell>
        </row>
        <row r="1014">
          <cell r="V1014">
            <v>133.845</v>
          </cell>
        </row>
        <row r="1015">
          <cell r="V1015">
            <v>133.845</v>
          </cell>
        </row>
        <row r="1016">
          <cell r="V1016">
            <v>79.08</v>
          </cell>
        </row>
        <row r="1017">
          <cell r="V1017">
            <v>89.177000000000007</v>
          </cell>
        </row>
        <row r="1018">
          <cell r="V1018">
            <v>89.177000000000007</v>
          </cell>
        </row>
        <row r="1019">
          <cell r="V1019">
            <v>89.177000000000007</v>
          </cell>
        </row>
        <row r="1020">
          <cell r="V1020">
            <v>89.177000000000007</v>
          </cell>
        </row>
        <row r="1021">
          <cell r="V1021">
            <v>89.177000000000007</v>
          </cell>
        </row>
        <row r="1022">
          <cell r="V1022">
            <v>115.01600000000001</v>
          </cell>
        </row>
        <row r="1023">
          <cell r="V1023">
            <v>133.845</v>
          </cell>
        </row>
        <row r="1024">
          <cell r="V1024">
            <v>133.845</v>
          </cell>
        </row>
        <row r="1025">
          <cell r="V1025">
            <v>133.845</v>
          </cell>
        </row>
        <row r="1026">
          <cell r="V1026">
            <v>133.845</v>
          </cell>
        </row>
        <row r="1027">
          <cell r="V1027">
            <v>133.845</v>
          </cell>
        </row>
        <row r="1028">
          <cell r="V1028">
            <v>79.08</v>
          </cell>
        </row>
        <row r="1029">
          <cell r="V1029">
            <v>89.177000000000007</v>
          </cell>
        </row>
        <row r="1030">
          <cell r="V1030">
            <v>89.177000000000007</v>
          </cell>
        </row>
        <row r="1031">
          <cell r="V1031">
            <v>89.177000000000007</v>
          </cell>
        </row>
        <row r="1032">
          <cell r="V1032">
            <v>89.177000000000007</v>
          </cell>
        </row>
        <row r="1033">
          <cell r="V1033">
            <v>89.177000000000007</v>
          </cell>
        </row>
        <row r="1034">
          <cell r="V1034">
            <v>115.01600000000001</v>
          </cell>
        </row>
        <row r="1035">
          <cell r="V1035">
            <v>133.845</v>
          </cell>
        </row>
        <row r="1036">
          <cell r="V1036">
            <v>133.845</v>
          </cell>
        </row>
        <row r="1037">
          <cell r="V1037">
            <v>133.845</v>
          </cell>
        </row>
        <row r="1038">
          <cell r="V1038">
            <v>133.845</v>
          </cell>
        </row>
        <row r="1039">
          <cell r="V1039">
            <v>133.845</v>
          </cell>
        </row>
        <row r="1040">
          <cell r="V1040">
            <v>79.08</v>
          </cell>
        </row>
        <row r="1041">
          <cell r="V1041">
            <v>89.177000000000007</v>
          </cell>
        </row>
        <row r="1042">
          <cell r="V1042">
            <v>89.177000000000007</v>
          </cell>
        </row>
        <row r="1043">
          <cell r="V1043">
            <v>89.177000000000007</v>
          </cell>
        </row>
        <row r="1044">
          <cell r="V1044">
            <v>89.177000000000007</v>
          </cell>
        </row>
        <row r="1045">
          <cell r="V1045">
            <v>89.177000000000007</v>
          </cell>
        </row>
        <row r="1046">
          <cell r="V1046">
            <v>115.01600000000001</v>
          </cell>
        </row>
        <row r="1047">
          <cell r="V1047">
            <v>133.845</v>
          </cell>
        </row>
        <row r="1048">
          <cell r="V1048">
            <v>133.845</v>
          </cell>
        </row>
        <row r="1049">
          <cell r="V1049">
            <v>133.845</v>
          </cell>
        </row>
        <row r="1050">
          <cell r="V1050">
            <v>133.845</v>
          </cell>
        </row>
        <row r="1051">
          <cell r="V1051">
            <v>133.845</v>
          </cell>
        </row>
        <row r="1052">
          <cell r="V1052">
            <v>79.08</v>
          </cell>
        </row>
        <row r="1053">
          <cell r="V1053">
            <v>89.177000000000007</v>
          </cell>
        </row>
        <row r="1054">
          <cell r="V1054">
            <v>89.177000000000007</v>
          </cell>
        </row>
        <row r="1055">
          <cell r="V1055">
            <v>89.177000000000007</v>
          </cell>
        </row>
        <row r="1056">
          <cell r="V1056">
            <v>89.177000000000007</v>
          </cell>
        </row>
        <row r="1057">
          <cell r="V1057">
            <v>89.177000000000007</v>
          </cell>
        </row>
        <row r="1058">
          <cell r="V1058">
            <v>115.01600000000001</v>
          </cell>
        </row>
        <row r="1059">
          <cell r="V1059">
            <v>133.845</v>
          </cell>
        </row>
        <row r="1060">
          <cell r="V1060">
            <v>133.845</v>
          </cell>
        </row>
        <row r="1061">
          <cell r="V1061">
            <v>133.845</v>
          </cell>
        </row>
        <row r="1062">
          <cell r="V1062">
            <v>133.845</v>
          </cell>
        </row>
        <row r="1063">
          <cell r="V1063">
            <v>133.845</v>
          </cell>
        </row>
        <row r="1064">
          <cell r="V1064">
            <v>79.08</v>
          </cell>
        </row>
        <row r="1065">
          <cell r="V1065">
            <v>89.177000000000007</v>
          </cell>
        </row>
        <row r="1066">
          <cell r="V1066">
            <v>89.177000000000007</v>
          </cell>
        </row>
        <row r="1067">
          <cell r="V1067">
            <v>89.177000000000007</v>
          </cell>
        </row>
        <row r="1068">
          <cell r="V1068">
            <v>89.177000000000007</v>
          </cell>
        </row>
        <row r="1069">
          <cell r="V1069">
            <v>89.177000000000007</v>
          </cell>
        </row>
        <row r="1070">
          <cell r="V1070">
            <v>115.01600000000001</v>
          </cell>
        </row>
        <row r="1071">
          <cell r="V1071">
            <v>133.845</v>
          </cell>
        </row>
        <row r="1072">
          <cell r="V1072">
            <v>133.845</v>
          </cell>
        </row>
        <row r="1073">
          <cell r="V1073">
            <v>133.845</v>
          </cell>
        </row>
        <row r="1074">
          <cell r="V1074">
            <v>133.845</v>
          </cell>
        </row>
        <row r="1075">
          <cell r="V1075">
            <v>133.845</v>
          </cell>
        </row>
        <row r="1076">
          <cell r="V1076">
            <v>79.08</v>
          </cell>
        </row>
        <row r="1077">
          <cell r="V1077">
            <v>89.177000000000007</v>
          </cell>
        </row>
        <row r="1078">
          <cell r="V1078">
            <v>89.177000000000007</v>
          </cell>
        </row>
      </sheetData>
      <sheetData sheetId="10">
        <row r="95">
          <cell r="V95">
            <v>240.30199999999999</v>
          </cell>
        </row>
        <row r="96">
          <cell r="V96">
            <v>240.30199999999999</v>
          </cell>
        </row>
        <row r="97">
          <cell r="V97">
            <v>240.30199999999999</v>
          </cell>
        </row>
        <row r="98">
          <cell r="V98">
            <v>314.69800000000004</v>
          </cell>
        </row>
        <row r="99">
          <cell r="V99">
            <v>278.48399999999998</v>
          </cell>
        </row>
        <row r="100">
          <cell r="V100">
            <v>278.48399999999998</v>
          </cell>
        </row>
        <row r="101">
          <cell r="V101">
            <v>278.48399999999998</v>
          </cell>
        </row>
        <row r="102">
          <cell r="V102">
            <v>278.48399999999998</v>
          </cell>
        </row>
        <row r="103">
          <cell r="V103">
            <v>278.48399999999998</v>
          </cell>
        </row>
        <row r="104">
          <cell r="V104">
            <v>350.87199999999996</v>
          </cell>
        </row>
        <row r="105">
          <cell r="V105">
            <v>240.30199999999999</v>
          </cell>
        </row>
        <row r="106">
          <cell r="V106">
            <v>240.30199999999999</v>
          </cell>
        </row>
        <row r="107">
          <cell r="V107">
            <v>240.30199999999999</v>
          </cell>
        </row>
        <row r="108">
          <cell r="V108">
            <v>240.30199999999999</v>
          </cell>
        </row>
        <row r="109">
          <cell r="V109">
            <v>240.30199999999999</v>
          </cell>
        </row>
        <row r="110">
          <cell r="V110">
            <v>314.69800000000004</v>
          </cell>
        </row>
        <row r="111">
          <cell r="V111">
            <v>278.48399999999998</v>
          </cell>
        </row>
        <row r="112">
          <cell r="V112">
            <v>278.48399999999998</v>
          </cell>
        </row>
        <row r="113">
          <cell r="V113">
            <v>278.48399999999998</v>
          </cell>
        </row>
        <row r="114">
          <cell r="V114">
            <v>278.48399999999998</v>
          </cell>
        </row>
        <row r="115">
          <cell r="V115">
            <v>278.48399999999998</v>
          </cell>
        </row>
        <row r="116">
          <cell r="V116">
            <v>350.87199999999996</v>
          </cell>
        </row>
        <row r="117">
          <cell r="V117">
            <v>240.30199999999999</v>
          </cell>
        </row>
        <row r="118">
          <cell r="V118">
            <v>240.30199999999999</v>
          </cell>
        </row>
        <row r="119">
          <cell r="V119">
            <v>240.30199999999999</v>
          </cell>
        </row>
        <row r="120">
          <cell r="V120">
            <v>240.30199999999999</v>
          </cell>
        </row>
        <row r="121">
          <cell r="V121">
            <v>240.30199999999999</v>
          </cell>
        </row>
        <row r="122">
          <cell r="V122">
            <v>314.69800000000004</v>
          </cell>
        </row>
        <row r="123">
          <cell r="V123">
            <v>278.48399999999998</v>
          </cell>
        </row>
        <row r="124">
          <cell r="V124">
            <v>278.48399999999998</v>
          </cell>
        </row>
        <row r="125">
          <cell r="V125">
            <v>278.48399999999998</v>
          </cell>
        </row>
        <row r="126">
          <cell r="V126">
            <v>278.48399999999998</v>
          </cell>
        </row>
        <row r="127">
          <cell r="V127">
            <v>278.48399999999998</v>
          </cell>
        </row>
        <row r="128">
          <cell r="V128">
            <v>350.87199999999996</v>
          </cell>
        </row>
        <row r="129">
          <cell r="V129">
            <v>240.30199999999999</v>
          </cell>
        </row>
        <row r="130">
          <cell r="V130">
            <v>240.30199999999999</v>
          </cell>
        </row>
        <row r="131">
          <cell r="V131">
            <v>240.30199999999999</v>
          </cell>
        </row>
        <row r="132">
          <cell r="V132">
            <v>240.30199999999999</v>
          </cell>
        </row>
        <row r="133">
          <cell r="V133">
            <v>240.30199999999999</v>
          </cell>
        </row>
        <row r="134">
          <cell r="V134">
            <v>314.69800000000004</v>
          </cell>
        </row>
        <row r="135">
          <cell r="V135">
            <v>278.48399999999998</v>
          </cell>
        </row>
        <row r="136">
          <cell r="V136">
            <v>278.48399999999998</v>
          </cell>
        </row>
        <row r="137">
          <cell r="V137">
            <v>278.48399999999998</v>
          </cell>
        </row>
        <row r="138">
          <cell r="V138">
            <v>278.48399999999998</v>
          </cell>
        </row>
        <row r="139">
          <cell r="V139">
            <v>278.48399999999998</v>
          </cell>
        </row>
        <row r="140">
          <cell r="V140">
            <v>350.87199999999996</v>
          </cell>
        </row>
        <row r="141">
          <cell r="V141">
            <v>240.30199999999999</v>
          </cell>
        </row>
        <row r="142">
          <cell r="V142">
            <v>240.30199999999999</v>
          </cell>
        </row>
        <row r="143">
          <cell r="V143">
            <v>240.30199999999999</v>
          </cell>
        </row>
        <row r="144">
          <cell r="V144">
            <v>240.30199999999999</v>
          </cell>
        </row>
        <row r="145">
          <cell r="V145">
            <v>240.30199999999999</v>
          </cell>
        </row>
        <row r="146">
          <cell r="V146">
            <v>314.69800000000004</v>
          </cell>
        </row>
        <row r="147">
          <cell r="V147">
            <v>278.48399999999998</v>
          </cell>
        </row>
        <row r="148">
          <cell r="V148">
            <v>278.48399999999998</v>
          </cell>
        </row>
        <row r="149">
          <cell r="V149">
            <v>278.48399999999998</v>
          </cell>
        </row>
        <row r="150">
          <cell r="V150">
            <v>278.48399999999998</v>
          </cell>
        </row>
        <row r="151">
          <cell r="V151">
            <v>278.48399999999998</v>
          </cell>
        </row>
        <row r="152">
          <cell r="V152">
            <v>350.87199999999996</v>
          </cell>
        </row>
        <row r="153">
          <cell r="V153">
            <v>240.30199999999999</v>
          </cell>
        </row>
        <row r="154">
          <cell r="V154">
            <v>240.30199999999999</v>
          </cell>
        </row>
        <row r="155">
          <cell r="V155">
            <v>240.30199999999999</v>
          </cell>
        </row>
        <row r="156">
          <cell r="V156">
            <v>240.30199999999999</v>
          </cell>
        </row>
        <row r="157">
          <cell r="V157">
            <v>240.30199999999999</v>
          </cell>
        </row>
        <row r="158">
          <cell r="V158">
            <v>314.69800000000004</v>
          </cell>
        </row>
        <row r="159">
          <cell r="V159">
            <v>278.48399999999998</v>
          </cell>
        </row>
        <row r="160">
          <cell r="V160">
            <v>278.48399999999998</v>
          </cell>
        </row>
        <row r="161">
          <cell r="V161">
            <v>278.48399999999998</v>
          </cell>
        </row>
        <row r="162">
          <cell r="V162">
            <v>278.48399999999998</v>
          </cell>
        </row>
        <row r="163">
          <cell r="V163">
            <v>278.48399999999998</v>
          </cell>
        </row>
        <row r="164">
          <cell r="V164">
            <v>350.87199999999996</v>
          </cell>
        </row>
        <row r="165">
          <cell r="V165">
            <v>240.30199999999999</v>
          </cell>
        </row>
        <row r="166">
          <cell r="V166">
            <v>240.30199999999999</v>
          </cell>
        </row>
        <row r="167">
          <cell r="V167">
            <v>240.30199999999999</v>
          </cell>
        </row>
        <row r="168">
          <cell r="V168">
            <v>240.30199999999999</v>
          </cell>
        </row>
        <row r="169">
          <cell r="V169">
            <v>240.30199999999999</v>
          </cell>
        </row>
        <row r="170">
          <cell r="V170">
            <v>314.69800000000004</v>
          </cell>
        </row>
        <row r="171">
          <cell r="V171">
            <v>278.48399999999998</v>
          </cell>
        </row>
        <row r="172">
          <cell r="V172">
            <v>278.48399999999998</v>
          </cell>
        </row>
        <row r="173">
          <cell r="V173">
            <v>278.48399999999998</v>
          </cell>
        </row>
        <row r="174">
          <cell r="V174">
            <v>278.48399999999998</v>
          </cell>
        </row>
        <row r="175">
          <cell r="V175">
            <v>278.48399999999998</v>
          </cell>
        </row>
        <row r="176">
          <cell r="V176">
            <v>350.87199999999996</v>
          </cell>
        </row>
        <row r="177">
          <cell r="V177">
            <v>240.30199999999999</v>
          </cell>
        </row>
        <row r="178">
          <cell r="V178">
            <v>240.30199999999999</v>
          </cell>
        </row>
        <row r="179">
          <cell r="V179">
            <v>240.30199999999999</v>
          </cell>
        </row>
        <row r="180">
          <cell r="V180">
            <v>240.30199999999999</v>
          </cell>
        </row>
        <row r="181">
          <cell r="V181">
            <v>240.30199999999999</v>
          </cell>
        </row>
        <row r="182">
          <cell r="V182">
            <v>314.69800000000004</v>
          </cell>
        </row>
        <row r="183">
          <cell r="V183">
            <v>278.48399999999998</v>
          </cell>
        </row>
        <row r="184">
          <cell r="V184">
            <v>278.48399999999998</v>
          </cell>
        </row>
        <row r="185">
          <cell r="V185">
            <v>278.48399999999998</v>
          </cell>
        </row>
        <row r="186">
          <cell r="V186">
            <v>278.48399999999998</v>
          </cell>
        </row>
        <row r="187">
          <cell r="V187">
            <v>278.48399999999998</v>
          </cell>
        </row>
        <row r="188">
          <cell r="V188">
            <v>350.87199999999996</v>
          </cell>
        </row>
        <row r="189">
          <cell r="V189">
            <v>240.30199999999999</v>
          </cell>
        </row>
        <row r="190">
          <cell r="V190">
            <v>240.30199999999999</v>
          </cell>
        </row>
        <row r="191">
          <cell r="V191">
            <v>240.30199999999999</v>
          </cell>
        </row>
        <row r="192">
          <cell r="V192">
            <v>240.30199999999999</v>
          </cell>
        </row>
        <row r="193">
          <cell r="V193">
            <v>240.30199999999999</v>
          </cell>
        </row>
        <row r="194">
          <cell r="V194">
            <v>314.69800000000004</v>
          </cell>
        </row>
        <row r="195">
          <cell r="V195">
            <v>278.48399999999998</v>
          </cell>
        </row>
        <row r="196">
          <cell r="V196">
            <v>278.48399999999998</v>
          </cell>
        </row>
        <row r="197">
          <cell r="V197">
            <v>278.48399999999998</v>
          </cell>
        </row>
        <row r="198">
          <cell r="V198">
            <v>278.48399999999998</v>
          </cell>
        </row>
        <row r="199">
          <cell r="V199">
            <v>278.48399999999998</v>
          </cell>
        </row>
        <row r="200">
          <cell r="V200">
            <v>350.87199999999996</v>
          </cell>
        </row>
        <row r="201">
          <cell r="V201">
            <v>240.30199999999999</v>
          </cell>
        </row>
        <row r="202">
          <cell r="V202">
            <v>240.30199999999999</v>
          </cell>
        </row>
        <row r="203">
          <cell r="V203">
            <v>240.30199999999999</v>
          </cell>
        </row>
        <row r="204">
          <cell r="V204">
            <v>240.30199999999999</v>
          </cell>
        </row>
        <row r="205">
          <cell r="V205">
            <v>240.30199999999999</v>
          </cell>
        </row>
        <row r="206">
          <cell r="V206">
            <v>314.69800000000004</v>
          </cell>
        </row>
        <row r="207">
          <cell r="V207">
            <v>278.48399999999998</v>
          </cell>
        </row>
        <row r="208">
          <cell r="V208">
            <v>278.48399999999998</v>
          </cell>
        </row>
        <row r="209">
          <cell r="V209">
            <v>278.48399999999998</v>
          </cell>
        </row>
        <row r="210">
          <cell r="V210">
            <v>278.48399999999998</v>
          </cell>
        </row>
        <row r="211">
          <cell r="V211">
            <v>278.48399999999998</v>
          </cell>
        </row>
        <row r="212">
          <cell r="V212">
            <v>350.87199999999996</v>
          </cell>
        </row>
        <row r="213">
          <cell r="V213">
            <v>240.30199999999999</v>
          </cell>
        </row>
        <row r="214">
          <cell r="V214">
            <v>240.30199999999999</v>
          </cell>
        </row>
        <row r="215">
          <cell r="V215">
            <v>240.30199999999999</v>
          </cell>
        </row>
        <row r="216">
          <cell r="V216">
            <v>240.30199999999999</v>
          </cell>
        </row>
        <row r="217">
          <cell r="V217">
            <v>240.30199999999999</v>
          </cell>
        </row>
        <row r="218">
          <cell r="V218">
            <v>314.69800000000004</v>
          </cell>
        </row>
        <row r="219">
          <cell r="V219">
            <v>278.48399999999998</v>
          </cell>
        </row>
        <row r="220">
          <cell r="V220">
            <v>278.48399999999998</v>
          </cell>
        </row>
        <row r="221">
          <cell r="V221">
            <v>278.48399999999998</v>
          </cell>
        </row>
        <row r="222">
          <cell r="V222">
            <v>278.48399999999998</v>
          </cell>
        </row>
        <row r="223">
          <cell r="V223">
            <v>278.48399999999998</v>
          </cell>
        </row>
        <row r="224">
          <cell r="V224">
            <v>350.87199999999996</v>
          </cell>
        </row>
        <row r="225">
          <cell r="V225">
            <v>240.30199999999999</v>
          </cell>
        </row>
        <row r="226">
          <cell r="V226">
            <v>240.30199999999999</v>
          </cell>
        </row>
        <row r="227">
          <cell r="V227">
            <v>240.30199999999999</v>
          </cell>
        </row>
        <row r="228">
          <cell r="V228">
            <v>240.30199999999999</v>
          </cell>
        </row>
        <row r="229">
          <cell r="V229">
            <v>240.30199999999999</v>
          </cell>
        </row>
        <row r="230">
          <cell r="V230">
            <v>314.69800000000004</v>
          </cell>
        </row>
        <row r="231">
          <cell r="V231">
            <v>278.48399999999998</v>
          </cell>
        </row>
        <row r="232">
          <cell r="V232">
            <v>278.48399999999998</v>
          </cell>
        </row>
        <row r="233">
          <cell r="V233">
            <v>278.48399999999998</v>
          </cell>
        </row>
        <row r="234">
          <cell r="V234">
            <v>278.48399999999998</v>
          </cell>
        </row>
        <row r="235">
          <cell r="V235">
            <v>278.48399999999998</v>
          </cell>
        </row>
        <row r="236">
          <cell r="V236">
            <v>350.87199999999996</v>
          </cell>
        </row>
        <row r="237">
          <cell r="V237">
            <v>240.30199999999999</v>
          </cell>
        </row>
        <row r="238">
          <cell r="V238">
            <v>240.30199999999999</v>
          </cell>
        </row>
        <row r="239">
          <cell r="V239">
            <v>240.30199999999999</v>
          </cell>
        </row>
        <row r="240">
          <cell r="V240">
            <v>240.30199999999999</v>
          </cell>
        </row>
        <row r="241">
          <cell r="V241">
            <v>240.30199999999999</v>
          </cell>
        </row>
        <row r="242">
          <cell r="V242">
            <v>314.69800000000004</v>
          </cell>
        </row>
        <row r="243">
          <cell r="V243">
            <v>278.48399999999998</v>
          </cell>
        </row>
        <row r="244">
          <cell r="V244">
            <v>278.48399999999998</v>
          </cell>
        </row>
        <row r="245">
          <cell r="V245">
            <v>278.48399999999998</v>
          </cell>
        </row>
        <row r="246">
          <cell r="V246">
            <v>278.48399999999998</v>
          </cell>
        </row>
        <row r="247">
          <cell r="V247">
            <v>278.48399999999998</v>
          </cell>
        </row>
        <row r="248">
          <cell r="V248">
            <v>350.87199999999996</v>
          </cell>
        </row>
        <row r="249">
          <cell r="V249">
            <v>240.30199999999999</v>
          </cell>
        </row>
        <row r="250">
          <cell r="V250">
            <v>240.30199999999999</v>
          </cell>
        </row>
        <row r="251">
          <cell r="V251">
            <v>240.30199999999999</v>
          </cell>
        </row>
        <row r="252">
          <cell r="V252">
            <v>240.30199999999999</v>
          </cell>
        </row>
        <row r="253">
          <cell r="V253">
            <v>240.30199999999999</v>
          </cell>
        </row>
        <row r="254">
          <cell r="V254">
            <v>314.69800000000004</v>
          </cell>
        </row>
        <row r="255">
          <cell r="V255">
            <v>278.48399999999998</v>
          </cell>
        </row>
        <row r="256">
          <cell r="V256">
            <v>278.48399999999998</v>
          </cell>
        </row>
        <row r="257">
          <cell r="V257">
            <v>278.48399999999998</v>
          </cell>
        </row>
        <row r="258">
          <cell r="V258">
            <v>278.48399999999998</v>
          </cell>
        </row>
        <row r="259">
          <cell r="V259">
            <v>278.48399999999998</v>
          </cell>
        </row>
        <row r="260">
          <cell r="V260">
            <v>350.87199999999996</v>
          </cell>
        </row>
        <row r="261">
          <cell r="V261">
            <v>240.30199999999999</v>
          </cell>
        </row>
        <row r="262">
          <cell r="V262">
            <v>240.30199999999999</v>
          </cell>
        </row>
        <row r="263">
          <cell r="V263">
            <v>240.30199999999999</v>
          </cell>
        </row>
        <row r="264">
          <cell r="V264">
            <v>240.30199999999999</v>
          </cell>
        </row>
        <row r="265">
          <cell r="V265">
            <v>240.30199999999999</v>
          </cell>
        </row>
        <row r="266">
          <cell r="V266">
            <v>314.69800000000004</v>
          </cell>
        </row>
        <row r="267">
          <cell r="V267">
            <v>278.48399999999998</v>
          </cell>
        </row>
        <row r="268">
          <cell r="V268">
            <v>278.48399999999998</v>
          </cell>
        </row>
        <row r="269">
          <cell r="V269">
            <v>278.48399999999998</v>
          </cell>
        </row>
        <row r="270">
          <cell r="V270">
            <v>278.48399999999998</v>
          </cell>
        </row>
        <row r="271">
          <cell r="V271">
            <v>278.48399999999998</v>
          </cell>
        </row>
        <row r="272">
          <cell r="V272">
            <v>350.87199999999996</v>
          </cell>
        </row>
        <row r="273">
          <cell r="V273">
            <v>240.30199999999999</v>
          </cell>
        </row>
        <row r="274">
          <cell r="V274">
            <v>240.30199999999999</v>
          </cell>
        </row>
        <row r="275">
          <cell r="V275">
            <v>240.30199999999999</v>
          </cell>
        </row>
        <row r="276">
          <cell r="V276">
            <v>240.30199999999999</v>
          </cell>
        </row>
        <row r="277">
          <cell r="V277">
            <v>240.30199999999999</v>
          </cell>
        </row>
        <row r="278">
          <cell r="V278">
            <v>314.69800000000004</v>
          </cell>
        </row>
        <row r="279">
          <cell r="V279">
            <v>278.48399999999998</v>
          </cell>
        </row>
        <row r="280">
          <cell r="V280">
            <v>278.48399999999998</v>
          </cell>
        </row>
        <row r="281">
          <cell r="V281">
            <v>278.48399999999998</v>
          </cell>
        </row>
        <row r="282">
          <cell r="V282">
            <v>278.48399999999998</v>
          </cell>
        </row>
        <row r="283">
          <cell r="V283">
            <v>278.48399999999998</v>
          </cell>
        </row>
        <row r="284">
          <cell r="V284">
            <v>350.87199999999996</v>
          </cell>
        </row>
        <row r="285">
          <cell r="V285">
            <v>240.30199999999999</v>
          </cell>
        </row>
        <row r="286">
          <cell r="V286">
            <v>240.30199999999999</v>
          </cell>
        </row>
        <row r="287">
          <cell r="V287">
            <v>240.30199999999999</v>
          </cell>
        </row>
        <row r="288">
          <cell r="V288">
            <v>240.30199999999999</v>
          </cell>
        </row>
        <row r="289">
          <cell r="V289">
            <v>240.30199999999999</v>
          </cell>
        </row>
        <row r="290">
          <cell r="V290">
            <v>314.69800000000004</v>
          </cell>
        </row>
        <row r="291">
          <cell r="V291">
            <v>278.48399999999998</v>
          </cell>
        </row>
        <row r="292">
          <cell r="V292">
            <v>278.48399999999998</v>
          </cell>
        </row>
        <row r="293">
          <cell r="V293">
            <v>278.48399999999998</v>
          </cell>
        </row>
        <row r="294">
          <cell r="V294">
            <v>278.48399999999998</v>
          </cell>
        </row>
        <row r="295">
          <cell r="V295">
            <v>278.48399999999998</v>
          </cell>
        </row>
        <row r="296">
          <cell r="V296">
            <v>350.87199999999996</v>
          </cell>
        </row>
        <row r="297">
          <cell r="V297">
            <v>240.30199999999999</v>
          </cell>
        </row>
        <row r="298">
          <cell r="V298">
            <v>240.30199999999999</v>
          </cell>
        </row>
        <row r="299">
          <cell r="V299">
            <v>240.30199999999999</v>
          </cell>
        </row>
        <row r="300">
          <cell r="V300">
            <v>240.30199999999999</v>
          </cell>
        </row>
        <row r="301">
          <cell r="V301">
            <v>240.30199999999999</v>
          </cell>
        </row>
        <row r="302">
          <cell r="V302">
            <v>314.69800000000004</v>
          </cell>
        </row>
        <row r="303">
          <cell r="V303">
            <v>278.48399999999998</v>
          </cell>
        </row>
        <row r="304">
          <cell r="V304">
            <v>278.48399999999998</v>
          </cell>
        </row>
        <row r="305">
          <cell r="V305">
            <v>278.48399999999998</v>
          </cell>
        </row>
        <row r="306">
          <cell r="V306">
            <v>278.48399999999998</v>
          </cell>
        </row>
        <row r="307">
          <cell r="V307">
            <v>278.48399999999998</v>
          </cell>
        </row>
        <row r="308">
          <cell r="V308">
            <v>350.87199999999996</v>
          </cell>
        </row>
        <row r="309">
          <cell r="V309">
            <v>240.30199999999999</v>
          </cell>
        </row>
        <row r="310">
          <cell r="V310">
            <v>240.30199999999999</v>
          </cell>
        </row>
        <row r="311">
          <cell r="V311">
            <v>240.30199999999999</v>
          </cell>
        </row>
        <row r="312">
          <cell r="V312">
            <v>240.30199999999999</v>
          </cell>
        </row>
        <row r="313">
          <cell r="V313">
            <v>240.30199999999999</v>
          </cell>
        </row>
        <row r="314">
          <cell r="V314">
            <v>314.69800000000004</v>
          </cell>
        </row>
        <row r="315">
          <cell r="V315">
            <v>278.48399999999998</v>
          </cell>
        </row>
        <row r="316">
          <cell r="V316">
            <v>278.48399999999998</v>
          </cell>
        </row>
        <row r="317">
          <cell r="V317">
            <v>278.48399999999998</v>
          </cell>
        </row>
        <row r="318">
          <cell r="V318">
            <v>278.48399999999998</v>
          </cell>
        </row>
        <row r="319">
          <cell r="V319">
            <v>278.48399999999998</v>
          </cell>
        </row>
        <row r="320">
          <cell r="V320">
            <v>350.87199999999996</v>
          </cell>
        </row>
        <row r="321">
          <cell r="V321">
            <v>240.30199999999999</v>
          </cell>
        </row>
        <row r="322">
          <cell r="V322">
            <v>240.30199999999999</v>
          </cell>
        </row>
        <row r="323">
          <cell r="V323">
            <v>240.30199999999999</v>
          </cell>
        </row>
        <row r="324">
          <cell r="V324">
            <v>240.30199999999999</v>
          </cell>
        </row>
        <row r="325">
          <cell r="V325">
            <v>240.30199999999999</v>
          </cell>
        </row>
        <row r="326">
          <cell r="V326">
            <v>314.69800000000004</v>
          </cell>
        </row>
        <row r="327">
          <cell r="V327">
            <v>278.48399999999998</v>
          </cell>
        </row>
        <row r="328">
          <cell r="V328">
            <v>278.48399999999998</v>
          </cell>
        </row>
        <row r="329">
          <cell r="V329">
            <v>278.48399999999998</v>
          </cell>
        </row>
        <row r="330">
          <cell r="V330">
            <v>278.48399999999998</v>
          </cell>
        </row>
        <row r="331">
          <cell r="V331">
            <v>278.48399999999998</v>
          </cell>
        </row>
        <row r="332">
          <cell r="V332">
            <v>350.87199999999996</v>
          </cell>
        </row>
        <row r="333">
          <cell r="V333">
            <v>240.30199999999999</v>
          </cell>
        </row>
        <row r="334">
          <cell r="V334">
            <v>240.30199999999999</v>
          </cell>
        </row>
        <row r="335">
          <cell r="V335">
            <v>240.30199999999999</v>
          </cell>
        </row>
        <row r="336">
          <cell r="V336">
            <v>240.30199999999999</v>
          </cell>
        </row>
        <row r="337">
          <cell r="V337">
            <v>240.30199999999999</v>
          </cell>
        </row>
        <row r="338">
          <cell r="V338">
            <v>314.69800000000004</v>
          </cell>
        </row>
        <row r="339">
          <cell r="V339">
            <v>278.48399999999998</v>
          </cell>
        </row>
        <row r="340">
          <cell r="V340">
            <v>278.48399999999998</v>
          </cell>
        </row>
        <row r="341">
          <cell r="V341">
            <v>278.48399999999998</v>
          </cell>
        </row>
        <row r="342">
          <cell r="V342">
            <v>278.48399999999998</v>
          </cell>
        </row>
        <row r="343">
          <cell r="V343">
            <v>278.48399999999998</v>
          </cell>
        </row>
        <row r="344">
          <cell r="V344">
            <v>350.87199999999996</v>
          </cell>
        </row>
        <row r="345">
          <cell r="V345">
            <v>240.30199999999999</v>
          </cell>
        </row>
        <row r="346">
          <cell r="V346">
            <v>240.30199999999999</v>
          </cell>
        </row>
        <row r="347">
          <cell r="V347">
            <v>240.30199999999999</v>
          </cell>
        </row>
        <row r="348">
          <cell r="V348">
            <v>240.30199999999999</v>
          </cell>
        </row>
        <row r="349">
          <cell r="V349">
            <v>240.30199999999999</v>
          </cell>
        </row>
        <row r="350">
          <cell r="V350">
            <v>314.69800000000004</v>
          </cell>
        </row>
        <row r="351">
          <cell r="V351">
            <v>278.48399999999998</v>
          </cell>
        </row>
        <row r="352">
          <cell r="V352">
            <v>278.48399999999998</v>
          </cell>
        </row>
        <row r="353">
          <cell r="V353">
            <v>278.48399999999998</v>
          </cell>
        </row>
        <row r="354">
          <cell r="V354">
            <v>278.48399999999998</v>
          </cell>
        </row>
        <row r="355">
          <cell r="V355">
            <v>278.48399999999998</v>
          </cell>
        </row>
        <row r="356">
          <cell r="V356">
            <v>350.87199999999996</v>
          </cell>
        </row>
        <row r="357">
          <cell r="V357">
            <v>240.30199999999999</v>
          </cell>
        </row>
        <row r="358">
          <cell r="V358">
            <v>240.30199999999999</v>
          </cell>
        </row>
        <row r="359">
          <cell r="V359">
            <v>240.30199999999999</v>
          </cell>
        </row>
        <row r="360">
          <cell r="V360">
            <v>240.30199999999999</v>
          </cell>
        </row>
        <row r="361">
          <cell r="V361">
            <v>240.30199999999999</v>
          </cell>
        </row>
        <row r="362">
          <cell r="V362">
            <v>314.69800000000004</v>
          </cell>
        </row>
        <row r="363">
          <cell r="V363">
            <v>278.48399999999998</v>
          </cell>
        </row>
        <row r="364">
          <cell r="V364">
            <v>278.48399999999998</v>
          </cell>
        </row>
        <row r="365">
          <cell r="V365">
            <v>278.48399999999998</v>
          </cell>
        </row>
        <row r="366">
          <cell r="V366">
            <v>278.48399999999998</v>
          </cell>
        </row>
        <row r="367">
          <cell r="V367">
            <v>278.48399999999998</v>
          </cell>
        </row>
        <row r="368">
          <cell r="V368">
            <v>350.87199999999996</v>
          </cell>
        </row>
        <row r="369">
          <cell r="V369">
            <v>240.30199999999999</v>
          </cell>
        </row>
        <row r="370">
          <cell r="V370">
            <v>240.30199999999999</v>
          </cell>
        </row>
        <row r="371">
          <cell r="V371">
            <v>240.30199999999999</v>
          </cell>
        </row>
        <row r="372">
          <cell r="V372">
            <v>240.30199999999999</v>
          </cell>
        </row>
        <row r="373">
          <cell r="V373">
            <v>240.30199999999999</v>
          </cell>
        </row>
        <row r="374">
          <cell r="V374">
            <v>314.69800000000004</v>
          </cell>
        </row>
        <row r="375">
          <cell r="V375">
            <v>278.48399999999998</v>
          </cell>
        </row>
        <row r="376">
          <cell r="V376">
            <v>278.48399999999998</v>
          </cell>
        </row>
        <row r="377">
          <cell r="V377">
            <v>278.48399999999998</v>
          </cell>
        </row>
        <row r="378">
          <cell r="V378">
            <v>278.48399999999998</v>
          </cell>
        </row>
        <row r="379">
          <cell r="V379">
            <v>278.48399999999998</v>
          </cell>
        </row>
        <row r="380">
          <cell r="V380">
            <v>350.87199999999996</v>
          </cell>
        </row>
        <row r="381">
          <cell r="V381">
            <v>240.30199999999999</v>
          </cell>
        </row>
        <row r="382">
          <cell r="V382">
            <v>240.30199999999999</v>
          </cell>
        </row>
        <row r="383">
          <cell r="V383">
            <v>240.30199999999999</v>
          </cell>
        </row>
        <row r="384">
          <cell r="V384">
            <v>240.30199999999999</v>
          </cell>
        </row>
        <row r="385">
          <cell r="V385">
            <v>240.30199999999999</v>
          </cell>
        </row>
        <row r="386">
          <cell r="V386">
            <v>314.69800000000004</v>
          </cell>
        </row>
        <row r="387">
          <cell r="V387">
            <v>278.48399999999998</v>
          </cell>
        </row>
        <row r="388">
          <cell r="V388">
            <v>278.48399999999998</v>
          </cell>
        </row>
        <row r="389">
          <cell r="V389">
            <v>278.48399999999998</v>
          </cell>
        </row>
        <row r="390">
          <cell r="V390">
            <v>278.48399999999998</v>
          </cell>
        </row>
        <row r="391">
          <cell r="V391">
            <v>278.48399999999998</v>
          </cell>
        </row>
        <row r="392">
          <cell r="V392">
            <v>350.87199999999996</v>
          </cell>
        </row>
        <row r="393">
          <cell r="V393">
            <v>240.30199999999999</v>
          </cell>
        </row>
        <row r="394">
          <cell r="V394">
            <v>240.30199999999999</v>
          </cell>
        </row>
        <row r="395">
          <cell r="V395">
            <v>240.30199999999999</v>
          </cell>
        </row>
        <row r="396">
          <cell r="V396">
            <v>240.30199999999999</v>
          </cell>
        </row>
        <row r="397">
          <cell r="V397">
            <v>240.30199999999999</v>
          </cell>
        </row>
        <row r="398">
          <cell r="V398">
            <v>314.69800000000004</v>
          </cell>
        </row>
        <row r="399">
          <cell r="V399">
            <v>278.48399999999998</v>
          </cell>
        </row>
        <row r="400">
          <cell r="V400">
            <v>278.48399999999998</v>
          </cell>
        </row>
        <row r="401">
          <cell r="V401">
            <v>278.48399999999998</v>
          </cell>
        </row>
        <row r="402">
          <cell r="V402">
            <v>278.48399999999998</v>
          </cell>
        </row>
        <row r="403">
          <cell r="V403">
            <v>278.48399999999998</v>
          </cell>
        </row>
        <row r="404">
          <cell r="V404">
            <v>350.87199999999996</v>
          </cell>
        </row>
        <row r="405">
          <cell r="V405">
            <v>240.30199999999999</v>
          </cell>
        </row>
        <row r="406">
          <cell r="V406">
            <v>240.30199999999999</v>
          </cell>
        </row>
        <row r="407">
          <cell r="V407">
            <v>240.30199999999999</v>
          </cell>
        </row>
        <row r="408">
          <cell r="V408">
            <v>240.30199999999999</v>
          </cell>
        </row>
        <row r="409">
          <cell r="V409">
            <v>240.30199999999999</v>
          </cell>
        </row>
        <row r="410">
          <cell r="V410">
            <v>314.69800000000004</v>
          </cell>
        </row>
        <row r="411">
          <cell r="V411">
            <v>278.48399999999998</v>
          </cell>
        </row>
        <row r="412">
          <cell r="V412">
            <v>278.48399999999998</v>
          </cell>
        </row>
        <row r="413">
          <cell r="V413">
            <v>278.48399999999998</v>
          </cell>
        </row>
        <row r="414">
          <cell r="V414">
            <v>278.48399999999998</v>
          </cell>
        </row>
        <row r="415">
          <cell r="V415">
            <v>278.48399999999998</v>
          </cell>
        </row>
        <row r="416">
          <cell r="V416">
            <v>350.87199999999996</v>
          </cell>
        </row>
        <row r="417">
          <cell r="V417">
            <v>240.30199999999999</v>
          </cell>
        </row>
        <row r="418">
          <cell r="V418">
            <v>240.30199999999999</v>
          </cell>
        </row>
        <row r="419">
          <cell r="V419">
            <v>240.30199999999999</v>
          </cell>
        </row>
        <row r="420">
          <cell r="V420">
            <v>240.30199999999999</v>
          </cell>
        </row>
        <row r="421">
          <cell r="V421">
            <v>240.30199999999999</v>
          </cell>
        </row>
        <row r="422">
          <cell r="V422">
            <v>314.69800000000004</v>
          </cell>
        </row>
        <row r="423">
          <cell r="V423">
            <v>278.48399999999998</v>
          </cell>
        </row>
        <row r="424">
          <cell r="V424">
            <v>278.48399999999998</v>
          </cell>
        </row>
        <row r="425">
          <cell r="V425">
            <v>278.48399999999998</v>
          </cell>
        </row>
        <row r="426">
          <cell r="V426">
            <v>278.48399999999998</v>
          </cell>
        </row>
        <row r="427">
          <cell r="V427">
            <v>278.48399999999998</v>
          </cell>
        </row>
        <row r="428">
          <cell r="V428">
            <v>350.87199999999996</v>
          </cell>
        </row>
        <row r="429">
          <cell r="V429">
            <v>240.30199999999999</v>
          </cell>
        </row>
        <row r="430">
          <cell r="V430">
            <v>240.30199999999999</v>
          </cell>
        </row>
        <row r="431">
          <cell r="V431">
            <v>240.30199999999999</v>
          </cell>
        </row>
        <row r="432">
          <cell r="V432">
            <v>240.30199999999999</v>
          </cell>
        </row>
        <row r="433">
          <cell r="V433">
            <v>240.30199999999999</v>
          </cell>
        </row>
        <row r="434">
          <cell r="V434">
            <v>314.69800000000004</v>
          </cell>
        </row>
        <row r="435">
          <cell r="V435">
            <v>278.48399999999998</v>
          </cell>
        </row>
        <row r="436">
          <cell r="V436">
            <v>278.48399999999998</v>
          </cell>
        </row>
        <row r="437">
          <cell r="V437">
            <v>278.48399999999998</v>
          </cell>
        </row>
        <row r="438">
          <cell r="V438">
            <v>278.48399999999998</v>
          </cell>
        </row>
        <row r="439">
          <cell r="V439">
            <v>278.48399999999998</v>
          </cell>
        </row>
        <row r="440">
          <cell r="V440">
            <v>350.87199999999996</v>
          </cell>
        </row>
        <row r="441">
          <cell r="V441">
            <v>240.30199999999999</v>
          </cell>
        </row>
        <row r="442">
          <cell r="V442">
            <v>240.30199999999999</v>
          </cell>
        </row>
        <row r="443">
          <cell r="V443">
            <v>240.30199999999999</v>
          </cell>
        </row>
        <row r="444">
          <cell r="V444">
            <v>240.30199999999999</v>
          </cell>
        </row>
        <row r="445">
          <cell r="V445">
            <v>240.30199999999999</v>
          </cell>
        </row>
        <row r="446">
          <cell r="V446">
            <v>314.69800000000004</v>
          </cell>
        </row>
        <row r="447">
          <cell r="V447">
            <v>278.48399999999998</v>
          </cell>
        </row>
        <row r="448">
          <cell r="V448">
            <v>278.48399999999998</v>
          </cell>
        </row>
        <row r="449">
          <cell r="V449">
            <v>278.48399999999998</v>
          </cell>
        </row>
        <row r="450">
          <cell r="V450">
            <v>278.48399999999998</v>
          </cell>
        </row>
        <row r="451">
          <cell r="V451">
            <v>278.48399999999998</v>
          </cell>
        </row>
        <row r="452">
          <cell r="V452">
            <v>350.87199999999996</v>
          </cell>
        </row>
        <row r="453">
          <cell r="V453">
            <v>240.30199999999999</v>
          </cell>
        </row>
        <row r="454">
          <cell r="V454">
            <v>240.30199999999999</v>
          </cell>
        </row>
        <row r="455">
          <cell r="V455">
            <v>240.30199999999999</v>
          </cell>
        </row>
        <row r="456">
          <cell r="V456">
            <v>240.30199999999999</v>
          </cell>
        </row>
        <row r="457">
          <cell r="V457">
            <v>240.30199999999999</v>
          </cell>
        </row>
        <row r="458">
          <cell r="V458">
            <v>314.69800000000004</v>
          </cell>
        </row>
        <row r="459">
          <cell r="V459">
            <v>278.48399999999998</v>
          </cell>
        </row>
        <row r="460">
          <cell r="V460">
            <v>278.48399999999998</v>
          </cell>
        </row>
        <row r="461">
          <cell r="V461">
            <v>278.48399999999998</v>
          </cell>
        </row>
        <row r="462">
          <cell r="V462">
            <v>278.48399999999998</v>
          </cell>
        </row>
        <row r="463">
          <cell r="V463">
            <v>278.48399999999998</v>
          </cell>
        </row>
        <row r="464">
          <cell r="V464">
            <v>350.87199999999996</v>
          </cell>
        </row>
        <row r="465">
          <cell r="V465">
            <v>240.30199999999999</v>
          </cell>
        </row>
        <row r="466">
          <cell r="V466">
            <v>240.30199999999999</v>
          </cell>
        </row>
        <row r="467">
          <cell r="V467">
            <v>240.30199999999999</v>
          </cell>
        </row>
        <row r="468">
          <cell r="V468">
            <v>240.30199999999999</v>
          </cell>
        </row>
        <row r="469">
          <cell r="V469">
            <v>240.30199999999999</v>
          </cell>
        </row>
        <row r="470">
          <cell r="V470">
            <v>314.69800000000004</v>
          </cell>
        </row>
        <row r="471">
          <cell r="V471">
            <v>278.48399999999998</v>
          </cell>
        </row>
        <row r="472">
          <cell r="V472">
            <v>278.48399999999998</v>
          </cell>
        </row>
        <row r="473">
          <cell r="V473">
            <v>278.48399999999998</v>
          </cell>
        </row>
        <row r="474">
          <cell r="V474">
            <v>278.48399999999998</v>
          </cell>
        </row>
        <row r="475">
          <cell r="V475">
            <v>278.48399999999998</v>
          </cell>
        </row>
        <row r="476">
          <cell r="V476">
            <v>350.87199999999996</v>
          </cell>
        </row>
        <row r="477">
          <cell r="V477">
            <v>240.30199999999999</v>
          </cell>
        </row>
        <row r="478">
          <cell r="V478">
            <v>240.30199999999999</v>
          </cell>
        </row>
        <row r="479">
          <cell r="V479">
            <v>240.30199999999999</v>
          </cell>
        </row>
        <row r="480">
          <cell r="V480">
            <v>240.30199999999999</v>
          </cell>
        </row>
        <row r="481">
          <cell r="V481">
            <v>240.30199999999999</v>
          </cell>
        </row>
        <row r="482">
          <cell r="V482">
            <v>314.69800000000004</v>
          </cell>
        </row>
        <row r="483">
          <cell r="V483">
            <v>278.48399999999998</v>
          </cell>
        </row>
        <row r="484">
          <cell r="V484">
            <v>278.48399999999998</v>
          </cell>
        </row>
        <row r="485">
          <cell r="V485">
            <v>278.48399999999998</v>
          </cell>
        </row>
        <row r="486">
          <cell r="V486">
            <v>278.48399999999998</v>
          </cell>
        </row>
        <row r="487">
          <cell r="V487">
            <v>278.48399999999998</v>
          </cell>
        </row>
        <row r="488">
          <cell r="V488">
            <v>350.87199999999996</v>
          </cell>
        </row>
        <row r="489">
          <cell r="V489">
            <v>240.30199999999999</v>
          </cell>
        </row>
        <row r="490">
          <cell r="V490">
            <v>240.30199999999999</v>
          </cell>
        </row>
        <row r="491">
          <cell r="V491">
            <v>240.30199999999999</v>
          </cell>
        </row>
        <row r="492">
          <cell r="V492">
            <v>240.30199999999999</v>
          </cell>
        </row>
        <row r="493">
          <cell r="V493">
            <v>240.30199999999999</v>
          </cell>
        </row>
        <row r="494">
          <cell r="V494">
            <v>314.69800000000004</v>
          </cell>
        </row>
        <row r="495">
          <cell r="V495">
            <v>278.48399999999998</v>
          </cell>
        </row>
        <row r="496">
          <cell r="V496">
            <v>278.48399999999998</v>
          </cell>
        </row>
        <row r="497">
          <cell r="V497">
            <v>278.48399999999998</v>
          </cell>
        </row>
        <row r="498">
          <cell r="V498">
            <v>278.48399999999998</v>
          </cell>
        </row>
        <row r="499">
          <cell r="V499">
            <v>278.48399999999998</v>
          </cell>
        </row>
        <row r="500">
          <cell r="V500">
            <v>350.87199999999996</v>
          </cell>
        </row>
        <row r="501">
          <cell r="V501">
            <v>240.30199999999999</v>
          </cell>
        </row>
        <row r="502">
          <cell r="V502">
            <v>240.30199999999999</v>
          </cell>
        </row>
        <row r="503">
          <cell r="V503">
            <v>240.30199999999999</v>
          </cell>
        </row>
        <row r="504">
          <cell r="V504">
            <v>240.30199999999999</v>
          </cell>
        </row>
        <row r="505">
          <cell r="V505">
            <v>240.30199999999999</v>
          </cell>
        </row>
        <row r="506">
          <cell r="V506">
            <v>314.69800000000004</v>
          </cell>
        </row>
        <row r="507">
          <cell r="V507">
            <v>278.48399999999998</v>
          </cell>
        </row>
        <row r="508">
          <cell r="V508">
            <v>278.48399999999998</v>
          </cell>
        </row>
        <row r="509">
          <cell r="V509">
            <v>278.48399999999998</v>
          </cell>
        </row>
        <row r="510">
          <cell r="V510">
            <v>278.48399999999998</v>
          </cell>
        </row>
        <row r="511">
          <cell r="V511">
            <v>278.48399999999998</v>
          </cell>
        </row>
        <row r="512">
          <cell r="V512">
            <v>350.87199999999996</v>
          </cell>
        </row>
        <row r="513">
          <cell r="V513">
            <v>240.30199999999999</v>
          </cell>
        </row>
        <row r="514">
          <cell r="V514">
            <v>240.30199999999999</v>
          </cell>
        </row>
        <row r="515">
          <cell r="V515">
            <v>240.30199999999999</v>
          </cell>
        </row>
        <row r="516">
          <cell r="V516">
            <v>240.30199999999999</v>
          </cell>
        </row>
        <row r="517">
          <cell r="V517">
            <v>240.30199999999999</v>
          </cell>
        </row>
        <row r="518">
          <cell r="V518">
            <v>314.69800000000004</v>
          </cell>
        </row>
        <row r="519">
          <cell r="V519">
            <v>278.48399999999998</v>
          </cell>
        </row>
        <row r="520">
          <cell r="V520">
            <v>278.48399999999998</v>
          </cell>
        </row>
        <row r="521">
          <cell r="V521">
            <v>278.48399999999998</v>
          </cell>
        </row>
        <row r="522">
          <cell r="V522">
            <v>278.48399999999998</v>
          </cell>
        </row>
        <row r="523">
          <cell r="V523">
            <v>278.48399999999998</v>
          </cell>
        </row>
        <row r="524">
          <cell r="V524">
            <v>350.87199999999996</v>
          </cell>
        </row>
        <row r="525">
          <cell r="V525">
            <v>240.30199999999999</v>
          </cell>
        </row>
        <row r="526">
          <cell r="V526">
            <v>240.30199999999999</v>
          </cell>
        </row>
        <row r="527">
          <cell r="V527">
            <v>240.30199999999999</v>
          </cell>
        </row>
        <row r="528">
          <cell r="V528">
            <v>240.30199999999999</v>
          </cell>
        </row>
        <row r="529">
          <cell r="V529">
            <v>240.30199999999999</v>
          </cell>
        </row>
        <row r="530">
          <cell r="V530">
            <v>314.69800000000004</v>
          </cell>
        </row>
        <row r="531">
          <cell r="V531">
            <v>278.48399999999998</v>
          </cell>
        </row>
        <row r="532">
          <cell r="V532">
            <v>278.48399999999998</v>
          </cell>
        </row>
        <row r="533">
          <cell r="V533">
            <v>278.48399999999998</v>
          </cell>
        </row>
        <row r="534">
          <cell r="V534">
            <v>278.48399999999998</v>
          </cell>
        </row>
        <row r="535">
          <cell r="V535">
            <v>278.48399999999998</v>
          </cell>
        </row>
        <row r="536">
          <cell r="V536">
            <v>350.87199999999996</v>
          </cell>
        </row>
        <row r="537">
          <cell r="V537">
            <v>240.30199999999999</v>
          </cell>
        </row>
        <row r="538">
          <cell r="V538">
            <v>240.30199999999999</v>
          </cell>
        </row>
        <row r="539">
          <cell r="V539">
            <v>240.30199999999999</v>
          </cell>
        </row>
        <row r="540">
          <cell r="V540">
            <v>240.30199999999999</v>
          </cell>
        </row>
        <row r="541">
          <cell r="V541">
            <v>240.30199999999999</v>
          </cell>
        </row>
        <row r="542">
          <cell r="V542">
            <v>314.69800000000004</v>
          </cell>
        </row>
        <row r="543">
          <cell r="V543">
            <v>278.48399999999998</v>
          </cell>
        </row>
        <row r="544">
          <cell r="V544">
            <v>278.48399999999998</v>
          </cell>
        </row>
        <row r="545">
          <cell r="V545">
            <v>278.48399999999998</v>
          </cell>
        </row>
        <row r="546">
          <cell r="V546">
            <v>278.48399999999998</v>
          </cell>
        </row>
        <row r="547">
          <cell r="V547">
            <v>278.48399999999998</v>
          </cell>
        </row>
        <row r="548">
          <cell r="V548">
            <v>350.87199999999996</v>
          </cell>
        </row>
        <row r="549">
          <cell r="V549">
            <v>240.30199999999999</v>
          </cell>
        </row>
        <row r="550">
          <cell r="V550">
            <v>240.30199999999999</v>
          </cell>
        </row>
        <row r="551">
          <cell r="V551">
            <v>240.30199999999999</v>
          </cell>
        </row>
        <row r="552">
          <cell r="V552">
            <v>240.30199999999999</v>
          </cell>
        </row>
        <row r="553">
          <cell r="V553">
            <v>240.30199999999999</v>
          </cell>
        </row>
        <row r="554">
          <cell r="V554">
            <v>314.69800000000004</v>
          </cell>
        </row>
        <row r="555">
          <cell r="V555">
            <v>278.48399999999998</v>
          </cell>
        </row>
        <row r="556">
          <cell r="V556">
            <v>278.48399999999998</v>
          </cell>
        </row>
        <row r="557">
          <cell r="V557">
            <v>278.48399999999998</v>
          </cell>
        </row>
        <row r="558">
          <cell r="V558">
            <v>278.48399999999998</v>
          </cell>
        </row>
        <row r="559">
          <cell r="V559">
            <v>278.48399999999998</v>
          </cell>
        </row>
        <row r="560">
          <cell r="V560">
            <v>350.87199999999996</v>
          </cell>
        </row>
        <row r="561">
          <cell r="V561">
            <v>240.30199999999999</v>
          </cell>
        </row>
        <row r="562">
          <cell r="V562">
            <v>240.30199999999999</v>
          </cell>
        </row>
        <row r="563">
          <cell r="V563">
            <v>240.30199999999999</v>
          </cell>
        </row>
        <row r="564">
          <cell r="V564">
            <v>240.30199999999999</v>
          </cell>
        </row>
        <row r="565">
          <cell r="V565">
            <v>240.30199999999999</v>
          </cell>
        </row>
        <row r="566">
          <cell r="V566">
            <v>314.69800000000004</v>
          </cell>
        </row>
        <row r="567">
          <cell r="V567">
            <v>278.48399999999998</v>
          </cell>
        </row>
        <row r="568">
          <cell r="V568">
            <v>278.48399999999998</v>
          </cell>
        </row>
        <row r="569">
          <cell r="V569">
            <v>278.48399999999998</v>
          </cell>
        </row>
        <row r="570">
          <cell r="V570">
            <v>278.48399999999998</v>
          </cell>
        </row>
        <row r="571">
          <cell r="V571">
            <v>278.48399999999998</v>
          </cell>
        </row>
        <row r="572">
          <cell r="V572">
            <v>350.87199999999996</v>
          </cell>
        </row>
        <row r="573">
          <cell r="V573">
            <v>240.30199999999999</v>
          </cell>
        </row>
        <row r="574">
          <cell r="V574">
            <v>240.30199999999999</v>
          </cell>
        </row>
        <row r="575">
          <cell r="V575">
            <v>240.30199999999999</v>
          </cell>
        </row>
        <row r="576">
          <cell r="V576">
            <v>240.30199999999999</v>
          </cell>
        </row>
        <row r="577">
          <cell r="V577">
            <v>240.30199999999999</v>
          </cell>
        </row>
        <row r="578">
          <cell r="V578">
            <v>314.69800000000004</v>
          </cell>
        </row>
        <row r="579">
          <cell r="V579">
            <v>278.48399999999998</v>
          </cell>
        </row>
        <row r="580">
          <cell r="V580">
            <v>278.48399999999998</v>
          </cell>
        </row>
        <row r="581">
          <cell r="V581">
            <v>278.48399999999998</v>
          </cell>
        </row>
        <row r="582">
          <cell r="V582">
            <v>278.48399999999998</v>
          </cell>
        </row>
        <row r="583">
          <cell r="V583">
            <v>278.48399999999998</v>
          </cell>
        </row>
        <row r="584">
          <cell r="V584">
            <v>350.87199999999996</v>
          </cell>
        </row>
        <row r="585">
          <cell r="V585">
            <v>240.30199999999999</v>
          </cell>
        </row>
        <row r="586">
          <cell r="V586">
            <v>240.30199999999999</v>
          </cell>
        </row>
        <row r="587">
          <cell r="V587">
            <v>240.30199999999999</v>
          </cell>
        </row>
        <row r="588">
          <cell r="V588">
            <v>240.30199999999999</v>
          </cell>
        </row>
        <row r="589">
          <cell r="V589">
            <v>240.30199999999999</v>
          </cell>
        </row>
        <row r="590">
          <cell r="V590">
            <v>314.69800000000004</v>
          </cell>
        </row>
        <row r="591">
          <cell r="V591">
            <v>278.48399999999998</v>
          </cell>
        </row>
        <row r="592">
          <cell r="V592">
            <v>278.48399999999998</v>
          </cell>
        </row>
        <row r="593">
          <cell r="V593">
            <v>278.48399999999998</v>
          </cell>
        </row>
        <row r="594">
          <cell r="V594">
            <v>278.48399999999998</v>
          </cell>
        </row>
        <row r="595">
          <cell r="V595">
            <v>278.48399999999998</v>
          </cell>
        </row>
        <row r="596">
          <cell r="V596">
            <v>350.87199999999996</v>
          </cell>
        </row>
        <row r="597">
          <cell r="V597">
            <v>240.30199999999999</v>
          </cell>
        </row>
        <row r="598">
          <cell r="V598">
            <v>240.30199999999999</v>
          </cell>
        </row>
        <row r="599">
          <cell r="V599">
            <v>240.30199999999999</v>
          </cell>
        </row>
        <row r="600">
          <cell r="V600">
            <v>240.30199999999999</v>
          </cell>
        </row>
        <row r="601">
          <cell r="V601">
            <v>240.30199999999999</v>
          </cell>
        </row>
        <row r="602">
          <cell r="V602">
            <v>314.69800000000004</v>
          </cell>
        </row>
        <row r="603">
          <cell r="V603">
            <v>278.48399999999998</v>
          </cell>
        </row>
        <row r="604">
          <cell r="V604">
            <v>278.48399999999998</v>
          </cell>
        </row>
        <row r="605">
          <cell r="V605">
            <v>278.48399999999998</v>
          </cell>
        </row>
        <row r="606">
          <cell r="V606">
            <v>278.48399999999998</v>
          </cell>
        </row>
        <row r="607">
          <cell r="V607">
            <v>278.48399999999998</v>
          </cell>
        </row>
        <row r="608">
          <cell r="V608">
            <v>350.87199999999996</v>
          </cell>
        </row>
        <row r="609">
          <cell r="V609">
            <v>240.30199999999999</v>
          </cell>
        </row>
        <row r="610">
          <cell r="V610">
            <v>240.30199999999999</v>
          </cell>
        </row>
        <row r="611">
          <cell r="V611">
            <v>240.30199999999999</v>
          </cell>
        </row>
        <row r="612">
          <cell r="V612">
            <v>240.30199999999999</v>
          </cell>
        </row>
        <row r="613">
          <cell r="V613">
            <v>240.30199999999999</v>
          </cell>
        </row>
        <row r="614">
          <cell r="V614">
            <v>314.69800000000004</v>
          </cell>
        </row>
        <row r="615">
          <cell r="V615">
            <v>278.48399999999998</v>
          </cell>
        </row>
        <row r="616">
          <cell r="V616">
            <v>278.48399999999998</v>
          </cell>
        </row>
        <row r="617">
          <cell r="V617">
            <v>278.48399999999998</v>
          </cell>
        </row>
        <row r="618">
          <cell r="V618">
            <v>278.48399999999998</v>
          </cell>
        </row>
        <row r="619">
          <cell r="V619">
            <v>278.48399999999998</v>
          </cell>
        </row>
        <row r="620">
          <cell r="V620">
            <v>350.87199999999996</v>
          </cell>
        </row>
        <row r="621">
          <cell r="V621">
            <v>240.30199999999999</v>
          </cell>
        </row>
        <row r="622">
          <cell r="V622">
            <v>240.30199999999999</v>
          </cell>
        </row>
        <row r="623">
          <cell r="V623">
            <v>240.30199999999999</v>
          </cell>
        </row>
        <row r="624">
          <cell r="V624">
            <v>240.30199999999999</v>
          </cell>
        </row>
        <row r="625">
          <cell r="V625">
            <v>240.30199999999999</v>
          </cell>
        </row>
        <row r="626">
          <cell r="V626">
            <v>314.69800000000004</v>
          </cell>
        </row>
        <row r="627">
          <cell r="V627">
            <v>278.48399999999998</v>
          </cell>
        </row>
        <row r="628">
          <cell r="V628">
            <v>278.48399999999998</v>
          </cell>
        </row>
        <row r="629">
          <cell r="V629">
            <v>278.48399999999998</v>
          </cell>
        </row>
        <row r="630">
          <cell r="V630">
            <v>278.48399999999998</v>
          </cell>
        </row>
        <row r="631">
          <cell r="V631">
            <v>278.48399999999998</v>
          </cell>
        </row>
        <row r="632">
          <cell r="V632">
            <v>350.87199999999996</v>
          </cell>
        </row>
        <row r="633">
          <cell r="V633">
            <v>240.30199999999999</v>
          </cell>
        </row>
        <row r="634">
          <cell r="V634">
            <v>240.30199999999999</v>
          </cell>
        </row>
        <row r="635">
          <cell r="V635">
            <v>240.30199999999999</v>
          </cell>
        </row>
        <row r="636">
          <cell r="V636">
            <v>240.30199999999999</v>
          </cell>
        </row>
        <row r="637">
          <cell r="V637">
            <v>240.30199999999999</v>
          </cell>
        </row>
        <row r="638">
          <cell r="V638">
            <v>314.69800000000004</v>
          </cell>
        </row>
        <row r="639">
          <cell r="V639">
            <v>278.48399999999998</v>
          </cell>
        </row>
        <row r="640">
          <cell r="V640">
            <v>278.48399999999998</v>
          </cell>
        </row>
        <row r="641">
          <cell r="V641">
            <v>278.48399999999998</v>
          </cell>
        </row>
        <row r="642">
          <cell r="V642">
            <v>278.48399999999998</v>
          </cell>
        </row>
        <row r="643">
          <cell r="V643">
            <v>278.48399999999998</v>
          </cell>
        </row>
        <row r="644">
          <cell r="V644">
            <v>350.87199999999996</v>
          </cell>
        </row>
        <row r="645">
          <cell r="V645">
            <v>240.30199999999999</v>
          </cell>
        </row>
        <row r="646">
          <cell r="V646">
            <v>240.30199999999999</v>
          </cell>
        </row>
        <row r="647">
          <cell r="V647">
            <v>240.30199999999999</v>
          </cell>
        </row>
        <row r="648">
          <cell r="V648">
            <v>240.30199999999999</v>
          </cell>
        </row>
        <row r="649">
          <cell r="V649">
            <v>240.30199999999999</v>
          </cell>
        </row>
        <row r="650">
          <cell r="V650">
            <v>314.69800000000004</v>
          </cell>
        </row>
        <row r="651">
          <cell r="V651">
            <v>278.48399999999998</v>
          </cell>
        </row>
        <row r="652">
          <cell r="V652">
            <v>278.48399999999998</v>
          </cell>
        </row>
        <row r="653">
          <cell r="V653">
            <v>278.48399999999998</v>
          </cell>
        </row>
        <row r="654">
          <cell r="V654">
            <v>278.48399999999998</v>
          </cell>
        </row>
        <row r="655">
          <cell r="V655">
            <v>278.48399999999998</v>
          </cell>
        </row>
        <row r="656">
          <cell r="V656">
            <v>350.87199999999996</v>
          </cell>
        </row>
        <row r="657">
          <cell r="V657">
            <v>240.30199999999999</v>
          </cell>
        </row>
        <row r="658">
          <cell r="V658">
            <v>240.30199999999999</v>
          </cell>
        </row>
        <row r="659">
          <cell r="V659">
            <v>240.30199999999999</v>
          </cell>
        </row>
        <row r="660">
          <cell r="V660">
            <v>240.30199999999999</v>
          </cell>
        </row>
        <row r="661">
          <cell r="V661">
            <v>240.30199999999999</v>
          </cell>
        </row>
        <row r="662">
          <cell r="V662">
            <v>314.69800000000004</v>
          </cell>
        </row>
        <row r="663">
          <cell r="V663">
            <v>278.48399999999998</v>
          </cell>
        </row>
        <row r="664">
          <cell r="V664">
            <v>278.48399999999998</v>
          </cell>
        </row>
        <row r="665">
          <cell r="V665">
            <v>278.48399999999998</v>
          </cell>
        </row>
        <row r="666">
          <cell r="V666">
            <v>278.48399999999998</v>
          </cell>
        </row>
        <row r="667">
          <cell r="V667">
            <v>278.48399999999998</v>
          </cell>
        </row>
        <row r="668">
          <cell r="V668">
            <v>350.87199999999996</v>
          </cell>
        </row>
        <row r="669">
          <cell r="V669">
            <v>240.30199999999999</v>
          </cell>
        </row>
        <row r="670">
          <cell r="V670">
            <v>240.30199999999999</v>
          </cell>
        </row>
        <row r="671">
          <cell r="V671">
            <v>240.30199999999999</v>
          </cell>
        </row>
        <row r="672">
          <cell r="V672">
            <v>240.30199999999999</v>
          </cell>
        </row>
        <row r="673">
          <cell r="V673">
            <v>240.30199999999999</v>
          </cell>
        </row>
        <row r="674">
          <cell r="V674">
            <v>314.69800000000004</v>
          </cell>
        </row>
        <row r="675">
          <cell r="V675">
            <v>278.48399999999998</v>
          </cell>
        </row>
        <row r="676">
          <cell r="V676">
            <v>278.48399999999998</v>
          </cell>
        </row>
        <row r="677">
          <cell r="V677">
            <v>278.48399999999998</v>
          </cell>
        </row>
        <row r="678">
          <cell r="V678">
            <v>278.48399999999998</v>
          </cell>
        </row>
        <row r="679">
          <cell r="V679">
            <v>278.48399999999998</v>
          </cell>
        </row>
        <row r="680">
          <cell r="V680">
            <v>350.87199999999996</v>
          </cell>
        </row>
        <row r="681">
          <cell r="V681">
            <v>240.30199999999999</v>
          </cell>
        </row>
        <row r="682">
          <cell r="V682">
            <v>240.30199999999999</v>
          </cell>
        </row>
        <row r="683">
          <cell r="V683">
            <v>240.30199999999999</v>
          </cell>
        </row>
        <row r="684">
          <cell r="V684">
            <v>240.30199999999999</v>
          </cell>
        </row>
        <row r="685">
          <cell r="V685">
            <v>240.30199999999999</v>
          </cell>
        </row>
        <row r="686">
          <cell r="V686">
            <v>314.69800000000004</v>
          </cell>
        </row>
        <row r="687">
          <cell r="V687">
            <v>278.48399999999998</v>
          </cell>
        </row>
        <row r="688">
          <cell r="V688">
            <v>278.48399999999998</v>
          </cell>
        </row>
        <row r="689">
          <cell r="V689">
            <v>278.48399999999998</v>
          </cell>
        </row>
        <row r="690">
          <cell r="V690">
            <v>278.48399999999998</v>
          </cell>
        </row>
        <row r="691">
          <cell r="V691">
            <v>278.48399999999998</v>
          </cell>
        </row>
        <row r="692">
          <cell r="V692">
            <v>350.87199999999996</v>
          </cell>
        </row>
        <row r="693">
          <cell r="V693">
            <v>240.30199999999999</v>
          </cell>
        </row>
        <row r="694">
          <cell r="V694">
            <v>240.30199999999999</v>
          </cell>
        </row>
        <row r="695">
          <cell r="V695">
            <v>240.30199999999999</v>
          </cell>
        </row>
        <row r="696">
          <cell r="V696">
            <v>240.30199999999999</v>
          </cell>
        </row>
        <row r="697">
          <cell r="V697">
            <v>240.30199999999999</v>
          </cell>
        </row>
        <row r="698">
          <cell r="V698">
            <v>314.69800000000004</v>
          </cell>
        </row>
        <row r="699">
          <cell r="V699">
            <v>278.48399999999998</v>
          </cell>
        </row>
        <row r="700">
          <cell r="V700">
            <v>278.48399999999998</v>
          </cell>
        </row>
        <row r="701">
          <cell r="V701">
            <v>278.48399999999998</v>
          </cell>
        </row>
        <row r="702">
          <cell r="V702">
            <v>278.48399999999998</v>
          </cell>
        </row>
        <row r="703">
          <cell r="V703">
            <v>278.48399999999998</v>
          </cell>
        </row>
        <row r="704">
          <cell r="V704">
            <v>350.87199999999996</v>
          </cell>
        </row>
        <row r="705">
          <cell r="V705">
            <v>240.30199999999999</v>
          </cell>
        </row>
        <row r="706">
          <cell r="V706">
            <v>240.30199999999999</v>
          </cell>
        </row>
        <row r="707">
          <cell r="V707">
            <v>240.30199999999999</v>
          </cell>
        </row>
        <row r="708">
          <cell r="V708">
            <v>240.30199999999999</v>
          </cell>
        </row>
        <row r="709">
          <cell r="V709">
            <v>240.30199999999999</v>
          </cell>
        </row>
        <row r="710">
          <cell r="V710">
            <v>314.69800000000004</v>
          </cell>
        </row>
        <row r="711">
          <cell r="V711">
            <v>278.48399999999998</v>
          </cell>
        </row>
        <row r="712">
          <cell r="V712">
            <v>278.48399999999998</v>
          </cell>
        </row>
        <row r="713">
          <cell r="V713">
            <v>278.48399999999998</v>
          </cell>
        </row>
        <row r="714">
          <cell r="V714">
            <v>278.48399999999998</v>
          </cell>
        </row>
        <row r="715">
          <cell r="V715">
            <v>278.48399999999998</v>
          </cell>
        </row>
        <row r="716">
          <cell r="V716">
            <v>350.87199999999996</v>
          </cell>
        </row>
        <row r="717">
          <cell r="V717">
            <v>240.30199999999999</v>
          </cell>
        </row>
        <row r="718">
          <cell r="V718">
            <v>240.30199999999999</v>
          </cell>
        </row>
        <row r="719">
          <cell r="V719">
            <v>240.30199999999999</v>
          </cell>
        </row>
        <row r="720">
          <cell r="V720">
            <v>240.30199999999999</v>
          </cell>
        </row>
        <row r="721">
          <cell r="V721">
            <v>240.30199999999999</v>
          </cell>
        </row>
        <row r="722">
          <cell r="V722">
            <v>314.69800000000004</v>
          </cell>
        </row>
        <row r="723">
          <cell r="V723">
            <v>278.48399999999998</v>
          </cell>
        </row>
        <row r="724">
          <cell r="V724">
            <v>278.48399999999998</v>
          </cell>
        </row>
        <row r="725">
          <cell r="V725">
            <v>278.48399999999998</v>
          </cell>
        </row>
        <row r="726">
          <cell r="V726">
            <v>278.48399999999998</v>
          </cell>
        </row>
        <row r="727">
          <cell r="V727">
            <v>278.48399999999998</v>
          </cell>
        </row>
        <row r="728">
          <cell r="V728">
            <v>350.87199999999996</v>
          </cell>
        </row>
        <row r="729">
          <cell r="V729">
            <v>240.30199999999999</v>
          </cell>
        </row>
        <row r="730">
          <cell r="V730">
            <v>240.30199999999999</v>
          </cell>
        </row>
        <row r="731">
          <cell r="V731">
            <v>240.30199999999999</v>
          </cell>
        </row>
        <row r="732">
          <cell r="V732">
            <v>240.30199999999999</v>
          </cell>
        </row>
        <row r="733">
          <cell r="V733">
            <v>240.30199999999999</v>
          </cell>
        </row>
        <row r="734">
          <cell r="V734">
            <v>314.69800000000004</v>
          </cell>
        </row>
        <row r="735">
          <cell r="V735">
            <v>278.48399999999998</v>
          </cell>
        </row>
        <row r="736">
          <cell r="V736">
            <v>278.48399999999998</v>
          </cell>
        </row>
        <row r="737">
          <cell r="V737">
            <v>278.48399999999998</v>
          </cell>
        </row>
        <row r="738">
          <cell r="V738">
            <v>278.48399999999998</v>
          </cell>
        </row>
        <row r="739">
          <cell r="V739">
            <v>278.48399999999998</v>
          </cell>
        </row>
        <row r="740">
          <cell r="V740">
            <v>350.87199999999996</v>
          </cell>
        </row>
        <row r="741">
          <cell r="V741">
            <v>240.30199999999999</v>
          </cell>
        </row>
        <row r="742">
          <cell r="V742">
            <v>240.30199999999999</v>
          </cell>
        </row>
        <row r="743">
          <cell r="V743">
            <v>240.30199999999999</v>
          </cell>
        </row>
        <row r="744">
          <cell r="V744">
            <v>240.30199999999999</v>
          </cell>
        </row>
        <row r="745">
          <cell r="V745">
            <v>240.30199999999999</v>
          </cell>
        </row>
        <row r="746">
          <cell r="V746">
            <v>314.69800000000004</v>
          </cell>
        </row>
        <row r="747">
          <cell r="V747">
            <v>278.48399999999998</v>
          </cell>
        </row>
        <row r="748">
          <cell r="V748">
            <v>278.48399999999998</v>
          </cell>
        </row>
        <row r="749">
          <cell r="V749">
            <v>278.48399999999998</v>
          </cell>
        </row>
        <row r="750">
          <cell r="V750">
            <v>278.48399999999998</v>
          </cell>
        </row>
        <row r="751">
          <cell r="V751">
            <v>278.48399999999998</v>
          </cell>
        </row>
        <row r="752">
          <cell r="V752">
            <v>350.87199999999996</v>
          </cell>
        </row>
        <row r="753">
          <cell r="V753">
            <v>240.30199999999999</v>
          </cell>
        </row>
        <row r="754">
          <cell r="V754">
            <v>240.30199999999999</v>
          </cell>
        </row>
        <row r="755">
          <cell r="V755">
            <v>240.30199999999999</v>
          </cell>
        </row>
        <row r="756">
          <cell r="V756">
            <v>240.30199999999999</v>
          </cell>
        </row>
        <row r="757">
          <cell r="V757">
            <v>240.30199999999999</v>
          </cell>
        </row>
        <row r="758">
          <cell r="V758">
            <v>314.69800000000004</v>
          </cell>
        </row>
        <row r="759">
          <cell r="V759">
            <v>278.48399999999998</v>
          </cell>
        </row>
        <row r="760">
          <cell r="V760">
            <v>278.48399999999998</v>
          </cell>
        </row>
        <row r="761">
          <cell r="V761">
            <v>278.48399999999998</v>
          </cell>
        </row>
        <row r="762">
          <cell r="V762">
            <v>278.48399999999998</v>
          </cell>
        </row>
        <row r="763">
          <cell r="V763">
            <v>278.48399999999998</v>
          </cell>
        </row>
        <row r="764">
          <cell r="V764">
            <v>350.87199999999996</v>
          </cell>
        </row>
        <row r="765">
          <cell r="V765">
            <v>240.30199999999999</v>
          </cell>
        </row>
        <row r="766">
          <cell r="V766">
            <v>240.30199999999999</v>
          </cell>
        </row>
        <row r="767">
          <cell r="V767">
            <v>240.30199999999999</v>
          </cell>
        </row>
        <row r="768">
          <cell r="V768">
            <v>240.30199999999999</v>
          </cell>
        </row>
        <row r="769">
          <cell r="V769">
            <v>240.30199999999999</v>
          </cell>
        </row>
        <row r="770">
          <cell r="V770">
            <v>314.69800000000004</v>
          </cell>
        </row>
        <row r="771">
          <cell r="V771">
            <v>278.48399999999998</v>
          </cell>
        </row>
        <row r="772">
          <cell r="V772">
            <v>278.48399999999998</v>
          </cell>
        </row>
        <row r="773">
          <cell r="V773">
            <v>278.48399999999998</v>
          </cell>
        </row>
        <row r="774">
          <cell r="V774">
            <v>278.48399999999998</v>
          </cell>
        </row>
        <row r="775">
          <cell r="V775">
            <v>278.48399999999998</v>
          </cell>
        </row>
        <row r="776">
          <cell r="V776">
            <v>350.87199999999996</v>
          </cell>
        </row>
        <row r="777">
          <cell r="V777">
            <v>240.30199999999999</v>
          </cell>
        </row>
        <row r="778">
          <cell r="V778">
            <v>240.30199999999999</v>
          </cell>
        </row>
        <row r="779">
          <cell r="V779">
            <v>240.30199999999999</v>
          </cell>
        </row>
        <row r="780">
          <cell r="V780">
            <v>240.30199999999999</v>
          </cell>
        </row>
        <row r="781">
          <cell r="V781">
            <v>240.30199999999999</v>
          </cell>
        </row>
        <row r="782">
          <cell r="V782">
            <v>314.69800000000004</v>
          </cell>
        </row>
        <row r="783">
          <cell r="V783">
            <v>278.48399999999998</v>
          </cell>
        </row>
        <row r="784">
          <cell r="V784">
            <v>278.48399999999998</v>
          </cell>
        </row>
        <row r="785">
          <cell r="V785">
            <v>278.48399999999998</v>
          </cell>
        </row>
        <row r="786">
          <cell r="V786">
            <v>278.48399999999998</v>
          </cell>
        </row>
        <row r="787">
          <cell r="V787">
            <v>278.48399999999998</v>
          </cell>
        </row>
        <row r="788">
          <cell r="V788">
            <v>350.87199999999996</v>
          </cell>
        </row>
        <row r="789">
          <cell r="V789">
            <v>240.30199999999999</v>
          </cell>
        </row>
        <row r="790">
          <cell r="V790">
            <v>240.30199999999999</v>
          </cell>
        </row>
        <row r="791">
          <cell r="V791">
            <v>240.30199999999999</v>
          </cell>
        </row>
        <row r="792">
          <cell r="V792">
            <v>240.30199999999999</v>
          </cell>
        </row>
        <row r="793">
          <cell r="V793">
            <v>240.30199999999999</v>
          </cell>
        </row>
        <row r="794">
          <cell r="V794">
            <v>314.69800000000004</v>
          </cell>
        </row>
        <row r="795">
          <cell r="V795">
            <v>278.48399999999998</v>
          </cell>
        </row>
        <row r="796">
          <cell r="V796">
            <v>278.48399999999998</v>
          </cell>
        </row>
        <row r="797">
          <cell r="V797">
            <v>278.48399999999998</v>
          </cell>
        </row>
        <row r="798">
          <cell r="V798">
            <v>278.48399999999998</v>
          </cell>
        </row>
        <row r="799">
          <cell r="V799">
            <v>278.48399999999998</v>
          </cell>
        </row>
        <row r="800">
          <cell r="V800">
            <v>350.87199999999996</v>
          </cell>
        </row>
        <row r="801">
          <cell r="V801">
            <v>240.30199999999999</v>
          </cell>
        </row>
        <row r="802">
          <cell r="V802">
            <v>240.30199999999999</v>
          </cell>
        </row>
        <row r="803">
          <cell r="V803">
            <v>240.30199999999999</v>
          </cell>
        </row>
        <row r="804">
          <cell r="V804">
            <v>240.30199999999999</v>
          </cell>
        </row>
        <row r="805">
          <cell r="V805">
            <v>240.30199999999999</v>
          </cell>
        </row>
        <row r="806">
          <cell r="V806">
            <v>314.69800000000004</v>
          </cell>
        </row>
        <row r="807">
          <cell r="V807">
            <v>278.48399999999998</v>
          </cell>
        </row>
        <row r="808">
          <cell r="V808">
            <v>278.48399999999998</v>
          </cell>
        </row>
        <row r="809">
          <cell r="V809">
            <v>278.48399999999998</v>
          </cell>
        </row>
        <row r="810">
          <cell r="V810">
            <v>278.48399999999998</v>
          </cell>
        </row>
        <row r="811">
          <cell r="V811">
            <v>278.48399999999998</v>
          </cell>
        </row>
        <row r="812">
          <cell r="V812">
            <v>350.87199999999996</v>
          </cell>
        </row>
        <row r="813">
          <cell r="V813">
            <v>240.30199999999999</v>
          </cell>
        </row>
        <row r="814">
          <cell r="V814">
            <v>240.30199999999999</v>
          </cell>
        </row>
        <row r="815">
          <cell r="V815">
            <v>240.30199999999999</v>
          </cell>
        </row>
        <row r="816">
          <cell r="V816">
            <v>240.30199999999999</v>
          </cell>
        </row>
        <row r="817">
          <cell r="V817">
            <v>240.30199999999999</v>
          </cell>
        </row>
        <row r="818">
          <cell r="V818">
            <v>314.69800000000004</v>
          </cell>
        </row>
        <row r="819">
          <cell r="V819">
            <v>278.48399999999998</v>
          </cell>
        </row>
        <row r="820">
          <cell r="V820">
            <v>278.48399999999998</v>
          </cell>
        </row>
        <row r="821">
          <cell r="V821">
            <v>278.48399999999998</v>
          </cell>
        </row>
        <row r="822">
          <cell r="V822">
            <v>278.48399999999998</v>
          </cell>
        </row>
        <row r="823">
          <cell r="V823">
            <v>278.48399999999998</v>
          </cell>
        </row>
        <row r="824">
          <cell r="V824">
            <v>350.87199999999996</v>
          </cell>
        </row>
        <row r="825">
          <cell r="V825">
            <v>240.30199999999999</v>
          </cell>
        </row>
        <row r="826">
          <cell r="V826">
            <v>240.30199999999999</v>
          </cell>
        </row>
        <row r="827">
          <cell r="V827">
            <v>240.30199999999999</v>
          </cell>
        </row>
        <row r="828">
          <cell r="V828">
            <v>240.30199999999999</v>
          </cell>
        </row>
        <row r="829">
          <cell r="V829">
            <v>240.30199999999999</v>
          </cell>
        </row>
        <row r="830">
          <cell r="V830">
            <v>314.69800000000004</v>
          </cell>
        </row>
        <row r="831">
          <cell r="V831">
            <v>278.48399999999998</v>
          </cell>
        </row>
        <row r="832">
          <cell r="V832">
            <v>278.48399999999998</v>
          </cell>
        </row>
        <row r="833">
          <cell r="V833">
            <v>278.48399999999998</v>
          </cell>
        </row>
        <row r="834">
          <cell r="V834">
            <v>278.48399999999998</v>
          </cell>
        </row>
        <row r="835">
          <cell r="V835">
            <v>278.48399999999998</v>
          </cell>
        </row>
        <row r="836">
          <cell r="V836">
            <v>350.87199999999996</v>
          </cell>
        </row>
        <row r="837">
          <cell r="V837">
            <v>240.30199999999999</v>
          </cell>
        </row>
        <row r="838">
          <cell r="V838">
            <v>240.30199999999999</v>
          </cell>
        </row>
        <row r="839">
          <cell r="V839">
            <v>240.30199999999999</v>
          </cell>
        </row>
        <row r="840">
          <cell r="V840">
            <v>240.30199999999999</v>
          </cell>
        </row>
        <row r="841">
          <cell r="V841">
            <v>240.30199999999999</v>
          </cell>
        </row>
        <row r="842">
          <cell r="V842">
            <v>314.69800000000004</v>
          </cell>
        </row>
        <row r="843">
          <cell r="V843">
            <v>278.48399999999998</v>
          </cell>
        </row>
        <row r="844">
          <cell r="V844">
            <v>278.48399999999998</v>
          </cell>
        </row>
        <row r="845">
          <cell r="V845">
            <v>278.48399999999998</v>
          </cell>
        </row>
        <row r="846">
          <cell r="V846">
            <v>278.48399999999998</v>
          </cell>
        </row>
        <row r="847">
          <cell r="V847">
            <v>278.48399999999998</v>
          </cell>
        </row>
        <row r="848">
          <cell r="V848">
            <v>350.87199999999996</v>
          </cell>
        </row>
        <row r="849">
          <cell r="V849">
            <v>240.30199999999999</v>
          </cell>
        </row>
        <row r="850">
          <cell r="V850">
            <v>240.30199999999999</v>
          </cell>
        </row>
        <row r="851">
          <cell r="V851">
            <v>240.30199999999999</v>
          </cell>
        </row>
        <row r="852">
          <cell r="V852">
            <v>240.30199999999999</v>
          </cell>
        </row>
        <row r="853">
          <cell r="V853">
            <v>240.30199999999999</v>
          </cell>
        </row>
        <row r="854">
          <cell r="V854">
            <v>314.69800000000004</v>
          </cell>
        </row>
        <row r="855">
          <cell r="V855">
            <v>278.48399999999998</v>
          </cell>
        </row>
        <row r="856">
          <cell r="V856">
            <v>278.48399999999998</v>
          </cell>
        </row>
        <row r="857">
          <cell r="V857">
            <v>278.48399999999998</v>
          </cell>
        </row>
        <row r="858">
          <cell r="V858">
            <v>278.48399999999998</v>
          </cell>
        </row>
        <row r="859">
          <cell r="V859">
            <v>278.48399999999998</v>
          </cell>
        </row>
        <row r="860">
          <cell r="V860">
            <v>350.87199999999996</v>
          </cell>
        </row>
        <row r="861">
          <cell r="V861">
            <v>240.30199999999999</v>
          </cell>
        </row>
        <row r="862">
          <cell r="V862">
            <v>240.30199999999999</v>
          </cell>
        </row>
        <row r="863">
          <cell r="V863">
            <v>240.30199999999999</v>
          </cell>
        </row>
        <row r="864">
          <cell r="V864">
            <v>240.30199999999999</v>
          </cell>
        </row>
        <row r="865">
          <cell r="V865">
            <v>240.30199999999999</v>
          </cell>
        </row>
        <row r="866">
          <cell r="V866">
            <v>314.69800000000004</v>
          </cell>
        </row>
        <row r="867">
          <cell r="V867">
            <v>278.48399999999998</v>
          </cell>
        </row>
        <row r="868">
          <cell r="V868">
            <v>278.48399999999998</v>
          </cell>
        </row>
        <row r="869">
          <cell r="V869">
            <v>278.48399999999998</v>
          </cell>
        </row>
        <row r="870">
          <cell r="V870">
            <v>278.48399999999998</v>
          </cell>
        </row>
        <row r="871">
          <cell r="V871">
            <v>278.48399999999998</v>
          </cell>
        </row>
        <row r="872">
          <cell r="V872">
            <v>350.87199999999996</v>
          </cell>
        </row>
        <row r="873">
          <cell r="V873">
            <v>240.30199999999999</v>
          </cell>
        </row>
        <row r="874">
          <cell r="V874">
            <v>240.30199999999999</v>
          </cell>
        </row>
        <row r="875">
          <cell r="V875">
            <v>240.30199999999999</v>
          </cell>
        </row>
        <row r="876">
          <cell r="V876">
            <v>240.30199999999999</v>
          </cell>
        </row>
        <row r="877">
          <cell r="V877">
            <v>240.30199999999999</v>
          </cell>
        </row>
        <row r="878">
          <cell r="V878">
            <v>314.69800000000004</v>
          </cell>
        </row>
        <row r="879">
          <cell r="V879">
            <v>278.48399999999998</v>
          </cell>
        </row>
        <row r="880">
          <cell r="V880">
            <v>278.48399999999998</v>
          </cell>
        </row>
        <row r="881">
          <cell r="V881">
            <v>278.48399999999998</v>
          </cell>
        </row>
        <row r="882">
          <cell r="V882">
            <v>278.48399999999998</v>
          </cell>
        </row>
        <row r="883">
          <cell r="V883">
            <v>278.48399999999998</v>
          </cell>
        </row>
        <row r="884">
          <cell r="V884">
            <v>350.87199999999996</v>
          </cell>
        </row>
        <row r="885">
          <cell r="V885">
            <v>240.30199999999999</v>
          </cell>
        </row>
        <row r="886">
          <cell r="V886">
            <v>240.30199999999999</v>
          </cell>
        </row>
        <row r="887">
          <cell r="V887">
            <v>240.30199999999999</v>
          </cell>
        </row>
        <row r="888">
          <cell r="V888">
            <v>240.30199999999999</v>
          </cell>
        </row>
        <row r="889">
          <cell r="V889">
            <v>240.30199999999999</v>
          </cell>
        </row>
        <row r="890">
          <cell r="V890">
            <v>314.69800000000004</v>
          </cell>
        </row>
        <row r="891">
          <cell r="V891">
            <v>278.48399999999998</v>
          </cell>
        </row>
        <row r="892">
          <cell r="V892">
            <v>278.48399999999998</v>
          </cell>
        </row>
        <row r="893">
          <cell r="V893">
            <v>278.48399999999998</v>
          </cell>
        </row>
        <row r="894">
          <cell r="V894">
            <v>278.48399999999998</v>
          </cell>
        </row>
        <row r="895">
          <cell r="V895">
            <v>278.48399999999998</v>
          </cell>
        </row>
        <row r="896">
          <cell r="V896">
            <v>350.87199999999996</v>
          </cell>
        </row>
        <row r="897">
          <cell r="V897">
            <v>240.30199999999999</v>
          </cell>
        </row>
        <row r="898">
          <cell r="V898">
            <v>240.30199999999999</v>
          </cell>
        </row>
        <row r="899">
          <cell r="V899">
            <v>240.30199999999999</v>
          </cell>
        </row>
        <row r="900">
          <cell r="V900">
            <v>240.30199999999999</v>
          </cell>
        </row>
        <row r="901">
          <cell r="V901">
            <v>240.30199999999999</v>
          </cell>
        </row>
        <row r="902">
          <cell r="V902">
            <v>314.69800000000004</v>
          </cell>
        </row>
        <row r="903">
          <cell r="V903">
            <v>278.48399999999998</v>
          </cell>
        </row>
        <row r="904">
          <cell r="V904">
            <v>278.48399999999998</v>
          </cell>
        </row>
        <row r="905">
          <cell r="V905">
            <v>278.48399999999998</v>
          </cell>
        </row>
        <row r="906">
          <cell r="V906">
            <v>278.48399999999998</v>
          </cell>
        </row>
        <row r="907">
          <cell r="V907">
            <v>278.48399999999998</v>
          </cell>
        </row>
        <row r="908">
          <cell r="V908">
            <v>350.87199999999996</v>
          </cell>
        </row>
        <row r="909">
          <cell r="V909">
            <v>240.30199999999999</v>
          </cell>
        </row>
        <row r="910">
          <cell r="V910">
            <v>240.30199999999999</v>
          </cell>
        </row>
        <row r="911">
          <cell r="V911">
            <v>240.30199999999999</v>
          </cell>
        </row>
        <row r="912">
          <cell r="V912">
            <v>240.30199999999999</v>
          </cell>
        </row>
        <row r="913">
          <cell r="V913">
            <v>240.30199999999999</v>
          </cell>
        </row>
        <row r="914">
          <cell r="V914">
            <v>314.69800000000004</v>
          </cell>
        </row>
        <row r="915">
          <cell r="V915">
            <v>278.48399999999998</v>
          </cell>
        </row>
        <row r="916">
          <cell r="V916">
            <v>278.48399999999998</v>
          </cell>
        </row>
        <row r="917">
          <cell r="V917">
            <v>278.48399999999998</v>
          </cell>
        </row>
        <row r="918">
          <cell r="V918">
            <v>278.48399999999998</v>
          </cell>
        </row>
        <row r="919">
          <cell r="V919">
            <v>278.48399999999998</v>
          </cell>
        </row>
        <row r="920">
          <cell r="V920">
            <v>350.87199999999996</v>
          </cell>
        </row>
        <row r="921">
          <cell r="V921">
            <v>240.30199999999999</v>
          </cell>
        </row>
        <row r="922">
          <cell r="V922">
            <v>240.30199999999999</v>
          </cell>
        </row>
        <row r="923">
          <cell r="V923">
            <v>240.30199999999999</v>
          </cell>
        </row>
        <row r="924">
          <cell r="V924">
            <v>240.30199999999999</v>
          </cell>
        </row>
        <row r="925">
          <cell r="V925">
            <v>240.30199999999999</v>
          </cell>
        </row>
        <row r="926">
          <cell r="V926">
            <v>314.69800000000004</v>
          </cell>
        </row>
        <row r="927">
          <cell r="V927">
            <v>278.48399999999998</v>
          </cell>
        </row>
        <row r="928">
          <cell r="V928">
            <v>278.48399999999998</v>
          </cell>
        </row>
        <row r="929">
          <cell r="V929">
            <v>278.48399999999998</v>
          </cell>
        </row>
        <row r="930">
          <cell r="V930">
            <v>278.48399999999998</v>
          </cell>
        </row>
        <row r="931">
          <cell r="V931">
            <v>278.48399999999998</v>
          </cell>
        </row>
        <row r="932">
          <cell r="V932">
            <v>350.87199999999996</v>
          </cell>
        </row>
        <row r="933">
          <cell r="V933">
            <v>240.30199999999999</v>
          </cell>
        </row>
        <row r="934">
          <cell r="V934">
            <v>240.30199999999999</v>
          </cell>
        </row>
        <row r="935">
          <cell r="V935">
            <v>240.30199999999999</v>
          </cell>
        </row>
        <row r="936">
          <cell r="V936">
            <v>240.30199999999999</v>
          </cell>
        </row>
        <row r="937">
          <cell r="V937">
            <v>240.30199999999999</v>
          </cell>
        </row>
        <row r="938">
          <cell r="V938">
            <v>314.69800000000004</v>
          </cell>
        </row>
        <row r="939">
          <cell r="V939">
            <v>278.48399999999998</v>
          </cell>
        </row>
        <row r="940">
          <cell r="V940">
            <v>278.48399999999998</v>
          </cell>
        </row>
        <row r="941">
          <cell r="V941">
            <v>278.48399999999998</v>
          </cell>
        </row>
        <row r="942">
          <cell r="V942">
            <v>278.48399999999998</v>
          </cell>
        </row>
        <row r="943">
          <cell r="V943">
            <v>278.48399999999998</v>
          </cell>
        </row>
        <row r="944">
          <cell r="V944">
            <v>350.87199999999996</v>
          </cell>
        </row>
        <row r="945">
          <cell r="V945">
            <v>240.30199999999999</v>
          </cell>
        </row>
        <row r="946">
          <cell r="V946">
            <v>240.30199999999999</v>
          </cell>
        </row>
        <row r="947">
          <cell r="V947">
            <v>240.30199999999999</v>
          </cell>
        </row>
        <row r="948">
          <cell r="V948">
            <v>240.30199999999999</v>
          </cell>
        </row>
        <row r="949">
          <cell r="V949">
            <v>240.30199999999999</v>
          </cell>
        </row>
        <row r="950">
          <cell r="V950">
            <v>314.69800000000004</v>
          </cell>
        </row>
        <row r="951">
          <cell r="V951">
            <v>278.48399999999998</v>
          </cell>
        </row>
        <row r="952">
          <cell r="V952">
            <v>278.48399999999998</v>
          </cell>
        </row>
        <row r="953">
          <cell r="V953">
            <v>278.48399999999998</v>
          </cell>
        </row>
        <row r="954">
          <cell r="V954">
            <v>278.48399999999998</v>
          </cell>
        </row>
        <row r="955">
          <cell r="V955">
            <v>278.48399999999998</v>
          </cell>
        </row>
        <row r="956">
          <cell r="V956">
            <v>350.87199999999996</v>
          </cell>
        </row>
        <row r="957">
          <cell r="V957">
            <v>240.30199999999999</v>
          </cell>
        </row>
        <row r="958">
          <cell r="V958">
            <v>240.30199999999999</v>
          </cell>
        </row>
        <row r="959">
          <cell r="V959">
            <v>240.30199999999999</v>
          </cell>
        </row>
        <row r="960">
          <cell r="V960">
            <v>240.30199999999999</v>
          </cell>
        </row>
        <row r="961">
          <cell r="V961">
            <v>240.30199999999999</v>
          </cell>
        </row>
        <row r="962">
          <cell r="V962">
            <v>314.69800000000004</v>
          </cell>
        </row>
        <row r="963">
          <cell r="V963">
            <v>278.48399999999998</v>
          </cell>
        </row>
        <row r="964">
          <cell r="V964">
            <v>278.48399999999998</v>
          </cell>
        </row>
        <row r="965">
          <cell r="V965">
            <v>278.48399999999998</v>
          </cell>
        </row>
        <row r="966">
          <cell r="V966">
            <v>278.48399999999998</v>
          </cell>
        </row>
        <row r="967">
          <cell r="V967">
            <v>278.48399999999998</v>
          </cell>
        </row>
        <row r="968">
          <cell r="V968">
            <v>350.87199999999996</v>
          </cell>
        </row>
        <row r="969">
          <cell r="V969">
            <v>240.30199999999999</v>
          </cell>
        </row>
        <row r="970">
          <cell r="V970">
            <v>240.30199999999999</v>
          </cell>
        </row>
        <row r="971">
          <cell r="V971">
            <v>240.30199999999999</v>
          </cell>
        </row>
        <row r="972">
          <cell r="V972">
            <v>240.30199999999999</v>
          </cell>
        </row>
        <row r="973">
          <cell r="V973">
            <v>240.30199999999999</v>
          </cell>
        </row>
        <row r="974">
          <cell r="V974">
            <v>314.69800000000004</v>
          </cell>
        </row>
        <row r="975">
          <cell r="V975">
            <v>278.48399999999998</v>
          </cell>
        </row>
        <row r="976">
          <cell r="V976">
            <v>278.48399999999998</v>
          </cell>
        </row>
        <row r="977">
          <cell r="V977">
            <v>278.48399999999998</v>
          </cell>
        </row>
        <row r="978">
          <cell r="V978">
            <v>278.48399999999998</v>
          </cell>
        </row>
        <row r="979">
          <cell r="V979">
            <v>278.48399999999998</v>
          </cell>
        </row>
        <row r="980">
          <cell r="V980">
            <v>350.87199999999996</v>
          </cell>
        </row>
        <row r="981">
          <cell r="V981">
            <v>240.30199999999999</v>
          </cell>
        </row>
        <row r="982">
          <cell r="V982">
            <v>240.30199999999999</v>
          </cell>
        </row>
        <row r="983">
          <cell r="V983">
            <v>240.30199999999999</v>
          </cell>
        </row>
        <row r="984">
          <cell r="V984">
            <v>240.30199999999999</v>
          </cell>
        </row>
        <row r="985">
          <cell r="V985">
            <v>240.30199999999999</v>
          </cell>
        </row>
        <row r="986">
          <cell r="V986">
            <v>314.69800000000004</v>
          </cell>
        </row>
        <row r="987">
          <cell r="V987">
            <v>278.48399999999998</v>
          </cell>
        </row>
        <row r="988">
          <cell r="V988">
            <v>278.48399999999998</v>
          </cell>
        </row>
        <row r="989">
          <cell r="V989">
            <v>278.48399999999998</v>
          </cell>
        </row>
        <row r="990">
          <cell r="V990">
            <v>278.48399999999998</v>
          </cell>
        </row>
        <row r="991">
          <cell r="V991">
            <v>278.48399999999998</v>
          </cell>
        </row>
        <row r="992">
          <cell r="V992">
            <v>350.87199999999996</v>
          </cell>
        </row>
        <row r="993">
          <cell r="V993">
            <v>240.30199999999999</v>
          </cell>
        </row>
        <row r="994">
          <cell r="V994">
            <v>240.30199999999999</v>
          </cell>
        </row>
        <row r="995">
          <cell r="V995">
            <v>240.30199999999999</v>
          </cell>
        </row>
        <row r="996">
          <cell r="V996">
            <v>240.30199999999999</v>
          </cell>
        </row>
        <row r="997">
          <cell r="V997">
            <v>240.30199999999999</v>
          </cell>
        </row>
        <row r="998">
          <cell r="V998">
            <v>314.69800000000004</v>
          </cell>
        </row>
        <row r="999">
          <cell r="V999">
            <v>278.48399999999998</v>
          </cell>
        </row>
        <row r="1000">
          <cell r="V1000">
            <v>278.48399999999998</v>
          </cell>
        </row>
        <row r="1001">
          <cell r="V1001">
            <v>278.48399999999998</v>
          </cell>
        </row>
        <row r="1002">
          <cell r="V1002">
            <v>278.48399999999998</v>
          </cell>
        </row>
        <row r="1003">
          <cell r="V1003">
            <v>278.48399999999998</v>
          </cell>
        </row>
        <row r="1004">
          <cell r="V1004">
            <v>350.87199999999996</v>
          </cell>
        </row>
        <row r="1005">
          <cell r="V1005">
            <v>240.30199999999999</v>
          </cell>
        </row>
        <row r="1006">
          <cell r="V1006">
            <v>240.30199999999999</v>
          </cell>
        </row>
        <row r="1007">
          <cell r="V1007">
            <v>240.30199999999999</v>
          </cell>
        </row>
        <row r="1008">
          <cell r="V1008">
            <v>240.30199999999999</v>
          </cell>
        </row>
        <row r="1009">
          <cell r="V1009">
            <v>240.30199999999999</v>
          </cell>
        </row>
        <row r="1010">
          <cell r="V1010">
            <v>314.69800000000004</v>
          </cell>
        </row>
        <row r="1011">
          <cell r="V1011">
            <v>278.48399999999998</v>
          </cell>
        </row>
        <row r="1012">
          <cell r="V1012">
            <v>278.48399999999998</v>
          </cell>
        </row>
        <row r="1013">
          <cell r="V1013">
            <v>278.48399999999998</v>
          </cell>
        </row>
        <row r="1014">
          <cell r="V1014">
            <v>278.48399999999998</v>
          </cell>
        </row>
        <row r="1015">
          <cell r="V1015">
            <v>278.48399999999998</v>
          </cell>
        </row>
        <row r="1016">
          <cell r="V1016">
            <v>350.87199999999996</v>
          </cell>
        </row>
        <row r="1017">
          <cell r="V1017">
            <v>240.30199999999999</v>
          </cell>
        </row>
        <row r="1018">
          <cell r="V1018">
            <v>240.30199999999999</v>
          </cell>
        </row>
        <row r="1019">
          <cell r="V1019">
            <v>240.30199999999999</v>
          </cell>
        </row>
        <row r="1020">
          <cell r="V1020">
            <v>240.30199999999999</v>
          </cell>
        </row>
        <row r="1021">
          <cell r="V1021">
            <v>240.30199999999999</v>
          </cell>
        </row>
        <row r="1022">
          <cell r="V1022">
            <v>314.69800000000004</v>
          </cell>
        </row>
        <row r="1023">
          <cell r="V1023">
            <v>278.48399999999998</v>
          </cell>
        </row>
        <row r="1024">
          <cell r="V1024">
            <v>278.48399999999998</v>
          </cell>
        </row>
        <row r="1025">
          <cell r="V1025">
            <v>278.48399999999998</v>
          </cell>
        </row>
        <row r="1026">
          <cell r="V1026">
            <v>278.48399999999998</v>
          </cell>
        </row>
        <row r="1027">
          <cell r="V1027">
            <v>278.48399999999998</v>
          </cell>
        </row>
        <row r="1028">
          <cell r="V1028">
            <v>350.87199999999996</v>
          </cell>
        </row>
        <row r="1029">
          <cell r="V1029">
            <v>240.30199999999999</v>
          </cell>
        </row>
        <row r="1030">
          <cell r="V1030">
            <v>240.30199999999999</v>
          </cell>
        </row>
        <row r="1031">
          <cell r="V1031">
            <v>240.30199999999999</v>
          </cell>
        </row>
        <row r="1032">
          <cell r="V1032">
            <v>240.30199999999999</v>
          </cell>
        </row>
        <row r="1033">
          <cell r="V1033">
            <v>240.30199999999999</v>
          </cell>
        </row>
        <row r="1034">
          <cell r="V1034">
            <v>314.69800000000004</v>
          </cell>
        </row>
        <row r="1035">
          <cell r="V1035">
            <v>278.48399999999998</v>
          </cell>
        </row>
        <row r="1036">
          <cell r="V1036">
            <v>278.48399999999998</v>
          </cell>
        </row>
        <row r="1037">
          <cell r="V1037">
            <v>278.48399999999998</v>
          </cell>
        </row>
        <row r="1038">
          <cell r="V1038">
            <v>278.48399999999998</v>
          </cell>
        </row>
        <row r="1039">
          <cell r="V1039">
            <v>278.48399999999998</v>
          </cell>
        </row>
        <row r="1040">
          <cell r="V1040">
            <v>350.87199999999996</v>
          </cell>
        </row>
        <row r="1041">
          <cell r="V1041">
            <v>240.30199999999999</v>
          </cell>
        </row>
        <row r="1042">
          <cell r="V1042">
            <v>240.30199999999999</v>
          </cell>
        </row>
        <row r="1043">
          <cell r="V1043">
            <v>240.30199999999999</v>
          </cell>
        </row>
        <row r="1044">
          <cell r="V1044">
            <v>240.30199999999999</v>
          </cell>
        </row>
        <row r="1045">
          <cell r="V1045">
            <v>240.30199999999999</v>
          </cell>
        </row>
        <row r="1046">
          <cell r="V1046">
            <v>314.69800000000004</v>
          </cell>
        </row>
        <row r="1047">
          <cell r="V1047">
            <v>278.48399999999998</v>
          </cell>
        </row>
        <row r="1048">
          <cell r="V1048">
            <v>278.48399999999998</v>
          </cell>
        </row>
        <row r="1049">
          <cell r="V1049">
            <v>278.48399999999998</v>
          </cell>
        </row>
        <row r="1050">
          <cell r="V1050">
            <v>278.48399999999998</v>
          </cell>
        </row>
        <row r="1051">
          <cell r="V1051">
            <v>278.48399999999998</v>
          </cell>
        </row>
        <row r="1052">
          <cell r="V1052">
            <v>350.87199999999996</v>
          </cell>
        </row>
        <row r="1053">
          <cell r="V1053">
            <v>240.30199999999999</v>
          </cell>
        </row>
        <row r="1054">
          <cell r="V1054">
            <v>240.30199999999999</v>
          </cell>
        </row>
        <row r="1055">
          <cell r="V1055">
            <v>240.30199999999999</v>
          </cell>
        </row>
        <row r="1056">
          <cell r="V1056">
            <v>240.30199999999999</v>
          </cell>
        </row>
        <row r="1057">
          <cell r="V1057">
            <v>240.30199999999999</v>
          </cell>
        </row>
        <row r="1058">
          <cell r="V1058">
            <v>314.69800000000004</v>
          </cell>
        </row>
        <row r="1059">
          <cell r="V1059">
            <v>278.48399999999998</v>
          </cell>
        </row>
        <row r="1060">
          <cell r="V1060">
            <v>278.48399999999998</v>
          </cell>
        </row>
        <row r="1061">
          <cell r="V1061">
            <v>278.48399999999998</v>
          </cell>
        </row>
        <row r="1062">
          <cell r="V1062">
            <v>278.48399999999998</v>
          </cell>
        </row>
        <row r="1063">
          <cell r="V1063">
            <v>278.48399999999998</v>
          </cell>
        </row>
        <row r="1064">
          <cell r="V1064">
            <v>350.87199999999996</v>
          </cell>
        </row>
        <row r="1065">
          <cell r="V1065">
            <v>240.30199999999999</v>
          </cell>
        </row>
        <row r="1066">
          <cell r="V1066">
            <v>240.30199999999999</v>
          </cell>
        </row>
        <row r="1067">
          <cell r="V1067">
            <v>240.30199999999999</v>
          </cell>
        </row>
        <row r="1068">
          <cell r="V1068">
            <v>240.30199999999999</v>
          </cell>
        </row>
        <row r="1069">
          <cell r="V1069">
            <v>240.30199999999999</v>
          </cell>
        </row>
        <row r="1070">
          <cell r="V1070">
            <v>314.69800000000004</v>
          </cell>
        </row>
        <row r="1071">
          <cell r="V1071">
            <v>278.48399999999998</v>
          </cell>
        </row>
        <row r="1072">
          <cell r="V1072">
            <v>278.48399999999998</v>
          </cell>
        </row>
        <row r="1073">
          <cell r="V1073">
            <v>278.48399999999998</v>
          </cell>
        </row>
        <row r="1074">
          <cell r="V1074">
            <v>278.48399999999998</v>
          </cell>
        </row>
        <row r="1075">
          <cell r="V1075">
            <v>278.48399999999998</v>
          </cell>
        </row>
        <row r="1076">
          <cell r="V1076">
            <v>350.87199999999996</v>
          </cell>
        </row>
        <row r="1077">
          <cell r="V1077">
            <v>240.30199999999999</v>
          </cell>
        </row>
        <row r="1078">
          <cell r="V1078">
            <v>240.30199999999999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>
        <row r="95">
          <cell r="H95">
            <v>50</v>
          </cell>
        </row>
        <row r="96">
          <cell r="H96">
            <v>50</v>
          </cell>
        </row>
        <row r="97">
          <cell r="H97">
            <v>50</v>
          </cell>
        </row>
        <row r="98">
          <cell r="H98">
            <v>50</v>
          </cell>
        </row>
        <row r="99">
          <cell r="H99">
            <v>50</v>
          </cell>
        </row>
        <row r="100">
          <cell r="H100">
            <v>50</v>
          </cell>
        </row>
        <row r="101">
          <cell r="H101">
            <v>0</v>
          </cell>
        </row>
        <row r="102">
          <cell r="H102">
            <v>0</v>
          </cell>
        </row>
        <row r="103">
          <cell r="H103">
            <v>0</v>
          </cell>
        </row>
        <row r="104">
          <cell r="H104">
            <v>0</v>
          </cell>
        </row>
        <row r="105">
          <cell r="H105">
            <v>50</v>
          </cell>
        </row>
        <row r="106">
          <cell r="H106">
            <v>50</v>
          </cell>
        </row>
        <row r="107">
          <cell r="H107">
            <v>50</v>
          </cell>
        </row>
        <row r="108">
          <cell r="H108">
            <v>50</v>
          </cell>
        </row>
        <row r="109">
          <cell r="H109">
            <v>50</v>
          </cell>
        </row>
        <row r="110">
          <cell r="H110">
            <v>50</v>
          </cell>
        </row>
        <row r="111">
          <cell r="H111">
            <v>50</v>
          </cell>
        </row>
        <row r="112">
          <cell r="H112">
            <v>50</v>
          </cell>
        </row>
        <row r="113">
          <cell r="H113">
            <v>0</v>
          </cell>
        </row>
        <row r="114">
          <cell r="H114">
            <v>0</v>
          </cell>
        </row>
        <row r="115">
          <cell r="H115">
            <v>0</v>
          </cell>
        </row>
        <row r="116">
          <cell r="H116">
            <v>0</v>
          </cell>
        </row>
        <row r="117">
          <cell r="H117">
            <v>50</v>
          </cell>
        </row>
        <row r="118">
          <cell r="H118">
            <v>50</v>
          </cell>
        </row>
        <row r="119">
          <cell r="H119">
            <v>50</v>
          </cell>
        </row>
        <row r="120">
          <cell r="H120">
            <v>50</v>
          </cell>
        </row>
        <row r="121">
          <cell r="H121">
            <v>50</v>
          </cell>
        </row>
        <row r="122">
          <cell r="H122">
            <v>50</v>
          </cell>
        </row>
        <row r="123">
          <cell r="H123">
            <v>50</v>
          </cell>
        </row>
        <row r="124">
          <cell r="H124">
            <v>50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0</v>
          </cell>
        </row>
        <row r="128">
          <cell r="H128">
            <v>0</v>
          </cell>
        </row>
        <row r="129">
          <cell r="H129">
            <v>50</v>
          </cell>
        </row>
        <row r="130">
          <cell r="H130">
            <v>50</v>
          </cell>
        </row>
        <row r="131">
          <cell r="H131">
            <v>50</v>
          </cell>
        </row>
        <row r="132">
          <cell r="H132">
            <v>50</v>
          </cell>
        </row>
        <row r="133">
          <cell r="H133">
            <v>50</v>
          </cell>
        </row>
        <row r="134">
          <cell r="H134">
            <v>50</v>
          </cell>
        </row>
        <row r="135">
          <cell r="H135">
            <v>50</v>
          </cell>
        </row>
        <row r="136">
          <cell r="H136">
            <v>50</v>
          </cell>
        </row>
        <row r="137">
          <cell r="H137">
            <v>0</v>
          </cell>
        </row>
        <row r="138">
          <cell r="H138">
            <v>0</v>
          </cell>
        </row>
        <row r="139">
          <cell r="H139">
            <v>0</v>
          </cell>
        </row>
        <row r="140">
          <cell r="H140">
            <v>0</v>
          </cell>
        </row>
        <row r="141">
          <cell r="H141">
            <v>50</v>
          </cell>
        </row>
        <row r="142">
          <cell r="H142">
            <v>50</v>
          </cell>
        </row>
        <row r="143">
          <cell r="H143">
            <v>50</v>
          </cell>
        </row>
        <row r="144">
          <cell r="H144">
            <v>50</v>
          </cell>
        </row>
        <row r="145">
          <cell r="H145">
            <v>50</v>
          </cell>
        </row>
        <row r="146">
          <cell r="H146">
            <v>50</v>
          </cell>
        </row>
        <row r="147">
          <cell r="H147">
            <v>50</v>
          </cell>
        </row>
        <row r="148">
          <cell r="H148">
            <v>50</v>
          </cell>
        </row>
        <row r="149">
          <cell r="H149">
            <v>0</v>
          </cell>
        </row>
        <row r="150">
          <cell r="H150">
            <v>0</v>
          </cell>
        </row>
        <row r="151">
          <cell r="H151">
            <v>0</v>
          </cell>
        </row>
        <row r="152">
          <cell r="H152">
            <v>0</v>
          </cell>
        </row>
        <row r="153">
          <cell r="H153">
            <v>50</v>
          </cell>
        </row>
        <row r="154">
          <cell r="H154">
            <v>50</v>
          </cell>
        </row>
        <row r="155">
          <cell r="H155">
            <v>50</v>
          </cell>
        </row>
        <row r="156">
          <cell r="H156">
            <v>50</v>
          </cell>
        </row>
        <row r="157">
          <cell r="H157">
            <v>50</v>
          </cell>
        </row>
        <row r="158">
          <cell r="H158">
            <v>50</v>
          </cell>
        </row>
        <row r="159">
          <cell r="H159">
            <v>50</v>
          </cell>
        </row>
        <row r="160">
          <cell r="H160">
            <v>50</v>
          </cell>
        </row>
        <row r="161">
          <cell r="H161">
            <v>0</v>
          </cell>
        </row>
        <row r="162">
          <cell r="H162">
            <v>0</v>
          </cell>
        </row>
        <row r="163">
          <cell r="H163">
            <v>0</v>
          </cell>
        </row>
        <row r="164">
          <cell r="H164">
            <v>0</v>
          </cell>
        </row>
        <row r="165">
          <cell r="H165">
            <v>50</v>
          </cell>
        </row>
        <row r="166">
          <cell r="H166">
            <v>50</v>
          </cell>
        </row>
        <row r="167">
          <cell r="H167">
            <v>50</v>
          </cell>
        </row>
        <row r="168">
          <cell r="H168">
            <v>50</v>
          </cell>
        </row>
        <row r="169">
          <cell r="H169">
            <v>50</v>
          </cell>
        </row>
        <row r="170">
          <cell r="H170">
            <v>50</v>
          </cell>
        </row>
        <row r="171">
          <cell r="H171">
            <v>50</v>
          </cell>
        </row>
        <row r="172">
          <cell r="H172">
            <v>50</v>
          </cell>
        </row>
        <row r="173">
          <cell r="H173">
            <v>0</v>
          </cell>
        </row>
        <row r="174">
          <cell r="H174">
            <v>0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50</v>
          </cell>
        </row>
        <row r="178">
          <cell r="H178">
            <v>50</v>
          </cell>
        </row>
        <row r="179">
          <cell r="H179">
            <v>50</v>
          </cell>
        </row>
        <row r="180">
          <cell r="H180">
            <v>50</v>
          </cell>
        </row>
        <row r="181">
          <cell r="H181">
            <v>50</v>
          </cell>
        </row>
        <row r="182">
          <cell r="H182">
            <v>50</v>
          </cell>
        </row>
        <row r="183">
          <cell r="H183">
            <v>50</v>
          </cell>
        </row>
        <row r="184">
          <cell r="H184">
            <v>50</v>
          </cell>
        </row>
        <row r="185">
          <cell r="H185">
            <v>0</v>
          </cell>
        </row>
        <row r="186">
          <cell r="H186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50</v>
          </cell>
        </row>
        <row r="190">
          <cell r="H190">
            <v>50</v>
          </cell>
        </row>
        <row r="191">
          <cell r="H191">
            <v>50</v>
          </cell>
        </row>
        <row r="192">
          <cell r="H192">
            <v>50</v>
          </cell>
        </row>
        <row r="193">
          <cell r="H193">
            <v>50</v>
          </cell>
        </row>
        <row r="194">
          <cell r="H194">
            <v>50</v>
          </cell>
        </row>
        <row r="195">
          <cell r="H195">
            <v>50</v>
          </cell>
        </row>
        <row r="196">
          <cell r="H196">
            <v>50</v>
          </cell>
        </row>
        <row r="197">
          <cell r="H197">
            <v>0</v>
          </cell>
        </row>
        <row r="198">
          <cell r="H198">
            <v>0</v>
          </cell>
        </row>
        <row r="199">
          <cell r="H199">
            <v>0</v>
          </cell>
        </row>
        <row r="200">
          <cell r="H200">
            <v>0</v>
          </cell>
        </row>
        <row r="201">
          <cell r="H201">
            <v>50</v>
          </cell>
        </row>
        <row r="202">
          <cell r="H202">
            <v>50</v>
          </cell>
        </row>
        <row r="203">
          <cell r="H203">
            <v>50</v>
          </cell>
        </row>
        <row r="204">
          <cell r="H204">
            <v>50</v>
          </cell>
        </row>
        <row r="205">
          <cell r="H205">
            <v>50</v>
          </cell>
        </row>
        <row r="206">
          <cell r="H206">
            <v>50</v>
          </cell>
        </row>
        <row r="207">
          <cell r="H207">
            <v>50</v>
          </cell>
        </row>
        <row r="208">
          <cell r="H208">
            <v>50</v>
          </cell>
        </row>
        <row r="209">
          <cell r="H209">
            <v>0</v>
          </cell>
        </row>
        <row r="210">
          <cell r="H210">
            <v>0</v>
          </cell>
        </row>
        <row r="211">
          <cell r="H211">
            <v>0</v>
          </cell>
        </row>
        <row r="212">
          <cell r="H212">
            <v>0</v>
          </cell>
        </row>
        <row r="213">
          <cell r="H213">
            <v>50</v>
          </cell>
        </row>
        <row r="214">
          <cell r="H214">
            <v>50</v>
          </cell>
        </row>
        <row r="215">
          <cell r="H215">
            <v>50</v>
          </cell>
        </row>
        <row r="216">
          <cell r="H216">
            <v>50</v>
          </cell>
        </row>
        <row r="217">
          <cell r="H217">
            <v>50</v>
          </cell>
        </row>
        <row r="218">
          <cell r="H218">
            <v>50</v>
          </cell>
        </row>
        <row r="219">
          <cell r="H219">
            <v>50</v>
          </cell>
        </row>
        <row r="220">
          <cell r="H220">
            <v>50</v>
          </cell>
        </row>
        <row r="221">
          <cell r="H221">
            <v>0</v>
          </cell>
        </row>
        <row r="222">
          <cell r="H222">
            <v>0</v>
          </cell>
        </row>
        <row r="223">
          <cell r="H223">
            <v>0</v>
          </cell>
        </row>
        <row r="224">
          <cell r="H224">
            <v>0</v>
          </cell>
        </row>
        <row r="225">
          <cell r="H225">
            <v>50</v>
          </cell>
        </row>
        <row r="226">
          <cell r="H226">
            <v>50</v>
          </cell>
        </row>
        <row r="227">
          <cell r="H227">
            <v>50</v>
          </cell>
        </row>
        <row r="228">
          <cell r="H228">
            <v>50</v>
          </cell>
        </row>
        <row r="229">
          <cell r="H229">
            <v>50</v>
          </cell>
        </row>
        <row r="230">
          <cell r="H230">
            <v>50</v>
          </cell>
        </row>
        <row r="231">
          <cell r="H231">
            <v>50</v>
          </cell>
        </row>
        <row r="232">
          <cell r="H232">
            <v>50</v>
          </cell>
        </row>
        <row r="233">
          <cell r="H233">
            <v>0</v>
          </cell>
        </row>
        <row r="234">
          <cell r="H234">
            <v>0</v>
          </cell>
        </row>
        <row r="235">
          <cell r="H235">
            <v>0</v>
          </cell>
        </row>
        <row r="236">
          <cell r="H236">
            <v>0</v>
          </cell>
        </row>
        <row r="237">
          <cell r="H237">
            <v>50</v>
          </cell>
        </row>
        <row r="238">
          <cell r="H238">
            <v>50</v>
          </cell>
        </row>
        <row r="239">
          <cell r="H239">
            <v>50</v>
          </cell>
        </row>
        <row r="240">
          <cell r="H240">
            <v>50</v>
          </cell>
        </row>
        <row r="241">
          <cell r="H241">
            <v>50</v>
          </cell>
        </row>
        <row r="242">
          <cell r="H242">
            <v>50</v>
          </cell>
        </row>
        <row r="243">
          <cell r="H243">
            <v>50</v>
          </cell>
        </row>
        <row r="244">
          <cell r="H244">
            <v>50</v>
          </cell>
        </row>
        <row r="245">
          <cell r="H245">
            <v>0</v>
          </cell>
        </row>
        <row r="246">
          <cell r="H246">
            <v>0</v>
          </cell>
        </row>
        <row r="247">
          <cell r="H247">
            <v>0</v>
          </cell>
        </row>
        <row r="248">
          <cell r="H248">
            <v>0</v>
          </cell>
        </row>
        <row r="249">
          <cell r="H249">
            <v>50</v>
          </cell>
        </row>
        <row r="250">
          <cell r="H250">
            <v>50</v>
          </cell>
        </row>
        <row r="251">
          <cell r="H251">
            <v>50</v>
          </cell>
        </row>
        <row r="252">
          <cell r="H252">
            <v>50</v>
          </cell>
        </row>
        <row r="253">
          <cell r="H253">
            <v>50</v>
          </cell>
        </row>
        <row r="254">
          <cell r="H254">
            <v>50</v>
          </cell>
        </row>
        <row r="255">
          <cell r="H255">
            <v>50</v>
          </cell>
        </row>
        <row r="256">
          <cell r="H256">
            <v>50</v>
          </cell>
        </row>
        <row r="257">
          <cell r="H257">
            <v>0</v>
          </cell>
        </row>
        <row r="258">
          <cell r="H258">
            <v>0</v>
          </cell>
        </row>
        <row r="259">
          <cell r="H259">
            <v>0</v>
          </cell>
        </row>
        <row r="260">
          <cell r="H260">
            <v>0</v>
          </cell>
        </row>
        <row r="261">
          <cell r="H261">
            <v>50</v>
          </cell>
        </row>
        <row r="262">
          <cell r="H262">
            <v>50</v>
          </cell>
        </row>
        <row r="263">
          <cell r="H263">
            <v>50</v>
          </cell>
        </row>
        <row r="264">
          <cell r="H264">
            <v>50</v>
          </cell>
        </row>
        <row r="265">
          <cell r="H265">
            <v>50</v>
          </cell>
        </row>
        <row r="266">
          <cell r="H266">
            <v>50</v>
          </cell>
        </row>
        <row r="267">
          <cell r="H267">
            <v>50</v>
          </cell>
        </row>
        <row r="268">
          <cell r="H268">
            <v>50</v>
          </cell>
        </row>
        <row r="269">
          <cell r="H269">
            <v>0</v>
          </cell>
        </row>
        <row r="270">
          <cell r="H270">
            <v>0</v>
          </cell>
        </row>
        <row r="271">
          <cell r="H271">
            <v>0</v>
          </cell>
        </row>
        <row r="272">
          <cell r="H272">
            <v>0</v>
          </cell>
        </row>
        <row r="273">
          <cell r="H273">
            <v>50</v>
          </cell>
        </row>
        <row r="274">
          <cell r="H274">
            <v>50</v>
          </cell>
        </row>
        <row r="275">
          <cell r="H275">
            <v>50</v>
          </cell>
        </row>
        <row r="276">
          <cell r="H276">
            <v>50</v>
          </cell>
        </row>
        <row r="277">
          <cell r="H277">
            <v>50</v>
          </cell>
        </row>
        <row r="278">
          <cell r="H278">
            <v>50</v>
          </cell>
        </row>
        <row r="279">
          <cell r="H279">
            <v>50</v>
          </cell>
        </row>
        <row r="280">
          <cell r="H280">
            <v>50</v>
          </cell>
        </row>
        <row r="281">
          <cell r="H281">
            <v>0</v>
          </cell>
        </row>
        <row r="282">
          <cell r="H282">
            <v>0</v>
          </cell>
        </row>
        <row r="283">
          <cell r="H283">
            <v>0</v>
          </cell>
        </row>
        <row r="284">
          <cell r="H284">
            <v>0</v>
          </cell>
        </row>
        <row r="285">
          <cell r="H285">
            <v>50</v>
          </cell>
        </row>
        <row r="286">
          <cell r="H286">
            <v>50</v>
          </cell>
        </row>
        <row r="287">
          <cell r="H287">
            <v>50</v>
          </cell>
        </row>
        <row r="288">
          <cell r="H288">
            <v>50</v>
          </cell>
        </row>
        <row r="289">
          <cell r="H289">
            <v>50</v>
          </cell>
        </row>
        <row r="290">
          <cell r="H290">
            <v>50</v>
          </cell>
        </row>
        <row r="291">
          <cell r="H291">
            <v>50</v>
          </cell>
        </row>
        <row r="292">
          <cell r="H292">
            <v>50</v>
          </cell>
        </row>
        <row r="293">
          <cell r="H293">
            <v>0</v>
          </cell>
        </row>
        <row r="294">
          <cell r="H294">
            <v>0</v>
          </cell>
        </row>
        <row r="295">
          <cell r="H295">
            <v>0</v>
          </cell>
        </row>
        <row r="296">
          <cell r="H296">
            <v>0</v>
          </cell>
        </row>
        <row r="297">
          <cell r="H297">
            <v>50</v>
          </cell>
        </row>
        <row r="298">
          <cell r="H298">
            <v>50</v>
          </cell>
        </row>
        <row r="299">
          <cell r="H299">
            <v>50</v>
          </cell>
        </row>
        <row r="300">
          <cell r="H300">
            <v>50</v>
          </cell>
        </row>
        <row r="301">
          <cell r="H301">
            <v>50</v>
          </cell>
        </row>
        <row r="302">
          <cell r="H302">
            <v>50</v>
          </cell>
        </row>
        <row r="303">
          <cell r="H303">
            <v>50</v>
          </cell>
        </row>
        <row r="304">
          <cell r="H304">
            <v>50</v>
          </cell>
        </row>
        <row r="305">
          <cell r="H305">
            <v>0</v>
          </cell>
        </row>
        <row r="306">
          <cell r="H306">
            <v>0</v>
          </cell>
        </row>
        <row r="307">
          <cell r="H307">
            <v>0</v>
          </cell>
        </row>
        <row r="308">
          <cell r="H308">
            <v>0</v>
          </cell>
        </row>
        <row r="309">
          <cell r="H309">
            <v>50</v>
          </cell>
        </row>
        <row r="310">
          <cell r="H310">
            <v>50</v>
          </cell>
        </row>
        <row r="311">
          <cell r="H311">
            <v>50</v>
          </cell>
        </row>
        <row r="312">
          <cell r="H312">
            <v>50</v>
          </cell>
        </row>
        <row r="313">
          <cell r="H313">
            <v>50</v>
          </cell>
        </row>
        <row r="314">
          <cell r="H314">
            <v>50</v>
          </cell>
        </row>
        <row r="315">
          <cell r="H315">
            <v>50</v>
          </cell>
        </row>
        <row r="316">
          <cell r="H316">
            <v>50</v>
          </cell>
        </row>
        <row r="317">
          <cell r="H317">
            <v>0</v>
          </cell>
        </row>
        <row r="318">
          <cell r="H318">
            <v>0</v>
          </cell>
        </row>
        <row r="319">
          <cell r="H319">
            <v>0</v>
          </cell>
        </row>
        <row r="320">
          <cell r="H320">
            <v>0</v>
          </cell>
        </row>
        <row r="321">
          <cell r="H321">
            <v>50</v>
          </cell>
        </row>
        <row r="322">
          <cell r="H322">
            <v>50</v>
          </cell>
        </row>
        <row r="323">
          <cell r="H323">
            <v>50</v>
          </cell>
        </row>
        <row r="324">
          <cell r="H324">
            <v>50</v>
          </cell>
        </row>
        <row r="325">
          <cell r="H325">
            <v>50</v>
          </cell>
        </row>
        <row r="326">
          <cell r="H326">
            <v>50</v>
          </cell>
        </row>
        <row r="327">
          <cell r="H327">
            <v>50</v>
          </cell>
        </row>
        <row r="328">
          <cell r="H328">
            <v>50</v>
          </cell>
        </row>
        <row r="329">
          <cell r="H329">
            <v>0</v>
          </cell>
        </row>
        <row r="330">
          <cell r="H330">
            <v>0</v>
          </cell>
        </row>
        <row r="331">
          <cell r="H331">
            <v>0</v>
          </cell>
        </row>
        <row r="332">
          <cell r="H332">
            <v>0</v>
          </cell>
        </row>
        <row r="333">
          <cell r="H333">
            <v>50</v>
          </cell>
        </row>
        <row r="334">
          <cell r="H334">
            <v>50</v>
          </cell>
        </row>
        <row r="335">
          <cell r="H335">
            <v>50</v>
          </cell>
        </row>
        <row r="336">
          <cell r="H336">
            <v>50</v>
          </cell>
        </row>
        <row r="337">
          <cell r="H337">
            <v>50</v>
          </cell>
        </row>
        <row r="338">
          <cell r="H338">
            <v>50</v>
          </cell>
        </row>
        <row r="339">
          <cell r="H339">
            <v>50</v>
          </cell>
        </row>
        <row r="340">
          <cell r="H340">
            <v>50</v>
          </cell>
        </row>
        <row r="341">
          <cell r="H341">
            <v>0</v>
          </cell>
        </row>
        <row r="342">
          <cell r="H342">
            <v>0</v>
          </cell>
        </row>
        <row r="343">
          <cell r="H343">
            <v>0</v>
          </cell>
        </row>
        <row r="344">
          <cell r="H344">
            <v>0</v>
          </cell>
        </row>
        <row r="345">
          <cell r="H345">
            <v>50</v>
          </cell>
        </row>
        <row r="346">
          <cell r="H346">
            <v>50</v>
          </cell>
        </row>
        <row r="347">
          <cell r="H347">
            <v>50</v>
          </cell>
        </row>
        <row r="348">
          <cell r="H348">
            <v>50</v>
          </cell>
        </row>
        <row r="349">
          <cell r="H349">
            <v>50</v>
          </cell>
        </row>
        <row r="350">
          <cell r="H350">
            <v>50</v>
          </cell>
        </row>
        <row r="351">
          <cell r="H351">
            <v>50</v>
          </cell>
        </row>
        <row r="352">
          <cell r="H352">
            <v>50</v>
          </cell>
        </row>
        <row r="353">
          <cell r="H353">
            <v>0</v>
          </cell>
        </row>
        <row r="354">
          <cell r="H354">
            <v>0</v>
          </cell>
        </row>
        <row r="355">
          <cell r="H355">
            <v>0</v>
          </cell>
        </row>
        <row r="356">
          <cell r="H356">
            <v>0</v>
          </cell>
        </row>
        <row r="357">
          <cell r="H357">
            <v>50</v>
          </cell>
        </row>
        <row r="358">
          <cell r="H358">
            <v>50</v>
          </cell>
        </row>
        <row r="359">
          <cell r="H359">
            <v>50</v>
          </cell>
        </row>
        <row r="360">
          <cell r="H360">
            <v>50</v>
          </cell>
        </row>
        <row r="361">
          <cell r="H361">
            <v>50</v>
          </cell>
        </row>
        <row r="362">
          <cell r="H362">
            <v>50</v>
          </cell>
        </row>
        <row r="363">
          <cell r="H363">
            <v>50</v>
          </cell>
        </row>
        <row r="364">
          <cell r="H364">
            <v>50</v>
          </cell>
        </row>
        <row r="365">
          <cell r="H365">
            <v>0</v>
          </cell>
        </row>
        <row r="366">
          <cell r="H366">
            <v>0</v>
          </cell>
        </row>
        <row r="367">
          <cell r="H367">
            <v>0</v>
          </cell>
        </row>
        <row r="368">
          <cell r="H368">
            <v>0</v>
          </cell>
        </row>
        <row r="369">
          <cell r="H369">
            <v>50</v>
          </cell>
        </row>
        <row r="370">
          <cell r="H370">
            <v>50</v>
          </cell>
        </row>
        <row r="371">
          <cell r="H371">
            <v>50</v>
          </cell>
        </row>
        <row r="372">
          <cell r="H372">
            <v>50</v>
          </cell>
        </row>
        <row r="373">
          <cell r="H373">
            <v>50</v>
          </cell>
        </row>
        <row r="374">
          <cell r="H374">
            <v>50</v>
          </cell>
        </row>
        <row r="375">
          <cell r="H375">
            <v>50</v>
          </cell>
        </row>
        <row r="376">
          <cell r="H376">
            <v>50</v>
          </cell>
        </row>
        <row r="377">
          <cell r="H377">
            <v>0</v>
          </cell>
        </row>
        <row r="378">
          <cell r="H378">
            <v>0</v>
          </cell>
        </row>
        <row r="379">
          <cell r="H379">
            <v>0</v>
          </cell>
        </row>
        <row r="380">
          <cell r="H380">
            <v>0</v>
          </cell>
        </row>
        <row r="381">
          <cell r="H381">
            <v>50</v>
          </cell>
        </row>
        <row r="382">
          <cell r="H382">
            <v>50</v>
          </cell>
        </row>
        <row r="383">
          <cell r="H383">
            <v>50</v>
          </cell>
        </row>
        <row r="384">
          <cell r="H384">
            <v>50</v>
          </cell>
        </row>
        <row r="385">
          <cell r="H385">
            <v>50</v>
          </cell>
        </row>
        <row r="386">
          <cell r="H386">
            <v>50</v>
          </cell>
        </row>
        <row r="387">
          <cell r="H387">
            <v>50</v>
          </cell>
        </row>
        <row r="388">
          <cell r="H388">
            <v>50</v>
          </cell>
        </row>
        <row r="389">
          <cell r="H389">
            <v>0</v>
          </cell>
        </row>
        <row r="390">
          <cell r="H390">
            <v>0</v>
          </cell>
        </row>
        <row r="391">
          <cell r="H391">
            <v>0</v>
          </cell>
        </row>
        <row r="392">
          <cell r="H392">
            <v>0</v>
          </cell>
        </row>
        <row r="393">
          <cell r="H393">
            <v>50</v>
          </cell>
        </row>
        <row r="394">
          <cell r="H394">
            <v>50</v>
          </cell>
        </row>
        <row r="395">
          <cell r="H395">
            <v>50</v>
          </cell>
        </row>
        <row r="396">
          <cell r="H396">
            <v>50</v>
          </cell>
        </row>
        <row r="397">
          <cell r="H397">
            <v>50</v>
          </cell>
        </row>
        <row r="398">
          <cell r="H398">
            <v>50</v>
          </cell>
        </row>
        <row r="399">
          <cell r="H399">
            <v>50</v>
          </cell>
        </row>
        <row r="400">
          <cell r="H400">
            <v>50</v>
          </cell>
        </row>
        <row r="401">
          <cell r="H401">
            <v>0</v>
          </cell>
        </row>
        <row r="402">
          <cell r="H402">
            <v>0</v>
          </cell>
        </row>
        <row r="403">
          <cell r="H403">
            <v>0</v>
          </cell>
        </row>
        <row r="404">
          <cell r="H404">
            <v>0</v>
          </cell>
        </row>
        <row r="405">
          <cell r="H405">
            <v>50</v>
          </cell>
        </row>
        <row r="406">
          <cell r="H406">
            <v>50</v>
          </cell>
        </row>
        <row r="407">
          <cell r="H407">
            <v>50</v>
          </cell>
        </row>
        <row r="408">
          <cell r="H408">
            <v>50</v>
          </cell>
        </row>
        <row r="409">
          <cell r="H409">
            <v>50</v>
          </cell>
        </row>
        <row r="410">
          <cell r="H410">
            <v>50</v>
          </cell>
        </row>
        <row r="411">
          <cell r="H411">
            <v>50</v>
          </cell>
        </row>
        <row r="412">
          <cell r="H412">
            <v>50</v>
          </cell>
        </row>
        <row r="413">
          <cell r="H413">
            <v>0</v>
          </cell>
        </row>
        <row r="414">
          <cell r="H414">
            <v>0</v>
          </cell>
        </row>
        <row r="415">
          <cell r="H415">
            <v>0</v>
          </cell>
        </row>
        <row r="416">
          <cell r="H416">
            <v>0</v>
          </cell>
        </row>
        <row r="417">
          <cell r="H417">
            <v>50</v>
          </cell>
        </row>
        <row r="418">
          <cell r="H418">
            <v>50</v>
          </cell>
        </row>
        <row r="419">
          <cell r="H419">
            <v>50</v>
          </cell>
        </row>
        <row r="420">
          <cell r="H420">
            <v>50</v>
          </cell>
        </row>
        <row r="421">
          <cell r="H421">
            <v>50</v>
          </cell>
        </row>
        <row r="422">
          <cell r="H422">
            <v>50</v>
          </cell>
        </row>
        <row r="423">
          <cell r="H423">
            <v>50</v>
          </cell>
        </row>
        <row r="424">
          <cell r="H424">
            <v>50</v>
          </cell>
        </row>
        <row r="425">
          <cell r="H425">
            <v>0</v>
          </cell>
        </row>
        <row r="426">
          <cell r="H426">
            <v>0</v>
          </cell>
        </row>
        <row r="427">
          <cell r="H427">
            <v>0</v>
          </cell>
        </row>
        <row r="428">
          <cell r="H428">
            <v>0</v>
          </cell>
        </row>
        <row r="429">
          <cell r="H429">
            <v>50</v>
          </cell>
        </row>
        <row r="430">
          <cell r="H430">
            <v>50</v>
          </cell>
        </row>
        <row r="431">
          <cell r="H431">
            <v>50</v>
          </cell>
        </row>
        <row r="432">
          <cell r="H432">
            <v>50</v>
          </cell>
        </row>
        <row r="433">
          <cell r="H433">
            <v>50</v>
          </cell>
        </row>
        <row r="434">
          <cell r="H434">
            <v>50</v>
          </cell>
        </row>
        <row r="435">
          <cell r="H435">
            <v>50</v>
          </cell>
        </row>
        <row r="436">
          <cell r="H436">
            <v>50</v>
          </cell>
        </row>
        <row r="437">
          <cell r="H437">
            <v>0</v>
          </cell>
        </row>
        <row r="438">
          <cell r="H438">
            <v>0</v>
          </cell>
        </row>
        <row r="439">
          <cell r="H439">
            <v>0</v>
          </cell>
        </row>
        <row r="440">
          <cell r="H440">
            <v>0</v>
          </cell>
        </row>
        <row r="441">
          <cell r="H441">
            <v>50</v>
          </cell>
        </row>
        <row r="442">
          <cell r="H442">
            <v>50</v>
          </cell>
        </row>
        <row r="443">
          <cell r="H443">
            <v>50</v>
          </cell>
        </row>
        <row r="444">
          <cell r="H444">
            <v>50</v>
          </cell>
        </row>
        <row r="445">
          <cell r="H445">
            <v>50</v>
          </cell>
        </row>
        <row r="446">
          <cell r="H446">
            <v>50</v>
          </cell>
        </row>
        <row r="447">
          <cell r="H447">
            <v>50</v>
          </cell>
        </row>
        <row r="448">
          <cell r="H448">
            <v>50</v>
          </cell>
        </row>
        <row r="449">
          <cell r="H449">
            <v>0</v>
          </cell>
        </row>
        <row r="450">
          <cell r="H450">
            <v>0</v>
          </cell>
        </row>
        <row r="451">
          <cell r="H451">
            <v>0</v>
          </cell>
        </row>
        <row r="452">
          <cell r="H452">
            <v>0</v>
          </cell>
        </row>
        <row r="453">
          <cell r="H453">
            <v>50</v>
          </cell>
        </row>
        <row r="454">
          <cell r="H454">
            <v>50</v>
          </cell>
        </row>
        <row r="455">
          <cell r="H455">
            <v>50</v>
          </cell>
        </row>
        <row r="456">
          <cell r="H456">
            <v>50</v>
          </cell>
        </row>
        <row r="457">
          <cell r="H457">
            <v>50</v>
          </cell>
        </row>
        <row r="458">
          <cell r="H458">
            <v>50</v>
          </cell>
        </row>
        <row r="459">
          <cell r="H459">
            <v>50</v>
          </cell>
        </row>
        <row r="460">
          <cell r="H460">
            <v>50</v>
          </cell>
        </row>
        <row r="461">
          <cell r="H461">
            <v>0</v>
          </cell>
        </row>
        <row r="462">
          <cell r="H462">
            <v>0</v>
          </cell>
        </row>
        <row r="463">
          <cell r="H463">
            <v>0</v>
          </cell>
        </row>
        <row r="464">
          <cell r="H464">
            <v>0</v>
          </cell>
        </row>
        <row r="465">
          <cell r="H465">
            <v>50</v>
          </cell>
        </row>
        <row r="466">
          <cell r="H466">
            <v>50</v>
          </cell>
        </row>
        <row r="467">
          <cell r="H467">
            <v>50</v>
          </cell>
        </row>
        <row r="468">
          <cell r="H468">
            <v>50</v>
          </cell>
        </row>
        <row r="469">
          <cell r="H469">
            <v>50</v>
          </cell>
        </row>
        <row r="470">
          <cell r="H470">
            <v>50</v>
          </cell>
        </row>
        <row r="471">
          <cell r="H471">
            <v>50</v>
          </cell>
        </row>
        <row r="472">
          <cell r="H472">
            <v>50</v>
          </cell>
        </row>
        <row r="473">
          <cell r="H473">
            <v>0</v>
          </cell>
        </row>
        <row r="474">
          <cell r="H474">
            <v>0</v>
          </cell>
        </row>
        <row r="475">
          <cell r="H475">
            <v>0</v>
          </cell>
        </row>
        <row r="476">
          <cell r="H476">
            <v>0</v>
          </cell>
        </row>
        <row r="477">
          <cell r="H477">
            <v>50</v>
          </cell>
        </row>
        <row r="478">
          <cell r="H478">
            <v>50</v>
          </cell>
        </row>
        <row r="479">
          <cell r="H479">
            <v>50</v>
          </cell>
        </row>
        <row r="480">
          <cell r="H480">
            <v>50</v>
          </cell>
        </row>
        <row r="481">
          <cell r="H481">
            <v>50</v>
          </cell>
        </row>
        <row r="482">
          <cell r="H482">
            <v>50</v>
          </cell>
        </row>
        <row r="483">
          <cell r="H483">
            <v>50</v>
          </cell>
        </row>
        <row r="484">
          <cell r="H484">
            <v>50</v>
          </cell>
        </row>
        <row r="485">
          <cell r="H485">
            <v>0</v>
          </cell>
        </row>
        <row r="486">
          <cell r="H486">
            <v>0</v>
          </cell>
        </row>
        <row r="487">
          <cell r="H487">
            <v>0</v>
          </cell>
        </row>
        <row r="488">
          <cell r="H488">
            <v>0</v>
          </cell>
        </row>
        <row r="489">
          <cell r="H489">
            <v>50</v>
          </cell>
        </row>
        <row r="490">
          <cell r="H490">
            <v>50</v>
          </cell>
        </row>
        <row r="491">
          <cell r="H491">
            <v>50</v>
          </cell>
        </row>
        <row r="492">
          <cell r="H492">
            <v>50</v>
          </cell>
        </row>
        <row r="493">
          <cell r="H493">
            <v>50</v>
          </cell>
        </row>
        <row r="494">
          <cell r="H494">
            <v>50</v>
          </cell>
        </row>
        <row r="495">
          <cell r="H495">
            <v>50</v>
          </cell>
        </row>
        <row r="496">
          <cell r="H496">
            <v>50</v>
          </cell>
        </row>
        <row r="497">
          <cell r="H497">
            <v>0</v>
          </cell>
        </row>
        <row r="498">
          <cell r="H498">
            <v>0</v>
          </cell>
        </row>
        <row r="499">
          <cell r="H499">
            <v>0</v>
          </cell>
        </row>
        <row r="500">
          <cell r="H500">
            <v>0</v>
          </cell>
        </row>
        <row r="501">
          <cell r="H501">
            <v>50</v>
          </cell>
        </row>
        <row r="502">
          <cell r="H502">
            <v>50</v>
          </cell>
        </row>
        <row r="503">
          <cell r="H503">
            <v>50</v>
          </cell>
        </row>
        <row r="504">
          <cell r="H504">
            <v>50</v>
          </cell>
        </row>
        <row r="505">
          <cell r="H505">
            <v>50</v>
          </cell>
        </row>
        <row r="506">
          <cell r="H506">
            <v>50</v>
          </cell>
        </row>
        <row r="507">
          <cell r="H507">
            <v>50</v>
          </cell>
        </row>
        <row r="508">
          <cell r="H508">
            <v>50</v>
          </cell>
        </row>
        <row r="509">
          <cell r="H509">
            <v>0</v>
          </cell>
        </row>
        <row r="510">
          <cell r="H510">
            <v>0</v>
          </cell>
        </row>
        <row r="511">
          <cell r="H511">
            <v>0</v>
          </cell>
        </row>
        <row r="512">
          <cell r="H512">
            <v>0</v>
          </cell>
        </row>
        <row r="513">
          <cell r="H513">
            <v>50</v>
          </cell>
        </row>
        <row r="514">
          <cell r="H514">
            <v>50</v>
          </cell>
        </row>
        <row r="515">
          <cell r="H515">
            <v>50</v>
          </cell>
        </row>
        <row r="516">
          <cell r="H516">
            <v>50</v>
          </cell>
        </row>
        <row r="517">
          <cell r="H517">
            <v>50</v>
          </cell>
        </row>
        <row r="518">
          <cell r="H518">
            <v>50</v>
          </cell>
        </row>
        <row r="519">
          <cell r="H519">
            <v>50</v>
          </cell>
        </row>
        <row r="520">
          <cell r="H520">
            <v>50</v>
          </cell>
        </row>
        <row r="521">
          <cell r="H521">
            <v>0</v>
          </cell>
        </row>
        <row r="522">
          <cell r="H522">
            <v>0</v>
          </cell>
        </row>
        <row r="523">
          <cell r="H523">
            <v>0</v>
          </cell>
        </row>
        <row r="524">
          <cell r="H524">
            <v>0</v>
          </cell>
        </row>
        <row r="525">
          <cell r="H525">
            <v>50</v>
          </cell>
        </row>
        <row r="526">
          <cell r="H526">
            <v>50</v>
          </cell>
        </row>
        <row r="527">
          <cell r="H527">
            <v>50</v>
          </cell>
        </row>
        <row r="528">
          <cell r="H528">
            <v>50</v>
          </cell>
        </row>
        <row r="529">
          <cell r="H529">
            <v>50</v>
          </cell>
        </row>
        <row r="530">
          <cell r="H530">
            <v>50</v>
          </cell>
        </row>
        <row r="531">
          <cell r="H531">
            <v>50</v>
          </cell>
        </row>
        <row r="532">
          <cell r="H532">
            <v>50</v>
          </cell>
        </row>
        <row r="533">
          <cell r="H533">
            <v>0</v>
          </cell>
        </row>
        <row r="534">
          <cell r="H534">
            <v>0</v>
          </cell>
        </row>
        <row r="535">
          <cell r="H535">
            <v>0</v>
          </cell>
        </row>
        <row r="536">
          <cell r="H536">
            <v>0</v>
          </cell>
        </row>
        <row r="537">
          <cell r="H537">
            <v>50</v>
          </cell>
        </row>
        <row r="538">
          <cell r="H538">
            <v>50</v>
          </cell>
        </row>
        <row r="539">
          <cell r="H539">
            <v>50</v>
          </cell>
        </row>
        <row r="540">
          <cell r="H540">
            <v>50</v>
          </cell>
        </row>
        <row r="541">
          <cell r="H541">
            <v>50</v>
          </cell>
        </row>
        <row r="542">
          <cell r="H542">
            <v>50</v>
          </cell>
        </row>
        <row r="543">
          <cell r="H543">
            <v>50</v>
          </cell>
        </row>
        <row r="544">
          <cell r="H544">
            <v>50</v>
          </cell>
        </row>
        <row r="545">
          <cell r="H545">
            <v>0</v>
          </cell>
        </row>
        <row r="546">
          <cell r="H546">
            <v>0</v>
          </cell>
        </row>
        <row r="547">
          <cell r="H547">
            <v>0</v>
          </cell>
        </row>
        <row r="548">
          <cell r="H548">
            <v>0</v>
          </cell>
        </row>
        <row r="549">
          <cell r="H549">
            <v>50</v>
          </cell>
        </row>
        <row r="550">
          <cell r="H550">
            <v>50</v>
          </cell>
        </row>
        <row r="551">
          <cell r="H551">
            <v>50</v>
          </cell>
        </row>
        <row r="552">
          <cell r="H552">
            <v>50</v>
          </cell>
        </row>
        <row r="553">
          <cell r="H553">
            <v>50</v>
          </cell>
        </row>
        <row r="554">
          <cell r="H554">
            <v>50</v>
          </cell>
        </row>
        <row r="555">
          <cell r="H555">
            <v>50</v>
          </cell>
        </row>
        <row r="556">
          <cell r="H556">
            <v>50</v>
          </cell>
        </row>
        <row r="557">
          <cell r="H557">
            <v>0</v>
          </cell>
        </row>
        <row r="558">
          <cell r="H558">
            <v>0</v>
          </cell>
        </row>
        <row r="559">
          <cell r="H559">
            <v>0</v>
          </cell>
        </row>
        <row r="560">
          <cell r="H560">
            <v>0</v>
          </cell>
        </row>
        <row r="561">
          <cell r="H561">
            <v>50</v>
          </cell>
        </row>
        <row r="562">
          <cell r="H562">
            <v>50</v>
          </cell>
        </row>
        <row r="563">
          <cell r="H563">
            <v>50</v>
          </cell>
        </row>
        <row r="564">
          <cell r="H564">
            <v>50</v>
          </cell>
        </row>
        <row r="565">
          <cell r="H565">
            <v>50</v>
          </cell>
        </row>
        <row r="566">
          <cell r="H566">
            <v>50</v>
          </cell>
        </row>
        <row r="567">
          <cell r="H567">
            <v>50</v>
          </cell>
        </row>
        <row r="568">
          <cell r="H568">
            <v>50</v>
          </cell>
        </row>
        <row r="569">
          <cell r="H569">
            <v>0</v>
          </cell>
        </row>
        <row r="570">
          <cell r="H570">
            <v>0</v>
          </cell>
        </row>
        <row r="571">
          <cell r="H571">
            <v>0</v>
          </cell>
        </row>
        <row r="572">
          <cell r="H572">
            <v>0</v>
          </cell>
        </row>
        <row r="573">
          <cell r="H573">
            <v>50</v>
          </cell>
        </row>
        <row r="574">
          <cell r="H574">
            <v>50</v>
          </cell>
        </row>
        <row r="575">
          <cell r="H575">
            <v>50</v>
          </cell>
        </row>
        <row r="576">
          <cell r="H576">
            <v>50</v>
          </cell>
        </row>
        <row r="577">
          <cell r="H577">
            <v>50</v>
          </cell>
        </row>
        <row r="578">
          <cell r="H578">
            <v>50</v>
          </cell>
        </row>
        <row r="579">
          <cell r="H579">
            <v>50</v>
          </cell>
        </row>
        <row r="580">
          <cell r="H580">
            <v>50</v>
          </cell>
        </row>
        <row r="581">
          <cell r="H581">
            <v>0</v>
          </cell>
        </row>
        <row r="582">
          <cell r="H582">
            <v>0</v>
          </cell>
        </row>
        <row r="583">
          <cell r="H583">
            <v>0</v>
          </cell>
        </row>
        <row r="584">
          <cell r="H584">
            <v>0</v>
          </cell>
        </row>
        <row r="585">
          <cell r="H585">
            <v>50</v>
          </cell>
        </row>
        <row r="586">
          <cell r="H586">
            <v>50</v>
          </cell>
        </row>
        <row r="587">
          <cell r="H587">
            <v>50</v>
          </cell>
        </row>
        <row r="588">
          <cell r="H588">
            <v>50</v>
          </cell>
        </row>
        <row r="589">
          <cell r="H589">
            <v>50</v>
          </cell>
        </row>
        <row r="590">
          <cell r="H590">
            <v>50</v>
          </cell>
        </row>
        <row r="591">
          <cell r="H591">
            <v>50</v>
          </cell>
        </row>
        <row r="592">
          <cell r="H592">
            <v>50</v>
          </cell>
        </row>
        <row r="593">
          <cell r="H593">
            <v>0</v>
          </cell>
        </row>
        <row r="594">
          <cell r="H594">
            <v>0</v>
          </cell>
        </row>
        <row r="595">
          <cell r="H595">
            <v>0</v>
          </cell>
        </row>
        <row r="596">
          <cell r="H596">
            <v>0</v>
          </cell>
        </row>
        <row r="597">
          <cell r="H597">
            <v>50</v>
          </cell>
        </row>
        <row r="598">
          <cell r="H598">
            <v>50</v>
          </cell>
        </row>
        <row r="599">
          <cell r="H599">
            <v>50</v>
          </cell>
        </row>
        <row r="600">
          <cell r="H600">
            <v>50</v>
          </cell>
        </row>
        <row r="601">
          <cell r="H601">
            <v>50</v>
          </cell>
        </row>
        <row r="602">
          <cell r="H602">
            <v>50</v>
          </cell>
        </row>
        <row r="603">
          <cell r="H603">
            <v>50</v>
          </cell>
        </row>
        <row r="604">
          <cell r="H604">
            <v>50</v>
          </cell>
        </row>
        <row r="605">
          <cell r="H605">
            <v>0</v>
          </cell>
        </row>
        <row r="606">
          <cell r="H606">
            <v>0</v>
          </cell>
        </row>
        <row r="607">
          <cell r="H607">
            <v>0</v>
          </cell>
        </row>
        <row r="608">
          <cell r="H608">
            <v>0</v>
          </cell>
        </row>
        <row r="609">
          <cell r="H609">
            <v>50</v>
          </cell>
        </row>
        <row r="610">
          <cell r="H610">
            <v>50</v>
          </cell>
        </row>
        <row r="611">
          <cell r="H611">
            <v>50</v>
          </cell>
        </row>
        <row r="612">
          <cell r="H612">
            <v>50</v>
          </cell>
        </row>
        <row r="613">
          <cell r="H613">
            <v>50</v>
          </cell>
        </row>
        <row r="614">
          <cell r="H614">
            <v>50</v>
          </cell>
        </row>
        <row r="615">
          <cell r="H615">
            <v>50</v>
          </cell>
        </row>
        <row r="616">
          <cell r="H616">
            <v>50</v>
          </cell>
        </row>
        <row r="617">
          <cell r="H617">
            <v>0</v>
          </cell>
        </row>
        <row r="618">
          <cell r="H618">
            <v>0</v>
          </cell>
        </row>
        <row r="619">
          <cell r="H619">
            <v>0</v>
          </cell>
        </row>
        <row r="620">
          <cell r="H620">
            <v>0</v>
          </cell>
        </row>
        <row r="621">
          <cell r="H621">
            <v>50</v>
          </cell>
        </row>
        <row r="622">
          <cell r="H622">
            <v>50</v>
          </cell>
        </row>
        <row r="623">
          <cell r="H623">
            <v>50</v>
          </cell>
        </row>
        <row r="624">
          <cell r="H624">
            <v>50</v>
          </cell>
        </row>
        <row r="625">
          <cell r="H625">
            <v>50</v>
          </cell>
        </row>
        <row r="626">
          <cell r="H626">
            <v>50</v>
          </cell>
        </row>
        <row r="627">
          <cell r="H627">
            <v>50</v>
          </cell>
        </row>
        <row r="628">
          <cell r="H628">
            <v>50</v>
          </cell>
        </row>
        <row r="629">
          <cell r="H629">
            <v>0</v>
          </cell>
        </row>
        <row r="630">
          <cell r="H630">
            <v>0</v>
          </cell>
        </row>
        <row r="631">
          <cell r="H631">
            <v>0</v>
          </cell>
        </row>
        <row r="632">
          <cell r="H632">
            <v>0</v>
          </cell>
        </row>
        <row r="633">
          <cell r="H633">
            <v>50</v>
          </cell>
        </row>
        <row r="634">
          <cell r="H634">
            <v>50</v>
          </cell>
        </row>
        <row r="635">
          <cell r="H635">
            <v>50</v>
          </cell>
        </row>
        <row r="636">
          <cell r="H636">
            <v>50</v>
          </cell>
        </row>
        <row r="637">
          <cell r="H637">
            <v>50</v>
          </cell>
        </row>
        <row r="638">
          <cell r="H638">
            <v>50</v>
          </cell>
        </row>
        <row r="639">
          <cell r="H639">
            <v>50</v>
          </cell>
        </row>
        <row r="640">
          <cell r="H640">
            <v>50</v>
          </cell>
        </row>
        <row r="641">
          <cell r="H641">
            <v>0</v>
          </cell>
        </row>
        <row r="642">
          <cell r="H642">
            <v>0</v>
          </cell>
        </row>
        <row r="643">
          <cell r="H643">
            <v>0</v>
          </cell>
        </row>
        <row r="644">
          <cell r="H644">
            <v>0</v>
          </cell>
        </row>
        <row r="645">
          <cell r="H645">
            <v>50</v>
          </cell>
        </row>
        <row r="646">
          <cell r="H646">
            <v>50</v>
          </cell>
        </row>
        <row r="647">
          <cell r="H647">
            <v>50</v>
          </cell>
        </row>
        <row r="648">
          <cell r="H648">
            <v>50</v>
          </cell>
        </row>
        <row r="649">
          <cell r="H649">
            <v>50</v>
          </cell>
        </row>
        <row r="650">
          <cell r="H650">
            <v>50</v>
          </cell>
        </row>
        <row r="651">
          <cell r="H651">
            <v>50</v>
          </cell>
        </row>
        <row r="652">
          <cell r="H652">
            <v>50</v>
          </cell>
        </row>
        <row r="653">
          <cell r="H653">
            <v>0</v>
          </cell>
        </row>
        <row r="654">
          <cell r="H654">
            <v>0</v>
          </cell>
        </row>
        <row r="655">
          <cell r="H655">
            <v>0</v>
          </cell>
        </row>
        <row r="656">
          <cell r="H656">
            <v>0</v>
          </cell>
        </row>
        <row r="657">
          <cell r="H657">
            <v>50</v>
          </cell>
        </row>
        <row r="658">
          <cell r="H658">
            <v>50</v>
          </cell>
        </row>
        <row r="659">
          <cell r="H659">
            <v>50</v>
          </cell>
        </row>
        <row r="660">
          <cell r="H660">
            <v>50</v>
          </cell>
        </row>
        <row r="661">
          <cell r="H661">
            <v>50</v>
          </cell>
        </row>
        <row r="662">
          <cell r="H662">
            <v>50</v>
          </cell>
        </row>
        <row r="663">
          <cell r="H663">
            <v>50</v>
          </cell>
        </row>
        <row r="664">
          <cell r="H664">
            <v>50</v>
          </cell>
        </row>
        <row r="665">
          <cell r="H665">
            <v>0</v>
          </cell>
        </row>
        <row r="666">
          <cell r="H666">
            <v>0</v>
          </cell>
        </row>
        <row r="667">
          <cell r="H667">
            <v>0</v>
          </cell>
        </row>
        <row r="668">
          <cell r="H668">
            <v>0</v>
          </cell>
        </row>
        <row r="669">
          <cell r="H669">
            <v>50</v>
          </cell>
        </row>
        <row r="670">
          <cell r="H670">
            <v>50</v>
          </cell>
        </row>
        <row r="671">
          <cell r="H671">
            <v>50</v>
          </cell>
        </row>
        <row r="672">
          <cell r="H672">
            <v>50</v>
          </cell>
        </row>
        <row r="673">
          <cell r="H673">
            <v>50</v>
          </cell>
        </row>
        <row r="674">
          <cell r="H674">
            <v>50</v>
          </cell>
        </row>
        <row r="675">
          <cell r="H675">
            <v>50</v>
          </cell>
        </row>
        <row r="676">
          <cell r="H676">
            <v>50</v>
          </cell>
        </row>
        <row r="677">
          <cell r="H677">
            <v>0</v>
          </cell>
        </row>
        <row r="678">
          <cell r="H678">
            <v>0</v>
          </cell>
        </row>
        <row r="679">
          <cell r="H679">
            <v>0</v>
          </cell>
        </row>
        <row r="680">
          <cell r="H680">
            <v>0</v>
          </cell>
        </row>
        <row r="681">
          <cell r="H681">
            <v>50</v>
          </cell>
        </row>
        <row r="682">
          <cell r="H682">
            <v>50</v>
          </cell>
        </row>
        <row r="683">
          <cell r="H683">
            <v>50</v>
          </cell>
        </row>
        <row r="684">
          <cell r="H684">
            <v>50</v>
          </cell>
        </row>
        <row r="685">
          <cell r="H685">
            <v>50</v>
          </cell>
        </row>
        <row r="686">
          <cell r="H686">
            <v>50</v>
          </cell>
        </row>
        <row r="687">
          <cell r="H687">
            <v>50</v>
          </cell>
        </row>
        <row r="688">
          <cell r="H688">
            <v>50</v>
          </cell>
        </row>
        <row r="689">
          <cell r="H689">
            <v>0</v>
          </cell>
        </row>
        <row r="690">
          <cell r="H690">
            <v>0</v>
          </cell>
        </row>
        <row r="691">
          <cell r="H691">
            <v>0</v>
          </cell>
        </row>
        <row r="692">
          <cell r="H692">
            <v>0</v>
          </cell>
        </row>
        <row r="693">
          <cell r="H693">
            <v>50</v>
          </cell>
        </row>
        <row r="694">
          <cell r="H694">
            <v>50</v>
          </cell>
        </row>
        <row r="695">
          <cell r="H695">
            <v>50</v>
          </cell>
        </row>
        <row r="696">
          <cell r="H696">
            <v>50</v>
          </cell>
        </row>
        <row r="697">
          <cell r="H697">
            <v>50</v>
          </cell>
        </row>
        <row r="698">
          <cell r="H698">
            <v>50</v>
          </cell>
        </row>
        <row r="699">
          <cell r="H699">
            <v>50</v>
          </cell>
        </row>
        <row r="700">
          <cell r="H700">
            <v>50</v>
          </cell>
        </row>
        <row r="701">
          <cell r="H701">
            <v>0</v>
          </cell>
        </row>
        <row r="702">
          <cell r="H702">
            <v>0</v>
          </cell>
        </row>
        <row r="703">
          <cell r="H703">
            <v>0</v>
          </cell>
        </row>
        <row r="704">
          <cell r="H704">
            <v>0</v>
          </cell>
        </row>
        <row r="705">
          <cell r="H705">
            <v>50</v>
          </cell>
        </row>
        <row r="706">
          <cell r="H706">
            <v>50</v>
          </cell>
        </row>
        <row r="707">
          <cell r="H707">
            <v>50</v>
          </cell>
        </row>
        <row r="708">
          <cell r="H708">
            <v>50</v>
          </cell>
        </row>
        <row r="709">
          <cell r="H709">
            <v>50</v>
          </cell>
        </row>
        <row r="710">
          <cell r="H710">
            <v>50</v>
          </cell>
        </row>
        <row r="711">
          <cell r="H711">
            <v>50</v>
          </cell>
        </row>
        <row r="712">
          <cell r="H712">
            <v>50</v>
          </cell>
        </row>
        <row r="713">
          <cell r="H713">
            <v>0</v>
          </cell>
        </row>
        <row r="714">
          <cell r="H714">
            <v>0</v>
          </cell>
        </row>
        <row r="715">
          <cell r="H715">
            <v>0</v>
          </cell>
        </row>
        <row r="716">
          <cell r="H716">
            <v>0</v>
          </cell>
        </row>
        <row r="717">
          <cell r="H717">
            <v>50</v>
          </cell>
        </row>
        <row r="718">
          <cell r="H718">
            <v>50</v>
          </cell>
        </row>
        <row r="719">
          <cell r="H719">
            <v>50</v>
          </cell>
        </row>
        <row r="720">
          <cell r="H720">
            <v>50</v>
          </cell>
        </row>
        <row r="721">
          <cell r="H721">
            <v>50</v>
          </cell>
        </row>
        <row r="722">
          <cell r="H722">
            <v>50</v>
          </cell>
        </row>
        <row r="723">
          <cell r="H723">
            <v>50</v>
          </cell>
        </row>
        <row r="724">
          <cell r="H724">
            <v>50</v>
          </cell>
        </row>
        <row r="725">
          <cell r="H725">
            <v>0</v>
          </cell>
        </row>
        <row r="726">
          <cell r="H726">
            <v>0</v>
          </cell>
        </row>
        <row r="727">
          <cell r="H727">
            <v>0</v>
          </cell>
        </row>
        <row r="728">
          <cell r="H728">
            <v>0</v>
          </cell>
        </row>
        <row r="729">
          <cell r="H729">
            <v>50</v>
          </cell>
        </row>
        <row r="730">
          <cell r="H730">
            <v>50</v>
          </cell>
        </row>
        <row r="731">
          <cell r="H731">
            <v>50</v>
          </cell>
        </row>
        <row r="732">
          <cell r="H732">
            <v>50</v>
          </cell>
        </row>
        <row r="733">
          <cell r="H733">
            <v>50</v>
          </cell>
        </row>
        <row r="734">
          <cell r="H734">
            <v>50</v>
          </cell>
        </row>
        <row r="735">
          <cell r="H735">
            <v>50</v>
          </cell>
        </row>
        <row r="736">
          <cell r="H736">
            <v>50</v>
          </cell>
        </row>
        <row r="737">
          <cell r="H737">
            <v>0</v>
          </cell>
        </row>
        <row r="738">
          <cell r="H738">
            <v>0</v>
          </cell>
        </row>
        <row r="739">
          <cell r="H739">
            <v>0</v>
          </cell>
        </row>
        <row r="740">
          <cell r="H740">
            <v>0</v>
          </cell>
        </row>
        <row r="741">
          <cell r="H741">
            <v>50</v>
          </cell>
        </row>
        <row r="742">
          <cell r="H742">
            <v>50</v>
          </cell>
        </row>
        <row r="743">
          <cell r="H743">
            <v>50</v>
          </cell>
        </row>
        <row r="744">
          <cell r="H744">
            <v>50</v>
          </cell>
        </row>
        <row r="745">
          <cell r="H745">
            <v>50</v>
          </cell>
        </row>
        <row r="746">
          <cell r="H746">
            <v>50</v>
          </cell>
        </row>
        <row r="747">
          <cell r="H747">
            <v>50</v>
          </cell>
        </row>
        <row r="748">
          <cell r="H748">
            <v>50</v>
          </cell>
        </row>
        <row r="749">
          <cell r="H749">
            <v>0</v>
          </cell>
        </row>
        <row r="750">
          <cell r="H750">
            <v>0</v>
          </cell>
        </row>
        <row r="751">
          <cell r="H751">
            <v>0</v>
          </cell>
        </row>
        <row r="752">
          <cell r="H752">
            <v>0</v>
          </cell>
        </row>
        <row r="753">
          <cell r="H753">
            <v>50</v>
          </cell>
        </row>
        <row r="754">
          <cell r="H754">
            <v>50</v>
          </cell>
        </row>
        <row r="755">
          <cell r="H755">
            <v>50</v>
          </cell>
        </row>
        <row r="756">
          <cell r="H756">
            <v>50</v>
          </cell>
        </row>
        <row r="757">
          <cell r="H757">
            <v>50</v>
          </cell>
        </row>
        <row r="758">
          <cell r="H758">
            <v>50</v>
          </cell>
        </row>
        <row r="759">
          <cell r="H759">
            <v>50</v>
          </cell>
        </row>
        <row r="760">
          <cell r="H760">
            <v>50</v>
          </cell>
        </row>
        <row r="761">
          <cell r="H761">
            <v>0</v>
          </cell>
        </row>
        <row r="762">
          <cell r="H762">
            <v>0</v>
          </cell>
        </row>
        <row r="763">
          <cell r="H763">
            <v>0</v>
          </cell>
        </row>
        <row r="764">
          <cell r="H764">
            <v>0</v>
          </cell>
        </row>
        <row r="765">
          <cell r="H765">
            <v>50</v>
          </cell>
        </row>
        <row r="766">
          <cell r="H766">
            <v>50</v>
          </cell>
        </row>
        <row r="767">
          <cell r="H767">
            <v>50</v>
          </cell>
        </row>
        <row r="768">
          <cell r="H768">
            <v>50</v>
          </cell>
        </row>
        <row r="769">
          <cell r="H769">
            <v>50</v>
          </cell>
        </row>
        <row r="770">
          <cell r="H770">
            <v>50</v>
          </cell>
        </row>
        <row r="771">
          <cell r="H771">
            <v>50</v>
          </cell>
        </row>
        <row r="772">
          <cell r="H772">
            <v>50</v>
          </cell>
        </row>
        <row r="773">
          <cell r="H773">
            <v>0</v>
          </cell>
        </row>
        <row r="774">
          <cell r="H774">
            <v>0</v>
          </cell>
        </row>
        <row r="775">
          <cell r="H775">
            <v>0</v>
          </cell>
        </row>
        <row r="776">
          <cell r="H776">
            <v>0</v>
          </cell>
        </row>
        <row r="777">
          <cell r="H777">
            <v>50</v>
          </cell>
        </row>
        <row r="778">
          <cell r="H778">
            <v>50</v>
          </cell>
        </row>
        <row r="779">
          <cell r="H779">
            <v>50</v>
          </cell>
        </row>
        <row r="780">
          <cell r="H780">
            <v>50</v>
          </cell>
        </row>
        <row r="781">
          <cell r="H781">
            <v>50</v>
          </cell>
        </row>
        <row r="782">
          <cell r="H782">
            <v>50</v>
          </cell>
        </row>
        <row r="783">
          <cell r="H783">
            <v>50</v>
          </cell>
        </row>
        <row r="784">
          <cell r="H784">
            <v>50</v>
          </cell>
        </row>
        <row r="785">
          <cell r="H785">
            <v>0</v>
          </cell>
        </row>
        <row r="786">
          <cell r="H786">
            <v>0</v>
          </cell>
        </row>
        <row r="787">
          <cell r="H787">
            <v>0</v>
          </cell>
        </row>
        <row r="788">
          <cell r="H788">
            <v>0</v>
          </cell>
        </row>
        <row r="789">
          <cell r="H789">
            <v>50</v>
          </cell>
        </row>
        <row r="790">
          <cell r="H790">
            <v>50</v>
          </cell>
        </row>
        <row r="791">
          <cell r="H791">
            <v>50</v>
          </cell>
        </row>
        <row r="792">
          <cell r="H792">
            <v>50</v>
          </cell>
        </row>
        <row r="793">
          <cell r="H793">
            <v>50</v>
          </cell>
        </row>
        <row r="794">
          <cell r="H794">
            <v>50</v>
          </cell>
        </row>
        <row r="795">
          <cell r="H795">
            <v>50</v>
          </cell>
        </row>
        <row r="796">
          <cell r="H796">
            <v>50</v>
          </cell>
        </row>
        <row r="797">
          <cell r="H797">
            <v>0</v>
          </cell>
        </row>
        <row r="798">
          <cell r="H798">
            <v>0</v>
          </cell>
        </row>
        <row r="799">
          <cell r="H799">
            <v>0</v>
          </cell>
        </row>
        <row r="800">
          <cell r="H800">
            <v>0</v>
          </cell>
        </row>
        <row r="801">
          <cell r="H801">
            <v>50</v>
          </cell>
        </row>
        <row r="802">
          <cell r="H802">
            <v>50</v>
          </cell>
        </row>
        <row r="803">
          <cell r="H803">
            <v>50</v>
          </cell>
        </row>
        <row r="804">
          <cell r="H804">
            <v>50</v>
          </cell>
        </row>
        <row r="805">
          <cell r="H805">
            <v>50</v>
          </cell>
        </row>
        <row r="806">
          <cell r="H806">
            <v>50</v>
          </cell>
        </row>
        <row r="807">
          <cell r="H807">
            <v>50</v>
          </cell>
        </row>
        <row r="808">
          <cell r="H808">
            <v>50</v>
          </cell>
        </row>
        <row r="809">
          <cell r="H809">
            <v>0</v>
          </cell>
        </row>
        <row r="810">
          <cell r="H810">
            <v>0</v>
          </cell>
        </row>
        <row r="811">
          <cell r="H811">
            <v>0</v>
          </cell>
        </row>
        <row r="812">
          <cell r="H812">
            <v>0</v>
          </cell>
        </row>
        <row r="813">
          <cell r="H813">
            <v>50</v>
          </cell>
        </row>
        <row r="814">
          <cell r="H814">
            <v>50</v>
          </cell>
        </row>
        <row r="815">
          <cell r="H815">
            <v>50</v>
          </cell>
        </row>
        <row r="816">
          <cell r="H816">
            <v>50</v>
          </cell>
        </row>
        <row r="817">
          <cell r="H817">
            <v>50</v>
          </cell>
        </row>
        <row r="818">
          <cell r="H818">
            <v>50</v>
          </cell>
        </row>
        <row r="819">
          <cell r="H819">
            <v>50</v>
          </cell>
        </row>
        <row r="820">
          <cell r="H820">
            <v>50</v>
          </cell>
        </row>
        <row r="821">
          <cell r="H821">
            <v>0</v>
          </cell>
        </row>
        <row r="822">
          <cell r="H822">
            <v>0</v>
          </cell>
        </row>
        <row r="823">
          <cell r="H823">
            <v>0</v>
          </cell>
        </row>
        <row r="824">
          <cell r="H824">
            <v>0</v>
          </cell>
        </row>
        <row r="825">
          <cell r="H825">
            <v>50</v>
          </cell>
        </row>
        <row r="826">
          <cell r="H826">
            <v>50</v>
          </cell>
        </row>
        <row r="827">
          <cell r="H827">
            <v>50</v>
          </cell>
        </row>
        <row r="828">
          <cell r="H828">
            <v>50</v>
          </cell>
        </row>
        <row r="829">
          <cell r="H829">
            <v>50</v>
          </cell>
        </row>
        <row r="830">
          <cell r="H830">
            <v>50</v>
          </cell>
        </row>
        <row r="831">
          <cell r="H831">
            <v>50</v>
          </cell>
        </row>
        <row r="832">
          <cell r="H832">
            <v>50</v>
          </cell>
        </row>
        <row r="833">
          <cell r="H833">
            <v>0</v>
          </cell>
        </row>
        <row r="834">
          <cell r="H834">
            <v>0</v>
          </cell>
        </row>
        <row r="835">
          <cell r="H835">
            <v>0</v>
          </cell>
        </row>
        <row r="836">
          <cell r="H836">
            <v>0</v>
          </cell>
        </row>
        <row r="837">
          <cell r="H837">
            <v>50</v>
          </cell>
        </row>
        <row r="838">
          <cell r="H838">
            <v>50</v>
          </cell>
        </row>
        <row r="839">
          <cell r="H839">
            <v>50</v>
          </cell>
        </row>
        <row r="840">
          <cell r="H840">
            <v>50</v>
          </cell>
        </row>
        <row r="841">
          <cell r="H841">
            <v>50</v>
          </cell>
        </row>
        <row r="842">
          <cell r="H842">
            <v>50</v>
          </cell>
        </row>
        <row r="843">
          <cell r="H843">
            <v>50</v>
          </cell>
        </row>
        <row r="844">
          <cell r="H844">
            <v>50</v>
          </cell>
        </row>
        <row r="845">
          <cell r="H845">
            <v>0</v>
          </cell>
        </row>
        <row r="846">
          <cell r="H846">
            <v>0</v>
          </cell>
        </row>
        <row r="847">
          <cell r="H847">
            <v>0</v>
          </cell>
        </row>
        <row r="848">
          <cell r="H848">
            <v>0</v>
          </cell>
        </row>
        <row r="849">
          <cell r="H849">
            <v>50</v>
          </cell>
        </row>
        <row r="850">
          <cell r="H850">
            <v>50</v>
          </cell>
        </row>
        <row r="851">
          <cell r="H851">
            <v>50</v>
          </cell>
        </row>
        <row r="852">
          <cell r="H852">
            <v>50</v>
          </cell>
        </row>
        <row r="853">
          <cell r="H853">
            <v>50</v>
          </cell>
        </row>
        <row r="854">
          <cell r="H854">
            <v>50</v>
          </cell>
        </row>
        <row r="855">
          <cell r="H855">
            <v>50</v>
          </cell>
        </row>
        <row r="856">
          <cell r="H856">
            <v>50</v>
          </cell>
        </row>
        <row r="857">
          <cell r="H857">
            <v>0</v>
          </cell>
        </row>
        <row r="858">
          <cell r="H858">
            <v>0</v>
          </cell>
        </row>
        <row r="859">
          <cell r="H859">
            <v>0</v>
          </cell>
        </row>
        <row r="860">
          <cell r="H860">
            <v>0</v>
          </cell>
        </row>
        <row r="861">
          <cell r="H861">
            <v>50</v>
          </cell>
        </row>
        <row r="862">
          <cell r="H862">
            <v>50</v>
          </cell>
        </row>
        <row r="863">
          <cell r="H863">
            <v>50</v>
          </cell>
        </row>
        <row r="864">
          <cell r="H864">
            <v>50</v>
          </cell>
        </row>
        <row r="865">
          <cell r="H865">
            <v>50</v>
          </cell>
        </row>
        <row r="866">
          <cell r="H866">
            <v>50</v>
          </cell>
        </row>
        <row r="867">
          <cell r="H867">
            <v>50</v>
          </cell>
        </row>
        <row r="868">
          <cell r="H868">
            <v>50</v>
          </cell>
        </row>
        <row r="869">
          <cell r="H869">
            <v>0</v>
          </cell>
        </row>
        <row r="870">
          <cell r="H870">
            <v>0</v>
          </cell>
        </row>
        <row r="871">
          <cell r="H871">
            <v>0</v>
          </cell>
        </row>
        <row r="872">
          <cell r="H872">
            <v>0</v>
          </cell>
        </row>
        <row r="873">
          <cell r="H873">
            <v>50</v>
          </cell>
        </row>
        <row r="874">
          <cell r="H874">
            <v>50</v>
          </cell>
        </row>
        <row r="875">
          <cell r="H875">
            <v>50</v>
          </cell>
        </row>
        <row r="876">
          <cell r="H876">
            <v>50</v>
          </cell>
        </row>
        <row r="877">
          <cell r="H877">
            <v>50</v>
          </cell>
        </row>
        <row r="878">
          <cell r="H878">
            <v>50</v>
          </cell>
        </row>
        <row r="879">
          <cell r="H879">
            <v>50</v>
          </cell>
        </row>
        <row r="880">
          <cell r="H880">
            <v>50</v>
          </cell>
        </row>
        <row r="881">
          <cell r="H881">
            <v>0</v>
          </cell>
        </row>
        <row r="882">
          <cell r="H882">
            <v>0</v>
          </cell>
        </row>
        <row r="883">
          <cell r="H883">
            <v>0</v>
          </cell>
        </row>
        <row r="884">
          <cell r="H884">
            <v>0</v>
          </cell>
        </row>
        <row r="885">
          <cell r="H885">
            <v>50</v>
          </cell>
        </row>
        <row r="886">
          <cell r="H886">
            <v>50</v>
          </cell>
        </row>
        <row r="887">
          <cell r="H887">
            <v>50</v>
          </cell>
        </row>
        <row r="888">
          <cell r="H888">
            <v>50</v>
          </cell>
        </row>
        <row r="889">
          <cell r="H889">
            <v>50</v>
          </cell>
        </row>
        <row r="890">
          <cell r="H890">
            <v>50</v>
          </cell>
        </row>
        <row r="891">
          <cell r="H891">
            <v>50</v>
          </cell>
        </row>
        <row r="892">
          <cell r="H892">
            <v>50</v>
          </cell>
        </row>
        <row r="893">
          <cell r="H893">
            <v>0</v>
          </cell>
        </row>
        <row r="894">
          <cell r="H894">
            <v>0</v>
          </cell>
        </row>
        <row r="895">
          <cell r="H895">
            <v>0</v>
          </cell>
        </row>
        <row r="896">
          <cell r="H896">
            <v>0</v>
          </cell>
        </row>
        <row r="897">
          <cell r="H897">
            <v>50</v>
          </cell>
        </row>
        <row r="898">
          <cell r="H898">
            <v>50</v>
          </cell>
        </row>
        <row r="899">
          <cell r="H899">
            <v>50</v>
          </cell>
        </row>
        <row r="900">
          <cell r="H900">
            <v>50</v>
          </cell>
        </row>
        <row r="901">
          <cell r="H901">
            <v>50</v>
          </cell>
        </row>
        <row r="902">
          <cell r="H902">
            <v>50</v>
          </cell>
        </row>
        <row r="903">
          <cell r="H903">
            <v>50</v>
          </cell>
        </row>
        <row r="904">
          <cell r="H904">
            <v>50</v>
          </cell>
        </row>
        <row r="905">
          <cell r="H905">
            <v>0</v>
          </cell>
        </row>
        <row r="906">
          <cell r="H906">
            <v>0</v>
          </cell>
        </row>
        <row r="907">
          <cell r="H907">
            <v>0</v>
          </cell>
        </row>
        <row r="908">
          <cell r="H908">
            <v>0</v>
          </cell>
        </row>
        <row r="909">
          <cell r="H909">
            <v>50</v>
          </cell>
        </row>
        <row r="910">
          <cell r="H910">
            <v>50</v>
          </cell>
        </row>
        <row r="911">
          <cell r="H911">
            <v>50</v>
          </cell>
        </row>
        <row r="912">
          <cell r="H912">
            <v>50</v>
          </cell>
        </row>
        <row r="913">
          <cell r="H913">
            <v>50</v>
          </cell>
        </row>
        <row r="914">
          <cell r="H914">
            <v>50</v>
          </cell>
        </row>
        <row r="915">
          <cell r="H915">
            <v>50</v>
          </cell>
        </row>
        <row r="916">
          <cell r="H916">
            <v>50</v>
          </cell>
        </row>
        <row r="917">
          <cell r="H917">
            <v>0</v>
          </cell>
        </row>
        <row r="918">
          <cell r="H918">
            <v>0</v>
          </cell>
        </row>
        <row r="919">
          <cell r="H919">
            <v>0</v>
          </cell>
        </row>
        <row r="920">
          <cell r="H920">
            <v>0</v>
          </cell>
        </row>
        <row r="921">
          <cell r="H921">
            <v>50</v>
          </cell>
        </row>
        <row r="922">
          <cell r="H922">
            <v>50</v>
          </cell>
        </row>
        <row r="923">
          <cell r="H923">
            <v>50</v>
          </cell>
        </row>
        <row r="924">
          <cell r="H924">
            <v>50</v>
          </cell>
        </row>
        <row r="925">
          <cell r="H925">
            <v>50</v>
          </cell>
        </row>
        <row r="926">
          <cell r="H926">
            <v>50</v>
          </cell>
        </row>
        <row r="927">
          <cell r="H927">
            <v>50</v>
          </cell>
        </row>
        <row r="928">
          <cell r="H928">
            <v>50</v>
          </cell>
        </row>
        <row r="929">
          <cell r="H929">
            <v>0</v>
          </cell>
        </row>
        <row r="930">
          <cell r="H930">
            <v>0</v>
          </cell>
        </row>
        <row r="931">
          <cell r="H931">
            <v>0</v>
          </cell>
        </row>
        <row r="932">
          <cell r="H932">
            <v>0</v>
          </cell>
        </row>
        <row r="933">
          <cell r="H933">
            <v>50</v>
          </cell>
        </row>
        <row r="934">
          <cell r="H934">
            <v>50</v>
          </cell>
        </row>
        <row r="935">
          <cell r="H935">
            <v>50</v>
          </cell>
        </row>
        <row r="936">
          <cell r="H936">
            <v>50</v>
          </cell>
        </row>
        <row r="937">
          <cell r="H937">
            <v>50</v>
          </cell>
        </row>
        <row r="938">
          <cell r="H938">
            <v>50</v>
          </cell>
        </row>
        <row r="939">
          <cell r="H939">
            <v>50</v>
          </cell>
        </row>
        <row r="940">
          <cell r="H940">
            <v>50</v>
          </cell>
        </row>
        <row r="941">
          <cell r="H941">
            <v>0</v>
          </cell>
        </row>
        <row r="942">
          <cell r="H942">
            <v>0</v>
          </cell>
        </row>
        <row r="943">
          <cell r="H943">
            <v>0</v>
          </cell>
        </row>
        <row r="944">
          <cell r="H944">
            <v>0</v>
          </cell>
        </row>
        <row r="945">
          <cell r="H945">
            <v>50</v>
          </cell>
        </row>
        <row r="946">
          <cell r="H946">
            <v>50</v>
          </cell>
        </row>
        <row r="947">
          <cell r="H947">
            <v>50</v>
          </cell>
        </row>
        <row r="948">
          <cell r="H948">
            <v>50</v>
          </cell>
        </row>
        <row r="949">
          <cell r="H949">
            <v>50</v>
          </cell>
        </row>
        <row r="950">
          <cell r="H950">
            <v>50</v>
          </cell>
        </row>
        <row r="951">
          <cell r="H951">
            <v>50</v>
          </cell>
        </row>
        <row r="952">
          <cell r="H952">
            <v>50</v>
          </cell>
        </row>
        <row r="953">
          <cell r="H953">
            <v>0</v>
          </cell>
        </row>
        <row r="954">
          <cell r="H954">
            <v>0</v>
          </cell>
        </row>
        <row r="955">
          <cell r="H955">
            <v>0</v>
          </cell>
        </row>
        <row r="956">
          <cell r="H956">
            <v>0</v>
          </cell>
        </row>
        <row r="957">
          <cell r="H957">
            <v>50</v>
          </cell>
        </row>
        <row r="958">
          <cell r="H958">
            <v>50</v>
          </cell>
        </row>
        <row r="959">
          <cell r="H959">
            <v>50</v>
          </cell>
        </row>
        <row r="960">
          <cell r="H960">
            <v>50</v>
          </cell>
        </row>
        <row r="961">
          <cell r="H961">
            <v>50</v>
          </cell>
        </row>
        <row r="962">
          <cell r="H962">
            <v>50</v>
          </cell>
        </row>
        <row r="963">
          <cell r="H963">
            <v>50</v>
          </cell>
        </row>
        <row r="964">
          <cell r="H964">
            <v>50</v>
          </cell>
        </row>
        <row r="965">
          <cell r="H965">
            <v>0</v>
          </cell>
        </row>
        <row r="966">
          <cell r="H966">
            <v>0</v>
          </cell>
        </row>
        <row r="967">
          <cell r="H967">
            <v>0</v>
          </cell>
        </row>
        <row r="968">
          <cell r="H968">
            <v>0</v>
          </cell>
        </row>
        <row r="969">
          <cell r="H969">
            <v>50</v>
          </cell>
        </row>
        <row r="970">
          <cell r="H970">
            <v>50</v>
          </cell>
        </row>
        <row r="971">
          <cell r="H971">
            <v>50</v>
          </cell>
        </row>
        <row r="972">
          <cell r="H972">
            <v>50</v>
          </cell>
        </row>
        <row r="973">
          <cell r="H973">
            <v>50</v>
          </cell>
        </row>
        <row r="974">
          <cell r="H974">
            <v>50</v>
          </cell>
        </row>
        <row r="975">
          <cell r="H975">
            <v>50</v>
          </cell>
        </row>
        <row r="976">
          <cell r="H976">
            <v>50</v>
          </cell>
        </row>
        <row r="977">
          <cell r="H977">
            <v>0</v>
          </cell>
        </row>
        <row r="978">
          <cell r="H978">
            <v>0</v>
          </cell>
        </row>
        <row r="979">
          <cell r="H979">
            <v>0</v>
          </cell>
        </row>
        <row r="980">
          <cell r="H980">
            <v>0</v>
          </cell>
        </row>
        <row r="981">
          <cell r="H981">
            <v>50</v>
          </cell>
        </row>
        <row r="982">
          <cell r="H982">
            <v>50</v>
          </cell>
        </row>
        <row r="983">
          <cell r="H983">
            <v>50</v>
          </cell>
        </row>
        <row r="984">
          <cell r="H984">
            <v>50</v>
          </cell>
        </row>
        <row r="985">
          <cell r="H985">
            <v>50</v>
          </cell>
        </row>
        <row r="986">
          <cell r="H986">
            <v>50</v>
          </cell>
        </row>
        <row r="987">
          <cell r="H987">
            <v>50</v>
          </cell>
        </row>
        <row r="988">
          <cell r="H988">
            <v>50</v>
          </cell>
        </row>
        <row r="989">
          <cell r="H989">
            <v>0</v>
          </cell>
        </row>
        <row r="990">
          <cell r="H990">
            <v>0</v>
          </cell>
        </row>
        <row r="991">
          <cell r="H991">
            <v>0</v>
          </cell>
        </row>
        <row r="992">
          <cell r="H992">
            <v>0</v>
          </cell>
        </row>
        <row r="993">
          <cell r="H993">
            <v>50</v>
          </cell>
        </row>
        <row r="994">
          <cell r="H994">
            <v>50</v>
          </cell>
        </row>
        <row r="995">
          <cell r="H995">
            <v>50</v>
          </cell>
        </row>
        <row r="996">
          <cell r="H996">
            <v>50</v>
          </cell>
        </row>
        <row r="997">
          <cell r="H997">
            <v>50</v>
          </cell>
        </row>
        <row r="998">
          <cell r="H998">
            <v>50</v>
          </cell>
        </row>
        <row r="999">
          <cell r="H999">
            <v>50</v>
          </cell>
        </row>
        <row r="1000">
          <cell r="H1000">
            <v>50</v>
          </cell>
        </row>
        <row r="1001">
          <cell r="H1001">
            <v>0</v>
          </cell>
        </row>
        <row r="1002">
          <cell r="H1002">
            <v>0</v>
          </cell>
        </row>
        <row r="1003">
          <cell r="H1003">
            <v>0</v>
          </cell>
        </row>
        <row r="1004">
          <cell r="H1004">
            <v>0</v>
          </cell>
        </row>
        <row r="1005">
          <cell r="H1005">
            <v>50</v>
          </cell>
        </row>
        <row r="1006">
          <cell r="H1006">
            <v>50</v>
          </cell>
        </row>
        <row r="1007">
          <cell r="H1007">
            <v>50</v>
          </cell>
        </row>
        <row r="1008">
          <cell r="H1008">
            <v>50</v>
          </cell>
        </row>
        <row r="1009">
          <cell r="H1009">
            <v>50</v>
          </cell>
        </row>
        <row r="1010">
          <cell r="H1010">
            <v>50</v>
          </cell>
        </row>
        <row r="1011">
          <cell r="H1011">
            <v>50</v>
          </cell>
        </row>
        <row r="1012">
          <cell r="H1012">
            <v>50</v>
          </cell>
        </row>
        <row r="1013">
          <cell r="H1013">
            <v>0</v>
          </cell>
        </row>
        <row r="1014">
          <cell r="H1014">
            <v>0</v>
          </cell>
        </row>
        <row r="1015">
          <cell r="H1015">
            <v>0</v>
          </cell>
        </row>
        <row r="1016">
          <cell r="H1016">
            <v>0</v>
          </cell>
        </row>
        <row r="1017">
          <cell r="H1017">
            <v>50</v>
          </cell>
        </row>
        <row r="1018">
          <cell r="H1018">
            <v>50</v>
          </cell>
        </row>
        <row r="1019">
          <cell r="H1019">
            <v>50</v>
          </cell>
        </row>
        <row r="1020">
          <cell r="H1020">
            <v>50</v>
          </cell>
        </row>
        <row r="1021">
          <cell r="H1021">
            <v>50</v>
          </cell>
        </row>
        <row r="1022">
          <cell r="H1022">
            <v>50</v>
          </cell>
        </row>
        <row r="1023">
          <cell r="H1023">
            <v>50</v>
          </cell>
        </row>
        <row r="1024">
          <cell r="H1024">
            <v>50</v>
          </cell>
        </row>
        <row r="1025">
          <cell r="H1025">
            <v>0</v>
          </cell>
        </row>
        <row r="1026">
          <cell r="H1026">
            <v>0</v>
          </cell>
        </row>
        <row r="1027">
          <cell r="H1027">
            <v>0</v>
          </cell>
        </row>
        <row r="1028">
          <cell r="H1028">
            <v>0</v>
          </cell>
        </row>
        <row r="1029">
          <cell r="H1029">
            <v>50</v>
          </cell>
        </row>
        <row r="1030">
          <cell r="H1030">
            <v>50</v>
          </cell>
        </row>
        <row r="1031">
          <cell r="H1031">
            <v>50</v>
          </cell>
        </row>
        <row r="1032">
          <cell r="H1032">
            <v>50</v>
          </cell>
        </row>
        <row r="1033">
          <cell r="H1033">
            <v>50</v>
          </cell>
        </row>
        <row r="1034">
          <cell r="H1034">
            <v>50</v>
          </cell>
        </row>
        <row r="1035">
          <cell r="H1035">
            <v>50</v>
          </cell>
        </row>
        <row r="1036">
          <cell r="H1036">
            <v>50</v>
          </cell>
        </row>
        <row r="1037">
          <cell r="H1037">
            <v>0</v>
          </cell>
        </row>
        <row r="1038">
          <cell r="H1038">
            <v>0</v>
          </cell>
        </row>
        <row r="1039">
          <cell r="H1039">
            <v>0</v>
          </cell>
        </row>
        <row r="1040">
          <cell r="H1040">
            <v>0</v>
          </cell>
        </row>
        <row r="1041">
          <cell r="H1041">
            <v>50</v>
          </cell>
        </row>
        <row r="1042">
          <cell r="H1042">
            <v>50</v>
          </cell>
        </row>
        <row r="1043">
          <cell r="H1043">
            <v>50</v>
          </cell>
        </row>
        <row r="1044">
          <cell r="H1044">
            <v>50</v>
          </cell>
        </row>
        <row r="1045">
          <cell r="H1045">
            <v>50</v>
          </cell>
        </row>
        <row r="1046">
          <cell r="H1046">
            <v>50</v>
          </cell>
        </row>
        <row r="1047">
          <cell r="H1047">
            <v>50</v>
          </cell>
        </row>
        <row r="1048">
          <cell r="H1048">
            <v>50</v>
          </cell>
        </row>
        <row r="1049">
          <cell r="H1049">
            <v>0</v>
          </cell>
        </row>
        <row r="1050">
          <cell r="H1050">
            <v>0</v>
          </cell>
        </row>
        <row r="1051">
          <cell r="H1051">
            <v>0</v>
          </cell>
        </row>
        <row r="1052">
          <cell r="H1052">
            <v>0</v>
          </cell>
        </row>
        <row r="1053">
          <cell r="H1053">
            <v>50</v>
          </cell>
        </row>
        <row r="1054">
          <cell r="H1054">
            <v>50</v>
          </cell>
        </row>
        <row r="1055">
          <cell r="H1055">
            <v>50</v>
          </cell>
        </row>
        <row r="1056">
          <cell r="H1056">
            <v>50</v>
          </cell>
        </row>
        <row r="1057">
          <cell r="H1057">
            <v>50</v>
          </cell>
        </row>
        <row r="1058">
          <cell r="H1058">
            <v>50</v>
          </cell>
        </row>
        <row r="1059">
          <cell r="H1059">
            <v>50</v>
          </cell>
        </row>
        <row r="1060">
          <cell r="H1060">
            <v>50</v>
          </cell>
        </row>
        <row r="1061">
          <cell r="H1061">
            <v>0</v>
          </cell>
        </row>
        <row r="1062">
          <cell r="H1062">
            <v>0</v>
          </cell>
        </row>
        <row r="1063">
          <cell r="H1063">
            <v>0</v>
          </cell>
        </row>
        <row r="1064">
          <cell r="H1064">
            <v>0</v>
          </cell>
        </row>
        <row r="1065">
          <cell r="H1065">
            <v>50</v>
          </cell>
        </row>
        <row r="1066">
          <cell r="H1066">
            <v>50</v>
          </cell>
        </row>
        <row r="1067">
          <cell r="H1067">
            <v>50</v>
          </cell>
        </row>
        <row r="1068">
          <cell r="H1068">
            <v>50</v>
          </cell>
        </row>
        <row r="1069">
          <cell r="H1069">
            <v>50</v>
          </cell>
        </row>
        <row r="1070">
          <cell r="H1070">
            <v>50</v>
          </cell>
        </row>
        <row r="1071">
          <cell r="H1071">
            <v>50</v>
          </cell>
        </row>
        <row r="1072">
          <cell r="H1072">
            <v>50</v>
          </cell>
        </row>
        <row r="1073">
          <cell r="H1073">
            <v>0</v>
          </cell>
        </row>
        <row r="1074">
          <cell r="H1074">
            <v>0</v>
          </cell>
        </row>
        <row r="1075">
          <cell r="H1075">
            <v>0</v>
          </cell>
        </row>
        <row r="1076">
          <cell r="H1076">
            <v>0</v>
          </cell>
        </row>
        <row r="1077">
          <cell r="H1077">
            <v>50</v>
          </cell>
        </row>
        <row r="1078">
          <cell r="H1078">
            <v>50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-Data"/>
      <sheetName val="Misc-Data"/>
      <sheetName val="IndexAnalysis"/>
      <sheetName val="Nat Gas Strips "/>
      <sheetName val="Module2"/>
      <sheetName val="FeedLiveData"/>
    </sheetNames>
    <sheetDataSet>
      <sheetData sheetId="0" refreshError="1">
        <row r="2">
          <cell r="A2" t="str">
            <v>INDEX PRICE LOG</v>
          </cell>
        </row>
        <row r="3">
          <cell r="C3">
            <v>11</v>
          </cell>
          <cell r="D3">
            <v>12</v>
          </cell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</v>
          </cell>
          <cell r="R3">
            <v>2</v>
          </cell>
          <cell r="S3">
            <v>3</v>
          </cell>
          <cell r="T3">
            <v>4</v>
          </cell>
          <cell r="U3">
            <v>5</v>
          </cell>
          <cell r="V3">
            <v>6</v>
          </cell>
          <cell r="W3">
            <v>7</v>
          </cell>
          <cell r="X3">
            <v>8</v>
          </cell>
          <cell r="Y3">
            <v>9</v>
          </cell>
          <cell r="Z3">
            <v>10</v>
          </cell>
          <cell r="AA3">
            <v>11</v>
          </cell>
          <cell r="AB3">
            <v>12</v>
          </cell>
          <cell r="AC3">
            <v>1</v>
          </cell>
          <cell r="AD3">
            <v>2</v>
          </cell>
          <cell r="AE3">
            <v>3</v>
          </cell>
          <cell r="AF3">
            <v>4</v>
          </cell>
          <cell r="AG3">
            <v>5</v>
          </cell>
          <cell r="AH3">
            <v>6</v>
          </cell>
          <cell r="AI3">
            <v>7</v>
          </cell>
          <cell r="AJ3">
            <v>8</v>
          </cell>
          <cell r="AK3">
            <v>9</v>
          </cell>
          <cell r="AL3">
            <v>10</v>
          </cell>
          <cell r="AM3">
            <v>11</v>
          </cell>
          <cell r="AN3">
            <v>12</v>
          </cell>
          <cell r="AO3">
            <v>1</v>
          </cell>
          <cell r="AP3">
            <v>2</v>
          </cell>
          <cell r="AQ3">
            <v>3</v>
          </cell>
          <cell r="AR3">
            <v>4</v>
          </cell>
          <cell r="AS3">
            <v>5</v>
          </cell>
          <cell r="AT3">
            <v>6</v>
          </cell>
          <cell r="AU3">
            <v>7</v>
          </cell>
          <cell r="AV3">
            <v>8</v>
          </cell>
          <cell r="AW3">
            <v>9</v>
          </cell>
          <cell r="AX3">
            <v>10</v>
          </cell>
          <cell r="AY3">
            <v>11</v>
          </cell>
          <cell r="AZ3">
            <v>12</v>
          </cell>
          <cell r="BA3">
            <v>1</v>
          </cell>
          <cell r="BB3">
            <v>2</v>
          </cell>
          <cell r="BC3">
            <v>3</v>
          </cell>
          <cell r="BD3">
            <v>4</v>
          </cell>
          <cell r="BE3">
            <v>5</v>
          </cell>
          <cell r="BF3">
            <v>6</v>
          </cell>
          <cell r="BG3">
            <v>7</v>
          </cell>
          <cell r="BH3">
            <v>8</v>
          </cell>
          <cell r="BI3">
            <v>9</v>
          </cell>
          <cell r="BJ3">
            <v>10</v>
          </cell>
          <cell r="BK3">
            <v>11</v>
          </cell>
          <cell r="BL3">
            <v>12</v>
          </cell>
          <cell r="BM3">
            <v>1</v>
          </cell>
          <cell r="BN3">
            <v>2</v>
          </cell>
          <cell r="BO3">
            <v>3</v>
          </cell>
          <cell r="BP3">
            <v>4</v>
          </cell>
          <cell r="BQ3">
            <v>5</v>
          </cell>
          <cell r="BR3">
            <v>6</v>
          </cell>
          <cell r="BS3">
            <v>7</v>
          </cell>
          <cell r="BT3">
            <v>8</v>
          </cell>
          <cell r="BU3">
            <v>9</v>
          </cell>
          <cell r="BV3">
            <v>10</v>
          </cell>
          <cell r="BW3">
            <v>11</v>
          </cell>
          <cell r="BX3">
            <v>12</v>
          </cell>
          <cell r="BY3">
            <v>1</v>
          </cell>
          <cell r="BZ3">
            <v>2</v>
          </cell>
          <cell r="CA3">
            <v>3</v>
          </cell>
          <cell r="CB3">
            <v>4</v>
          </cell>
          <cell r="CC3">
            <v>5</v>
          </cell>
          <cell r="CD3">
            <v>6</v>
          </cell>
          <cell r="CE3">
            <v>7</v>
          </cell>
          <cell r="CF3">
            <v>8</v>
          </cell>
          <cell r="CG3">
            <v>9</v>
          </cell>
        </row>
        <row r="4">
          <cell r="C4">
            <v>33909</v>
          </cell>
          <cell r="D4">
            <v>33939</v>
          </cell>
          <cell r="E4">
            <v>33970</v>
          </cell>
          <cell r="F4">
            <v>34001</v>
          </cell>
          <cell r="G4">
            <v>34029</v>
          </cell>
          <cell r="H4">
            <v>34060</v>
          </cell>
          <cell r="I4">
            <v>34090</v>
          </cell>
          <cell r="J4">
            <v>34121</v>
          </cell>
          <cell r="K4">
            <v>34151</v>
          </cell>
          <cell r="L4">
            <v>34182</v>
          </cell>
          <cell r="M4">
            <v>34213</v>
          </cell>
          <cell r="N4">
            <v>34243</v>
          </cell>
          <cell r="O4">
            <v>34274</v>
          </cell>
          <cell r="P4">
            <v>34304</v>
          </cell>
          <cell r="Q4">
            <v>34335</v>
          </cell>
          <cell r="R4">
            <v>34366</v>
          </cell>
          <cell r="S4">
            <v>34394</v>
          </cell>
          <cell r="T4">
            <v>34425</v>
          </cell>
          <cell r="U4">
            <v>34455</v>
          </cell>
          <cell r="V4">
            <v>34486</v>
          </cell>
          <cell r="W4">
            <v>34516</v>
          </cell>
          <cell r="X4">
            <v>34547</v>
          </cell>
          <cell r="Y4">
            <v>34578</v>
          </cell>
          <cell r="Z4">
            <v>34608</v>
          </cell>
          <cell r="AA4">
            <v>34639</v>
          </cell>
          <cell r="AB4">
            <v>34669</v>
          </cell>
          <cell r="AC4">
            <v>34700</v>
          </cell>
          <cell r="AD4">
            <v>34731</v>
          </cell>
          <cell r="AE4">
            <v>34759</v>
          </cell>
          <cell r="AF4">
            <v>34790</v>
          </cell>
          <cell r="AG4">
            <v>34820</v>
          </cell>
          <cell r="AH4">
            <v>34851</v>
          </cell>
          <cell r="AI4">
            <v>34881</v>
          </cell>
          <cell r="AJ4">
            <v>34912</v>
          </cell>
          <cell r="AK4">
            <v>34943</v>
          </cell>
          <cell r="AL4">
            <v>34973</v>
          </cell>
          <cell r="AM4">
            <v>35004</v>
          </cell>
          <cell r="AN4">
            <v>35034</v>
          </cell>
          <cell r="AO4">
            <v>35065</v>
          </cell>
          <cell r="AP4">
            <v>35096</v>
          </cell>
          <cell r="AQ4">
            <v>35125</v>
          </cell>
          <cell r="AR4">
            <v>35156</v>
          </cell>
          <cell r="AS4">
            <v>35186</v>
          </cell>
          <cell r="AT4">
            <v>35217</v>
          </cell>
          <cell r="AU4">
            <v>35247</v>
          </cell>
          <cell r="AV4">
            <v>35278</v>
          </cell>
          <cell r="AW4">
            <v>35309</v>
          </cell>
          <cell r="AX4">
            <v>35339</v>
          </cell>
          <cell r="AY4">
            <v>35370</v>
          </cell>
          <cell r="AZ4">
            <v>35400</v>
          </cell>
          <cell r="BA4">
            <v>35431</v>
          </cell>
          <cell r="BB4">
            <v>35462</v>
          </cell>
          <cell r="BC4">
            <v>35490</v>
          </cell>
          <cell r="BD4">
            <v>35521</v>
          </cell>
          <cell r="BE4">
            <v>35551</v>
          </cell>
          <cell r="BF4">
            <v>35582</v>
          </cell>
          <cell r="BG4">
            <v>35612</v>
          </cell>
          <cell r="BH4">
            <v>35643</v>
          </cell>
          <cell r="BI4">
            <v>35674</v>
          </cell>
          <cell r="BJ4">
            <v>35704</v>
          </cell>
          <cell r="BK4">
            <v>35735</v>
          </cell>
          <cell r="BL4">
            <v>35765</v>
          </cell>
          <cell r="BM4">
            <v>35796</v>
          </cell>
          <cell r="BN4">
            <v>35827</v>
          </cell>
          <cell r="BO4">
            <v>35855</v>
          </cell>
          <cell r="BP4">
            <v>35886</v>
          </cell>
          <cell r="BQ4">
            <v>35916</v>
          </cell>
          <cell r="BR4">
            <v>35947</v>
          </cell>
          <cell r="BS4">
            <v>35977</v>
          </cell>
          <cell r="BT4">
            <v>36008</v>
          </cell>
          <cell r="BU4">
            <v>36039</v>
          </cell>
          <cell r="BV4">
            <v>36069</v>
          </cell>
          <cell r="BW4">
            <v>36100</v>
          </cell>
          <cell r="BX4">
            <v>36130</v>
          </cell>
          <cell r="BY4">
            <v>36161</v>
          </cell>
          <cell r="BZ4">
            <v>36192</v>
          </cell>
          <cell r="CA4">
            <v>36220</v>
          </cell>
          <cell r="CB4">
            <v>36251</v>
          </cell>
          <cell r="CC4">
            <v>36281</v>
          </cell>
          <cell r="CD4">
            <v>36312</v>
          </cell>
          <cell r="CE4">
            <v>36342</v>
          </cell>
          <cell r="CF4">
            <v>36373</v>
          </cell>
          <cell r="CG4">
            <v>36404</v>
          </cell>
        </row>
        <row r="5">
          <cell r="A5" t="str">
            <v>3D</v>
          </cell>
          <cell r="B5">
            <v>2</v>
          </cell>
          <cell r="C5">
            <v>2.46</v>
          </cell>
          <cell r="D5">
            <v>2.3719999999999999</v>
          </cell>
          <cell r="E5">
            <v>2.0419999999999998</v>
          </cell>
          <cell r="F5">
            <v>1.647</v>
          </cell>
          <cell r="G5">
            <v>1.859</v>
          </cell>
          <cell r="H5">
            <v>2.1280000000000001</v>
          </cell>
          <cell r="I5">
            <v>2.706</v>
          </cell>
          <cell r="J5">
            <v>2.2519999999999998</v>
          </cell>
          <cell r="K5">
            <v>2.06633333333333</v>
          </cell>
          <cell r="L5">
            <v>2.1040000000000001</v>
          </cell>
          <cell r="M5">
            <v>2.4263333333333299</v>
          </cell>
          <cell r="N5">
            <v>2.1539999999999999</v>
          </cell>
          <cell r="O5">
            <v>2.1323333333333334</v>
          </cell>
          <cell r="P5">
            <v>2.3386666666666667</v>
          </cell>
          <cell r="Q5">
            <v>2.0653333333333332</v>
          </cell>
          <cell r="R5">
            <v>2.3416666666666668</v>
          </cell>
          <cell r="S5">
            <v>2.3826666666666667</v>
          </cell>
          <cell r="T5">
            <v>2.0550000000000002</v>
          </cell>
          <cell r="U5">
            <v>2.1156666666666668</v>
          </cell>
          <cell r="V5">
            <v>1.9039999999999999</v>
          </cell>
          <cell r="W5">
            <v>2.0226666666666668</v>
          </cell>
          <cell r="X5">
            <v>1.8333333333333333</v>
          </cell>
          <cell r="Y5">
            <v>1.5403333333333333</v>
          </cell>
          <cell r="Z5">
            <v>1.4453333333333334</v>
          </cell>
          <cell r="AA5">
            <v>1.61</v>
          </cell>
          <cell r="AB5">
            <v>1.6546666666666667</v>
          </cell>
          <cell r="AC5">
            <v>1.6013333333333333</v>
          </cell>
          <cell r="AD5">
            <v>1.41</v>
          </cell>
          <cell r="AE5">
            <v>1.4153333333333333</v>
          </cell>
          <cell r="AF5">
            <v>1.56</v>
          </cell>
          <cell r="AG5">
            <v>1.6943333333333332</v>
          </cell>
          <cell r="AH5">
            <v>1.7423333333333333</v>
          </cell>
          <cell r="AI5">
            <v>1.554</v>
          </cell>
          <cell r="AJ5">
            <v>1.429</v>
          </cell>
          <cell r="AK5">
            <v>1.57</v>
          </cell>
          <cell r="AL5">
            <v>1.6180000000000001</v>
          </cell>
          <cell r="AM5">
            <v>1.7629999999999999</v>
          </cell>
          <cell r="AN5">
            <v>2.141</v>
          </cell>
          <cell r="AO5">
            <v>3.129</v>
          </cell>
          <cell r="AP5">
            <v>2.4260000000000002</v>
          </cell>
          <cell r="AQ5">
            <v>2.6053000000000002</v>
          </cell>
          <cell r="AR5">
            <v>2.794</v>
          </cell>
          <cell r="AS5">
            <v>2.2839999999999998</v>
          </cell>
          <cell r="AT5">
            <v>2.3422999999999998</v>
          </cell>
          <cell r="AU5">
            <v>2.6343000000000001</v>
          </cell>
          <cell r="AV5">
            <v>2.3570000000000002</v>
          </cell>
          <cell r="AW5">
            <v>1.9079999999999999</v>
          </cell>
          <cell r="AX5">
            <v>1.887</v>
          </cell>
          <cell r="AY5">
            <v>2.5710000000000002</v>
          </cell>
          <cell r="AZ5">
            <v>3.6110000000000002</v>
          </cell>
          <cell r="BA5">
            <v>4.2539999999999996</v>
          </cell>
          <cell r="BB5">
            <v>2.8679999999999999</v>
          </cell>
          <cell r="BC5">
            <v>1.879</v>
          </cell>
          <cell r="BD5">
            <v>1.8460000000000001</v>
          </cell>
          <cell r="BE5">
            <v>2.0979999999999999</v>
          </cell>
          <cell r="BF5">
            <v>2.331</v>
          </cell>
          <cell r="BG5">
            <v>2.2189999999999999</v>
          </cell>
          <cell r="BH5">
            <v>2.1629999999999998</v>
          </cell>
          <cell r="BI5">
            <v>2.5059999999999998</v>
          </cell>
          <cell r="BJ5">
            <v>3.2210000000000001</v>
          </cell>
          <cell r="BK5">
            <v>3.5059999999999998</v>
          </cell>
          <cell r="BL5">
            <v>2.6819999999999999</v>
          </cell>
          <cell r="BM5">
            <v>2.2690000000000001</v>
          </cell>
          <cell r="BN5">
            <v>2.036</v>
          </cell>
          <cell r="BO5">
            <v>2.2270000000000003</v>
          </cell>
          <cell r="BP5">
            <v>2.3340000000000001</v>
          </cell>
          <cell r="BQ5">
            <v>2.2900000000000005</v>
          </cell>
          <cell r="BR5">
            <v>2.0686666666666667</v>
          </cell>
          <cell r="BS5">
            <v>2.3525999999999998</v>
          </cell>
          <cell r="BT5">
            <v>1.9530000000000001</v>
          </cell>
          <cell r="BU5">
            <v>1.754</v>
          </cell>
          <cell r="BV5">
            <v>2.13</v>
          </cell>
          <cell r="BW5">
            <v>2.1259999999999999</v>
          </cell>
          <cell r="BX5">
            <v>2.1360000000000001</v>
          </cell>
          <cell r="BY5">
            <v>1.8109999999999999</v>
          </cell>
          <cell r="BZ5">
            <v>1.746</v>
          </cell>
          <cell r="CA5">
            <v>1.6933333333333334</v>
          </cell>
          <cell r="CB5">
            <v>1.8470000000000002</v>
          </cell>
          <cell r="CC5">
            <v>2.3260000000000001</v>
          </cell>
          <cell r="CD5">
            <v>2.2010000000000001</v>
          </cell>
          <cell r="CE5">
            <v>2.2719999999999998</v>
          </cell>
          <cell r="CF5">
            <v>2.5720000000000001</v>
          </cell>
          <cell r="CG5">
            <v>2.9630000000000001</v>
          </cell>
        </row>
        <row r="6">
          <cell r="A6" t="str">
            <v>FD</v>
          </cell>
          <cell r="B6">
            <v>3</v>
          </cell>
          <cell r="C6">
            <v>2.4990000000000001</v>
          </cell>
          <cell r="D6">
            <v>2.3319999999999999</v>
          </cell>
          <cell r="E6">
            <v>2.0030000000000001</v>
          </cell>
          <cell r="F6">
            <v>1.6339999999999999</v>
          </cell>
          <cell r="G6">
            <v>1.9059999999999999</v>
          </cell>
          <cell r="H6">
            <v>2.2240000000000002</v>
          </cell>
          <cell r="I6">
            <v>2.758</v>
          </cell>
          <cell r="J6">
            <v>2.1190000000000002</v>
          </cell>
          <cell r="K6">
            <v>1.9179999999999999</v>
          </cell>
          <cell r="L6">
            <v>2.121</v>
          </cell>
          <cell r="M6">
            <v>2.4009999999999998</v>
          </cell>
          <cell r="N6">
            <v>2.0659999999999998</v>
          </cell>
          <cell r="O6">
            <v>2.1549999999999998</v>
          </cell>
          <cell r="P6">
            <v>2.3849999999999998</v>
          </cell>
          <cell r="Q6">
            <v>2.0219999999999998</v>
          </cell>
          <cell r="R6">
            <v>2.4700000000000002</v>
          </cell>
          <cell r="S6">
            <v>2.4180000000000001</v>
          </cell>
          <cell r="T6">
            <v>1.9810000000000001</v>
          </cell>
          <cell r="U6">
            <v>2.0760000000000001</v>
          </cell>
          <cell r="V6">
            <v>1.851</v>
          </cell>
          <cell r="W6">
            <v>1.966</v>
          </cell>
          <cell r="X6">
            <v>1.7889999999999999</v>
          </cell>
          <cell r="Y6">
            <v>1.484</v>
          </cell>
          <cell r="Z6">
            <v>1.4059999999999999</v>
          </cell>
          <cell r="AA6">
            <v>1.6830000000000001</v>
          </cell>
          <cell r="AB6">
            <v>1.661</v>
          </cell>
          <cell r="AC6">
            <v>1.639</v>
          </cell>
          <cell r="AD6">
            <v>1.4159999999999999</v>
          </cell>
          <cell r="AE6">
            <v>1.4279999999999999</v>
          </cell>
          <cell r="AF6">
            <v>1.5660000000000001</v>
          </cell>
          <cell r="AG6">
            <v>1.6719999999999999</v>
          </cell>
          <cell r="AH6">
            <v>1.7569999999999999</v>
          </cell>
          <cell r="AI6">
            <v>1.532</v>
          </cell>
          <cell r="AJ6">
            <v>1.385</v>
          </cell>
          <cell r="AK6">
            <v>1.575</v>
          </cell>
          <cell r="AL6">
            <v>1.6439999999999999</v>
          </cell>
          <cell r="AM6">
            <v>1.772</v>
          </cell>
          <cell r="AN6">
            <v>2.2410000000000001</v>
          </cell>
          <cell r="AO6">
            <v>3.448</v>
          </cell>
          <cell r="AP6">
            <v>2.34</v>
          </cell>
          <cell r="AQ6">
            <v>2.746</v>
          </cell>
          <cell r="AR6">
            <v>2.7789999999999999</v>
          </cell>
          <cell r="AS6">
            <v>2.2410000000000001</v>
          </cell>
          <cell r="AT6">
            <v>2.3610000000000002</v>
          </cell>
          <cell r="AU6">
            <v>2.6459999999999999</v>
          </cell>
          <cell r="AV6">
            <v>2.3220000000000001</v>
          </cell>
          <cell r="AW6">
            <v>1.853</v>
          </cell>
          <cell r="AX6">
            <v>1.8280000000000001</v>
          </cell>
          <cell r="AY6">
            <v>2.6520000000000001</v>
          </cell>
          <cell r="AZ6">
            <v>3.9009999999999998</v>
          </cell>
          <cell r="BA6">
            <v>3.9980000000000002</v>
          </cell>
          <cell r="BB6">
            <v>2.9860000000000002</v>
          </cell>
          <cell r="BC6">
            <v>1.78</v>
          </cell>
          <cell r="BD6">
            <v>1.8069999999999999</v>
          </cell>
          <cell r="BE6">
            <v>2.1219999999999999</v>
          </cell>
          <cell r="BF6">
            <v>2.3460000000000001</v>
          </cell>
          <cell r="BG6">
            <v>2.145</v>
          </cell>
          <cell r="BH6">
            <v>2.161</v>
          </cell>
          <cell r="BI6">
            <v>2.5150000000000001</v>
          </cell>
          <cell r="BJ6">
            <v>3.3460000000000001</v>
          </cell>
          <cell r="BK6">
            <v>3.266</v>
          </cell>
          <cell r="BL6">
            <v>2.577</v>
          </cell>
          <cell r="BM6">
            <v>2.3090000000000002</v>
          </cell>
          <cell r="BN6">
            <v>2.0009999999999999</v>
          </cell>
          <cell r="BO6">
            <v>2.286</v>
          </cell>
          <cell r="BP6">
            <v>2.2999999999999998</v>
          </cell>
          <cell r="BQ6">
            <v>2.262</v>
          </cell>
          <cell r="BR6">
            <v>2.0169999999999999</v>
          </cell>
          <cell r="BS6">
            <v>2.3580000000000001</v>
          </cell>
          <cell r="BT6">
            <v>1.9419999999999999</v>
          </cell>
          <cell r="BU6">
            <v>1.6719999999999999</v>
          </cell>
          <cell r="BV6">
            <v>2.0310000000000001</v>
          </cell>
          <cell r="BW6">
            <v>1.972</v>
          </cell>
          <cell r="BX6">
            <v>2.149</v>
          </cell>
          <cell r="BY6">
            <v>1.7649999999999999</v>
          </cell>
          <cell r="BZ6">
            <v>1.81</v>
          </cell>
          <cell r="CA6">
            <v>1.6659999999999999</v>
          </cell>
          <cell r="CB6">
            <v>1.8520000000000001</v>
          </cell>
          <cell r="CC6">
            <v>2.3479999999999999</v>
          </cell>
          <cell r="CD6">
            <v>2.226</v>
          </cell>
          <cell r="CE6">
            <v>2.262</v>
          </cell>
          <cell r="CF6">
            <v>2.601</v>
          </cell>
          <cell r="CG6">
            <v>2.9119999999999999</v>
          </cell>
        </row>
        <row r="7">
          <cell r="A7" t="str">
            <v>AECO-NT</v>
          </cell>
          <cell r="B7">
            <v>4</v>
          </cell>
          <cell r="C7">
            <v>1.1599999999999999</v>
          </cell>
          <cell r="D7">
            <v>1.48</v>
          </cell>
          <cell r="E7">
            <v>2.44</v>
          </cell>
          <cell r="F7">
            <v>1.46</v>
          </cell>
          <cell r="G7">
            <v>1.84</v>
          </cell>
          <cell r="H7">
            <v>1.77</v>
          </cell>
          <cell r="I7">
            <v>2.58</v>
          </cell>
          <cell r="J7">
            <v>1.35</v>
          </cell>
          <cell r="K7">
            <v>1.46</v>
          </cell>
          <cell r="L7">
            <v>1.23</v>
          </cell>
          <cell r="M7">
            <v>1.5</v>
          </cell>
          <cell r="N7">
            <v>1.39</v>
          </cell>
          <cell r="O7">
            <v>1.7927</v>
          </cell>
          <cell r="P7">
            <v>2.3016999999999999</v>
          </cell>
          <cell r="Q7">
            <v>1.9076</v>
          </cell>
          <cell r="R7">
            <v>1.6994</v>
          </cell>
          <cell r="S7">
            <v>1.9172</v>
          </cell>
          <cell r="T7">
            <v>1.5564</v>
          </cell>
          <cell r="U7">
            <v>1.5331999999999999</v>
          </cell>
          <cell r="V7">
            <v>1.4004000000000001</v>
          </cell>
          <cell r="W7">
            <v>1.4108000000000001</v>
          </cell>
          <cell r="X7">
            <v>1.3223100000000001</v>
          </cell>
          <cell r="Y7">
            <v>1.2150000000000001</v>
          </cell>
          <cell r="Z7">
            <v>1.1120000000000001</v>
          </cell>
          <cell r="AA7">
            <v>1.3184</v>
          </cell>
          <cell r="AB7">
            <v>1.3363</v>
          </cell>
          <cell r="AC7">
            <v>0.96619999999999995</v>
          </cell>
          <cell r="AD7">
            <v>0.72240000000000004</v>
          </cell>
          <cell r="AE7">
            <v>0.68799999999999994</v>
          </cell>
          <cell r="AF7">
            <v>0.76910000000000001</v>
          </cell>
          <cell r="AG7">
            <v>0.92100000000000004</v>
          </cell>
          <cell r="AH7">
            <v>0.94450000000000001</v>
          </cell>
          <cell r="AI7">
            <v>0.8347</v>
          </cell>
          <cell r="AJ7">
            <v>0.75749999999999995</v>
          </cell>
          <cell r="AK7">
            <v>0.81489999999999996</v>
          </cell>
          <cell r="AL7">
            <v>0.85150000000000003</v>
          </cell>
          <cell r="AM7">
            <v>0.94089999999999996</v>
          </cell>
          <cell r="AN7">
            <v>0.95679999999999998</v>
          </cell>
          <cell r="AO7">
            <v>1.0471999999999999</v>
          </cell>
          <cell r="AP7">
            <v>1.1489</v>
          </cell>
          <cell r="AQ7">
            <v>1.1039000000000001</v>
          </cell>
          <cell r="AR7">
            <v>1.0159</v>
          </cell>
          <cell r="AS7">
            <v>0.91900000000000004</v>
          </cell>
          <cell r="AT7">
            <v>0.82889999999999997</v>
          </cell>
          <cell r="AU7">
            <v>0.84</v>
          </cell>
          <cell r="AV7">
            <v>0.89829999999999999</v>
          </cell>
          <cell r="AW7">
            <v>0.87909999999999999</v>
          </cell>
          <cell r="AX7">
            <v>0.90549999999999997</v>
          </cell>
          <cell r="AY7">
            <v>1.1100000000000001</v>
          </cell>
          <cell r="AZ7">
            <v>1.58</v>
          </cell>
          <cell r="BA7">
            <v>1.68</v>
          </cell>
          <cell r="BC7">
            <v>1.78</v>
          </cell>
        </row>
        <row r="8">
          <cell r="A8" t="str">
            <v>ANR-LA</v>
          </cell>
          <cell r="B8">
            <v>5</v>
          </cell>
          <cell r="C8">
            <v>2.31</v>
          </cell>
          <cell r="D8">
            <v>2.2799999999999998</v>
          </cell>
          <cell r="E8">
            <v>1.9</v>
          </cell>
          <cell r="F8">
            <v>1.62</v>
          </cell>
          <cell r="G8">
            <v>1.85</v>
          </cell>
          <cell r="H8">
            <v>2.13</v>
          </cell>
          <cell r="I8">
            <v>2.7</v>
          </cell>
          <cell r="J8">
            <v>2.08</v>
          </cell>
          <cell r="K8">
            <v>1.95</v>
          </cell>
          <cell r="L8">
            <v>2.0299999999999998</v>
          </cell>
          <cell r="M8">
            <v>2.37</v>
          </cell>
          <cell r="N8">
            <v>2.06</v>
          </cell>
          <cell r="O8">
            <v>2.09</v>
          </cell>
          <cell r="P8">
            <v>2.31</v>
          </cell>
          <cell r="Q8">
            <v>2.04</v>
          </cell>
          <cell r="R8">
            <v>2.33</v>
          </cell>
          <cell r="S8">
            <v>2.3199999999999998</v>
          </cell>
          <cell r="T8">
            <v>1.93</v>
          </cell>
          <cell r="U8">
            <v>2.0099999999999998</v>
          </cell>
          <cell r="V8">
            <v>1.74</v>
          </cell>
          <cell r="W8">
            <v>1.85</v>
          </cell>
          <cell r="X8">
            <v>1.7</v>
          </cell>
          <cell r="Y8">
            <v>1.4</v>
          </cell>
          <cell r="Z8">
            <v>1.35</v>
          </cell>
          <cell r="AA8">
            <v>1.61</v>
          </cell>
          <cell r="AB8">
            <v>1.6</v>
          </cell>
          <cell r="AC8">
            <v>1.54</v>
          </cell>
          <cell r="AD8">
            <v>1.35</v>
          </cell>
          <cell r="AE8">
            <v>1.37</v>
          </cell>
          <cell r="AF8">
            <v>1.48</v>
          </cell>
          <cell r="AG8">
            <v>1.61</v>
          </cell>
          <cell r="AH8">
            <v>1.66</v>
          </cell>
          <cell r="AI8">
            <v>1.45</v>
          </cell>
          <cell r="AJ8">
            <v>1.3</v>
          </cell>
          <cell r="AK8">
            <v>1.51</v>
          </cell>
          <cell r="AL8">
            <v>1.6</v>
          </cell>
          <cell r="AM8">
            <v>1.76</v>
          </cell>
          <cell r="AN8">
            <v>2.1800000000000002</v>
          </cell>
          <cell r="AO8">
            <v>3.25</v>
          </cell>
          <cell r="AP8">
            <v>2.2999999999999998</v>
          </cell>
          <cell r="AQ8">
            <v>2.73</v>
          </cell>
          <cell r="AR8">
            <v>2.66</v>
          </cell>
          <cell r="AS8">
            <v>2.12</v>
          </cell>
          <cell r="AT8">
            <v>2.25</v>
          </cell>
          <cell r="AU8">
            <v>2.5499999999999998</v>
          </cell>
          <cell r="AV8">
            <v>2.2200000000000002</v>
          </cell>
          <cell r="AW8">
            <v>1.74</v>
          </cell>
          <cell r="AX8">
            <v>1.75</v>
          </cell>
          <cell r="AY8">
            <v>2.63</v>
          </cell>
          <cell r="AZ8">
            <v>3.74</v>
          </cell>
          <cell r="BA8">
            <v>3.85</v>
          </cell>
          <cell r="BB8">
            <v>2.81</v>
          </cell>
          <cell r="BC8">
            <v>1.78</v>
          </cell>
          <cell r="BD8">
            <v>1.75</v>
          </cell>
          <cell r="BE8">
            <v>2.06</v>
          </cell>
          <cell r="BF8">
            <v>2.2400000000000002</v>
          </cell>
          <cell r="BG8">
            <v>2.08</v>
          </cell>
          <cell r="BH8">
            <v>2.12</v>
          </cell>
          <cell r="BI8">
            <v>2.4900000000000002</v>
          </cell>
          <cell r="BJ8">
            <v>3.06</v>
          </cell>
          <cell r="BK8">
            <v>3.18</v>
          </cell>
          <cell r="BL8">
            <v>2.4300000000000002</v>
          </cell>
          <cell r="BM8">
            <v>2.17</v>
          </cell>
          <cell r="BN8">
            <v>1.91</v>
          </cell>
          <cell r="BO8">
            <v>2.1800000000000002</v>
          </cell>
          <cell r="BP8">
            <v>2.2200000000000002</v>
          </cell>
          <cell r="BQ8">
            <v>2.19</v>
          </cell>
          <cell r="BR8">
            <v>1.95</v>
          </cell>
          <cell r="BS8">
            <v>2.27</v>
          </cell>
          <cell r="BT8">
            <v>1.83</v>
          </cell>
          <cell r="BU8">
            <v>1.51</v>
          </cell>
          <cell r="BV8">
            <v>1.94</v>
          </cell>
          <cell r="BW8">
            <v>1.91</v>
          </cell>
          <cell r="BX8">
            <v>2.06</v>
          </cell>
          <cell r="BY8">
            <v>1.71</v>
          </cell>
          <cell r="BZ8">
            <v>1.75</v>
          </cell>
          <cell r="CA8">
            <v>1.58</v>
          </cell>
          <cell r="CB8">
            <v>1.83</v>
          </cell>
          <cell r="CC8">
            <v>2.2999999999999998</v>
          </cell>
          <cell r="CD8">
            <v>2.16</v>
          </cell>
          <cell r="CE8">
            <v>2.2000000000000002</v>
          </cell>
          <cell r="CF8">
            <v>2.5499999999999998</v>
          </cell>
          <cell r="CG8">
            <v>2.83</v>
          </cell>
        </row>
        <row r="9">
          <cell r="A9" t="str">
            <v>ANR-OK</v>
          </cell>
          <cell r="B9">
            <v>6</v>
          </cell>
          <cell r="C9">
            <v>2.15</v>
          </cell>
          <cell r="D9">
            <v>2.0499999999999998</v>
          </cell>
          <cell r="E9">
            <v>1.9</v>
          </cell>
          <cell r="F9">
            <v>1.6</v>
          </cell>
          <cell r="G9">
            <v>1.82</v>
          </cell>
          <cell r="H9">
            <v>2.08</v>
          </cell>
          <cell r="I9">
            <v>2.62</v>
          </cell>
          <cell r="J9">
            <v>1.95</v>
          </cell>
          <cell r="K9">
            <v>1.79</v>
          </cell>
          <cell r="L9">
            <v>1.91</v>
          </cell>
          <cell r="M9">
            <v>2.2000000000000002</v>
          </cell>
          <cell r="N9">
            <v>1.9</v>
          </cell>
          <cell r="O9">
            <v>1.9</v>
          </cell>
          <cell r="P9">
            <v>2.23</v>
          </cell>
          <cell r="Q9">
            <v>1.96</v>
          </cell>
          <cell r="R9">
            <v>2.12</v>
          </cell>
          <cell r="S9">
            <v>2.14</v>
          </cell>
          <cell r="T9">
            <v>1.81</v>
          </cell>
          <cell r="U9">
            <v>1.84</v>
          </cell>
          <cell r="V9">
            <v>1.59</v>
          </cell>
          <cell r="W9">
            <v>1.67</v>
          </cell>
          <cell r="X9">
            <v>1.57</v>
          </cell>
          <cell r="Y9">
            <v>1.4</v>
          </cell>
          <cell r="Z9">
            <v>1.3</v>
          </cell>
          <cell r="AA9">
            <v>1.51</v>
          </cell>
          <cell r="AB9">
            <v>1.6</v>
          </cell>
          <cell r="AC9">
            <v>1.51</v>
          </cell>
          <cell r="AD9">
            <v>1.27</v>
          </cell>
          <cell r="AE9">
            <v>1.26</v>
          </cell>
          <cell r="AF9">
            <v>1.34</v>
          </cell>
          <cell r="AG9">
            <v>1.45</v>
          </cell>
          <cell r="AH9">
            <v>1.46</v>
          </cell>
          <cell r="AI9">
            <v>1.25</v>
          </cell>
          <cell r="AJ9">
            <v>1.19</v>
          </cell>
          <cell r="AK9">
            <v>1.41</v>
          </cell>
          <cell r="AL9">
            <v>1.5</v>
          </cell>
          <cell r="AM9">
            <v>1.61</v>
          </cell>
          <cell r="AN9">
            <v>1.88</v>
          </cell>
          <cell r="AO9">
            <v>2.02</v>
          </cell>
          <cell r="AP9">
            <v>1.79</v>
          </cell>
          <cell r="AQ9">
            <v>1.9</v>
          </cell>
          <cell r="AR9">
            <v>2.14</v>
          </cell>
          <cell r="AS9">
            <v>2.0099999999999998</v>
          </cell>
          <cell r="AT9">
            <v>2.0499999999999998</v>
          </cell>
          <cell r="AU9">
            <v>2.1800000000000002</v>
          </cell>
          <cell r="AV9">
            <v>2.14</v>
          </cell>
          <cell r="AW9">
            <v>1.67</v>
          </cell>
          <cell r="AX9">
            <v>1.69</v>
          </cell>
          <cell r="AY9">
            <v>2.5</v>
          </cell>
          <cell r="AZ9">
            <v>3.6</v>
          </cell>
          <cell r="BA9">
            <v>4.2</v>
          </cell>
          <cell r="BB9">
            <v>2.77</v>
          </cell>
          <cell r="BC9">
            <v>1.63</v>
          </cell>
          <cell r="BD9">
            <v>1.71</v>
          </cell>
          <cell r="BE9">
            <v>1.96</v>
          </cell>
          <cell r="BF9">
            <v>2.13</v>
          </cell>
          <cell r="BG9">
            <v>2.0099999999999998</v>
          </cell>
          <cell r="BH9">
            <v>2.06</v>
          </cell>
          <cell r="BI9">
            <v>2.42</v>
          </cell>
          <cell r="BJ9">
            <v>3</v>
          </cell>
          <cell r="BK9">
            <v>3.16</v>
          </cell>
          <cell r="BL9">
            <v>2.35</v>
          </cell>
          <cell r="BM9">
            <v>2.16</v>
          </cell>
          <cell r="BN9">
            <v>1.92</v>
          </cell>
          <cell r="BO9">
            <v>2.15</v>
          </cell>
          <cell r="BP9">
            <v>2.19</v>
          </cell>
          <cell r="BQ9">
            <v>2.1800000000000002</v>
          </cell>
          <cell r="BR9">
            <v>1.95</v>
          </cell>
          <cell r="BS9">
            <v>2.27</v>
          </cell>
          <cell r="BT9">
            <v>1.84</v>
          </cell>
          <cell r="BU9">
            <v>1.56</v>
          </cell>
          <cell r="BV9">
            <v>1.92</v>
          </cell>
          <cell r="BW9">
            <v>1.96</v>
          </cell>
          <cell r="BX9">
            <v>2.06</v>
          </cell>
          <cell r="BY9">
            <v>1.78</v>
          </cell>
          <cell r="BZ9">
            <v>1.76</v>
          </cell>
          <cell r="CA9">
            <v>1.57</v>
          </cell>
          <cell r="CB9">
            <v>1.75</v>
          </cell>
          <cell r="CC9">
            <v>2.23</v>
          </cell>
          <cell r="CD9">
            <v>2.12</v>
          </cell>
          <cell r="CE9">
            <v>2.1800000000000002</v>
          </cell>
          <cell r="CF9">
            <v>2.5099999999999998</v>
          </cell>
          <cell r="CG9">
            <v>2.77</v>
          </cell>
        </row>
        <row r="10">
          <cell r="A10" t="str">
            <v>CG-APP</v>
          </cell>
          <cell r="B10">
            <v>7</v>
          </cell>
          <cell r="C10">
            <v>2.62</v>
          </cell>
          <cell r="D10">
            <v>2.7</v>
          </cell>
          <cell r="E10">
            <v>2.4300000000000002</v>
          </cell>
          <cell r="F10">
            <v>1.95</v>
          </cell>
          <cell r="G10">
            <v>2.17</v>
          </cell>
          <cell r="H10">
            <v>2.34</v>
          </cell>
          <cell r="I10">
            <v>2.93</v>
          </cell>
          <cell r="J10">
            <v>2.2999999999999998</v>
          </cell>
          <cell r="K10">
            <v>2.1</v>
          </cell>
          <cell r="L10">
            <v>2.2000000000000002</v>
          </cell>
          <cell r="M10">
            <v>2.52</v>
          </cell>
          <cell r="N10">
            <v>2.2000000000000002</v>
          </cell>
          <cell r="O10">
            <v>2.31</v>
          </cell>
          <cell r="P10">
            <v>2.63</v>
          </cell>
          <cell r="Q10">
            <v>2.2999999999999998</v>
          </cell>
          <cell r="R10">
            <v>2.68</v>
          </cell>
          <cell r="S10">
            <v>2.78</v>
          </cell>
          <cell r="T10">
            <v>2.2400000000000002</v>
          </cell>
          <cell r="U10">
            <v>2.2799999999999998</v>
          </cell>
          <cell r="V10">
            <v>1.98</v>
          </cell>
          <cell r="W10">
            <v>2.06</v>
          </cell>
          <cell r="X10">
            <v>1.88</v>
          </cell>
          <cell r="Y10">
            <v>1.56</v>
          </cell>
          <cell r="Z10">
            <v>1.51</v>
          </cell>
          <cell r="AA10">
            <v>1.84</v>
          </cell>
          <cell r="AB10">
            <v>1.93</v>
          </cell>
          <cell r="AC10">
            <v>1.88</v>
          </cell>
          <cell r="AD10">
            <v>1.64</v>
          </cell>
          <cell r="AE10">
            <v>1.6</v>
          </cell>
          <cell r="AF10">
            <v>1.67</v>
          </cell>
          <cell r="AG10">
            <v>1.81</v>
          </cell>
          <cell r="AH10">
            <v>1.84</v>
          </cell>
          <cell r="AI10">
            <v>1.6</v>
          </cell>
          <cell r="AJ10">
            <v>1.46</v>
          </cell>
          <cell r="AK10">
            <v>1.67</v>
          </cell>
          <cell r="AL10">
            <v>1.76</v>
          </cell>
          <cell r="AM10">
            <v>1.95</v>
          </cell>
          <cell r="AN10">
            <v>2.5</v>
          </cell>
          <cell r="AO10">
            <v>3.7</v>
          </cell>
          <cell r="AP10">
            <v>3.67</v>
          </cell>
          <cell r="AQ10">
            <v>4.5599999999999996</v>
          </cell>
          <cell r="AR10">
            <v>3.06</v>
          </cell>
          <cell r="AS10">
            <v>2.4300000000000002</v>
          </cell>
          <cell r="AT10">
            <v>2.5299999999999998</v>
          </cell>
          <cell r="AU10">
            <v>2.86</v>
          </cell>
          <cell r="AV10">
            <v>2.5</v>
          </cell>
          <cell r="AW10">
            <v>1.93</v>
          </cell>
          <cell r="AX10">
            <v>1.99</v>
          </cell>
          <cell r="AY10">
            <v>2.94</v>
          </cell>
          <cell r="AZ10">
            <v>4.2300000000000004</v>
          </cell>
          <cell r="BA10">
            <v>4.3</v>
          </cell>
          <cell r="BB10">
            <v>3.06</v>
          </cell>
          <cell r="BC10">
            <v>1.87</v>
          </cell>
          <cell r="BD10">
            <v>2</v>
          </cell>
          <cell r="BE10">
            <v>2.31</v>
          </cell>
          <cell r="BF10">
            <v>2.46</v>
          </cell>
          <cell r="BG10">
            <v>2.29</v>
          </cell>
          <cell r="BH10">
            <v>2.31</v>
          </cell>
          <cell r="BI10">
            <v>2.69</v>
          </cell>
          <cell r="BJ10">
            <v>3.29</v>
          </cell>
          <cell r="BK10">
            <v>3.52</v>
          </cell>
          <cell r="BL10">
            <v>2.66</v>
          </cell>
          <cell r="BM10">
            <v>2.38</v>
          </cell>
          <cell r="BN10">
            <v>2.12</v>
          </cell>
          <cell r="BO10">
            <v>2.37</v>
          </cell>
          <cell r="BP10">
            <v>2.4500000000000002</v>
          </cell>
          <cell r="BQ10">
            <v>2.42</v>
          </cell>
          <cell r="BR10">
            <v>2.16</v>
          </cell>
          <cell r="BS10">
            <v>2.4700000000000002</v>
          </cell>
          <cell r="BT10">
            <v>2.0499999999999998</v>
          </cell>
          <cell r="BU10">
            <v>1.77</v>
          </cell>
          <cell r="BV10">
            <v>2.2000000000000002</v>
          </cell>
          <cell r="BW10">
            <v>2.2400000000000002</v>
          </cell>
          <cell r="BX10">
            <v>2.25</v>
          </cell>
          <cell r="BY10">
            <v>1.92</v>
          </cell>
          <cell r="BZ10">
            <v>1.92</v>
          </cell>
          <cell r="CA10">
            <v>1.73</v>
          </cell>
          <cell r="CB10">
            <v>2.0499999999999998</v>
          </cell>
          <cell r="CC10">
            <v>2.5</v>
          </cell>
          <cell r="CD10">
            <v>2.35</v>
          </cell>
          <cell r="CE10">
            <v>2.39</v>
          </cell>
          <cell r="CF10">
            <v>2.78</v>
          </cell>
          <cell r="CG10">
            <v>3.03</v>
          </cell>
        </row>
        <row r="11">
          <cell r="A11" t="str">
            <v>CGLF-LA</v>
          </cell>
          <cell r="B11">
            <v>8</v>
          </cell>
          <cell r="C11">
            <v>2.36</v>
          </cell>
          <cell r="D11">
            <v>2.2999999999999998</v>
          </cell>
          <cell r="E11">
            <v>1.93</v>
          </cell>
          <cell r="F11">
            <v>1.62</v>
          </cell>
          <cell r="G11">
            <v>1.88</v>
          </cell>
          <cell r="H11">
            <v>2.2000000000000002</v>
          </cell>
          <cell r="I11">
            <v>2.7</v>
          </cell>
          <cell r="J11">
            <v>2.1</v>
          </cell>
          <cell r="K11">
            <v>1.95</v>
          </cell>
          <cell r="L11">
            <v>2.0699999999999998</v>
          </cell>
          <cell r="M11">
            <v>2.37</v>
          </cell>
          <cell r="N11">
            <v>2.0499999999999998</v>
          </cell>
          <cell r="O11">
            <v>2.12</v>
          </cell>
          <cell r="P11">
            <v>2.38</v>
          </cell>
          <cell r="Q11">
            <v>2.0499999999999998</v>
          </cell>
          <cell r="R11">
            <v>2.36</v>
          </cell>
          <cell r="S11">
            <v>2.35</v>
          </cell>
          <cell r="T11">
            <v>1.99</v>
          </cell>
          <cell r="U11">
            <v>2.0499999999999998</v>
          </cell>
          <cell r="V11">
            <v>1.81</v>
          </cell>
          <cell r="W11">
            <v>1.94</v>
          </cell>
          <cell r="X11">
            <v>1.77</v>
          </cell>
          <cell r="Y11">
            <v>1.45</v>
          </cell>
          <cell r="Z11">
            <v>1.39</v>
          </cell>
          <cell r="AA11">
            <v>1.67</v>
          </cell>
          <cell r="AB11">
            <v>1.65</v>
          </cell>
          <cell r="AC11">
            <v>1.59</v>
          </cell>
          <cell r="AD11">
            <v>1.38</v>
          </cell>
          <cell r="AE11">
            <v>1.42</v>
          </cell>
          <cell r="AF11">
            <v>1.53</v>
          </cell>
          <cell r="AG11">
            <v>1.64</v>
          </cell>
          <cell r="AH11">
            <v>1.69</v>
          </cell>
          <cell r="AI11">
            <v>1.46</v>
          </cell>
          <cell r="AJ11">
            <v>1.34</v>
          </cell>
          <cell r="AK11">
            <v>1.54</v>
          </cell>
          <cell r="AL11">
            <v>1.62</v>
          </cell>
          <cell r="AM11">
            <v>1.75</v>
          </cell>
          <cell r="AN11">
            <v>2.2400000000000002</v>
          </cell>
          <cell r="AO11">
            <v>3.35</v>
          </cell>
          <cell r="AP11">
            <v>2.34</v>
          </cell>
          <cell r="AQ11">
            <v>2.85</v>
          </cell>
          <cell r="AR11">
            <v>2.62</v>
          </cell>
          <cell r="AS11">
            <v>2.2000000000000002</v>
          </cell>
          <cell r="AT11">
            <v>2.33</v>
          </cell>
          <cell r="AU11">
            <v>2.62</v>
          </cell>
          <cell r="AV11">
            <v>2.27</v>
          </cell>
          <cell r="AW11">
            <v>1.77</v>
          </cell>
          <cell r="AX11">
            <v>1.81</v>
          </cell>
          <cell r="AY11">
            <v>2.65</v>
          </cell>
          <cell r="AZ11">
            <v>3.82</v>
          </cell>
          <cell r="BA11">
            <v>3.94</v>
          </cell>
          <cell r="BB11">
            <v>2.89</v>
          </cell>
          <cell r="BC11">
            <v>1.74</v>
          </cell>
          <cell r="BD11">
            <v>1.8</v>
          </cell>
          <cell r="BE11">
            <v>2.1</v>
          </cell>
          <cell r="BF11">
            <v>2.27</v>
          </cell>
          <cell r="BG11">
            <v>2.13</v>
          </cell>
          <cell r="BH11">
            <v>2.15</v>
          </cell>
          <cell r="BI11">
            <v>2.5099999999999998</v>
          </cell>
          <cell r="BJ11">
            <v>3.09</v>
          </cell>
          <cell r="BK11">
            <v>3.26</v>
          </cell>
          <cell r="BL11">
            <v>2.5</v>
          </cell>
          <cell r="BM11">
            <v>2.2400000000000002</v>
          </cell>
          <cell r="BN11">
            <v>1.99</v>
          </cell>
          <cell r="BO11">
            <v>2.2200000000000002</v>
          </cell>
          <cell r="BP11">
            <v>2.29</v>
          </cell>
          <cell r="BQ11">
            <v>2.25</v>
          </cell>
          <cell r="BR11">
            <v>2</v>
          </cell>
          <cell r="BS11">
            <v>2.33</v>
          </cell>
          <cell r="BT11">
            <v>1.9</v>
          </cell>
          <cell r="BU11">
            <v>1.58</v>
          </cell>
          <cell r="BV11">
            <v>2.02</v>
          </cell>
          <cell r="BW11">
            <v>1.96</v>
          </cell>
          <cell r="BX11">
            <v>2.08</v>
          </cell>
          <cell r="BY11">
            <v>1.75</v>
          </cell>
          <cell r="BZ11">
            <v>1.77</v>
          </cell>
          <cell r="CA11">
            <v>1.6</v>
          </cell>
          <cell r="CB11">
            <v>1.86</v>
          </cell>
          <cell r="CC11">
            <v>2.33</v>
          </cell>
          <cell r="CD11">
            <v>2.2000000000000002</v>
          </cell>
          <cell r="CE11">
            <v>2.2400000000000002</v>
          </cell>
          <cell r="CF11">
            <v>2.58</v>
          </cell>
          <cell r="CG11">
            <v>2.86</v>
          </cell>
        </row>
        <row r="12">
          <cell r="A12" t="str">
            <v>CGLF-OFS</v>
          </cell>
          <cell r="B12">
            <v>9</v>
          </cell>
          <cell r="C12">
            <v>2.23</v>
          </cell>
          <cell r="E12">
            <v>1.83</v>
          </cell>
          <cell r="F12">
            <v>1.54</v>
          </cell>
          <cell r="G12">
            <v>1.79</v>
          </cell>
          <cell r="H12">
            <v>2.1</v>
          </cell>
          <cell r="I12">
            <v>2.6</v>
          </cell>
          <cell r="J12">
            <v>2.0299999999999998</v>
          </cell>
          <cell r="K12">
            <v>1.86</v>
          </cell>
          <cell r="L12">
            <v>1.98</v>
          </cell>
          <cell r="M12">
            <v>2.2799999999999998</v>
          </cell>
          <cell r="N12">
            <v>1.97</v>
          </cell>
          <cell r="O12">
            <v>2.0299999999999998</v>
          </cell>
          <cell r="P12">
            <v>2.2999999999999998</v>
          </cell>
          <cell r="Q12">
            <v>2.02</v>
          </cell>
          <cell r="S12">
            <v>2.2799999999999998</v>
          </cell>
          <cell r="T12">
            <v>1.91</v>
          </cell>
          <cell r="V12">
            <v>1.73</v>
          </cell>
          <cell r="W12">
            <v>1.87</v>
          </cell>
          <cell r="X12">
            <v>1.71</v>
          </cell>
          <cell r="Z12">
            <v>1.29</v>
          </cell>
          <cell r="AB12">
            <v>1.56</v>
          </cell>
          <cell r="AC12">
            <v>1.49</v>
          </cell>
          <cell r="AD12">
            <v>1.3</v>
          </cell>
          <cell r="AE12">
            <v>1.35</v>
          </cell>
          <cell r="AF12">
            <v>1.44</v>
          </cell>
          <cell r="AG12">
            <v>1.58</v>
          </cell>
          <cell r="AH12">
            <v>1.6</v>
          </cell>
          <cell r="BB12">
            <v>2.79</v>
          </cell>
          <cell r="BC12">
            <v>1.66</v>
          </cell>
          <cell r="BD12">
            <v>1.81</v>
          </cell>
          <cell r="BE12">
            <v>2.0299999999999998</v>
          </cell>
          <cell r="BF12">
            <v>2.17</v>
          </cell>
          <cell r="BG12">
            <v>2.1800000000000002</v>
          </cell>
          <cell r="BH12">
            <v>2.19</v>
          </cell>
        </row>
        <row r="13">
          <cell r="A13" t="str">
            <v>CHIC</v>
          </cell>
          <cell r="B13">
            <v>10</v>
          </cell>
          <cell r="C13">
            <v>2.46</v>
          </cell>
          <cell r="D13">
            <v>2.4</v>
          </cell>
          <cell r="E13">
            <v>2.2200000000000002</v>
          </cell>
          <cell r="F13">
            <v>1.83</v>
          </cell>
          <cell r="G13">
            <v>2.11</v>
          </cell>
          <cell r="H13">
            <v>2.41</v>
          </cell>
          <cell r="I13">
            <v>2.92</v>
          </cell>
          <cell r="J13">
            <v>2.15</v>
          </cell>
          <cell r="K13">
            <v>2.14</v>
          </cell>
          <cell r="L13">
            <v>2.2799999999999998</v>
          </cell>
          <cell r="M13">
            <v>2.5299999999999998</v>
          </cell>
          <cell r="N13">
            <v>2.31</v>
          </cell>
          <cell r="O13">
            <v>2.29</v>
          </cell>
          <cell r="P13">
            <v>2.5299999999999998</v>
          </cell>
          <cell r="Q13">
            <v>2.21</v>
          </cell>
          <cell r="R13">
            <v>2.5499999999999998</v>
          </cell>
          <cell r="S13">
            <v>2.61</v>
          </cell>
          <cell r="T13">
            <v>2.17</v>
          </cell>
          <cell r="U13">
            <v>2.1800000000000002</v>
          </cell>
          <cell r="V13">
            <v>1.92</v>
          </cell>
          <cell r="W13">
            <v>2.0299999999999998</v>
          </cell>
          <cell r="X13">
            <v>1.87</v>
          </cell>
          <cell r="Y13">
            <v>1.59</v>
          </cell>
          <cell r="Z13">
            <v>1.51</v>
          </cell>
          <cell r="AA13">
            <v>1.81</v>
          </cell>
          <cell r="AB13">
            <v>1.81</v>
          </cell>
          <cell r="AC13">
            <v>1.73</v>
          </cell>
          <cell r="AD13">
            <v>1.5</v>
          </cell>
          <cell r="AE13">
            <v>1.47</v>
          </cell>
          <cell r="AF13">
            <v>1.56</v>
          </cell>
          <cell r="AG13">
            <v>1.7</v>
          </cell>
          <cell r="AH13">
            <v>1.75</v>
          </cell>
          <cell r="AI13">
            <v>1.55</v>
          </cell>
          <cell r="AJ13">
            <v>1.41</v>
          </cell>
          <cell r="AK13">
            <v>1.61</v>
          </cell>
          <cell r="AL13">
            <v>1.72</v>
          </cell>
          <cell r="AM13">
            <v>1.91</v>
          </cell>
          <cell r="AN13">
            <v>2.41</v>
          </cell>
          <cell r="AO13">
            <v>3.31</v>
          </cell>
          <cell r="AP13">
            <v>2.64</v>
          </cell>
          <cell r="AQ13">
            <v>3.2</v>
          </cell>
          <cell r="AR13">
            <v>2.81</v>
          </cell>
          <cell r="AS13">
            <v>2.2999999999999998</v>
          </cell>
          <cell r="AT13">
            <v>2.4</v>
          </cell>
          <cell r="AU13">
            <v>2.64</v>
          </cell>
          <cell r="AV13">
            <v>2.36</v>
          </cell>
          <cell r="AW13">
            <v>1.94</v>
          </cell>
          <cell r="AX13">
            <v>1.98</v>
          </cell>
          <cell r="AY13">
            <v>2.95</v>
          </cell>
          <cell r="AZ13">
            <v>4.25</v>
          </cell>
          <cell r="BA13">
            <v>4.53</v>
          </cell>
          <cell r="BB13">
            <v>3.36</v>
          </cell>
          <cell r="BC13">
            <v>1.91</v>
          </cell>
          <cell r="BD13">
            <v>1.95</v>
          </cell>
          <cell r="BE13">
            <v>2.19</v>
          </cell>
          <cell r="BF13">
            <v>2.38</v>
          </cell>
          <cell r="BG13">
            <v>2.2400000000000002</v>
          </cell>
          <cell r="BH13">
            <v>2.23</v>
          </cell>
          <cell r="BI13">
            <v>2.63</v>
          </cell>
          <cell r="BJ13">
            <v>3.34</v>
          </cell>
          <cell r="BK13">
            <v>3.55</v>
          </cell>
          <cell r="BL13">
            <v>3.55</v>
          </cell>
          <cell r="BM13">
            <v>2.37</v>
          </cell>
          <cell r="BN13">
            <v>2.09</v>
          </cell>
          <cell r="BO13">
            <v>2.2999999999999998</v>
          </cell>
          <cell r="BP13">
            <v>2.38</v>
          </cell>
          <cell r="BQ13">
            <v>2.36</v>
          </cell>
          <cell r="BR13">
            <v>2.13</v>
          </cell>
          <cell r="BS13">
            <v>2.42</v>
          </cell>
          <cell r="CG13">
            <v>2.96</v>
          </cell>
        </row>
        <row r="14">
          <cell r="A14" t="str">
            <v>CIG-ROCK</v>
          </cell>
          <cell r="B14">
            <v>11</v>
          </cell>
          <cell r="C14">
            <v>1.83</v>
          </cell>
          <cell r="D14">
            <v>1.88</v>
          </cell>
          <cell r="E14">
            <v>2.15</v>
          </cell>
          <cell r="F14">
            <v>1.6</v>
          </cell>
          <cell r="G14">
            <v>1.73</v>
          </cell>
          <cell r="H14">
            <v>1.8</v>
          </cell>
          <cell r="I14">
            <v>2.2000000000000002</v>
          </cell>
          <cell r="J14">
            <v>1.56</v>
          </cell>
          <cell r="K14">
            <v>1.5</v>
          </cell>
          <cell r="L14">
            <v>1.65</v>
          </cell>
          <cell r="M14">
            <v>1.88</v>
          </cell>
          <cell r="N14">
            <v>1.71</v>
          </cell>
          <cell r="O14">
            <v>1.7</v>
          </cell>
          <cell r="P14">
            <v>2.23</v>
          </cell>
          <cell r="Q14">
            <v>1.88</v>
          </cell>
          <cell r="R14">
            <v>1.76</v>
          </cell>
          <cell r="S14">
            <v>1.86</v>
          </cell>
          <cell r="T14">
            <v>1.52</v>
          </cell>
          <cell r="U14">
            <v>1.55</v>
          </cell>
          <cell r="V14">
            <v>1.32</v>
          </cell>
          <cell r="W14">
            <v>1.39</v>
          </cell>
          <cell r="X14">
            <v>1.39</v>
          </cell>
          <cell r="Y14">
            <v>1.33</v>
          </cell>
          <cell r="Z14">
            <v>1.1599999999999999</v>
          </cell>
          <cell r="AA14">
            <v>1.44</v>
          </cell>
          <cell r="AB14">
            <v>1.57</v>
          </cell>
          <cell r="AC14">
            <v>1.35</v>
          </cell>
          <cell r="AD14">
            <v>1.06</v>
          </cell>
          <cell r="AE14">
            <v>1.05</v>
          </cell>
          <cell r="AF14">
            <v>1.05</v>
          </cell>
          <cell r="AG14">
            <v>1.07</v>
          </cell>
          <cell r="AH14">
            <v>1.1399999999999999</v>
          </cell>
          <cell r="AI14">
            <v>0.98</v>
          </cell>
          <cell r="AJ14">
            <v>0.84</v>
          </cell>
          <cell r="AK14">
            <v>0.95</v>
          </cell>
          <cell r="AL14">
            <v>1.04</v>
          </cell>
          <cell r="AM14">
            <v>1.25</v>
          </cell>
          <cell r="AN14">
            <v>1.31</v>
          </cell>
          <cell r="AO14">
            <v>1.26</v>
          </cell>
          <cell r="AP14">
            <v>1.1599999999999999</v>
          </cell>
          <cell r="AQ14">
            <v>1.1599999999999999</v>
          </cell>
          <cell r="AR14">
            <v>1.06</v>
          </cell>
          <cell r="AS14">
            <v>1.06</v>
          </cell>
          <cell r="AT14">
            <v>1.06</v>
          </cell>
          <cell r="AU14">
            <v>1.18</v>
          </cell>
          <cell r="AV14">
            <v>1.21</v>
          </cell>
          <cell r="AW14">
            <v>1.19</v>
          </cell>
          <cell r="AX14">
            <v>1.25</v>
          </cell>
          <cell r="AY14">
            <v>2.25</v>
          </cell>
          <cell r="AZ14">
            <v>3.5</v>
          </cell>
          <cell r="BA14">
            <v>4.18</v>
          </cell>
          <cell r="BB14">
            <v>2.5299999999999998</v>
          </cell>
          <cell r="BC14">
            <v>1.39</v>
          </cell>
          <cell r="BD14">
            <v>1.45</v>
          </cell>
          <cell r="BE14">
            <v>1.63</v>
          </cell>
          <cell r="BF14">
            <v>1.43</v>
          </cell>
          <cell r="BG14">
            <v>1.44</v>
          </cell>
          <cell r="BH14">
            <v>1.38</v>
          </cell>
          <cell r="BI14">
            <v>1.47</v>
          </cell>
          <cell r="BJ14">
            <v>2.1</v>
          </cell>
          <cell r="BK14">
            <v>2.99</v>
          </cell>
          <cell r="BL14">
            <v>1.94</v>
          </cell>
          <cell r="BM14">
            <v>2.04</v>
          </cell>
          <cell r="BN14">
            <v>1.7</v>
          </cell>
          <cell r="BO14">
            <v>1.88</v>
          </cell>
          <cell r="BP14">
            <v>1.9</v>
          </cell>
          <cell r="BQ14">
            <v>1.96</v>
          </cell>
          <cell r="BR14">
            <v>1.64</v>
          </cell>
          <cell r="BS14">
            <v>1.61</v>
          </cell>
          <cell r="BT14">
            <v>1.73</v>
          </cell>
          <cell r="BU14">
            <v>1.55</v>
          </cell>
          <cell r="BV14">
            <v>1.65</v>
          </cell>
          <cell r="BW14">
            <v>1.97</v>
          </cell>
          <cell r="BX14">
            <v>1.96</v>
          </cell>
          <cell r="BY14">
            <v>1.75</v>
          </cell>
          <cell r="BZ14">
            <v>1.61</v>
          </cell>
          <cell r="CA14">
            <v>1.49</v>
          </cell>
          <cell r="CB14">
            <v>1.53</v>
          </cell>
          <cell r="CC14">
            <v>1.98</v>
          </cell>
          <cell r="CD14">
            <v>1.93</v>
          </cell>
          <cell r="CE14">
            <v>1.97</v>
          </cell>
          <cell r="CF14">
            <v>2.16</v>
          </cell>
          <cell r="CG14">
            <v>2.52</v>
          </cell>
        </row>
        <row r="15">
          <cell r="A15" t="str">
            <v>CNG</v>
          </cell>
          <cell r="B15">
            <v>12</v>
          </cell>
          <cell r="H15">
            <v>2.54</v>
          </cell>
          <cell r="I15">
            <v>3</v>
          </cell>
          <cell r="J15">
            <v>2.25</v>
          </cell>
          <cell r="K15">
            <v>2.13</v>
          </cell>
          <cell r="L15">
            <v>2.23</v>
          </cell>
          <cell r="M15">
            <v>2.5299999999999998</v>
          </cell>
          <cell r="N15">
            <v>2.23</v>
          </cell>
          <cell r="O15">
            <v>2.36</v>
          </cell>
          <cell r="P15">
            <v>2.68</v>
          </cell>
          <cell r="Q15">
            <v>2.33</v>
          </cell>
          <cell r="R15">
            <v>2.75</v>
          </cell>
          <cell r="S15">
            <v>2.78</v>
          </cell>
          <cell r="T15">
            <v>2.23</v>
          </cell>
          <cell r="U15">
            <v>2.29</v>
          </cell>
          <cell r="V15">
            <v>1.99</v>
          </cell>
          <cell r="W15">
            <v>2.1</v>
          </cell>
          <cell r="X15">
            <v>1.9</v>
          </cell>
          <cell r="Y15">
            <v>1.55</v>
          </cell>
          <cell r="Z15">
            <v>1.5</v>
          </cell>
          <cell r="AA15">
            <v>1.83</v>
          </cell>
          <cell r="AB15">
            <v>1.93</v>
          </cell>
          <cell r="AC15">
            <v>1.87</v>
          </cell>
          <cell r="AD15">
            <v>1.65</v>
          </cell>
          <cell r="AE15">
            <v>1.62</v>
          </cell>
          <cell r="AF15">
            <v>1.68</v>
          </cell>
          <cell r="AG15">
            <v>1.83</v>
          </cell>
          <cell r="AH15">
            <v>1.86</v>
          </cell>
          <cell r="AI15">
            <v>1.62</v>
          </cell>
          <cell r="AJ15">
            <v>1.49</v>
          </cell>
          <cell r="AK15">
            <v>1.68</v>
          </cell>
          <cell r="AL15">
            <v>1.77</v>
          </cell>
          <cell r="AM15">
            <v>1.97</v>
          </cell>
          <cell r="AN15">
            <v>2.5299999999999998</v>
          </cell>
          <cell r="AO15">
            <v>3.8</v>
          </cell>
          <cell r="AP15">
            <v>3.67</v>
          </cell>
          <cell r="AQ15">
            <v>4.95</v>
          </cell>
          <cell r="AR15">
            <v>3.21</v>
          </cell>
          <cell r="AS15">
            <v>2.4300000000000002</v>
          </cell>
          <cell r="AT15">
            <v>2.54</v>
          </cell>
          <cell r="AU15">
            <v>2.86</v>
          </cell>
          <cell r="AV15">
            <v>2.5</v>
          </cell>
          <cell r="AW15">
            <v>1.94</v>
          </cell>
          <cell r="AX15">
            <v>1.99</v>
          </cell>
          <cell r="AY15">
            <v>3.05</v>
          </cell>
          <cell r="AZ15">
            <v>4.5</v>
          </cell>
          <cell r="BA15">
            <v>4.5</v>
          </cell>
          <cell r="BB15">
            <v>3.2</v>
          </cell>
          <cell r="BC15">
            <v>1.93</v>
          </cell>
          <cell r="BD15">
            <v>2.02</v>
          </cell>
          <cell r="BE15">
            <v>2.33</v>
          </cell>
          <cell r="BF15">
            <v>2.46</v>
          </cell>
          <cell r="BG15">
            <v>2.31</v>
          </cell>
          <cell r="BH15">
            <v>2.33</v>
          </cell>
          <cell r="BI15">
            <v>2.71</v>
          </cell>
          <cell r="BJ15">
            <v>3.32</v>
          </cell>
          <cell r="BK15">
            <v>3.59</v>
          </cell>
          <cell r="BL15">
            <v>2.7</v>
          </cell>
          <cell r="BM15">
            <v>2.44</v>
          </cell>
          <cell r="BN15">
            <v>2.15</v>
          </cell>
          <cell r="BO15">
            <v>2.4</v>
          </cell>
          <cell r="BP15">
            <v>2.5</v>
          </cell>
          <cell r="BQ15">
            <v>2.46</v>
          </cell>
          <cell r="BR15">
            <v>2.19</v>
          </cell>
          <cell r="BS15">
            <v>2.4700000000000002</v>
          </cell>
          <cell r="BT15">
            <v>2.06</v>
          </cell>
          <cell r="BU15">
            <v>1.79</v>
          </cell>
          <cell r="BV15">
            <v>2.2200000000000002</v>
          </cell>
          <cell r="BW15">
            <v>2.25</v>
          </cell>
          <cell r="BX15">
            <v>2.23</v>
          </cell>
          <cell r="BY15">
            <v>1.95</v>
          </cell>
          <cell r="BZ15">
            <v>1.95</v>
          </cell>
          <cell r="CA15">
            <v>1.78</v>
          </cell>
          <cell r="CB15">
            <v>2.09</v>
          </cell>
          <cell r="CC15">
            <v>2.5099999999999998</v>
          </cell>
          <cell r="CD15">
            <v>2.35</v>
          </cell>
          <cell r="CE15">
            <v>2.42</v>
          </cell>
          <cell r="CF15">
            <v>2.8</v>
          </cell>
          <cell r="CG15">
            <v>3.07</v>
          </cell>
        </row>
        <row r="16">
          <cell r="A16" t="str">
            <v>EPNG-PERM</v>
          </cell>
          <cell r="B16">
            <v>13</v>
          </cell>
          <cell r="C16">
            <v>2.12</v>
          </cell>
          <cell r="D16">
            <v>2.04</v>
          </cell>
          <cell r="E16">
            <v>2.04</v>
          </cell>
          <cell r="F16">
            <v>1.57</v>
          </cell>
          <cell r="G16">
            <v>1.83</v>
          </cell>
          <cell r="H16">
            <v>1.89</v>
          </cell>
          <cell r="I16">
            <v>2.2000000000000002</v>
          </cell>
          <cell r="J16">
            <v>1.65</v>
          </cell>
          <cell r="K16">
            <v>1.78</v>
          </cell>
          <cell r="L16">
            <v>1.88</v>
          </cell>
          <cell r="M16">
            <v>2.0299999999999998</v>
          </cell>
          <cell r="N16">
            <v>1.77</v>
          </cell>
          <cell r="O16">
            <v>1.77</v>
          </cell>
          <cell r="P16">
            <v>2.25</v>
          </cell>
          <cell r="Q16">
            <v>1.93</v>
          </cell>
          <cell r="R16">
            <v>1.88</v>
          </cell>
          <cell r="S16">
            <v>2</v>
          </cell>
          <cell r="T16">
            <v>1.75</v>
          </cell>
          <cell r="U16">
            <v>1.75</v>
          </cell>
          <cell r="V16">
            <v>1.5</v>
          </cell>
          <cell r="W16">
            <v>1.65</v>
          </cell>
          <cell r="X16">
            <v>1.57</v>
          </cell>
          <cell r="Y16">
            <v>1.44</v>
          </cell>
          <cell r="Z16">
            <v>1.22</v>
          </cell>
          <cell r="AA16">
            <v>1.47</v>
          </cell>
          <cell r="AB16">
            <v>1.64</v>
          </cell>
          <cell r="AC16">
            <v>1.46</v>
          </cell>
          <cell r="AD16">
            <v>1.17</v>
          </cell>
          <cell r="AE16">
            <v>1.17</v>
          </cell>
          <cell r="AF16">
            <v>1.25</v>
          </cell>
          <cell r="AG16">
            <v>1.35</v>
          </cell>
          <cell r="AH16">
            <v>1.38</v>
          </cell>
          <cell r="AI16">
            <v>1.19</v>
          </cell>
          <cell r="AJ16">
            <v>1.18</v>
          </cell>
          <cell r="AK16">
            <v>1.36</v>
          </cell>
          <cell r="AL16">
            <v>1.41</v>
          </cell>
          <cell r="AM16">
            <v>1.54</v>
          </cell>
          <cell r="AN16">
            <v>1.74</v>
          </cell>
          <cell r="AO16">
            <v>1.92</v>
          </cell>
          <cell r="AP16">
            <v>1.68</v>
          </cell>
          <cell r="AQ16">
            <v>1.75</v>
          </cell>
          <cell r="AR16">
            <v>2.0099999999999998</v>
          </cell>
          <cell r="AS16">
            <v>1.95</v>
          </cell>
          <cell r="AT16">
            <v>2.0099999999999998</v>
          </cell>
          <cell r="AU16">
            <v>2.09</v>
          </cell>
          <cell r="AV16">
            <v>2.0699999999999998</v>
          </cell>
          <cell r="AW16">
            <v>1.59</v>
          </cell>
          <cell r="AX16">
            <v>1.64</v>
          </cell>
          <cell r="AY16">
            <v>2.48</v>
          </cell>
          <cell r="AZ16">
            <v>3.59</v>
          </cell>
          <cell r="BA16">
            <v>4.0999999999999996</v>
          </cell>
          <cell r="BB16">
            <v>2.5499999999999998</v>
          </cell>
          <cell r="BC16">
            <v>1.54</v>
          </cell>
          <cell r="BD16">
            <v>1.63</v>
          </cell>
          <cell r="BE16">
            <v>1.91</v>
          </cell>
          <cell r="BF16">
            <v>2.0699999999999998</v>
          </cell>
          <cell r="BG16">
            <v>2</v>
          </cell>
          <cell r="BH16">
            <v>2.0499999999999998</v>
          </cell>
          <cell r="BI16">
            <v>2.36</v>
          </cell>
          <cell r="BJ16">
            <v>2.9</v>
          </cell>
          <cell r="BK16">
            <v>3.18</v>
          </cell>
          <cell r="BL16">
            <v>2.21</v>
          </cell>
          <cell r="BM16">
            <v>2.08</v>
          </cell>
          <cell r="BN16">
            <v>1.84</v>
          </cell>
          <cell r="BO16">
            <v>2.04</v>
          </cell>
          <cell r="BP16">
            <v>2.12</v>
          </cell>
          <cell r="BQ16">
            <v>2.1</v>
          </cell>
          <cell r="BR16">
            <v>1.86</v>
          </cell>
          <cell r="BS16">
            <v>2.1800000000000002</v>
          </cell>
          <cell r="BT16">
            <v>1.9</v>
          </cell>
          <cell r="BU16">
            <v>1.59</v>
          </cell>
          <cell r="BV16">
            <v>1.82</v>
          </cell>
          <cell r="BW16">
            <v>1.92</v>
          </cell>
          <cell r="BX16">
            <v>1.99</v>
          </cell>
          <cell r="BY16">
            <v>1.73</v>
          </cell>
          <cell r="BZ16">
            <v>1.66</v>
          </cell>
          <cell r="CA16">
            <v>1.54</v>
          </cell>
          <cell r="CB16">
            <v>1.66</v>
          </cell>
          <cell r="CC16">
            <v>2.16</v>
          </cell>
          <cell r="CD16">
            <v>2.08</v>
          </cell>
          <cell r="CE16">
            <v>2.17</v>
          </cell>
          <cell r="CF16">
            <v>2.46</v>
          </cell>
          <cell r="CG16">
            <v>2.78</v>
          </cell>
        </row>
        <row r="17">
          <cell r="A17" t="str">
            <v>EPNG-SJ</v>
          </cell>
          <cell r="B17">
            <v>14</v>
          </cell>
          <cell r="C17">
            <v>2.11</v>
          </cell>
          <cell r="D17">
            <v>2.04</v>
          </cell>
          <cell r="E17">
            <v>2.1</v>
          </cell>
          <cell r="F17">
            <v>1.58</v>
          </cell>
          <cell r="G17">
            <v>1.84</v>
          </cell>
          <cell r="H17">
            <v>1.89</v>
          </cell>
          <cell r="I17">
            <v>2.2000000000000002</v>
          </cell>
          <cell r="J17">
            <v>1.65</v>
          </cell>
          <cell r="K17">
            <v>1.76</v>
          </cell>
          <cell r="L17">
            <v>1.84</v>
          </cell>
          <cell r="M17">
            <v>2.0099999999999998</v>
          </cell>
          <cell r="N17">
            <v>1.76</v>
          </cell>
          <cell r="O17">
            <v>1.76</v>
          </cell>
          <cell r="P17">
            <v>2.2400000000000002</v>
          </cell>
          <cell r="Q17">
            <v>1.94</v>
          </cell>
          <cell r="R17">
            <v>1.82</v>
          </cell>
          <cell r="S17">
            <v>1.98</v>
          </cell>
          <cell r="T17">
            <v>1.73</v>
          </cell>
          <cell r="U17">
            <v>1.74</v>
          </cell>
          <cell r="V17">
            <v>1.48</v>
          </cell>
          <cell r="W17">
            <v>1.58</v>
          </cell>
          <cell r="X17">
            <v>1.54</v>
          </cell>
          <cell r="Y17">
            <v>1.43</v>
          </cell>
          <cell r="Z17">
            <v>1.2</v>
          </cell>
          <cell r="AA17">
            <v>1.46</v>
          </cell>
          <cell r="AB17">
            <v>1.63</v>
          </cell>
          <cell r="AC17">
            <v>1.45</v>
          </cell>
          <cell r="AD17">
            <v>1.0900000000000001</v>
          </cell>
          <cell r="AE17">
            <v>1.08</v>
          </cell>
          <cell r="AF17">
            <v>1.0900000000000001</v>
          </cell>
          <cell r="AG17">
            <v>1.17</v>
          </cell>
          <cell r="AH17">
            <v>1.17</v>
          </cell>
          <cell r="AI17">
            <v>1.05</v>
          </cell>
          <cell r="AJ17">
            <v>1.02</v>
          </cell>
          <cell r="AK17">
            <v>1.19</v>
          </cell>
          <cell r="AL17">
            <v>1.24</v>
          </cell>
          <cell r="AM17">
            <v>1.25</v>
          </cell>
          <cell r="AN17">
            <v>1.34</v>
          </cell>
          <cell r="AO17">
            <v>1.39</v>
          </cell>
          <cell r="AP17">
            <v>1.26</v>
          </cell>
          <cell r="AQ17">
            <v>1.18</v>
          </cell>
          <cell r="AR17">
            <v>1.1200000000000001</v>
          </cell>
          <cell r="AS17">
            <v>1.1200000000000001</v>
          </cell>
          <cell r="AT17">
            <v>1.18</v>
          </cell>
          <cell r="AU17">
            <v>1.47</v>
          </cell>
          <cell r="AV17">
            <v>2</v>
          </cell>
          <cell r="AW17">
            <v>1.55</v>
          </cell>
          <cell r="AX17">
            <v>1.59</v>
          </cell>
          <cell r="AY17">
            <v>2.4500000000000002</v>
          </cell>
          <cell r="AZ17">
            <v>3.55</v>
          </cell>
          <cell r="BA17">
            <v>4.05</v>
          </cell>
          <cell r="BB17">
            <v>2.48</v>
          </cell>
          <cell r="BC17">
            <v>1.46</v>
          </cell>
          <cell r="BD17">
            <v>1.59</v>
          </cell>
          <cell r="BE17">
            <v>1.87</v>
          </cell>
          <cell r="BF17">
            <v>2.02</v>
          </cell>
          <cell r="BG17">
            <v>1.97</v>
          </cell>
          <cell r="BH17">
            <v>2</v>
          </cell>
          <cell r="BI17">
            <v>2.2799999999999998</v>
          </cell>
          <cell r="BJ17">
            <v>2.83</v>
          </cell>
          <cell r="BK17">
            <v>3.11</v>
          </cell>
          <cell r="BL17">
            <v>2.16</v>
          </cell>
          <cell r="BM17">
            <v>2.06</v>
          </cell>
          <cell r="BN17">
            <v>1.76</v>
          </cell>
          <cell r="BO17">
            <v>2.0099999999999998</v>
          </cell>
          <cell r="BP17">
            <v>2.06</v>
          </cell>
          <cell r="BQ17">
            <v>2</v>
          </cell>
          <cell r="BR17">
            <v>1.75</v>
          </cell>
          <cell r="BS17">
            <v>1.86</v>
          </cell>
          <cell r="BT17">
            <v>1.81</v>
          </cell>
          <cell r="BU17">
            <v>1.55</v>
          </cell>
          <cell r="BV17">
            <v>1.67</v>
          </cell>
          <cell r="BW17">
            <v>1.88</v>
          </cell>
          <cell r="BX17">
            <v>1.96</v>
          </cell>
          <cell r="BY17">
            <v>1.72</v>
          </cell>
          <cell r="BZ17">
            <v>1.63</v>
          </cell>
          <cell r="CA17">
            <v>1.51</v>
          </cell>
          <cell r="CB17">
            <v>1.59</v>
          </cell>
          <cell r="CC17">
            <v>2.0299999999999998</v>
          </cell>
          <cell r="CD17">
            <v>1.96</v>
          </cell>
          <cell r="CE17">
            <v>2.0499999999999998</v>
          </cell>
          <cell r="CF17">
            <v>2.2599999999999998</v>
          </cell>
          <cell r="CG17">
            <v>2.63</v>
          </cell>
        </row>
        <row r="18">
          <cell r="A18" t="str">
            <v>FGT-Z1</v>
          </cell>
          <cell r="B18">
            <v>15</v>
          </cell>
          <cell r="C18">
            <v>2.36</v>
          </cell>
          <cell r="D18">
            <v>2.2000000000000002</v>
          </cell>
          <cell r="E18">
            <v>1.9</v>
          </cell>
          <cell r="F18">
            <v>1.59</v>
          </cell>
          <cell r="G18">
            <v>1.85</v>
          </cell>
          <cell r="H18">
            <v>2.15</v>
          </cell>
          <cell r="I18">
            <v>2.68</v>
          </cell>
          <cell r="J18">
            <v>2.13</v>
          </cell>
          <cell r="K18">
            <v>1.89</v>
          </cell>
          <cell r="L18">
            <v>2.0299999999999998</v>
          </cell>
          <cell r="M18">
            <v>2.34</v>
          </cell>
          <cell r="N18">
            <v>2</v>
          </cell>
          <cell r="O18">
            <v>2.0499999999999998</v>
          </cell>
          <cell r="P18">
            <v>2.2999999999999998</v>
          </cell>
          <cell r="Q18">
            <v>2.0299999999999998</v>
          </cell>
          <cell r="R18">
            <v>2.25</v>
          </cell>
          <cell r="S18">
            <v>2.2000000000000002</v>
          </cell>
          <cell r="T18">
            <v>1.88</v>
          </cell>
          <cell r="U18">
            <v>1.98</v>
          </cell>
          <cell r="V18">
            <v>1.74</v>
          </cell>
          <cell r="W18">
            <v>1.88</v>
          </cell>
          <cell r="X18">
            <v>1.71</v>
          </cell>
          <cell r="Y18">
            <v>1.54</v>
          </cell>
          <cell r="Z18">
            <v>1.36</v>
          </cell>
          <cell r="AA18">
            <v>1.57</v>
          </cell>
          <cell r="AB18">
            <v>1.61</v>
          </cell>
          <cell r="AC18">
            <v>1.54</v>
          </cell>
          <cell r="AD18">
            <v>1.34</v>
          </cell>
          <cell r="AE18">
            <v>1.36</v>
          </cell>
          <cell r="AF18">
            <v>1.49</v>
          </cell>
          <cell r="AG18">
            <v>1.6</v>
          </cell>
          <cell r="AH18">
            <v>1.65</v>
          </cell>
          <cell r="AI18">
            <v>1.44</v>
          </cell>
          <cell r="AJ18">
            <v>1.31</v>
          </cell>
          <cell r="AK18">
            <v>1.48</v>
          </cell>
          <cell r="AL18">
            <v>1.56</v>
          </cell>
          <cell r="AM18">
            <v>1.7</v>
          </cell>
          <cell r="AN18">
            <v>2.1</v>
          </cell>
          <cell r="AO18">
            <v>2.1800000000000002</v>
          </cell>
          <cell r="AP18">
            <v>1.87</v>
          </cell>
          <cell r="AQ18">
            <v>2.0299999999999998</v>
          </cell>
          <cell r="AR18">
            <v>2.2599999999999998</v>
          </cell>
          <cell r="AS18">
            <v>2.15</v>
          </cell>
          <cell r="AT18">
            <v>2.25</v>
          </cell>
          <cell r="AU18">
            <v>2.5299999999999998</v>
          </cell>
          <cell r="AV18">
            <v>2.25</v>
          </cell>
          <cell r="AW18">
            <v>1.75</v>
          </cell>
          <cell r="AX18">
            <v>1.75</v>
          </cell>
          <cell r="AY18">
            <v>2.54</v>
          </cell>
          <cell r="AZ18">
            <v>3.72</v>
          </cell>
          <cell r="BA18">
            <v>3.98</v>
          </cell>
          <cell r="BB18">
            <v>2.8</v>
          </cell>
          <cell r="BC18">
            <v>1.69</v>
          </cell>
          <cell r="BD18">
            <v>1.74</v>
          </cell>
          <cell r="BE18">
            <v>2.06</v>
          </cell>
          <cell r="BF18">
            <v>2.21</v>
          </cell>
          <cell r="BG18">
            <v>2.12</v>
          </cell>
          <cell r="BH18">
            <v>2.14</v>
          </cell>
          <cell r="BI18">
            <v>2.5099999999999998</v>
          </cell>
          <cell r="BJ18">
            <v>3.1</v>
          </cell>
          <cell r="BK18">
            <v>3.2</v>
          </cell>
          <cell r="BL18">
            <v>2.4500000000000002</v>
          </cell>
          <cell r="BM18">
            <v>2.21</v>
          </cell>
          <cell r="BN18">
            <v>1.94</v>
          </cell>
          <cell r="BO18">
            <v>2.19</v>
          </cell>
          <cell r="BP18">
            <v>2.25</v>
          </cell>
          <cell r="BQ18">
            <v>2.2000000000000002</v>
          </cell>
          <cell r="BR18">
            <v>1.98</v>
          </cell>
          <cell r="BS18">
            <v>2.31</v>
          </cell>
          <cell r="BT18">
            <v>1.86</v>
          </cell>
          <cell r="BU18">
            <v>1.57</v>
          </cell>
          <cell r="BV18">
            <v>1.98</v>
          </cell>
          <cell r="BW18">
            <v>1.92</v>
          </cell>
          <cell r="BX18">
            <v>2.0699999999999998</v>
          </cell>
          <cell r="BY18">
            <v>1.73</v>
          </cell>
          <cell r="BZ18">
            <v>1.74</v>
          </cell>
          <cell r="CA18">
            <v>1.59</v>
          </cell>
          <cell r="CB18">
            <v>1.84</v>
          </cell>
          <cell r="CC18">
            <v>2.2999999999999998</v>
          </cell>
          <cell r="CD18">
            <v>2.2000000000000002</v>
          </cell>
          <cell r="CE18">
            <v>2.2400000000000002</v>
          </cell>
          <cell r="CF18">
            <v>2.57</v>
          </cell>
          <cell r="CG18">
            <v>2.86</v>
          </cell>
        </row>
        <row r="19">
          <cell r="A19" t="str">
            <v>FGT-Z2</v>
          </cell>
          <cell r="B19">
            <v>16</v>
          </cell>
          <cell r="C19">
            <v>2.4</v>
          </cell>
          <cell r="D19">
            <v>2.25</v>
          </cell>
          <cell r="E19">
            <v>2.02</v>
          </cell>
          <cell r="F19">
            <v>1.64</v>
          </cell>
          <cell r="G19">
            <v>1.88</v>
          </cell>
          <cell r="H19">
            <v>2.2200000000000002</v>
          </cell>
          <cell r="I19">
            <v>2.73</v>
          </cell>
          <cell r="J19">
            <v>2.15</v>
          </cell>
          <cell r="K19">
            <v>1.95</v>
          </cell>
          <cell r="L19">
            <v>2.0699999999999998</v>
          </cell>
          <cell r="M19">
            <v>2.37</v>
          </cell>
          <cell r="N19">
            <v>2.0499999999999998</v>
          </cell>
          <cell r="O19">
            <v>2.11</v>
          </cell>
          <cell r="P19">
            <v>2.35</v>
          </cell>
          <cell r="Q19">
            <v>2.08</v>
          </cell>
          <cell r="R19">
            <v>2.34</v>
          </cell>
          <cell r="S19">
            <v>2.33</v>
          </cell>
          <cell r="T19">
            <v>1.93</v>
          </cell>
          <cell r="U19">
            <v>2.0499999999999998</v>
          </cell>
          <cell r="V19">
            <v>1.83</v>
          </cell>
          <cell r="W19">
            <v>1.94</v>
          </cell>
          <cell r="X19">
            <v>1.78</v>
          </cell>
          <cell r="Y19">
            <v>1.47</v>
          </cell>
          <cell r="Z19">
            <v>1.41</v>
          </cell>
          <cell r="AA19">
            <v>1.68</v>
          </cell>
          <cell r="AB19">
            <v>1.67</v>
          </cell>
          <cell r="AC19">
            <v>1.58</v>
          </cell>
          <cell r="AD19">
            <v>1.4</v>
          </cell>
          <cell r="AE19">
            <v>1.43</v>
          </cell>
          <cell r="AF19">
            <v>1.54</v>
          </cell>
          <cell r="AG19">
            <v>1.66</v>
          </cell>
          <cell r="AH19">
            <v>1.71</v>
          </cell>
          <cell r="AI19">
            <v>1.5</v>
          </cell>
          <cell r="AJ19">
            <v>1.37</v>
          </cell>
          <cell r="AK19">
            <v>1.54</v>
          </cell>
          <cell r="AL19">
            <v>1.62</v>
          </cell>
          <cell r="AM19">
            <v>1.76</v>
          </cell>
          <cell r="AN19">
            <v>2.23</v>
          </cell>
          <cell r="AO19">
            <v>3.4</v>
          </cell>
          <cell r="AP19">
            <v>2.35</v>
          </cell>
          <cell r="AQ19">
            <v>2.85</v>
          </cell>
          <cell r="AR19">
            <v>2.69</v>
          </cell>
          <cell r="AS19">
            <v>2.21</v>
          </cell>
          <cell r="AT19">
            <v>2.34</v>
          </cell>
          <cell r="AU19">
            <v>2.62</v>
          </cell>
          <cell r="AV19">
            <v>2.3199999999999998</v>
          </cell>
          <cell r="AW19">
            <v>1.81</v>
          </cell>
          <cell r="AX19">
            <v>1.82</v>
          </cell>
          <cell r="AY19">
            <v>2.56</v>
          </cell>
          <cell r="AZ19">
            <v>3.85</v>
          </cell>
          <cell r="BA19">
            <v>4.0999999999999996</v>
          </cell>
          <cell r="BB19">
            <v>2.92</v>
          </cell>
          <cell r="BC19">
            <v>1.84</v>
          </cell>
          <cell r="BD19">
            <v>1.81</v>
          </cell>
          <cell r="BE19">
            <v>2.13</v>
          </cell>
          <cell r="BF19">
            <v>2.2999999999999998</v>
          </cell>
          <cell r="BG19">
            <v>2.17</v>
          </cell>
          <cell r="BH19">
            <v>2.1800000000000002</v>
          </cell>
          <cell r="BI19">
            <v>2.54</v>
          </cell>
          <cell r="BJ19">
            <v>3.13</v>
          </cell>
          <cell r="BK19">
            <v>3.26</v>
          </cell>
          <cell r="BL19">
            <v>2.5499999999999998</v>
          </cell>
          <cell r="BM19">
            <v>2.2799999999999998</v>
          </cell>
          <cell r="BN19">
            <v>2.02</v>
          </cell>
          <cell r="BO19">
            <v>2.25</v>
          </cell>
          <cell r="BP19">
            <v>2.29</v>
          </cell>
          <cell r="BQ19">
            <v>2.25</v>
          </cell>
          <cell r="BR19">
            <v>2.0299999999999998</v>
          </cell>
          <cell r="BS19">
            <v>2.36</v>
          </cell>
          <cell r="BT19">
            <v>1.92</v>
          </cell>
          <cell r="BU19">
            <v>1.61</v>
          </cell>
          <cell r="BV19">
            <v>2.0299999999999998</v>
          </cell>
          <cell r="BW19">
            <v>1.99</v>
          </cell>
          <cell r="BX19">
            <v>2.12</v>
          </cell>
          <cell r="BY19">
            <v>1.78</v>
          </cell>
          <cell r="BZ19">
            <v>1.77</v>
          </cell>
          <cell r="CA19">
            <v>1.63</v>
          </cell>
          <cell r="CB19">
            <v>1.88</v>
          </cell>
          <cell r="CC19">
            <v>2.35</v>
          </cell>
          <cell r="CD19">
            <v>2.23</v>
          </cell>
          <cell r="CE19">
            <v>2.27</v>
          </cell>
          <cell r="CF19">
            <v>2.61</v>
          </cell>
          <cell r="CG19">
            <v>2.9</v>
          </cell>
        </row>
        <row r="20">
          <cell r="A20" t="str">
            <v>FGT-Z3</v>
          </cell>
          <cell r="B20">
            <v>17</v>
          </cell>
          <cell r="C20">
            <v>2.4700000000000002</v>
          </cell>
          <cell r="D20">
            <v>2.36</v>
          </cell>
          <cell r="E20">
            <v>2.0699999999999998</v>
          </cell>
          <cell r="F20">
            <v>1.65</v>
          </cell>
          <cell r="G20">
            <v>1.94</v>
          </cell>
          <cell r="H20">
            <v>2.2200000000000002</v>
          </cell>
          <cell r="I20">
            <v>2.8</v>
          </cell>
          <cell r="J20">
            <v>2.1800000000000002</v>
          </cell>
          <cell r="K20">
            <v>1.98</v>
          </cell>
          <cell r="L20">
            <v>2.11</v>
          </cell>
          <cell r="M20">
            <v>2.38</v>
          </cell>
          <cell r="N20">
            <v>2.1</v>
          </cell>
          <cell r="O20">
            <v>2.15</v>
          </cell>
          <cell r="P20">
            <v>2.41</v>
          </cell>
          <cell r="Q20">
            <v>2.13</v>
          </cell>
          <cell r="R20">
            <v>2.39</v>
          </cell>
          <cell r="S20">
            <v>2.39</v>
          </cell>
          <cell r="T20">
            <v>1.96</v>
          </cell>
          <cell r="U20">
            <v>2.1</v>
          </cell>
          <cell r="V20">
            <v>1.89</v>
          </cell>
          <cell r="W20">
            <v>1.98</v>
          </cell>
          <cell r="X20">
            <v>1.84</v>
          </cell>
          <cell r="Y20">
            <v>1.52</v>
          </cell>
          <cell r="Z20">
            <v>1.45</v>
          </cell>
          <cell r="AA20">
            <v>1.72</v>
          </cell>
          <cell r="AB20">
            <v>1.71</v>
          </cell>
          <cell r="AC20">
            <v>1.62</v>
          </cell>
          <cell r="AD20">
            <v>1.47</v>
          </cell>
          <cell r="AE20">
            <v>1.46</v>
          </cell>
          <cell r="AF20">
            <v>1.56</v>
          </cell>
          <cell r="AG20">
            <v>1.67</v>
          </cell>
          <cell r="AH20">
            <v>1.72</v>
          </cell>
          <cell r="AI20">
            <v>1.49</v>
          </cell>
          <cell r="AJ20">
            <v>1.37</v>
          </cell>
          <cell r="AK20">
            <v>1.55</v>
          </cell>
          <cell r="AL20">
            <v>1.62</v>
          </cell>
          <cell r="AM20">
            <v>1.76</v>
          </cell>
          <cell r="AN20">
            <v>2.2400000000000002</v>
          </cell>
          <cell r="AO20">
            <v>3.37</v>
          </cell>
          <cell r="AP20">
            <v>2.35</v>
          </cell>
          <cell r="AQ20">
            <v>2.82</v>
          </cell>
          <cell r="AR20">
            <v>2.69</v>
          </cell>
          <cell r="AS20">
            <v>2.2000000000000002</v>
          </cell>
          <cell r="AT20">
            <v>2.33</v>
          </cell>
          <cell r="AU20">
            <v>2.61</v>
          </cell>
          <cell r="AV20">
            <v>2.2999999999999998</v>
          </cell>
          <cell r="AW20">
            <v>1.79</v>
          </cell>
          <cell r="AX20">
            <v>1.8</v>
          </cell>
          <cell r="AY20">
            <v>2.6</v>
          </cell>
          <cell r="AZ20">
            <v>3.81</v>
          </cell>
          <cell r="BA20">
            <v>3.95</v>
          </cell>
          <cell r="BB20">
            <v>2.87</v>
          </cell>
          <cell r="BC20">
            <v>1.79</v>
          </cell>
          <cell r="BD20">
            <v>1.76</v>
          </cell>
          <cell r="BE20">
            <v>2.1</v>
          </cell>
          <cell r="BF20">
            <v>2.25</v>
          </cell>
          <cell r="BG20">
            <v>2.12</v>
          </cell>
          <cell r="BH20">
            <v>2.13</v>
          </cell>
          <cell r="BI20">
            <v>2.4700000000000002</v>
          </cell>
          <cell r="BJ20">
            <v>3.05</v>
          </cell>
          <cell r="BK20">
            <v>3.2</v>
          </cell>
          <cell r="BL20">
            <v>2.4900000000000002</v>
          </cell>
          <cell r="BM20">
            <v>2.23</v>
          </cell>
          <cell r="BN20">
            <v>1.96</v>
          </cell>
          <cell r="BO20">
            <v>2.19</v>
          </cell>
          <cell r="BP20">
            <v>2.27</v>
          </cell>
          <cell r="BQ20">
            <v>2.2200000000000002</v>
          </cell>
          <cell r="BR20">
            <v>1.98</v>
          </cell>
          <cell r="BS20">
            <v>2.29</v>
          </cell>
          <cell r="BT20">
            <v>1.86</v>
          </cell>
          <cell r="BU20">
            <v>1.57</v>
          </cell>
          <cell r="BV20">
            <v>1.97</v>
          </cell>
          <cell r="BW20">
            <v>1.91</v>
          </cell>
          <cell r="BX20">
            <v>2.0699999999999998</v>
          </cell>
          <cell r="BY20">
            <v>1.73</v>
          </cell>
          <cell r="BZ20">
            <v>1.74</v>
          </cell>
          <cell r="CA20">
            <v>1.6</v>
          </cell>
          <cell r="CB20">
            <v>1.85</v>
          </cell>
          <cell r="CC20">
            <v>2.2999999999999998</v>
          </cell>
          <cell r="CD20">
            <v>2.21</v>
          </cell>
          <cell r="CE20">
            <v>2.2400000000000002</v>
          </cell>
          <cell r="CF20">
            <v>2.57</v>
          </cell>
          <cell r="CG20">
            <v>2.86</v>
          </cell>
        </row>
        <row r="21">
          <cell r="A21" t="str">
            <v>HSC</v>
          </cell>
          <cell r="B21">
            <v>18</v>
          </cell>
          <cell r="C21">
            <v>2.2400000000000002</v>
          </cell>
          <cell r="D21">
            <v>2.1800000000000002</v>
          </cell>
          <cell r="E21">
            <v>1.98</v>
          </cell>
          <cell r="F21">
            <v>1.64</v>
          </cell>
          <cell r="G21">
            <v>1.93</v>
          </cell>
          <cell r="H21">
            <v>2.23</v>
          </cell>
          <cell r="I21">
            <v>2.6</v>
          </cell>
          <cell r="J21">
            <v>1.93</v>
          </cell>
          <cell r="K21">
            <v>1.97</v>
          </cell>
          <cell r="L21">
            <v>2.19</v>
          </cell>
          <cell r="M21">
            <v>2.36</v>
          </cell>
          <cell r="N21">
            <v>2.02</v>
          </cell>
          <cell r="O21">
            <v>2.12</v>
          </cell>
          <cell r="P21">
            <v>2.4</v>
          </cell>
          <cell r="Q21">
            <v>2.04</v>
          </cell>
          <cell r="R21">
            <v>2.19</v>
          </cell>
          <cell r="S21">
            <v>2.2599999999999998</v>
          </cell>
          <cell r="T21">
            <v>1.98</v>
          </cell>
          <cell r="U21">
            <v>2.0499999999999998</v>
          </cell>
          <cell r="V21">
            <v>1.77</v>
          </cell>
          <cell r="W21">
            <v>1.98</v>
          </cell>
          <cell r="X21">
            <v>1.78</v>
          </cell>
          <cell r="Y21">
            <v>1.5</v>
          </cell>
          <cell r="Z21">
            <v>1.39</v>
          </cell>
          <cell r="AA21">
            <v>1.66</v>
          </cell>
          <cell r="AB21">
            <v>1.67</v>
          </cell>
          <cell r="AC21">
            <v>1.56</v>
          </cell>
          <cell r="AD21">
            <v>1.36</v>
          </cell>
          <cell r="AE21">
            <v>1.39</v>
          </cell>
          <cell r="AF21">
            <v>1.52</v>
          </cell>
          <cell r="AG21">
            <v>1.63</v>
          </cell>
          <cell r="AH21">
            <v>1.67</v>
          </cell>
          <cell r="AI21">
            <v>1.48</v>
          </cell>
          <cell r="AJ21">
            <v>1.37</v>
          </cell>
          <cell r="AK21">
            <v>1.54</v>
          </cell>
          <cell r="AL21">
            <v>1.6</v>
          </cell>
          <cell r="AM21">
            <v>1.73</v>
          </cell>
          <cell r="AN21">
            <v>2.08</v>
          </cell>
          <cell r="AO21">
            <v>2.17</v>
          </cell>
          <cell r="AP21">
            <v>1.86</v>
          </cell>
          <cell r="AQ21">
            <v>1.99</v>
          </cell>
          <cell r="AR21">
            <v>2.29</v>
          </cell>
          <cell r="AS21">
            <v>2.19</v>
          </cell>
          <cell r="AT21">
            <v>2.31</v>
          </cell>
          <cell r="AU21">
            <v>2.58</v>
          </cell>
          <cell r="AV21">
            <v>2.2999999999999998</v>
          </cell>
          <cell r="AW21">
            <v>1.85</v>
          </cell>
          <cell r="AX21">
            <v>1.83</v>
          </cell>
          <cell r="AY21">
            <v>2.61</v>
          </cell>
          <cell r="AZ21">
            <v>3.7</v>
          </cell>
          <cell r="BA21">
            <v>3.9</v>
          </cell>
          <cell r="BB21">
            <v>2.82</v>
          </cell>
          <cell r="BC21">
            <v>1.74</v>
          </cell>
          <cell r="BD21">
            <v>1.81</v>
          </cell>
          <cell r="BE21">
            <v>2.09</v>
          </cell>
          <cell r="BF21">
            <v>2.29</v>
          </cell>
          <cell r="BG21">
            <v>2.16</v>
          </cell>
          <cell r="BH21">
            <v>2.1800000000000002</v>
          </cell>
          <cell r="BI21">
            <v>2.5</v>
          </cell>
          <cell r="BJ21">
            <v>3.11</v>
          </cell>
          <cell r="BK21">
            <v>3.27</v>
          </cell>
          <cell r="BL21">
            <v>2.4500000000000002</v>
          </cell>
          <cell r="BM21">
            <v>2.2200000000000002</v>
          </cell>
          <cell r="BN21">
            <v>2.0099999999999998</v>
          </cell>
          <cell r="BO21">
            <v>2.23</v>
          </cell>
          <cell r="BP21">
            <v>2.29</v>
          </cell>
          <cell r="BQ21">
            <v>2.27</v>
          </cell>
          <cell r="BR21">
            <v>2.0499999999999998</v>
          </cell>
          <cell r="BS21">
            <v>2.38</v>
          </cell>
          <cell r="BT21">
            <v>1.96</v>
          </cell>
          <cell r="BU21">
            <v>1.66</v>
          </cell>
          <cell r="BV21">
            <v>2.04</v>
          </cell>
          <cell r="BW21">
            <v>1.99</v>
          </cell>
          <cell r="BX21">
            <v>2.08</v>
          </cell>
          <cell r="BY21">
            <v>1.78</v>
          </cell>
          <cell r="BZ21">
            <v>1.78</v>
          </cell>
          <cell r="CA21">
            <v>1.65</v>
          </cell>
          <cell r="CB21">
            <v>1.86</v>
          </cell>
          <cell r="CC21">
            <v>2.35</v>
          </cell>
          <cell r="CD21">
            <v>2.2400000000000002</v>
          </cell>
          <cell r="CE21">
            <v>2.2799999999999998</v>
          </cell>
          <cell r="CF21">
            <v>2.62</v>
          </cell>
          <cell r="CG21">
            <v>2.91</v>
          </cell>
        </row>
        <row r="22">
          <cell r="A22" t="str">
            <v>HUB</v>
          </cell>
          <cell r="B22">
            <v>19</v>
          </cell>
          <cell r="C22">
            <v>2.2999999999999998</v>
          </cell>
          <cell r="D22">
            <v>2.2999999999999998</v>
          </cell>
          <cell r="E22">
            <v>1.95</v>
          </cell>
          <cell r="F22">
            <v>1.62</v>
          </cell>
          <cell r="G22">
            <v>1.89</v>
          </cell>
          <cell r="H22">
            <v>2.23</v>
          </cell>
          <cell r="I22">
            <v>2.69</v>
          </cell>
          <cell r="J22">
            <v>1.98</v>
          </cell>
          <cell r="K22">
            <v>1.92</v>
          </cell>
          <cell r="L22">
            <v>2.11</v>
          </cell>
          <cell r="M22">
            <v>2.37</v>
          </cell>
          <cell r="N22">
            <v>2.0099999999999998</v>
          </cell>
          <cell r="O22">
            <v>2.12</v>
          </cell>
          <cell r="P22">
            <v>2.4</v>
          </cell>
          <cell r="Q22">
            <v>2.02</v>
          </cell>
          <cell r="R22">
            <v>2.39</v>
          </cell>
          <cell r="S22">
            <v>2.38</v>
          </cell>
          <cell r="T22">
            <v>1.98</v>
          </cell>
          <cell r="U22">
            <v>2.06</v>
          </cell>
          <cell r="V22">
            <v>1.82</v>
          </cell>
          <cell r="W22">
            <v>1.97</v>
          </cell>
          <cell r="X22">
            <v>1.8</v>
          </cell>
          <cell r="Y22">
            <v>1.48</v>
          </cell>
          <cell r="Z22">
            <v>1.41</v>
          </cell>
          <cell r="AA22">
            <v>1.69</v>
          </cell>
          <cell r="AB22">
            <v>1.69</v>
          </cell>
          <cell r="AC22">
            <v>1.62</v>
          </cell>
          <cell r="AD22">
            <v>1.42</v>
          </cell>
          <cell r="AE22">
            <v>1.44</v>
          </cell>
          <cell r="AF22">
            <v>1.57</v>
          </cell>
          <cell r="AG22">
            <v>1.68</v>
          </cell>
          <cell r="AH22">
            <v>1.75</v>
          </cell>
          <cell r="AI22">
            <v>1.51</v>
          </cell>
          <cell r="AJ22">
            <v>1.38</v>
          </cell>
          <cell r="AK22">
            <v>1.58</v>
          </cell>
          <cell r="AL22">
            <v>1.65</v>
          </cell>
          <cell r="AM22">
            <v>1.78</v>
          </cell>
          <cell r="AN22">
            <v>2.2599999999999998</v>
          </cell>
          <cell r="AO22">
            <v>3.42</v>
          </cell>
          <cell r="AP22">
            <v>2.4</v>
          </cell>
          <cell r="AQ22">
            <v>2.94</v>
          </cell>
          <cell r="AR22">
            <v>2.7</v>
          </cell>
          <cell r="AS22">
            <v>2.21</v>
          </cell>
          <cell r="AT22">
            <v>2.38</v>
          </cell>
          <cell r="AU22">
            <v>2.66</v>
          </cell>
          <cell r="AV22">
            <v>2.2999999999999998</v>
          </cell>
          <cell r="AW22">
            <v>1.83</v>
          </cell>
          <cell r="AX22">
            <v>1.85</v>
          </cell>
          <cell r="AY22">
            <v>2.72</v>
          </cell>
          <cell r="AZ22">
            <v>3.9</v>
          </cell>
          <cell r="BA22">
            <v>4.09</v>
          </cell>
          <cell r="BB22">
            <v>2.96</v>
          </cell>
          <cell r="BC22">
            <v>1.78</v>
          </cell>
          <cell r="BD22">
            <v>1.85</v>
          </cell>
          <cell r="BE22">
            <v>2.15</v>
          </cell>
          <cell r="BF22">
            <v>2.31</v>
          </cell>
          <cell r="BG22">
            <v>2.16</v>
          </cell>
          <cell r="BH22">
            <v>2.19</v>
          </cell>
          <cell r="BI22">
            <v>2.57</v>
          </cell>
          <cell r="BJ22">
            <v>3.16</v>
          </cell>
          <cell r="BK22">
            <v>3.3</v>
          </cell>
          <cell r="BL22">
            <v>2.5499999999999998</v>
          </cell>
          <cell r="BM22">
            <v>2.27</v>
          </cell>
          <cell r="BN22">
            <v>2.04</v>
          </cell>
          <cell r="BO22">
            <v>2.2599999999999998</v>
          </cell>
          <cell r="BP22">
            <v>2.3199999999999998</v>
          </cell>
          <cell r="BQ22">
            <v>2.27</v>
          </cell>
          <cell r="BR22">
            <v>2.0299999999999998</v>
          </cell>
          <cell r="BS22">
            <v>2.37</v>
          </cell>
          <cell r="BT22">
            <v>1.93</v>
          </cell>
          <cell r="BU22">
            <v>1.63</v>
          </cell>
          <cell r="BV22">
            <v>2.0699999999999998</v>
          </cell>
          <cell r="BW22">
            <v>2</v>
          </cell>
          <cell r="BX22">
            <v>2.12</v>
          </cell>
          <cell r="BY22">
            <v>1.8</v>
          </cell>
          <cell r="BZ22">
            <v>1.81</v>
          </cell>
          <cell r="CA22">
            <v>1.64</v>
          </cell>
          <cell r="CB22">
            <v>1.88</v>
          </cell>
          <cell r="CC22">
            <v>2.35</v>
          </cell>
          <cell r="CD22">
            <v>2.23</v>
          </cell>
          <cell r="CE22">
            <v>2.2799999999999998</v>
          </cell>
          <cell r="CF22">
            <v>2.62</v>
          </cell>
          <cell r="CG22">
            <v>2.9</v>
          </cell>
        </row>
        <row r="23">
          <cell r="A23" t="str">
            <v>KERN</v>
          </cell>
          <cell r="B23">
            <v>20</v>
          </cell>
          <cell r="C23">
            <v>1.85</v>
          </cell>
          <cell r="D23">
            <v>1.9</v>
          </cell>
          <cell r="E23">
            <v>2.3199999999999998</v>
          </cell>
          <cell r="F23">
            <v>1.6</v>
          </cell>
          <cell r="G23">
            <v>1.78</v>
          </cell>
          <cell r="H23">
            <v>1.82</v>
          </cell>
          <cell r="I23">
            <v>2.2999999999999998</v>
          </cell>
          <cell r="J23">
            <v>1.68</v>
          </cell>
          <cell r="K23">
            <v>1.64</v>
          </cell>
          <cell r="L23">
            <v>1.69</v>
          </cell>
          <cell r="M23">
            <v>1.96</v>
          </cell>
          <cell r="N23">
            <v>1.78</v>
          </cell>
          <cell r="O23">
            <v>1.8</v>
          </cell>
          <cell r="P23">
            <v>2.33</v>
          </cell>
          <cell r="Q23">
            <v>1.97</v>
          </cell>
          <cell r="R23">
            <v>1.78</v>
          </cell>
          <cell r="S23">
            <v>1.94</v>
          </cell>
          <cell r="T23">
            <v>1.63</v>
          </cell>
          <cell r="U23">
            <v>1.64</v>
          </cell>
          <cell r="V23">
            <v>1.38</v>
          </cell>
          <cell r="W23">
            <v>1.5</v>
          </cell>
          <cell r="X23">
            <v>1.46</v>
          </cell>
          <cell r="Y23">
            <v>1.36</v>
          </cell>
          <cell r="Z23">
            <v>1.18</v>
          </cell>
          <cell r="AA23">
            <v>1.5</v>
          </cell>
          <cell r="AB23">
            <v>1.63</v>
          </cell>
          <cell r="AC23">
            <v>1.39</v>
          </cell>
          <cell r="AD23">
            <v>1.07</v>
          </cell>
          <cell r="AE23">
            <v>1.07</v>
          </cell>
          <cell r="AF23">
            <v>1.06</v>
          </cell>
          <cell r="AG23">
            <v>1.07</v>
          </cell>
          <cell r="AH23">
            <v>1.1499999999999999</v>
          </cell>
          <cell r="AI23">
            <v>1</v>
          </cell>
          <cell r="AJ23">
            <v>0.84</v>
          </cell>
          <cell r="AK23">
            <v>0.95</v>
          </cell>
          <cell r="AL23">
            <v>1.04</v>
          </cell>
          <cell r="AM23">
            <v>1.25</v>
          </cell>
          <cell r="AN23">
            <v>1.31</v>
          </cell>
          <cell r="AO23">
            <v>1.27</v>
          </cell>
          <cell r="AP23">
            <v>1.17</v>
          </cell>
          <cell r="AQ23">
            <v>1.17</v>
          </cell>
          <cell r="AR23">
            <v>1.06</v>
          </cell>
          <cell r="AS23">
            <v>1.06</v>
          </cell>
          <cell r="AT23">
            <v>1.07</v>
          </cell>
          <cell r="AU23">
            <v>1.19</v>
          </cell>
          <cell r="AV23">
            <v>1.23</v>
          </cell>
          <cell r="AW23">
            <v>1.2</v>
          </cell>
          <cell r="AX23">
            <v>1.26</v>
          </cell>
          <cell r="AY23">
            <v>2.23</v>
          </cell>
          <cell r="AZ23">
            <v>3.48</v>
          </cell>
          <cell r="BA23">
            <v>4.2300000000000004</v>
          </cell>
          <cell r="BB23">
            <v>2.5</v>
          </cell>
          <cell r="BC23">
            <v>1.39</v>
          </cell>
          <cell r="BD23">
            <v>1.44</v>
          </cell>
          <cell r="BE23">
            <v>1.64</v>
          </cell>
          <cell r="BF23">
            <v>1.47</v>
          </cell>
          <cell r="BG23">
            <v>1.43</v>
          </cell>
          <cell r="BH23">
            <v>1.37</v>
          </cell>
          <cell r="BI23">
            <v>1.48</v>
          </cell>
          <cell r="BJ23">
            <v>2.09</v>
          </cell>
          <cell r="BK23">
            <v>3</v>
          </cell>
          <cell r="BL23">
            <v>1.93</v>
          </cell>
          <cell r="BM23">
            <v>2.04</v>
          </cell>
          <cell r="BN23">
            <v>1.69</v>
          </cell>
          <cell r="BO23">
            <v>1.88</v>
          </cell>
          <cell r="BP23">
            <v>1.9</v>
          </cell>
          <cell r="BQ23">
            <v>1.97</v>
          </cell>
          <cell r="BR23">
            <v>1.65</v>
          </cell>
          <cell r="BS23">
            <v>1.62</v>
          </cell>
          <cell r="BT23">
            <v>1.73</v>
          </cell>
          <cell r="BU23">
            <v>1.59</v>
          </cell>
          <cell r="BV23">
            <v>1.64</v>
          </cell>
          <cell r="BW23">
            <v>2.0099999999999998</v>
          </cell>
          <cell r="BX23">
            <v>2</v>
          </cell>
          <cell r="BY23">
            <v>1.8</v>
          </cell>
          <cell r="BZ23">
            <v>1.64</v>
          </cell>
          <cell r="CA23">
            <v>1.51</v>
          </cell>
          <cell r="CB23">
            <v>1.54</v>
          </cell>
          <cell r="CC23">
            <v>1.99</v>
          </cell>
          <cell r="CD23">
            <v>1.94</v>
          </cell>
          <cell r="CE23">
            <v>2</v>
          </cell>
          <cell r="CF23">
            <v>2.1800000000000002</v>
          </cell>
          <cell r="CG23">
            <v>2.56</v>
          </cell>
        </row>
        <row r="24">
          <cell r="A24" t="str">
            <v>KRS (SOCAL)-NGI</v>
          </cell>
          <cell r="B24">
            <v>21</v>
          </cell>
          <cell r="AD24">
            <v>1.23</v>
          </cell>
          <cell r="AE24">
            <v>1.21</v>
          </cell>
          <cell r="AF24">
            <v>1.23</v>
          </cell>
          <cell r="AG24">
            <v>1.32</v>
          </cell>
          <cell r="AH24">
            <v>1.32</v>
          </cell>
          <cell r="AI24">
            <v>1.24</v>
          </cell>
          <cell r="AJ24">
            <v>1.23</v>
          </cell>
          <cell r="AK24">
            <v>1.44</v>
          </cell>
          <cell r="AL24">
            <v>1.46</v>
          </cell>
          <cell r="AM24">
            <v>1.56</v>
          </cell>
          <cell r="AN24">
            <v>1.62</v>
          </cell>
          <cell r="AO24">
            <v>1.49</v>
          </cell>
          <cell r="AP24">
            <v>1.42</v>
          </cell>
          <cell r="AQ24">
            <v>1.39</v>
          </cell>
          <cell r="AR24">
            <v>1.28</v>
          </cell>
          <cell r="AS24">
            <v>1.28</v>
          </cell>
          <cell r="AT24">
            <v>1.37</v>
          </cell>
          <cell r="AU24">
            <v>1.68</v>
          </cell>
          <cell r="AV24">
            <v>2.15</v>
          </cell>
          <cell r="AW24">
            <v>1.71</v>
          </cell>
          <cell r="AX24">
            <v>1.72</v>
          </cell>
          <cell r="AY24">
            <v>2.61</v>
          </cell>
          <cell r="AZ24">
            <v>3.68</v>
          </cell>
          <cell r="BA24">
            <v>4.25</v>
          </cell>
          <cell r="BB24">
            <v>2.64</v>
          </cell>
          <cell r="BC24">
            <v>1.6</v>
          </cell>
          <cell r="BD24">
            <v>1.72</v>
          </cell>
          <cell r="BE24">
            <v>2.0299999999999998</v>
          </cell>
          <cell r="BF24">
            <v>2.1800000000000002</v>
          </cell>
          <cell r="BG24">
            <v>2.17</v>
          </cell>
          <cell r="BH24">
            <v>2.19</v>
          </cell>
          <cell r="BI24">
            <v>2.4900000000000002</v>
          </cell>
          <cell r="BJ24">
            <v>3.04</v>
          </cell>
          <cell r="BK24">
            <v>3.27</v>
          </cell>
          <cell r="BL24">
            <v>2.3199999999999998</v>
          </cell>
          <cell r="BM24">
            <v>2.2799999999999998</v>
          </cell>
          <cell r="BN24">
            <v>2.1</v>
          </cell>
        </row>
        <row r="25">
          <cell r="A25" t="str">
            <v>KOCH-LA</v>
          </cell>
          <cell r="B25">
            <v>22</v>
          </cell>
          <cell r="C25">
            <v>2.2200000000000002</v>
          </cell>
          <cell r="D25">
            <v>2.15</v>
          </cell>
          <cell r="E25">
            <v>1.85</v>
          </cell>
          <cell r="F25">
            <v>1.54</v>
          </cell>
          <cell r="G25">
            <v>1.85</v>
          </cell>
          <cell r="H25">
            <v>2.1</v>
          </cell>
          <cell r="I25">
            <v>2.56</v>
          </cell>
          <cell r="J25">
            <v>1.92</v>
          </cell>
          <cell r="K25">
            <v>1.85</v>
          </cell>
          <cell r="L25">
            <v>2.04</v>
          </cell>
          <cell r="M25">
            <v>2.27</v>
          </cell>
          <cell r="N25">
            <v>1.9</v>
          </cell>
          <cell r="O25">
            <v>1.98</v>
          </cell>
          <cell r="P25">
            <v>2.2999999999999998</v>
          </cell>
          <cell r="Q25">
            <v>1.92</v>
          </cell>
          <cell r="R25">
            <v>2.14</v>
          </cell>
          <cell r="S25">
            <v>2.19</v>
          </cell>
          <cell r="T25">
            <v>1.89</v>
          </cell>
          <cell r="U25">
            <v>1.94</v>
          </cell>
          <cell r="V25">
            <v>1.7</v>
          </cell>
          <cell r="W25">
            <v>1.85</v>
          </cell>
          <cell r="X25">
            <v>1.68</v>
          </cell>
          <cell r="Y25">
            <v>1.39</v>
          </cell>
          <cell r="Z25">
            <v>1.31</v>
          </cell>
          <cell r="AA25">
            <v>1.57</v>
          </cell>
          <cell r="AB25">
            <v>1.58</v>
          </cell>
          <cell r="AC25">
            <v>1.52</v>
          </cell>
          <cell r="AD25">
            <v>1.36</v>
          </cell>
          <cell r="AE25">
            <v>1.35</v>
          </cell>
          <cell r="AF25">
            <v>1.46</v>
          </cell>
          <cell r="AG25">
            <v>1.57</v>
          </cell>
          <cell r="AH25">
            <v>1.62</v>
          </cell>
          <cell r="AI25">
            <v>1.43</v>
          </cell>
          <cell r="AJ25">
            <v>1.28</v>
          </cell>
          <cell r="AK25">
            <v>1.48</v>
          </cell>
          <cell r="AL25">
            <v>1.56</v>
          </cell>
          <cell r="AM25">
            <v>1.69</v>
          </cell>
          <cell r="AN25">
            <v>2.12</v>
          </cell>
          <cell r="AO25">
            <v>2.52</v>
          </cell>
          <cell r="AP25">
            <v>2.11</v>
          </cell>
          <cell r="AQ25">
            <v>2.57</v>
          </cell>
          <cell r="AR25">
            <v>2.4500000000000002</v>
          </cell>
          <cell r="AS25">
            <v>2.1</v>
          </cell>
          <cell r="AT25">
            <v>2.2200000000000002</v>
          </cell>
          <cell r="AU25">
            <v>2.52</v>
          </cell>
          <cell r="AV25">
            <v>2.23</v>
          </cell>
          <cell r="AW25">
            <v>1.7</v>
          </cell>
          <cell r="AX25">
            <v>1.74</v>
          </cell>
          <cell r="AY25">
            <v>2.6</v>
          </cell>
          <cell r="AZ25">
            <v>3.82</v>
          </cell>
          <cell r="BA25">
            <v>3.85</v>
          </cell>
          <cell r="BB25">
            <v>2.85</v>
          </cell>
          <cell r="BC25">
            <v>1.72</v>
          </cell>
          <cell r="BD25">
            <v>1.77</v>
          </cell>
          <cell r="BE25">
            <v>2.0099999999999998</v>
          </cell>
          <cell r="BF25">
            <v>2.2599999999999998</v>
          </cell>
          <cell r="BG25">
            <v>2.09</v>
          </cell>
          <cell r="BH25">
            <v>2.12</v>
          </cell>
          <cell r="BI25">
            <v>2.4700000000000002</v>
          </cell>
          <cell r="BJ25">
            <v>3.03</v>
          </cell>
          <cell r="BK25">
            <v>3.2</v>
          </cell>
          <cell r="BL25">
            <v>2.4700000000000002</v>
          </cell>
          <cell r="BM25">
            <v>2.17</v>
          </cell>
          <cell r="BN25">
            <v>1.92</v>
          </cell>
          <cell r="BO25">
            <v>2.15</v>
          </cell>
          <cell r="BP25">
            <v>2.2200000000000002</v>
          </cell>
          <cell r="BQ25">
            <v>2.17</v>
          </cell>
          <cell r="BR25">
            <v>1.94</v>
          </cell>
          <cell r="BS25">
            <v>2.2599999999999998</v>
          </cell>
          <cell r="BT25">
            <v>1.85</v>
          </cell>
          <cell r="BU25">
            <v>1.54</v>
          </cell>
          <cell r="BV25">
            <v>1.95</v>
          </cell>
          <cell r="BW25">
            <v>1.89</v>
          </cell>
          <cell r="BX25">
            <v>2.0099999999999998</v>
          </cell>
          <cell r="BY25">
            <v>1.65</v>
          </cell>
          <cell r="BZ25">
            <v>1.7</v>
          </cell>
          <cell r="CA25">
            <v>1.52</v>
          </cell>
          <cell r="CB25">
            <v>1.76</v>
          </cell>
          <cell r="CC25">
            <v>2.2400000000000002</v>
          </cell>
          <cell r="CD25">
            <v>2.11</v>
          </cell>
          <cell r="CE25">
            <v>2.16</v>
          </cell>
          <cell r="CF25">
            <v>2.4900000000000002</v>
          </cell>
          <cell r="CG25">
            <v>2.78</v>
          </cell>
        </row>
        <row r="26">
          <cell r="A26" t="str">
            <v>KOCH-TX</v>
          </cell>
          <cell r="B26">
            <v>23</v>
          </cell>
          <cell r="C26">
            <v>2.17</v>
          </cell>
          <cell r="D26">
            <v>2.1</v>
          </cell>
          <cell r="E26">
            <v>1.82</v>
          </cell>
          <cell r="F26">
            <v>1.53</v>
          </cell>
          <cell r="G26">
            <v>1.78</v>
          </cell>
          <cell r="H26">
            <v>2.1</v>
          </cell>
          <cell r="I26">
            <v>2.56</v>
          </cell>
          <cell r="J26">
            <v>1.89</v>
          </cell>
          <cell r="K26">
            <v>1.85</v>
          </cell>
          <cell r="L26">
            <v>2</v>
          </cell>
          <cell r="M26">
            <v>2.25</v>
          </cell>
          <cell r="N26">
            <v>1.88</v>
          </cell>
          <cell r="O26">
            <v>1.95</v>
          </cell>
          <cell r="P26">
            <v>2.2599999999999998</v>
          </cell>
          <cell r="Q26">
            <v>1.87</v>
          </cell>
          <cell r="R26">
            <v>2.1</v>
          </cell>
          <cell r="S26">
            <v>2.09</v>
          </cell>
          <cell r="T26">
            <v>1.83</v>
          </cell>
          <cell r="U26">
            <v>1.9</v>
          </cell>
          <cell r="V26">
            <v>1.65</v>
          </cell>
          <cell r="W26">
            <v>1.8</v>
          </cell>
          <cell r="X26">
            <v>1.64</v>
          </cell>
          <cell r="Y26">
            <v>1.37</v>
          </cell>
          <cell r="Z26">
            <v>1.3</v>
          </cell>
          <cell r="AA26">
            <v>1.53</v>
          </cell>
          <cell r="AB26">
            <v>1.54</v>
          </cell>
          <cell r="AC26">
            <v>1.46</v>
          </cell>
          <cell r="AD26">
            <v>1.27</v>
          </cell>
          <cell r="AE26">
            <v>1.3</v>
          </cell>
          <cell r="AF26">
            <v>1.44</v>
          </cell>
          <cell r="AG26">
            <v>1.52</v>
          </cell>
          <cell r="AH26">
            <v>1.58</v>
          </cell>
          <cell r="AI26">
            <v>1.37</v>
          </cell>
          <cell r="AJ26">
            <v>1.26</v>
          </cell>
          <cell r="AK26">
            <v>1.44</v>
          </cell>
          <cell r="AL26">
            <v>1.53</v>
          </cell>
          <cell r="AM26">
            <v>1.65</v>
          </cell>
          <cell r="AN26">
            <v>2.06</v>
          </cell>
          <cell r="AO26">
            <v>2.06</v>
          </cell>
          <cell r="AP26">
            <v>1.78</v>
          </cell>
          <cell r="AQ26">
            <v>1.92</v>
          </cell>
          <cell r="AR26">
            <v>2.2400000000000002</v>
          </cell>
          <cell r="AS26">
            <v>2.0499999999999998</v>
          </cell>
          <cell r="AT26">
            <v>2.21</v>
          </cell>
          <cell r="AU26">
            <v>2.48</v>
          </cell>
          <cell r="AV26">
            <v>2.19</v>
          </cell>
          <cell r="AW26">
            <v>1.69</v>
          </cell>
          <cell r="AX26">
            <v>1.72</v>
          </cell>
          <cell r="AY26">
            <v>2.58</v>
          </cell>
          <cell r="AZ26">
            <v>3.59</v>
          </cell>
          <cell r="BA26">
            <v>3.6</v>
          </cell>
          <cell r="BB26">
            <v>2.64</v>
          </cell>
          <cell r="BC26">
            <v>1.63</v>
          </cell>
          <cell r="BD26">
            <v>1.68</v>
          </cell>
          <cell r="BE26">
            <v>2.0099999999999998</v>
          </cell>
          <cell r="BF26">
            <v>2.17</v>
          </cell>
          <cell r="BG26">
            <v>2.02</v>
          </cell>
          <cell r="BH26">
            <v>2.04</v>
          </cell>
          <cell r="BI26">
            <v>2.4</v>
          </cell>
          <cell r="BJ26">
            <v>2.88</v>
          </cell>
          <cell r="BK26">
            <v>3.04</v>
          </cell>
          <cell r="BL26">
            <v>2.25</v>
          </cell>
          <cell r="BM26">
            <v>2.04</v>
          </cell>
          <cell r="BN26">
            <v>1.82</v>
          </cell>
          <cell r="BO26">
            <v>2.0699999999999998</v>
          </cell>
          <cell r="BP26">
            <v>2.15</v>
          </cell>
          <cell r="BQ26">
            <v>2.09</v>
          </cell>
          <cell r="BR26">
            <v>1.89</v>
          </cell>
          <cell r="BS26">
            <v>2.2000000000000002</v>
          </cell>
          <cell r="BT26">
            <v>1.79</v>
          </cell>
          <cell r="BU26">
            <v>1.47</v>
          </cell>
          <cell r="BV26">
            <v>1.87</v>
          </cell>
          <cell r="BW26">
            <v>1.84</v>
          </cell>
          <cell r="BX26">
            <v>1.96</v>
          </cell>
          <cell r="BY26">
            <v>1.61</v>
          </cell>
          <cell r="BZ26">
            <v>1.63</v>
          </cell>
          <cell r="CA26">
            <v>1.47</v>
          </cell>
          <cell r="CB26">
            <v>1.7</v>
          </cell>
          <cell r="CC26">
            <v>2.1800000000000002</v>
          </cell>
          <cell r="CD26">
            <v>2.06</v>
          </cell>
          <cell r="CE26">
            <v>2.1</v>
          </cell>
          <cell r="CF26">
            <v>2.4500000000000002</v>
          </cell>
          <cell r="CG26">
            <v>2.73</v>
          </cell>
        </row>
        <row r="27">
          <cell r="A27" t="str">
            <v>MALIN-400</v>
          </cell>
          <cell r="B27">
            <v>24</v>
          </cell>
          <cell r="AA27">
            <v>1.63</v>
          </cell>
          <cell r="AB27">
            <v>1.76</v>
          </cell>
          <cell r="AC27">
            <v>1.37</v>
          </cell>
          <cell r="AD27">
            <v>1.1000000000000001</v>
          </cell>
          <cell r="AE27">
            <v>1.0900000000000001</v>
          </cell>
          <cell r="AF27">
            <v>1.1100000000000001</v>
          </cell>
          <cell r="AG27">
            <v>1.2</v>
          </cell>
          <cell r="AH27">
            <v>1.21</v>
          </cell>
          <cell r="AI27">
            <v>1.05</v>
          </cell>
          <cell r="AJ27">
            <v>1.02</v>
          </cell>
          <cell r="AK27">
            <v>1.17</v>
          </cell>
          <cell r="AL27">
            <v>1.23</v>
          </cell>
          <cell r="AM27">
            <v>1.32</v>
          </cell>
          <cell r="AN27">
            <v>1.39</v>
          </cell>
          <cell r="AO27">
            <v>1.38</v>
          </cell>
          <cell r="AP27">
            <v>1.39</v>
          </cell>
          <cell r="AQ27">
            <v>1.32</v>
          </cell>
          <cell r="AR27">
            <v>1.23</v>
          </cell>
          <cell r="AS27">
            <v>1.1499999999999999</v>
          </cell>
          <cell r="AT27">
            <v>1.07</v>
          </cell>
          <cell r="AU27">
            <v>1.19</v>
          </cell>
          <cell r="AV27">
            <v>1.58</v>
          </cell>
          <cell r="AW27">
            <v>1.29</v>
          </cell>
          <cell r="AX27">
            <v>1.34</v>
          </cell>
          <cell r="AY27">
            <v>2.33</v>
          </cell>
          <cell r="AZ27">
            <v>3.62</v>
          </cell>
          <cell r="BA27">
            <v>4.1100000000000003</v>
          </cell>
          <cell r="BB27">
            <v>2.5</v>
          </cell>
          <cell r="BC27">
            <v>1.33</v>
          </cell>
          <cell r="BD27">
            <v>1.46</v>
          </cell>
          <cell r="BE27">
            <v>1.73</v>
          </cell>
          <cell r="BF27">
            <v>1.72</v>
          </cell>
          <cell r="BG27">
            <v>1.59</v>
          </cell>
          <cell r="BH27">
            <v>1.54</v>
          </cell>
          <cell r="BI27">
            <v>1.72</v>
          </cell>
          <cell r="BJ27">
            <v>2.2799999999999998</v>
          </cell>
          <cell r="BK27">
            <v>3.05</v>
          </cell>
          <cell r="BL27">
            <v>1.92</v>
          </cell>
          <cell r="BM27">
            <v>2.1</v>
          </cell>
          <cell r="BN27">
            <v>1.76</v>
          </cell>
          <cell r="BO27">
            <v>1.88</v>
          </cell>
          <cell r="BZ27">
            <v>1.74</v>
          </cell>
          <cell r="CA27">
            <v>1.62</v>
          </cell>
          <cell r="CB27">
            <v>1.64</v>
          </cell>
        </row>
        <row r="28">
          <cell r="A28" t="str">
            <v>MALIN-401</v>
          </cell>
          <cell r="B28">
            <v>25</v>
          </cell>
          <cell r="AC28">
            <v>1.1399999999999999</v>
          </cell>
          <cell r="AD28">
            <v>0.89</v>
          </cell>
          <cell r="AE28">
            <v>0.92</v>
          </cell>
          <cell r="AF28">
            <v>0.95</v>
          </cell>
          <cell r="AG28">
            <v>1.04</v>
          </cell>
          <cell r="AH28">
            <v>1.1000000000000001</v>
          </cell>
          <cell r="AI28">
            <v>0.91</v>
          </cell>
          <cell r="AJ28">
            <v>0.91</v>
          </cell>
          <cell r="AK28">
            <v>1.05</v>
          </cell>
          <cell r="AL28">
            <v>1.1100000000000001</v>
          </cell>
          <cell r="AM28">
            <v>1.17</v>
          </cell>
          <cell r="AN28">
            <v>1.27</v>
          </cell>
          <cell r="AO28">
            <v>1.23</v>
          </cell>
          <cell r="AP28">
            <v>1.24</v>
          </cell>
          <cell r="AQ28">
            <v>1.18</v>
          </cell>
          <cell r="AR28">
            <v>1.1000000000000001</v>
          </cell>
          <cell r="AS28">
            <v>1.03</v>
          </cell>
          <cell r="AT28">
            <v>1</v>
          </cell>
          <cell r="AU28">
            <v>1.19</v>
          </cell>
          <cell r="AV28">
            <v>1.56</v>
          </cell>
          <cell r="AW28">
            <v>1.25</v>
          </cell>
          <cell r="AX28">
            <v>1.29</v>
          </cell>
          <cell r="AY28">
            <v>2.2400000000000002</v>
          </cell>
          <cell r="AZ28">
            <v>3.52</v>
          </cell>
          <cell r="BA28">
            <v>4.0599999999999996</v>
          </cell>
          <cell r="BB28">
            <v>2.44</v>
          </cell>
          <cell r="BC28">
            <v>1.28</v>
          </cell>
          <cell r="BD28">
            <v>1.39</v>
          </cell>
          <cell r="BE28">
            <v>1.67</v>
          </cell>
          <cell r="BF28">
            <v>1.68</v>
          </cell>
          <cell r="BG28">
            <v>1.49</v>
          </cell>
          <cell r="BH28">
            <v>1.5</v>
          </cell>
          <cell r="BI28">
            <v>1.69</v>
          </cell>
          <cell r="BJ28">
            <v>2.25</v>
          </cell>
          <cell r="BK28">
            <v>2.88</v>
          </cell>
          <cell r="BL28">
            <v>1.8</v>
          </cell>
          <cell r="BM28">
            <v>1.96</v>
          </cell>
          <cell r="BN28">
            <v>1.7</v>
          </cell>
          <cell r="BO28">
            <v>2.3199999999999998</v>
          </cell>
        </row>
        <row r="29">
          <cell r="A29" t="str">
            <v>MICH</v>
          </cell>
          <cell r="B29">
            <v>26</v>
          </cell>
          <cell r="D29">
            <v>2.5</v>
          </cell>
          <cell r="E29">
            <v>2.29</v>
          </cell>
          <cell r="F29">
            <v>1.98</v>
          </cell>
          <cell r="G29">
            <v>2.12</v>
          </cell>
          <cell r="H29">
            <v>2.4900000000000002</v>
          </cell>
          <cell r="I29">
            <v>3.03</v>
          </cell>
          <cell r="J29">
            <v>2.36</v>
          </cell>
          <cell r="K29">
            <v>2.2200000000000002</v>
          </cell>
          <cell r="L29">
            <v>2.29</v>
          </cell>
          <cell r="M29">
            <v>2.61</v>
          </cell>
          <cell r="N29">
            <v>2.2000000000000002</v>
          </cell>
          <cell r="O29">
            <v>2.23</v>
          </cell>
          <cell r="P29">
            <v>2.54</v>
          </cell>
          <cell r="Q29">
            <v>2.25</v>
          </cell>
          <cell r="R29">
            <v>2.64</v>
          </cell>
          <cell r="S29">
            <v>2.77</v>
          </cell>
          <cell r="T29">
            <v>2.23</v>
          </cell>
          <cell r="U29">
            <v>2.23</v>
          </cell>
          <cell r="V29">
            <v>1.97</v>
          </cell>
          <cell r="W29">
            <v>2.0699999999999998</v>
          </cell>
          <cell r="X29">
            <v>1.91</v>
          </cell>
          <cell r="Y29">
            <v>1.61</v>
          </cell>
          <cell r="Z29">
            <v>1.49</v>
          </cell>
          <cell r="AA29">
            <v>1.85</v>
          </cell>
          <cell r="AB29">
            <v>1.86</v>
          </cell>
          <cell r="AC29">
            <v>1.75</v>
          </cell>
          <cell r="AD29">
            <v>1.52</v>
          </cell>
          <cell r="AE29">
            <v>1.5</v>
          </cell>
          <cell r="AF29">
            <v>1.64</v>
          </cell>
          <cell r="AG29">
            <v>1.76</v>
          </cell>
          <cell r="AH29">
            <v>1.82</v>
          </cell>
          <cell r="AI29">
            <v>1.59</v>
          </cell>
          <cell r="AJ29">
            <v>1.46</v>
          </cell>
          <cell r="AK29">
            <v>1.68</v>
          </cell>
          <cell r="AL29">
            <v>1.75</v>
          </cell>
          <cell r="AM29">
            <v>1.92</v>
          </cell>
          <cell r="AN29">
            <v>2.35</v>
          </cell>
          <cell r="AO29">
            <v>3.43</v>
          </cell>
          <cell r="AP29">
            <v>3.06</v>
          </cell>
          <cell r="AQ29">
            <v>4.8</v>
          </cell>
          <cell r="AR29">
            <v>3.01</v>
          </cell>
          <cell r="AS29">
            <v>2.38</v>
          </cell>
          <cell r="AT29">
            <v>2.6</v>
          </cell>
          <cell r="AU29">
            <v>2.9</v>
          </cell>
          <cell r="AV29">
            <v>2.5</v>
          </cell>
          <cell r="AW29">
            <v>2.0299999999999998</v>
          </cell>
          <cell r="AX29">
            <v>2.16</v>
          </cell>
          <cell r="AY29">
            <v>3.05</v>
          </cell>
          <cell r="AZ29">
            <v>4.08</v>
          </cell>
          <cell r="BA29">
            <v>4.38</v>
          </cell>
          <cell r="BB29">
            <v>3.36</v>
          </cell>
          <cell r="BC29">
            <v>1.94</v>
          </cell>
          <cell r="BD29">
            <v>2.12</v>
          </cell>
          <cell r="BE29">
            <v>2.2999999999999998</v>
          </cell>
          <cell r="BF29">
            <v>2.5299999999999998</v>
          </cell>
          <cell r="BG29">
            <v>2.3199999999999998</v>
          </cell>
          <cell r="BH29">
            <v>2.31</v>
          </cell>
          <cell r="BI29">
            <v>2.71</v>
          </cell>
          <cell r="BJ29">
            <v>3.37</v>
          </cell>
          <cell r="BK29">
            <v>3.54</v>
          </cell>
          <cell r="BL29">
            <v>3.54</v>
          </cell>
          <cell r="BM29">
            <v>2.38</v>
          </cell>
          <cell r="BN29">
            <v>2.1800000000000002</v>
          </cell>
          <cell r="BO29">
            <v>2.37</v>
          </cell>
          <cell r="BP29">
            <v>2.4700000000000002</v>
          </cell>
          <cell r="BQ29">
            <v>2.41</v>
          </cell>
          <cell r="BR29">
            <v>2.17</v>
          </cell>
          <cell r="BS29">
            <v>2.4300000000000002</v>
          </cell>
          <cell r="CE29">
            <v>2.34</v>
          </cell>
          <cell r="CF29">
            <v>2.7</v>
          </cell>
          <cell r="CG29">
            <v>2.98</v>
          </cell>
        </row>
        <row r="30">
          <cell r="A30" t="str">
            <v>MRC</v>
          </cell>
          <cell r="B30">
            <v>27</v>
          </cell>
          <cell r="C30">
            <v>2.36</v>
          </cell>
          <cell r="D30">
            <v>2.31</v>
          </cell>
          <cell r="E30">
            <v>2.04</v>
          </cell>
          <cell r="F30">
            <v>1.66</v>
          </cell>
          <cell r="G30">
            <v>1.99</v>
          </cell>
          <cell r="H30">
            <v>2.2799999999999998</v>
          </cell>
          <cell r="I30">
            <v>2.7</v>
          </cell>
          <cell r="J30">
            <v>2</v>
          </cell>
          <cell r="K30">
            <v>2.0299999999999998</v>
          </cell>
          <cell r="L30">
            <v>2.1800000000000002</v>
          </cell>
          <cell r="M30">
            <v>2.42</v>
          </cell>
          <cell r="N30">
            <v>2.08</v>
          </cell>
          <cell r="O30">
            <v>2.16</v>
          </cell>
          <cell r="P30">
            <v>2.4700000000000002</v>
          </cell>
          <cell r="Q30">
            <v>2.08</v>
          </cell>
          <cell r="R30">
            <v>2.4</v>
          </cell>
          <cell r="S30">
            <v>2.4300000000000002</v>
          </cell>
          <cell r="T30">
            <v>2.04</v>
          </cell>
          <cell r="U30">
            <v>2.1</v>
          </cell>
          <cell r="V30">
            <v>1.86</v>
          </cell>
          <cell r="W30">
            <v>1.99</v>
          </cell>
          <cell r="X30">
            <v>1.82</v>
          </cell>
          <cell r="Y30">
            <v>1.52</v>
          </cell>
          <cell r="Z30">
            <v>1.45</v>
          </cell>
          <cell r="AA30">
            <v>1.71</v>
          </cell>
          <cell r="AB30">
            <v>1.7</v>
          </cell>
          <cell r="AC30">
            <v>1.65</v>
          </cell>
          <cell r="AD30">
            <v>1.44</v>
          </cell>
          <cell r="AE30">
            <v>1.51</v>
          </cell>
          <cell r="AF30">
            <v>1.61</v>
          </cell>
          <cell r="AG30">
            <v>1.69</v>
          </cell>
          <cell r="AH30">
            <v>1.75</v>
          </cell>
          <cell r="AI30">
            <v>1.55</v>
          </cell>
          <cell r="AJ30">
            <v>1.41</v>
          </cell>
          <cell r="AK30">
            <v>1.59</v>
          </cell>
          <cell r="AL30">
            <v>1.67</v>
          </cell>
          <cell r="AM30">
            <v>1.82</v>
          </cell>
          <cell r="AN30">
            <v>2.31</v>
          </cell>
          <cell r="AO30">
            <v>3.47</v>
          </cell>
          <cell r="AP30">
            <v>2.4300000000000002</v>
          </cell>
          <cell r="AQ30">
            <v>2.86</v>
          </cell>
          <cell r="AR30">
            <v>2.74</v>
          </cell>
          <cell r="AS30">
            <v>2.25</v>
          </cell>
          <cell r="AT30">
            <v>2.42</v>
          </cell>
          <cell r="AU30">
            <v>2.69</v>
          </cell>
          <cell r="AV30">
            <v>2.37</v>
          </cell>
          <cell r="AW30">
            <v>1.87</v>
          </cell>
          <cell r="AX30">
            <v>1.9</v>
          </cell>
          <cell r="AY30">
            <v>2.75</v>
          </cell>
          <cell r="AZ30">
            <v>3.94</v>
          </cell>
          <cell r="BA30">
            <v>4.1500000000000004</v>
          </cell>
          <cell r="BB30">
            <v>2.99</v>
          </cell>
          <cell r="BC30">
            <v>1.76</v>
          </cell>
          <cell r="BD30">
            <v>1.87</v>
          </cell>
          <cell r="BE30">
            <v>2.16</v>
          </cell>
          <cell r="BF30">
            <v>2.36</v>
          </cell>
          <cell r="BG30">
            <v>2.21</v>
          </cell>
          <cell r="BH30">
            <v>2.23</v>
          </cell>
          <cell r="BI30">
            <v>2.58</v>
          </cell>
          <cell r="BJ30">
            <v>3.15</v>
          </cell>
          <cell r="BK30">
            <v>3.32</v>
          </cell>
          <cell r="BL30">
            <v>2.58</v>
          </cell>
          <cell r="BM30">
            <v>2.3199999999999998</v>
          </cell>
          <cell r="BN30">
            <v>2.06</v>
          </cell>
        </row>
        <row r="31">
          <cell r="A31" t="str">
            <v>NGPL-LA</v>
          </cell>
          <cell r="B31">
            <v>28</v>
          </cell>
          <cell r="C31">
            <v>2.2999999999999998</v>
          </cell>
          <cell r="D31">
            <v>2.2000000000000002</v>
          </cell>
          <cell r="E31">
            <v>1.92</v>
          </cell>
          <cell r="F31">
            <v>1.62</v>
          </cell>
          <cell r="G31">
            <v>1.86</v>
          </cell>
          <cell r="H31">
            <v>2.16</v>
          </cell>
          <cell r="I31">
            <v>2.67</v>
          </cell>
          <cell r="J31">
            <v>1.98</v>
          </cell>
          <cell r="K31">
            <v>1.9</v>
          </cell>
          <cell r="L31">
            <v>2.04</v>
          </cell>
          <cell r="M31">
            <v>2.33</v>
          </cell>
          <cell r="N31">
            <v>1.97</v>
          </cell>
          <cell r="O31">
            <v>2.08</v>
          </cell>
          <cell r="P31">
            <v>2.33</v>
          </cell>
          <cell r="Q31">
            <v>1.98</v>
          </cell>
          <cell r="R31">
            <v>2.2799999999999998</v>
          </cell>
          <cell r="S31">
            <v>2.25</v>
          </cell>
          <cell r="T31">
            <v>1.92</v>
          </cell>
          <cell r="U31">
            <v>2</v>
          </cell>
          <cell r="V31">
            <v>1.74</v>
          </cell>
          <cell r="W31">
            <v>1.86</v>
          </cell>
          <cell r="X31">
            <v>1.72</v>
          </cell>
          <cell r="Y31">
            <v>1.43</v>
          </cell>
          <cell r="Z31">
            <v>1.36</v>
          </cell>
          <cell r="AA31">
            <v>1.61</v>
          </cell>
          <cell r="AB31">
            <v>1.61</v>
          </cell>
          <cell r="AC31">
            <v>1.55</v>
          </cell>
          <cell r="AD31">
            <v>1.35</v>
          </cell>
          <cell r="AE31">
            <v>1.37</v>
          </cell>
          <cell r="AF31">
            <v>1.49</v>
          </cell>
          <cell r="AG31">
            <v>1.61</v>
          </cell>
          <cell r="AH31">
            <v>1.65</v>
          </cell>
          <cell r="AI31">
            <v>1.44</v>
          </cell>
          <cell r="AJ31">
            <v>1.31</v>
          </cell>
          <cell r="AK31">
            <v>1.51</v>
          </cell>
          <cell r="AL31">
            <v>1.59</v>
          </cell>
          <cell r="AM31">
            <v>1.72</v>
          </cell>
          <cell r="AN31">
            <v>2.15</v>
          </cell>
          <cell r="AO31">
            <v>2.13</v>
          </cell>
          <cell r="AP31">
            <v>1.9</v>
          </cell>
          <cell r="AQ31">
            <v>2.15</v>
          </cell>
          <cell r="AR31">
            <v>2.4</v>
          </cell>
          <cell r="AS31">
            <v>2.12</v>
          </cell>
          <cell r="AT31">
            <v>2.25</v>
          </cell>
          <cell r="AU31">
            <v>2.57</v>
          </cell>
          <cell r="AV31">
            <v>2.2200000000000002</v>
          </cell>
          <cell r="AW31">
            <v>1.74</v>
          </cell>
          <cell r="AX31">
            <v>1.78</v>
          </cell>
          <cell r="AY31">
            <v>2.61</v>
          </cell>
          <cell r="AZ31">
            <v>3.72</v>
          </cell>
          <cell r="BA31">
            <v>4</v>
          </cell>
          <cell r="BB31">
            <v>2.82</v>
          </cell>
          <cell r="BC31">
            <v>1.69</v>
          </cell>
          <cell r="BD31">
            <v>1.74</v>
          </cell>
          <cell r="BE31">
            <v>2.04</v>
          </cell>
          <cell r="BF31">
            <v>2.23</v>
          </cell>
          <cell r="BG31">
            <v>2.09</v>
          </cell>
          <cell r="BH31">
            <v>2.11</v>
          </cell>
          <cell r="BI31">
            <v>2.4700000000000002</v>
          </cell>
          <cell r="BJ31">
            <v>3.05</v>
          </cell>
          <cell r="BK31">
            <v>3.17</v>
          </cell>
          <cell r="BL31">
            <v>2.37</v>
          </cell>
          <cell r="BM31">
            <v>2.15</v>
          </cell>
          <cell r="BN31">
            <v>1.92</v>
          </cell>
          <cell r="BO31">
            <v>2.1800000000000002</v>
          </cell>
          <cell r="BP31">
            <v>2.23</v>
          </cell>
          <cell r="BQ31">
            <v>2.2000000000000002</v>
          </cell>
          <cell r="BR31">
            <v>1.97</v>
          </cell>
          <cell r="BS31">
            <v>2.31</v>
          </cell>
          <cell r="BT31">
            <v>1.86</v>
          </cell>
          <cell r="BU31">
            <v>1.56</v>
          </cell>
          <cell r="BV31">
            <v>1.96</v>
          </cell>
          <cell r="BW31">
            <v>1.95</v>
          </cell>
          <cell r="BX31">
            <v>2.08</v>
          </cell>
          <cell r="BY31">
            <v>1.72</v>
          </cell>
          <cell r="BZ31">
            <v>1.75</v>
          </cell>
          <cell r="CA31">
            <v>1.58</v>
          </cell>
          <cell r="CB31">
            <v>1.83</v>
          </cell>
          <cell r="CC31">
            <v>2.2999999999999998</v>
          </cell>
          <cell r="CD31">
            <v>2.1800000000000002</v>
          </cell>
          <cell r="CE31">
            <v>2.21</v>
          </cell>
          <cell r="CF31">
            <v>2.57</v>
          </cell>
          <cell r="CG31">
            <v>2.84</v>
          </cell>
        </row>
        <row r="32">
          <cell r="A32" t="str">
            <v>NGPL-MC</v>
          </cell>
          <cell r="B32">
            <v>29</v>
          </cell>
          <cell r="AQ32">
            <v>1.9</v>
          </cell>
          <cell r="AR32">
            <v>2.14</v>
          </cell>
          <cell r="AS32">
            <v>2.0099999999999998</v>
          </cell>
          <cell r="AT32">
            <v>2.0499999999999998</v>
          </cell>
          <cell r="AU32">
            <v>2.1800000000000002</v>
          </cell>
          <cell r="AV32">
            <v>2.14</v>
          </cell>
          <cell r="AW32">
            <v>1.67</v>
          </cell>
          <cell r="AX32">
            <v>1.69</v>
          </cell>
          <cell r="AY32">
            <v>2.4900000000000002</v>
          </cell>
          <cell r="AZ32">
            <v>3.62</v>
          </cell>
          <cell r="BA32">
            <v>3.95</v>
          </cell>
          <cell r="BB32">
            <v>2.76</v>
          </cell>
          <cell r="BC32">
            <v>1.62</v>
          </cell>
          <cell r="BD32">
            <v>1.71</v>
          </cell>
          <cell r="BE32">
            <v>1.95</v>
          </cell>
          <cell r="BF32">
            <v>2.13</v>
          </cell>
          <cell r="BG32">
            <v>2.0099999999999998</v>
          </cell>
          <cell r="BH32">
            <v>2.06</v>
          </cell>
          <cell r="BI32">
            <v>2.41</v>
          </cell>
          <cell r="BJ32">
            <v>3</v>
          </cell>
          <cell r="BK32">
            <v>3.12</v>
          </cell>
          <cell r="BL32">
            <v>2.3199999999999998</v>
          </cell>
          <cell r="BM32">
            <v>2.14</v>
          </cell>
          <cell r="BN32">
            <v>1.92</v>
          </cell>
          <cell r="BO32">
            <v>2.15</v>
          </cell>
          <cell r="BP32">
            <v>2.19</v>
          </cell>
          <cell r="BQ32">
            <v>2.17</v>
          </cell>
          <cell r="BR32">
            <v>1.94</v>
          </cell>
          <cell r="BS32">
            <v>2.27</v>
          </cell>
          <cell r="BT32">
            <v>1.84</v>
          </cell>
          <cell r="BU32">
            <v>1.56</v>
          </cell>
          <cell r="BV32">
            <v>1.9</v>
          </cell>
          <cell r="BW32">
            <v>1.95</v>
          </cell>
          <cell r="BX32">
            <v>2.0499999999999998</v>
          </cell>
          <cell r="BY32">
            <v>1.74</v>
          </cell>
          <cell r="BZ32">
            <v>1.73</v>
          </cell>
          <cell r="CA32">
            <v>1.55</v>
          </cell>
          <cell r="CB32">
            <v>1.74</v>
          </cell>
          <cell r="CC32">
            <v>2.21</v>
          </cell>
          <cell r="CD32">
            <v>2.11</v>
          </cell>
          <cell r="CE32">
            <v>2.16</v>
          </cell>
          <cell r="CF32">
            <v>2.5</v>
          </cell>
          <cell r="CG32">
            <v>2.76</v>
          </cell>
        </row>
        <row r="33">
          <cell r="A33" t="str">
            <v>NGPL-OK</v>
          </cell>
          <cell r="B33">
            <v>30</v>
          </cell>
          <cell r="C33">
            <v>2.0499999999999998</v>
          </cell>
          <cell r="D33">
            <v>2.02</v>
          </cell>
          <cell r="E33">
            <v>1.91</v>
          </cell>
          <cell r="F33">
            <v>1.6</v>
          </cell>
          <cell r="G33">
            <v>1.84</v>
          </cell>
          <cell r="H33">
            <v>2.08</v>
          </cell>
          <cell r="I33">
            <v>2.58</v>
          </cell>
          <cell r="J33">
            <v>1.8</v>
          </cell>
          <cell r="K33">
            <v>1.8</v>
          </cell>
          <cell r="L33">
            <v>1.93</v>
          </cell>
          <cell r="M33">
            <v>2.17</v>
          </cell>
          <cell r="N33">
            <v>1.85</v>
          </cell>
          <cell r="O33">
            <v>1.88</v>
          </cell>
          <cell r="P33">
            <v>2.2200000000000002</v>
          </cell>
          <cell r="Q33">
            <v>1.93</v>
          </cell>
          <cell r="R33">
            <v>2.09</v>
          </cell>
          <cell r="S33">
            <v>2.14</v>
          </cell>
          <cell r="T33">
            <v>1.8</v>
          </cell>
          <cell r="U33">
            <v>1.84</v>
          </cell>
          <cell r="V33">
            <v>1.56</v>
          </cell>
          <cell r="W33">
            <v>1.68</v>
          </cell>
          <cell r="X33">
            <v>1.59</v>
          </cell>
          <cell r="Y33">
            <v>1.4</v>
          </cell>
          <cell r="Z33">
            <v>1.3</v>
          </cell>
          <cell r="AA33">
            <v>1.52</v>
          </cell>
          <cell r="AB33">
            <v>1.6</v>
          </cell>
          <cell r="AC33">
            <v>1.5</v>
          </cell>
          <cell r="AD33">
            <v>1.26</v>
          </cell>
          <cell r="AE33">
            <v>1.27</v>
          </cell>
          <cell r="AF33">
            <v>1.34</v>
          </cell>
          <cell r="AG33">
            <v>1.44</v>
          </cell>
          <cell r="AH33">
            <v>1.45</v>
          </cell>
          <cell r="AI33">
            <v>1.24</v>
          </cell>
          <cell r="AJ33">
            <v>1.2</v>
          </cell>
          <cell r="AK33">
            <v>1.41</v>
          </cell>
          <cell r="AL33">
            <v>1.5</v>
          </cell>
          <cell r="AM33">
            <v>1.7</v>
          </cell>
          <cell r="AN33">
            <v>1.88</v>
          </cell>
          <cell r="AO33">
            <v>2</v>
          </cell>
          <cell r="AP33">
            <v>1.79</v>
          </cell>
          <cell r="BB33">
            <v>2.83</v>
          </cell>
          <cell r="BC33">
            <v>1.65</v>
          </cell>
          <cell r="BD33">
            <v>1.74</v>
          </cell>
          <cell r="BE33">
            <v>1.96</v>
          </cell>
          <cell r="BF33">
            <v>2.13</v>
          </cell>
          <cell r="BG33">
            <v>2.02</v>
          </cell>
          <cell r="BH33">
            <v>2.08</v>
          </cell>
          <cell r="BI33">
            <v>2.4300000000000002</v>
          </cell>
        </row>
        <row r="34">
          <cell r="A34" t="str">
            <v>NGPL-TOK</v>
          </cell>
          <cell r="B34">
            <v>31</v>
          </cell>
          <cell r="AQ34">
            <v>1.97</v>
          </cell>
          <cell r="AR34">
            <v>2.23</v>
          </cell>
          <cell r="AS34">
            <v>2.14</v>
          </cell>
          <cell r="AT34">
            <v>2.2400000000000002</v>
          </cell>
          <cell r="AU34">
            <v>2.5099999999999998</v>
          </cell>
          <cell r="AV34">
            <v>2.23</v>
          </cell>
          <cell r="AW34">
            <v>1.75</v>
          </cell>
          <cell r="AX34">
            <v>1.76</v>
          </cell>
          <cell r="AY34">
            <v>2.57</v>
          </cell>
          <cell r="AZ34">
            <v>3.69</v>
          </cell>
          <cell r="BA34">
            <v>3.8</v>
          </cell>
          <cell r="BB34">
            <v>2.75</v>
          </cell>
          <cell r="BC34">
            <v>1.64</v>
          </cell>
          <cell r="BD34">
            <v>1.74</v>
          </cell>
          <cell r="BE34">
            <v>2.0299999999999998</v>
          </cell>
          <cell r="BF34">
            <v>2.2400000000000002</v>
          </cell>
          <cell r="BG34">
            <v>2.08</v>
          </cell>
          <cell r="BH34">
            <v>2.12</v>
          </cell>
          <cell r="BI34">
            <v>2.46</v>
          </cell>
          <cell r="BJ34">
            <v>3.07</v>
          </cell>
          <cell r="BK34">
            <v>3.18</v>
          </cell>
          <cell r="BL34">
            <v>2.35</v>
          </cell>
          <cell r="BM34">
            <v>2.16</v>
          </cell>
          <cell r="BN34">
            <v>1.96</v>
          </cell>
          <cell r="BO34">
            <v>2.19</v>
          </cell>
          <cell r="BP34">
            <v>2.23</v>
          </cell>
          <cell r="BQ34">
            <v>2.2200000000000002</v>
          </cell>
          <cell r="BR34">
            <v>1.98</v>
          </cell>
          <cell r="BS34">
            <v>2.31</v>
          </cell>
          <cell r="BT34">
            <v>1.88</v>
          </cell>
          <cell r="BU34">
            <v>1.58</v>
          </cell>
          <cell r="BV34">
            <v>1.95</v>
          </cell>
          <cell r="BW34">
            <v>1.96</v>
          </cell>
          <cell r="BX34">
            <v>2.06</v>
          </cell>
          <cell r="BY34">
            <v>1.74</v>
          </cell>
          <cell r="BZ34">
            <v>1.75</v>
          </cell>
          <cell r="CA34">
            <v>1.57</v>
          </cell>
          <cell r="CB34">
            <v>1.8</v>
          </cell>
          <cell r="CC34">
            <v>2.2799999999999998</v>
          </cell>
          <cell r="CD34">
            <v>2.1800000000000002</v>
          </cell>
          <cell r="CE34">
            <v>2.2200000000000002</v>
          </cell>
          <cell r="CF34">
            <v>2.5499999999999998</v>
          </cell>
          <cell r="CG34">
            <v>2.83</v>
          </cell>
        </row>
        <row r="35">
          <cell r="A35" t="str">
            <v>NGPL-STX</v>
          </cell>
          <cell r="B35">
            <v>32</v>
          </cell>
          <cell r="C35">
            <v>2.2000000000000002</v>
          </cell>
          <cell r="D35">
            <v>2.1</v>
          </cell>
          <cell r="E35">
            <v>1.92</v>
          </cell>
          <cell r="F35">
            <v>1.58</v>
          </cell>
          <cell r="G35">
            <v>1.85</v>
          </cell>
          <cell r="H35">
            <v>2.15</v>
          </cell>
          <cell r="I35">
            <v>2.6</v>
          </cell>
          <cell r="J35">
            <v>1.9</v>
          </cell>
          <cell r="K35">
            <v>1.89</v>
          </cell>
          <cell r="L35">
            <v>2.02</v>
          </cell>
          <cell r="M35">
            <v>2.3199999999999998</v>
          </cell>
          <cell r="N35">
            <v>1.95</v>
          </cell>
          <cell r="O35">
            <v>2.04</v>
          </cell>
          <cell r="P35">
            <v>2.2999999999999998</v>
          </cell>
          <cell r="Q35">
            <v>1.97</v>
          </cell>
          <cell r="R35">
            <v>2.23</v>
          </cell>
          <cell r="S35">
            <v>2.2400000000000002</v>
          </cell>
          <cell r="T35">
            <v>1.86</v>
          </cell>
          <cell r="U35">
            <v>1.97</v>
          </cell>
          <cell r="V35">
            <v>1.72</v>
          </cell>
          <cell r="W35">
            <v>1.88</v>
          </cell>
          <cell r="X35">
            <v>1.72</v>
          </cell>
          <cell r="Y35">
            <v>1.41</v>
          </cell>
          <cell r="Z35">
            <v>1.34</v>
          </cell>
          <cell r="AA35">
            <v>1.6</v>
          </cell>
          <cell r="AB35">
            <v>1.61</v>
          </cell>
          <cell r="AC35">
            <v>1.52</v>
          </cell>
          <cell r="AD35">
            <v>1.32</v>
          </cell>
          <cell r="AE35">
            <v>1.34</v>
          </cell>
          <cell r="AF35">
            <v>1.48</v>
          </cell>
          <cell r="AG35">
            <v>1.59</v>
          </cell>
          <cell r="AH35">
            <v>1.63</v>
          </cell>
          <cell r="AI35">
            <v>1.41</v>
          </cell>
          <cell r="AJ35">
            <v>1.3</v>
          </cell>
          <cell r="AK35">
            <v>1.51</v>
          </cell>
          <cell r="AL35">
            <v>1.58</v>
          </cell>
          <cell r="AM35">
            <v>1.7</v>
          </cell>
          <cell r="AN35">
            <v>2.1</v>
          </cell>
          <cell r="AO35">
            <v>2.0499999999999998</v>
          </cell>
          <cell r="AP35">
            <v>1.8</v>
          </cell>
          <cell r="AQ35">
            <v>1.97</v>
          </cell>
          <cell r="AR35">
            <v>2.25</v>
          </cell>
          <cell r="AS35">
            <v>2.11</v>
          </cell>
          <cell r="AT35">
            <v>2.2400000000000002</v>
          </cell>
          <cell r="AU35">
            <v>2.52</v>
          </cell>
          <cell r="AV35">
            <v>2.23</v>
          </cell>
          <cell r="AW35">
            <v>1.73</v>
          </cell>
          <cell r="AX35">
            <v>1.75</v>
          </cell>
          <cell r="AY35">
            <v>2.61</v>
          </cell>
          <cell r="AZ35">
            <v>3.66</v>
          </cell>
          <cell r="BA35">
            <v>3.85</v>
          </cell>
          <cell r="BB35">
            <v>2.73</v>
          </cell>
          <cell r="BC35">
            <v>1.64</v>
          </cell>
          <cell r="BD35">
            <v>1.75</v>
          </cell>
          <cell r="BE35">
            <v>2.04</v>
          </cell>
          <cell r="BF35">
            <v>2.2200000000000002</v>
          </cell>
          <cell r="BG35">
            <v>2.09</v>
          </cell>
          <cell r="BH35">
            <v>2.1</v>
          </cell>
          <cell r="BI35">
            <v>2.4500000000000002</v>
          </cell>
          <cell r="BJ35">
            <v>3.05</v>
          </cell>
          <cell r="BK35">
            <v>3.18</v>
          </cell>
          <cell r="BL35">
            <v>2.35</v>
          </cell>
          <cell r="BM35">
            <v>2.16</v>
          </cell>
          <cell r="BN35">
            <v>1.93</v>
          </cell>
          <cell r="BO35">
            <v>2.17</v>
          </cell>
          <cell r="BP35">
            <v>2.23</v>
          </cell>
          <cell r="BQ35">
            <v>2.2000000000000002</v>
          </cell>
          <cell r="BR35">
            <v>1.96</v>
          </cell>
          <cell r="BS35">
            <v>2.29</v>
          </cell>
          <cell r="BT35">
            <v>1.85</v>
          </cell>
          <cell r="BU35">
            <v>1.53</v>
          </cell>
          <cell r="BV35">
            <v>1.93</v>
          </cell>
          <cell r="BW35">
            <v>1.88</v>
          </cell>
          <cell r="BX35">
            <v>2.02</v>
          </cell>
          <cell r="BY35">
            <v>1.69</v>
          </cell>
          <cell r="BZ35">
            <v>1.73</v>
          </cell>
          <cell r="CA35">
            <v>1.56</v>
          </cell>
          <cell r="CB35">
            <v>1.8</v>
          </cell>
          <cell r="CC35">
            <v>2.2799999999999998</v>
          </cell>
          <cell r="CD35">
            <v>2.15</v>
          </cell>
          <cell r="CE35">
            <v>2.19</v>
          </cell>
          <cell r="CF35">
            <v>2.5499999999999998</v>
          </cell>
          <cell r="CG35">
            <v>2.82</v>
          </cell>
        </row>
        <row r="36">
          <cell r="A36" t="str">
            <v>NNG-DEMARC</v>
          </cell>
          <cell r="B36">
            <v>33</v>
          </cell>
          <cell r="M36">
            <v>2.1</v>
          </cell>
          <cell r="N36">
            <v>1.9</v>
          </cell>
          <cell r="O36">
            <v>1.89</v>
          </cell>
          <cell r="Q36">
            <v>1.95</v>
          </cell>
          <cell r="R36">
            <v>2.0499999999999998</v>
          </cell>
          <cell r="S36">
            <v>2.14</v>
          </cell>
          <cell r="T36">
            <v>1.77</v>
          </cell>
          <cell r="U36">
            <v>1.77</v>
          </cell>
          <cell r="V36">
            <v>1.5</v>
          </cell>
          <cell r="W36">
            <v>1.61</v>
          </cell>
          <cell r="X36">
            <v>1.55</v>
          </cell>
          <cell r="Y36">
            <v>1.39</v>
          </cell>
          <cell r="Z36">
            <v>1.39</v>
          </cell>
          <cell r="AA36">
            <v>1.47</v>
          </cell>
          <cell r="AB36">
            <v>1.6</v>
          </cell>
          <cell r="AC36">
            <v>1.5</v>
          </cell>
          <cell r="AD36">
            <v>1.25</v>
          </cell>
          <cell r="AE36">
            <v>1.24</v>
          </cell>
          <cell r="AF36">
            <v>1.28</v>
          </cell>
          <cell r="AG36">
            <v>1.41</v>
          </cell>
          <cell r="AH36">
            <v>1.42</v>
          </cell>
          <cell r="AI36">
            <v>1.23</v>
          </cell>
          <cell r="AJ36">
            <v>1.19</v>
          </cell>
          <cell r="AK36">
            <v>1.41</v>
          </cell>
          <cell r="AL36">
            <v>1.5</v>
          </cell>
          <cell r="AM36">
            <v>1.63</v>
          </cell>
          <cell r="AN36">
            <v>1.9</v>
          </cell>
          <cell r="AO36">
            <v>2.0499999999999998</v>
          </cell>
          <cell r="AP36">
            <v>1.86</v>
          </cell>
          <cell r="AQ36">
            <v>1.98</v>
          </cell>
          <cell r="AR36">
            <v>2.16</v>
          </cell>
          <cell r="AS36">
            <v>1.99</v>
          </cell>
          <cell r="AT36">
            <v>2.0299999999999998</v>
          </cell>
          <cell r="AU36">
            <v>2.17</v>
          </cell>
          <cell r="AV36">
            <v>2.08</v>
          </cell>
          <cell r="AW36">
            <v>1.63</v>
          </cell>
          <cell r="AX36">
            <v>1.71</v>
          </cell>
          <cell r="AY36">
            <v>2.59</v>
          </cell>
          <cell r="AZ36">
            <v>3.62</v>
          </cell>
          <cell r="BA36">
            <v>4.22</v>
          </cell>
          <cell r="BB36">
            <v>2.87</v>
          </cell>
          <cell r="BC36">
            <v>1.65</v>
          </cell>
          <cell r="BD36">
            <v>1.73</v>
          </cell>
          <cell r="BE36">
            <v>1.94</v>
          </cell>
          <cell r="BF36">
            <v>2.11</v>
          </cell>
          <cell r="BG36">
            <v>2.0099999999999998</v>
          </cell>
          <cell r="BH36">
            <v>2.0499999999999998</v>
          </cell>
          <cell r="BI36">
            <v>2.42</v>
          </cell>
          <cell r="BJ36">
            <v>3.02</v>
          </cell>
          <cell r="BK36">
            <v>3.29</v>
          </cell>
          <cell r="BL36">
            <v>2.4500000000000002</v>
          </cell>
          <cell r="BM36">
            <v>2.1800000000000002</v>
          </cell>
          <cell r="BN36">
            <v>1.95</v>
          </cell>
          <cell r="BO36">
            <v>2.16</v>
          </cell>
          <cell r="BP36">
            <v>2.1800000000000002</v>
          </cell>
          <cell r="BQ36">
            <v>2.16</v>
          </cell>
          <cell r="BR36">
            <v>1.93</v>
          </cell>
          <cell r="BS36">
            <v>2.27</v>
          </cell>
          <cell r="BT36">
            <v>1.86</v>
          </cell>
          <cell r="BU36">
            <v>1.57</v>
          </cell>
          <cell r="BV36">
            <v>1.92</v>
          </cell>
          <cell r="BW36">
            <v>2</v>
          </cell>
          <cell r="BX36">
            <v>2.12</v>
          </cell>
          <cell r="BY36">
            <v>1.83</v>
          </cell>
          <cell r="BZ36">
            <v>1.8</v>
          </cell>
          <cell r="CA36">
            <v>1.59</v>
          </cell>
          <cell r="CB36">
            <v>1.76</v>
          </cell>
          <cell r="CC36">
            <v>2.21</v>
          </cell>
          <cell r="CD36">
            <v>2.14</v>
          </cell>
          <cell r="CE36">
            <v>2.19</v>
          </cell>
          <cell r="CF36">
            <v>2.5299999999999998</v>
          </cell>
          <cell r="CG36">
            <v>2.78</v>
          </cell>
        </row>
        <row r="37">
          <cell r="A37" t="str">
            <v>NNG-TOK</v>
          </cell>
          <cell r="B37">
            <v>34</v>
          </cell>
          <cell r="C37">
            <v>1.96</v>
          </cell>
          <cell r="D37">
            <v>1.92</v>
          </cell>
          <cell r="E37">
            <v>1.9</v>
          </cell>
          <cell r="F37">
            <v>1.5</v>
          </cell>
          <cell r="G37">
            <v>1.75</v>
          </cell>
          <cell r="H37">
            <v>1.95</v>
          </cell>
          <cell r="I37">
            <v>2.4500000000000002</v>
          </cell>
          <cell r="J37">
            <v>1.71</v>
          </cell>
          <cell r="K37">
            <v>1.71</v>
          </cell>
          <cell r="L37">
            <v>1.81</v>
          </cell>
          <cell r="M37">
            <v>2.0499999999999998</v>
          </cell>
          <cell r="N37">
            <v>1.8</v>
          </cell>
          <cell r="O37">
            <v>1.81</v>
          </cell>
          <cell r="P37">
            <v>2.2599999999999998</v>
          </cell>
          <cell r="Q37">
            <v>1.89</v>
          </cell>
          <cell r="R37">
            <v>1.97</v>
          </cell>
          <cell r="S37">
            <v>2.0299999999999998</v>
          </cell>
          <cell r="T37">
            <v>1.73</v>
          </cell>
          <cell r="U37">
            <v>1.73</v>
          </cell>
          <cell r="V37">
            <v>1.47</v>
          </cell>
          <cell r="W37">
            <v>1.6</v>
          </cell>
          <cell r="X37">
            <v>1.53</v>
          </cell>
          <cell r="Y37">
            <v>1.36</v>
          </cell>
          <cell r="Z37">
            <v>1.22</v>
          </cell>
          <cell r="AA37">
            <v>1.44</v>
          </cell>
          <cell r="AB37">
            <v>1.57</v>
          </cell>
          <cell r="AC37">
            <v>1.46</v>
          </cell>
          <cell r="AD37">
            <v>1.21</v>
          </cell>
          <cell r="AE37">
            <v>1.2</v>
          </cell>
          <cell r="AF37">
            <v>1.26</v>
          </cell>
          <cell r="AG37">
            <v>1.37</v>
          </cell>
          <cell r="AH37">
            <v>1.39</v>
          </cell>
          <cell r="AI37">
            <v>1.2</v>
          </cell>
          <cell r="AJ37">
            <v>1.17</v>
          </cell>
          <cell r="AK37">
            <v>1.38</v>
          </cell>
          <cell r="AL37">
            <v>1.46</v>
          </cell>
          <cell r="AM37">
            <v>1.57</v>
          </cell>
          <cell r="AN37">
            <v>1.84</v>
          </cell>
          <cell r="AO37">
            <v>1.93</v>
          </cell>
          <cell r="AP37">
            <v>1.73</v>
          </cell>
          <cell r="AQ37">
            <v>1.87</v>
          </cell>
          <cell r="AR37">
            <v>2.06</v>
          </cell>
          <cell r="AS37">
            <v>1.95</v>
          </cell>
          <cell r="AT37">
            <v>1.98</v>
          </cell>
          <cell r="AU37">
            <v>2.1</v>
          </cell>
          <cell r="AV37">
            <v>2.0299999999999998</v>
          </cell>
          <cell r="AW37">
            <v>1.57</v>
          </cell>
          <cell r="AX37">
            <v>1.64</v>
          </cell>
          <cell r="AY37">
            <v>2.48</v>
          </cell>
          <cell r="AZ37">
            <v>3.52</v>
          </cell>
          <cell r="BA37">
            <v>3.8</v>
          </cell>
          <cell r="BB37">
            <v>2.73</v>
          </cell>
          <cell r="BC37">
            <v>1.56</v>
          </cell>
          <cell r="BD37">
            <v>1.63</v>
          </cell>
          <cell r="BE37">
            <v>1.85</v>
          </cell>
          <cell r="BF37">
            <v>2.04</v>
          </cell>
          <cell r="BG37">
            <v>1.91</v>
          </cell>
          <cell r="BH37">
            <v>1.96</v>
          </cell>
          <cell r="BI37">
            <v>2.33</v>
          </cell>
          <cell r="BJ37">
            <v>2.86</v>
          </cell>
          <cell r="BK37">
            <v>3.09</v>
          </cell>
          <cell r="BL37">
            <v>2.2799999999999998</v>
          </cell>
          <cell r="BM37">
            <v>2.0499999999999998</v>
          </cell>
          <cell r="BN37">
            <v>1.86</v>
          </cell>
          <cell r="BO37">
            <v>2.06</v>
          </cell>
          <cell r="BP37">
            <v>2.06</v>
          </cell>
          <cell r="BQ37">
            <v>2.0499999999999998</v>
          </cell>
          <cell r="BR37">
            <v>1.84</v>
          </cell>
          <cell r="BS37">
            <v>2.15</v>
          </cell>
          <cell r="BT37">
            <v>1.79</v>
          </cell>
          <cell r="BU37">
            <v>1.5</v>
          </cell>
          <cell r="BV37">
            <v>1.78</v>
          </cell>
          <cell r="BW37">
            <v>1.86</v>
          </cell>
          <cell r="BX37">
            <v>1.98</v>
          </cell>
          <cell r="BY37">
            <v>1.74</v>
          </cell>
          <cell r="BZ37">
            <v>1.72</v>
          </cell>
          <cell r="CA37">
            <v>1.48</v>
          </cell>
          <cell r="CB37">
            <v>1.67</v>
          </cell>
          <cell r="CC37">
            <v>2.13</v>
          </cell>
          <cell r="CD37">
            <v>2.06</v>
          </cell>
          <cell r="CE37">
            <v>2.1</v>
          </cell>
          <cell r="CF37">
            <v>2.44</v>
          </cell>
          <cell r="CG37">
            <v>2.7</v>
          </cell>
        </row>
        <row r="38">
          <cell r="A38" t="str">
            <v>NNG-VENT</v>
          </cell>
          <cell r="B38">
            <v>35</v>
          </cell>
          <cell r="C38">
            <v>2.0499999999999998</v>
          </cell>
          <cell r="D38">
            <v>2.0499999999999998</v>
          </cell>
          <cell r="E38">
            <v>1.96</v>
          </cell>
          <cell r="F38">
            <v>1.6</v>
          </cell>
          <cell r="G38">
            <v>1.86</v>
          </cell>
          <cell r="H38">
            <v>2.09</v>
          </cell>
          <cell r="I38">
            <v>2.59</v>
          </cell>
          <cell r="J38">
            <v>1.8</v>
          </cell>
          <cell r="K38">
            <v>1.78</v>
          </cell>
          <cell r="L38">
            <v>1.8</v>
          </cell>
          <cell r="M38">
            <v>2.15</v>
          </cell>
          <cell r="N38">
            <v>1.9</v>
          </cell>
          <cell r="O38">
            <v>1.88</v>
          </cell>
          <cell r="P38">
            <v>2.3199999999999998</v>
          </cell>
          <cell r="Q38">
            <v>1.93</v>
          </cell>
          <cell r="R38">
            <v>2.0499999999999998</v>
          </cell>
          <cell r="S38">
            <v>2.14</v>
          </cell>
          <cell r="T38">
            <v>1.75</v>
          </cell>
          <cell r="U38">
            <v>1.8</v>
          </cell>
          <cell r="V38">
            <v>1.5</v>
          </cell>
          <cell r="W38">
            <v>1.61</v>
          </cell>
          <cell r="X38">
            <v>1.54</v>
          </cell>
          <cell r="Y38">
            <v>1.39</v>
          </cell>
          <cell r="Z38">
            <v>1.27</v>
          </cell>
          <cell r="AA38">
            <v>1.48</v>
          </cell>
          <cell r="AB38">
            <v>1.62</v>
          </cell>
          <cell r="AC38">
            <v>1.49</v>
          </cell>
          <cell r="AD38">
            <v>1.25</v>
          </cell>
          <cell r="AE38">
            <v>1.23</v>
          </cell>
          <cell r="AF38">
            <v>1.28</v>
          </cell>
          <cell r="AG38">
            <v>1.39</v>
          </cell>
          <cell r="AH38">
            <v>1.41</v>
          </cell>
          <cell r="AI38">
            <v>1.18</v>
          </cell>
          <cell r="AJ38">
            <v>1.0900000000000001</v>
          </cell>
          <cell r="AK38">
            <v>1.33</v>
          </cell>
          <cell r="AL38">
            <v>1.48</v>
          </cell>
          <cell r="AM38">
            <v>1.61</v>
          </cell>
          <cell r="AN38">
            <v>1.84</v>
          </cell>
          <cell r="AO38">
            <v>2</v>
          </cell>
          <cell r="AP38">
            <v>1.84</v>
          </cell>
          <cell r="AQ38">
            <v>1.94</v>
          </cell>
          <cell r="AR38">
            <v>2.11</v>
          </cell>
          <cell r="AS38">
            <v>1.91</v>
          </cell>
          <cell r="AT38">
            <v>1.96</v>
          </cell>
          <cell r="AU38">
            <v>2.0699999999999998</v>
          </cell>
          <cell r="AV38">
            <v>2.0699999999999998</v>
          </cell>
          <cell r="AW38">
            <v>1.62</v>
          </cell>
          <cell r="AX38">
            <v>1.71</v>
          </cell>
          <cell r="AY38">
            <v>2.5499999999999998</v>
          </cell>
          <cell r="AZ38">
            <v>3.61</v>
          </cell>
          <cell r="BA38">
            <v>4.2</v>
          </cell>
          <cell r="BB38">
            <v>2.85</v>
          </cell>
          <cell r="BC38">
            <v>1.63</v>
          </cell>
          <cell r="BD38">
            <v>1.71</v>
          </cell>
          <cell r="BE38">
            <v>1.94</v>
          </cell>
          <cell r="BF38">
            <v>2.1</v>
          </cell>
          <cell r="BG38">
            <v>1.97</v>
          </cell>
          <cell r="BH38">
            <v>2.0499999999999998</v>
          </cell>
          <cell r="BI38">
            <v>2.41</v>
          </cell>
          <cell r="BJ38">
            <v>3.03</v>
          </cell>
          <cell r="BK38">
            <v>3.29</v>
          </cell>
          <cell r="BL38">
            <v>2.44</v>
          </cell>
          <cell r="BM38">
            <v>2.17</v>
          </cell>
          <cell r="BN38">
            <v>1.96</v>
          </cell>
          <cell r="BO38">
            <v>2.15</v>
          </cell>
          <cell r="BP38">
            <v>2.1800000000000002</v>
          </cell>
          <cell r="BQ38">
            <v>2.15</v>
          </cell>
          <cell r="BR38">
            <v>1.92</v>
          </cell>
          <cell r="BS38">
            <v>2.2599999999999998</v>
          </cell>
          <cell r="BT38">
            <v>1.84</v>
          </cell>
          <cell r="BU38">
            <v>1.56</v>
          </cell>
          <cell r="BV38">
            <v>1.91</v>
          </cell>
          <cell r="BW38">
            <v>2</v>
          </cell>
          <cell r="BX38">
            <v>2.13</v>
          </cell>
          <cell r="BY38">
            <v>1.84</v>
          </cell>
          <cell r="BZ38">
            <v>1.8</v>
          </cell>
          <cell r="CA38">
            <v>1.6</v>
          </cell>
          <cell r="CB38">
            <v>1.75</v>
          </cell>
          <cell r="CC38">
            <v>2.2000000000000002</v>
          </cell>
          <cell r="CD38">
            <v>2.12</v>
          </cell>
          <cell r="CE38">
            <v>2.1800000000000002</v>
          </cell>
          <cell r="CF38">
            <v>2.5</v>
          </cell>
          <cell r="CG38">
            <v>2.76</v>
          </cell>
        </row>
        <row r="39">
          <cell r="A39" t="str">
            <v>NOR-EAST</v>
          </cell>
          <cell r="B39">
            <v>36</v>
          </cell>
          <cell r="AE39">
            <v>1.33</v>
          </cell>
          <cell r="AF39">
            <v>1.44</v>
          </cell>
          <cell r="AG39">
            <v>1.57</v>
          </cell>
          <cell r="AH39">
            <v>1.61</v>
          </cell>
          <cell r="AI39">
            <v>1.4</v>
          </cell>
          <cell r="AJ39">
            <v>1.3</v>
          </cell>
          <cell r="AK39">
            <v>1.5</v>
          </cell>
          <cell r="AL39">
            <v>1.54</v>
          </cell>
          <cell r="AM39">
            <v>1.68</v>
          </cell>
          <cell r="AN39">
            <v>2.02</v>
          </cell>
          <cell r="AO39">
            <v>2.09</v>
          </cell>
          <cell r="AP39">
            <v>1.89</v>
          </cell>
          <cell r="AQ39">
            <v>1.93</v>
          </cell>
          <cell r="AR39">
            <v>2.23</v>
          </cell>
          <cell r="AS39">
            <v>2.12</v>
          </cell>
          <cell r="AT39">
            <v>2.1800000000000002</v>
          </cell>
          <cell r="AU39">
            <v>2.31</v>
          </cell>
          <cell r="AV39">
            <v>2.25</v>
          </cell>
          <cell r="AW39">
            <v>1.75</v>
          </cell>
          <cell r="AX39">
            <v>1.74</v>
          </cell>
          <cell r="AY39">
            <v>2.4700000000000002</v>
          </cell>
          <cell r="AZ39">
            <v>3.61</v>
          </cell>
          <cell r="BA39">
            <v>4.1500000000000004</v>
          </cell>
          <cell r="BB39">
            <v>2.78</v>
          </cell>
          <cell r="BC39">
            <v>1.65</v>
          </cell>
          <cell r="BD39">
            <v>1.74</v>
          </cell>
          <cell r="BE39">
            <v>2.0099999999999998</v>
          </cell>
          <cell r="BF39">
            <v>2.19</v>
          </cell>
          <cell r="BG39">
            <v>2.0699999999999998</v>
          </cell>
          <cell r="BH39">
            <v>2.11</v>
          </cell>
          <cell r="BI39">
            <v>2.44</v>
          </cell>
          <cell r="BJ39">
            <v>3.05</v>
          </cell>
          <cell r="BK39">
            <v>3.17</v>
          </cell>
          <cell r="BL39">
            <v>2.37</v>
          </cell>
          <cell r="BM39">
            <v>2.16</v>
          </cell>
          <cell r="BN39">
            <v>1.94</v>
          </cell>
          <cell r="BO39">
            <v>2.16</v>
          </cell>
          <cell r="BP39">
            <v>2.2000000000000002</v>
          </cell>
          <cell r="BQ39">
            <v>2.1800000000000002</v>
          </cell>
          <cell r="BR39">
            <v>1.96</v>
          </cell>
          <cell r="BS39">
            <v>2.2999999999999998</v>
          </cell>
          <cell r="BT39">
            <v>1.86</v>
          </cell>
          <cell r="BU39">
            <v>1.57</v>
          </cell>
          <cell r="BV39">
            <v>1.94</v>
          </cell>
          <cell r="BW39">
            <v>1.93</v>
          </cell>
          <cell r="BX39">
            <v>2.0299999999999998</v>
          </cell>
          <cell r="BY39">
            <v>1.74</v>
          </cell>
          <cell r="BZ39">
            <v>1.74</v>
          </cell>
          <cell r="CA39">
            <v>1.56</v>
          </cell>
          <cell r="CB39">
            <v>1.77</v>
          </cell>
          <cell r="CC39">
            <v>2.27</v>
          </cell>
          <cell r="CD39">
            <v>2.17</v>
          </cell>
          <cell r="CE39">
            <v>2.21</v>
          </cell>
          <cell r="CF39">
            <v>2.5499999999999998</v>
          </cell>
          <cell r="CG39">
            <v>2.82</v>
          </cell>
        </row>
        <row r="40">
          <cell r="A40" t="str">
            <v>NOR-WEST</v>
          </cell>
          <cell r="B40">
            <v>37</v>
          </cell>
          <cell r="AE40">
            <v>1.28</v>
          </cell>
          <cell r="AF40">
            <v>1.35</v>
          </cell>
          <cell r="AG40">
            <v>1.46</v>
          </cell>
          <cell r="AH40">
            <v>1.48</v>
          </cell>
          <cell r="AI40">
            <v>1.28</v>
          </cell>
          <cell r="AJ40">
            <v>1.22</v>
          </cell>
          <cell r="AK40">
            <v>1.43</v>
          </cell>
          <cell r="AL40">
            <v>1.5</v>
          </cell>
          <cell r="AM40">
            <v>1.62</v>
          </cell>
          <cell r="AN40">
            <v>1.89</v>
          </cell>
          <cell r="AO40">
            <v>2.0099999999999998</v>
          </cell>
          <cell r="AP40">
            <v>1.83</v>
          </cell>
          <cell r="AQ40">
            <v>1.9</v>
          </cell>
          <cell r="AR40">
            <v>2.15</v>
          </cell>
          <cell r="AS40">
            <v>2.02</v>
          </cell>
          <cell r="AT40">
            <v>2.0699999999999998</v>
          </cell>
          <cell r="AU40">
            <v>2.2000000000000002</v>
          </cell>
          <cell r="AV40">
            <v>2.16</v>
          </cell>
          <cell r="AW40">
            <v>1.68</v>
          </cell>
          <cell r="AX40">
            <v>1.69</v>
          </cell>
          <cell r="AY40">
            <v>2.4300000000000002</v>
          </cell>
          <cell r="AZ40">
            <v>3.55</v>
          </cell>
          <cell r="BA40">
            <v>4.1100000000000003</v>
          </cell>
          <cell r="BB40">
            <v>2.73</v>
          </cell>
          <cell r="BC40">
            <v>1.61</v>
          </cell>
          <cell r="BD40">
            <v>1.72</v>
          </cell>
          <cell r="BE40">
            <v>1.96</v>
          </cell>
          <cell r="BF40">
            <v>2.15</v>
          </cell>
          <cell r="BG40">
            <v>2.0099999999999998</v>
          </cell>
          <cell r="BH40">
            <v>2.0699999999999998</v>
          </cell>
          <cell r="BI40">
            <v>2.41</v>
          </cell>
          <cell r="BJ40">
            <v>2.98</v>
          </cell>
          <cell r="BK40">
            <v>3.1</v>
          </cell>
          <cell r="BL40">
            <v>2.3199999999999998</v>
          </cell>
          <cell r="BM40">
            <v>2.15</v>
          </cell>
          <cell r="BN40">
            <v>1.92</v>
          </cell>
          <cell r="BO40">
            <v>2.14</v>
          </cell>
          <cell r="BP40">
            <v>2.17</v>
          </cell>
          <cell r="BQ40">
            <v>2.15</v>
          </cell>
          <cell r="BR40">
            <v>1.92</v>
          </cell>
          <cell r="BS40">
            <v>2.2599999999999998</v>
          </cell>
          <cell r="BT40">
            <v>1.83</v>
          </cell>
          <cell r="BU40">
            <v>1.52</v>
          </cell>
          <cell r="BV40">
            <v>1.89</v>
          </cell>
          <cell r="BW40">
            <v>1.9</v>
          </cell>
          <cell r="BX40">
            <v>2.0099999999999998</v>
          </cell>
          <cell r="BY40">
            <v>1.73</v>
          </cell>
          <cell r="BZ40">
            <v>1.73</v>
          </cell>
          <cell r="CA40">
            <v>1.54</v>
          </cell>
          <cell r="CB40">
            <v>1.74</v>
          </cell>
          <cell r="CC40">
            <v>2.2200000000000002</v>
          </cell>
          <cell r="CD40">
            <v>2.12</v>
          </cell>
          <cell r="CE40">
            <v>2.1800000000000002</v>
          </cell>
          <cell r="CF40">
            <v>2.5099999999999998</v>
          </cell>
          <cell r="CG40">
            <v>2.77</v>
          </cell>
        </row>
        <row r="41">
          <cell r="A41" t="str">
            <v>NWPL-CAN</v>
          </cell>
          <cell r="B41">
            <v>38</v>
          </cell>
          <cell r="C41">
            <v>1.5</v>
          </cell>
          <cell r="D41">
            <v>1.74</v>
          </cell>
          <cell r="E41">
            <v>2.25</v>
          </cell>
          <cell r="F41">
            <v>1.74</v>
          </cell>
          <cell r="G41">
            <v>1.8</v>
          </cell>
          <cell r="H41">
            <v>1.8</v>
          </cell>
          <cell r="I41">
            <v>2.25</v>
          </cell>
          <cell r="J41">
            <v>1.58</v>
          </cell>
          <cell r="K41">
            <v>1.55</v>
          </cell>
          <cell r="L41">
            <v>1.65</v>
          </cell>
          <cell r="M41">
            <v>1.92</v>
          </cell>
          <cell r="N41">
            <v>1.75</v>
          </cell>
          <cell r="O41">
            <v>1.8</v>
          </cell>
          <cell r="P41">
            <v>2.4</v>
          </cell>
          <cell r="Q41">
            <v>2.1800000000000002</v>
          </cell>
          <cell r="R41">
            <v>1.79</v>
          </cell>
          <cell r="S41">
            <v>1.98</v>
          </cell>
          <cell r="T41">
            <v>1.62</v>
          </cell>
          <cell r="U41">
            <v>1.6</v>
          </cell>
          <cell r="V41">
            <v>1.39</v>
          </cell>
          <cell r="W41">
            <v>1.48</v>
          </cell>
          <cell r="X41">
            <v>1.45</v>
          </cell>
          <cell r="Y41">
            <v>1.36</v>
          </cell>
          <cell r="Z41">
            <v>1.18</v>
          </cell>
          <cell r="AA41">
            <v>1.52</v>
          </cell>
          <cell r="AB41">
            <v>1.63</v>
          </cell>
          <cell r="AC41">
            <v>1.4</v>
          </cell>
          <cell r="AD41">
            <v>1.03</v>
          </cell>
          <cell r="AE41">
            <v>1</v>
          </cell>
          <cell r="AF41">
            <v>0.97</v>
          </cell>
          <cell r="AG41">
            <v>0.99</v>
          </cell>
          <cell r="AH41">
            <v>0.97</v>
          </cell>
          <cell r="AI41">
            <v>0.85</v>
          </cell>
          <cell r="AJ41">
            <v>0.75</v>
          </cell>
          <cell r="AK41">
            <v>0.85</v>
          </cell>
          <cell r="AL41">
            <v>0.96</v>
          </cell>
          <cell r="AM41">
            <v>1.26</v>
          </cell>
          <cell r="AN41">
            <v>1.29</v>
          </cell>
          <cell r="AO41">
            <v>1.24</v>
          </cell>
          <cell r="AP41">
            <v>1.2</v>
          </cell>
          <cell r="AQ41">
            <v>1.1499999999999999</v>
          </cell>
          <cell r="AR41">
            <v>0.93</v>
          </cell>
          <cell r="AS41">
            <v>0.93</v>
          </cell>
          <cell r="AT41">
            <v>0.9</v>
          </cell>
          <cell r="AU41">
            <v>0.96</v>
          </cell>
          <cell r="AV41">
            <v>1.01</v>
          </cell>
          <cell r="AW41">
            <v>1.01</v>
          </cell>
          <cell r="AX41">
            <v>1.1000000000000001</v>
          </cell>
          <cell r="AY41">
            <v>2.17</v>
          </cell>
          <cell r="AZ41">
            <v>3.55</v>
          </cell>
          <cell r="BA41">
            <v>4.1500000000000004</v>
          </cell>
          <cell r="BB41">
            <v>2.37</v>
          </cell>
          <cell r="BC41">
            <v>1.05</v>
          </cell>
          <cell r="BD41">
            <v>1.1100000000000001</v>
          </cell>
          <cell r="BE41">
            <v>1.33</v>
          </cell>
          <cell r="BF41">
            <v>1.38</v>
          </cell>
          <cell r="BG41">
            <v>1.22</v>
          </cell>
          <cell r="BH41">
            <v>1.08</v>
          </cell>
          <cell r="BI41">
            <v>1.19</v>
          </cell>
          <cell r="BJ41">
            <v>1.48</v>
          </cell>
          <cell r="BK41">
            <v>2.7</v>
          </cell>
          <cell r="BL41">
            <v>1.4</v>
          </cell>
          <cell r="BM41">
            <v>1.85</v>
          </cell>
          <cell r="BN41">
            <v>1.43</v>
          </cell>
          <cell r="BO41">
            <v>1.1200000000000001</v>
          </cell>
          <cell r="BP41">
            <v>1.43</v>
          </cell>
          <cell r="BQ41">
            <v>1.7</v>
          </cell>
          <cell r="BR41">
            <v>1.38</v>
          </cell>
          <cell r="BS41">
            <v>1.45</v>
          </cell>
          <cell r="BT41">
            <v>1.57</v>
          </cell>
          <cell r="BU41">
            <v>1.46</v>
          </cell>
          <cell r="BV41">
            <v>1.67</v>
          </cell>
          <cell r="BW41">
            <v>2.14</v>
          </cell>
          <cell r="BX41">
            <v>2.09</v>
          </cell>
          <cell r="BY41">
            <v>2.88</v>
          </cell>
          <cell r="BZ41">
            <v>1.77</v>
          </cell>
          <cell r="CA41">
            <v>1.5</v>
          </cell>
          <cell r="CB41">
            <v>1.51</v>
          </cell>
          <cell r="CC41">
            <v>1.95</v>
          </cell>
          <cell r="CD41">
            <v>1.91</v>
          </cell>
          <cell r="CE41">
            <v>1.94</v>
          </cell>
          <cell r="CF41">
            <v>2.21</v>
          </cell>
          <cell r="CG41">
            <v>2.5</v>
          </cell>
        </row>
        <row r="42">
          <cell r="A42" t="str">
            <v>NWPL-ROCK</v>
          </cell>
          <cell r="B42">
            <v>39</v>
          </cell>
          <cell r="C42">
            <v>1.79</v>
          </cell>
          <cell r="D42">
            <v>1.95</v>
          </cell>
          <cell r="E42">
            <v>2.2999999999999998</v>
          </cell>
          <cell r="F42">
            <v>1.61</v>
          </cell>
          <cell r="G42">
            <v>1.78</v>
          </cell>
          <cell r="H42">
            <v>1.79</v>
          </cell>
          <cell r="I42">
            <v>2.25</v>
          </cell>
          <cell r="J42">
            <v>1.58</v>
          </cell>
          <cell r="K42">
            <v>1.55</v>
          </cell>
          <cell r="L42">
            <v>1.65</v>
          </cell>
          <cell r="M42">
            <v>1.92</v>
          </cell>
          <cell r="N42">
            <v>1.75</v>
          </cell>
          <cell r="O42">
            <v>1.74</v>
          </cell>
          <cell r="P42">
            <v>2.35</v>
          </cell>
          <cell r="Q42">
            <v>1.92</v>
          </cell>
          <cell r="R42">
            <v>1.78</v>
          </cell>
          <cell r="S42">
            <v>1.95</v>
          </cell>
          <cell r="T42">
            <v>1.61</v>
          </cell>
          <cell r="U42">
            <v>1.6</v>
          </cell>
          <cell r="V42">
            <v>1.37</v>
          </cell>
          <cell r="W42">
            <v>1.46</v>
          </cell>
          <cell r="X42">
            <v>1.45</v>
          </cell>
          <cell r="Y42">
            <v>1.36</v>
          </cell>
          <cell r="Z42">
            <v>1.18</v>
          </cell>
          <cell r="AA42">
            <v>1.48</v>
          </cell>
          <cell r="AB42">
            <v>1.61</v>
          </cell>
          <cell r="AC42">
            <v>1.37</v>
          </cell>
          <cell r="AD42">
            <v>1.06</v>
          </cell>
          <cell r="AE42">
            <v>1.05</v>
          </cell>
          <cell r="AF42">
            <v>1.05</v>
          </cell>
          <cell r="AG42">
            <v>1.06</v>
          </cell>
          <cell r="AH42">
            <v>1.1399999999999999</v>
          </cell>
          <cell r="AI42">
            <v>0.98</v>
          </cell>
          <cell r="AJ42">
            <v>0.84</v>
          </cell>
          <cell r="AK42">
            <v>0.96</v>
          </cell>
          <cell r="AL42">
            <v>1.05</v>
          </cell>
          <cell r="AM42">
            <v>1.25</v>
          </cell>
          <cell r="AN42">
            <v>1.31</v>
          </cell>
          <cell r="AO42">
            <v>1.25</v>
          </cell>
          <cell r="AP42">
            <v>1.19</v>
          </cell>
          <cell r="AQ42">
            <v>1.17</v>
          </cell>
          <cell r="AR42">
            <v>1.06</v>
          </cell>
          <cell r="AS42">
            <v>1.05</v>
          </cell>
          <cell r="AT42">
            <v>1.07</v>
          </cell>
          <cell r="AU42">
            <v>1.19</v>
          </cell>
          <cell r="AV42">
            <v>1.23</v>
          </cell>
          <cell r="AW42">
            <v>1.18</v>
          </cell>
          <cell r="AX42">
            <v>1.26</v>
          </cell>
          <cell r="AY42">
            <v>2.29</v>
          </cell>
          <cell r="AZ42">
            <v>3.52</v>
          </cell>
          <cell r="BA42">
            <v>4.2</v>
          </cell>
          <cell r="BB42">
            <v>2.48</v>
          </cell>
          <cell r="BC42">
            <v>1.39</v>
          </cell>
          <cell r="BD42">
            <v>1.44</v>
          </cell>
          <cell r="BE42">
            <v>1.64</v>
          </cell>
          <cell r="BF42">
            <v>1.48</v>
          </cell>
          <cell r="BG42">
            <v>1.44</v>
          </cell>
          <cell r="BH42">
            <v>1.38</v>
          </cell>
          <cell r="BI42">
            <v>1.48</v>
          </cell>
          <cell r="BJ42">
            <v>2.12</v>
          </cell>
          <cell r="BK42">
            <v>3</v>
          </cell>
          <cell r="BL42">
            <v>1.94</v>
          </cell>
          <cell r="BM42">
            <v>2.06</v>
          </cell>
          <cell r="BN42">
            <v>1.69</v>
          </cell>
          <cell r="BO42">
            <v>1.87</v>
          </cell>
          <cell r="BP42">
            <v>1.9</v>
          </cell>
          <cell r="BQ42">
            <v>1.98</v>
          </cell>
          <cell r="BR42">
            <v>1.64</v>
          </cell>
          <cell r="BS42">
            <v>1.62</v>
          </cell>
          <cell r="BT42">
            <v>1.73</v>
          </cell>
          <cell r="BU42">
            <v>1.57</v>
          </cell>
          <cell r="BV42">
            <v>1.65</v>
          </cell>
          <cell r="BW42">
            <v>2.02</v>
          </cell>
          <cell r="BX42">
            <v>2</v>
          </cell>
          <cell r="BY42">
            <v>1.82</v>
          </cell>
          <cell r="BZ42">
            <v>1.63</v>
          </cell>
          <cell r="CA42">
            <v>1.51</v>
          </cell>
          <cell r="CB42">
            <v>1.54</v>
          </cell>
          <cell r="CC42">
            <v>2</v>
          </cell>
          <cell r="CD42">
            <v>1.94</v>
          </cell>
          <cell r="CE42">
            <v>1.99</v>
          </cell>
          <cell r="CF42">
            <v>2.1800000000000002</v>
          </cell>
          <cell r="CG42">
            <v>2.56</v>
          </cell>
        </row>
        <row r="43">
          <cell r="A43" t="str">
            <v>ONG-OKL</v>
          </cell>
          <cell r="B43">
            <v>40</v>
          </cell>
          <cell r="C43">
            <v>1.97</v>
          </cell>
          <cell r="D43">
            <v>1.98</v>
          </cell>
          <cell r="E43">
            <v>1.92</v>
          </cell>
          <cell r="F43">
            <v>1.62</v>
          </cell>
          <cell r="G43">
            <v>1.81</v>
          </cell>
          <cell r="H43">
            <v>2.0699999999999998</v>
          </cell>
          <cell r="I43">
            <v>2.4</v>
          </cell>
          <cell r="J43">
            <v>1.78</v>
          </cell>
          <cell r="K43">
            <v>1.76</v>
          </cell>
          <cell r="L43">
            <v>1.91</v>
          </cell>
          <cell r="M43">
            <v>2.16</v>
          </cell>
          <cell r="N43">
            <v>1.85</v>
          </cell>
          <cell r="O43">
            <v>1.88</v>
          </cell>
          <cell r="P43">
            <v>2.2400000000000002</v>
          </cell>
          <cell r="Q43">
            <v>1.92</v>
          </cell>
          <cell r="R43">
            <v>2.1</v>
          </cell>
          <cell r="S43">
            <v>2.12</v>
          </cell>
          <cell r="T43">
            <v>1.78</v>
          </cell>
          <cell r="U43">
            <v>1.83</v>
          </cell>
          <cell r="V43">
            <v>1.58</v>
          </cell>
          <cell r="W43">
            <v>1.68</v>
          </cell>
          <cell r="X43">
            <v>1.59</v>
          </cell>
          <cell r="Y43">
            <v>1.39</v>
          </cell>
          <cell r="Z43">
            <v>1.3</v>
          </cell>
          <cell r="AA43">
            <v>1.49</v>
          </cell>
          <cell r="AB43">
            <v>1.59</v>
          </cell>
          <cell r="AC43">
            <v>1.51</v>
          </cell>
          <cell r="AD43">
            <v>1.29</v>
          </cell>
          <cell r="AE43">
            <v>1.29</v>
          </cell>
          <cell r="AF43">
            <v>1.35</v>
          </cell>
          <cell r="AG43">
            <v>1.45</v>
          </cell>
          <cell r="AH43">
            <v>1.48</v>
          </cell>
          <cell r="AI43">
            <v>1.28</v>
          </cell>
          <cell r="AJ43">
            <v>1.22</v>
          </cell>
          <cell r="AK43">
            <v>1.44</v>
          </cell>
          <cell r="AL43">
            <v>1.5</v>
          </cell>
          <cell r="AM43">
            <v>1.61</v>
          </cell>
          <cell r="AN43">
            <v>1.89</v>
          </cell>
          <cell r="AO43">
            <v>2.02</v>
          </cell>
          <cell r="AP43">
            <v>1.81</v>
          </cell>
          <cell r="AQ43">
            <v>1.91</v>
          </cell>
          <cell r="AR43">
            <v>2.15</v>
          </cell>
          <cell r="AS43">
            <v>2.02</v>
          </cell>
          <cell r="AT43">
            <v>2.06</v>
          </cell>
          <cell r="AU43">
            <v>2.2000000000000002</v>
          </cell>
          <cell r="AV43">
            <v>2.17</v>
          </cell>
          <cell r="AW43">
            <v>1.68</v>
          </cell>
          <cell r="AX43">
            <v>1.7</v>
          </cell>
          <cell r="AY43">
            <v>2.5099999999999998</v>
          </cell>
          <cell r="AZ43">
            <v>3.61</v>
          </cell>
          <cell r="BA43">
            <v>4.3</v>
          </cell>
          <cell r="BB43">
            <v>2.77</v>
          </cell>
          <cell r="BC43">
            <v>1.65</v>
          </cell>
          <cell r="BD43">
            <v>1.71</v>
          </cell>
          <cell r="BE43">
            <v>1.95</v>
          </cell>
          <cell r="BF43">
            <v>2.14</v>
          </cell>
          <cell r="BG43">
            <v>2.06</v>
          </cell>
          <cell r="BH43">
            <v>2.06</v>
          </cell>
          <cell r="BI43">
            <v>2.39</v>
          </cell>
          <cell r="BJ43">
            <v>3.01</v>
          </cell>
          <cell r="BK43">
            <v>3.16</v>
          </cell>
          <cell r="BL43">
            <v>2.36</v>
          </cell>
          <cell r="BM43">
            <v>2.15</v>
          </cell>
          <cell r="BN43">
            <v>1.93</v>
          </cell>
          <cell r="BO43">
            <v>2.16</v>
          </cell>
          <cell r="BP43">
            <v>2.19</v>
          </cell>
          <cell r="BQ43">
            <v>2.17</v>
          </cell>
          <cell r="BR43">
            <v>1.95</v>
          </cell>
          <cell r="BS43">
            <v>2.29</v>
          </cell>
          <cell r="BT43">
            <v>1.86</v>
          </cell>
          <cell r="BU43">
            <v>1.58</v>
          </cell>
          <cell r="BV43">
            <v>1.93</v>
          </cell>
          <cell r="BW43">
            <v>1.95</v>
          </cell>
          <cell r="BX43">
            <v>2.06</v>
          </cell>
          <cell r="BY43">
            <v>1.77</v>
          </cell>
          <cell r="BZ43">
            <v>1.75</v>
          </cell>
          <cell r="CA43">
            <v>1.58</v>
          </cell>
          <cell r="CB43">
            <v>1.76</v>
          </cell>
          <cell r="CC43">
            <v>2.23</v>
          </cell>
          <cell r="CD43">
            <v>2.13</v>
          </cell>
          <cell r="CE43">
            <v>2.1800000000000002</v>
          </cell>
          <cell r="CF43">
            <v>2.5099999999999998</v>
          </cell>
          <cell r="CG43">
            <v>2.78</v>
          </cell>
        </row>
        <row r="44">
          <cell r="A44" t="str">
            <v>PEPL-FZ</v>
          </cell>
          <cell r="B44">
            <v>41</v>
          </cell>
          <cell r="C44">
            <v>2.0699999999999998</v>
          </cell>
          <cell r="D44">
            <v>2.0299999999999998</v>
          </cell>
          <cell r="E44">
            <v>1.95</v>
          </cell>
          <cell r="F44">
            <v>1.61</v>
          </cell>
          <cell r="G44">
            <v>1.83</v>
          </cell>
          <cell r="H44">
            <v>2.1</v>
          </cell>
          <cell r="I44">
            <v>2.5499999999999998</v>
          </cell>
          <cell r="J44">
            <v>1.85</v>
          </cell>
          <cell r="K44">
            <v>1.79</v>
          </cell>
          <cell r="L44">
            <v>1.93</v>
          </cell>
          <cell r="M44">
            <v>2.1800000000000002</v>
          </cell>
          <cell r="N44">
            <v>1.9</v>
          </cell>
          <cell r="O44">
            <v>1.9</v>
          </cell>
          <cell r="P44">
            <v>2.23</v>
          </cell>
          <cell r="Q44">
            <v>1.97</v>
          </cell>
          <cell r="R44">
            <v>2.12</v>
          </cell>
          <cell r="S44">
            <v>2.14</v>
          </cell>
          <cell r="T44">
            <v>1.8</v>
          </cell>
          <cell r="U44">
            <v>1.84</v>
          </cell>
          <cell r="V44">
            <v>1.57</v>
          </cell>
          <cell r="W44">
            <v>1.65</v>
          </cell>
          <cell r="X44">
            <v>1.57</v>
          </cell>
          <cell r="Y44">
            <v>1.41</v>
          </cell>
          <cell r="Z44">
            <v>1.31</v>
          </cell>
          <cell r="AA44">
            <v>1.52</v>
          </cell>
          <cell r="AB44">
            <v>1.6</v>
          </cell>
          <cell r="AC44">
            <v>1.51</v>
          </cell>
          <cell r="AD44">
            <v>1.27</v>
          </cell>
          <cell r="AE44">
            <v>1.27</v>
          </cell>
          <cell r="AF44">
            <v>1.34</v>
          </cell>
          <cell r="AG44">
            <v>1.45</v>
          </cell>
          <cell r="AH44">
            <v>1.47</v>
          </cell>
          <cell r="AI44">
            <v>1.25</v>
          </cell>
          <cell r="AJ44">
            <v>1.2</v>
          </cell>
          <cell r="AK44">
            <v>1.41</v>
          </cell>
          <cell r="AL44">
            <v>1.5</v>
          </cell>
          <cell r="AM44">
            <v>1.61</v>
          </cell>
          <cell r="AN44">
            <v>1.89</v>
          </cell>
          <cell r="AO44">
            <v>2</v>
          </cell>
          <cell r="AP44">
            <v>1.81</v>
          </cell>
          <cell r="AQ44">
            <v>1.9</v>
          </cell>
          <cell r="AR44">
            <v>2.14</v>
          </cell>
          <cell r="AS44">
            <v>2</v>
          </cell>
          <cell r="AT44">
            <v>2.0499999999999998</v>
          </cell>
          <cell r="AU44">
            <v>2.1800000000000002</v>
          </cell>
          <cell r="AV44">
            <v>2.13</v>
          </cell>
          <cell r="AW44">
            <v>1.67</v>
          </cell>
          <cell r="AX44">
            <v>1.69</v>
          </cell>
          <cell r="AY44">
            <v>2.5099999999999998</v>
          </cell>
          <cell r="AZ44">
            <v>3.61</v>
          </cell>
          <cell r="BA44">
            <v>4.0999999999999996</v>
          </cell>
          <cell r="BB44">
            <v>2.84</v>
          </cell>
          <cell r="BC44">
            <v>1.64</v>
          </cell>
          <cell r="BD44">
            <v>1.73</v>
          </cell>
          <cell r="BE44">
            <v>1.95</v>
          </cell>
          <cell r="BF44">
            <v>2.13</v>
          </cell>
          <cell r="BG44">
            <v>2.0099999999999998</v>
          </cell>
          <cell r="BH44">
            <v>2.06</v>
          </cell>
          <cell r="BI44">
            <v>2.42</v>
          </cell>
          <cell r="BJ44">
            <v>3.01</v>
          </cell>
          <cell r="BK44">
            <v>3.16</v>
          </cell>
          <cell r="BL44">
            <v>2.35</v>
          </cell>
          <cell r="BM44">
            <v>2.15</v>
          </cell>
          <cell r="BN44">
            <v>1.93</v>
          </cell>
          <cell r="BO44">
            <v>2.15</v>
          </cell>
          <cell r="BP44">
            <v>2.19</v>
          </cell>
          <cell r="BQ44">
            <v>2.1800000000000002</v>
          </cell>
          <cell r="BR44">
            <v>1.94</v>
          </cell>
          <cell r="BS44">
            <v>2.27</v>
          </cell>
          <cell r="BT44">
            <v>1.84</v>
          </cell>
          <cell r="BU44">
            <v>1.56</v>
          </cell>
          <cell r="BV44">
            <v>1.9</v>
          </cell>
          <cell r="BW44">
            <v>1.95</v>
          </cell>
          <cell r="BX44">
            <v>2.06</v>
          </cell>
          <cell r="BY44">
            <v>1.78</v>
          </cell>
          <cell r="BZ44">
            <v>1.76</v>
          </cell>
          <cell r="CA44">
            <v>1.58</v>
          </cell>
          <cell r="CB44">
            <v>1.76</v>
          </cell>
          <cell r="CC44">
            <v>2.2200000000000002</v>
          </cell>
          <cell r="CD44">
            <v>2.12</v>
          </cell>
          <cell r="CE44">
            <v>2.17</v>
          </cell>
          <cell r="CF44">
            <v>2.5099999999999998</v>
          </cell>
          <cell r="CG44">
            <v>2.77</v>
          </cell>
        </row>
        <row r="45">
          <cell r="A45" t="str">
            <v>QUEST</v>
          </cell>
          <cell r="B45">
            <v>42</v>
          </cell>
          <cell r="C45">
            <v>1.87</v>
          </cell>
          <cell r="D45">
            <v>1.88</v>
          </cell>
          <cell r="E45">
            <v>2.2599999999999998</v>
          </cell>
          <cell r="F45">
            <v>1.59</v>
          </cell>
          <cell r="G45">
            <v>1.7</v>
          </cell>
          <cell r="H45">
            <v>1.75</v>
          </cell>
          <cell r="I45">
            <v>2.2000000000000002</v>
          </cell>
          <cell r="J45">
            <v>1.58</v>
          </cell>
          <cell r="K45">
            <v>1.56</v>
          </cell>
          <cell r="L45">
            <v>1.65</v>
          </cell>
          <cell r="M45">
            <v>1.88</v>
          </cell>
          <cell r="N45">
            <v>1.72</v>
          </cell>
          <cell r="O45">
            <v>1.71</v>
          </cell>
          <cell r="P45">
            <v>2.2599999999999998</v>
          </cell>
          <cell r="Q45">
            <v>1.86</v>
          </cell>
          <cell r="R45">
            <v>1.77</v>
          </cell>
          <cell r="S45">
            <v>1.88</v>
          </cell>
          <cell r="T45">
            <v>1.55</v>
          </cell>
          <cell r="U45">
            <v>1.55</v>
          </cell>
          <cell r="V45">
            <v>1.31</v>
          </cell>
          <cell r="W45">
            <v>1.42</v>
          </cell>
          <cell r="X45">
            <v>1.41</v>
          </cell>
          <cell r="Y45">
            <v>1.34</v>
          </cell>
          <cell r="Z45">
            <v>1.1499999999999999</v>
          </cell>
          <cell r="AA45">
            <v>1.45</v>
          </cell>
          <cell r="AB45">
            <v>1.57</v>
          </cell>
          <cell r="AC45">
            <v>1.35</v>
          </cell>
          <cell r="AD45">
            <v>1.06</v>
          </cell>
          <cell r="AE45">
            <v>1.05</v>
          </cell>
          <cell r="AF45">
            <v>1.05</v>
          </cell>
          <cell r="AG45">
            <v>1.07</v>
          </cell>
          <cell r="AH45">
            <v>1.1299999999999999</v>
          </cell>
          <cell r="AI45">
            <v>0.98</v>
          </cell>
          <cell r="AJ45">
            <v>0.85</v>
          </cell>
          <cell r="AK45">
            <v>0.95</v>
          </cell>
          <cell r="AL45">
            <v>1.04</v>
          </cell>
          <cell r="AM45">
            <v>1.23</v>
          </cell>
          <cell r="AN45">
            <v>1.31</v>
          </cell>
          <cell r="AO45">
            <v>1.26</v>
          </cell>
          <cell r="AP45">
            <v>1.17</v>
          </cell>
          <cell r="AQ45">
            <v>1.1599999999999999</v>
          </cell>
          <cell r="AR45">
            <v>1.05</v>
          </cell>
          <cell r="AS45">
            <v>1.05</v>
          </cell>
          <cell r="AT45">
            <v>1.06</v>
          </cell>
          <cell r="AU45">
            <v>1.17</v>
          </cell>
          <cell r="AV45">
            <v>1.19</v>
          </cell>
          <cell r="AW45">
            <v>1.18</v>
          </cell>
          <cell r="AX45">
            <v>1.25</v>
          </cell>
          <cell r="AY45">
            <v>2.2000000000000002</v>
          </cell>
          <cell r="AZ45">
            <v>3.36</v>
          </cell>
          <cell r="BA45">
            <v>4.2</v>
          </cell>
          <cell r="BB45">
            <v>2.4500000000000002</v>
          </cell>
          <cell r="BC45">
            <v>1.38</v>
          </cell>
          <cell r="BD45">
            <v>1.42</v>
          </cell>
          <cell r="BE45">
            <v>1.61</v>
          </cell>
          <cell r="BF45">
            <v>1.45</v>
          </cell>
          <cell r="BG45">
            <v>1.42</v>
          </cell>
          <cell r="BH45">
            <v>1.38</v>
          </cell>
          <cell r="BI45">
            <v>1.47</v>
          </cell>
          <cell r="BJ45">
            <v>2.1</v>
          </cell>
          <cell r="BK45">
            <v>2.99</v>
          </cell>
          <cell r="BL45">
            <v>1.93</v>
          </cell>
          <cell r="BM45">
            <v>2.04</v>
          </cell>
          <cell r="BN45">
            <v>1.68</v>
          </cell>
          <cell r="BO45">
            <v>1.86</v>
          </cell>
          <cell r="BP45">
            <v>1.89</v>
          </cell>
          <cell r="BQ45">
            <v>1.97</v>
          </cell>
          <cell r="BR45">
            <v>1.62</v>
          </cell>
          <cell r="BS45">
            <v>1.61</v>
          </cell>
          <cell r="BT45">
            <v>1.73</v>
          </cell>
          <cell r="BU45">
            <v>1.53</v>
          </cell>
          <cell r="BV45">
            <v>1.64</v>
          </cell>
          <cell r="BW45">
            <v>1.91</v>
          </cell>
          <cell r="BX45">
            <v>2</v>
          </cell>
          <cell r="BY45">
            <v>1.73</v>
          </cell>
          <cell r="BZ45">
            <v>1.58</v>
          </cell>
          <cell r="CA45">
            <v>1.45</v>
          </cell>
          <cell r="CB45">
            <v>1.43</v>
          </cell>
          <cell r="CC45">
            <v>1.9</v>
          </cell>
          <cell r="CD45">
            <v>1.85</v>
          </cell>
          <cell r="CE45">
            <v>1.92</v>
          </cell>
          <cell r="CF45">
            <v>2.12</v>
          </cell>
          <cell r="CG45">
            <v>2.48</v>
          </cell>
        </row>
        <row r="46">
          <cell r="A46" t="str">
            <v>NGI-SOCAL</v>
          </cell>
          <cell r="B46">
            <v>43</v>
          </cell>
          <cell r="C46">
            <v>2.42</v>
          </cell>
          <cell r="D46">
            <v>2.3199999999999998</v>
          </cell>
          <cell r="E46">
            <v>2.33</v>
          </cell>
          <cell r="F46">
            <v>1.82</v>
          </cell>
          <cell r="G46">
            <v>2.04</v>
          </cell>
          <cell r="H46">
            <v>2.1800000000000002</v>
          </cell>
          <cell r="I46">
            <v>2.58</v>
          </cell>
          <cell r="J46">
            <v>1.92</v>
          </cell>
          <cell r="K46">
            <v>2.04</v>
          </cell>
          <cell r="L46">
            <v>2.29</v>
          </cell>
          <cell r="M46">
            <v>2.4300000000000002</v>
          </cell>
          <cell r="N46">
            <v>2.2000000000000002</v>
          </cell>
          <cell r="O46">
            <v>2.0699999999999998</v>
          </cell>
          <cell r="P46">
            <v>2.5499999999999998</v>
          </cell>
          <cell r="Q46">
            <v>2.23</v>
          </cell>
          <cell r="R46">
            <v>2</v>
          </cell>
          <cell r="S46">
            <v>2.19</v>
          </cell>
          <cell r="T46">
            <v>1.93</v>
          </cell>
          <cell r="U46">
            <v>1.92</v>
          </cell>
          <cell r="V46">
            <v>1.66</v>
          </cell>
          <cell r="W46">
            <v>1.76</v>
          </cell>
          <cell r="X46">
            <v>1.74</v>
          </cell>
          <cell r="Y46">
            <v>1.64</v>
          </cell>
          <cell r="Z46">
            <v>1.4</v>
          </cell>
          <cell r="AA46">
            <v>1.69</v>
          </cell>
          <cell r="AB46">
            <v>1.85</v>
          </cell>
          <cell r="AC46">
            <v>1.66</v>
          </cell>
          <cell r="AD46">
            <v>1.27</v>
          </cell>
          <cell r="AE46">
            <v>1.23</v>
          </cell>
          <cell r="AF46">
            <v>1.25</v>
          </cell>
          <cell r="AG46">
            <v>1.34</v>
          </cell>
          <cell r="AH46">
            <v>1.38</v>
          </cell>
          <cell r="AI46">
            <v>1.25</v>
          </cell>
          <cell r="AJ46">
            <v>1.24</v>
          </cell>
          <cell r="AK46">
            <v>1.46</v>
          </cell>
          <cell r="AL46">
            <v>1.53</v>
          </cell>
          <cell r="AM46">
            <v>1.56</v>
          </cell>
          <cell r="AN46">
            <v>1.63</v>
          </cell>
          <cell r="AO46">
            <v>1.48</v>
          </cell>
          <cell r="AP46">
            <v>1.42</v>
          </cell>
          <cell r="AQ46">
            <v>1.39</v>
          </cell>
          <cell r="AR46">
            <v>1.29</v>
          </cell>
          <cell r="AS46">
            <v>1.29</v>
          </cell>
          <cell r="AT46">
            <v>1.37</v>
          </cell>
          <cell r="AU46">
            <v>1.69</v>
          </cell>
          <cell r="AV46">
            <v>2.16</v>
          </cell>
          <cell r="AW46">
            <v>1.72</v>
          </cell>
          <cell r="AX46">
            <v>1.73</v>
          </cell>
          <cell r="AY46">
            <v>2.62</v>
          </cell>
          <cell r="AZ46">
            <v>3.7</v>
          </cell>
          <cell r="BA46">
            <v>4.2699999999999996</v>
          </cell>
          <cell r="BB46">
            <v>2.65</v>
          </cell>
          <cell r="BC46">
            <v>1.61</v>
          </cell>
          <cell r="BD46">
            <v>1.74</v>
          </cell>
          <cell r="BE46">
            <v>2.0499999999999998</v>
          </cell>
          <cell r="BF46">
            <v>2.2000000000000002</v>
          </cell>
          <cell r="BG46">
            <v>2.19</v>
          </cell>
          <cell r="BH46">
            <v>2.2200000000000002</v>
          </cell>
          <cell r="BI46">
            <v>2.5</v>
          </cell>
          <cell r="BJ46">
            <v>3.08</v>
          </cell>
          <cell r="BK46">
            <v>3.34</v>
          </cell>
          <cell r="BL46">
            <v>2.36</v>
          </cell>
          <cell r="BM46">
            <v>2.2799999999999998</v>
          </cell>
          <cell r="BN46">
            <v>2.11</v>
          </cell>
        </row>
        <row r="47">
          <cell r="A47" t="str">
            <v>SONAT-LA</v>
          </cell>
          <cell r="B47">
            <v>44</v>
          </cell>
          <cell r="C47">
            <v>2.2599999999999998</v>
          </cell>
          <cell r="D47">
            <v>2.2000000000000002</v>
          </cell>
          <cell r="E47">
            <v>1.91</v>
          </cell>
          <cell r="F47">
            <v>1.61</v>
          </cell>
          <cell r="G47">
            <v>1.9</v>
          </cell>
          <cell r="H47">
            <v>2.1800000000000002</v>
          </cell>
          <cell r="I47">
            <v>2.6</v>
          </cell>
          <cell r="J47">
            <v>1.95</v>
          </cell>
          <cell r="K47">
            <v>1.9</v>
          </cell>
          <cell r="L47">
            <v>2.0499999999999998</v>
          </cell>
          <cell r="M47">
            <v>2.31</v>
          </cell>
          <cell r="N47">
            <v>1.95</v>
          </cell>
          <cell r="O47">
            <v>2.0499999999999998</v>
          </cell>
          <cell r="P47">
            <v>2.2999999999999998</v>
          </cell>
          <cell r="Q47">
            <v>2.0099999999999998</v>
          </cell>
          <cell r="R47">
            <v>2.31</v>
          </cell>
          <cell r="S47">
            <v>2.3199999999999998</v>
          </cell>
          <cell r="T47">
            <v>1.91</v>
          </cell>
          <cell r="U47">
            <v>1.92</v>
          </cell>
          <cell r="V47">
            <v>1.75</v>
          </cell>
          <cell r="W47">
            <v>1.85</v>
          </cell>
          <cell r="X47">
            <v>1.73</v>
          </cell>
          <cell r="Y47">
            <v>1.44</v>
          </cell>
          <cell r="Z47">
            <v>1.38</v>
          </cell>
          <cell r="AA47">
            <v>1.62</v>
          </cell>
          <cell r="AB47">
            <v>1.65</v>
          </cell>
          <cell r="AC47">
            <v>1.57</v>
          </cell>
          <cell r="AD47">
            <v>1.38</v>
          </cell>
          <cell r="AE47">
            <v>1.41</v>
          </cell>
          <cell r="AF47">
            <v>1.53</v>
          </cell>
          <cell r="AG47">
            <v>1.64</v>
          </cell>
          <cell r="AH47">
            <v>1.66</v>
          </cell>
          <cell r="AI47">
            <v>1.46</v>
          </cell>
          <cell r="AJ47">
            <v>1.34</v>
          </cell>
          <cell r="AK47">
            <v>1.54</v>
          </cell>
          <cell r="AL47">
            <v>1.61</v>
          </cell>
          <cell r="AM47">
            <v>1.76</v>
          </cell>
          <cell r="AN47">
            <v>2.2400000000000002</v>
          </cell>
          <cell r="AO47">
            <v>3.38</v>
          </cell>
          <cell r="AP47">
            <v>2.34</v>
          </cell>
          <cell r="AQ47">
            <v>2.84</v>
          </cell>
          <cell r="AR47">
            <v>2.65</v>
          </cell>
          <cell r="AS47">
            <v>2.17</v>
          </cell>
          <cell r="AT47">
            <v>2.2999999999999998</v>
          </cell>
          <cell r="AU47">
            <v>2.61</v>
          </cell>
          <cell r="AV47">
            <v>2.2599999999999998</v>
          </cell>
          <cell r="AW47">
            <v>1.74</v>
          </cell>
          <cell r="AX47">
            <v>1.78</v>
          </cell>
          <cell r="AY47">
            <v>2.66</v>
          </cell>
          <cell r="AZ47">
            <v>3.84</v>
          </cell>
          <cell r="BA47">
            <v>3.95</v>
          </cell>
          <cell r="BB47">
            <v>2.88</v>
          </cell>
          <cell r="BC47">
            <v>1.74</v>
          </cell>
          <cell r="BD47">
            <v>1.78</v>
          </cell>
          <cell r="BE47">
            <v>2.08</v>
          </cell>
          <cell r="BF47">
            <v>2.2799999999999998</v>
          </cell>
          <cell r="BG47">
            <v>2.1</v>
          </cell>
          <cell r="BH47">
            <v>2.14</v>
          </cell>
          <cell r="BI47">
            <v>2.5</v>
          </cell>
          <cell r="BJ47">
            <v>3.05</v>
          </cell>
          <cell r="BK47">
            <v>3.25</v>
          </cell>
          <cell r="BL47">
            <v>2.52</v>
          </cell>
          <cell r="BM47">
            <v>2.27</v>
          </cell>
          <cell r="BN47">
            <v>2.02</v>
          </cell>
          <cell r="BO47">
            <v>2.23</v>
          </cell>
          <cell r="BP47">
            <v>2.2799999999999998</v>
          </cell>
          <cell r="BQ47">
            <v>2.25</v>
          </cell>
          <cell r="BR47">
            <v>2.0099999999999998</v>
          </cell>
          <cell r="BS47">
            <v>2.35</v>
          </cell>
          <cell r="BT47">
            <v>1.91</v>
          </cell>
          <cell r="BU47">
            <v>1.6</v>
          </cell>
          <cell r="BV47">
            <v>2.02</v>
          </cell>
          <cell r="BW47">
            <v>1.96</v>
          </cell>
          <cell r="BX47">
            <v>2.09</v>
          </cell>
          <cell r="BY47">
            <v>1.76</v>
          </cell>
          <cell r="BZ47">
            <v>1.78</v>
          </cell>
          <cell r="CA47">
            <v>1.62</v>
          </cell>
          <cell r="CB47">
            <v>1.87</v>
          </cell>
          <cell r="CC47">
            <v>2.2999999999999998</v>
          </cell>
          <cell r="CD47">
            <v>2.21</v>
          </cell>
          <cell r="CE47">
            <v>2.2599999999999998</v>
          </cell>
          <cell r="CF47">
            <v>2.6</v>
          </cell>
          <cell r="CG47">
            <v>2.87</v>
          </cell>
        </row>
        <row r="48">
          <cell r="A48" t="str">
            <v>TANG</v>
          </cell>
          <cell r="B48">
            <v>45</v>
          </cell>
          <cell r="C48">
            <v>2.2090000000000001</v>
          </cell>
          <cell r="D48">
            <v>2.1240000000000001</v>
          </cell>
          <cell r="E48">
            <v>1.85</v>
          </cell>
          <cell r="F48">
            <v>1.5489999999999999</v>
          </cell>
          <cell r="G48">
            <v>1.806</v>
          </cell>
          <cell r="H48">
            <v>2.109</v>
          </cell>
          <cell r="I48">
            <v>2.581</v>
          </cell>
          <cell r="J48">
            <v>1.927</v>
          </cell>
          <cell r="K48">
            <v>1.8540000000000001</v>
          </cell>
          <cell r="L48">
            <v>2.0030000000000001</v>
          </cell>
          <cell r="M48">
            <v>2.2959999999999998</v>
          </cell>
          <cell r="N48">
            <v>1.9379999999999999</v>
          </cell>
          <cell r="O48">
            <v>2.0230000000000001</v>
          </cell>
          <cell r="P48">
            <v>2.3010000000000002</v>
          </cell>
          <cell r="Q48">
            <v>1.9690000000000001</v>
          </cell>
          <cell r="R48">
            <v>2.1930000000000001</v>
          </cell>
          <cell r="S48">
            <v>2.198</v>
          </cell>
          <cell r="T48">
            <v>1.871</v>
          </cell>
          <cell r="U48">
            <v>1.9670000000000001</v>
          </cell>
          <cell r="V48">
            <v>1.7090000000000001</v>
          </cell>
          <cell r="W48">
            <v>1.86</v>
          </cell>
          <cell r="X48">
            <v>1.7</v>
          </cell>
          <cell r="Y48">
            <v>1.397</v>
          </cell>
          <cell r="Z48">
            <v>1.333</v>
          </cell>
          <cell r="AA48">
            <v>1.5920000000000001</v>
          </cell>
          <cell r="AB48">
            <v>1.601</v>
          </cell>
          <cell r="AC48">
            <v>1.514</v>
          </cell>
          <cell r="AD48">
            <v>1.3120000000000001</v>
          </cell>
          <cell r="AE48">
            <v>1.3380000000000001</v>
          </cell>
          <cell r="AF48">
            <v>1.4610000000000001</v>
          </cell>
          <cell r="AG48">
            <v>1.577</v>
          </cell>
          <cell r="AH48">
            <v>1.6180000000000001</v>
          </cell>
          <cell r="AI48">
            <v>1.399</v>
          </cell>
          <cell r="AJ48">
            <v>1.288</v>
          </cell>
          <cell r="AK48">
            <v>1.4810000000000001</v>
          </cell>
          <cell r="AL48">
            <v>1.544</v>
          </cell>
          <cell r="AM48">
            <v>1.6779999999999999</v>
          </cell>
          <cell r="AN48">
            <v>2.0640000000000001</v>
          </cell>
          <cell r="AO48">
            <v>2.0859999999999999</v>
          </cell>
          <cell r="AP48">
            <v>1.806</v>
          </cell>
          <cell r="AQ48">
            <v>1.92</v>
          </cell>
          <cell r="AR48">
            <v>2.2050000000000001</v>
          </cell>
          <cell r="AS48">
            <v>2.1040000000000001</v>
          </cell>
          <cell r="AT48">
            <v>2.2410000000000001</v>
          </cell>
          <cell r="AU48">
            <v>2.5099999999999998</v>
          </cell>
          <cell r="AV48">
            <v>2.1619999999999999</v>
          </cell>
          <cell r="AW48">
            <v>1.6859999999999999</v>
          </cell>
          <cell r="AX48">
            <v>1.7270000000000001</v>
          </cell>
          <cell r="AY48">
            <v>2.5539999999999998</v>
          </cell>
          <cell r="AZ48">
            <v>3.6459999999999999</v>
          </cell>
          <cell r="BA48">
            <v>3.7229999999999999</v>
          </cell>
          <cell r="BB48">
            <v>2.706</v>
          </cell>
          <cell r="BC48">
            <v>1.62</v>
          </cell>
          <cell r="BD48">
            <v>1.716</v>
          </cell>
          <cell r="BE48">
            <v>2.0179999999999998</v>
          </cell>
        </row>
        <row r="49">
          <cell r="A49" t="str">
            <v>TENN-Z0</v>
          </cell>
          <cell r="B49">
            <v>46</v>
          </cell>
          <cell r="C49">
            <v>2.2799999999999998</v>
          </cell>
          <cell r="D49">
            <v>2.12</v>
          </cell>
          <cell r="E49">
            <v>1.82</v>
          </cell>
          <cell r="F49">
            <v>1.54</v>
          </cell>
          <cell r="G49">
            <v>1.8</v>
          </cell>
          <cell r="H49">
            <v>2.1</v>
          </cell>
          <cell r="I49">
            <v>2.58</v>
          </cell>
          <cell r="J49">
            <v>1.83</v>
          </cell>
          <cell r="K49">
            <v>1.73</v>
          </cell>
          <cell r="L49">
            <v>1.89</v>
          </cell>
          <cell r="M49">
            <v>2.23</v>
          </cell>
          <cell r="N49">
            <v>1.88</v>
          </cell>
          <cell r="O49">
            <v>2.02</v>
          </cell>
          <cell r="P49">
            <v>2.29</v>
          </cell>
          <cell r="Q49">
            <v>1.94</v>
          </cell>
          <cell r="R49">
            <v>2.1800000000000002</v>
          </cell>
          <cell r="S49">
            <v>2.17</v>
          </cell>
          <cell r="T49">
            <v>1.85</v>
          </cell>
          <cell r="U49">
            <v>1.98</v>
          </cell>
          <cell r="V49">
            <v>1.7</v>
          </cell>
          <cell r="W49">
            <v>1.84</v>
          </cell>
          <cell r="X49">
            <v>1.68</v>
          </cell>
          <cell r="Y49">
            <v>1.38</v>
          </cell>
          <cell r="Z49">
            <v>1.33</v>
          </cell>
          <cell r="AA49">
            <v>1.62</v>
          </cell>
          <cell r="AB49">
            <v>1.6</v>
          </cell>
          <cell r="AC49">
            <v>1.5</v>
          </cell>
          <cell r="AD49">
            <v>1.32</v>
          </cell>
          <cell r="AE49">
            <v>1.35</v>
          </cell>
          <cell r="AF49">
            <v>1.47</v>
          </cell>
          <cell r="AG49">
            <v>1.58</v>
          </cell>
          <cell r="AH49">
            <v>1.63</v>
          </cell>
          <cell r="AI49">
            <v>1.4</v>
          </cell>
          <cell r="AJ49">
            <v>1.28</v>
          </cell>
          <cell r="AK49">
            <v>1.48</v>
          </cell>
          <cell r="AL49">
            <v>1.56</v>
          </cell>
          <cell r="AM49">
            <v>1.7</v>
          </cell>
          <cell r="AN49">
            <v>2.08</v>
          </cell>
          <cell r="AO49">
            <v>2.11</v>
          </cell>
          <cell r="AP49">
            <v>1.8</v>
          </cell>
          <cell r="AQ49">
            <v>1.97</v>
          </cell>
          <cell r="AR49">
            <v>2.2200000000000002</v>
          </cell>
          <cell r="AS49">
            <v>2.11</v>
          </cell>
          <cell r="AT49">
            <v>2.2599999999999998</v>
          </cell>
          <cell r="AU49">
            <v>2.5299999999999998</v>
          </cell>
          <cell r="AV49">
            <v>2.19</v>
          </cell>
          <cell r="AW49">
            <v>1.69</v>
          </cell>
          <cell r="AX49">
            <v>1.73</v>
          </cell>
          <cell r="AY49">
            <v>2.59</v>
          </cell>
          <cell r="AZ49">
            <v>3.68</v>
          </cell>
          <cell r="BA49">
            <v>3.82</v>
          </cell>
          <cell r="BB49">
            <v>2.73</v>
          </cell>
          <cell r="BC49">
            <v>1.62</v>
          </cell>
          <cell r="BD49">
            <v>1.74</v>
          </cell>
          <cell r="BE49">
            <v>2.02</v>
          </cell>
          <cell r="BF49">
            <v>2.23</v>
          </cell>
          <cell r="BG49">
            <v>2.06</v>
          </cell>
          <cell r="BH49">
            <v>2.1</v>
          </cell>
          <cell r="BI49">
            <v>2.4300000000000002</v>
          </cell>
          <cell r="BJ49">
            <v>2.99</v>
          </cell>
          <cell r="BK49">
            <v>3.17</v>
          </cell>
          <cell r="BL49">
            <v>2.36</v>
          </cell>
          <cell r="BM49">
            <v>2.14</v>
          </cell>
          <cell r="BN49">
            <v>1.92</v>
          </cell>
          <cell r="BO49">
            <v>2.16</v>
          </cell>
          <cell r="BP49">
            <v>2.2200000000000002</v>
          </cell>
          <cell r="BQ49">
            <v>2.2000000000000002</v>
          </cell>
          <cell r="BR49">
            <v>1.95</v>
          </cell>
          <cell r="BS49">
            <v>2.27</v>
          </cell>
          <cell r="BT49">
            <v>1.83</v>
          </cell>
          <cell r="BU49">
            <v>1.53</v>
          </cell>
          <cell r="BV49">
            <v>1.92</v>
          </cell>
          <cell r="BW49">
            <v>1.89</v>
          </cell>
          <cell r="BX49">
            <v>2.02</v>
          </cell>
          <cell r="BY49">
            <v>1.69</v>
          </cell>
          <cell r="BZ49">
            <v>1.74</v>
          </cell>
          <cell r="CA49">
            <v>1.56</v>
          </cell>
          <cell r="CB49">
            <v>1.83</v>
          </cell>
          <cell r="CC49">
            <v>2.2799999999999998</v>
          </cell>
          <cell r="CD49">
            <v>2.14</v>
          </cell>
          <cell r="CE49">
            <v>2.19</v>
          </cell>
          <cell r="CF49">
            <v>2.5299999999999998</v>
          </cell>
          <cell r="CG49">
            <v>2.8</v>
          </cell>
        </row>
        <row r="50">
          <cell r="A50" t="str">
            <v>TENN-Z1</v>
          </cell>
          <cell r="B50">
            <v>47</v>
          </cell>
          <cell r="C50">
            <v>2.2999999999999998</v>
          </cell>
          <cell r="D50">
            <v>2.1800000000000002</v>
          </cell>
          <cell r="E50">
            <v>1.88</v>
          </cell>
          <cell r="F50">
            <v>1.59</v>
          </cell>
          <cell r="G50">
            <v>1.84</v>
          </cell>
          <cell r="H50">
            <v>2.14</v>
          </cell>
          <cell r="I50">
            <v>2.6</v>
          </cell>
          <cell r="J50">
            <v>1.86</v>
          </cell>
          <cell r="K50">
            <v>1.81</v>
          </cell>
          <cell r="L50">
            <v>1.95</v>
          </cell>
          <cell r="M50">
            <v>2.27</v>
          </cell>
          <cell r="N50">
            <v>1.92</v>
          </cell>
          <cell r="O50">
            <v>2.0499999999999998</v>
          </cell>
          <cell r="P50">
            <v>2.33</v>
          </cell>
          <cell r="Q50">
            <v>1.98</v>
          </cell>
          <cell r="R50">
            <v>2.31</v>
          </cell>
          <cell r="S50">
            <v>2.3199999999999998</v>
          </cell>
          <cell r="T50">
            <v>1.92</v>
          </cell>
          <cell r="U50">
            <v>2</v>
          </cell>
          <cell r="V50">
            <v>1.73</v>
          </cell>
          <cell r="W50">
            <v>1.87</v>
          </cell>
          <cell r="X50">
            <v>1.7</v>
          </cell>
          <cell r="Y50">
            <v>1.4</v>
          </cell>
          <cell r="Z50">
            <v>1.35</v>
          </cell>
          <cell r="AA50">
            <v>1.62</v>
          </cell>
          <cell r="AB50">
            <v>1.64</v>
          </cell>
          <cell r="AC50">
            <v>1.57</v>
          </cell>
          <cell r="AD50">
            <v>1.37</v>
          </cell>
          <cell r="AE50">
            <v>1.42</v>
          </cell>
          <cell r="AF50">
            <v>1.5</v>
          </cell>
          <cell r="AG50">
            <v>1.6</v>
          </cell>
          <cell r="AH50">
            <v>1.64</v>
          </cell>
          <cell r="AI50">
            <v>1.42</v>
          </cell>
          <cell r="AJ50">
            <v>1.3</v>
          </cell>
          <cell r="AK50">
            <v>1.5</v>
          </cell>
          <cell r="AL50">
            <v>1.58</v>
          </cell>
          <cell r="AM50">
            <v>1.73</v>
          </cell>
          <cell r="AN50">
            <v>2.2400000000000002</v>
          </cell>
          <cell r="AO50">
            <v>3.25</v>
          </cell>
          <cell r="AP50">
            <v>2.33</v>
          </cell>
          <cell r="AQ50">
            <v>2.81</v>
          </cell>
          <cell r="AR50">
            <v>2.58</v>
          </cell>
          <cell r="AS50">
            <v>2.1</v>
          </cell>
          <cell r="AT50">
            <v>2.2799999999999998</v>
          </cell>
          <cell r="AU50">
            <v>2.57</v>
          </cell>
          <cell r="AV50">
            <v>2.2200000000000002</v>
          </cell>
          <cell r="AW50">
            <v>1.72</v>
          </cell>
          <cell r="AX50">
            <v>1.75</v>
          </cell>
          <cell r="AY50">
            <v>2.63</v>
          </cell>
          <cell r="AZ50">
            <v>3.73</v>
          </cell>
          <cell r="BA50">
            <v>3.84</v>
          </cell>
          <cell r="BB50">
            <v>2.79</v>
          </cell>
          <cell r="BC50">
            <v>1.66</v>
          </cell>
          <cell r="BD50">
            <v>1.76</v>
          </cell>
          <cell r="BE50">
            <v>2.04</v>
          </cell>
          <cell r="BF50">
            <v>2.2400000000000002</v>
          </cell>
          <cell r="BG50">
            <v>2.0699999999999998</v>
          </cell>
          <cell r="BH50">
            <v>2.11</v>
          </cell>
          <cell r="BI50">
            <v>2.46</v>
          </cell>
          <cell r="BJ50">
            <v>3.02</v>
          </cell>
          <cell r="BK50">
            <v>3.2</v>
          </cell>
          <cell r="BL50">
            <v>2.4500000000000002</v>
          </cell>
          <cell r="BM50">
            <v>2.19</v>
          </cell>
          <cell r="BN50">
            <v>1.93</v>
          </cell>
          <cell r="BO50">
            <v>2.19</v>
          </cell>
          <cell r="BP50">
            <v>2.2400000000000002</v>
          </cell>
          <cell r="BQ50">
            <v>2.21</v>
          </cell>
          <cell r="BR50">
            <v>1.96</v>
          </cell>
          <cell r="BS50">
            <v>2.29</v>
          </cell>
          <cell r="BT50">
            <v>1.85</v>
          </cell>
          <cell r="BU50">
            <v>1.53</v>
          </cell>
          <cell r="BV50">
            <v>1.95</v>
          </cell>
          <cell r="BW50">
            <v>1.93</v>
          </cell>
          <cell r="BX50">
            <v>2.0499999999999998</v>
          </cell>
          <cell r="BY50">
            <v>1.71</v>
          </cell>
          <cell r="BZ50">
            <v>1.75</v>
          </cell>
          <cell r="CA50">
            <v>1.57</v>
          </cell>
          <cell r="CB50">
            <v>1.84</v>
          </cell>
          <cell r="CC50">
            <v>2.2999999999999998</v>
          </cell>
          <cell r="CD50">
            <v>2.16</v>
          </cell>
          <cell r="CE50">
            <v>2.21</v>
          </cell>
          <cell r="CF50">
            <v>2.54</v>
          </cell>
          <cell r="CG50">
            <v>2.83</v>
          </cell>
        </row>
        <row r="51">
          <cell r="A51" t="str">
            <v>TET-ELA</v>
          </cell>
          <cell r="B51">
            <v>48</v>
          </cell>
          <cell r="L51">
            <v>2.0499999999999998</v>
          </cell>
          <cell r="M51">
            <v>2.35</v>
          </cell>
          <cell r="N51">
            <v>2</v>
          </cell>
          <cell r="O51">
            <v>2.1</v>
          </cell>
          <cell r="P51">
            <v>2.35</v>
          </cell>
          <cell r="Q51">
            <v>2</v>
          </cell>
          <cell r="R51">
            <v>2.35</v>
          </cell>
          <cell r="S51">
            <v>2.35</v>
          </cell>
          <cell r="T51">
            <v>1.96</v>
          </cell>
          <cell r="U51">
            <v>2.0499999999999998</v>
          </cell>
          <cell r="V51">
            <v>1.81</v>
          </cell>
          <cell r="W51">
            <v>1.93</v>
          </cell>
          <cell r="X51">
            <v>1.76</v>
          </cell>
          <cell r="Y51">
            <v>1.45</v>
          </cell>
          <cell r="Z51">
            <v>1.38</v>
          </cell>
          <cell r="AA51">
            <v>1.66</v>
          </cell>
          <cell r="AB51">
            <v>1.65</v>
          </cell>
          <cell r="AC51">
            <v>1.59</v>
          </cell>
          <cell r="AD51">
            <v>1.4</v>
          </cell>
          <cell r="AE51">
            <v>1.43</v>
          </cell>
          <cell r="AF51">
            <v>1.54</v>
          </cell>
          <cell r="AG51">
            <v>1.65</v>
          </cell>
          <cell r="AH51">
            <v>1.69</v>
          </cell>
          <cell r="AI51">
            <v>1.46</v>
          </cell>
          <cell r="AJ51">
            <v>1.34</v>
          </cell>
          <cell r="AK51">
            <v>1.54</v>
          </cell>
          <cell r="AL51">
            <v>1.61</v>
          </cell>
          <cell r="AM51">
            <v>1.76</v>
          </cell>
          <cell r="AN51">
            <v>2.2599999999999998</v>
          </cell>
          <cell r="AO51">
            <v>3.5</v>
          </cell>
          <cell r="AP51">
            <v>2.5</v>
          </cell>
          <cell r="AQ51">
            <v>2.92</v>
          </cell>
          <cell r="AR51">
            <v>2.65</v>
          </cell>
          <cell r="AS51">
            <v>2.1800000000000002</v>
          </cell>
          <cell r="AT51">
            <v>2.34</v>
          </cell>
          <cell r="AU51">
            <v>2.61</v>
          </cell>
          <cell r="AV51">
            <v>2.25</v>
          </cell>
          <cell r="AW51">
            <v>1.73</v>
          </cell>
          <cell r="AX51">
            <v>1.78</v>
          </cell>
          <cell r="AY51">
            <v>2.65</v>
          </cell>
          <cell r="AZ51">
            <v>3.83</v>
          </cell>
          <cell r="BA51">
            <v>3.9</v>
          </cell>
          <cell r="BB51">
            <v>2.85</v>
          </cell>
          <cell r="BC51">
            <v>1.7</v>
          </cell>
          <cell r="BD51">
            <v>1.78</v>
          </cell>
          <cell r="BE51">
            <v>2.0699999999999998</v>
          </cell>
          <cell r="BF51">
            <v>2.2400000000000002</v>
          </cell>
          <cell r="BG51">
            <v>2.1</v>
          </cell>
          <cell r="BH51">
            <v>2.13</v>
          </cell>
          <cell r="BI51">
            <v>2.48</v>
          </cell>
          <cell r="BJ51">
            <v>3.04</v>
          </cell>
          <cell r="BK51">
            <v>3.23</v>
          </cell>
          <cell r="BL51">
            <v>2.48</v>
          </cell>
          <cell r="BM51">
            <v>2.2200000000000002</v>
          </cell>
          <cell r="BN51">
            <v>1.97</v>
          </cell>
          <cell r="BO51">
            <v>2.2000000000000002</v>
          </cell>
          <cell r="BP51">
            <v>2.2599999999999998</v>
          </cell>
          <cell r="BQ51">
            <v>2.23</v>
          </cell>
          <cell r="BR51">
            <v>1.98</v>
          </cell>
          <cell r="BS51">
            <v>2.31</v>
          </cell>
          <cell r="BT51">
            <v>1.87</v>
          </cell>
          <cell r="BU51">
            <v>1.56</v>
          </cell>
          <cell r="BV51">
            <v>1.98</v>
          </cell>
          <cell r="BW51">
            <v>1.96</v>
          </cell>
          <cell r="BX51">
            <v>2.0499999999999998</v>
          </cell>
          <cell r="BY51">
            <v>1.72</v>
          </cell>
          <cell r="BZ51">
            <v>1.77</v>
          </cell>
          <cell r="CA51">
            <v>1.58</v>
          </cell>
          <cell r="CB51">
            <v>1.86</v>
          </cell>
          <cell r="CC51">
            <v>2.3199999999999998</v>
          </cell>
          <cell r="CD51">
            <v>2.1800000000000002</v>
          </cell>
          <cell r="CE51">
            <v>2.23</v>
          </cell>
          <cell r="CF51">
            <v>2.57</v>
          </cell>
          <cell r="CG51">
            <v>2.82</v>
          </cell>
        </row>
        <row r="52">
          <cell r="A52" t="str">
            <v>TET-ETX</v>
          </cell>
          <cell r="B52">
            <v>49</v>
          </cell>
          <cell r="L52">
            <v>2.02</v>
          </cell>
          <cell r="M52">
            <v>2.31</v>
          </cell>
          <cell r="N52">
            <v>1.96</v>
          </cell>
          <cell r="O52">
            <v>2.0499999999999998</v>
          </cell>
          <cell r="P52">
            <v>2.3199999999999998</v>
          </cell>
          <cell r="Q52">
            <v>1.95</v>
          </cell>
          <cell r="R52">
            <v>2.25</v>
          </cell>
          <cell r="S52">
            <v>2.2400000000000002</v>
          </cell>
          <cell r="T52">
            <v>1.9</v>
          </cell>
          <cell r="U52">
            <v>1.98</v>
          </cell>
          <cell r="V52">
            <v>1.74</v>
          </cell>
          <cell r="W52">
            <v>1.88</v>
          </cell>
          <cell r="X52">
            <v>1.73</v>
          </cell>
          <cell r="Y52">
            <v>1.41</v>
          </cell>
          <cell r="Z52">
            <v>1.34</v>
          </cell>
          <cell r="AA52">
            <v>1.6</v>
          </cell>
          <cell r="AB52">
            <v>1.6</v>
          </cell>
          <cell r="AC52">
            <v>1.54</v>
          </cell>
          <cell r="AD52">
            <v>1.33</v>
          </cell>
          <cell r="AE52">
            <v>1.35</v>
          </cell>
          <cell r="AF52">
            <v>1.48</v>
          </cell>
          <cell r="AG52">
            <v>1.6</v>
          </cell>
          <cell r="AH52">
            <v>1.64</v>
          </cell>
          <cell r="AI52">
            <v>1.41</v>
          </cell>
          <cell r="AJ52">
            <v>1.3</v>
          </cell>
          <cell r="AK52">
            <v>1.5</v>
          </cell>
          <cell r="AL52">
            <v>1.58</v>
          </cell>
          <cell r="AM52">
            <v>1.7</v>
          </cell>
          <cell r="AN52">
            <v>2.11</v>
          </cell>
          <cell r="AO52">
            <v>2.0499999999999998</v>
          </cell>
          <cell r="AP52">
            <v>1.82</v>
          </cell>
          <cell r="AQ52">
            <v>1.96</v>
          </cell>
          <cell r="AR52">
            <v>2.23</v>
          </cell>
          <cell r="AS52">
            <v>2.13</v>
          </cell>
          <cell r="AT52">
            <v>2.25</v>
          </cell>
          <cell r="AU52">
            <v>2.56</v>
          </cell>
          <cell r="AV52">
            <v>2.19</v>
          </cell>
          <cell r="AW52">
            <v>1.69</v>
          </cell>
          <cell r="AX52">
            <v>1.73</v>
          </cell>
          <cell r="AY52">
            <v>2.61</v>
          </cell>
          <cell r="AZ52">
            <v>3.69</v>
          </cell>
          <cell r="BA52">
            <v>3.92</v>
          </cell>
          <cell r="BB52">
            <v>2.75</v>
          </cell>
          <cell r="BC52">
            <v>1.63</v>
          </cell>
          <cell r="BD52">
            <v>1.73</v>
          </cell>
          <cell r="BE52">
            <v>2.0299999999999998</v>
          </cell>
          <cell r="BF52">
            <v>2.2000000000000002</v>
          </cell>
          <cell r="BG52">
            <v>2.06</v>
          </cell>
          <cell r="BH52">
            <v>2.1</v>
          </cell>
          <cell r="BI52">
            <v>2.4500000000000002</v>
          </cell>
          <cell r="BJ52">
            <v>2.93</v>
          </cell>
          <cell r="BK52">
            <v>3.17</v>
          </cell>
          <cell r="BL52">
            <v>2.38</v>
          </cell>
          <cell r="BM52">
            <v>2.16</v>
          </cell>
          <cell r="BN52">
            <v>1.92</v>
          </cell>
          <cell r="BO52">
            <v>2.16</v>
          </cell>
          <cell r="BP52">
            <v>2.2200000000000002</v>
          </cell>
          <cell r="BQ52">
            <v>2.2200000000000002</v>
          </cell>
          <cell r="BR52">
            <v>1.95</v>
          </cell>
          <cell r="BS52">
            <v>2.2799999999999998</v>
          </cell>
          <cell r="BT52">
            <v>1.88</v>
          </cell>
          <cell r="BU52">
            <v>1.54</v>
          </cell>
          <cell r="BV52">
            <v>1.95</v>
          </cell>
          <cell r="BW52">
            <v>1.91</v>
          </cell>
          <cell r="BX52">
            <v>2.0299999999999998</v>
          </cell>
          <cell r="BY52">
            <v>1.68</v>
          </cell>
          <cell r="BZ52">
            <v>1.74</v>
          </cell>
          <cell r="CA52">
            <v>1.56</v>
          </cell>
          <cell r="CB52">
            <v>1.81</v>
          </cell>
          <cell r="CC52">
            <v>2.29</v>
          </cell>
          <cell r="CD52">
            <v>2.15</v>
          </cell>
          <cell r="CE52">
            <v>2.2000000000000002</v>
          </cell>
          <cell r="CF52">
            <v>2.5299999999999998</v>
          </cell>
          <cell r="CG52">
            <v>2.79</v>
          </cell>
        </row>
        <row r="53">
          <cell r="A53" t="str">
            <v>TET-STX</v>
          </cell>
          <cell r="B53">
            <v>50</v>
          </cell>
          <cell r="L53">
            <v>2.04</v>
          </cell>
          <cell r="M53">
            <v>2.31</v>
          </cell>
          <cell r="N53">
            <v>1.96</v>
          </cell>
          <cell r="O53">
            <v>2.0699999999999998</v>
          </cell>
          <cell r="P53">
            <v>2.3199999999999998</v>
          </cell>
          <cell r="Q53">
            <v>1.94</v>
          </cell>
          <cell r="R53">
            <v>2.2000000000000002</v>
          </cell>
          <cell r="S53">
            <v>2.1800000000000002</v>
          </cell>
          <cell r="T53">
            <v>1.87</v>
          </cell>
          <cell r="U53">
            <v>1.99</v>
          </cell>
          <cell r="V53">
            <v>1.73</v>
          </cell>
          <cell r="W53">
            <v>1.88</v>
          </cell>
          <cell r="X53">
            <v>1.71</v>
          </cell>
          <cell r="Y53">
            <v>1.41</v>
          </cell>
          <cell r="Z53">
            <v>1.34</v>
          </cell>
          <cell r="AA53">
            <v>1.6</v>
          </cell>
          <cell r="AB53">
            <v>1.61</v>
          </cell>
          <cell r="AC53">
            <v>1.53</v>
          </cell>
          <cell r="AD53">
            <v>1.32</v>
          </cell>
          <cell r="AE53">
            <v>1.36</v>
          </cell>
          <cell r="AF53">
            <v>1.47</v>
          </cell>
          <cell r="AG53">
            <v>1.58</v>
          </cell>
          <cell r="AH53">
            <v>1.62</v>
          </cell>
          <cell r="AI53">
            <v>1.41</v>
          </cell>
          <cell r="AJ53">
            <v>1.29</v>
          </cell>
          <cell r="AK53">
            <v>1.48</v>
          </cell>
          <cell r="AL53">
            <v>1.56</v>
          </cell>
          <cell r="AM53">
            <v>1.69</v>
          </cell>
          <cell r="AN53">
            <v>2.09</v>
          </cell>
          <cell r="AO53">
            <v>2.1</v>
          </cell>
          <cell r="AP53">
            <v>1.78</v>
          </cell>
          <cell r="AQ53">
            <v>1.95</v>
          </cell>
          <cell r="AR53">
            <v>2.2200000000000002</v>
          </cell>
          <cell r="AS53">
            <v>2.12</v>
          </cell>
          <cell r="AT53">
            <v>2.2400000000000002</v>
          </cell>
          <cell r="AU53">
            <v>2.54</v>
          </cell>
          <cell r="AV53">
            <v>2.2000000000000002</v>
          </cell>
          <cell r="AW53">
            <v>1.69</v>
          </cell>
          <cell r="AX53">
            <v>1.73</v>
          </cell>
          <cell r="AY53">
            <v>2.6</v>
          </cell>
          <cell r="AZ53">
            <v>3.68</v>
          </cell>
          <cell r="BA53">
            <v>3.8</v>
          </cell>
          <cell r="BB53">
            <v>2.73</v>
          </cell>
          <cell r="BC53">
            <v>1.62</v>
          </cell>
          <cell r="BD53">
            <v>1.75</v>
          </cell>
          <cell r="BE53">
            <v>2.0299999999999998</v>
          </cell>
          <cell r="BF53">
            <v>2.21</v>
          </cell>
          <cell r="BG53">
            <v>2.0699999999999998</v>
          </cell>
          <cell r="BH53">
            <v>2.1</v>
          </cell>
          <cell r="BI53">
            <v>2.44</v>
          </cell>
          <cell r="BJ53">
            <v>2.96</v>
          </cell>
          <cell r="BK53">
            <v>3.16</v>
          </cell>
          <cell r="BL53">
            <v>2.33</v>
          </cell>
          <cell r="BM53">
            <v>2.15</v>
          </cell>
          <cell r="BN53">
            <v>1.92</v>
          </cell>
          <cell r="BO53">
            <v>2.15</v>
          </cell>
          <cell r="BP53">
            <v>2.21</v>
          </cell>
          <cell r="BQ53">
            <v>2.19</v>
          </cell>
          <cell r="BR53">
            <v>1.95</v>
          </cell>
          <cell r="BS53">
            <v>2.2799999999999998</v>
          </cell>
          <cell r="BT53">
            <v>1.85</v>
          </cell>
          <cell r="BU53">
            <v>1.52</v>
          </cell>
          <cell r="BV53">
            <v>1.94</v>
          </cell>
          <cell r="BW53">
            <v>1.92</v>
          </cell>
          <cell r="BX53">
            <v>2.02</v>
          </cell>
          <cell r="BY53">
            <v>1.69</v>
          </cell>
          <cell r="BZ53">
            <v>1.74</v>
          </cell>
          <cell r="CA53">
            <v>1.556</v>
          </cell>
          <cell r="CB53">
            <v>1.81</v>
          </cell>
          <cell r="CC53">
            <v>2.2799999999999998</v>
          </cell>
          <cell r="CD53">
            <v>2.14</v>
          </cell>
          <cell r="CE53">
            <v>2.1800000000000002</v>
          </cell>
          <cell r="CF53">
            <v>2.52</v>
          </cell>
          <cell r="CG53">
            <v>2.8</v>
          </cell>
        </row>
        <row r="54">
          <cell r="A54" t="str">
            <v>TET-WLA</v>
          </cell>
          <cell r="B54">
            <v>51</v>
          </cell>
          <cell r="L54">
            <v>2.0499999999999998</v>
          </cell>
          <cell r="M54">
            <v>2.33</v>
          </cell>
          <cell r="N54">
            <v>2</v>
          </cell>
          <cell r="O54">
            <v>2.09</v>
          </cell>
          <cell r="P54">
            <v>2.34</v>
          </cell>
          <cell r="Q54">
            <v>2</v>
          </cell>
          <cell r="R54">
            <v>2.3199999999999998</v>
          </cell>
          <cell r="S54">
            <v>2.3199999999999998</v>
          </cell>
          <cell r="T54">
            <v>1.94</v>
          </cell>
          <cell r="U54">
            <v>2.04</v>
          </cell>
          <cell r="V54">
            <v>1.8</v>
          </cell>
          <cell r="W54">
            <v>1.92</v>
          </cell>
          <cell r="X54">
            <v>1.75</v>
          </cell>
          <cell r="Y54">
            <v>1.44</v>
          </cell>
          <cell r="Z54">
            <v>1.37</v>
          </cell>
          <cell r="AA54">
            <v>1.65</v>
          </cell>
          <cell r="AB54">
            <v>1.63</v>
          </cell>
          <cell r="AC54">
            <v>1.56</v>
          </cell>
          <cell r="AD54">
            <v>1.36</v>
          </cell>
          <cell r="AE54">
            <v>1.4</v>
          </cell>
          <cell r="AF54">
            <v>1.51</v>
          </cell>
          <cell r="AG54">
            <v>1.63</v>
          </cell>
          <cell r="AH54">
            <v>1.68</v>
          </cell>
          <cell r="AI54">
            <v>1.44</v>
          </cell>
          <cell r="AJ54">
            <v>1.33</v>
          </cell>
          <cell r="AK54">
            <v>1.52</v>
          </cell>
          <cell r="AL54">
            <v>1.59</v>
          </cell>
          <cell r="AM54">
            <v>1.74</v>
          </cell>
          <cell r="AN54">
            <v>2.2200000000000002</v>
          </cell>
          <cell r="AO54">
            <v>2.85</v>
          </cell>
          <cell r="AP54">
            <v>2.2000000000000002</v>
          </cell>
          <cell r="AQ54">
            <v>2.73</v>
          </cell>
          <cell r="AR54">
            <v>2.56</v>
          </cell>
          <cell r="AS54">
            <v>2.16</v>
          </cell>
          <cell r="AT54">
            <v>2.31</v>
          </cell>
          <cell r="AU54">
            <v>2.58</v>
          </cell>
          <cell r="AV54">
            <v>2.2200000000000002</v>
          </cell>
          <cell r="AW54">
            <v>1.72</v>
          </cell>
          <cell r="AX54">
            <v>1.77</v>
          </cell>
          <cell r="AY54">
            <v>2.64</v>
          </cell>
          <cell r="AZ54">
            <v>3.81</v>
          </cell>
          <cell r="BA54">
            <v>3.87</v>
          </cell>
          <cell r="BB54">
            <v>2.83</v>
          </cell>
          <cell r="BC54">
            <v>1.68</v>
          </cell>
          <cell r="BD54">
            <v>1.75</v>
          </cell>
          <cell r="BE54">
            <v>2.0499999999999998</v>
          </cell>
          <cell r="BF54">
            <v>2.23</v>
          </cell>
          <cell r="BG54">
            <v>2.08</v>
          </cell>
          <cell r="BH54">
            <v>2.12</v>
          </cell>
          <cell r="BI54">
            <v>2.46</v>
          </cell>
          <cell r="BJ54">
            <v>3.02</v>
          </cell>
          <cell r="BK54">
            <v>3.21</v>
          </cell>
          <cell r="BL54">
            <v>2.46</v>
          </cell>
          <cell r="BM54">
            <v>2.2000000000000002</v>
          </cell>
          <cell r="BN54">
            <v>1.94</v>
          </cell>
          <cell r="BO54">
            <v>2.19</v>
          </cell>
          <cell r="BP54">
            <v>2.2400000000000002</v>
          </cell>
          <cell r="BQ54">
            <v>2.2200000000000002</v>
          </cell>
          <cell r="BR54">
            <v>1.96</v>
          </cell>
          <cell r="BS54">
            <v>2.2999999999999998</v>
          </cell>
          <cell r="BT54">
            <v>1.86</v>
          </cell>
          <cell r="BU54">
            <v>1.54</v>
          </cell>
          <cell r="BV54">
            <v>1.97</v>
          </cell>
          <cell r="BW54">
            <v>1.93</v>
          </cell>
          <cell r="BX54">
            <v>2.0499999999999998</v>
          </cell>
          <cell r="BY54">
            <v>1.72</v>
          </cell>
          <cell r="BZ54">
            <v>1.75</v>
          </cell>
          <cell r="CA54">
            <v>1.57</v>
          </cell>
          <cell r="CB54">
            <v>1.85</v>
          </cell>
          <cell r="CC54">
            <v>2.31</v>
          </cell>
          <cell r="CD54">
            <v>2.16</v>
          </cell>
          <cell r="CE54">
            <v>2.2200000000000002</v>
          </cell>
          <cell r="CF54">
            <v>2.5499999999999998</v>
          </cell>
          <cell r="CG54">
            <v>2.81</v>
          </cell>
        </row>
        <row r="55">
          <cell r="A55" t="str">
            <v>TET-M3</v>
          </cell>
          <cell r="B55">
            <v>52</v>
          </cell>
          <cell r="AU55">
            <v>2.93</v>
          </cell>
          <cell r="AV55">
            <v>2.5499999999999998</v>
          </cell>
          <cell r="AW55">
            <v>2.04</v>
          </cell>
          <cell r="AX55">
            <v>2.08</v>
          </cell>
          <cell r="AY55">
            <v>3.26</v>
          </cell>
          <cell r="AZ55">
            <v>4.9800000000000004</v>
          </cell>
          <cell r="BA55">
            <v>5.15</v>
          </cell>
          <cell r="BB55">
            <v>3.58</v>
          </cell>
          <cell r="BC55">
            <v>2.1</v>
          </cell>
          <cell r="BD55">
            <v>2.13</v>
          </cell>
          <cell r="BE55">
            <v>2.41</v>
          </cell>
          <cell r="BF55">
            <v>2.57</v>
          </cell>
          <cell r="BG55">
            <v>2.41</v>
          </cell>
          <cell r="BH55">
            <v>2.4</v>
          </cell>
          <cell r="BI55">
            <v>2.75</v>
          </cell>
          <cell r="BJ55">
            <v>3.45</v>
          </cell>
          <cell r="BK55">
            <v>3.75</v>
          </cell>
          <cell r="BL55">
            <v>3.24</v>
          </cell>
          <cell r="BM55">
            <v>2.83</v>
          </cell>
          <cell r="BN55">
            <v>2.33</v>
          </cell>
          <cell r="BO55">
            <v>2.4700000000000002</v>
          </cell>
          <cell r="BP55">
            <v>2.57</v>
          </cell>
          <cell r="BQ55">
            <v>2.52</v>
          </cell>
          <cell r="BR55">
            <v>2.25</v>
          </cell>
          <cell r="BS55">
            <v>2.58</v>
          </cell>
          <cell r="BT55">
            <v>2.15</v>
          </cell>
          <cell r="BU55">
            <v>1.78</v>
          </cell>
          <cell r="BV55">
            <v>2.27</v>
          </cell>
          <cell r="BW55">
            <v>2.38</v>
          </cell>
          <cell r="BX55">
            <v>2.4300000000000002</v>
          </cell>
          <cell r="BY55">
            <v>2.19</v>
          </cell>
          <cell r="BZ55">
            <v>2.16</v>
          </cell>
          <cell r="CA55">
            <v>1.84</v>
          </cell>
          <cell r="CB55">
            <v>2.11</v>
          </cell>
          <cell r="CC55">
            <v>2.54</v>
          </cell>
          <cell r="CD55">
            <v>2.42</v>
          </cell>
          <cell r="CE55">
            <v>2.4900000000000002</v>
          </cell>
          <cell r="CF55">
            <v>2.86</v>
          </cell>
          <cell r="CG55">
            <v>3.12</v>
          </cell>
        </row>
        <row r="56">
          <cell r="A56" t="str">
            <v>TRAN-Z1</v>
          </cell>
          <cell r="B56">
            <v>53</v>
          </cell>
          <cell r="C56">
            <v>2.35</v>
          </cell>
          <cell r="D56">
            <v>2.25</v>
          </cell>
          <cell r="E56">
            <v>1.86</v>
          </cell>
          <cell r="F56">
            <v>1.56</v>
          </cell>
          <cell r="G56">
            <v>1.847</v>
          </cell>
          <cell r="H56">
            <v>2.15</v>
          </cell>
          <cell r="I56">
            <v>2.68</v>
          </cell>
          <cell r="J56">
            <v>2.08</v>
          </cell>
          <cell r="K56">
            <v>1.89</v>
          </cell>
          <cell r="L56">
            <v>2.02</v>
          </cell>
          <cell r="M56">
            <v>2.33</v>
          </cell>
          <cell r="N56">
            <v>2.04</v>
          </cell>
          <cell r="O56">
            <v>2.09</v>
          </cell>
          <cell r="P56">
            <v>2.34</v>
          </cell>
          <cell r="Q56">
            <v>2.02</v>
          </cell>
          <cell r="R56">
            <v>2.3199999999999998</v>
          </cell>
          <cell r="S56">
            <v>2.3199999999999998</v>
          </cell>
          <cell r="T56">
            <v>1.93</v>
          </cell>
          <cell r="U56">
            <v>2.02</v>
          </cell>
          <cell r="V56">
            <v>1.81</v>
          </cell>
          <cell r="W56">
            <v>1.92</v>
          </cell>
          <cell r="X56">
            <v>1.76</v>
          </cell>
          <cell r="Y56">
            <v>1.43</v>
          </cell>
          <cell r="Z56">
            <v>1.35</v>
          </cell>
          <cell r="AA56">
            <v>1.61</v>
          </cell>
          <cell r="AB56">
            <v>1.65</v>
          </cell>
          <cell r="AC56">
            <v>1.56</v>
          </cell>
          <cell r="AD56">
            <v>1.36</v>
          </cell>
          <cell r="AE56">
            <v>1.38</v>
          </cell>
          <cell r="AF56">
            <v>1.49</v>
          </cell>
          <cell r="AG56">
            <v>1.6</v>
          </cell>
          <cell r="AH56">
            <v>1.65</v>
          </cell>
          <cell r="AI56">
            <v>1.43</v>
          </cell>
          <cell r="AJ56">
            <v>1.29</v>
          </cell>
          <cell r="AK56">
            <v>1.49</v>
          </cell>
          <cell r="AL56">
            <v>1.56</v>
          </cell>
          <cell r="AM56">
            <v>1.72</v>
          </cell>
          <cell r="AN56">
            <v>2.12</v>
          </cell>
          <cell r="AO56">
            <v>2.15</v>
          </cell>
          <cell r="AP56">
            <v>1.8</v>
          </cell>
          <cell r="AQ56">
            <v>1.96</v>
          </cell>
          <cell r="AR56">
            <v>2.25</v>
          </cell>
          <cell r="AS56">
            <v>2.12</v>
          </cell>
          <cell r="AT56">
            <v>2.27</v>
          </cell>
          <cell r="AU56">
            <v>2.54</v>
          </cell>
          <cell r="AV56">
            <v>2.2200000000000002</v>
          </cell>
          <cell r="AW56">
            <v>1.7</v>
          </cell>
          <cell r="AX56">
            <v>1.73</v>
          </cell>
          <cell r="AY56">
            <v>2.57</v>
          </cell>
          <cell r="AZ56">
            <v>3.67</v>
          </cell>
          <cell r="BA56">
            <v>3.81</v>
          </cell>
          <cell r="BB56">
            <v>2.77</v>
          </cell>
          <cell r="BC56">
            <v>1.62</v>
          </cell>
          <cell r="BD56">
            <v>1.74</v>
          </cell>
          <cell r="BE56">
            <v>2.02</v>
          </cell>
          <cell r="BF56">
            <v>2.2000000000000002</v>
          </cell>
          <cell r="BG56">
            <v>2.06</v>
          </cell>
          <cell r="BH56">
            <v>2.1</v>
          </cell>
          <cell r="BI56">
            <v>2.4500000000000002</v>
          </cell>
          <cell r="BJ56">
            <v>2.97</v>
          </cell>
          <cell r="BK56">
            <v>3.17</v>
          </cell>
          <cell r="BL56">
            <v>2.4</v>
          </cell>
          <cell r="BM56">
            <v>2.17</v>
          </cell>
          <cell r="BN56">
            <v>1.91</v>
          </cell>
          <cell r="BO56">
            <v>2.16</v>
          </cell>
          <cell r="BP56">
            <v>2.23</v>
          </cell>
          <cell r="BQ56">
            <v>2.2000000000000002</v>
          </cell>
          <cell r="BR56">
            <v>1.95</v>
          </cell>
          <cell r="BS56">
            <v>2.29</v>
          </cell>
          <cell r="BT56">
            <v>1.85</v>
          </cell>
          <cell r="BU56">
            <v>1.53</v>
          </cell>
          <cell r="BV56">
            <v>1.96</v>
          </cell>
          <cell r="BW56">
            <v>1.91</v>
          </cell>
          <cell r="BX56">
            <v>2.04</v>
          </cell>
          <cell r="BY56">
            <v>1.71</v>
          </cell>
          <cell r="BZ56">
            <v>1.75</v>
          </cell>
          <cell r="CA56">
            <v>1.58</v>
          </cell>
          <cell r="CB56">
            <v>1.81</v>
          </cell>
          <cell r="CC56">
            <v>2.29</v>
          </cell>
          <cell r="CD56">
            <v>2.16</v>
          </cell>
          <cell r="CE56">
            <v>2.21</v>
          </cell>
          <cell r="CF56">
            <v>2.56</v>
          </cell>
          <cell r="CG56">
            <v>2.83</v>
          </cell>
        </row>
        <row r="57">
          <cell r="A57" t="str">
            <v>TRAN-Z2</v>
          </cell>
          <cell r="B57">
            <v>54</v>
          </cell>
          <cell r="C57">
            <v>2.36</v>
          </cell>
          <cell r="D57">
            <v>2.2799999999999998</v>
          </cell>
          <cell r="E57">
            <v>1.88</v>
          </cell>
          <cell r="F57">
            <v>1.6</v>
          </cell>
          <cell r="G57">
            <v>1.86</v>
          </cell>
          <cell r="H57">
            <v>2.16</v>
          </cell>
          <cell r="I57">
            <v>2.69</v>
          </cell>
          <cell r="J57">
            <v>2.11</v>
          </cell>
          <cell r="K57">
            <v>1.93</v>
          </cell>
          <cell r="L57">
            <v>2.0499999999999998</v>
          </cell>
          <cell r="M57">
            <v>2.36</v>
          </cell>
          <cell r="N57">
            <v>2.06</v>
          </cell>
          <cell r="O57">
            <v>2.11</v>
          </cell>
          <cell r="P57">
            <v>2.37</v>
          </cell>
          <cell r="Q57">
            <v>2.0299999999999998</v>
          </cell>
          <cell r="R57">
            <v>2.36</v>
          </cell>
          <cell r="S57">
            <v>2.36</v>
          </cell>
          <cell r="T57">
            <v>1.97</v>
          </cell>
          <cell r="U57">
            <v>2.04</v>
          </cell>
          <cell r="V57">
            <v>1.83</v>
          </cell>
          <cell r="W57">
            <v>1.93</v>
          </cell>
          <cell r="X57">
            <v>1.8</v>
          </cell>
          <cell r="Y57">
            <v>1.47</v>
          </cell>
          <cell r="Z57">
            <v>1.39</v>
          </cell>
          <cell r="AA57">
            <v>1.66</v>
          </cell>
          <cell r="AB57">
            <v>1.66</v>
          </cell>
          <cell r="AC57">
            <v>1.59</v>
          </cell>
          <cell r="AD57">
            <v>1.4</v>
          </cell>
          <cell r="AE57">
            <v>1.42</v>
          </cell>
          <cell r="AF57">
            <v>1.53</v>
          </cell>
          <cell r="AG57">
            <v>1.64</v>
          </cell>
          <cell r="AH57">
            <v>1.7</v>
          </cell>
          <cell r="AI57">
            <v>1.48</v>
          </cell>
          <cell r="AJ57">
            <v>1.33</v>
          </cell>
          <cell r="AK57">
            <v>1.55</v>
          </cell>
          <cell r="AL57">
            <v>1.61</v>
          </cell>
          <cell r="AM57">
            <v>1.77</v>
          </cell>
          <cell r="AN57">
            <v>2.23</v>
          </cell>
          <cell r="AO57">
            <v>3.29</v>
          </cell>
          <cell r="AP57">
            <v>2.2999999999999998</v>
          </cell>
          <cell r="AQ57">
            <v>2.7</v>
          </cell>
          <cell r="AR57">
            <v>2.58</v>
          </cell>
          <cell r="AS57">
            <v>2.16</v>
          </cell>
          <cell r="AT57">
            <v>2.31</v>
          </cell>
          <cell r="AU57">
            <v>2.6</v>
          </cell>
          <cell r="AV57">
            <v>2.27</v>
          </cell>
          <cell r="AW57">
            <v>1.77</v>
          </cell>
          <cell r="AX57">
            <v>1.8</v>
          </cell>
          <cell r="AY57">
            <v>2.64</v>
          </cell>
          <cell r="AZ57">
            <v>3.77</v>
          </cell>
          <cell r="BA57">
            <v>3.9</v>
          </cell>
          <cell r="BB57">
            <v>2.87</v>
          </cell>
          <cell r="BC57">
            <v>1.71</v>
          </cell>
          <cell r="BD57">
            <v>1.77</v>
          </cell>
          <cell r="BE57">
            <v>2.09</v>
          </cell>
          <cell r="BF57">
            <v>2.25</v>
          </cell>
          <cell r="BG57">
            <v>2.1</v>
          </cell>
          <cell r="BH57">
            <v>2.13</v>
          </cell>
          <cell r="BI57">
            <v>2.48</v>
          </cell>
          <cell r="BJ57">
            <v>3.02</v>
          </cell>
          <cell r="BK57">
            <v>3.21</v>
          </cell>
          <cell r="BL57">
            <v>2.4900000000000002</v>
          </cell>
          <cell r="BM57">
            <v>2.2200000000000002</v>
          </cell>
          <cell r="BN57">
            <v>1.97</v>
          </cell>
          <cell r="BO57">
            <v>2.2200000000000002</v>
          </cell>
          <cell r="BP57">
            <v>2.2799999999999998</v>
          </cell>
          <cell r="BQ57">
            <v>2.25</v>
          </cell>
          <cell r="BR57">
            <v>2</v>
          </cell>
          <cell r="BS57">
            <v>2.33</v>
          </cell>
          <cell r="BT57">
            <v>1.89</v>
          </cell>
          <cell r="BU57">
            <v>1.6</v>
          </cell>
          <cell r="BV57">
            <v>2.04</v>
          </cell>
          <cell r="BW57">
            <v>1.95</v>
          </cell>
          <cell r="BX57">
            <v>2.08</v>
          </cell>
          <cell r="BY57">
            <v>1.74</v>
          </cell>
          <cell r="BZ57">
            <v>1.78</v>
          </cell>
          <cell r="CA57">
            <v>1.61</v>
          </cell>
          <cell r="CB57">
            <v>1.84</v>
          </cell>
          <cell r="CC57">
            <v>2.3199999999999998</v>
          </cell>
          <cell r="CD57">
            <v>2.19</v>
          </cell>
          <cell r="CE57">
            <v>2.2400000000000002</v>
          </cell>
          <cell r="CF57">
            <v>2.58</v>
          </cell>
          <cell r="CG57">
            <v>2.86</v>
          </cell>
        </row>
        <row r="58">
          <cell r="A58" t="str">
            <v>TRAN-Z3</v>
          </cell>
          <cell r="B58">
            <v>55</v>
          </cell>
          <cell r="C58">
            <v>2.38</v>
          </cell>
          <cell r="D58">
            <v>2.29</v>
          </cell>
          <cell r="E58">
            <v>1.9</v>
          </cell>
          <cell r="F58">
            <v>1.62</v>
          </cell>
          <cell r="G58">
            <v>1.86</v>
          </cell>
          <cell r="H58">
            <v>2.19</v>
          </cell>
          <cell r="I58">
            <v>2.7</v>
          </cell>
          <cell r="J58">
            <v>2.16</v>
          </cell>
          <cell r="K58">
            <v>1.95</v>
          </cell>
          <cell r="L58">
            <v>2.0699999999999998</v>
          </cell>
          <cell r="M58">
            <v>2.37</v>
          </cell>
          <cell r="N58">
            <v>2.08</v>
          </cell>
          <cell r="O58">
            <v>2.15</v>
          </cell>
          <cell r="P58">
            <v>2.38</v>
          </cell>
          <cell r="Q58">
            <v>2.0499999999999998</v>
          </cell>
          <cell r="R58">
            <v>2.38</v>
          </cell>
          <cell r="S58">
            <v>2.38</v>
          </cell>
          <cell r="T58">
            <v>2</v>
          </cell>
          <cell r="U58">
            <v>2.06</v>
          </cell>
          <cell r="V58">
            <v>1.86</v>
          </cell>
          <cell r="W58">
            <v>1.96</v>
          </cell>
          <cell r="X58">
            <v>1.82</v>
          </cell>
          <cell r="Y58">
            <v>1.48</v>
          </cell>
          <cell r="Z58">
            <v>1.42</v>
          </cell>
          <cell r="AA58">
            <v>1.7</v>
          </cell>
          <cell r="AB58">
            <v>1.69</v>
          </cell>
          <cell r="AC58">
            <v>1.62</v>
          </cell>
          <cell r="AD58">
            <v>1.43</v>
          </cell>
          <cell r="AE58">
            <v>1.46</v>
          </cell>
          <cell r="AF58">
            <v>1.56</v>
          </cell>
          <cell r="AG58">
            <v>1.67</v>
          </cell>
          <cell r="AH58">
            <v>1.73</v>
          </cell>
          <cell r="AI58">
            <v>1.5</v>
          </cell>
          <cell r="AJ58">
            <v>1.36</v>
          </cell>
          <cell r="AK58">
            <v>1.59</v>
          </cell>
          <cell r="AL58">
            <v>1.64</v>
          </cell>
          <cell r="AM58">
            <v>1.8</v>
          </cell>
          <cell r="AN58">
            <v>2.27</v>
          </cell>
          <cell r="AO58">
            <v>3.38</v>
          </cell>
          <cell r="AP58">
            <v>2.36</v>
          </cell>
          <cell r="AQ58">
            <v>2.81</v>
          </cell>
          <cell r="AR58">
            <v>2.69</v>
          </cell>
          <cell r="AS58">
            <v>2.2000000000000002</v>
          </cell>
          <cell r="AT58">
            <v>2.37</v>
          </cell>
          <cell r="AU58">
            <v>2.65</v>
          </cell>
          <cell r="AV58">
            <v>2.2999999999999998</v>
          </cell>
          <cell r="AW58">
            <v>1.81</v>
          </cell>
          <cell r="AX58">
            <v>1.85</v>
          </cell>
          <cell r="AY58">
            <v>2.69</v>
          </cell>
          <cell r="AZ58">
            <v>3.82</v>
          </cell>
          <cell r="BA58">
            <v>3.98</v>
          </cell>
          <cell r="BB58">
            <v>2.9</v>
          </cell>
          <cell r="BC58">
            <v>1.77</v>
          </cell>
          <cell r="BD58">
            <v>1.81</v>
          </cell>
          <cell r="BE58">
            <v>2.15</v>
          </cell>
          <cell r="BF58">
            <v>2.2999999999999998</v>
          </cell>
          <cell r="BG58">
            <v>2.15</v>
          </cell>
          <cell r="BH58">
            <v>2.17</v>
          </cell>
          <cell r="BI58">
            <v>2.5299999999999998</v>
          </cell>
          <cell r="BJ58">
            <v>3.1</v>
          </cell>
          <cell r="BK58">
            <v>3.27</v>
          </cell>
          <cell r="BL58">
            <v>2.54</v>
          </cell>
          <cell r="BM58">
            <v>2.2799999999999998</v>
          </cell>
          <cell r="BN58">
            <v>2.0299999999999998</v>
          </cell>
          <cell r="BO58">
            <v>2.27</v>
          </cell>
          <cell r="BP58">
            <v>2.3199999999999998</v>
          </cell>
          <cell r="BQ58">
            <v>2.29</v>
          </cell>
          <cell r="BR58">
            <v>2.0299999999999998</v>
          </cell>
          <cell r="BS58">
            <v>2.37</v>
          </cell>
          <cell r="BT58">
            <v>1.93</v>
          </cell>
          <cell r="BU58">
            <v>1.63</v>
          </cell>
          <cell r="BV58">
            <v>2.08</v>
          </cell>
          <cell r="BW58">
            <v>2.0099999999999998</v>
          </cell>
          <cell r="BX58">
            <v>2.11</v>
          </cell>
          <cell r="BY58">
            <v>1.78</v>
          </cell>
          <cell r="BZ58">
            <v>1.81</v>
          </cell>
          <cell r="CA58">
            <v>1.63</v>
          </cell>
          <cell r="CB58">
            <v>1.88</v>
          </cell>
          <cell r="CC58">
            <v>2.36</v>
          </cell>
          <cell r="CD58">
            <v>2.23</v>
          </cell>
          <cell r="CE58">
            <v>2.2599999999999998</v>
          </cell>
          <cell r="CF58">
            <v>2.61</v>
          </cell>
          <cell r="CG58">
            <v>2.89</v>
          </cell>
        </row>
        <row r="59">
          <cell r="A59" t="str">
            <v>TRAN-Z4</v>
          </cell>
          <cell r="B59">
            <v>56</v>
          </cell>
          <cell r="C59">
            <v>2.44</v>
          </cell>
          <cell r="D59">
            <v>2.3199999999999998</v>
          </cell>
          <cell r="E59">
            <v>1.91</v>
          </cell>
          <cell r="F59">
            <v>1.66</v>
          </cell>
          <cell r="G59">
            <v>1.92</v>
          </cell>
          <cell r="H59">
            <v>2.23</v>
          </cell>
          <cell r="I59">
            <v>2.72</v>
          </cell>
          <cell r="J59">
            <v>2.1</v>
          </cell>
          <cell r="K59">
            <v>1.94</v>
          </cell>
          <cell r="L59">
            <v>2.11</v>
          </cell>
          <cell r="M59">
            <v>2.39</v>
          </cell>
          <cell r="N59">
            <v>2.09</v>
          </cell>
          <cell r="O59">
            <v>2.17</v>
          </cell>
          <cell r="P59">
            <v>2.42</v>
          </cell>
          <cell r="Q59">
            <v>2.0699999999999998</v>
          </cell>
          <cell r="R59">
            <v>2.41</v>
          </cell>
          <cell r="S59">
            <v>2.4</v>
          </cell>
          <cell r="T59">
            <v>2</v>
          </cell>
          <cell r="U59">
            <v>2.08</v>
          </cell>
          <cell r="V59">
            <v>1.85</v>
          </cell>
          <cell r="W59">
            <v>1.98</v>
          </cell>
          <cell r="X59">
            <v>1.82</v>
          </cell>
          <cell r="Y59">
            <v>1.49</v>
          </cell>
          <cell r="Z59">
            <v>1.44</v>
          </cell>
          <cell r="AA59">
            <v>1.71</v>
          </cell>
          <cell r="AB59">
            <v>1.69</v>
          </cell>
          <cell r="AC59">
            <v>1.62</v>
          </cell>
          <cell r="AD59">
            <v>1.45</v>
          </cell>
          <cell r="AE59">
            <v>1.45</v>
          </cell>
          <cell r="AF59">
            <v>1.58</v>
          </cell>
          <cell r="AG59">
            <v>1.68</v>
          </cell>
          <cell r="AH59">
            <v>1.74</v>
          </cell>
          <cell r="AI59">
            <v>1.51</v>
          </cell>
          <cell r="AJ59">
            <v>1.39</v>
          </cell>
          <cell r="AK59">
            <v>1.59</v>
          </cell>
          <cell r="AL59">
            <v>1.65</v>
          </cell>
          <cell r="AM59">
            <v>1.82</v>
          </cell>
          <cell r="AN59">
            <v>2.29</v>
          </cell>
          <cell r="AO59">
            <v>3.44</v>
          </cell>
          <cell r="AP59">
            <v>2.41</v>
          </cell>
          <cell r="AQ59">
            <v>2.82</v>
          </cell>
          <cell r="AR59">
            <v>2.74</v>
          </cell>
          <cell r="AS59">
            <v>2.2000000000000002</v>
          </cell>
          <cell r="AT59">
            <v>2.38</v>
          </cell>
          <cell r="AU59">
            <v>2.66</v>
          </cell>
          <cell r="AV59">
            <v>2.34</v>
          </cell>
          <cell r="AW59">
            <v>1.8</v>
          </cell>
          <cell r="AX59">
            <v>1.83</v>
          </cell>
          <cell r="AY59">
            <v>2.69</v>
          </cell>
          <cell r="AZ59">
            <v>3.84</v>
          </cell>
          <cell r="BA59">
            <v>3.8</v>
          </cell>
          <cell r="BB59">
            <v>2.9</v>
          </cell>
          <cell r="BC59">
            <v>1.76</v>
          </cell>
          <cell r="BD59">
            <v>1.81</v>
          </cell>
          <cell r="BE59">
            <v>2.15</v>
          </cell>
          <cell r="BF59">
            <v>2.31</v>
          </cell>
          <cell r="BG59">
            <v>2.15</v>
          </cell>
          <cell r="BH59">
            <v>2.1800000000000002</v>
          </cell>
          <cell r="BI59">
            <v>2.5</v>
          </cell>
          <cell r="BJ59">
            <v>3.01</v>
          </cell>
          <cell r="BK59">
            <v>3.27</v>
          </cell>
          <cell r="BL59">
            <v>2.58</v>
          </cell>
          <cell r="BM59">
            <v>2.34</v>
          </cell>
          <cell r="BN59">
            <v>2.08</v>
          </cell>
          <cell r="BO59">
            <v>2.2999999999999998</v>
          </cell>
          <cell r="BP59">
            <v>2.33</v>
          </cell>
          <cell r="BQ59">
            <v>2.29</v>
          </cell>
          <cell r="BR59">
            <v>2.02</v>
          </cell>
          <cell r="BS59">
            <v>2.37</v>
          </cell>
          <cell r="BT59">
            <v>1.94</v>
          </cell>
          <cell r="BU59">
            <v>1.63</v>
          </cell>
          <cell r="BV59">
            <v>2.09</v>
          </cell>
          <cell r="BW59">
            <v>2.02</v>
          </cell>
          <cell r="BX59">
            <v>2.12</v>
          </cell>
          <cell r="BY59">
            <v>1.81</v>
          </cell>
          <cell r="BZ59">
            <v>1.84</v>
          </cell>
          <cell r="CA59">
            <v>1.66</v>
          </cell>
          <cell r="CB59">
            <v>1.88</v>
          </cell>
          <cell r="CC59">
            <v>2.37</v>
          </cell>
          <cell r="CD59">
            <v>2.2400000000000002</v>
          </cell>
          <cell r="CE59">
            <v>2.27</v>
          </cell>
          <cell r="CF59">
            <v>2.62</v>
          </cell>
          <cell r="CG59">
            <v>2.9</v>
          </cell>
        </row>
        <row r="60">
          <cell r="A60" t="str">
            <v>TRAN-Z6</v>
          </cell>
          <cell r="B60">
            <v>57</v>
          </cell>
          <cell r="AU60">
            <v>2.93</v>
          </cell>
          <cell r="AV60">
            <v>2.58</v>
          </cell>
          <cell r="AW60">
            <v>2.0499999999999998</v>
          </cell>
          <cell r="AX60">
            <v>2.1</v>
          </cell>
          <cell r="AY60">
            <v>3.33</v>
          </cell>
          <cell r="AZ60">
            <v>5.14</v>
          </cell>
          <cell r="BA60">
            <v>5.25</v>
          </cell>
          <cell r="BB60">
            <v>3.65</v>
          </cell>
          <cell r="BC60">
            <v>2.15</v>
          </cell>
          <cell r="BD60">
            <v>2.15</v>
          </cell>
          <cell r="BE60">
            <v>2.42</v>
          </cell>
          <cell r="BF60">
            <v>2.59</v>
          </cell>
          <cell r="BG60">
            <v>2.4300000000000002</v>
          </cell>
          <cell r="BH60">
            <v>2.42</v>
          </cell>
          <cell r="BI60">
            <v>2.75</v>
          </cell>
          <cell r="BJ60">
            <v>3.47</v>
          </cell>
          <cell r="BK60">
            <v>3.76</v>
          </cell>
          <cell r="BL60">
            <v>3.29</v>
          </cell>
          <cell r="BM60">
            <v>2.95</v>
          </cell>
          <cell r="BN60">
            <v>2.4</v>
          </cell>
          <cell r="BO60">
            <v>2.4900000000000002</v>
          </cell>
          <cell r="BP60">
            <v>2.56</v>
          </cell>
          <cell r="BQ60">
            <v>2.5299999999999998</v>
          </cell>
          <cell r="BR60">
            <v>2.2599999999999998</v>
          </cell>
          <cell r="BS60">
            <v>2.59</v>
          </cell>
          <cell r="BT60">
            <v>2.17</v>
          </cell>
          <cell r="BU60">
            <v>1.8</v>
          </cell>
          <cell r="BV60">
            <v>2.2999999999999998</v>
          </cell>
          <cell r="BW60">
            <v>2.41</v>
          </cell>
          <cell r="BX60">
            <v>2.5</v>
          </cell>
          <cell r="BY60">
            <v>2.36</v>
          </cell>
          <cell r="BZ60">
            <v>2.31</v>
          </cell>
          <cell r="CA60">
            <v>1.96</v>
          </cell>
          <cell r="CB60">
            <v>2.15</v>
          </cell>
          <cell r="CC60">
            <v>2.56</v>
          </cell>
          <cell r="CD60">
            <v>2.42</v>
          </cell>
          <cell r="CE60">
            <v>2.5</v>
          </cell>
          <cell r="CF60">
            <v>2.9</v>
          </cell>
          <cell r="CG60">
            <v>3.14</v>
          </cell>
        </row>
        <row r="61">
          <cell r="A61" t="str">
            <v>TRUNK-FZ</v>
          </cell>
          <cell r="B61">
            <v>58</v>
          </cell>
          <cell r="C61">
            <v>2.2599999999999998</v>
          </cell>
          <cell r="D61">
            <v>2.2000000000000002</v>
          </cell>
          <cell r="E61">
            <v>1.9</v>
          </cell>
          <cell r="F61">
            <v>1.6</v>
          </cell>
          <cell r="G61">
            <v>1.85</v>
          </cell>
          <cell r="H61">
            <v>2.15</v>
          </cell>
          <cell r="I61">
            <v>2.67</v>
          </cell>
          <cell r="J61">
            <v>1.95</v>
          </cell>
          <cell r="K61">
            <v>1.92</v>
          </cell>
          <cell r="L61">
            <v>2.0299999999999998</v>
          </cell>
          <cell r="M61">
            <v>2.2999999999999998</v>
          </cell>
          <cell r="N61">
            <v>2</v>
          </cell>
          <cell r="O61">
            <v>2.08</v>
          </cell>
          <cell r="P61">
            <v>2.35</v>
          </cell>
          <cell r="Q61">
            <v>1.99</v>
          </cell>
          <cell r="R61">
            <v>2.2799999999999998</v>
          </cell>
          <cell r="S61">
            <v>2.2999999999999998</v>
          </cell>
          <cell r="T61">
            <v>1.94</v>
          </cell>
          <cell r="U61">
            <v>2.0099999999999998</v>
          </cell>
          <cell r="V61">
            <v>1.75</v>
          </cell>
          <cell r="W61">
            <v>1.87</v>
          </cell>
          <cell r="X61">
            <v>1.71</v>
          </cell>
          <cell r="Y61">
            <v>1.41</v>
          </cell>
          <cell r="Z61">
            <v>1.37</v>
          </cell>
          <cell r="AA61">
            <v>1.6</v>
          </cell>
          <cell r="AB61">
            <v>1.6</v>
          </cell>
          <cell r="AC61">
            <v>1.53</v>
          </cell>
          <cell r="AD61">
            <v>1.33</v>
          </cell>
          <cell r="AE61">
            <v>1.35</v>
          </cell>
          <cell r="AF61">
            <v>1.5</v>
          </cell>
          <cell r="AG61">
            <v>1.61</v>
          </cell>
          <cell r="AH61">
            <v>1.65</v>
          </cell>
          <cell r="AI61">
            <v>1.44</v>
          </cell>
          <cell r="AJ61">
            <v>1.3</v>
          </cell>
          <cell r="AK61">
            <v>1.5</v>
          </cell>
          <cell r="AL61">
            <v>1.59</v>
          </cell>
          <cell r="AM61">
            <v>1.73</v>
          </cell>
          <cell r="AN61">
            <v>2.2000000000000002</v>
          </cell>
          <cell r="AO61">
            <v>3.15</v>
          </cell>
          <cell r="AP61">
            <v>2.27</v>
          </cell>
          <cell r="AQ61">
            <v>2.68</v>
          </cell>
          <cell r="BB61">
            <v>2.83</v>
          </cell>
          <cell r="BD61">
            <v>1.73</v>
          </cell>
          <cell r="BE61">
            <v>2.02</v>
          </cell>
          <cell r="BF61">
            <v>2.23</v>
          </cell>
          <cell r="BG61">
            <v>2.08</v>
          </cell>
          <cell r="BH61">
            <v>2.11</v>
          </cell>
          <cell r="BI61">
            <v>2.46</v>
          </cell>
        </row>
        <row r="62">
          <cell r="A62" t="str">
            <v>TRUNK-LA</v>
          </cell>
          <cell r="B62">
            <v>59</v>
          </cell>
          <cell r="AO62">
            <v>3.2</v>
          </cell>
          <cell r="AP62">
            <v>2.3199999999999998</v>
          </cell>
          <cell r="AQ62">
            <v>2.74</v>
          </cell>
          <cell r="AR62">
            <v>2.6</v>
          </cell>
          <cell r="AS62">
            <v>2.16</v>
          </cell>
          <cell r="AT62">
            <v>2.2999999999999998</v>
          </cell>
          <cell r="AU62">
            <v>2.6</v>
          </cell>
          <cell r="AV62">
            <v>2.2599999999999998</v>
          </cell>
          <cell r="AW62">
            <v>1.76</v>
          </cell>
          <cell r="AX62">
            <v>1.77</v>
          </cell>
          <cell r="AY62">
            <v>2.63</v>
          </cell>
          <cell r="AZ62">
            <v>3.74</v>
          </cell>
          <cell r="BA62">
            <v>3.8</v>
          </cell>
          <cell r="BB62">
            <v>2.76</v>
          </cell>
          <cell r="BC62">
            <v>1.67</v>
          </cell>
          <cell r="BD62">
            <v>1.76</v>
          </cell>
          <cell r="BE62">
            <v>2.06</v>
          </cell>
          <cell r="BF62">
            <v>2.2400000000000002</v>
          </cell>
          <cell r="BG62">
            <v>2.08</v>
          </cell>
          <cell r="BH62">
            <v>2.13</v>
          </cell>
          <cell r="BI62">
            <v>2.4700000000000002</v>
          </cell>
          <cell r="BJ62">
            <v>3.07</v>
          </cell>
          <cell r="BK62">
            <v>3.18</v>
          </cell>
          <cell r="BL62">
            <v>2.44</v>
          </cell>
          <cell r="BM62">
            <v>2.16</v>
          </cell>
          <cell r="BN62">
            <v>1.93</v>
          </cell>
          <cell r="BO62">
            <v>2.1800000000000002</v>
          </cell>
          <cell r="BP62">
            <v>2.2200000000000002</v>
          </cell>
          <cell r="BQ62">
            <v>2.19</v>
          </cell>
          <cell r="BR62">
            <v>1.94</v>
          </cell>
          <cell r="BS62">
            <v>2.2799999999999998</v>
          </cell>
          <cell r="BT62">
            <v>1.84</v>
          </cell>
          <cell r="BU62">
            <v>1.53</v>
          </cell>
          <cell r="BV62">
            <v>1.94</v>
          </cell>
          <cell r="BW62">
            <v>1.91</v>
          </cell>
          <cell r="BX62">
            <v>2.0499999999999998</v>
          </cell>
          <cell r="BY62">
            <v>1.71</v>
          </cell>
          <cell r="BZ62">
            <v>1.75</v>
          </cell>
          <cell r="CA62">
            <v>1.56</v>
          </cell>
          <cell r="CB62">
            <v>1.83</v>
          </cell>
          <cell r="CC62">
            <v>2.2999999999999998</v>
          </cell>
          <cell r="CD62">
            <v>2.16</v>
          </cell>
          <cell r="CE62">
            <v>2.2200000000000002</v>
          </cell>
          <cell r="CF62">
            <v>2.56</v>
          </cell>
          <cell r="CG62">
            <v>2.85</v>
          </cell>
        </row>
        <row r="63">
          <cell r="A63" t="str">
            <v>TRUNK-TX</v>
          </cell>
          <cell r="B63">
            <v>60</v>
          </cell>
          <cell r="AO63">
            <v>2.0499999999999998</v>
          </cell>
          <cell r="AP63">
            <v>1.78</v>
          </cell>
          <cell r="AQ63">
            <v>1.92</v>
          </cell>
          <cell r="AR63">
            <v>2.23</v>
          </cell>
          <cell r="AS63">
            <v>2.11</v>
          </cell>
          <cell r="AT63">
            <v>2.2599999999999998</v>
          </cell>
          <cell r="AU63">
            <v>2.5299999999999998</v>
          </cell>
          <cell r="AV63">
            <v>2.21</v>
          </cell>
          <cell r="AW63">
            <v>1.7</v>
          </cell>
          <cell r="AX63">
            <v>1.74</v>
          </cell>
          <cell r="AY63">
            <v>2.61</v>
          </cell>
          <cell r="AZ63">
            <v>3.68</v>
          </cell>
          <cell r="BA63">
            <v>3.59</v>
          </cell>
          <cell r="BB63">
            <v>2.7</v>
          </cell>
          <cell r="BC63">
            <v>1.64</v>
          </cell>
          <cell r="BD63">
            <v>1.73</v>
          </cell>
          <cell r="BE63">
            <v>2.02</v>
          </cell>
          <cell r="BF63">
            <v>2.2200000000000002</v>
          </cell>
          <cell r="BG63">
            <v>2.0699999999999998</v>
          </cell>
          <cell r="BH63">
            <v>2.11</v>
          </cell>
          <cell r="BI63">
            <v>2.46</v>
          </cell>
          <cell r="BJ63">
            <v>3</v>
          </cell>
          <cell r="BK63">
            <v>3.16</v>
          </cell>
          <cell r="BL63">
            <v>2.35</v>
          </cell>
          <cell r="BM63">
            <v>2.15</v>
          </cell>
          <cell r="BN63">
            <v>1.92</v>
          </cell>
          <cell r="BO63">
            <v>2.17</v>
          </cell>
          <cell r="BP63">
            <v>2.2200000000000002</v>
          </cell>
          <cell r="BQ63">
            <v>2.2000000000000002</v>
          </cell>
          <cell r="BR63">
            <v>1.95</v>
          </cell>
          <cell r="BS63">
            <v>2.2799999999999998</v>
          </cell>
          <cell r="BT63">
            <v>1.83</v>
          </cell>
          <cell r="BU63">
            <v>1.54</v>
          </cell>
          <cell r="BV63">
            <v>1.94</v>
          </cell>
          <cell r="BW63">
            <v>1.89</v>
          </cell>
          <cell r="BX63">
            <v>2.0299999999999998</v>
          </cell>
          <cell r="BY63">
            <v>1.69</v>
          </cell>
          <cell r="BZ63">
            <v>1.74</v>
          </cell>
          <cell r="CA63">
            <v>1.56</v>
          </cell>
          <cell r="CB63">
            <v>1.82</v>
          </cell>
          <cell r="CC63">
            <v>2.2799999999999998</v>
          </cell>
          <cell r="CD63">
            <v>2.14</v>
          </cell>
          <cell r="CE63">
            <v>2.2000000000000002</v>
          </cell>
          <cell r="CF63">
            <v>2.5299999999999998</v>
          </cell>
          <cell r="CG63">
            <v>2.81</v>
          </cell>
        </row>
        <row r="64">
          <cell r="A64" t="str">
            <v>TW-PERM</v>
          </cell>
          <cell r="B64">
            <v>61</v>
          </cell>
          <cell r="C64">
            <v>2.11</v>
          </cell>
          <cell r="D64">
            <v>2.0299999999999998</v>
          </cell>
          <cell r="E64">
            <v>2.0299999999999998</v>
          </cell>
          <cell r="F64">
            <v>1.57</v>
          </cell>
          <cell r="G64">
            <v>1.84</v>
          </cell>
          <cell r="H64">
            <v>1.9</v>
          </cell>
          <cell r="I64">
            <v>2.21</v>
          </cell>
          <cell r="J64">
            <v>1.65</v>
          </cell>
          <cell r="K64">
            <v>1.76</v>
          </cell>
          <cell r="L64">
            <v>1.88</v>
          </cell>
          <cell r="M64">
            <v>2.0299999999999998</v>
          </cell>
          <cell r="N64">
            <v>1.73</v>
          </cell>
          <cell r="O64">
            <v>1.76</v>
          </cell>
          <cell r="P64">
            <v>2.27</v>
          </cell>
          <cell r="Q64">
            <v>1.91</v>
          </cell>
          <cell r="R64">
            <v>1.88</v>
          </cell>
          <cell r="S64">
            <v>2.0099999999999998</v>
          </cell>
          <cell r="T64">
            <v>1.73</v>
          </cell>
          <cell r="U64">
            <v>1.73</v>
          </cell>
          <cell r="V64">
            <v>1.48</v>
          </cell>
          <cell r="W64">
            <v>1.64</v>
          </cell>
          <cell r="X64">
            <v>1.56</v>
          </cell>
          <cell r="Y64">
            <v>1.38</v>
          </cell>
          <cell r="Z64">
            <v>1.21</v>
          </cell>
          <cell r="AA64">
            <v>1.47</v>
          </cell>
          <cell r="AB64">
            <v>1.63</v>
          </cell>
          <cell r="AC64">
            <v>1.44</v>
          </cell>
          <cell r="AD64">
            <v>1.1599999999999999</v>
          </cell>
          <cell r="AE64">
            <v>1.18</v>
          </cell>
          <cell r="AF64">
            <v>1.26</v>
          </cell>
          <cell r="AG64">
            <v>1.35</v>
          </cell>
          <cell r="AH64">
            <v>1.38</v>
          </cell>
          <cell r="AI64">
            <v>1.19</v>
          </cell>
          <cell r="AJ64">
            <v>1.18</v>
          </cell>
          <cell r="AK64">
            <v>1.36</v>
          </cell>
          <cell r="AL64">
            <v>1.42</v>
          </cell>
          <cell r="AM64">
            <v>1.53</v>
          </cell>
          <cell r="AN64">
            <v>1.74</v>
          </cell>
          <cell r="AO64">
            <v>1.89</v>
          </cell>
          <cell r="AP64">
            <v>1.66</v>
          </cell>
          <cell r="AQ64">
            <v>1.76</v>
          </cell>
          <cell r="AR64">
            <v>1.96</v>
          </cell>
          <cell r="AS64">
            <v>1.89</v>
          </cell>
          <cell r="AT64">
            <v>1.95</v>
          </cell>
          <cell r="AU64">
            <v>2.02</v>
          </cell>
          <cell r="AV64">
            <v>2.0099999999999998</v>
          </cell>
          <cell r="AW64">
            <v>1.55</v>
          </cell>
          <cell r="AX64">
            <v>1.62</v>
          </cell>
          <cell r="AY64">
            <v>2.44</v>
          </cell>
          <cell r="AZ64">
            <v>3.5</v>
          </cell>
          <cell r="BA64">
            <v>4.0999999999999996</v>
          </cell>
          <cell r="BB64">
            <v>2.5</v>
          </cell>
          <cell r="BC64">
            <v>1.52</v>
          </cell>
          <cell r="BD64">
            <v>1.61</v>
          </cell>
          <cell r="BE64">
            <v>1.89</v>
          </cell>
          <cell r="BF64">
            <v>2.0499999999999998</v>
          </cell>
          <cell r="BG64">
            <v>1.99</v>
          </cell>
          <cell r="BH64">
            <v>2.0499999999999998</v>
          </cell>
          <cell r="BI64">
            <v>2.35</v>
          </cell>
          <cell r="BJ64">
            <v>2.84</v>
          </cell>
          <cell r="BK64">
            <v>3.06</v>
          </cell>
          <cell r="BL64">
            <v>2.2000000000000002</v>
          </cell>
          <cell r="BM64">
            <v>2.09</v>
          </cell>
          <cell r="BN64">
            <v>1.87</v>
          </cell>
          <cell r="BO64">
            <v>2.0699999999999998</v>
          </cell>
          <cell r="BP64">
            <v>2.15</v>
          </cell>
          <cell r="BQ64">
            <v>2.12</v>
          </cell>
          <cell r="BR64">
            <v>1.89</v>
          </cell>
          <cell r="BS64">
            <v>2.17</v>
          </cell>
          <cell r="BT64">
            <v>1.94</v>
          </cell>
          <cell r="BU64">
            <v>1.59</v>
          </cell>
          <cell r="BV64">
            <v>1.83</v>
          </cell>
          <cell r="BW64">
            <v>1.99</v>
          </cell>
          <cell r="BX64">
            <v>1.99</v>
          </cell>
          <cell r="BY64">
            <v>1.74</v>
          </cell>
          <cell r="BZ64">
            <v>1.67</v>
          </cell>
          <cell r="CA64">
            <v>1.57</v>
          </cell>
          <cell r="CB64">
            <v>1.66</v>
          </cell>
          <cell r="CC64">
            <v>2.16</v>
          </cell>
          <cell r="CD64">
            <v>2.08</v>
          </cell>
          <cell r="CE64">
            <v>2.17</v>
          </cell>
          <cell r="CF64">
            <v>2.4500000000000002</v>
          </cell>
          <cell r="CG64">
            <v>2.77</v>
          </cell>
        </row>
        <row r="65">
          <cell r="A65" t="str">
            <v>TXG-Z1</v>
          </cell>
          <cell r="B65">
            <v>62</v>
          </cell>
          <cell r="C65">
            <v>2.33</v>
          </cell>
          <cell r="D65">
            <v>2.25</v>
          </cell>
          <cell r="E65">
            <v>1.92</v>
          </cell>
          <cell r="F65">
            <v>1.61</v>
          </cell>
          <cell r="G65">
            <v>1.85</v>
          </cell>
          <cell r="H65">
            <v>2.16</v>
          </cell>
          <cell r="I65">
            <v>2.65</v>
          </cell>
          <cell r="J65">
            <v>2</v>
          </cell>
          <cell r="K65">
            <v>1.89</v>
          </cell>
          <cell r="L65">
            <v>2.04</v>
          </cell>
          <cell r="M65">
            <v>2.2999999999999998</v>
          </cell>
          <cell r="N65">
            <v>1.98</v>
          </cell>
          <cell r="O65">
            <v>2.09</v>
          </cell>
          <cell r="P65">
            <v>2.2999999999999998</v>
          </cell>
          <cell r="Q65">
            <v>2.02</v>
          </cell>
          <cell r="R65">
            <v>2.2999999999999998</v>
          </cell>
          <cell r="S65">
            <v>2.33</v>
          </cell>
          <cell r="T65">
            <v>1.94</v>
          </cell>
          <cell r="U65">
            <v>2.02</v>
          </cell>
          <cell r="V65">
            <v>1.78</v>
          </cell>
          <cell r="W65">
            <v>1.91</v>
          </cell>
          <cell r="X65">
            <v>1.76</v>
          </cell>
          <cell r="Y65">
            <v>1.44</v>
          </cell>
          <cell r="Z65">
            <v>1.39</v>
          </cell>
          <cell r="AA65">
            <v>1.63</v>
          </cell>
          <cell r="AB65">
            <v>1.64</v>
          </cell>
          <cell r="AC65">
            <v>1.58</v>
          </cell>
          <cell r="AD65">
            <v>1.38</v>
          </cell>
          <cell r="AE65">
            <v>1.41</v>
          </cell>
          <cell r="AF65">
            <v>1.51</v>
          </cell>
          <cell r="AG65">
            <v>1.62</v>
          </cell>
          <cell r="AH65">
            <v>1.66</v>
          </cell>
          <cell r="AI65">
            <v>1.46</v>
          </cell>
          <cell r="AJ65">
            <v>1.33</v>
          </cell>
          <cell r="AK65">
            <v>1.53</v>
          </cell>
          <cell r="AL65">
            <v>1.62</v>
          </cell>
          <cell r="AM65">
            <v>1.76</v>
          </cell>
          <cell r="AN65">
            <v>2.25</v>
          </cell>
          <cell r="AO65">
            <v>3.32</v>
          </cell>
          <cell r="AP65">
            <v>2.35</v>
          </cell>
          <cell r="AQ65">
            <v>2.74</v>
          </cell>
          <cell r="AR65">
            <v>2.7</v>
          </cell>
          <cell r="AS65">
            <v>2.17</v>
          </cell>
          <cell r="AT65">
            <v>2.2999999999999998</v>
          </cell>
          <cell r="AU65">
            <v>2.61</v>
          </cell>
          <cell r="AV65">
            <v>2.2799999999999998</v>
          </cell>
          <cell r="AW65">
            <v>1.81</v>
          </cell>
          <cell r="AX65">
            <v>1.8</v>
          </cell>
          <cell r="AY65">
            <v>2.62</v>
          </cell>
          <cell r="AZ65">
            <v>3.81</v>
          </cell>
          <cell r="BA65">
            <v>4.01</v>
          </cell>
          <cell r="BB65">
            <v>2.88</v>
          </cell>
          <cell r="BC65">
            <v>1.76</v>
          </cell>
          <cell r="BD65">
            <v>1.78</v>
          </cell>
          <cell r="BE65">
            <v>2.08</v>
          </cell>
          <cell r="BF65">
            <v>2.2999999999999998</v>
          </cell>
          <cell r="BG65">
            <v>2.13</v>
          </cell>
          <cell r="BH65">
            <v>2.17</v>
          </cell>
          <cell r="BI65">
            <v>2.54</v>
          </cell>
          <cell r="BJ65">
            <v>3.08</v>
          </cell>
          <cell r="BK65">
            <v>3.24</v>
          </cell>
          <cell r="BL65">
            <v>2.4700000000000002</v>
          </cell>
          <cell r="BM65">
            <v>2.2400000000000002</v>
          </cell>
          <cell r="BN65">
            <v>1.99</v>
          </cell>
          <cell r="BO65">
            <v>2.2200000000000002</v>
          </cell>
          <cell r="BP65">
            <v>2.2400000000000002</v>
          </cell>
          <cell r="BQ65">
            <v>2.25</v>
          </cell>
          <cell r="BR65">
            <v>2</v>
          </cell>
          <cell r="BS65">
            <v>2.33</v>
          </cell>
          <cell r="BT65">
            <v>1.91</v>
          </cell>
          <cell r="BU65">
            <v>1.59</v>
          </cell>
          <cell r="BV65">
            <v>2.0299999999999998</v>
          </cell>
          <cell r="BW65">
            <v>1.98</v>
          </cell>
          <cell r="BX65">
            <v>2.09</v>
          </cell>
          <cell r="BY65">
            <v>1.74</v>
          </cell>
          <cell r="BZ65">
            <v>1.81</v>
          </cell>
          <cell r="CA65">
            <v>1.62</v>
          </cell>
          <cell r="CB65">
            <v>1.87</v>
          </cell>
          <cell r="CC65">
            <v>2.35</v>
          </cell>
          <cell r="CD65">
            <v>2.21</v>
          </cell>
          <cell r="CE65">
            <v>2.25</v>
          </cell>
          <cell r="CF65">
            <v>2.6</v>
          </cell>
          <cell r="CG65">
            <v>2.88</v>
          </cell>
        </row>
        <row r="66">
          <cell r="A66" t="str">
            <v>TXG-ZSL</v>
          </cell>
          <cell r="B66">
            <v>63</v>
          </cell>
          <cell r="C66">
            <v>2.3199999999999998</v>
          </cell>
          <cell r="D66">
            <v>2.2400000000000002</v>
          </cell>
          <cell r="E66">
            <v>1.9</v>
          </cell>
          <cell r="F66">
            <v>1.6</v>
          </cell>
          <cell r="G66">
            <v>1.85</v>
          </cell>
          <cell r="H66">
            <v>2.15</v>
          </cell>
          <cell r="I66">
            <v>2.65</v>
          </cell>
          <cell r="J66">
            <v>1.98</v>
          </cell>
          <cell r="K66">
            <v>1.87</v>
          </cell>
          <cell r="L66">
            <v>2.0499999999999998</v>
          </cell>
          <cell r="M66">
            <v>2.3199999999999998</v>
          </cell>
          <cell r="N66">
            <v>1.98</v>
          </cell>
          <cell r="O66">
            <v>2.09</v>
          </cell>
          <cell r="P66">
            <v>2.3199999999999998</v>
          </cell>
          <cell r="Q66">
            <v>2.0299999999999998</v>
          </cell>
          <cell r="R66">
            <v>2.3199999999999998</v>
          </cell>
          <cell r="S66">
            <v>2.3199999999999998</v>
          </cell>
          <cell r="T66">
            <v>1.93</v>
          </cell>
          <cell r="U66">
            <v>2.0299999999999998</v>
          </cell>
          <cell r="V66">
            <v>1.77</v>
          </cell>
          <cell r="W66">
            <v>1.91</v>
          </cell>
          <cell r="X66">
            <v>1.75</v>
          </cell>
          <cell r="Y66">
            <v>1.44</v>
          </cell>
          <cell r="Z66">
            <v>1.37</v>
          </cell>
          <cell r="AA66">
            <v>1.63</v>
          </cell>
          <cell r="AB66">
            <v>1.64</v>
          </cell>
          <cell r="AC66">
            <v>1.57</v>
          </cell>
          <cell r="AD66">
            <v>1.38</v>
          </cell>
          <cell r="AE66">
            <v>1.4</v>
          </cell>
          <cell r="AF66">
            <v>1.51</v>
          </cell>
          <cell r="AG66">
            <v>1.62</v>
          </cell>
          <cell r="AH66">
            <v>1.67</v>
          </cell>
          <cell r="AI66">
            <v>1.46</v>
          </cell>
          <cell r="AJ66">
            <v>1.32</v>
          </cell>
          <cell r="AK66">
            <v>1.53</v>
          </cell>
          <cell r="AL66">
            <v>1.61</v>
          </cell>
          <cell r="AM66">
            <v>1.76</v>
          </cell>
          <cell r="AN66">
            <v>2.2400000000000002</v>
          </cell>
          <cell r="AO66">
            <v>3.35</v>
          </cell>
          <cell r="AP66">
            <v>2.35</v>
          </cell>
          <cell r="AQ66">
            <v>2.8</v>
          </cell>
          <cell r="AR66">
            <v>2.72</v>
          </cell>
          <cell r="AS66">
            <v>2.19</v>
          </cell>
          <cell r="AT66">
            <v>2.3199999999999998</v>
          </cell>
          <cell r="AU66">
            <v>2.62</v>
          </cell>
          <cell r="AV66">
            <v>2.2999999999999998</v>
          </cell>
          <cell r="AW66">
            <v>1.79</v>
          </cell>
          <cell r="AX66">
            <v>1.81</v>
          </cell>
          <cell r="AY66">
            <v>2.64</v>
          </cell>
          <cell r="AZ66">
            <v>3.84</v>
          </cell>
          <cell r="BA66">
            <v>4.0199999999999996</v>
          </cell>
          <cell r="BB66">
            <v>2.88</v>
          </cell>
          <cell r="BC66">
            <v>1.77</v>
          </cell>
          <cell r="BD66">
            <v>1.79</v>
          </cell>
          <cell r="BE66">
            <v>2.1</v>
          </cell>
          <cell r="BF66">
            <v>2.31</v>
          </cell>
          <cell r="BG66">
            <v>2.13</v>
          </cell>
          <cell r="BH66">
            <v>2.16</v>
          </cell>
          <cell r="BI66">
            <v>2.5299999999999998</v>
          </cell>
          <cell r="BJ66">
            <v>3.08</v>
          </cell>
          <cell r="BK66">
            <v>3.26</v>
          </cell>
          <cell r="BL66">
            <v>2.5099999999999998</v>
          </cell>
          <cell r="BM66">
            <v>2.25</v>
          </cell>
          <cell r="BN66">
            <v>1.99</v>
          </cell>
          <cell r="BO66">
            <v>2.23</v>
          </cell>
          <cell r="BP66">
            <v>2.2200000000000002</v>
          </cell>
          <cell r="BQ66">
            <v>2.25</v>
          </cell>
          <cell r="BR66">
            <v>2</v>
          </cell>
          <cell r="BS66">
            <v>2.33</v>
          </cell>
          <cell r="BT66">
            <v>1.91</v>
          </cell>
          <cell r="BU66">
            <v>1.58</v>
          </cell>
          <cell r="BV66">
            <v>2.02</v>
          </cell>
          <cell r="BW66">
            <v>1.96</v>
          </cell>
          <cell r="BX66">
            <v>2.0699999999999998</v>
          </cell>
          <cell r="BY66">
            <v>1.74</v>
          </cell>
          <cell r="BZ66">
            <v>1.79</v>
          </cell>
          <cell r="CA66">
            <v>1.61</v>
          </cell>
          <cell r="CB66">
            <v>1.87</v>
          </cell>
          <cell r="CC66">
            <v>2.34</v>
          </cell>
          <cell r="CD66">
            <v>2.2000000000000002</v>
          </cell>
          <cell r="CE66">
            <v>2.2400000000000002</v>
          </cell>
          <cell r="CF66">
            <v>2.59</v>
          </cell>
          <cell r="CG66">
            <v>2.87</v>
          </cell>
        </row>
        <row r="67">
          <cell r="A67" t="str">
            <v>VAL-TX</v>
          </cell>
          <cell r="B67">
            <v>64</v>
          </cell>
          <cell r="C67">
            <v>2.04</v>
          </cell>
          <cell r="D67">
            <v>2.0499999999999998</v>
          </cell>
          <cell r="E67">
            <v>1.9</v>
          </cell>
          <cell r="F67">
            <v>1.56</v>
          </cell>
          <cell r="G67">
            <v>1.8</v>
          </cell>
          <cell r="H67">
            <v>2.15</v>
          </cell>
          <cell r="I67">
            <v>2.5</v>
          </cell>
          <cell r="J67">
            <v>1.81</v>
          </cell>
          <cell r="K67">
            <v>1.82</v>
          </cell>
          <cell r="L67">
            <v>2.02</v>
          </cell>
          <cell r="M67">
            <v>2.2400000000000002</v>
          </cell>
          <cell r="N67">
            <v>1.85</v>
          </cell>
          <cell r="O67">
            <v>1.95</v>
          </cell>
          <cell r="P67">
            <v>2.2999999999999998</v>
          </cell>
          <cell r="Q67">
            <v>1.91</v>
          </cell>
          <cell r="R67">
            <v>2</v>
          </cell>
          <cell r="S67">
            <v>2.09</v>
          </cell>
          <cell r="T67">
            <v>1.84</v>
          </cell>
          <cell r="U67">
            <v>1.9</v>
          </cell>
          <cell r="V67">
            <v>1.64</v>
          </cell>
          <cell r="W67">
            <v>1.85</v>
          </cell>
          <cell r="X67">
            <v>1.65</v>
          </cell>
          <cell r="Y67">
            <v>1.39</v>
          </cell>
          <cell r="Z67">
            <v>1.29</v>
          </cell>
          <cell r="AA67">
            <v>1.56</v>
          </cell>
          <cell r="AB67">
            <v>1.58</v>
          </cell>
          <cell r="AC67">
            <v>1.45</v>
          </cell>
          <cell r="AD67">
            <v>1.26</v>
          </cell>
          <cell r="AE67">
            <v>1.28</v>
          </cell>
          <cell r="AF67">
            <v>1.38</v>
          </cell>
          <cell r="AG67">
            <v>1.5</v>
          </cell>
          <cell r="AH67">
            <v>1.53</v>
          </cell>
          <cell r="AI67">
            <v>1.36</v>
          </cell>
          <cell r="AJ67">
            <v>1.26</v>
          </cell>
          <cell r="AK67">
            <v>1.43</v>
          </cell>
          <cell r="AL67">
            <v>1.5</v>
          </cell>
          <cell r="AM67">
            <v>1.61</v>
          </cell>
          <cell r="AN67">
            <v>1.97</v>
          </cell>
          <cell r="AO67">
            <v>2.04</v>
          </cell>
          <cell r="AP67">
            <v>1.77</v>
          </cell>
          <cell r="AQ67">
            <v>1.89</v>
          </cell>
          <cell r="AR67">
            <v>2.1800000000000002</v>
          </cell>
          <cell r="AS67">
            <v>2.06</v>
          </cell>
          <cell r="AT67">
            <v>2.1800000000000002</v>
          </cell>
          <cell r="AU67">
            <v>2.37</v>
          </cell>
          <cell r="AV67">
            <v>2.16</v>
          </cell>
          <cell r="AW67">
            <v>1.74</v>
          </cell>
          <cell r="AX67">
            <v>1.71</v>
          </cell>
          <cell r="AY67">
            <v>2.4900000000000002</v>
          </cell>
          <cell r="AZ67">
            <v>3.55</v>
          </cell>
          <cell r="BA67">
            <v>3.76</v>
          </cell>
          <cell r="BB67">
            <v>2.64</v>
          </cell>
          <cell r="BC67">
            <v>1.6</v>
          </cell>
          <cell r="BD67">
            <v>1.69</v>
          </cell>
          <cell r="BE67">
            <v>1.96</v>
          </cell>
          <cell r="BF67">
            <v>2.17</v>
          </cell>
          <cell r="BG67">
            <v>2.0299999999999998</v>
          </cell>
          <cell r="BH67">
            <v>2.0699999999999998</v>
          </cell>
          <cell r="BI67">
            <v>2.38</v>
          </cell>
          <cell r="BJ67">
            <v>3</v>
          </cell>
          <cell r="BK67">
            <v>3.15</v>
          </cell>
          <cell r="BL67">
            <v>2.31</v>
          </cell>
          <cell r="BM67">
            <v>2.09</v>
          </cell>
          <cell r="BN67">
            <v>1.88</v>
          </cell>
          <cell r="BO67">
            <v>2.11</v>
          </cell>
          <cell r="BP67">
            <v>2.1800000000000002</v>
          </cell>
          <cell r="BQ67">
            <v>2.17</v>
          </cell>
          <cell r="BR67">
            <v>1.93</v>
          </cell>
        </row>
        <row r="68">
          <cell r="A68" t="str">
            <v>WILL-TOK</v>
          </cell>
          <cell r="B68">
            <v>65</v>
          </cell>
          <cell r="C68">
            <v>1.98</v>
          </cell>
          <cell r="D68">
            <v>2</v>
          </cell>
          <cell r="E68">
            <v>2.0299999999999998</v>
          </cell>
          <cell r="F68">
            <v>1.65</v>
          </cell>
          <cell r="G68">
            <v>1.85</v>
          </cell>
          <cell r="H68">
            <v>2.0699999999999998</v>
          </cell>
          <cell r="I68">
            <v>2.57</v>
          </cell>
          <cell r="J68">
            <v>1.75</v>
          </cell>
          <cell r="K68">
            <v>1.73</v>
          </cell>
          <cell r="L68">
            <v>1.86</v>
          </cell>
          <cell r="M68">
            <v>2.1</v>
          </cell>
          <cell r="N68">
            <v>1.83</v>
          </cell>
          <cell r="O68">
            <v>1.83</v>
          </cell>
          <cell r="P68">
            <v>2.25</v>
          </cell>
          <cell r="Q68">
            <v>1.94</v>
          </cell>
          <cell r="R68">
            <v>2.1</v>
          </cell>
          <cell r="S68">
            <v>2.11</v>
          </cell>
          <cell r="T68">
            <v>1.76</v>
          </cell>
          <cell r="U68">
            <v>1.77</v>
          </cell>
          <cell r="V68">
            <v>1.53</v>
          </cell>
          <cell r="W68">
            <v>1.61</v>
          </cell>
          <cell r="X68">
            <v>1.55</v>
          </cell>
          <cell r="Y68">
            <v>1.33</v>
          </cell>
          <cell r="Z68">
            <v>1.24</v>
          </cell>
          <cell r="AA68">
            <v>1.45</v>
          </cell>
          <cell r="AB68">
            <v>1.6</v>
          </cell>
          <cell r="AC68">
            <v>1.51</v>
          </cell>
          <cell r="AD68">
            <v>1.23</v>
          </cell>
          <cell r="AE68">
            <v>1.24</v>
          </cell>
          <cell r="AF68">
            <v>1.27</v>
          </cell>
          <cell r="AG68">
            <v>1.4</v>
          </cell>
          <cell r="AH68">
            <v>1.44</v>
          </cell>
          <cell r="AI68">
            <v>1.23</v>
          </cell>
          <cell r="AJ68">
            <v>1.18</v>
          </cell>
          <cell r="AK68">
            <v>1.42</v>
          </cell>
          <cell r="AL68">
            <v>1.49</v>
          </cell>
          <cell r="AM68">
            <v>1.6</v>
          </cell>
          <cell r="AN68">
            <v>1.88</v>
          </cell>
          <cell r="AO68">
            <v>2.0299999999999998</v>
          </cell>
          <cell r="AP68">
            <v>1.84</v>
          </cell>
          <cell r="AQ68">
            <v>1.9</v>
          </cell>
          <cell r="AR68">
            <v>2.15</v>
          </cell>
          <cell r="AS68">
            <v>2</v>
          </cell>
          <cell r="AT68">
            <v>2.0299999999999998</v>
          </cell>
          <cell r="AU68">
            <v>2.1800000000000002</v>
          </cell>
          <cell r="AV68">
            <v>2.14</v>
          </cell>
          <cell r="AW68">
            <v>1.67</v>
          </cell>
          <cell r="AX68">
            <v>1.68</v>
          </cell>
          <cell r="AY68">
            <v>2.5</v>
          </cell>
          <cell r="AZ68">
            <v>3.68</v>
          </cell>
          <cell r="BA68">
            <v>4.3</v>
          </cell>
          <cell r="BB68">
            <v>2.81</v>
          </cell>
          <cell r="BC68">
            <v>2.81</v>
          </cell>
          <cell r="BD68">
            <v>1.7</v>
          </cell>
          <cell r="BE68">
            <v>1.92</v>
          </cell>
          <cell r="BG68">
            <v>2.04</v>
          </cell>
          <cell r="BH68">
            <v>2.0499999999999998</v>
          </cell>
          <cell r="BI68">
            <v>2.38</v>
          </cell>
          <cell r="BJ68">
            <v>2.98</v>
          </cell>
          <cell r="BK68">
            <v>3.15</v>
          </cell>
          <cell r="BL68">
            <v>2.37</v>
          </cell>
          <cell r="BM68">
            <v>2.15</v>
          </cell>
          <cell r="BN68">
            <v>1.92</v>
          </cell>
          <cell r="BO68">
            <v>2.15</v>
          </cell>
          <cell r="BP68">
            <v>2.1800000000000002</v>
          </cell>
          <cell r="BQ68">
            <v>2.16</v>
          </cell>
          <cell r="BR68">
            <v>1.93</v>
          </cell>
          <cell r="BS68">
            <v>2.27</v>
          </cell>
          <cell r="BT68">
            <v>1.85</v>
          </cell>
          <cell r="BU68">
            <v>1.56</v>
          </cell>
          <cell r="BV68">
            <v>1.9</v>
          </cell>
          <cell r="BW68">
            <v>1.94</v>
          </cell>
          <cell r="BX68">
            <v>2.0499999999999998</v>
          </cell>
          <cell r="BY68">
            <v>1.78</v>
          </cell>
          <cell r="BZ68">
            <v>1.75</v>
          </cell>
          <cell r="CA68">
            <v>1.57</v>
          </cell>
          <cell r="CB68">
            <v>1.74</v>
          </cell>
          <cell r="CC68">
            <v>2.2200000000000002</v>
          </cell>
          <cell r="CD68">
            <v>2.12</v>
          </cell>
          <cell r="CE68">
            <v>2.17</v>
          </cell>
          <cell r="CF68">
            <v>2.5</v>
          </cell>
          <cell r="CG68">
            <v>2.77</v>
          </cell>
        </row>
      </sheetData>
      <sheetData sheetId="1" refreshError="1">
        <row r="2">
          <cell r="A2">
            <v>33909</v>
          </cell>
          <cell r="B2">
            <v>3</v>
          </cell>
          <cell r="D2" t="str">
            <v>3D</v>
          </cell>
          <cell r="E2" t="str">
            <v>3D Avg</v>
          </cell>
          <cell r="F2">
            <v>2</v>
          </cell>
        </row>
        <row r="3">
          <cell r="A3">
            <v>33939</v>
          </cell>
          <cell r="B3">
            <v>4</v>
          </cell>
          <cell r="D3" t="str">
            <v>2D</v>
          </cell>
          <cell r="E3" t="str">
            <v>2D Avg</v>
          </cell>
          <cell r="F3">
            <v>3</v>
          </cell>
        </row>
        <row r="4">
          <cell r="A4">
            <v>33970</v>
          </cell>
          <cell r="B4">
            <v>5</v>
          </cell>
          <cell r="D4" t="str">
            <v>FD</v>
          </cell>
          <cell r="E4" t="str">
            <v>Settle</v>
          </cell>
          <cell r="F4">
            <v>4</v>
          </cell>
        </row>
        <row r="5">
          <cell r="A5">
            <v>34001</v>
          </cell>
          <cell r="B5">
            <v>6</v>
          </cell>
          <cell r="D5" t="str">
            <v>AECO-NT</v>
          </cell>
          <cell r="E5" t="str">
            <v>AECO Hub</v>
          </cell>
          <cell r="F5">
            <v>5</v>
          </cell>
        </row>
        <row r="6">
          <cell r="A6">
            <v>34029</v>
          </cell>
          <cell r="B6">
            <v>7</v>
          </cell>
          <cell r="D6" t="str">
            <v>ANR-LA</v>
          </cell>
          <cell r="E6" t="str">
            <v>ANR-Louisiana</v>
          </cell>
          <cell r="F6">
            <v>6</v>
          </cell>
        </row>
        <row r="7">
          <cell r="A7">
            <v>34060</v>
          </cell>
          <cell r="B7">
            <v>8</v>
          </cell>
          <cell r="D7" t="str">
            <v>ANR-OFF</v>
          </cell>
          <cell r="E7" t="str">
            <v>ANR-Offshore</v>
          </cell>
          <cell r="F7">
            <v>7</v>
          </cell>
        </row>
        <row r="8">
          <cell r="A8">
            <v>34090</v>
          </cell>
          <cell r="B8">
            <v>9</v>
          </cell>
          <cell r="D8" t="str">
            <v>ANR-OK</v>
          </cell>
          <cell r="E8" t="str">
            <v>ANR-Oklahoma</v>
          </cell>
          <cell r="F8">
            <v>8</v>
          </cell>
        </row>
        <row r="9">
          <cell r="A9">
            <v>34121</v>
          </cell>
          <cell r="B9">
            <v>10</v>
          </cell>
          <cell r="D9" t="str">
            <v>CG-APP</v>
          </cell>
          <cell r="E9" t="str">
            <v>Columbia Gas-App</v>
          </cell>
          <cell r="F9">
            <v>9</v>
          </cell>
        </row>
        <row r="10">
          <cell r="A10">
            <v>34151</v>
          </cell>
          <cell r="B10">
            <v>11</v>
          </cell>
          <cell r="D10" t="str">
            <v>CGLF-LA</v>
          </cell>
          <cell r="E10" t="str">
            <v>Columbia Gulf-Louisiana</v>
          </cell>
          <cell r="F10">
            <v>10</v>
          </cell>
        </row>
        <row r="11">
          <cell r="A11">
            <v>34182</v>
          </cell>
          <cell r="B11">
            <v>12</v>
          </cell>
          <cell r="D11" t="str">
            <v>CGLF-OFS</v>
          </cell>
          <cell r="E11" t="str">
            <v>Columbia Gulf-Offshore</v>
          </cell>
          <cell r="F11">
            <v>11</v>
          </cell>
        </row>
        <row r="12">
          <cell r="A12">
            <v>34213</v>
          </cell>
          <cell r="B12">
            <v>13</v>
          </cell>
          <cell r="D12" t="str">
            <v>CHIC</v>
          </cell>
          <cell r="E12" t="str">
            <v>Chicago City Gate</v>
          </cell>
          <cell r="F12">
            <v>12</v>
          </cell>
        </row>
        <row r="13">
          <cell r="A13">
            <v>34243</v>
          </cell>
          <cell r="B13">
            <v>14</v>
          </cell>
          <cell r="D13" t="str">
            <v>CIG-ROCK</v>
          </cell>
          <cell r="E13" t="str">
            <v>CIG-Rocky Mtn</v>
          </cell>
          <cell r="F13">
            <v>13</v>
          </cell>
        </row>
        <row r="14">
          <cell r="A14">
            <v>34274</v>
          </cell>
          <cell r="B14">
            <v>15</v>
          </cell>
          <cell r="D14" t="str">
            <v>CNG</v>
          </cell>
          <cell r="E14" t="str">
            <v>CNG-Appalacian</v>
          </cell>
          <cell r="F14">
            <v>14</v>
          </cell>
        </row>
        <row r="15">
          <cell r="A15">
            <v>34304</v>
          </cell>
          <cell r="B15">
            <v>16</v>
          </cell>
          <cell r="D15" t="str">
            <v>EPNG-ANAD</v>
          </cell>
          <cell r="E15" t="str">
            <v>El Paso-Anadarko</v>
          </cell>
          <cell r="F15">
            <v>15</v>
          </cell>
        </row>
        <row r="16">
          <cell r="A16">
            <v>34335</v>
          </cell>
          <cell r="B16">
            <v>17</v>
          </cell>
          <cell r="D16" t="str">
            <v>EPNG-PERM</v>
          </cell>
          <cell r="E16" t="str">
            <v>El Paso-Permian</v>
          </cell>
          <cell r="F16">
            <v>16</v>
          </cell>
        </row>
        <row r="17">
          <cell r="A17">
            <v>34366</v>
          </cell>
          <cell r="B17">
            <v>18</v>
          </cell>
          <cell r="D17" t="str">
            <v>EPNG-SJ</v>
          </cell>
          <cell r="E17" t="str">
            <v>El Paso-San Juan</v>
          </cell>
          <cell r="F17">
            <v>17</v>
          </cell>
        </row>
        <row r="18">
          <cell r="A18">
            <v>34394</v>
          </cell>
          <cell r="B18">
            <v>19</v>
          </cell>
          <cell r="D18" t="str">
            <v>FGT-Z1</v>
          </cell>
          <cell r="E18" t="str">
            <v>Florida-Zone 1</v>
          </cell>
          <cell r="F18">
            <v>18</v>
          </cell>
        </row>
        <row r="19">
          <cell r="A19">
            <v>34425</v>
          </cell>
          <cell r="B19">
            <v>20</v>
          </cell>
          <cell r="D19" t="str">
            <v>FGT-Z2</v>
          </cell>
          <cell r="E19" t="str">
            <v>Florida-Zone 2</v>
          </cell>
          <cell r="F19">
            <v>19</v>
          </cell>
        </row>
        <row r="20">
          <cell r="A20">
            <v>34455</v>
          </cell>
          <cell r="B20">
            <v>21</v>
          </cell>
          <cell r="D20" t="str">
            <v>FGT-Z3</v>
          </cell>
          <cell r="E20" t="str">
            <v>Florida-Zone 3</v>
          </cell>
          <cell r="F20">
            <v>20</v>
          </cell>
        </row>
        <row r="21">
          <cell r="A21">
            <v>34486</v>
          </cell>
          <cell r="B21">
            <v>22</v>
          </cell>
          <cell r="D21" t="str">
            <v>HSC</v>
          </cell>
          <cell r="E21" t="str">
            <v>Hous Ship Chan</v>
          </cell>
          <cell r="F21">
            <v>21</v>
          </cell>
        </row>
        <row r="22">
          <cell r="A22">
            <v>34516</v>
          </cell>
          <cell r="B22">
            <v>23</v>
          </cell>
          <cell r="D22" t="str">
            <v>HUB</v>
          </cell>
          <cell r="E22" t="str">
            <v>Henry Hub</v>
          </cell>
          <cell r="F22">
            <v>22</v>
          </cell>
        </row>
        <row r="23">
          <cell r="A23">
            <v>34547</v>
          </cell>
          <cell r="B23">
            <v>24</v>
          </cell>
          <cell r="D23" t="str">
            <v>KERN</v>
          </cell>
          <cell r="E23" t="str">
            <v>Kern River</v>
          </cell>
          <cell r="F23">
            <v>23</v>
          </cell>
        </row>
        <row r="24">
          <cell r="A24">
            <v>34578</v>
          </cell>
          <cell r="B24">
            <v>25</v>
          </cell>
          <cell r="D24" t="str">
            <v>KERN-NGI</v>
          </cell>
          <cell r="E24" t="str">
            <v>Kern River-NGI</v>
          </cell>
          <cell r="F24">
            <v>24</v>
          </cell>
        </row>
        <row r="25">
          <cell r="A25">
            <v>34608</v>
          </cell>
          <cell r="B25">
            <v>26</v>
          </cell>
          <cell r="D25" t="str">
            <v>KOCH-LA</v>
          </cell>
          <cell r="E25" t="str">
            <v>Koch Gateway-LA</v>
          </cell>
          <cell r="F25">
            <v>25</v>
          </cell>
        </row>
        <row r="26">
          <cell r="A26">
            <v>34639</v>
          </cell>
          <cell r="B26">
            <v>27</v>
          </cell>
          <cell r="D26" t="str">
            <v>KOCH-TX</v>
          </cell>
          <cell r="E26" t="str">
            <v>Koch Gateway-TX</v>
          </cell>
          <cell r="F26">
            <v>26</v>
          </cell>
        </row>
        <row r="27">
          <cell r="A27">
            <v>34669</v>
          </cell>
          <cell r="B27">
            <v>28</v>
          </cell>
          <cell r="D27" t="str">
            <v>MALIN-400</v>
          </cell>
          <cell r="E27" t="str">
            <v>Malin-400 Border</v>
          </cell>
          <cell r="F27">
            <v>27</v>
          </cell>
        </row>
        <row r="28">
          <cell r="A28">
            <v>34700</v>
          </cell>
          <cell r="B28">
            <v>29</v>
          </cell>
          <cell r="D28" t="str">
            <v>MALIN-401</v>
          </cell>
          <cell r="E28" t="str">
            <v>Malin-401 Border</v>
          </cell>
          <cell r="F28">
            <v>28</v>
          </cell>
        </row>
        <row r="29">
          <cell r="A29">
            <v>34731</v>
          </cell>
          <cell r="B29">
            <v>30</v>
          </cell>
          <cell r="D29" t="str">
            <v>MICH</v>
          </cell>
          <cell r="E29" t="str">
            <v>MichCon</v>
          </cell>
          <cell r="F29">
            <v>29</v>
          </cell>
        </row>
        <row r="30">
          <cell r="A30">
            <v>34759</v>
          </cell>
          <cell r="B30">
            <v>31</v>
          </cell>
          <cell r="D30" t="str">
            <v>MRC</v>
          </cell>
          <cell r="E30" t="str">
            <v>Miss River Corr</v>
          </cell>
          <cell r="F30">
            <v>30</v>
          </cell>
        </row>
        <row r="31">
          <cell r="A31">
            <v>34790</v>
          </cell>
          <cell r="B31">
            <v>32</v>
          </cell>
          <cell r="D31" t="str">
            <v>NGPL-LA</v>
          </cell>
          <cell r="E31" t="str">
            <v>NGPL-Louisiana</v>
          </cell>
          <cell r="F31">
            <v>31</v>
          </cell>
        </row>
        <row r="32">
          <cell r="A32">
            <v>34820</v>
          </cell>
          <cell r="B32">
            <v>33</v>
          </cell>
          <cell r="D32" t="str">
            <v>NGPL-MC</v>
          </cell>
          <cell r="E32" t="str">
            <v>NGPL-MidContinent</v>
          </cell>
          <cell r="F32">
            <v>32</v>
          </cell>
        </row>
        <row r="33">
          <cell r="A33">
            <v>34851</v>
          </cell>
          <cell r="B33">
            <v>34</v>
          </cell>
          <cell r="D33" t="str">
            <v>NGPL-OK</v>
          </cell>
          <cell r="E33" t="str">
            <v>NGPL-Oklahoma</v>
          </cell>
          <cell r="F33">
            <v>33</v>
          </cell>
        </row>
        <row r="34">
          <cell r="A34">
            <v>34881</v>
          </cell>
          <cell r="B34">
            <v>35</v>
          </cell>
          <cell r="D34" t="str">
            <v>NGPL-STX</v>
          </cell>
          <cell r="E34" t="str">
            <v>NGPL-Texas</v>
          </cell>
          <cell r="F34">
            <v>34</v>
          </cell>
        </row>
        <row r="35">
          <cell r="A35">
            <v>34912</v>
          </cell>
          <cell r="B35">
            <v>36</v>
          </cell>
          <cell r="D35" t="str">
            <v>NNG-DEMARC</v>
          </cell>
          <cell r="E35" t="str">
            <v>Northern-Demarc</v>
          </cell>
          <cell r="F35">
            <v>35</v>
          </cell>
        </row>
        <row r="36">
          <cell r="A36">
            <v>34943</v>
          </cell>
          <cell r="B36">
            <v>37</v>
          </cell>
          <cell r="D36" t="str">
            <v>NNG-TOK</v>
          </cell>
          <cell r="E36" t="str">
            <v>Northern-TOK</v>
          </cell>
          <cell r="F36">
            <v>36</v>
          </cell>
        </row>
        <row r="37">
          <cell r="A37">
            <v>34973</v>
          </cell>
          <cell r="B37">
            <v>38</v>
          </cell>
          <cell r="D37" t="str">
            <v>NNG-VENT</v>
          </cell>
          <cell r="E37" t="str">
            <v>Northern-Ventura</v>
          </cell>
          <cell r="F37">
            <v>37</v>
          </cell>
        </row>
        <row r="38">
          <cell r="A38">
            <v>35004</v>
          </cell>
          <cell r="B38">
            <v>39</v>
          </cell>
          <cell r="D38" t="str">
            <v>NOR-AM</v>
          </cell>
          <cell r="E38" t="str">
            <v>Noram</v>
          </cell>
          <cell r="F38">
            <v>38</v>
          </cell>
        </row>
        <row r="39">
          <cell r="A39">
            <v>35034</v>
          </cell>
          <cell r="B39">
            <v>40</v>
          </cell>
          <cell r="D39" t="str">
            <v>NOR-EAST</v>
          </cell>
          <cell r="E39" t="str">
            <v>Noram East</v>
          </cell>
          <cell r="F39">
            <v>39</v>
          </cell>
        </row>
        <row r="40">
          <cell r="A40">
            <v>35065</v>
          </cell>
          <cell r="B40">
            <v>41</v>
          </cell>
          <cell r="D40" t="str">
            <v>NOR-WEST</v>
          </cell>
          <cell r="E40" t="str">
            <v>Noram West</v>
          </cell>
          <cell r="F40">
            <v>40</v>
          </cell>
        </row>
        <row r="41">
          <cell r="A41">
            <v>35096</v>
          </cell>
          <cell r="B41">
            <v>42</v>
          </cell>
          <cell r="D41" t="str">
            <v>NWPL-CAN</v>
          </cell>
          <cell r="E41" t="str">
            <v>Northwest-Canada</v>
          </cell>
          <cell r="F41">
            <v>41</v>
          </cell>
        </row>
        <row r="42">
          <cell r="A42">
            <v>35125</v>
          </cell>
          <cell r="B42">
            <v>43</v>
          </cell>
          <cell r="D42" t="str">
            <v>NWPL-ROCK</v>
          </cell>
          <cell r="E42" t="str">
            <v>Northwest-Rock Mtn</v>
          </cell>
          <cell r="F42">
            <v>42</v>
          </cell>
        </row>
        <row r="43">
          <cell r="A43">
            <v>35156</v>
          </cell>
          <cell r="B43">
            <v>44</v>
          </cell>
          <cell r="D43" t="str">
            <v>ONG-OKL</v>
          </cell>
          <cell r="E43" t="str">
            <v>ONG-Oklahoma</v>
          </cell>
          <cell r="F43">
            <v>43</v>
          </cell>
        </row>
        <row r="44">
          <cell r="A44">
            <v>35186</v>
          </cell>
          <cell r="B44">
            <v>45</v>
          </cell>
          <cell r="D44" t="str">
            <v>PEPL-FZ</v>
          </cell>
          <cell r="E44" t="str">
            <v>Panhandle-Field Zone</v>
          </cell>
          <cell r="F44">
            <v>44</v>
          </cell>
        </row>
        <row r="45">
          <cell r="A45">
            <v>35217</v>
          </cell>
          <cell r="B45">
            <v>46</v>
          </cell>
          <cell r="D45" t="str">
            <v>QUEST</v>
          </cell>
          <cell r="E45" t="str">
            <v>Questar</v>
          </cell>
          <cell r="F45">
            <v>45</v>
          </cell>
        </row>
        <row r="46">
          <cell r="A46">
            <v>35247</v>
          </cell>
          <cell r="B46">
            <v>47</v>
          </cell>
          <cell r="D46" t="str">
            <v>NGI-Socal</v>
          </cell>
          <cell r="E46" t="str">
            <v>So Cal Border</v>
          </cell>
          <cell r="F46">
            <v>46</v>
          </cell>
        </row>
        <row r="47">
          <cell r="A47">
            <v>35278</v>
          </cell>
          <cell r="B47">
            <v>48</v>
          </cell>
          <cell r="D47" t="str">
            <v>SONAT-LA</v>
          </cell>
          <cell r="E47" t="str">
            <v>Southern-Louisiana</v>
          </cell>
          <cell r="F47">
            <v>47</v>
          </cell>
        </row>
        <row r="48">
          <cell r="A48">
            <v>35309</v>
          </cell>
          <cell r="B48">
            <v>49</v>
          </cell>
          <cell r="D48" t="str">
            <v>TANG</v>
          </cell>
          <cell r="E48" t="str">
            <v>Transamerican</v>
          </cell>
          <cell r="F48">
            <v>48</v>
          </cell>
        </row>
        <row r="49">
          <cell r="A49">
            <v>35339</v>
          </cell>
          <cell r="B49">
            <v>50</v>
          </cell>
          <cell r="D49" t="str">
            <v>TENN-Z0</v>
          </cell>
          <cell r="E49" t="str">
            <v>Tennessee-Zone 0</v>
          </cell>
          <cell r="F49">
            <v>49</v>
          </cell>
        </row>
        <row r="50">
          <cell r="A50">
            <v>35370</v>
          </cell>
          <cell r="B50">
            <v>51</v>
          </cell>
          <cell r="D50" t="str">
            <v>TENN-Z1</v>
          </cell>
          <cell r="E50" t="str">
            <v>Tennessee-Zone 1</v>
          </cell>
          <cell r="F50">
            <v>50</v>
          </cell>
        </row>
        <row r="51">
          <cell r="A51">
            <v>35400</v>
          </cell>
          <cell r="B51">
            <v>52</v>
          </cell>
          <cell r="D51" t="str">
            <v>TET-ELA</v>
          </cell>
          <cell r="E51" t="str">
            <v>Texas Eastern-ELA</v>
          </cell>
          <cell r="F51">
            <v>51</v>
          </cell>
        </row>
        <row r="52">
          <cell r="A52">
            <v>35431</v>
          </cell>
          <cell r="B52">
            <v>53</v>
          </cell>
          <cell r="D52" t="str">
            <v>TET-ETX</v>
          </cell>
          <cell r="E52" t="str">
            <v>Texas Eastern-ETX</v>
          </cell>
          <cell r="F52">
            <v>52</v>
          </cell>
        </row>
        <row r="53">
          <cell r="A53">
            <v>35462</v>
          </cell>
          <cell r="B53">
            <v>54</v>
          </cell>
          <cell r="D53" t="str">
            <v>TET-M3</v>
          </cell>
          <cell r="E53" t="str">
            <v>Texas Eastern-M3</v>
          </cell>
          <cell r="F53">
            <v>53</v>
          </cell>
        </row>
        <row r="54">
          <cell r="A54">
            <v>35490</v>
          </cell>
          <cell r="B54">
            <v>55</v>
          </cell>
          <cell r="D54" t="str">
            <v>TET-STX</v>
          </cell>
          <cell r="E54" t="str">
            <v>Texas Eastern-STX</v>
          </cell>
          <cell r="F54">
            <v>54</v>
          </cell>
        </row>
        <row r="55">
          <cell r="A55">
            <v>35521</v>
          </cell>
          <cell r="B55">
            <v>56</v>
          </cell>
          <cell r="D55" t="str">
            <v>TET-WLA</v>
          </cell>
          <cell r="E55" t="str">
            <v>Texas Eastern-WLA</v>
          </cell>
          <cell r="F55">
            <v>55</v>
          </cell>
        </row>
        <row r="56">
          <cell r="A56">
            <v>35551</v>
          </cell>
          <cell r="B56">
            <v>57</v>
          </cell>
          <cell r="D56" t="str">
            <v>TRAN-Z1</v>
          </cell>
          <cell r="E56" t="str">
            <v>Transco-Zone 1</v>
          </cell>
          <cell r="F56">
            <v>56</v>
          </cell>
        </row>
        <row r="57">
          <cell r="A57">
            <v>35582</v>
          </cell>
          <cell r="B57">
            <v>58</v>
          </cell>
          <cell r="D57" t="str">
            <v>TRAN-Z2</v>
          </cell>
          <cell r="E57" t="str">
            <v>Transco-Zone 2</v>
          </cell>
          <cell r="F57">
            <v>57</v>
          </cell>
        </row>
        <row r="58">
          <cell r="A58">
            <v>35612</v>
          </cell>
          <cell r="B58">
            <v>59</v>
          </cell>
          <cell r="D58" t="str">
            <v>TRAN-Z3</v>
          </cell>
          <cell r="E58" t="str">
            <v>Transco-Zone 3</v>
          </cell>
          <cell r="F58">
            <v>58</v>
          </cell>
        </row>
        <row r="59">
          <cell r="A59">
            <v>35643</v>
          </cell>
          <cell r="B59">
            <v>60</v>
          </cell>
          <cell r="D59" t="str">
            <v>TRAN-Z4</v>
          </cell>
          <cell r="E59" t="str">
            <v>Transco-Zone 4</v>
          </cell>
          <cell r="F59">
            <v>59</v>
          </cell>
        </row>
        <row r="60">
          <cell r="A60">
            <v>35674</v>
          </cell>
          <cell r="B60">
            <v>61</v>
          </cell>
          <cell r="D60" t="str">
            <v>TRAN-Z6</v>
          </cell>
          <cell r="E60" t="str">
            <v>Transco-Zone 6</v>
          </cell>
          <cell r="F60">
            <v>60</v>
          </cell>
        </row>
        <row r="61">
          <cell r="A61">
            <v>35704</v>
          </cell>
          <cell r="B61">
            <v>62</v>
          </cell>
          <cell r="D61" t="str">
            <v>TRUNK-FZ</v>
          </cell>
          <cell r="E61" t="str">
            <v>Trunkline-Field Zone</v>
          </cell>
          <cell r="F61">
            <v>61</v>
          </cell>
        </row>
        <row r="62">
          <cell r="A62">
            <v>35735</v>
          </cell>
          <cell r="B62">
            <v>63</v>
          </cell>
          <cell r="D62" t="str">
            <v>TRUNK-LA</v>
          </cell>
          <cell r="E62" t="str">
            <v>Trunkline-Louisiana</v>
          </cell>
          <cell r="F62">
            <v>62</v>
          </cell>
        </row>
        <row r="63">
          <cell r="A63">
            <v>35765</v>
          </cell>
          <cell r="B63">
            <v>64</v>
          </cell>
          <cell r="D63" t="str">
            <v>TRUNK-TX</v>
          </cell>
          <cell r="E63" t="str">
            <v>Trunkline-Texas</v>
          </cell>
          <cell r="F63">
            <v>63</v>
          </cell>
        </row>
        <row r="64">
          <cell r="A64">
            <v>35796</v>
          </cell>
          <cell r="B64">
            <v>65</v>
          </cell>
          <cell r="D64" t="str">
            <v>TW-PERM</v>
          </cell>
          <cell r="E64" t="str">
            <v>Transwestern-Permian</v>
          </cell>
          <cell r="F64">
            <v>64</v>
          </cell>
        </row>
        <row r="65">
          <cell r="A65">
            <v>35827</v>
          </cell>
          <cell r="B65">
            <v>66</v>
          </cell>
          <cell r="D65" t="str">
            <v>TXG-Z1</v>
          </cell>
          <cell r="E65" t="str">
            <v>Texas Gas-Zone 1</v>
          </cell>
          <cell r="F65">
            <v>65</v>
          </cell>
        </row>
        <row r="66">
          <cell r="A66">
            <v>35855</v>
          </cell>
          <cell r="B66">
            <v>67</v>
          </cell>
          <cell r="D66" t="str">
            <v>TXG-ZSL</v>
          </cell>
          <cell r="E66" t="str">
            <v>Texas Gas-Zone SL</v>
          </cell>
          <cell r="F66">
            <v>66</v>
          </cell>
        </row>
        <row r="67">
          <cell r="A67">
            <v>35886</v>
          </cell>
          <cell r="B67">
            <v>68</v>
          </cell>
          <cell r="D67" t="str">
            <v>VAL-TX</v>
          </cell>
          <cell r="E67" t="str">
            <v>Valero-TX</v>
          </cell>
          <cell r="F67">
            <v>67</v>
          </cell>
        </row>
        <row r="68">
          <cell r="A68">
            <v>35916</v>
          </cell>
          <cell r="B68">
            <v>69</v>
          </cell>
          <cell r="D68" t="str">
            <v>KRS (SOCAL)-NGI</v>
          </cell>
          <cell r="E68" t="str">
            <v>Kern River Station</v>
          </cell>
          <cell r="F68">
            <v>68</v>
          </cell>
        </row>
        <row r="69">
          <cell r="A69">
            <v>35947</v>
          </cell>
          <cell r="B69">
            <v>70</v>
          </cell>
        </row>
        <row r="70">
          <cell r="A70">
            <v>35977</v>
          </cell>
          <cell r="B70">
            <v>71</v>
          </cell>
        </row>
        <row r="71">
          <cell r="A71">
            <v>36008</v>
          </cell>
          <cell r="B71">
            <v>72</v>
          </cell>
        </row>
        <row r="72">
          <cell r="A72">
            <v>36039</v>
          </cell>
          <cell r="B72">
            <v>73</v>
          </cell>
        </row>
        <row r="73">
          <cell r="A73">
            <v>36069</v>
          </cell>
          <cell r="B73">
            <v>74</v>
          </cell>
        </row>
        <row r="74">
          <cell r="A74">
            <v>36100</v>
          </cell>
          <cell r="B74">
            <v>75</v>
          </cell>
        </row>
        <row r="75">
          <cell r="A75">
            <v>36130</v>
          </cell>
          <cell r="B75">
            <v>76</v>
          </cell>
        </row>
        <row r="76">
          <cell r="A76">
            <v>36161</v>
          </cell>
          <cell r="B76">
            <v>77</v>
          </cell>
        </row>
        <row r="77">
          <cell r="A77">
            <v>36192</v>
          </cell>
          <cell r="B77">
            <v>78</v>
          </cell>
        </row>
        <row r="78">
          <cell r="A78">
            <v>36220</v>
          </cell>
          <cell r="B78">
            <v>79</v>
          </cell>
        </row>
        <row r="79">
          <cell r="A79">
            <v>36251</v>
          </cell>
          <cell r="B79">
            <v>80</v>
          </cell>
        </row>
        <row r="80">
          <cell r="A80">
            <v>36281</v>
          </cell>
          <cell r="B80">
            <v>81</v>
          </cell>
        </row>
        <row r="81">
          <cell r="A81">
            <v>36312</v>
          </cell>
          <cell r="B81">
            <v>82</v>
          </cell>
        </row>
        <row r="82">
          <cell r="A82">
            <v>36342</v>
          </cell>
          <cell r="B82">
            <v>83</v>
          </cell>
        </row>
        <row r="83">
          <cell r="A83">
            <v>36373</v>
          </cell>
          <cell r="B83">
            <v>84</v>
          </cell>
        </row>
        <row r="84">
          <cell r="A84">
            <v>36404</v>
          </cell>
          <cell r="B84">
            <v>85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DWtoGTdirectSetup_"/>
      <sheetName val="_UnregulatedCurves_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C43"/>
  <sheetViews>
    <sheetView showGridLines="0" tabSelected="1" workbookViewId="0">
      <selection sqref="A1:A6"/>
    </sheetView>
  </sheetViews>
  <sheetFormatPr defaultColWidth="8.88671875" defaultRowHeight="15.75" x14ac:dyDescent="0.25"/>
  <cols>
    <col min="1" max="1" width="8.88671875" style="1"/>
    <col min="2" max="2" width="15.5546875" style="1" bestFit="1" customWidth="1"/>
    <col min="3" max="3" width="9.5546875" style="1" bestFit="1" customWidth="1"/>
    <col min="4" max="16384" width="8.88671875" style="1"/>
  </cols>
  <sheetData>
    <row r="1" spans="1:3" x14ac:dyDescent="0.25">
      <c r="A1" s="108" t="s">
        <v>91</v>
      </c>
    </row>
    <row r="2" spans="1:3" x14ac:dyDescent="0.25">
      <c r="A2" s="108" t="s">
        <v>92</v>
      </c>
    </row>
    <row r="3" spans="1:3" x14ac:dyDescent="0.25">
      <c r="A3" s="108" t="s">
        <v>93</v>
      </c>
    </row>
    <row r="4" spans="1:3" x14ac:dyDescent="0.25">
      <c r="A4" s="108" t="s">
        <v>94</v>
      </c>
    </row>
    <row r="5" spans="1:3" s="107" customFormat="1" x14ac:dyDescent="0.25">
      <c r="A5" s="108" t="s">
        <v>96</v>
      </c>
    </row>
    <row r="6" spans="1:3" s="107" customFormat="1" x14ac:dyDescent="0.25">
      <c r="A6" s="108" t="s">
        <v>95</v>
      </c>
    </row>
    <row r="8" spans="1:3" x14ac:dyDescent="0.25">
      <c r="B8" s="4" t="s">
        <v>13</v>
      </c>
      <c r="C8" s="4" t="s">
        <v>2</v>
      </c>
    </row>
    <row r="9" spans="1:3" x14ac:dyDescent="0.25">
      <c r="B9" s="6" t="s">
        <v>9</v>
      </c>
      <c r="C9" s="109">
        <v>2</v>
      </c>
    </row>
    <row r="10" spans="1:3" x14ac:dyDescent="0.25">
      <c r="B10" s="6" t="s">
        <v>8</v>
      </c>
      <c r="C10" s="111"/>
    </row>
    <row r="11" spans="1:3" x14ac:dyDescent="0.25">
      <c r="B11" s="5" t="s">
        <v>7</v>
      </c>
      <c r="C11" s="110"/>
    </row>
    <row r="14" spans="1:3" x14ac:dyDescent="0.25">
      <c r="B14" s="4" t="s">
        <v>12</v>
      </c>
      <c r="C14" s="4" t="s">
        <v>2</v>
      </c>
    </row>
    <row r="15" spans="1:3" x14ac:dyDescent="0.25">
      <c r="B15" s="6" t="s">
        <v>9</v>
      </c>
      <c r="C15" s="109">
        <v>2</v>
      </c>
    </row>
    <row r="16" spans="1:3" x14ac:dyDescent="0.25">
      <c r="B16" s="6" t="s">
        <v>8</v>
      </c>
      <c r="C16" s="111"/>
    </row>
    <row r="17" spans="2:3" x14ac:dyDescent="0.25">
      <c r="B17" s="5" t="s">
        <v>7</v>
      </c>
      <c r="C17" s="110"/>
    </row>
    <row r="20" spans="2:3" x14ac:dyDescent="0.25">
      <c r="B20" s="4" t="s">
        <v>3</v>
      </c>
      <c r="C20" s="4" t="s">
        <v>2</v>
      </c>
    </row>
    <row r="21" spans="2:3" x14ac:dyDescent="0.25">
      <c r="B21" s="6" t="s">
        <v>9</v>
      </c>
      <c r="C21" s="109">
        <v>2</v>
      </c>
    </row>
    <row r="22" spans="2:3" x14ac:dyDescent="0.25">
      <c r="B22" s="6" t="s">
        <v>8</v>
      </c>
      <c r="C22" s="111"/>
    </row>
    <row r="23" spans="2:3" x14ac:dyDescent="0.25">
      <c r="B23" s="5" t="s">
        <v>7</v>
      </c>
      <c r="C23" s="110"/>
    </row>
    <row r="26" spans="2:3" x14ac:dyDescent="0.25">
      <c r="B26" s="7" t="s">
        <v>11</v>
      </c>
      <c r="C26" s="7" t="s">
        <v>2</v>
      </c>
    </row>
    <row r="27" spans="2:3" x14ac:dyDescent="0.25">
      <c r="B27" s="3" t="s">
        <v>5</v>
      </c>
      <c r="C27" s="109">
        <v>1</v>
      </c>
    </row>
    <row r="28" spans="2:3" x14ac:dyDescent="0.25">
      <c r="B28" s="2" t="s">
        <v>4</v>
      </c>
      <c r="C28" s="110"/>
    </row>
    <row r="31" spans="2:3" x14ac:dyDescent="0.25">
      <c r="B31" s="4" t="s">
        <v>10</v>
      </c>
      <c r="C31" s="4" t="s">
        <v>2</v>
      </c>
    </row>
    <row r="32" spans="2:3" x14ac:dyDescent="0.25">
      <c r="B32" s="6" t="s">
        <v>9</v>
      </c>
      <c r="C32" s="109">
        <v>2</v>
      </c>
    </row>
    <row r="33" spans="2:3" x14ac:dyDescent="0.25">
      <c r="B33" s="6" t="s">
        <v>8</v>
      </c>
      <c r="C33" s="111"/>
    </row>
    <row r="34" spans="2:3" x14ac:dyDescent="0.25">
      <c r="B34" s="5" t="s">
        <v>7</v>
      </c>
      <c r="C34" s="110"/>
    </row>
    <row r="37" spans="2:3" x14ac:dyDescent="0.25">
      <c r="B37" s="4" t="s">
        <v>6</v>
      </c>
      <c r="C37" s="4" t="s">
        <v>2</v>
      </c>
    </row>
    <row r="38" spans="2:3" x14ac:dyDescent="0.25">
      <c r="B38" s="3" t="s">
        <v>5</v>
      </c>
      <c r="C38" s="109">
        <v>1</v>
      </c>
    </row>
    <row r="39" spans="2:3" x14ac:dyDescent="0.25">
      <c r="B39" s="2" t="s">
        <v>4</v>
      </c>
      <c r="C39" s="110"/>
    </row>
    <row r="41" spans="2:3" x14ac:dyDescent="0.25">
      <c r="B41" s="4" t="s">
        <v>3</v>
      </c>
      <c r="C41" s="4" t="s">
        <v>2</v>
      </c>
    </row>
    <row r="42" spans="2:3" x14ac:dyDescent="0.25">
      <c r="B42" s="3" t="s">
        <v>1</v>
      </c>
      <c r="C42" s="109">
        <v>1</v>
      </c>
    </row>
    <row r="43" spans="2:3" x14ac:dyDescent="0.25">
      <c r="B43" s="2" t="s">
        <v>0</v>
      </c>
      <c r="C43" s="110"/>
    </row>
  </sheetData>
  <mergeCells count="7">
    <mergeCell ref="C42:C43"/>
    <mergeCell ref="C32:C34"/>
    <mergeCell ref="C38:C39"/>
    <mergeCell ref="C9:C11"/>
    <mergeCell ref="C15:C17"/>
    <mergeCell ref="C21:C23"/>
    <mergeCell ref="C27:C28"/>
  </mergeCells>
  <pageMargins left="0.25" right="0.25" top="0.5" bottom="0.5" header="0.25" footer="0.25"/>
  <pageSetup scale="70" orientation="landscape" r:id="rId1"/>
  <headerFooter alignWithMargins="0">
    <oddFooter>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/>
  <dimension ref="A1:S1158"/>
  <sheetViews>
    <sheetView zoomScale="70" workbookViewId="0">
      <pane xSplit="1" ySplit="13" topLeftCell="B14" activePane="bottomRight" state="frozen"/>
      <selection sqref="A1:XFD4"/>
      <selection pane="topRight" sqref="A1:XFD4"/>
      <selection pane="bottomLeft" sqref="A1:XFD4"/>
      <selection pane="bottomRight" activeCell="B14" sqref="B14"/>
    </sheetView>
  </sheetViews>
  <sheetFormatPr defaultColWidth="7.109375" defaultRowHeight="12.75" x14ac:dyDescent="0.2"/>
  <cols>
    <col min="1" max="1" width="14.5546875" style="8" customWidth="1"/>
    <col min="2" max="2" width="19" style="8" customWidth="1"/>
    <col min="3" max="3" width="16.109375" style="8" customWidth="1"/>
    <col min="4" max="4" width="20.21875" style="8" customWidth="1"/>
    <col min="5" max="5" width="20.6640625" style="8" customWidth="1"/>
    <col min="6" max="6" width="16.109375" style="8" customWidth="1"/>
    <col min="7" max="9" width="20" style="8" customWidth="1"/>
    <col min="10" max="10" width="16.109375" style="8" customWidth="1"/>
    <col min="11" max="13" width="19.109375" style="8" customWidth="1"/>
    <col min="14" max="14" width="16.109375" style="8" customWidth="1"/>
    <col min="15" max="15" width="19.77734375" style="8" customWidth="1"/>
    <col min="16" max="16" width="16.109375" style="8" customWidth="1"/>
    <col min="17" max="19" width="17.6640625" style="8" customWidth="1"/>
    <col min="20" max="16384" width="7.109375" style="8"/>
  </cols>
  <sheetData>
    <row r="1" spans="1:19" ht="15.75" x14ac:dyDescent="0.25">
      <c r="A1" s="108" t="s">
        <v>91</v>
      </c>
    </row>
    <row r="2" spans="1:19" ht="15.75" x14ac:dyDescent="0.25">
      <c r="A2" s="108" t="s">
        <v>92</v>
      </c>
    </row>
    <row r="3" spans="1:19" ht="15.75" x14ac:dyDescent="0.25">
      <c r="A3" s="108" t="s">
        <v>93</v>
      </c>
    </row>
    <row r="4" spans="1:19" ht="15.75" x14ac:dyDescent="0.25">
      <c r="A4" s="108" t="s">
        <v>94</v>
      </c>
    </row>
    <row r="5" spans="1:19" ht="15.75" x14ac:dyDescent="0.25">
      <c r="A5" s="108" t="s">
        <v>96</v>
      </c>
    </row>
    <row r="6" spans="1:19" ht="15.75" x14ac:dyDescent="0.25">
      <c r="A6" s="108" t="s">
        <v>97</v>
      </c>
    </row>
    <row r="7" spans="1:19" ht="20.25" x14ac:dyDescent="0.3">
      <c r="A7" s="30"/>
    </row>
    <row r="8" spans="1:19" ht="18" x14ac:dyDescent="0.25">
      <c r="A8" s="29" t="s">
        <v>27</v>
      </c>
      <c r="B8" s="29"/>
      <c r="H8" s="26" t="s">
        <v>26</v>
      </c>
    </row>
    <row r="9" spans="1:19" ht="18" x14ac:dyDescent="0.25">
      <c r="A9" s="29"/>
      <c r="B9" s="28" t="s">
        <v>25</v>
      </c>
      <c r="C9" s="27">
        <f>1-0.154</f>
        <v>0.84599999999999997</v>
      </c>
      <c r="D9" s="28" t="s">
        <v>24</v>
      </c>
      <c r="E9" s="27">
        <f>1+0.154</f>
        <v>1.1539999999999999</v>
      </c>
      <c r="H9" s="26"/>
      <c r="P9" s="113"/>
      <c r="Q9" s="113"/>
      <c r="R9" s="113"/>
      <c r="S9" s="113"/>
    </row>
    <row r="10" spans="1:19" ht="15.75" x14ac:dyDescent="0.25">
      <c r="B10" s="112" t="s">
        <v>23</v>
      </c>
      <c r="C10" s="112"/>
      <c r="D10" s="112"/>
      <c r="E10" s="114" t="s">
        <v>22</v>
      </c>
      <c r="F10" s="114"/>
      <c r="G10" s="115"/>
      <c r="H10" s="116" t="s">
        <v>21</v>
      </c>
      <c r="I10" s="116"/>
      <c r="J10" s="116"/>
      <c r="K10" s="116"/>
      <c r="L10" s="115" t="s">
        <v>20</v>
      </c>
      <c r="M10" s="115"/>
      <c r="N10" s="115"/>
      <c r="O10" s="115"/>
      <c r="P10" s="113"/>
      <c r="Q10" s="113"/>
      <c r="R10" s="113"/>
      <c r="S10" s="113"/>
    </row>
    <row r="11" spans="1:19" ht="63" x14ac:dyDescent="0.25">
      <c r="B11" s="25" t="s">
        <v>19</v>
      </c>
      <c r="C11" s="24" t="s">
        <v>17</v>
      </c>
      <c r="D11" s="23" t="s">
        <v>16</v>
      </c>
      <c r="E11" s="25" t="s">
        <v>19</v>
      </c>
      <c r="F11" s="24" t="s">
        <v>17</v>
      </c>
      <c r="G11" s="23" t="s">
        <v>16</v>
      </c>
      <c r="H11" s="25" t="s">
        <v>19</v>
      </c>
      <c r="I11" s="25" t="s">
        <v>18</v>
      </c>
      <c r="J11" s="24" t="s">
        <v>17</v>
      </c>
      <c r="K11" s="23" t="s">
        <v>16</v>
      </c>
      <c r="L11" s="25" t="s">
        <v>19</v>
      </c>
      <c r="M11" s="25" t="s">
        <v>18</v>
      </c>
      <c r="N11" s="24" t="s">
        <v>17</v>
      </c>
      <c r="O11" s="23" t="s">
        <v>16</v>
      </c>
      <c r="P11" s="22"/>
      <c r="Q11" s="18"/>
      <c r="R11" s="18"/>
      <c r="S11" s="18"/>
    </row>
    <row r="12" spans="1:19" ht="13.5" customHeight="1" x14ac:dyDescent="0.25">
      <c r="B12" s="21"/>
      <c r="C12" s="20"/>
      <c r="D12" s="19"/>
      <c r="E12" s="21"/>
      <c r="F12" s="20"/>
      <c r="G12" s="19"/>
      <c r="H12" s="21"/>
      <c r="I12" s="21"/>
      <c r="J12" s="20"/>
      <c r="K12" s="19"/>
      <c r="L12" s="21"/>
      <c r="M12" s="21"/>
      <c r="N12" s="20"/>
      <c r="O12" s="19"/>
      <c r="P12" s="18"/>
      <c r="Q12" s="17"/>
      <c r="R12" s="17"/>
      <c r="S12" s="17"/>
    </row>
    <row r="13" spans="1:19" ht="20.25" x14ac:dyDescent="0.55000000000000004">
      <c r="A13" s="16" t="s">
        <v>15</v>
      </c>
      <c r="B13" s="15" t="s">
        <v>14</v>
      </c>
      <c r="C13" s="15" t="s">
        <v>14</v>
      </c>
      <c r="D13" s="15" t="s">
        <v>14</v>
      </c>
      <c r="E13" s="15" t="s">
        <v>14</v>
      </c>
      <c r="F13" s="15" t="s">
        <v>14</v>
      </c>
      <c r="G13" s="15" t="s">
        <v>14</v>
      </c>
      <c r="H13" s="15" t="s">
        <v>14</v>
      </c>
      <c r="I13" s="15" t="s">
        <v>14</v>
      </c>
      <c r="J13" s="15" t="s">
        <v>14</v>
      </c>
      <c r="K13" s="15" t="s">
        <v>14</v>
      </c>
      <c r="L13" s="15" t="s">
        <v>14</v>
      </c>
      <c r="M13" s="15" t="s">
        <v>14</v>
      </c>
      <c r="N13" s="15" t="s">
        <v>14</v>
      </c>
      <c r="O13" s="15" t="s">
        <v>14</v>
      </c>
      <c r="P13" s="15"/>
      <c r="Q13" s="15"/>
      <c r="R13" s="15"/>
      <c r="S13" s="15"/>
    </row>
    <row r="14" spans="1:19" ht="15" x14ac:dyDescent="0.2">
      <c r="A14" s="13">
        <v>41275</v>
      </c>
      <c r="B14" s="9">
        <f>2.2699 * CHOOSE(CONTROL!$C$32, $C$9, 100%, $E$9)</f>
        <v>2.2698999999999998</v>
      </c>
      <c r="C14" s="9">
        <f>2.2008 * CHOOSE(CONTROL!$C$32, $C$9, 100%, $E$9)</f>
        <v>2.2008000000000001</v>
      </c>
      <c r="D14" s="9">
        <f>2.2397 * CHOOSE(CONTROL!$C$32, $C$9, 100%, $E$9)</f>
        <v>2.2397</v>
      </c>
      <c r="E14" s="11">
        <f>3.5217 * CHOOSE(CONTROL!$C$32, $C$9, 100%, $E$9)</f>
        <v>3.5217000000000001</v>
      </c>
      <c r="F14" s="11">
        <f>3.0912 * CHOOSE(CONTROL!$C$32, $C$9, 100%, $E$9)</f>
        <v>3.0912000000000002</v>
      </c>
      <c r="G14" s="11">
        <f>3.1041 * CHOOSE(CONTROL!$C$32, $C$9, 100%, $E$9)</f>
        <v>3.1040999999999999</v>
      </c>
      <c r="H14" s="11">
        <f>5.79 * CHOOSE(CONTROL!$C$32, $C$9, 100%, $E$9)</f>
        <v>5.79</v>
      </c>
      <c r="I14" s="11">
        <f>5.8029 * CHOOSE(CONTROL!$C$32, $C$9, 100%, $E$9)</f>
        <v>5.8029000000000002</v>
      </c>
      <c r="J14" s="11">
        <f>5.79 * CHOOSE(CONTROL!$C$32, $C$9, 100%, $E$9)</f>
        <v>5.79</v>
      </c>
      <c r="K14" s="11">
        <f>5.8029 * CHOOSE(CONTROL!$C$32, $C$9, 100%, $E$9)</f>
        <v>5.8029000000000002</v>
      </c>
      <c r="L14" s="11">
        <f>3.5217 * CHOOSE(CONTROL!$C$32, $C$9, 100%, $E$9)</f>
        <v>3.5217000000000001</v>
      </c>
      <c r="M14" s="11">
        <f>3.5347 * CHOOSE(CONTROL!$C$32, $C$9, 100%, $E$9)</f>
        <v>3.5347</v>
      </c>
      <c r="N14" s="11">
        <f>3.5217 * CHOOSE(CONTROL!$C$32, $C$9, 100%, $E$9)</f>
        <v>3.5217000000000001</v>
      </c>
      <c r="O14" s="11">
        <f>3.5347 * CHOOSE(CONTROL!$C$32, $C$9, 100%, $E$9)</f>
        <v>3.5347</v>
      </c>
      <c r="P14" s="14"/>
      <c r="Q14" s="11"/>
      <c r="R14" s="11"/>
    </row>
    <row r="15" spans="1:19" ht="15" x14ac:dyDescent="0.2">
      <c r="A15" s="13">
        <v>41306</v>
      </c>
      <c r="B15" s="9">
        <f>2.2758 * CHOOSE(CONTROL!$C$32, $C$9, 100%, $E$9)</f>
        <v>2.2757999999999998</v>
      </c>
      <c r="C15" s="9">
        <f>2.2117 * CHOOSE(CONTROL!$C$32, $C$9, 100%, $E$9)</f>
        <v>2.2117</v>
      </c>
      <c r="D15" s="9">
        <f>2.2506 * CHOOSE(CONTROL!$C$32, $C$9, 100%, $E$9)</f>
        <v>2.2505999999999999</v>
      </c>
      <c r="E15" s="11">
        <f>3.4548 * CHOOSE(CONTROL!$C$32, $C$9, 100%, $E$9)</f>
        <v>3.4548000000000001</v>
      </c>
      <c r="F15" s="11">
        <f>3.0912 * CHOOSE(CONTROL!$C$32, $C$9, 100%, $E$9)</f>
        <v>3.0912000000000002</v>
      </c>
      <c r="G15" s="11">
        <f>3.1041 * CHOOSE(CONTROL!$C$32, $C$9, 100%, $E$9)</f>
        <v>3.1040999999999999</v>
      </c>
      <c r="H15" s="11">
        <f>5.79 * CHOOSE(CONTROL!$C$32, $C$9, 100%, $E$9)</f>
        <v>5.79</v>
      </c>
      <c r="I15" s="11">
        <f>5.8029 * CHOOSE(CONTROL!$C$32, $C$9, 100%, $E$9)</f>
        <v>5.8029000000000002</v>
      </c>
      <c r="J15" s="11">
        <f>5.79 * CHOOSE(CONTROL!$C$32, $C$9, 100%, $E$9)</f>
        <v>5.79</v>
      </c>
      <c r="K15" s="11">
        <f>5.8029 * CHOOSE(CONTROL!$C$32, $C$9, 100%, $E$9)</f>
        <v>5.8029000000000002</v>
      </c>
      <c r="L15" s="11">
        <f>3.4548 * CHOOSE(CONTROL!$C$32, $C$9, 100%, $E$9)</f>
        <v>3.4548000000000001</v>
      </c>
      <c r="M15" s="11">
        <f>3.4678 * CHOOSE(CONTROL!$C$32, $C$9, 100%, $E$9)</f>
        <v>3.4678</v>
      </c>
      <c r="N15" s="11">
        <f>3.4548 * CHOOSE(CONTROL!$C$32, $C$9, 100%, $E$9)</f>
        <v>3.4548000000000001</v>
      </c>
      <c r="O15" s="11">
        <f>3.4678 * CHOOSE(CONTROL!$C$32, $C$9, 100%, $E$9)</f>
        <v>3.4678</v>
      </c>
      <c r="P15" s="14"/>
      <c r="Q15" s="11"/>
      <c r="R15" s="11"/>
    </row>
    <row r="16" spans="1:19" ht="15" x14ac:dyDescent="0.2">
      <c r="A16" s="13">
        <v>41334</v>
      </c>
      <c r="B16" s="9">
        <f>2.2895 * CHOOSE(CONTROL!$C$32, $C$9, 100%, $E$9)</f>
        <v>2.2894999999999999</v>
      </c>
      <c r="C16" s="9">
        <f>2.2178 * CHOOSE(CONTROL!$C$32, $C$9, 100%, $E$9)</f>
        <v>2.2178</v>
      </c>
      <c r="D16" s="9">
        <f>2.2567 * CHOOSE(CONTROL!$C$32, $C$9, 100%, $E$9)</f>
        <v>2.2566999999999999</v>
      </c>
      <c r="E16" s="11">
        <f>3.4548 * CHOOSE(CONTROL!$C$32, $C$9, 100%, $E$9)</f>
        <v>3.4548000000000001</v>
      </c>
      <c r="F16" s="11">
        <f>3.0866 * CHOOSE(CONTROL!$C$32, $C$9, 100%, $E$9)</f>
        <v>3.0865999999999998</v>
      </c>
      <c r="G16" s="11">
        <f>3.0996 * CHOOSE(CONTROL!$C$32, $C$9, 100%, $E$9)</f>
        <v>3.0996000000000001</v>
      </c>
      <c r="H16" s="11">
        <f>5.79 * CHOOSE(CONTROL!$C$32, $C$9, 100%, $E$9)</f>
        <v>5.79</v>
      </c>
      <c r="I16" s="11">
        <f>5.8029 * CHOOSE(CONTROL!$C$32, $C$9, 100%, $E$9)</f>
        <v>5.8029000000000002</v>
      </c>
      <c r="J16" s="11">
        <f>5.79 * CHOOSE(CONTROL!$C$32, $C$9, 100%, $E$9)</f>
        <v>5.79</v>
      </c>
      <c r="K16" s="11">
        <f>5.8029 * CHOOSE(CONTROL!$C$32, $C$9, 100%, $E$9)</f>
        <v>5.8029000000000002</v>
      </c>
      <c r="L16" s="11">
        <f>3.4548 * CHOOSE(CONTROL!$C$32, $C$9, 100%, $E$9)</f>
        <v>3.4548000000000001</v>
      </c>
      <c r="M16" s="11">
        <f>3.4678 * CHOOSE(CONTROL!$C$32, $C$9, 100%, $E$9)</f>
        <v>3.4678</v>
      </c>
      <c r="N16" s="11">
        <f>3.4548 * CHOOSE(CONTROL!$C$32, $C$9, 100%, $E$9)</f>
        <v>3.4548000000000001</v>
      </c>
      <c r="O16" s="11">
        <f>3.4678 * CHOOSE(CONTROL!$C$32, $C$9, 100%, $E$9)</f>
        <v>3.4678</v>
      </c>
      <c r="P16" s="14"/>
      <c r="Q16" s="11"/>
      <c r="R16" s="11"/>
    </row>
    <row r="17" spans="1:18" ht="15" x14ac:dyDescent="0.2">
      <c r="A17" s="13">
        <v>41365</v>
      </c>
      <c r="B17" s="9">
        <f>2.2879 * CHOOSE(CONTROL!$C$32, $C$9, 100%, $E$9)</f>
        <v>2.2879</v>
      </c>
      <c r="C17" s="9">
        <f>2.1959 * CHOOSE(CONTROL!$C$32, $C$9, 100%, $E$9)</f>
        <v>2.1959</v>
      </c>
      <c r="D17" s="9">
        <f>2.2348 * CHOOSE(CONTROL!$C$32, $C$9, 100%, $E$9)</f>
        <v>2.2347999999999999</v>
      </c>
      <c r="E17" s="11">
        <f>3.4508 * CHOOSE(CONTROL!$C$32, $C$9, 100%, $E$9)</f>
        <v>3.4508000000000001</v>
      </c>
      <c r="F17" s="11">
        <f>3.0772 * CHOOSE(CONTROL!$C$32, $C$9, 100%, $E$9)</f>
        <v>3.0771999999999999</v>
      </c>
      <c r="G17" s="11">
        <f>3.0901 * CHOOSE(CONTROL!$C$32, $C$9, 100%, $E$9)</f>
        <v>3.0901000000000001</v>
      </c>
      <c r="H17" s="11">
        <f>5.829 * CHOOSE(CONTROL!$C$32, $C$9, 100%, $E$9)</f>
        <v>5.8289999999999997</v>
      </c>
      <c r="I17" s="11">
        <f>5.8419 * CHOOSE(CONTROL!$C$32, $C$9, 100%, $E$9)</f>
        <v>5.8418999999999999</v>
      </c>
      <c r="J17" s="11">
        <f>5.829 * CHOOSE(CONTROL!$C$32, $C$9, 100%, $E$9)</f>
        <v>5.8289999999999997</v>
      </c>
      <c r="K17" s="11">
        <f>5.8419 * CHOOSE(CONTROL!$C$32, $C$9, 100%, $E$9)</f>
        <v>5.8418999999999999</v>
      </c>
      <c r="L17" s="11">
        <f>3.4508 * CHOOSE(CONTROL!$C$32, $C$9, 100%, $E$9)</f>
        <v>3.4508000000000001</v>
      </c>
      <c r="M17" s="11">
        <f>3.4638 * CHOOSE(CONTROL!$C$32, $C$9, 100%, $E$9)</f>
        <v>3.4638</v>
      </c>
      <c r="N17" s="11">
        <f>3.4508 * CHOOSE(CONTROL!$C$32, $C$9, 100%, $E$9)</f>
        <v>3.4508000000000001</v>
      </c>
      <c r="O17" s="11">
        <f>3.4638 * CHOOSE(CONTROL!$C$32, $C$9, 100%, $E$9)</f>
        <v>3.4638</v>
      </c>
      <c r="P17" s="14"/>
      <c r="Q17" s="11"/>
      <c r="R17" s="11"/>
    </row>
    <row r="18" spans="1:18" ht="15" x14ac:dyDescent="0.2">
      <c r="A18" s="13">
        <v>41395</v>
      </c>
      <c r="B18" s="9">
        <f>2.2947 * CHOOSE(CONTROL!$C$32, $C$9, 100%, $E$9)</f>
        <v>2.2947000000000002</v>
      </c>
      <c r="C18" s="9">
        <f>2.19 * CHOOSE(CONTROL!$C$32, $C$9, 100%, $E$9)</f>
        <v>2.19</v>
      </c>
      <c r="D18" s="9">
        <f>2.2475 * CHOOSE(CONTROL!$C$32, $C$9, 100%, $E$9)</f>
        <v>2.2475000000000001</v>
      </c>
      <c r="E18" s="11">
        <f>3.4702 * CHOOSE(CONTROL!$C$32, $C$9, 100%, $E$9)</f>
        <v>3.4702000000000002</v>
      </c>
      <c r="F18" s="11">
        <f>3.084 * CHOOSE(CONTROL!$C$32, $C$9, 100%, $E$9)</f>
        <v>3.0840000000000001</v>
      </c>
      <c r="G18" s="11">
        <f>3.1031 * CHOOSE(CONTROL!$C$32, $C$9, 100%, $E$9)</f>
        <v>3.1031</v>
      </c>
      <c r="H18" s="11">
        <f>5.829 * CHOOSE(CONTROL!$C$32, $C$9, 100%, $E$9)</f>
        <v>5.8289999999999997</v>
      </c>
      <c r="I18" s="11">
        <f>5.8481 * CHOOSE(CONTROL!$C$32, $C$9, 100%, $E$9)</f>
        <v>5.8480999999999996</v>
      </c>
      <c r="J18" s="11">
        <f>5.829 * CHOOSE(CONTROL!$C$32, $C$9, 100%, $E$9)</f>
        <v>5.8289999999999997</v>
      </c>
      <c r="K18" s="11">
        <f>5.8481 * CHOOSE(CONTROL!$C$32, $C$9, 100%, $E$9)</f>
        <v>5.8480999999999996</v>
      </c>
      <c r="L18" s="11">
        <f>3.4702 * CHOOSE(CONTROL!$C$32, $C$9, 100%, $E$9)</f>
        <v>3.4702000000000002</v>
      </c>
      <c r="M18" s="11">
        <f>3.4892 * CHOOSE(CONTROL!$C$32, $C$9, 100%, $E$9)</f>
        <v>3.4891999999999999</v>
      </c>
      <c r="N18" s="11">
        <f>3.4702 * CHOOSE(CONTROL!$C$32, $C$9, 100%, $E$9)</f>
        <v>3.4702000000000002</v>
      </c>
      <c r="O18" s="11">
        <f>3.4892 * CHOOSE(CONTROL!$C$32, $C$9, 100%, $E$9)</f>
        <v>3.4891999999999999</v>
      </c>
      <c r="P18" s="14"/>
      <c r="Q18" s="11"/>
      <c r="R18" s="11"/>
    </row>
    <row r="19" spans="1:18" ht="15" x14ac:dyDescent="0.2">
      <c r="A19" s="13">
        <v>41426</v>
      </c>
      <c r="B19" s="9">
        <f>2.296 * CHOOSE(CONTROL!$C$32, $C$9, 100%, $E$9)</f>
        <v>2.2959999999999998</v>
      </c>
      <c r="C19" s="9">
        <f>2.1989 * CHOOSE(CONTROL!$C$32, $C$9, 100%, $E$9)</f>
        <v>2.1989000000000001</v>
      </c>
      <c r="D19" s="9">
        <f>2.2564 * CHOOSE(CONTROL!$C$32, $C$9, 100%, $E$9)</f>
        <v>2.2564000000000002</v>
      </c>
      <c r="E19" s="11">
        <f>3.4782 * CHOOSE(CONTROL!$C$32, $C$9, 100%, $E$9)</f>
        <v>3.4782000000000002</v>
      </c>
      <c r="F19" s="11">
        <f>3.109 * CHOOSE(CONTROL!$C$32, $C$9, 100%, $E$9)</f>
        <v>3.109</v>
      </c>
      <c r="G19" s="11">
        <f>3.1281 * CHOOSE(CONTROL!$C$32, $C$9, 100%, $E$9)</f>
        <v>3.1280999999999999</v>
      </c>
      <c r="H19" s="11">
        <f>5.829 * CHOOSE(CONTROL!$C$32, $C$9, 100%, $E$9)</f>
        <v>5.8289999999999997</v>
      </c>
      <c r="I19" s="11">
        <f>5.8481 * CHOOSE(CONTROL!$C$32, $C$9, 100%, $E$9)</f>
        <v>5.8480999999999996</v>
      </c>
      <c r="J19" s="11">
        <f>5.829 * CHOOSE(CONTROL!$C$32, $C$9, 100%, $E$9)</f>
        <v>5.8289999999999997</v>
      </c>
      <c r="K19" s="11">
        <f>5.8481 * CHOOSE(CONTROL!$C$32, $C$9, 100%, $E$9)</f>
        <v>5.8480999999999996</v>
      </c>
      <c r="L19" s="11">
        <f>3.4782 * CHOOSE(CONTROL!$C$32, $C$9, 100%, $E$9)</f>
        <v>3.4782000000000002</v>
      </c>
      <c r="M19" s="11">
        <f>3.4973 * CHOOSE(CONTROL!$C$32, $C$9, 100%, $E$9)</f>
        <v>3.4973000000000001</v>
      </c>
      <c r="N19" s="11">
        <f>3.4782 * CHOOSE(CONTROL!$C$32, $C$9, 100%, $E$9)</f>
        <v>3.4782000000000002</v>
      </c>
      <c r="O19" s="11">
        <f>3.4973 * CHOOSE(CONTROL!$C$32, $C$9, 100%, $E$9)</f>
        <v>3.4973000000000001</v>
      </c>
      <c r="P19" s="14"/>
      <c r="Q19" s="11"/>
      <c r="R19" s="11"/>
    </row>
    <row r="20" spans="1:18" ht="15" x14ac:dyDescent="0.2">
      <c r="A20" s="13">
        <v>41456</v>
      </c>
      <c r="B20" s="9">
        <f>2.3 * CHOOSE(CONTROL!$C$32, $C$9, 100%, $E$9)</f>
        <v>2.2999999999999998</v>
      </c>
      <c r="C20" s="9">
        <f>2.2233 * CHOOSE(CONTROL!$C$32, $C$9, 100%, $E$9)</f>
        <v>2.2233000000000001</v>
      </c>
      <c r="D20" s="9">
        <f>2.2808 * CHOOSE(CONTROL!$C$32, $C$9, 100%, $E$9)</f>
        <v>2.2808000000000002</v>
      </c>
      <c r="E20" s="11">
        <f>3.4973 * CHOOSE(CONTROL!$C$32, $C$9, 100%, $E$9)</f>
        <v>3.4973000000000001</v>
      </c>
      <c r="F20" s="11">
        <f>3.1418 * CHOOSE(CONTROL!$C$32, $C$9, 100%, $E$9)</f>
        <v>3.1417999999999999</v>
      </c>
      <c r="G20" s="11">
        <f>3.1609 * CHOOSE(CONTROL!$C$32, $C$9, 100%, $E$9)</f>
        <v>3.1608999999999998</v>
      </c>
      <c r="H20" s="11">
        <f>5.638 * CHOOSE(CONTROL!$C$32, $C$9, 100%, $E$9)</f>
        <v>5.6379999999999999</v>
      </c>
      <c r="I20" s="11">
        <f>5.6571 * CHOOSE(CONTROL!$C$32, $C$9, 100%, $E$9)</f>
        <v>5.6570999999999998</v>
      </c>
      <c r="J20" s="11">
        <f>5.638 * CHOOSE(CONTROL!$C$32, $C$9, 100%, $E$9)</f>
        <v>5.6379999999999999</v>
      </c>
      <c r="K20" s="11">
        <f>5.6571 * CHOOSE(CONTROL!$C$32, $C$9, 100%, $E$9)</f>
        <v>5.6570999999999998</v>
      </c>
      <c r="L20" s="11">
        <f>3.4973 * CHOOSE(CONTROL!$C$32, $C$9, 100%, $E$9)</f>
        <v>3.4973000000000001</v>
      </c>
      <c r="M20" s="11">
        <f>3.5163 * CHOOSE(CONTROL!$C$32, $C$9, 100%, $E$9)</f>
        <v>3.5163000000000002</v>
      </c>
      <c r="N20" s="11">
        <f>3.4973 * CHOOSE(CONTROL!$C$32, $C$9, 100%, $E$9)</f>
        <v>3.4973000000000001</v>
      </c>
      <c r="O20" s="11">
        <f>3.5163 * CHOOSE(CONTROL!$C$32, $C$9, 100%, $E$9)</f>
        <v>3.5163000000000002</v>
      </c>
      <c r="P20" s="14"/>
      <c r="Q20" s="11"/>
      <c r="R20" s="11"/>
    </row>
    <row r="21" spans="1:18" ht="15" x14ac:dyDescent="0.2">
      <c r="A21" s="13">
        <v>41487</v>
      </c>
      <c r="B21" s="9">
        <f>2.3085 * CHOOSE(CONTROL!$C$32, $C$9, 100%, $E$9)</f>
        <v>2.3085</v>
      </c>
      <c r="C21" s="9">
        <f>2.2521 * CHOOSE(CONTROL!$C$32, $C$9, 100%, $E$9)</f>
        <v>2.2521</v>
      </c>
      <c r="D21" s="9">
        <f>2.3096 * CHOOSE(CONTROL!$C$32, $C$9, 100%, $E$9)</f>
        <v>2.3096000000000001</v>
      </c>
      <c r="E21" s="11">
        <f>3.499 * CHOOSE(CONTROL!$C$32, $C$9, 100%, $E$9)</f>
        <v>3.4990000000000001</v>
      </c>
      <c r="F21" s="11">
        <f>3.1759 * CHOOSE(CONTROL!$C$32, $C$9, 100%, $E$9)</f>
        <v>3.1758999999999999</v>
      </c>
      <c r="G21" s="11">
        <f>3.195 * CHOOSE(CONTROL!$C$32, $C$9, 100%, $E$9)</f>
        <v>3.1949999999999998</v>
      </c>
      <c r="H21" s="11">
        <f>5.638 * CHOOSE(CONTROL!$C$32, $C$9, 100%, $E$9)</f>
        <v>5.6379999999999999</v>
      </c>
      <c r="I21" s="11">
        <f>5.6571 * CHOOSE(CONTROL!$C$32, $C$9, 100%, $E$9)</f>
        <v>5.6570999999999998</v>
      </c>
      <c r="J21" s="11">
        <f>5.638 * CHOOSE(CONTROL!$C$32, $C$9, 100%, $E$9)</f>
        <v>5.6379999999999999</v>
      </c>
      <c r="K21" s="11">
        <f>5.6571 * CHOOSE(CONTROL!$C$32, $C$9, 100%, $E$9)</f>
        <v>5.6570999999999998</v>
      </c>
      <c r="L21" s="11">
        <f>3.499 * CHOOSE(CONTROL!$C$32, $C$9, 100%, $E$9)</f>
        <v>3.4990000000000001</v>
      </c>
      <c r="M21" s="11">
        <f>3.518 * CHOOSE(CONTROL!$C$32, $C$9, 100%, $E$9)</f>
        <v>3.5179999999999998</v>
      </c>
      <c r="N21" s="11">
        <f>3.499 * CHOOSE(CONTROL!$C$32, $C$9, 100%, $E$9)</f>
        <v>3.4990000000000001</v>
      </c>
      <c r="O21" s="11">
        <f>3.518 * CHOOSE(CONTROL!$C$32, $C$9, 100%, $E$9)</f>
        <v>3.5179999999999998</v>
      </c>
      <c r="P21" s="14"/>
      <c r="Q21" s="11"/>
      <c r="R21" s="11"/>
    </row>
    <row r="22" spans="1:18" ht="15" x14ac:dyDescent="0.2">
      <c r="A22" s="13">
        <v>41518</v>
      </c>
      <c r="B22" s="9">
        <f>2.3073 * CHOOSE(CONTROL!$C$32, $C$9, 100%, $E$9)</f>
        <v>2.3073000000000001</v>
      </c>
      <c r="C22" s="9">
        <f>2.2458 * CHOOSE(CONTROL!$C$32, $C$9, 100%, $E$9)</f>
        <v>2.2458</v>
      </c>
      <c r="D22" s="9">
        <f>2.3033 * CHOOSE(CONTROL!$C$32, $C$9, 100%, $E$9)</f>
        <v>2.3033000000000001</v>
      </c>
      <c r="E22" s="11">
        <f>3.4957 * CHOOSE(CONTROL!$C$32, $C$9, 100%, $E$9)</f>
        <v>3.4956999999999998</v>
      </c>
      <c r="F22" s="11">
        <f>3.1918 * CHOOSE(CONTROL!$C$32, $C$9, 100%, $E$9)</f>
        <v>3.1918000000000002</v>
      </c>
      <c r="G22" s="11">
        <f>3.2109 * CHOOSE(CONTROL!$C$32, $C$9, 100%, $E$9)</f>
        <v>3.2109000000000001</v>
      </c>
      <c r="H22" s="11">
        <f>5.638 * CHOOSE(CONTROL!$C$32, $C$9, 100%, $E$9)</f>
        <v>5.6379999999999999</v>
      </c>
      <c r="I22" s="11">
        <f>5.6571 * CHOOSE(CONTROL!$C$32, $C$9, 100%, $E$9)</f>
        <v>5.6570999999999998</v>
      </c>
      <c r="J22" s="11">
        <f>5.638 * CHOOSE(CONTROL!$C$32, $C$9, 100%, $E$9)</f>
        <v>5.6379999999999999</v>
      </c>
      <c r="K22" s="11">
        <f>5.6571 * CHOOSE(CONTROL!$C$32, $C$9, 100%, $E$9)</f>
        <v>5.6570999999999998</v>
      </c>
      <c r="L22" s="11">
        <f>3.4957 * CHOOSE(CONTROL!$C$32, $C$9, 100%, $E$9)</f>
        <v>3.4956999999999998</v>
      </c>
      <c r="M22" s="11">
        <f>3.5147 * CHOOSE(CONTROL!$C$32, $C$9, 100%, $E$9)</f>
        <v>3.5146999999999999</v>
      </c>
      <c r="N22" s="11">
        <f>3.4957 * CHOOSE(CONTROL!$C$32, $C$9, 100%, $E$9)</f>
        <v>3.4956999999999998</v>
      </c>
      <c r="O22" s="11">
        <f>3.5147 * CHOOSE(CONTROL!$C$32, $C$9, 100%, $E$9)</f>
        <v>3.5146999999999999</v>
      </c>
      <c r="P22" s="14"/>
      <c r="Q22" s="11"/>
      <c r="R22" s="11"/>
    </row>
    <row r="23" spans="1:18" ht="15" x14ac:dyDescent="0.2">
      <c r="A23" s="13">
        <v>41548</v>
      </c>
      <c r="B23" s="9">
        <f>2.3058 * CHOOSE(CONTROL!$C$32, $C$9, 100%, $E$9)</f>
        <v>2.3058000000000001</v>
      </c>
      <c r="C23" s="9">
        <f>2.2367 * CHOOSE(CONTROL!$C$32, $C$9, 100%, $E$9)</f>
        <v>2.2366999999999999</v>
      </c>
      <c r="D23" s="9">
        <f>2.2756 * CHOOSE(CONTROL!$C$32, $C$9, 100%, $E$9)</f>
        <v>2.2755999999999998</v>
      </c>
      <c r="E23" s="11">
        <f>3.5106 * CHOOSE(CONTROL!$C$32, $C$9, 100%, $E$9)</f>
        <v>3.5106000000000002</v>
      </c>
      <c r="F23" s="11">
        <f>3.2177 * CHOOSE(CONTROL!$C$32, $C$9, 100%, $E$9)</f>
        <v>3.2176999999999998</v>
      </c>
      <c r="G23" s="11">
        <f>3.2307 * CHOOSE(CONTROL!$C$32, $C$9, 100%, $E$9)</f>
        <v>3.2307000000000001</v>
      </c>
      <c r="H23" s="11">
        <f>5.6497 * CHOOSE(CONTROL!$C$32, $C$9, 100%, $E$9)</f>
        <v>5.6497000000000002</v>
      </c>
      <c r="I23" s="11">
        <f>5.6627 * CHOOSE(CONTROL!$C$32, $C$9, 100%, $E$9)</f>
        <v>5.6627000000000001</v>
      </c>
      <c r="J23" s="11">
        <f>5.6497 * CHOOSE(CONTROL!$C$32, $C$9, 100%, $E$9)</f>
        <v>5.6497000000000002</v>
      </c>
      <c r="K23" s="11">
        <f>5.6627 * CHOOSE(CONTROL!$C$32, $C$9, 100%, $E$9)</f>
        <v>5.6627000000000001</v>
      </c>
      <c r="L23" s="11">
        <f>3.5106 * CHOOSE(CONTROL!$C$32, $C$9, 100%, $E$9)</f>
        <v>3.5106000000000002</v>
      </c>
      <c r="M23" s="11">
        <f>3.5235 * CHOOSE(CONTROL!$C$32, $C$9, 100%, $E$9)</f>
        <v>3.5234999999999999</v>
      </c>
      <c r="N23" s="11">
        <f>3.5106 * CHOOSE(CONTROL!$C$32, $C$9, 100%, $E$9)</f>
        <v>3.5106000000000002</v>
      </c>
      <c r="O23" s="11">
        <f>3.5235 * CHOOSE(CONTROL!$C$32, $C$9, 100%, $E$9)</f>
        <v>3.5234999999999999</v>
      </c>
      <c r="P23" s="14"/>
      <c r="Q23" s="11"/>
      <c r="R23" s="11"/>
    </row>
    <row r="24" spans="1:18" ht="15" x14ac:dyDescent="0.2">
      <c r="A24" s="13">
        <v>41579</v>
      </c>
      <c r="B24" s="9">
        <f>2.3113 * CHOOSE(CONTROL!$C$32, $C$9, 100%, $E$9)</f>
        <v>2.3113000000000001</v>
      </c>
      <c r="C24" s="9">
        <f>2.2472 * CHOOSE(CONTROL!$C$32, $C$9, 100%, $E$9)</f>
        <v>2.2471999999999999</v>
      </c>
      <c r="D24" s="9">
        <f>2.2862 * CHOOSE(CONTROL!$C$32, $C$9, 100%, $E$9)</f>
        <v>2.2862</v>
      </c>
      <c r="E24" s="11">
        <f>3.5106 * CHOOSE(CONTROL!$C$32, $C$9, 100%, $E$9)</f>
        <v>3.5106000000000002</v>
      </c>
      <c r="F24" s="11">
        <f>3.245 * CHOOSE(CONTROL!$C$32, $C$9, 100%, $E$9)</f>
        <v>3.2450000000000001</v>
      </c>
      <c r="G24" s="11">
        <f>3.258 * CHOOSE(CONTROL!$C$32, $C$9, 100%, $E$9)</f>
        <v>3.258</v>
      </c>
      <c r="H24" s="11">
        <f>5.6615 * CHOOSE(CONTROL!$C$32, $C$9, 100%, $E$9)</f>
        <v>5.6615000000000002</v>
      </c>
      <c r="I24" s="11">
        <f>5.6745 * CHOOSE(CONTROL!$C$32, $C$9, 100%, $E$9)</f>
        <v>5.6745000000000001</v>
      </c>
      <c r="J24" s="11">
        <f>5.6615 * CHOOSE(CONTROL!$C$32, $C$9, 100%, $E$9)</f>
        <v>5.6615000000000002</v>
      </c>
      <c r="K24" s="11">
        <f>5.6745 * CHOOSE(CONTROL!$C$32, $C$9, 100%, $E$9)</f>
        <v>5.6745000000000001</v>
      </c>
      <c r="L24" s="11">
        <f>3.5106 * CHOOSE(CONTROL!$C$32, $C$9, 100%, $E$9)</f>
        <v>3.5106000000000002</v>
      </c>
      <c r="M24" s="11">
        <f>3.5235 * CHOOSE(CONTROL!$C$32, $C$9, 100%, $E$9)</f>
        <v>3.5234999999999999</v>
      </c>
      <c r="N24" s="11">
        <f>3.5106 * CHOOSE(CONTROL!$C$32, $C$9, 100%, $E$9)</f>
        <v>3.5106000000000002</v>
      </c>
      <c r="O24" s="11">
        <f>3.5235 * CHOOSE(CONTROL!$C$32, $C$9, 100%, $E$9)</f>
        <v>3.5234999999999999</v>
      </c>
      <c r="P24" s="14"/>
      <c r="Q24" s="11"/>
      <c r="R24" s="11"/>
    </row>
    <row r="25" spans="1:18" ht="15" x14ac:dyDescent="0.2">
      <c r="A25" s="13">
        <v>41609</v>
      </c>
      <c r="B25" s="9">
        <f>2.3131 * CHOOSE(CONTROL!$C$32, $C$9, 100%, $E$9)</f>
        <v>2.3130999999999999</v>
      </c>
      <c r="C25" s="9">
        <f>2.2592 * CHOOSE(CONTROL!$C$32, $C$9, 100%, $E$9)</f>
        <v>2.2591999999999999</v>
      </c>
      <c r="D25" s="9">
        <f>2.2981 * CHOOSE(CONTROL!$C$32, $C$9, 100%, $E$9)</f>
        <v>2.2980999999999998</v>
      </c>
      <c r="E25" s="11">
        <f>3.5079 * CHOOSE(CONTROL!$C$32, $C$9, 100%, $E$9)</f>
        <v>3.5078999999999998</v>
      </c>
      <c r="F25" s="11">
        <f>3.2814 * CHOOSE(CONTROL!$C$32, $C$9, 100%, $E$9)</f>
        <v>3.2814000000000001</v>
      </c>
      <c r="G25" s="11">
        <f>3.2943 * CHOOSE(CONTROL!$C$32, $C$9, 100%, $E$9)</f>
        <v>3.2942999999999998</v>
      </c>
      <c r="H25" s="11">
        <f>5.6733 * CHOOSE(CONTROL!$C$32, $C$9, 100%, $E$9)</f>
        <v>5.6733000000000002</v>
      </c>
      <c r="I25" s="11">
        <f>5.6863 * CHOOSE(CONTROL!$C$32, $C$9, 100%, $E$9)</f>
        <v>5.6863000000000001</v>
      </c>
      <c r="J25" s="11">
        <f>5.6733 * CHOOSE(CONTROL!$C$32, $C$9, 100%, $E$9)</f>
        <v>5.6733000000000002</v>
      </c>
      <c r="K25" s="11">
        <f>5.6863 * CHOOSE(CONTROL!$C$32, $C$9, 100%, $E$9)</f>
        <v>5.6863000000000001</v>
      </c>
      <c r="L25" s="11">
        <f>3.5079 * CHOOSE(CONTROL!$C$32, $C$9, 100%, $E$9)</f>
        <v>3.5078999999999998</v>
      </c>
      <c r="M25" s="11">
        <f>3.5208 * CHOOSE(CONTROL!$C$32, $C$9, 100%, $E$9)</f>
        <v>3.5207999999999999</v>
      </c>
      <c r="N25" s="11">
        <f>3.5079 * CHOOSE(CONTROL!$C$32, $C$9, 100%, $E$9)</f>
        <v>3.5078999999999998</v>
      </c>
      <c r="O25" s="11">
        <f>3.5208 * CHOOSE(CONTROL!$C$32, $C$9, 100%, $E$9)</f>
        <v>3.5207999999999999</v>
      </c>
      <c r="P25" s="14"/>
      <c r="Q25" s="11"/>
      <c r="R25" s="11"/>
    </row>
    <row r="26" spans="1:18" ht="15" x14ac:dyDescent="0.2">
      <c r="A26" s="13">
        <v>41640</v>
      </c>
      <c r="B26" s="9">
        <f>2.326 * CHOOSE(CONTROL!$C$32, $C$9, 100%, $E$9)</f>
        <v>2.3260000000000001</v>
      </c>
      <c r="C26" s="9">
        <f>2.2882 * CHOOSE(CONTROL!$C$32, $C$9, 100%, $E$9)</f>
        <v>2.2881999999999998</v>
      </c>
      <c r="D26" s="9">
        <f>2.3271 * CHOOSE(CONTROL!$C$32, $C$9, 100%, $E$9)</f>
        <v>2.3271000000000002</v>
      </c>
      <c r="E26" s="11">
        <f>3.4998 * CHOOSE(CONTROL!$C$32, $C$9, 100%, $E$9)</f>
        <v>3.4998</v>
      </c>
      <c r="F26" s="11">
        <f>3.2737 * CHOOSE(CONTROL!$C$32, $C$9, 100%, $E$9)</f>
        <v>3.2736999999999998</v>
      </c>
      <c r="G26" s="11">
        <f>3.2867 * CHOOSE(CONTROL!$C$32, $C$9, 100%, $E$9)</f>
        <v>3.2867000000000002</v>
      </c>
      <c r="H26" s="11">
        <f>5.6851 * CHOOSE(CONTROL!$C$32, $C$9, 100%, $E$9)</f>
        <v>5.6851000000000003</v>
      </c>
      <c r="I26" s="11">
        <f>5.6981 * CHOOSE(CONTROL!$C$32, $C$9, 100%, $E$9)</f>
        <v>5.6981000000000002</v>
      </c>
      <c r="J26" s="11">
        <f>5.6851 * CHOOSE(CONTROL!$C$32, $C$9, 100%, $E$9)</f>
        <v>5.6851000000000003</v>
      </c>
      <c r="K26" s="11">
        <f>5.6981 * CHOOSE(CONTROL!$C$32, $C$9, 100%, $E$9)</f>
        <v>5.6981000000000002</v>
      </c>
      <c r="L26" s="11">
        <f>3.4998 * CHOOSE(CONTROL!$C$32, $C$9, 100%, $E$9)</f>
        <v>3.4998</v>
      </c>
      <c r="M26" s="11">
        <f>3.5127 * CHOOSE(CONTROL!$C$32, $C$9, 100%, $E$9)</f>
        <v>3.5127000000000002</v>
      </c>
      <c r="N26" s="11">
        <f>3.4998 * CHOOSE(CONTROL!$C$32, $C$9, 100%, $E$9)</f>
        <v>3.4998</v>
      </c>
      <c r="O26" s="11">
        <f>3.5127 * CHOOSE(CONTROL!$C$32, $C$9, 100%, $E$9)</f>
        <v>3.5127000000000002</v>
      </c>
      <c r="P26" s="14"/>
      <c r="Q26" s="11"/>
      <c r="R26" s="11"/>
    </row>
    <row r="27" spans="1:18" ht="15" x14ac:dyDescent="0.2">
      <c r="A27" s="13">
        <v>41671</v>
      </c>
      <c r="B27" s="9">
        <f>2.338 * CHOOSE(CONTROL!$C$32, $C$9, 100%, $E$9)</f>
        <v>2.3380000000000001</v>
      </c>
      <c r="C27" s="9">
        <f>2.3077 * CHOOSE(CONTROL!$C$32, $C$9, 100%, $E$9)</f>
        <v>2.3077000000000001</v>
      </c>
      <c r="D27" s="9">
        <f>2.3467 * CHOOSE(CONTROL!$C$32, $C$9, 100%, $E$9)</f>
        <v>2.3466999999999998</v>
      </c>
      <c r="E27" s="11">
        <f>3.5012 * CHOOSE(CONTROL!$C$32, $C$9, 100%, $E$9)</f>
        <v>3.5011999999999999</v>
      </c>
      <c r="F27" s="11">
        <f>3.2886 * CHOOSE(CONTROL!$C$32, $C$9, 100%, $E$9)</f>
        <v>3.2886000000000002</v>
      </c>
      <c r="G27" s="11">
        <f>3.3015 * CHOOSE(CONTROL!$C$32, $C$9, 100%, $E$9)</f>
        <v>3.3014999999999999</v>
      </c>
      <c r="H27" s="11">
        <f>5.697 * CHOOSE(CONTROL!$C$32, $C$9, 100%, $E$9)</f>
        <v>5.6970000000000001</v>
      </c>
      <c r="I27" s="11">
        <f>5.7099 * CHOOSE(CONTROL!$C$32, $C$9, 100%, $E$9)</f>
        <v>5.7099000000000002</v>
      </c>
      <c r="J27" s="11">
        <f>5.697 * CHOOSE(CONTROL!$C$32, $C$9, 100%, $E$9)</f>
        <v>5.6970000000000001</v>
      </c>
      <c r="K27" s="11">
        <f>5.7099 * CHOOSE(CONTROL!$C$32, $C$9, 100%, $E$9)</f>
        <v>5.7099000000000002</v>
      </c>
      <c r="L27" s="11">
        <f>3.5012 * CHOOSE(CONTROL!$C$32, $C$9, 100%, $E$9)</f>
        <v>3.5011999999999999</v>
      </c>
      <c r="M27" s="11">
        <f>3.5142 * CHOOSE(CONTROL!$C$32, $C$9, 100%, $E$9)</f>
        <v>3.5142000000000002</v>
      </c>
      <c r="N27" s="11">
        <f>3.5012 * CHOOSE(CONTROL!$C$32, $C$9, 100%, $E$9)</f>
        <v>3.5011999999999999</v>
      </c>
      <c r="O27" s="11">
        <f>3.5142 * CHOOSE(CONTROL!$C$32, $C$9, 100%, $E$9)</f>
        <v>3.5142000000000002</v>
      </c>
      <c r="P27" s="14"/>
      <c r="Q27" s="11"/>
      <c r="R27" s="11"/>
    </row>
    <row r="28" spans="1:18" ht="15" x14ac:dyDescent="0.2">
      <c r="A28" s="13">
        <v>41699</v>
      </c>
      <c r="B28" s="9">
        <f>2.3423 * CHOOSE(CONTROL!$C$32, $C$9, 100%, $E$9)</f>
        <v>2.3422999999999998</v>
      </c>
      <c r="C28" s="9">
        <f>2.3166 * CHOOSE(CONTROL!$C$32, $C$9, 100%, $E$9)</f>
        <v>2.3166000000000002</v>
      </c>
      <c r="D28" s="9">
        <f>2.3555 * CHOOSE(CONTROL!$C$32, $C$9, 100%, $E$9)</f>
        <v>2.3555000000000001</v>
      </c>
      <c r="E28" s="11">
        <f>3.4055 * CHOOSE(CONTROL!$C$32, $C$9, 100%, $E$9)</f>
        <v>3.4055</v>
      </c>
      <c r="F28" s="11">
        <f>3.2949 * CHOOSE(CONTROL!$C$32, $C$9, 100%, $E$9)</f>
        <v>3.2949000000000002</v>
      </c>
      <c r="G28" s="11">
        <f>3.3079 * CHOOSE(CONTROL!$C$32, $C$9, 100%, $E$9)</f>
        <v>3.3079000000000001</v>
      </c>
      <c r="H28" s="11">
        <f>5.7088 * CHOOSE(CONTROL!$C$32, $C$9, 100%, $E$9)</f>
        <v>5.7088000000000001</v>
      </c>
      <c r="I28" s="11">
        <f>5.7218 * CHOOSE(CONTROL!$C$32, $C$9, 100%, $E$9)</f>
        <v>5.7218</v>
      </c>
      <c r="J28" s="11">
        <f>5.7088 * CHOOSE(CONTROL!$C$32, $C$9, 100%, $E$9)</f>
        <v>5.7088000000000001</v>
      </c>
      <c r="K28" s="11">
        <f>5.7218 * CHOOSE(CONTROL!$C$32, $C$9, 100%, $E$9)</f>
        <v>5.7218</v>
      </c>
      <c r="L28" s="11">
        <f>3.4055 * CHOOSE(CONTROL!$C$32, $C$9, 100%, $E$9)</f>
        <v>3.4055</v>
      </c>
      <c r="M28" s="11">
        <f>3.4184 * CHOOSE(CONTROL!$C$32, $C$9, 100%, $E$9)</f>
        <v>3.4184000000000001</v>
      </c>
      <c r="N28" s="11">
        <f>3.4055 * CHOOSE(CONTROL!$C$32, $C$9, 100%, $E$9)</f>
        <v>3.4055</v>
      </c>
      <c r="O28" s="11">
        <f>3.4184 * CHOOSE(CONTROL!$C$32, $C$9, 100%, $E$9)</f>
        <v>3.4184000000000001</v>
      </c>
      <c r="P28" s="14"/>
      <c r="Q28" s="11"/>
      <c r="R28" s="11"/>
    </row>
    <row r="29" spans="1:18" ht="15" x14ac:dyDescent="0.2">
      <c r="A29" s="13">
        <v>41730</v>
      </c>
      <c r="B29" s="9">
        <f>2.3408 * CHOOSE(CONTROL!$C$32, $C$9, 100%, $E$9)</f>
        <v>2.3408000000000002</v>
      </c>
      <c r="C29" s="9">
        <f>2.3136 * CHOOSE(CONTROL!$C$32, $C$9, 100%, $E$9)</f>
        <v>2.3136000000000001</v>
      </c>
      <c r="D29" s="9">
        <f>2.3525 * CHOOSE(CONTROL!$C$32, $C$9, 100%, $E$9)</f>
        <v>2.3525</v>
      </c>
      <c r="E29" s="11">
        <f>3.4026 * CHOOSE(CONTROL!$C$32, $C$9, 100%, $E$9)</f>
        <v>3.4026000000000001</v>
      </c>
      <c r="F29" s="11">
        <f>3.3055 * CHOOSE(CONTROL!$C$32, $C$9, 100%, $E$9)</f>
        <v>3.3054999999999999</v>
      </c>
      <c r="G29" s="11">
        <f>3.3185 * CHOOSE(CONTROL!$C$32, $C$9, 100%, $E$9)</f>
        <v>3.3184999999999998</v>
      </c>
      <c r="H29" s="11">
        <f>5.7207 * CHOOSE(CONTROL!$C$32, $C$9, 100%, $E$9)</f>
        <v>5.7206999999999999</v>
      </c>
      <c r="I29" s="11">
        <f>5.7337 * CHOOSE(CONTROL!$C$32, $C$9, 100%, $E$9)</f>
        <v>5.7336999999999998</v>
      </c>
      <c r="J29" s="11">
        <f>5.7207 * CHOOSE(CONTROL!$C$32, $C$9, 100%, $E$9)</f>
        <v>5.7206999999999999</v>
      </c>
      <c r="K29" s="11">
        <f>5.7337 * CHOOSE(CONTROL!$C$32, $C$9, 100%, $E$9)</f>
        <v>5.7336999999999998</v>
      </c>
      <c r="L29" s="11">
        <f>3.4026 * CHOOSE(CONTROL!$C$32, $C$9, 100%, $E$9)</f>
        <v>3.4026000000000001</v>
      </c>
      <c r="M29" s="11">
        <f>3.4156 * CHOOSE(CONTROL!$C$32, $C$9, 100%, $E$9)</f>
        <v>3.4156</v>
      </c>
      <c r="N29" s="11">
        <f>3.4026 * CHOOSE(CONTROL!$C$32, $C$9, 100%, $E$9)</f>
        <v>3.4026000000000001</v>
      </c>
      <c r="O29" s="11">
        <f>3.4156 * CHOOSE(CONTROL!$C$32, $C$9, 100%, $E$9)</f>
        <v>3.4156</v>
      </c>
      <c r="P29" s="14"/>
      <c r="Q29" s="11"/>
      <c r="R29" s="11"/>
    </row>
    <row r="30" spans="1:18" ht="15" x14ac:dyDescent="0.2">
      <c r="A30" s="13">
        <v>41760</v>
      </c>
      <c r="B30" s="9">
        <f>2.3438 * CHOOSE(CONTROL!$C$32, $C$9, 100%, $E$9)</f>
        <v>2.3437999999999999</v>
      </c>
      <c r="C30" s="9">
        <f>2.3151 * CHOOSE(CONTROL!$C$32, $C$9, 100%, $E$9)</f>
        <v>2.3151000000000002</v>
      </c>
      <c r="D30" s="9">
        <f>2.3726 * CHOOSE(CONTROL!$C$32, $C$9, 100%, $E$9)</f>
        <v>2.3725999999999998</v>
      </c>
      <c r="E30" s="11">
        <f>3.4085 * CHOOSE(CONTROL!$C$32, $C$9, 100%, $E$9)</f>
        <v>3.4085000000000001</v>
      </c>
      <c r="F30" s="11">
        <f>3.3161 * CHOOSE(CONTROL!$C$32, $C$9, 100%, $E$9)</f>
        <v>3.3161</v>
      </c>
      <c r="G30" s="11">
        <f>3.3352 * CHOOSE(CONTROL!$C$32, $C$9, 100%, $E$9)</f>
        <v>3.3351999999999999</v>
      </c>
      <c r="H30" s="11">
        <f>5.7327 * CHOOSE(CONTROL!$C$32, $C$9, 100%, $E$9)</f>
        <v>5.7327000000000004</v>
      </c>
      <c r="I30" s="11">
        <f>5.7517 * CHOOSE(CONTROL!$C$32, $C$9, 100%, $E$9)</f>
        <v>5.7516999999999996</v>
      </c>
      <c r="J30" s="11">
        <f>5.7327 * CHOOSE(CONTROL!$C$32, $C$9, 100%, $E$9)</f>
        <v>5.7327000000000004</v>
      </c>
      <c r="K30" s="11">
        <f>5.7517 * CHOOSE(CONTROL!$C$32, $C$9, 100%, $E$9)</f>
        <v>5.7516999999999996</v>
      </c>
      <c r="L30" s="11">
        <f>3.4085 * CHOOSE(CONTROL!$C$32, $C$9, 100%, $E$9)</f>
        <v>3.4085000000000001</v>
      </c>
      <c r="M30" s="11">
        <f>3.4276 * CHOOSE(CONTROL!$C$32, $C$9, 100%, $E$9)</f>
        <v>3.4276</v>
      </c>
      <c r="N30" s="11">
        <f>3.4085 * CHOOSE(CONTROL!$C$32, $C$9, 100%, $E$9)</f>
        <v>3.4085000000000001</v>
      </c>
      <c r="O30" s="11">
        <f>3.4276 * CHOOSE(CONTROL!$C$32, $C$9, 100%, $E$9)</f>
        <v>3.4276</v>
      </c>
      <c r="P30" s="14"/>
      <c r="Q30" s="11"/>
      <c r="R30" s="11"/>
    </row>
    <row r="31" spans="1:18" ht="15" x14ac:dyDescent="0.2">
      <c r="A31" s="13">
        <v>41791</v>
      </c>
      <c r="B31" s="9">
        <f>2.3496 * CHOOSE(CONTROL!$C$32, $C$9, 100%, $E$9)</f>
        <v>2.3496000000000001</v>
      </c>
      <c r="C31" s="9">
        <f>2.327 * CHOOSE(CONTROL!$C$32, $C$9, 100%, $E$9)</f>
        <v>2.327</v>
      </c>
      <c r="D31" s="9">
        <f>2.3845 * CHOOSE(CONTROL!$C$32, $C$9, 100%, $E$9)</f>
        <v>2.3845000000000001</v>
      </c>
      <c r="E31" s="11">
        <f>3.4321 * CHOOSE(CONTROL!$C$32, $C$9, 100%, $E$9)</f>
        <v>3.4321000000000002</v>
      </c>
      <c r="F31" s="11">
        <f>3.3585 * CHOOSE(CONTROL!$C$32, $C$9, 100%, $E$9)</f>
        <v>3.3584999999999998</v>
      </c>
      <c r="G31" s="11">
        <f>3.3775 * CHOOSE(CONTROL!$C$32, $C$9, 100%, $E$9)</f>
        <v>3.3774999999999999</v>
      </c>
      <c r="H31" s="11">
        <f>5.7446 * CHOOSE(CONTROL!$C$32, $C$9, 100%, $E$9)</f>
        <v>5.7446000000000002</v>
      </c>
      <c r="I31" s="11">
        <f>5.7636 * CHOOSE(CONTROL!$C$32, $C$9, 100%, $E$9)</f>
        <v>5.7636000000000003</v>
      </c>
      <c r="J31" s="11">
        <f>5.7446 * CHOOSE(CONTROL!$C$32, $C$9, 100%, $E$9)</f>
        <v>5.7446000000000002</v>
      </c>
      <c r="K31" s="11">
        <f>5.7636 * CHOOSE(CONTROL!$C$32, $C$9, 100%, $E$9)</f>
        <v>5.7636000000000003</v>
      </c>
      <c r="L31" s="11">
        <f>3.4321 * CHOOSE(CONTROL!$C$32, $C$9, 100%, $E$9)</f>
        <v>3.4321000000000002</v>
      </c>
      <c r="M31" s="11">
        <f>3.4511 * CHOOSE(CONTROL!$C$32, $C$9, 100%, $E$9)</f>
        <v>3.4510999999999998</v>
      </c>
      <c r="N31" s="11">
        <f>3.4321 * CHOOSE(CONTROL!$C$32, $C$9, 100%, $E$9)</f>
        <v>3.4321000000000002</v>
      </c>
      <c r="O31" s="11">
        <f>3.4511 * CHOOSE(CONTROL!$C$32, $C$9, 100%, $E$9)</f>
        <v>3.4510999999999998</v>
      </c>
      <c r="P31" s="14"/>
      <c r="Q31" s="11"/>
      <c r="R31" s="11"/>
    </row>
    <row r="32" spans="1:18" ht="15" x14ac:dyDescent="0.2">
      <c r="A32" s="13">
        <v>41821</v>
      </c>
      <c r="B32" s="9">
        <f>2.3649 * CHOOSE(CONTROL!$C$32, $C$9, 100%, $E$9)</f>
        <v>2.3649</v>
      </c>
      <c r="C32" s="9">
        <f>2.3574 * CHOOSE(CONTROL!$C$32, $C$9, 100%, $E$9)</f>
        <v>2.3574000000000002</v>
      </c>
      <c r="D32" s="9">
        <f>2.4149 * CHOOSE(CONTROL!$C$32, $C$9, 100%, $E$9)</f>
        <v>2.4148999999999998</v>
      </c>
      <c r="E32" s="11">
        <f>3.4478 * CHOOSE(CONTROL!$C$32, $C$9, 100%, $E$9)</f>
        <v>3.4478</v>
      </c>
      <c r="F32" s="11">
        <f>3.4008 * CHOOSE(CONTROL!$C$32, $C$9, 100%, $E$9)</f>
        <v>3.4007999999999998</v>
      </c>
      <c r="G32" s="11">
        <f>3.4199 * CHOOSE(CONTROL!$C$32, $C$9, 100%, $E$9)</f>
        <v>3.4199000000000002</v>
      </c>
      <c r="H32" s="11">
        <f>5.7566 * CHOOSE(CONTROL!$C$32, $C$9, 100%, $E$9)</f>
        <v>5.7565999999999997</v>
      </c>
      <c r="I32" s="11">
        <f>5.7756 * CHOOSE(CONTROL!$C$32, $C$9, 100%, $E$9)</f>
        <v>5.7755999999999998</v>
      </c>
      <c r="J32" s="11">
        <f>5.7566 * CHOOSE(CONTROL!$C$32, $C$9, 100%, $E$9)</f>
        <v>5.7565999999999997</v>
      </c>
      <c r="K32" s="11">
        <f>5.7756 * CHOOSE(CONTROL!$C$32, $C$9, 100%, $E$9)</f>
        <v>5.7755999999999998</v>
      </c>
      <c r="L32" s="11">
        <f>3.4478 * CHOOSE(CONTROL!$C$32, $C$9, 100%, $E$9)</f>
        <v>3.4478</v>
      </c>
      <c r="M32" s="11">
        <f>3.4668 * CHOOSE(CONTROL!$C$32, $C$9, 100%, $E$9)</f>
        <v>3.4668000000000001</v>
      </c>
      <c r="N32" s="11">
        <f>3.4478 * CHOOSE(CONTROL!$C$32, $C$9, 100%, $E$9)</f>
        <v>3.4478</v>
      </c>
      <c r="O32" s="11">
        <f>3.4668 * CHOOSE(CONTROL!$C$32, $C$9, 100%, $E$9)</f>
        <v>3.4668000000000001</v>
      </c>
      <c r="P32" s="14"/>
      <c r="Q32" s="11"/>
      <c r="R32" s="11"/>
    </row>
    <row r="33" spans="1:18" ht="15" x14ac:dyDescent="0.2">
      <c r="A33" s="13">
        <v>41852</v>
      </c>
      <c r="B33" s="9">
        <f>2.3848 * CHOOSE(CONTROL!$C$32, $C$9, 100%, $E$9)</f>
        <v>2.3847999999999998</v>
      </c>
      <c r="C33" s="9">
        <f>2.3923 * CHOOSE(CONTROL!$C$32, $C$9, 100%, $E$9)</f>
        <v>2.3923000000000001</v>
      </c>
      <c r="D33" s="9">
        <f>2.4498 * CHOOSE(CONTROL!$C$32, $C$9, 100%, $E$9)</f>
        <v>2.4498000000000002</v>
      </c>
      <c r="E33" s="11">
        <f>3.4793 * CHOOSE(CONTROL!$C$32, $C$9, 100%, $E$9)</f>
        <v>3.4792999999999998</v>
      </c>
      <c r="F33" s="11">
        <f>3.4517 * CHOOSE(CONTROL!$C$32, $C$9, 100%, $E$9)</f>
        <v>3.4517000000000002</v>
      </c>
      <c r="G33" s="11">
        <f>3.4707 * CHOOSE(CONTROL!$C$32, $C$9, 100%, $E$9)</f>
        <v>3.4706999999999999</v>
      </c>
      <c r="H33" s="11">
        <f>5.7686 * CHOOSE(CONTROL!$C$32, $C$9, 100%, $E$9)</f>
        <v>5.7686000000000002</v>
      </c>
      <c r="I33" s="11">
        <f>5.7876 * CHOOSE(CONTROL!$C$32, $C$9, 100%, $E$9)</f>
        <v>5.7876000000000003</v>
      </c>
      <c r="J33" s="11">
        <f>5.7686 * CHOOSE(CONTROL!$C$32, $C$9, 100%, $E$9)</f>
        <v>5.7686000000000002</v>
      </c>
      <c r="K33" s="11">
        <f>5.7876 * CHOOSE(CONTROL!$C$32, $C$9, 100%, $E$9)</f>
        <v>5.7876000000000003</v>
      </c>
      <c r="L33" s="11">
        <f>3.4793 * CHOOSE(CONTROL!$C$32, $C$9, 100%, $E$9)</f>
        <v>3.4792999999999998</v>
      </c>
      <c r="M33" s="11">
        <f>3.4983 * CHOOSE(CONTROL!$C$32, $C$9, 100%, $E$9)</f>
        <v>3.4983</v>
      </c>
      <c r="N33" s="11">
        <f>3.4793 * CHOOSE(CONTROL!$C$32, $C$9, 100%, $E$9)</f>
        <v>3.4792999999999998</v>
      </c>
      <c r="O33" s="11">
        <f>3.4983 * CHOOSE(CONTROL!$C$32, $C$9, 100%, $E$9)</f>
        <v>3.4983</v>
      </c>
      <c r="P33" s="14"/>
      <c r="Q33" s="11"/>
      <c r="R33" s="11"/>
    </row>
    <row r="34" spans="1:18" ht="15" x14ac:dyDescent="0.2">
      <c r="A34" s="13">
        <v>41883</v>
      </c>
      <c r="B34" s="9">
        <f>2.3937 * CHOOSE(CONTROL!$C$32, $C$9, 100%, $E$9)</f>
        <v>2.3936999999999999</v>
      </c>
      <c r="C34" s="9">
        <f>2.4103 * CHOOSE(CONTROL!$C$32, $C$9, 100%, $E$9)</f>
        <v>2.4102999999999999</v>
      </c>
      <c r="D34" s="9">
        <f>2.4678 * CHOOSE(CONTROL!$C$32, $C$9, 100%, $E$9)</f>
        <v>2.4678</v>
      </c>
      <c r="E34" s="11">
        <f>3.4806 * CHOOSE(CONTROL!$C$32, $C$9, 100%, $E$9)</f>
        <v>3.4805999999999999</v>
      </c>
      <c r="F34" s="11">
        <f>3.4538 * CHOOSE(CONTROL!$C$32, $C$9, 100%, $E$9)</f>
        <v>3.4538000000000002</v>
      </c>
      <c r="G34" s="11">
        <f>3.4729 * CHOOSE(CONTROL!$C$32, $C$9, 100%, $E$9)</f>
        <v>3.4729000000000001</v>
      </c>
      <c r="H34" s="11">
        <f>5.7806 * CHOOSE(CONTROL!$C$32, $C$9, 100%, $E$9)</f>
        <v>5.7805999999999997</v>
      </c>
      <c r="I34" s="11">
        <f>5.7996 * CHOOSE(CONTROL!$C$32, $C$9, 100%, $E$9)</f>
        <v>5.7995999999999999</v>
      </c>
      <c r="J34" s="11">
        <f>5.7806 * CHOOSE(CONTROL!$C$32, $C$9, 100%, $E$9)</f>
        <v>5.7805999999999997</v>
      </c>
      <c r="K34" s="11">
        <f>5.7996 * CHOOSE(CONTROL!$C$32, $C$9, 100%, $E$9)</f>
        <v>5.7995999999999999</v>
      </c>
      <c r="L34" s="11">
        <f>3.4806 * CHOOSE(CONTROL!$C$32, $C$9, 100%, $E$9)</f>
        <v>3.4805999999999999</v>
      </c>
      <c r="M34" s="11">
        <f>3.4996 * CHOOSE(CONTROL!$C$32, $C$9, 100%, $E$9)</f>
        <v>3.4996</v>
      </c>
      <c r="N34" s="11">
        <f>3.4806 * CHOOSE(CONTROL!$C$32, $C$9, 100%, $E$9)</f>
        <v>3.4805999999999999</v>
      </c>
      <c r="O34" s="11">
        <f>3.4996 * CHOOSE(CONTROL!$C$32, $C$9, 100%, $E$9)</f>
        <v>3.4996</v>
      </c>
      <c r="P34" s="14"/>
      <c r="Q34" s="11"/>
      <c r="R34" s="11"/>
    </row>
    <row r="35" spans="1:18" ht="15" x14ac:dyDescent="0.2">
      <c r="A35" s="13">
        <v>41913</v>
      </c>
      <c r="B35" s="9">
        <f>2.3937 * CHOOSE(CONTROL!$C$32, $C$9, 100%, $E$9)</f>
        <v>2.3936999999999999</v>
      </c>
      <c r="C35" s="9">
        <f>2.4103 * CHOOSE(CONTROL!$C$32, $C$9, 100%, $E$9)</f>
        <v>2.4102999999999999</v>
      </c>
      <c r="D35" s="9">
        <f>2.4492 * CHOOSE(CONTROL!$C$32, $C$9, 100%, $E$9)</f>
        <v>2.4491999999999998</v>
      </c>
      <c r="E35" s="11">
        <f>3.4819 * CHOOSE(CONTROL!$C$32, $C$9, 100%, $E$9)</f>
        <v>3.4819</v>
      </c>
      <c r="F35" s="11">
        <f>3.4559 * CHOOSE(CONTROL!$C$32, $C$9, 100%, $E$9)</f>
        <v>3.4559000000000002</v>
      </c>
      <c r="G35" s="11">
        <f>3.4689 * CHOOSE(CONTROL!$C$32, $C$9, 100%, $E$9)</f>
        <v>3.4689000000000001</v>
      </c>
      <c r="H35" s="11">
        <f>5.7926 * CHOOSE(CONTROL!$C$32, $C$9, 100%, $E$9)</f>
        <v>5.7926000000000002</v>
      </c>
      <c r="I35" s="11">
        <f>5.8056 * CHOOSE(CONTROL!$C$32, $C$9, 100%, $E$9)</f>
        <v>5.8056000000000001</v>
      </c>
      <c r="J35" s="11">
        <f>5.7926 * CHOOSE(CONTROL!$C$32, $C$9, 100%, $E$9)</f>
        <v>5.7926000000000002</v>
      </c>
      <c r="K35" s="11">
        <f>5.8056 * CHOOSE(CONTROL!$C$32, $C$9, 100%, $E$9)</f>
        <v>5.8056000000000001</v>
      </c>
      <c r="L35" s="11">
        <f>3.4819 * CHOOSE(CONTROL!$C$32, $C$9, 100%, $E$9)</f>
        <v>3.4819</v>
      </c>
      <c r="M35" s="11">
        <f>3.4948 * CHOOSE(CONTROL!$C$32, $C$9, 100%, $E$9)</f>
        <v>3.4948000000000001</v>
      </c>
      <c r="N35" s="11">
        <f>3.4819 * CHOOSE(CONTROL!$C$32, $C$9, 100%, $E$9)</f>
        <v>3.4819</v>
      </c>
      <c r="O35" s="11">
        <f>3.4948 * CHOOSE(CONTROL!$C$32, $C$9, 100%, $E$9)</f>
        <v>3.4948000000000001</v>
      </c>
      <c r="P35" s="14"/>
      <c r="Q35" s="11"/>
      <c r="R35" s="11"/>
    </row>
    <row r="36" spans="1:18" ht="15" x14ac:dyDescent="0.2">
      <c r="A36" s="13">
        <v>41944</v>
      </c>
      <c r="B36" s="9">
        <f>2.4013 * CHOOSE(CONTROL!$C$32, $C$9, 100%, $E$9)</f>
        <v>2.4013</v>
      </c>
      <c r="C36" s="9">
        <f>2.421 * CHOOSE(CONTROL!$C$32, $C$9, 100%, $E$9)</f>
        <v>2.4209999999999998</v>
      </c>
      <c r="D36" s="9">
        <f>2.4599 * CHOOSE(CONTROL!$C$32, $C$9, 100%, $E$9)</f>
        <v>2.4599000000000002</v>
      </c>
      <c r="E36" s="11">
        <f>3.4897 * CHOOSE(CONTROL!$C$32, $C$9, 100%, $E$9)</f>
        <v>3.4897</v>
      </c>
      <c r="F36" s="11">
        <f>3.4623 * CHOOSE(CONTROL!$C$32, $C$9, 100%, $E$9)</f>
        <v>3.4622999999999999</v>
      </c>
      <c r="G36" s="11">
        <f>3.4752 * CHOOSE(CONTROL!$C$32, $C$9, 100%, $E$9)</f>
        <v>3.4752000000000001</v>
      </c>
      <c r="H36" s="11">
        <f>5.8047 * CHOOSE(CONTROL!$C$32, $C$9, 100%, $E$9)</f>
        <v>5.8047000000000004</v>
      </c>
      <c r="I36" s="11">
        <f>5.8176 * CHOOSE(CONTROL!$C$32, $C$9, 100%, $E$9)</f>
        <v>5.8175999999999997</v>
      </c>
      <c r="J36" s="11">
        <f>5.8047 * CHOOSE(CONTROL!$C$32, $C$9, 100%, $E$9)</f>
        <v>5.8047000000000004</v>
      </c>
      <c r="K36" s="11">
        <f>5.8176 * CHOOSE(CONTROL!$C$32, $C$9, 100%, $E$9)</f>
        <v>5.8175999999999997</v>
      </c>
      <c r="L36" s="11">
        <f>3.4897 * CHOOSE(CONTROL!$C$32, $C$9, 100%, $E$9)</f>
        <v>3.4897</v>
      </c>
      <c r="M36" s="11">
        <f>3.5027 * CHOOSE(CONTROL!$C$32, $C$9, 100%, $E$9)</f>
        <v>3.5026999999999999</v>
      </c>
      <c r="N36" s="11">
        <f>3.4897 * CHOOSE(CONTROL!$C$32, $C$9, 100%, $E$9)</f>
        <v>3.4897</v>
      </c>
      <c r="O36" s="11">
        <f>3.5027 * CHOOSE(CONTROL!$C$32, $C$9, 100%, $E$9)</f>
        <v>3.5026999999999999</v>
      </c>
      <c r="P36" s="14"/>
      <c r="Q36" s="11"/>
      <c r="R36" s="11"/>
    </row>
    <row r="37" spans="1:18" ht="15" x14ac:dyDescent="0.2">
      <c r="A37" s="13">
        <v>41974</v>
      </c>
      <c r="B37" s="9">
        <f>2.4071 * CHOOSE(CONTROL!$C$32, $C$9, 100%, $E$9)</f>
        <v>2.4070999999999998</v>
      </c>
      <c r="C37" s="9">
        <f>2.4328 * CHOOSE(CONTROL!$C$32, $C$9, 100%, $E$9)</f>
        <v>2.4327999999999999</v>
      </c>
      <c r="D37" s="9">
        <f>2.4717 * CHOOSE(CONTROL!$C$32, $C$9, 100%, $E$9)</f>
        <v>2.4716999999999998</v>
      </c>
      <c r="E37" s="11">
        <f>3.4979 * CHOOSE(CONTROL!$C$32, $C$9, 100%, $E$9)</f>
        <v>3.4979</v>
      </c>
      <c r="F37" s="11">
        <f>3.475 * CHOOSE(CONTROL!$C$32, $C$9, 100%, $E$9)</f>
        <v>3.4750000000000001</v>
      </c>
      <c r="G37" s="11">
        <f>3.4879 * CHOOSE(CONTROL!$C$32, $C$9, 100%, $E$9)</f>
        <v>3.4878999999999998</v>
      </c>
      <c r="H37" s="11">
        <f>5.8168 * CHOOSE(CONTROL!$C$32, $C$9, 100%, $E$9)</f>
        <v>5.8167999999999997</v>
      </c>
      <c r="I37" s="11">
        <f>5.8297 * CHOOSE(CONTROL!$C$32, $C$9, 100%, $E$9)</f>
        <v>5.8296999999999999</v>
      </c>
      <c r="J37" s="11">
        <f>5.8168 * CHOOSE(CONTROL!$C$32, $C$9, 100%, $E$9)</f>
        <v>5.8167999999999997</v>
      </c>
      <c r="K37" s="11">
        <f>5.8297 * CHOOSE(CONTROL!$C$32, $C$9, 100%, $E$9)</f>
        <v>5.8296999999999999</v>
      </c>
      <c r="L37" s="11">
        <f>3.4979 * CHOOSE(CONTROL!$C$32, $C$9, 100%, $E$9)</f>
        <v>3.4979</v>
      </c>
      <c r="M37" s="11">
        <f>3.5108 * CHOOSE(CONTROL!$C$32, $C$9, 100%, $E$9)</f>
        <v>3.5108000000000001</v>
      </c>
      <c r="N37" s="11">
        <f>3.4979 * CHOOSE(CONTROL!$C$32, $C$9, 100%, $E$9)</f>
        <v>3.4979</v>
      </c>
      <c r="O37" s="11">
        <f>3.5108 * CHOOSE(CONTROL!$C$32, $C$9, 100%, $E$9)</f>
        <v>3.5108000000000001</v>
      </c>
      <c r="P37" s="14"/>
      <c r="Q37" s="11"/>
      <c r="R37" s="11"/>
    </row>
    <row r="38" spans="1:18" ht="15" x14ac:dyDescent="0.2">
      <c r="A38" s="13">
        <v>42005</v>
      </c>
      <c r="B38" s="9">
        <f>2.4532 * CHOOSE(CONTROL!$C$32, $C$9, 100%, $E$9)</f>
        <v>2.4531999999999998</v>
      </c>
      <c r="C38" s="9">
        <f>2.4532 * CHOOSE(CONTROL!$C$32, $C$9, 100%, $E$9)</f>
        <v>2.4531999999999998</v>
      </c>
      <c r="D38" s="9">
        <f>2.4542 * CHOOSE(CONTROL!$C$32, $C$9, 100%, $E$9)</f>
        <v>2.4542000000000002</v>
      </c>
      <c r="E38" s="11">
        <f>3.8055 * CHOOSE(CONTROL!$C$32, $C$9, 100%, $E$9)</f>
        <v>3.8054999999999999</v>
      </c>
      <c r="F38" s="11">
        <f>3.5836 * CHOOSE(CONTROL!$C$32, $C$9, 100%, $E$9)</f>
        <v>3.5836000000000001</v>
      </c>
      <c r="G38" s="11">
        <f>3.5872 * CHOOSE(CONTROL!$C$32, $C$9, 100%, $E$9)</f>
        <v>3.5872000000000002</v>
      </c>
      <c r="H38" s="11">
        <f>5.8289 * CHOOSE(CONTROL!$C$32, $C$9, 100%, $E$9)</f>
        <v>5.8289</v>
      </c>
      <c r="I38" s="11">
        <f>5.8325 * CHOOSE(CONTROL!$C$32, $C$9, 100%, $E$9)</f>
        <v>5.8324999999999996</v>
      </c>
      <c r="J38" s="11">
        <f>5.8289 * CHOOSE(CONTROL!$C$32, $C$9, 100%, $E$9)</f>
        <v>5.8289</v>
      </c>
      <c r="K38" s="11">
        <f>5.8325 * CHOOSE(CONTROL!$C$32, $C$9, 100%, $E$9)</f>
        <v>5.8324999999999996</v>
      </c>
      <c r="L38" s="11">
        <f>3.8055 * CHOOSE(CONTROL!$C$32, $C$9, 100%, $E$9)</f>
        <v>3.8054999999999999</v>
      </c>
      <c r="M38" s="11">
        <f>3.8091 * CHOOSE(CONTROL!$C$32, $C$9, 100%, $E$9)</f>
        <v>3.8090999999999999</v>
      </c>
      <c r="N38" s="11">
        <f>3.8055 * CHOOSE(CONTROL!$C$32, $C$9, 100%, $E$9)</f>
        <v>3.8054999999999999</v>
      </c>
      <c r="O38" s="11">
        <f>3.8091 * CHOOSE(CONTROL!$C$32, $C$9, 100%, $E$9)</f>
        <v>3.8090999999999999</v>
      </c>
      <c r="P38" s="14"/>
      <c r="Q38" s="11"/>
      <c r="R38" s="11"/>
    </row>
    <row r="39" spans="1:18" ht="15" x14ac:dyDescent="0.2">
      <c r="A39" s="13">
        <v>42036</v>
      </c>
      <c r="B39" s="9">
        <f>2.4638 * CHOOSE(CONTROL!$C$32, $C$9, 100%, $E$9)</f>
        <v>2.4638</v>
      </c>
      <c r="C39" s="9">
        <f>2.4638 * CHOOSE(CONTROL!$C$32, $C$9, 100%, $E$9)</f>
        <v>2.4638</v>
      </c>
      <c r="D39" s="9">
        <f>2.4648 * CHOOSE(CONTROL!$C$32, $C$9, 100%, $E$9)</f>
        <v>2.4647999999999999</v>
      </c>
      <c r="E39" s="11">
        <f>3.7577 * CHOOSE(CONTROL!$C$32, $C$9, 100%, $E$9)</f>
        <v>3.7576999999999998</v>
      </c>
      <c r="F39" s="11">
        <f>3.5836 * CHOOSE(CONTROL!$C$32, $C$9, 100%, $E$9)</f>
        <v>3.5836000000000001</v>
      </c>
      <c r="G39" s="11">
        <f>3.5872 * CHOOSE(CONTROL!$C$32, $C$9, 100%, $E$9)</f>
        <v>3.5872000000000002</v>
      </c>
      <c r="H39" s="11">
        <f>5.841 * CHOOSE(CONTROL!$C$32, $C$9, 100%, $E$9)</f>
        <v>5.8410000000000002</v>
      </c>
      <c r="I39" s="11">
        <f>5.8447 * CHOOSE(CONTROL!$C$32, $C$9, 100%, $E$9)</f>
        <v>5.8446999999999996</v>
      </c>
      <c r="J39" s="11">
        <f>5.841 * CHOOSE(CONTROL!$C$32, $C$9, 100%, $E$9)</f>
        <v>5.8410000000000002</v>
      </c>
      <c r="K39" s="11">
        <f>5.8447 * CHOOSE(CONTROL!$C$32, $C$9, 100%, $E$9)</f>
        <v>5.8446999999999996</v>
      </c>
      <c r="L39" s="11">
        <f>3.7577 * CHOOSE(CONTROL!$C$32, $C$9, 100%, $E$9)</f>
        <v>3.7576999999999998</v>
      </c>
      <c r="M39" s="11">
        <f>3.7613 * CHOOSE(CONTROL!$C$32, $C$9, 100%, $E$9)</f>
        <v>3.7612999999999999</v>
      </c>
      <c r="N39" s="11">
        <f>3.7577 * CHOOSE(CONTROL!$C$32, $C$9, 100%, $E$9)</f>
        <v>3.7576999999999998</v>
      </c>
      <c r="O39" s="11">
        <f>3.7613 * CHOOSE(CONTROL!$C$32, $C$9, 100%, $E$9)</f>
        <v>3.7612999999999999</v>
      </c>
      <c r="P39" s="14"/>
      <c r="Q39" s="11"/>
      <c r="R39" s="11"/>
    </row>
    <row r="40" spans="1:18" ht="15" x14ac:dyDescent="0.2">
      <c r="A40" s="13">
        <v>42064</v>
      </c>
      <c r="B40" s="9">
        <f>2.4574 * CHOOSE(CONTROL!$C$32, $C$9, 100%, $E$9)</f>
        <v>2.4573999999999998</v>
      </c>
      <c r="C40" s="9">
        <f>2.4574 * CHOOSE(CONTROL!$C$32, $C$9, 100%, $E$9)</f>
        <v>2.4573999999999998</v>
      </c>
      <c r="D40" s="9">
        <f>2.4584 * CHOOSE(CONTROL!$C$32, $C$9, 100%, $E$9)</f>
        <v>2.4584000000000001</v>
      </c>
      <c r="E40" s="11">
        <f>3.686 * CHOOSE(CONTROL!$C$32, $C$9, 100%, $E$9)</f>
        <v>3.6859999999999999</v>
      </c>
      <c r="F40" s="11">
        <f>3.5836 * CHOOSE(CONTROL!$C$32, $C$9, 100%, $E$9)</f>
        <v>3.5836000000000001</v>
      </c>
      <c r="G40" s="11">
        <f>3.5872 * CHOOSE(CONTROL!$C$32, $C$9, 100%, $E$9)</f>
        <v>3.5872000000000002</v>
      </c>
      <c r="H40" s="11">
        <f>5.8532 * CHOOSE(CONTROL!$C$32, $C$9, 100%, $E$9)</f>
        <v>5.8532000000000002</v>
      </c>
      <c r="I40" s="11">
        <f>5.8568 * CHOOSE(CONTROL!$C$32, $C$9, 100%, $E$9)</f>
        <v>5.8567999999999998</v>
      </c>
      <c r="J40" s="11">
        <f>5.8532 * CHOOSE(CONTROL!$C$32, $C$9, 100%, $E$9)</f>
        <v>5.8532000000000002</v>
      </c>
      <c r="K40" s="11">
        <f>5.8568 * CHOOSE(CONTROL!$C$32, $C$9, 100%, $E$9)</f>
        <v>5.8567999999999998</v>
      </c>
      <c r="L40" s="11">
        <f>3.686 * CHOOSE(CONTROL!$C$32, $C$9, 100%, $E$9)</f>
        <v>3.6859999999999999</v>
      </c>
      <c r="M40" s="11">
        <f>3.6896 * CHOOSE(CONTROL!$C$32, $C$9, 100%, $E$9)</f>
        <v>3.6896</v>
      </c>
      <c r="N40" s="11">
        <f>3.686 * CHOOSE(CONTROL!$C$32, $C$9, 100%, $E$9)</f>
        <v>3.6859999999999999</v>
      </c>
      <c r="O40" s="11">
        <f>3.6896 * CHOOSE(CONTROL!$C$32, $C$9, 100%, $E$9)</f>
        <v>3.6896</v>
      </c>
      <c r="P40" s="14"/>
      <c r="Q40" s="11"/>
      <c r="R40" s="11"/>
    </row>
    <row r="41" spans="1:18" ht="15" x14ac:dyDescent="0.2">
      <c r="A41" s="13">
        <v>42095</v>
      </c>
      <c r="B41" s="9">
        <f>2.4574 * CHOOSE(CONTROL!$C$32, $C$9, 100%, $E$9)</f>
        <v>2.4573999999999998</v>
      </c>
      <c r="C41" s="9">
        <f>2.4574 * CHOOSE(CONTROL!$C$32, $C$9, 100%, $E$9)</f>
        <v>2.4573999999999998</v>
      </c>
      <c r="D41" s="9">
        <f>2.4584 * CHOOSE(CONTROL!$C$32, $C$9, 100%, $E$9)</f>
        <v>2.4584000000000001</v>
      </c>
      <c r="E41" s="11">
        <f>3.6986 * CHOOSE(CONTROL!$C$32, $C$9, 100%, $E$9)</f>
        <v>3.6985999999999999</v>
      </c>
      <c r="F41" s="11">
        <f>3.5836 * CHOOSE(CONTROL!$C$32, $C$9, 100%, $E$9)</f>
        <v>3.5836000000000001</v>
      </c>
      <c r="G41" s="11">
        <f>3.5872 * CHOOSE(CONTROL!$C$32, $C$9, 100%, $E$9)</f>
        <v>3.5872000000000002</v>
      </c>
      <c r="H41" s="11">
        <f>5.8654 * CHOOSE(CONTROL!$C$32, $C$9, 100%, $E$9)</f>
        <v>5.8654000000000002</v>
      </c>
      <c r="I41" s="11">
        <f>5.869 * CHOOSE(CONTROL!$C$32, $C$9, 100%, $E$9)</f>
        <v>5.8689999999999998</v>
      </c>
      <c r="J41" s="11">
        <f>5.8654 * CHOOSE(CONTROL!$C$32, $C$9, 100%, $E$9)</f>
        <v>5.8654000000000002</v>
      </c>
      <c r="K41" s="11">
        <f>5.869 * CHOOSE(CONTROL!$C$32, $C$9, 100%, $E$9)</f>
        <v>5.8689999999999998</v>
      </c>
      <c r="L41" s="11">
        <f>3.6986 * CHOOSE(CONTROL!$C$32, $C$9, 100%, $E$9)</f>
        <v>3.6985999999999999</v>
      </c>
      <c r="M41" s="11">
        <f>3.7022 * CHOOSE(CONTROL!$C$32, $C$9, 100%, $E$9)</f>
        <v>3.7021999999999999</v>
      </c>
      <c r="N41" s="11">
        <f>3.6986 * CHOOSE(CONTROL!$C$32, $C$9, 100%, $E$9)</f>
        <v>3.6985999999999999</v>
      </c>
      <c r="O41" s="11">
        <f>3.7022 * CHOOSE(CONTROL!$C$32, $C$9, 100%, $E$9)</f>
        <v>3.7021999999999999</v>
      </c>
      <c r="P41" s="14"/>
      <c r="Q41" s="11"/>
      <c r="R41" s="11"/>
    </row>
    <row r="42" spans="1:18" ht="15" x14ac:dyDescent="0.2">
      <c r="A42" s="13">
        <v>42125</v>
      </c>
      <c r="B42" s="9">
        <f>2.4559 * CHOOSE(CONTROL!$C$32, $C$9, 100%, $E$9)</f>
        <v>2.4559000000000002</v>
      </c>
      <c r="C42" s="9">
        <f>2.4559 * CHOOSE(CONTROL!$C$32, $C$9, 100%, $E$9)</f>
        <v>2.4559000000000002</v>
      </c>
      <c r="D42" s="9">
        <f>2.4575 * CHOOSE(CONTROL!$C$32, $C$9, 100%, $E$9)</f>
        <v>2.4575</v>
      </c>
      <c r="E42" s="11">
        <f>3.7718 * CHOOSE(CONTROL!$C$32, $C$9, 100%, $E$9)</f>
        <v>3.7717999999999998</v>
      </c>
      <c r="F42" s="11">
        <f>3.5836 * CHOOSE(CONTROL!$C$32, $C$9, 100%, $E$9)</f>
        <v>3.5836000000000001</v>
      </c>
      <c r="G42" s="11">
        <f>3.5889 * CHOOSE(CONTROL!$C$32, $C$9, 100%, $E$9)</f>
        <v>3.5889000000000002</v>
      </c>
      <c r="H42" s="11">
        <f>5.8776 * CHOOSE(CONTROL!$C$32, $C$9, 100%, $E$9)</f>
        <v>5.8776000000000002</v>
      </c>
      <c r="I42" s="11">
        <f>5.8829 * CHOOSE(CONTROL!$C$32, $C$9, 100%, $E$9)</f>
        <v>5.8829000000000002</v>
      </c>
      <c r="J42" s="11">
        <f>5.8776 * CHOOSE(CONTROL!$C$32, $C$9, 100%, $E$9)</f>
        <v>5.8776000000000002</v>
      </c>
      <c r="K42" s="11">
        <f>5.8829 * CHOOSE(CONTROL!$C$32, $C$9, 100%, $E$9)</f>
        <v>5.8829000000000002</v>
      </c>
      <c r="L42" s="11">
        <f>3.7718 * CHOOSE(CONTROL!$C$32, $C$9, 100%, $E$9)</f>
        <v>3.7717999999999998</v>
      </c>
      <c r="M42" s="11">
        <f>3.7771 * CHOOSE(CONTROL!$C$32, $C$9, 100%, $E$9)</f>
        <v>3.7770999999999999</v>
      </c>
      <c r="N42" s="11">
        <f>3.7718 * CHOOSE(CONTROL!$C$32, $C$9, 100%, $E$9)</f>
        <v>3.7717999999999998</v>
      </c>
      <c r="O42" s="11">
        <f>3.7771 * CHOOSE(CONTROL!$C$32, $C$9, 100%, $E$9)</f>
        <v>3.7770999999999999</v>
      </c>
      <c r="P42" s="14"/>
      <c r="Q42" s="11"/>
      <c r="R42" s="11"/>
    </row>
    <row r="43" spans="1:18" ht="15" x14ac:dyDescent="0.2">
      <c r="A43" s="13">
        <v>42156</v>
      </c>
      <c r="B43" s="9">
        <f>2.4775 * CHOOSE(CONTROL!$C$32, $C$9, 100%, $E$9)</f>
        <v>2.4775</v>
      </c>
      <c r="C43" s="9">
        <f>2.4775 * CHOOSE(CONTROL!$C$32, $C$9, 100%, $E$9)</f>
        <v>2.4775</v>
      </c>
      <c r="D43" s="9">
        <f>2.4791 * CHOOSE(CONTROL!$C$32, $C$9, 100%, $E$9)</f>
        <v>2.4790999999999999</v>
      </c>
      <c r="E43" s="11">
        <f>3.8167 * CHOOSE(CONTROL!$C$32, $C$9, 100%, $E$9)</f>
        <v>3.8167</v>
      </c>
      <c r="F43" s="11">
        <f>3.5836 * CHOOSE(CONTROL!$C$32, $C$9, 100%, $E$9)</f>
        <v>3.5836000000000001</v>
      </c>
      <c r="G43" s="11">
        <f>3.5889 * CHOOSE(CONTROL!$C$32, $C$9, 100%, $E$9)</f>
        <v>3.5889000000000002</v>
      </c>
      <c r="H43" s="11">
        <f>5.8899 * CHOOSE(CONTROL!$C$32, $C$9, 100%, $E$9)</f>
        <v>5.8898999999999999</v>
      </c>
      <c r="I43" s="11">
        <f>5.8952 * CHOOSE(CONTROL!$C$32, $C$9, 100%, $E$9)</f>
        <v>5.8952</v>
      </c>
      <c r="J43" s="11">
        <f>5.8899 * CHOOSE(CONTROL!$C$32, $C$9, 100%, $E$9)</f>
        <v>5.8898999999999999</v>
      </c>
      <c r="K43" s="11">
        <f>5.8952 * CHOOSE(CONTROL!$C$32, $C$9, 100%, $E$9)</f>
        <v>5.8952</v>
      </c>
      <c r="L43" s="11">
        <f>3.8167 * CHOOSE(CONTROL!$C$32, $C$9, 100%, $E$9)</f>
        <v>3.8167</v>
      </c>
      <c r="M43" s="11">
        <f>3.822 * CHOOSE(CONTROL!$C$32, $C$9, 100%, $E$9)</f>
        <v>3.8220000000000001</v>
      </c>
      <c r="N43" s="11">
        <f>3.8167 * CHOOSE(CONTROL!$C$32, $C$9, 100%, $E$9)</f>
        <v>3.8167</v>
      </c>
      <c r="O43" s="11">
        <f>3.822 * CHOOSE(CONTROL!$C$32, $C$9, 100%, $E$9)</f>
        <v>3.8220000000000001</v>
      </c>
      <c r="P43" s="14"/>
      <c r="Q43" s="11"/>
      <c r="R43" s="11"/>
    </row>
    <row r="44" spans="1:18" ht="15" x14ac:dyDescent="0.2">
      <c r="A44" s="13">
        <v>42186</v>
      </c>
      <c r="B44" s="9">
        <f>2.5019 * CHOOSE(CONTROL!$C$32, $C$9, 100%, $E$9)</f>
        <v>2.5019</v>
      </c>
      <c r="C44" s="9">
        <f>2.5019 * CHOOSE(CONTROL!$C$32, $C$9, 100%, $E$9)</f>
        <v>2.5019</v>
      </c>
      <c r="D44" s="9">
        <f>2.5034 * CHOOSE(CONTROL!$C$32, $C$9, 100%, $E$9)</f>
        <v>2.5034000000000001</v>
      </c>
      <c r="E44" s="11">
        <f>3.8864 * CHOOSE(CONTROL!$C$32, $C$9, 100%, $E$9)</f>
        <v>3.8864000000000001</v>
      </c>
      <c r="F44" s="11">
        <f>3.5836 * CHOOSE(CONTROL!$C$32, $C$9, 100%, $E$9)</f>
        <v>3.5836000000000001</v>
      </c>
      <c r="G44" s="11">
        <f>3.5889 * CHOOSE(CONTROL!$C$32, $C$9, 100%, $E$9)</f>
        <v>3.5889000000000002</v>
      </c>
      <c r="H44" s="11">
        <f>5.9021 * CHOOSE(CONTROL!$C$32, $C$9, 100%, $E$9)</f>
        <v>5.9020999999999999</v>
      </c>
      <c r="I44" s="11">
        <f>5.9074 * CHOOSE(CONTROL!$C$32, $C$9, 100%, $E$9)</f>
        <v>5.9074</v>
      </c>
      <c r="J44" s="11">
        <f>5.9021 * CHOOSE(CONTROL!$C$32, $C$9, 100%, $E$9)</f>
        <v>5.9020999999999999</v>
      </c>
      <c r="K44" s="11">
        <f>5.9074 * CHOOSE(CONTROL!$C$32, $C$9, 100%, $E$9)</f>
        <v>5.9074</v>
      </c>
      <c r="L44" s="11">
        <f>3.8864 * CHOOSE(CONTROL!$C$32, $C$9, 100%, $E$9)</f>
        <v>3.8864000000000001</v>
      </c>
      <c r="M44" s="11">
        <f>3.8917 * CHOOSE(CONTROL!$C$32, $C$9, 100%, $E$9)</f>
        <v>3.8917000000000002</v>
      </c>
      <c r="N44" s="11">
        <f>3.8864 * CHOOSE(CONTROL!$C$32, $C$9, 100%, $E$9)</f>
        <v>3.8864000000000001</v>
      </c>
      <c r="O44" s="11">
        <f>3.8917 * CHOOSE(CONTROL!$C$32, $C$9, 100%, $E$9)</f>
        <v>3.8917000000000002</v>
      </c>
      <c r="P44" s="14"/>
      <c r="Q44" s="11"/>
      <c r="R44" s="11"/>
    </row>
    <row r="45" spans="1:18" ht="15" x14ac:dyDescent="0.2">
      <c r="A45" s="13">
        <v>42217</v>
      </c>
      <c r="B45" s="9">
        <f>2.5126 * CHOOSE(CONTROL!$C$32, $C$9, 100%, $E$9)</f>
        <v>2.5125999999999999</v>
      </c>
      <c r="C45" s="9">
        <f>2.5126 * CHOOSE(CONTROL!$C$32, $C$9, 100%, $E$9)</f>
        <v>2.5125999999999999</v>
      </c>
      <c r="D45" s="9">
        <f>2.5142 * CHOOSE(CONTROL!$C$32, $C$9, 100%, $E$9)</f>
        <v>2.5142000000000002</v>
      </c>
      <c r="E45" s="11">
        <f>3.8864 * CHOOSE(CONTROL!$C$32, $C$9, 100%, $E$9)</f>
        <v>3.8864000000000001</v>
      </c>
      <c r="F45" s="11">
        <f>3.5836 * CHOOSE(CONTROL!$C$32, $C$9, 100%, $E$9)</f>
        <v>3.5836000000000001</v>
      </c>
      <c r="G45" s="11">
        <f>3.5889 * CHOOSE(CONTROL!$C$32, $C$9, 100%, $E$9)</f>
        <v>3.5889000000000002</v>
      </c>
      <c r="H45" s="11">
        <f>5.9144 * CHOOSE(CONTROL!$C$32, $C$9, 100%, $E$9)</f>
        <v>5.9143999999999997</v>
      </c>
      <c r="I45" s="11">
        <f>5.9197 * CHOOSE(CONTROL!$C$32, $C$9, 100%, $E$9)</f>
        <v>5.9196999999999997</v>
      </c>
      <c r="J45" s="11">
        <f>5.9144 * CHOOSE(CONTROL!$C$32, $C$9, 100%, $E$9)</f>
        <v>5.9143999999999997</v>
      </c>
      <c r="K45" s="11">
        <f>5.9197 * CHOOSE(CONTROL!$C$32, $C$9, 100%, $E$9)</f>
        <v>5.9196999999999997</v>
      </c>
      <c r="L45" s="11">
        <f>3.8864 * CHOOSE(CONTROL!$C$32, $C$9, 100%, $E$9)</f>
        <v>3.8864000000000001</v>
      </c>
      <c r="M45" s="11">
        <f>3.8917 * CHOOSE(CONTROL!$C$32, $C$9, 100%, $E$9)</f>
        <v>3.8917000000000002</v>
      </c>
      <c r="N45" s="11">
        <f>3.8864 * CHOOSE(CONTROL!$C$32, $C$9, 100%, $E$9)</f>
        <v>3.8864000000000001</v>
      </c>
      <c r="O45" s="11">
        <f>3.8917 * CHOOSE(CONTROL!$C$32, $C$9, 100%, $E$9)</f>
        <v>3.8917000000000002</v>
      </c>
      <c r="P45" s="14"/>
      <c r="Q45" s="11"/>
      <c r="R45" s="11"/>
    </row>
    <row r="46" spans="1:18" ht="15" x14ac:dyDescent="0.2">
      <c r="A46" s="13">
        <v>42248</v>
      </c>
      <c r="B46" s="9">
        <f>2.5129 * CHOOSE(CONTROL!$C$32, $C$9, 100%, $E$9)</f>
        <v>2.5129000000000001</v>
      </c>
      <c r="C46" s="9">
        <f>2.5129 * CHOOSE(CONTROL!$C$32, $C$9, 100%, $E$9)</f>
        <v>2.5129000000000001</v>
      </c>
      <c r="D46" s="9">
        <f>2.5145 * CHOOSE(CONTROL!$C$32, $C$9, 100%, $E$9)</f>
        <v>2.5145</v>
      </c>
      <c r="E46" s="11">
        <f>3.7811 * CHOOSE(CONTROL!$C$32, $C$9, 100%, $E$9)</f>
        <v>3.7810999999999999</v>
      </c>
      <c r="F46" s="11">
        <f>3.5836 * CHOOSE(CONTROL!$C$32, $C$9, 100%, $E$9)</f>
        <v>3.5836000000000001</v>
      </c>
      <c r="G46" s="11">
        <f>3.5889 * CHOOSE(CONTROL!$C$32, $C$9, 100%, $E$9)</f>
        <v>3.5889000000000002</v>
      </c>
      <c r="H46" s="11">
        <f>5.9268 * CHOOSE(CONTROL!$C$32, $C$9, 100%, $E$9)</f>
        <v>5.9268000000000001</v>
      </c>
      <c r="I46" s="11">
        <f>5.9321 * CHOOSE(CONTROL!$C$32, $C$9, 100%, $E$9)</f>
        <v>5.9321000000000002</v>
      </c>
      <c r="J46" s="11">
        <f>5.9268 * CHOOSE(CONTROL!$C$32, $C$9, 100%, $E$9)</f>
        <v>5.9268000000000001</v>
      </c>
      <c r="K46" s="11">
        <f>5.9321 * CHOOSE(CONTROL!$C$32, $C$9, 100%, $E$9)</f>
        <v>5.9321000000000002</v>
      </c>
      <c r="L46" s="11">
        <f>3.7811 * CHOOSE(CONTROL!$C$32, $C$9, 100%, $E$9)</f>
        <v>3.7810999999999999</v>
      </c>
      <c r="M46" s="11">
        <f>3.7864 * CHOOSE(CONTROL!$C$32, $C$9, 100%, $E$9)</f>
        <v>3.7864</v>
      </c>
      <c r="N46" s="11">
        <f>3.7811 * CHOOSE(CONTROL!$C$32, $C$9, 100%, $E$9)</f>
        <v>3.7810999999999999</v>
      </c>
      <c r="O46" s="11">
        <f>3.7864 * CHOOSE(CONTROL!$C$32, $C$9, 100%, $E$9)</f>
        <v>3.7864</v>
      </c>
      <c r="P46" s="14"/>
      <c r="Q46" s="11"/>
      <c r="R46" s="11"/>
    </row>
    <row r="47" spans="1:18" ht="15" x14ac:dyDescent="0.2">
      <c r="A47" s="13">
        <v>42278</v>
      </c>
      <c r="B47" s="9">
        <f>2.5008 * CHOOSE(CONTROL!$C$32, $C$9, 100%, $E$9)</f>
        <v>2.5007999999999999</v>
      </c>
      <c r="C47" s="9">
        <f>2.5008 * CHOOSE(CONTROL!$C$32, $C$9, 100%, $E$9)</f>
        <v>2.5007999999999999</v>
      </c>
      <c r="D47" s="9">
        <f>2.5019 * CHOOSE(CONTROL!$C$32, $C$9, 100%, $E$9)</f>
        <v>2.5019</v>
      </c>
      <c r="E47" s="11">
        <f>3.865 * CHOOSE(CONTROL!$C$32, $C$9, 100%, $E$9)</f>
        <v>3.8650000000000002</v>
      </c>
      <c r="F47" s="11">
        <f>3.5836 * CHOOSE(CONTROL!$C$32, $C$9, 100%, $E$9)</f>
        <v>3.5836000000000001</v>
      </c>
      <c r="G47" s="11">
        <f>3.5872 * CHOOSE(CONTROL!$C$32, $C$9, 100%, $E$9)</f>
        <v>3.5872000000000002</v>
      </c>
      <c r="H47" s="11">
        <f>5.9391 * CHOOSE(CONTROL!$C$32, $C$9, 100%, $E$9)</f>
        <v>5.9390999999999998</v>
      </c>
      <c r="I47" s="11">
        <f>5.9427 * CHOOSE(CONTROL!$C$32, $C$9, 100%, $E$9)</f>
        <v>5.9427000000000003</v>
      </c>
      <c r="J47" s="11">
        <f>5.9391 * CHOOSE(CONTROL!$C$32, $C$9, 100%, $E$9)</f>
        <v>5.9390999999999998</v>
      </c>
      <c r="K47" s="11">
        <f>5.9427 * CHOOSE(CONTROL!$C$32, $C$9, 100%, $E$9)</f>
        <v>5.9427000000000003</v>
      </c>
      <c r="L47" s="11">
        <f>3.865 * CHOOSE(CONTROL!$C$32, $C$9, 100%, $E$9)</f>
        <v>3.8650000000000002</v>
      </c>
      <c r="M47" s="11">
        <f>3.8686 * CHOOSE(CONTROL!$C$32, $C$9, 100%, $E$9)</f>
        <v>3.8685999999999998</v>
      </c>
      <c r="N47" s="11">
        <f>3.865 * CHOOSE(CONTROL!$C$32, $C$9, 100%, $E$9)</f>
        <v>3.8650000000000002</v>
      </c>
      <c r="O47" s="11">
        <f>3.8686 * CHOOSE(CONTROL!$C$32, $C$9, 100%, $E$9)</f>
        <v>3.8685999999999998</v>
      </c>
      <c r="P47" s="14"/>
      <c r="Q47" s="11"/>
      <c r="R47" s="11"/>
    </row>
    <row r="48" spans="1:18" ht="15" x14ac:dyDescent="0.2">
      <c r="A48" s="13">
        <v>42309</v>
      </c>
      <c r="B48" s="9">
        <f>2.5055 * CHOOSE(CONTROL!$C$32, $C$9, 100%, $E$9)</f>
        <v>2.5055000000000001</v>
      </c>
      <c r="C48" s="9">
        <f>2.5055 * CHOOSE(CONTROL!$C$32, $C$9, 100%, $E$9)</f>
        <v>2.5055000000000001</v>
      </c>
      <c r="D48" s="9">
        <f>2.5065 * CHOOSE(CONTROL!$C$32, $C$9, 100%, $E$9)</f>
        <v>2.5065</v>
      </c>
      <c r="E48" s="11">
        <f>3.865 * CHOOSE(CONTROL!$C$32, $C$9, 100%, $E$9)</f>
        <v>3.8650000000000002</v>
      </c>
      <c r="F48" s="11">
        <f>3.5836 * CHOOSE(CONTROL!$C$32, $C$9, 100%, $E$9)</f>
        <v>3.5836000000000001</v>
      </c>
      <c r="G48" s="11">
        <f>3.5872 * CHOOSE(CONTROL!$C$32, $C$9, 100%, $E$9)</f>
        <v>3.5872000000000002</v>
      </c>
      <c r="H48" s="11">
        <f>5.9515 * CHOOSE(CONTROL!$C$32, $C$9, 100%, $E$9)</f>
        <v>5.9515000000000002</v>
      </c>
      <c r="I48" s="11">
        <f>5.9551 * CHOOSE(CONTROL!$C$32, $C$9, 100%, $E$9)</f>
        <v>5.9550999999999998</v>
      </c>
      <c r="J48" s="11">
        <f>5.9515 * CHOOSE(CONTROL!$C$32, $C$9, 100%, $E$9)</f>
        <v>5.9515000000000002</v>
      </c>
      <c r="K48" s="11">
        <f>5.9551 * CHOOSE(CONTROL!$C$32, $C$9, 100%, $E$9)</f>
        <v>5.9550999999999998</v>
      </c>
      <c r="L48" s="11">
        <f>3.865 * CHOOSE(CONTROL!$C$32, $C$9, 100%, $E$9)</f>
        <v>3.8650000000000002</v>
      </c>
      <c r="M48" s="11">
        <f>3.8686 * CHOOSE(CONTROL!$C$32, $C$9, 100%, $E$9)</f>
        <v>3.8685999999999998</v>
      </c>
      <c r="N48" s="11">
        <f>3.865 * CHOOSE(CONTROL!$C$32, $C$9, 100%, $E$9)</f>
        <v>3.8650000000000002</v>
      </c>
      <c r="O48" s="11">
        <f>3.8686 * CHOOSE(CONTROL!$C$32, $C$9, 100%, $E$9)</f>
        <v>3.8685999999999998</v>
      </c>
      <c r="P48" s="14"/>
      <c r="Q48" s="11"/>
      <c r="R48" s="11"/>
    </row>
    <row r="49" spans="1:18" ht="15" x14ac:dyDescent="0.2">
      <c r="A49" s="13">
        <v>42339</v>
      </c>
      <c r="B49" s="9">
        <f>2.5088 * CHOOSE(CONTROL!$C$32, $C$9, 100%, $E$9)</f>
        <v>2.5087999999999999</v>
      </c>
      <c r="C49" s="9">
        <f>2.5088 * CHOOSE(CONTROL!$C$32, $C$9, 100%, $E$9)</f>
        <v>2.5087999999999999</v>
      </c>
      <c r="D49" s="9">
        <f>2.5099 * CHOOSE(CONTROL!$C$32, $C$9, 100%, $E$9)</f>
        <v>2.5099</v>
      </c>
      <c r="E49" s="11">
        <f>3.8041 * CHOOSE(CONTROL!$C$32, $C$9, 100%, $E$9)</f>
        <v>3.8041</v>
      </c>
      <c r="F49" s="11">
        <f>3.5836 * CHOOSE(CONTROL!$C$32, $C$9, 100%, $E$9)</f>
        <v>3.5836000000000001</v>
      </c>
      <c r="G49" s="11">
        <f>3.5872 * CHOOSE(CONTROL!$C$32, $C$9, 100%, $E$9)</f>
        <v>3.5872000000000002</v>
      </c>
      <c r="H49" s="11">
        <f>5.9639 * CHOOSE(CONTROL!$C$32, $C$9, 100%, $E$9)</f>
        <v>5.9638999999999998</v>
      </c>
      <c r="I49" s="11">
        <f>5.9675 * CHOOSE(CONTROL!$C$32, $C$9, 100%, $E$9)</f>
        <v>5.9675000000000002</v>
      </c>
      <c r="J49" s="11">
        <f>5.9639 * CHOOSE(CONTROL!$C$32, $C$9, 100%, $E$9)</f>
        <v>5.9638999999999998</v>
      </c>
      <c r="K49" s="11">
        <f>5.9675 * CHOOSE(CONTROL!$C$32, $C$9, 100%, $E$9)</f>
        <v>5.9675000000000002</v>
      </c>
      <c r="L49" s="11">
        <f>3.8041 * CHOOSE(CONTROL!$C$32, $C$9, 100%, $E$9)</f>
        <v>3.8041</v>
      </c>
      <c r="M49" s="11">
        <f>3.8077 * CHOOSE(CONTROL!$C$32, $C$9, 100%, $E$9)</f>
        <v>3.8077000000000001</v>
      </c>
      <c r="N49" s="11">
        <f>3.8041 * CHOOSE(CONTROL!$C$32, $C$9, 100%, $E$9)</f>
        <v>3.8041</v>
      </c>
      <c r="O49" s="11">
        <f>3.8077 * CHOOSE(CONTROL!$C$32, $C$9, 100%, $E$9)</f>
        <v>3.8077000000000001</v>
      </c>
      <c r="P49" s="14"/>
      <c r="Q49" s="11"/>
      <c r="R49" s="11"/>
    </row>
    <row r="50" spans="1:18" ht="15" x14ac:dyDescent="0.2">
      <c r="A50" s="13">
        <v>42370</v>
      </c>
      <c r="B50" s="9">
        <f>3.2679 * CHOOSE(CONTROL!$C$32, $C$9, 100%, $E$9)</f>
        <v>3.2679</v>
      </c>
      <c r="C50" s="9">
        <f>3.2679 * CHOOSE(CONTROL!$C$32, $C$9, 100%, $E$9)</f>
        <v>3.2679</v>
      </c>
      <c r="D50" s="9">
        <f>3.269 * CHOOSE(CONTROL!$C$32, $C$9, 100%, $E$9)</f>
        <v>3.2690000000000001</v>
      </c>
      <c r="E50" s="11">
        <f>3.9546 * CHOOSE(CONTROL!$C$32, $C$9, 100%, $E$9)</f>
        <v>3.9546000000000001</v>
      </c>
      <c r="F50" s="11">
        <f>3.6856 * CHOOSE(CONTROL!$C$32, $C$9, 100%, $E$9)</f>
        <v>3.6856</v>
      </c>
      <c r="G50" s="11">
        <f>3.6892 * CHOOSE(CONTROL!$C$32, $C$9, 100%, $E$9)</f>
        <v>3.6892</v>
      </c>
      <c r="H50" s="11">
        <f>5.9763 * CHOOSE(CONTROL!$C$32, $C$9, 100%, $E$9)</f>
        <v>5.9763000000000002</v>
      </c>
      <c r="I50" s="11">
        <f>5.9799 * CHOOSE(CONTROL!$C$32, $C$9, 100%, $E$9)</f>
        <v>5.9798999999999998</v>
      </c>
      <c r="J50" s="11">
        <f>5.9763 * CHOOSE(CONTROL!$C$32, $C$9, 100%, $E$9)</f>
        <v>5.9763000000000002</v>
      </c>
      <c r="K50" s="11">
        <f>5.9799 * CHOOSE(CONTROL!$C$32, $C$9, 100%, $E$9)</f>
        <v>5.9798999999999998</v>
      </c>
      <c r="L50" s="11">
        <f>3.9546 * CHOOSE(CONTROL!$C$32, $C$9, 100%, $E$9)</f>
        <v>3.9546000000000001</v>
      </c>
      <c r="M50" s="11">
        <f>3.9582 * CHOOSE(CONTROL!$C$32, $C$9, 100%, $E$9)</f>
        <v>3.9582000000000002</v>
      </c>
      <c r="N50" s="11">
        <f>3.9546 * CHOOSE(CONTROL!$C$32, $C$9, 100%, $E$9)</f>
        <v>3.9546000000000001</v>
      </c>
      <c r="O50" s="11">
        <f>3.9582 * CHOOSE(CONTROL!$C$32, $C$9, 100%, $E$9)</f>
        <v>3.9582000000000002</v>
      </c>
      <c r="P50" s="14"/>
      <c r="Q50" s="11"/>
      <c r="R50" s="11"/>
    </row>
    <row r="51" spans="1:18" ht="15" x14ac:dyDescent="0.2">
      <c r="A51" s="13">
        <v>42401</v>
      </c>
      <c r="B51" s="9">
        <f>3.2731 * CHOOSE(CONTROL!$C$32, $C$9, 100%, $E$9)</f>
        <v>3.2730999999999999</v>
      </c>
      <c r="C51" s="9">
        <f>3.2731 * CHOOSE(CONTROL!$C$32, $C$9, 100%, $E$9)</f>
        <v>3.2730999999999999</v>
      </c>
      <c r="D51" s="9">
        <f>3.2741 * CHOOSE(CONTROL!$C$32, $C$9, 100%, $E$9)</f>
        <v>3.2740999999999998</v>
      </c>
      <c r="E51" s="11">
        <f>3.8942 * CHOOSE(CONTROL!$C$32, $C$9, 100%, $E$9)</f>
        <v>3.8942000000000001</v>
      </c>
      <c r="F51" s="11">
        <f>3.6856 * CHOOSE(CONTROL!$C$32, $C$9, 100%, $E$9)</f>
        <v>3.6856</v>
      </c>
      <c r="G51" s="11">
        <f>3.6892 * CHOOSE(CONTROL!$C$32, $C$9, 100%, $E$9)</f>
        <v>3.6892</v>
      </c>
      <c r="H51" s="11">
        <f>5.9888 * CHOOSE(CONTROL!$C$32, $C$9, 100%, $E$9)</f>
        <v>5.9888000000000003</v>
      </c>
      <c r="I51" s="11">
        <f>5.9924 * CHOOSE(CONTROL!$C$32, $C$9, 100%, $E$9)</f>
        <v>5.9923999999999999</v>
      </c>
      <c r="J51" s="11">
        <f>5.9888 * CHOOSE(CONTROL!$C$32, $C$9, 100%, $E$9)</f>
        <v>5.9888000000000003</v>
      </c>
      <c r="K51" s="11">
        <f>5.9924 * CHOOSE(CONTROL!$C$32, $C$9, 100%, $E$9)</f>
        <v>5.9923999999999999</v>
      </c>
      <c r="L51" s="11">
        <f>3.8942 * CHOOSE(CONTROL!$C$32, $C$9, 100%, $E$9)</f>
        <v>3.8942000000000001</v>
      </c>
      <c r="M51" s="11">
        <f>3.8978 * CHOOSE(CONTROL!$C$32, $C$9, 100%, $E$9)</f>
        <v>3.8978000000000002</v>
      </c>
      <c r="N51" s="11">
        <f>3.8942 * CHOOSE(CONTROL!$C$32, $C$9, 100%, $E$9)</f>
        <v>3.8942000000000001</v>
      </c>
      <c r="O51" s="11">
        <f>3.8978 * CHOOSE(CONTROL!$C$32, $C$9, 100%, $E$9)</f>
        <v>3.8978000000000002</v>
      </c>
      <c r="P51" s="14"/>
      <c r="Q51" s="11"/>
      <c r="R51" s="11"/>
    </row>
    <row r="52" spans="1:18" ht="15" x14ac:dyDescent="0.2">
      <c r="A52" s="13">
        <v>42430</v>
      </c>
      <c r="B52" s="9">
        <f>3.2698 * CHOOSE(CONTROL!$C$32, $C$9, 100%, $E$9)</f>
        <v>3.2698</v>
      </c>
      <c r="C52" s="9">
        <f>3.2698 * CHOOSE(CONTROL!$C$32, $C$9, 100%, $E$9)</f>
        <v>3.2698</v>
      </c>
      <c r="D52" s="9">
        <f>3.2709 * CHOOSE(CONTROL!$C$32, $C$9, 100%, $E$9)</f>
        <v>3.2709000000000001</v>
      </c>
      <c r="E52" s="11">
        <f>3.8028 * CHOOSE(CONTROL!$C$32, $C$9, 100%, $E$9)</f>
        <v>3.8028</v>
      </c>
      <c r="F52" s="11">
        <f>3.6856 * CHOOSE(CONTROL!$C$32, $C$9, 100%, $E$9)</f>
        <v>3.6856</v>
      </c>
      <c r="G52" s="11">
        <f>3.6892 * CHOOSE(CONTROL!$C$32, $C$9, 100%, $E$9)</f>
        <v>3.6892</v>
      </c>
      <c r="H52" s="11">
        <f>6.0012 * CHOOSE(CONTROL!$C$32, $C$9, 100%, $E$9)</f>
        <v>6.0011999999999999</v>
      </c>
      <c r="I52" s="11">
        <f>6.0048 * CHOOSE(CONTROL!$C$32, $C$9, 100%, $E$9)</f>
        <v>6.0048000000000004</v>
      </c>
      <c r="J52" s="11">
        <f>6.0012 * CHOOSE(CONTROL!$C$32, $C$9, 100%, $E$9)</f>
        <v>6.0011999999999999</v>
      </c>
      <c r="K52" s="11">
        <f>6.0048 * CHOOSE(CONTROL!$C$32, $C$9, 100%, $E$9)</f>
        <v>6.0048000000000004</v>
      </c>
      <c r="L52" s="11">
        <f>3.8028 * CHOOSE(CONTROL!$C$32, $C$9, 100%, $E$9)</f>
        <v>3.8028</v>
      </c>
      <c r="M52" s="11">
        <f>3.8064 * CHOOSE(CONTROL!$C$32, $C$9, 100%, $E$9)</f>
        <v>3.8064</v>
      </c>
      <c r="N52" s="11">
        <f>3.8028 * CHOOSE(CONTROL!$C$32, $C$9, 100%, $E$9)</f>
        <v>3.8028</v>
      </c>
      <c r="O52" s="11">
        <f>3.8064 * CHOOSE(CONTROL!$C$32, $C$9, 100%, $E$9)</f>
        <v>3.8064</v>
      </c>
      <c r="P52" s="14"/>
      <c r="Q52" s="11"/>
      <c r="R52" s="11"/>
    </row>
    <row r="53" spans="1:18" ht="15" x14ac:dyDescent="0.2">
      <c r="A53" s="13">
        <v>42461</v>
      </c>
      <c r="B53" s="9">
        <f>3.2637 * CHOOSE(CONTROL!$C$32, $C$9, 100%, $E$9)</f>
        <v>3.2637</v>
      </c>
      <c r="C53" s="9">
        <f>3.2637 * CHOOSE(CONTROL!$C$32, $C$9, 100%, $E$9)</f>
        <v>3.2637</v>
      </c>
      <c r="D53" s="9">
        <f>3.2648 * CHOOSE(CONTROL!$C$32, $C$9, 100%, $E$9)</f>
        <v>3.2648000000000001</v>
      </c>
      <c r="E53" s="11">
        <f>3.8942 * CHOOSE(CONTROL!$C$32, $C$9, 100%, $E$9)</f>
        <v>3.8942000000000001</v>
      </c>
      <c r="F53" s="11">
        <f>3.6856 * CHOOSE(CONTROL!$C$32, $C$9, 100%, $E$9)</f>
        <v>3.6856</v>
      </c>
      <c r="G53" s="11">
        <f>3.6892 * CHOOSE(CONTROL!$C$32, $C$9, 100%, $E$9)</f>
        <v>3.6892</v>
      </c>
      <c r="H53" s="11">
        <f>6.0137 * CHOOSE(CONTROL!$C$32, $C$9, 100%, $E$9)</f>
        <v>6.0137</v>
      </c>
      <c r="I53" s="11">
        <f>6.0173 * CHOOSE(CONTROL!$C$32, $C$9, 100%, $E$9)</f>
        <v>6.0172999999999996</v>
      </c>
      <c r="J53" s="11">
        <f>6.0137 * CHOOSE(CONTROL!$C$32, $C$9, 100%, $E$9)</f>
        <v>6.0137</v>
      </c>
      <c r="K53" s="11">
        <f>6.0173 * CHOOSE(CONTROL!$C$32, $C$9, 100%, $E$9)</f>
        <v>6.0172999999999996</v>
      </c>
      <c r="L53" s="11">
        <f>3.8942 * CHOOSE(CONTROL!$C$32, $C$9, 100%, $E$9)</f>
        <v>3.8942000000000001</v>
      </c>
      <c r="M53" s="11">
        <f>3.8978 * CHOOSE(CONTROL!$C$32, $C$9, 100%, $E$9)</f>
        <v>3.8978000000000002</v>
      </c>
      <c r="N53" s="11">
        <f>3.8942 * CHOOSE(CONTROL!$C$32, $C$9, 100%, $E$9)</f>
        <v>3.8942000000000001</v>
      </c>
      <c r="O53" s="11">
        <f>3.8978 * CHOOSE(CONTROL!$C$32, $C$9, 100%, $E$9)</f>
        <v>3.8978000000000002</v>
      </c>
      <c r="P53" s="14"/>
      <c r="Q53" s="11"/>
      <c r="R53" s="11"/>
    </row>
    <row r="54" spans="1:18" ht="15" x14ac:dyDescent="0.2">
      <c r="A54" s="13">
        <v>42491</v>
      </c>
      <c r="B54" s="9">
        <f>3.2722 * CHOOSE(CONTROL!$C$32, $C$9, 100%, $E$9)</f>
        <v>3.2722000000000002</v>
      </c>
      <c r="C54" s="9">
        <f>3.2722 * CHOOSE(CONTROL!$C$32, $C$9, 100%, $E$9)</f>
        <v>3.2722000000000002</v>
      </c>
      <c r="D54" s="9">
        <f>3.2738 * CHOOSE(CONTROL!$C$32, $C$9, 100%, $E$9)</f>
        <v>3.2738</v>
      </c>
      <c r="E54" s="11">
        <f>3.9546 * CHOOSE(CONTROL!$C$32, $C$9, 100%, $E$9)</f>
        <v>3.9546000000000001</v>
      </c>
      <c r="F54" s="11">
        <f>3.6856 * CHOOSE(CONTROL!$C$32, $C$9, 100%, $E$9)</f>
        <v>3.6856</v>
      </c>
      <c r="G54" s="11">
        <f>3.6909 * CHOOSE(CONTROL!$C$32, $C$9, 100%, $E$9)</f>
        <v>3.6909000000000001</v>
      </c>
      <c r="H54" s="11">
        <f>6.0263 * CHOOSE(CONTROL!$C$32, $C$9, 100%, $E$9)</f>
        <v>6.0263</v>
      </c>
      <c r="I54" s="11">
        <f>6.0316 * CHOOSE(CONTROL!$C$32, $C$9, 100%, $E$9)</f>
        <v>6.0316000000000001</v>
      </c>
      <c r="J54" s="11">
        <f>6.0263 * CHOOSE(CONTROL!$C$32, $C$9, 100%, $E$9)</f>
        <v>6.0263</v>
      </c>
      <c r="K54" s="11">
        <f>6.0316 * CHOOSE(CONTROL!$C$32, $C$9, 100%, $E$9)</f>
        <v>6.0316000000000001</v>
      </c>
      <c r="L54" s="11">
        <f>3.9546 * CHOOSE(CONTROL!$C$32, $C$9, 100%, $E$9)</f>
        <v>3.9546000000000001</v>
      </c>
      <c r="M54" s="11">
        <f>3.9599 * CHOOSE(CONTROL!$C$32, $C$9, 100%, $E$9)</f>
        <v>3.9599000000000002</v>
      </c>
      <c r="N54" s="11">
        <f>3.9546 * CHOOSE(CONTROL!$C$32, $C$9, 100%, $E$9)</f>
        <v>3.9546000000000001</v>
      </c>
      <c r="O54" s="11">
        <f>3.9599 * CHOOSE(CONTROL!$C$32, $C$9, 100%, $E$9)</f>
        <v>3.9599000000000002</v>
      </c>
      <c r="P54" s="14"/>
      <c r="Q54" s="11"/>
      <c r="R54" s="11"/>
    </row>
    <row r="55" spans="1:18" ht="15" x14ac:dyDescent="0.2">
      <c r="A55" s="13">
        <v>42522</v>
      </c>
      <c r="B55" s="9">
        <f>3.2786 * CHOOSE(CONTROL!$C$32, $C$9, 100%, $E$9)</f>
        <v>3.2786</v>
      </c>
      <c r="C55" s="9">
        <f>3.2786 * CHOOSE(CONTROL!$C$32, $C$9, 100%, $E$9)</f>
        <v>3.2786</v>
      </c>
      <c r="D55" s="9">
        <f>3.2801 * CHOOSE(CONTROL!$C$32, $C$9, 100%, $E$9)</f>
        <v>3.2801</v>
      </c>
      <c r="E55" s="11">
        <f>3.9458 * CHOOSE(CONTROL!$C$32, $C$9, 100%, $E$9)</f>
        <v>3.9458000000000002</v>
      </c>
      <c r="F55" s="11">
        <f>3.6856 * CHOOSE(CONTROL!$C$32, $C$9, 100%, $E$9)</f>
        <v>3.6856</v>
      </c>
      <c r="G55" s="11">
        <f>3.6909 * CHOOSE(CONTROL!$C$32, $C$9, 100%, $E$9)</f>
        <v>3.6909000000000001</v>
      </c>
      <c r="H55" s="11">
        <f>6.0388 * CHOOSE(CONTROL!$C$32, $C$9, 100%, $E$9)</f>
        <v>6.0388000000000002</v>
      </c>
      <c r="I55" s="11">
        <f>6.0441 * CHOOSE(CONTROL!$C$32, $C$9, 100%, $E$9)</f>
        <v>6.0441000000000003</v>
      </c>
      <c r="J55" s="11">
        <f>6.0388 * CHOOSE(CONTROL!$C$32, $C$9, 100%, $E$9)</f>
        <v>6.0388000000000002</v>
      </c>
      <c r="K55" s="11">
        <f>6.0441 * CHOOSE(CONTROL!$C$32, $C$9, 100%, $E$9)</f>
        <v>6.0441000000000003</v>
      </c>
      <c r="L55" s="11">
        <f>3.9458 * CHOOSE(CONTROL!$C$32, $C$9, 100%, $E$9)</f>
        <v>3.9458000000000002</v>
      </c>
      <c r="M55" s="11">
        <f>3.9511 * CHOOSE(CONTROL!$C$32, $C$9, 100%, $E$9)</f>
        <v>3.9510999999999998</v>
      </c>
      <c r="N55" s="11">
        <f>3.9458 * CHOOSE(CONTROL!$C$32, $C$9, 100%, $E$9)</f>
        <v>3.9458000000000002</v>
      </c>
      <c r="O55" s="11">
        <f>3.9511 * CHOOSE(CONTROL!$C$32, $C$9, 100%, $E$9)</f>
        <v>3.9510999999999998</v>
      </c>
      <c r="P55" s="14"/>
      <c r="Q55" s="11"/>
      <c r="R55" s="11"/>
    </row>
    <row r="56" spans="1:18" ht="15" x14ac:dyDescent="0.2">
      <c r="A56" s="13">
        <v>42552</v>
      </c>
      <c r="B56" s="9">
        <f>3.2759 * CHOOSE(CONTROL!$C$32, $C$9, 100%, $E$9)</f>
        <v>3.2759</v>
      </c>
      <c r="C56" s="9">
        <f>3.2759 * CHOOSE(CONTROL!$C$32, $C$9, 100%, $E$9)</f>
        <v>3.2759</v>
      </c>
      <c r="D56" s="9">
        <f>3.2774 * CHOOSE(CONTROL!$C$32, $C$9, 100%, $E$9)</f>
        <v>3.2774000000000001</v>
      </c>
      <c r="E56" s="11">
        <f>3.9546 * CHOOSE(CONTROL!$C$32, $C$9, 100%, $E$9)</f>
        <v>3.9546000000000001</v>
      </c>
      <c r="F56" s="11">
        <f>3.6856 * CHOOSE(CONTROL!$C$32, $C$9, 100%, $E$9)</f>
        <v>3.6856</v>
      </c>
      <c r="G56" s="11">
        <f>3.6909 * CHOOSE(CONTROL!$C$32, $C$9, 100%, $E$9)</f>
        <v>3.6909000000000001</v>
      </c>
      <c r="H56" s="11">
        <f>6.0514 * CHOOSE(CONTROL!$C$32, $C$9, 100%, $E$9)</f>
        <v>6.0514000000000001</v>
      </c>
      <c r="I56" s="11">
        <f>6.0567 * CHOOSE(CONTROL!$C$32, $C$9, 100%, $E$9)</f>
        <v>6.0567000000000002</v>
      </c>
      <c r="J56" s="11">
        <f>6.0514 * CHOOSE(CONTROL!$C$32, $C$9, 100%, $E$9)</f>
        <v>6.0514000000000001</v>
      </c>
      <c r="K56" s="11">
        <f>6.0567 * CHOOSE(CONTROL!$C$32, $C$9, 100%, $E$9)</f>
        <v>6.0567000000000002</v>
      </c>
      <c r="L56" s="11">
        <f>3.9546 * CHOOSE(CONTROL!$C$32, $C$9, 100%, $E$9)</f>
        <v>3.9546000000000001</v>
      </c>
      <c r="M56" s="11">
        <f>3.9599 * CHOOSE(CONTROL!$C$32, $C$9, 100%, $E$9)</f>
        <v>3.9599000000000002</v>
      </c>
      <c r="N56" s="11">
        <f>3.9546 * CHOOSE(CONTROL!$C$32, $C$9, 100%, $E$9)</f>
        <v>3.9546000000000001</v>
      </c>
      <c r="O56" s="11">
        <f>3.9599 * CHOOSE(CONTROL!$C$32, $C$9, 100%, $E$9)</f>
        <v>3.9599000000000002</v>
      </c>
      <c r="P56" s="14"/>
      <c r="Q56" s="14"/>
      <c r="R56" s="14"/>
    </row>
    <row r="57" spans="1:18" ht="15" x14ac:dyDescent="0.2">
      <c r="A57" s="13">
        <v>42583</v>
      </c>
      <c r="B57" s="9">
        <f>3.2911 * CHOOSE(CONTROL!$C$32, $C$9, 100%, $E$9)</f>
        <v>3.2911000000000001</v>
      </c>
      <c r="C57" s="9">
        <f>3.2911 * CHOOSE(CONTROL!$C$32, $C$9, 100%, $E$9)</f>
        <v>3.2911000000000001</v>
      </c>
      <c r="D57" s="9">
        <f>3.2926 * CHOOSE(CONTROL!$C$32, $C$9, 100%, $E$9)</f>
        <v>3.2926000000000002</v>
      </c>
      <c r="E57" s="11">
        <f>3.9996 * CHOOSE(CONTROL!$C$32, $C$9, 100%, $E$9)</f>
        <v>3.9996</v>
      </c>
      <c r="F57" s="11">
        <f>3.6856 * CHOOSE(CONTROL!$C$32, $C$9, 100%, $E$9)</f>
        <v>3.6856</v>
      </c>
      <c r="G57" s="11">
        <f>3.6909 * CHOOSE(CONTROL!$C$32, $C$9, 100%, $E$9)</f>
        <v>3.6909000000000001</v>
      </c>
      <c r="H57" s="11">
        <f>6.064 * CHOOSE(CONTROL!$C$32, $C$9, 100%, $E$9)</f>
        <v>6.0640000000000001</v>
      </c>
      <c r="I57" s="11">
        <f>6.0693 * CHOOSE(CONTROL!$C$32, $C$9, 100%, $E$9)</f>
        <v>6.0693000000000001</v>
      </c>
      <c r="J57" s="11">
        <f>6.064 * CHOOSE(CONTROL!$C$32, $C$9, 100%, $E$9)</f>
        <v>6.0640000000000001</v>
      </c>
      <c r="K57" s="11">
        <f>6.0693 * CHOOSE(CONTROL!$C$32, $C$9, 100%, $E$9)</f>
        <v>6.0693000000000001</v>
      </c>
      <c r="L57" s="11">
        <f>3.9996 * CHOOSE(CONTROL!$C$32, $C$9, 100%, $E$9)</f>
        <v>3.9996</v>
      </c>
      <c r="M57" s="11">
        <f>4.0049 * CHOOSE(CONTROL!$C$32, $C$9, 100%, $E$9)</f>
        <v>4.0049000000000001</v>
      </c>
      <c r="N57" s="11">
        <f>3.9996 * CHOOSE(CONTROL!$C$32, $C$9, 100%, $E$9)</f>
        <v>3.9996</v>
      </c>
      <c r="O57" s="11">
        <f>4.0049 * CHOOSE(CONTROL!$C$32, $C$9, 100%, $E$9)</f>
        <v>4.0049000000000001</v>
      </c>
      <c r="P57" s="14"/>
      <c r="Q57" s="14"/>
      <c r="R57" s="14"/>
    </row>
    <row r="58" spans="1:18" ht="15" x14ac:dyDescent="0.2">
      <c r="A58" s="13">
        <v>42614</v>
      </c>
      <c r="B58" s="9">
        <f>3.2883 * CHOOSE(CONTROL!$C$32, $C$9, 100%, $E$9)</f>
        <v>3.2883</v>
      </c>
      <c r="C58" s="9">
        <f>3.2883 * CHOOSE(CONTROL!$C$32, $C$9, 100%, $E$9)</f>
        <v>3.2883</v>
      </c>
      <c r="D58" s="9">
        <f>3.2898 * CHOOSE(CONTROL!$C$32, $C$9, 100%, $E$9)</f>
        <v>3.2898000000000001</v>
      </c>
      <c r="E58" s="11">
        <f>3.9458 * CHOOSE(CONTROL!$C$32, $C$9, 100%, $E$9)</f>
        <v>3.9458000000000002</v>
      </c>
      <c r="F58" s="11">
        <f>3.6856 * CHOOSE(CONTROL!$C$32, $C$9, 100%, $E$9)</f>
        <v>3.6856</v>
      </c>
      <c r="G58" s="11">
        <f>3.6909 * CHOOSE(CONTROL!$C$32, $C$9, 100%, $E$9)</f>
        <v>3.6909000000000001</v>
      </c>
      <c r="H58" s="11">
        <f>6.0766 * CHOOSE(CONTROL!$C$32, $C$9, 100%, $E$9)</f>
        <v>6.0766</v>
      </c>
      <c r="I58" s="11">
        <f>6.0819 * CHOOSE(CONTROL!$C$32, $C$9, 100%, $E$9)</f>
        <v>6.0819000000000001</v>
      </c>
      <c r="J58" s="11">
        <f>6.0766 * CHOOSE(CONTROL!$C$32, $C$9, 100%, $E$9)</f>
        <v>6.0766</v>
      </c>
      <c r="K58" s="11">
        <f>6.0819 * CHOOSE(CONTROL!$C$32, $C$9, 100%, $E$9)</f>
        <v>6.0819000000000001</v>
      </c>
      <c r="L58" s="11">
        <f>3.9458 * CHOOSE(CONTROL!$C$32, $C$9, 100%, $E$9)</f>
        <v>3.9458000000000002</v>
      </c>
      <c r="M58" s="11">
        <f>3.9511 * CHOOSE(CONTROL!$C$32, $C$9, 100%, $E$9)</f>
        <v>3.9510999999999998</v>
      </c>
      <c r="N58" s="11">
        <f>3.9458 * CHOOSE(CONTROL!$C$32, $C$9, 100%, $E$9)</f>
        <v>3.9458000000000002</v>
      </c>
      <c r="O58" s="11">
        <f>3.9511 * CHOOSE(CONTROL!$C$32, $C$9, 100%, $E$9)</f>
        <v>3.9510999999999998</v>
      </c>
      <c r="P58" s="14"/>
      <c r="Q58" s="14"/>
      <c r="R58" s="14"/>
    </row>
    <row r="59" spans="1:18" ht="15" x14ac:dyDescent="0.2">
      <c r="A59" s="13">
        <v>42644</v>
      </c>
      <c r="B59" s="9">
        <f>3.269 * CHOOSE(CONTROL!$C$32, $C$9, 100%, $E$9)</f>
        <v>3.2690000000000001</v>
      </c>
      <c r="C59" s="9">
        <f>3.269 * CHOOSE(CONTROL!$C$32, $C$9, 100%, $E$9)</f>
        <v>3.2690000000000001</v>
      </c>
      <c r="D59" s="9">
        <f>3.2701 * CHOOSE(CONTROL!$C$32, $C$9, 100%, $E$9)</f>
        <v>3.2700999999999998</v>
      </c>
      <c r="E59" s="11">
        <f>4.0035 * CHOOSE(CONTROL!$C$32, $C$9, 100%, $E$9)</f>
        <v>4.0034999999999998</v>
      </c>
      <c r="F59" s="11">
        <f>3.6856 * CHOOSE(CONTROL!$C$32, $C$9, 100%, $E$9)</f>
        <v>3.6856</v>
      </c>
      <c r="G59" s="11">
        <f>3.6892 * CHOOSE(CONTROL!$C$32, $C$9, 100%, $E$9)</f>
        <v>3.6892</v>
      </c>
      <c r="H59" s="11">
        <f>6.0893 * CHOOSE(CONTROL!$C$32, $C$9, 100%, $E$9)</f>
        <v>6.0892999999999997</v>
      </c>
      <c r="I59" s="11">
        <f>6.0929 * CHOOSE(CONTROL!$C$32, $C$9, 100%, $E$9)</f>
        <v>6.0929000000000002</v>
      </c>
      <c r="J59" s="11">
        <f>6.0893 * CHOOSE(CONTROL!$C$32, $C$9, 100%, $E$9)</f>
        <v>6.0892999999999997</v>
      </c>
      <c r="K59" s="11">
        <f>6.0929 * CHOOSE(CONTROL!$C$32, $C$9, 100%, $E$9)</f>
        <v>6.0929000000000002</v>
      </c>
      <c r="L59" s="11">
        <f>4.0035 * CHOOSE(CONTROL!$C$32, $C$9, 100%, $E$9)</f>
        <v>4.0034999999999998</v>
      </c>
      <c r="M59" s="11">
        <f>4.0071 * CHOOSE(CONTROL!$C$32, $C$9, 100%, $E$9)</f>
        <v>4.0071000000000003</v>
      </c>
      <c r="N59" s="11">
        <f>4.0035 * CHOOSE(CONTROL!$C$32, $C$9, 100%, $E$9)</f>
        <v>4.0034999999999998</v>
      </c>
      <c r="O59" s="11">
        <f>4.0071 * CHOOSE(CONTROL!$C$32, $C$9, 100%, $E$9)</f>
        <v>4.0071000000000003</v>
      </c>
      <c r="P59" s="14"/>
      <c r="Q59" s="14"/>
      <c r="R59" s="14"/>
    </row>
    <row r="60" spans="1:18" ht="15" x14ac:dyDescent="0.2">
      <c r="A60" s="13">
        <v>42675</v>
      </c>
      <c r="B60" s="9">
        <f>3.2806 * CHOOSE(CONTROL!$C$32, $C$9, 100%, $E$9)</f>
        <v>3.2806000000000002</v>
      </c>
      <c r="C60" s="9">
        <f>3.2806 * CHOOSE(CONTROL!$C$32, $C$9, 100%, $E$9)</f>
        <v>3.2806000000000002</v>
      </c>
      <c r="D60" s="9">
        <f>3.2817 * CHOOSE(CONTROL!$C$32, $C$9, 100%, $E$9)</f>
        <v>3.2816999999999998</v>
      </c>
      <c r="E60" s="11">
        <f>3.9579 * CHOOSE(CONTROL!$C$32, $C$9, 100%, $E$9)</f>
        <v>3.9579</v>
      </c>
      <c r="F60" s="11">
        <f>3.6856 * CHOOSE(CONTROL!$C$32, $C$9, 100%, $E$9)</f>
        <v>3.6856</v>
      </c>
      <c r="G60" s="11">
        <f>3.6892 * CHOOSE(CONTROL!$C$32, $C$9, 100%, $E$9)</f>
        <v>3.6892</v>
      </c>
      <c r="H60" s="11">
        <f>6.102 * CHOOSE(CONTROL!$C$32, $C$9, 100%, $E$9)</f>
        <v>6.1020000000000003</v>
      </c>
      <c r="I60" s="11">
        <f>6.1056 * CHOOSE(CONTROL!$C$32, $C$9, 100%, $E$9)</f>
        <v>6.1055999999999999</v>
      </c>
      <c r="J60" s="11">
        <f>6.102 * CHOOSE(CONTROL!$C$32, $C$9, 100%, $E$9)</f>
        <v>6.1020000000000003</v>
      </c>
      <c r="K60" s="11">
        <f>6.1056 * CHOOSE(CONTROL!$C$32, $C$9, 100%, $E$9)</f>
        <v>6.1055999999999999</v>
      </c>
      <c r="L60" s="11">
        <f>3.9579 * CHOOSE(CONTROL!$C$32, $C$9, 100%, $E$9)</f>
        <v>3.9579</v>
      </c>
      <c r="M60" s="11">
        <f>3.9615 * CHOOSE(CONTROL!$C$32, $C$9, 100%, $E$9)</f>
        <v>3.9615</v>
      </c>
      <c r="N60" s="11">
        <f>3.9579 * CHOOSE(CONTROL!$C$32, $C$9, 100%, $E$9)</f>
        <v>3.9579</v>
      </c>
      <c r="O60" s="11">
        <f>3.9615 * CHOOSE(CONTROL!$C$32, $C$9, 100%, $E$9)</f>
        <v>3.9615</v>
      </c>
      <c r="P60" s="14"/>
      <c r="Q60" s="14"/>
      <c r="R60" s="14"/>
    </row>
    <row r="61" spans="1:18" ht="15" x14ac:dyDescent="0.2">
      <c r="A61" s="13">
        <v>42705</v>
      </c>
      <c r="B61" s="9">
        <f>3.2808 * CHOOSE(CONTROL!$C$32, $C$9, 100%, $E$9)</f>
        <v>3.2808000000000002</v>
      </c>
      <c r="C61" s="9">
        <f>3.2808 * CHOOSE(CONTROL!$C$32, $C$9, 100%, $E$9)</f>
        <v>3.2808000000000002</v>
      </c>
      <c r="D61" s="9">
        <f>3.2819 * CHOOSE(CONTROL!$C$32, $C$9, 100%, $E$9)</f>
        <v>3.2818999999999998</v>
      </c>
      <c r="E61" s="11">
        <f>3.8968 * CHOOSE(CONTROL!$C$32, $C$9, 100%, $E$9)</f>
        <v>3.8967999999999998</v>
      </c>
      <c r="F61" s="11">
        <f>3.6856 * CHOOSE(CONTROL!$C$32, $C$9, 100%, $E$9)</f>
        <v>3.6856</v>
      </c>
      <c r="G61" s="11">
        <f>3.6892 * CHOOSE(CONTROL!$C$32, $C$9, 100%, $E$9)</f>
        <v>3.6892</v>
      </c>
      <c r="H61" s="11">
        <f>6.1147 * CHOOSE(CONTROL!$C$32, $C$9, 100%, $E$9)</f>
        <v>6.1147</v>
      </c>
      <c r="I61" s="11">
        <f>6.1183 * CHOOSE(CONTROL!$C$32, $C$9, 100%, $E$9)</f>
        <v>6.1182999999999996</v>
      </c>
      <c r="J61" s="11">
        <f>6.1147 * CHOOSE(CONTROL!$C$32, $C$9, 100%, $E$9)</f>
        <v>6.1147</v>
      </c>
      <c r="K61" s="11">
        <f>6.1183 * CHOOSE(CONTROL!$C$32, $C$9, 100%, $E$9)</f>
        <v>6.1182999999999996</v>
      </c>
      <c r="L61" s="11">
        <f>3.8968 * CHOOSE(CONTROL!$C$32, $C$9, 100%, $E$9)</f>
        <v>3.8967999999999998</v>
      </c>
      <c r="M61" s="11">
        <f>3.9004 * CHOOSE(CONTROL!$C$32, $C$9, 100%, $E$9)</f>
        <v>3.9003999999999999</v>
      </c>
      <c r="N61" s="11">
        <f>3.8968 * CHOOSE(CONTROL!$C$32, $C$9, 100%, $E$9)</f>
        <v>3.8967999999999998</v>
      </c>
      <c r="O61" s="11">
        <f>3.9004 * CHOOSE(CONTROL!$C$32, $C$9, 100%, $E$9)</f>
        <v>3.9003999999999999</v>
      </c>
      <c r="P61" s="14"/>
      <c r="Q61" s="14"/>
      <c r="R61" s="14"/>
    </row>
    <row r="62" spans="1:18" ht="15" x14ac:dyDescent="0.2">
      <c r="A62" s="13">
        <v>42736</v>
      </c>
      <c r="B62" s="9">
        <f>3.2762 * CHOOSE(CONTROL!$C$32, $C$9, 100%, $E$9)</f>
        <v>3.2761999999999998</v>
      </c>
      <c r="C62" s="9">
        <f>3.2762 * CHOOSE(CONTROL!$C$32, $C$9, 100%, $E$9)</f>
        <v>3.2761999999999998</v>
      </c>
      <c r="D62" s="9">
        <f>3.2773 * CHOOSE(CONTROL!$C$32, $C$9, 100%, $E$9)</f>
        <v>3.2772999999999999</v>
      </c>
      <c r="E62" s="11">
        <f>3.8371 * CHOOSE(CONTROL!$C$32, $C$9, 100%, $E$9)</f>
        <v>3.8371</v>
      </c>
      <c r="F62" s="11">
        <f>3.8371 * CHOOSE(CONTROL!$C$32, $C$9, 100%, $E$9)</f>
        <v>3.8371</v>
      </c>
      <c r="G62" s="11">
        <f>3.8407 * CHOOSE(CONTROL!$C$32, $C$9, 100%, $E$9)</f>
        <v>3.8407</v>
      </c>
      <c r="H62" s="11">
        <f>6.1274 * CHOOSE(CONTROL!$C$32, $C$9, 100%, $E$9)</f>
        <v>6.1273999999999997</v>
      </c>
      <c r="I62" s="11">
        <f>6.1311 * CHOOSE(CONTROL!$C$32, $C$9, 100%, $E$9)</f>
        <v>6.1311</v>
      </c>
      <c r="J62" s="11">
        <f>6.1274 * CHOOSE(CONTROL!$C$32, $C$9, 100%, $E$9)</f>
        <v>6.1273999999999997</v>
      </c>
      <c r="K62" s="11">
        <f>6.1311 * CHOOSE(CONTROL!$C$32, $C$9, 100%, $E$9)</f>
        <v>6.1311</v>
      </c>
      <c r="L62" s="11">
        <f>3.8371 * CHOOSE(CONTROL!$C$32, $C$9, 100%, $E$9)</f>
        <v>3.8371</v>
      </c>
      <c r="M62" s="11">
        <f>3.8407 * CHOOSE(CONTROL!$C$32, $C$9, 100%, $E$9)</f>
        <v>3.8407</v>
      </c>
      <c r="N62" s="11">
        <f>3.8371 * CHOOSE(CONTROL!$C$32, $C$9, 100%, $E$9)</f>
        <v>3.8371</v>
      </c>
      <c r="O62" s="11">
        <f>3.8407 * CHOOSE(CONTROL!$C$32, $C$9, 100%, $E$9)</f>
        <v>3.8407</v>
      </c>
      <c r="P62" s="14"/>
      <c r="Q62" s="14"/>
      <c r="R62" s="14"/>
    </row>
    <row r="63" spans="1:18" ht="15" x14ac:dyDescent="0.2">
      <c r="A63" s="13">
        <v>42767</v>
      </c>
      <c r="B63" s="9">
        <f>3.2814 * CHOOSE(CONTROL!$C$32, $C$9, 100%, $E$9)</f>
        <v>3.2814000000000001</v>
      </c>
      <c r="C63" s="9">
        <f>3.2814 * CHOOSE(CONTROL!$C$32, $C$9, 100%, $E$9)</f>
        <v>3.2814000000000001</v>
      </c>
      <c r="D63" s="9">
        <f>3.2825 * CHOOSE(CONTROL!$C$32, $C$9, 100%, $E$9)</f>
        <v>3.2825000000000002</v>
      </c>
      <c r="E63" s="11">
        <f>3.8351 * CHOOSE(CONTROL!$C$32, $C$9, 100%, $E$9)</f>
        <v>3.8351000000000002</v>
      </c>
      <c r="F63" s="11">
        <f>3.8351 * CHOOSE(CONTROL!$C$32, $C$9, 100%, $E$9)</f>
        <v>3.8351000000000002</v>
      </c>
      <c r="G63" s="11">
        <f>3.8387 * CHOOSE(CONTROL!$C$32, $C$9, 100%, $E$9)</f>
        <v>3.8386999999999998</v>
      </c>
      <c r="H63" s="11">
        <f>6.1402 * CHOOSE(CONTROL!$C$32, $C$9, 100%, $E$9)</f>
        <v>6.1402000000000001</v>
      </c>
      <c r="I63" s="11">
        <f>6.1438 * CHOOSE(CONTROL!$C$32, $C$9, 100%, $E$9)</f>
        <v>6.1437999999999997</v>
      </c>
      <c r="J63" s="11">
        <f>6.1402 * CHOOSE(CONTROL!$C$32, $C$9, 100%, $E$9)</f>
        <v>6.1402000000000001</v>
      </c>
      <c r="K63" s="11">
        <f>6.1438 * CHOOSE(CONTROL!$C$32, $C$9, 100%, $E$9)</f>
        <v>6.1437999999999997</v>
      </c>
      <c r="L63" s="11">
        <f>3.8351 * CHOOSE(CONTROL!$C$32, $C$9, 100%, $E$9)</f>
        <v>3.8351000000000002</v>
      </c>
      <c r="M63" s="11">
        <f>3.8387 * CHOOSE(CONTROL!$C$32, $C$9, 100%, $E$9)</f>
        <v>3.8386999999999998</v>
      </c>
      <c r="N63" s="11">
        <f>3.8351 * CHOOSE(CONTROL!$C$32, $C$9, 100%, $E$9)</f>
        <v>3.8351000000000002</v>
      </c>
      <c r="O63" s="11">
        <f>3.8387 * CHOOSE(CONTROL!$C$32, $C$9, 100%, $E$9)</f>
        <v>3.8386999999999998</v>
      </c>
      <c r="P63" s="14"/>
      <c r="Q63" s="14"/>
      <c r="R63" s="14"/>
    </row>
    <row r="64" spans="1:18" ht="15" x14ac:dyDescent="0.2">
      <c r="A64" s="13">
        <v>42795</v>
      </c>
      <c r="B64" s="9">
        <f>3.2785 * CHOOSE(CONTROL!$C$32, $C$9, 100%, $E$9)</f>
        <v>3.2785000000000002</v>
      </c>
      <c r="C64" s="9">
        <f>3.2785 * CHOOSE(CONTROL!$C$32, $C$9, 100%, $E$9)</f>
        <v>3.2785000000000002</v>
      </c>
      <c r="D64" s="9">
        <f>3.2796 * CHOOSE(CONTROL!$C$32, $C$9, 100%, $E$9)</f>
        <v>3.2795999999999998</v>
      </c>
      <c r="E64" s="11">
        <f>3.8331 * CHOOSE(CONTROL!$C$32, $C$9, 100%, $E$9)</f>
        <v>3.8331</v>
      </c>
      <c r="F64" s="11">
        <f>3.8331 * CHOOSE(CONTROL!$C$32, $C$9, 100%, $E$9)</f>
        <v>3.8331</v>
      </c>
      <c r="G64" s="11">
        <f>3.8367 * CHOOSE(CONTROL!$C$32, $C$9, 100%, $E$9)</f>
        <v>3.8367</v>
      </c>
      <c r="H64" s="11">
        <f>6.153 * CHOOSE(CONTROL!$C$32, $C$9, 100%, $E$9)</f>
        <v>6.1529999999999996</v>
      </c>
      <c r="I64" s="11">
        <f>6.1566 * CHOOSE(CONTROL!$C$32, $C$9, 100%, $E$9)</f>
        <v>6.1566000000000001</v>
      </c>
      <c r="J64" s="11">
        <f>6.153 * CHOOSE(CONTROL!$C$32, $C$9, 100%, $E$9)</f>
        <v>6.1529999999999996</v>
      </c>
      <c r="K64" s="11">
        <f>6.1566 * CHOOSE(CONTROL!$C$32, $C$9, 100%, $E$9)</f>
        <v>6.1566000000000001</v>
      </c>
      <c r="L64" s="11">
        <f>3.8331 * CHOOSE(CONTROL!$C$32, $C$9, 100%, $E$9)</f>
        <v>3.8331</v>
      </c>
      <c r="M64" s="11">
        <f>3.8367 * CHOOSE(CONTROL!$C$32, $C$9, 100%, $E$9)</f>
        <v>3.8367</v>
      </c>
      <c r="N64" s="11">
        <f>3.8331 * CHOOSE(CONTROL!$C$32, $C$9, 100%, $E$9)</f>
        <v>3.8331</v>
      </c>
      <c r="O64" s="11">
        <f>3.8367 * CHOOSE(CONTROL!$C$32, $C$9, 100%, $E$9)</f>
        <v>3.8367</v>
      </c>
      <c r="P64" s="14"/>
      <c r="Q64" s="14"/>
      <c r="R64" s="14"/>
    </row>
    <row r="65" spans="1:18" ht="15" x14ac:dyDescent="0.2">
      <c r="A65" s="13">
        <v>42826</v>
      </c>
      <c r="B65" s="9">
        <f>3.2725 * CHOOSE(CONTROL!$C$32, $C$9, 100%, $E$9)</f>
        <v>3.2725</v>
      </c>
      <c r="C65" s="9">
        <f>3.2725 * CHOOSE(CONTROL!$C$32, $C$9, 100%, $E$9)</f>
        <v>3.2725</v>
      </c>
      <c r="D65" s="9">
        <f>3.2735 * CHOOSE(CONTROL!$C$32, $C$9, 100%, $E$9)</f>
        <v>3.2734999999999999</v>
      </c>
      <c r="E65" s="11">
        <f>3.8305 * CHOOSE(CONTROL!$C$32, $C$9, 100%, $E$9)</f>
        <v>3.8304999999999998</v>
      </c>
      <c r="F65" s="11">
        <f>3.8305 * CHOOSE(CONTROL!$C$32, $C$9, 100%, $E$9)</f>
        <v>3.8304999999999998</v>
      </c>
      <c r="G65" s="11">
        <f>3.8342 * CHOOSE(CONTROL!$C$32, $C$9, 100%, $E$9)</f>
        <v>3.8342000000000001</v>
      </c>
      <c r="H65" s="11">
        <f>6.1658 * CHOOSE(CONTROL!$C$32, $C$9, 100%, $E$9)</f>
        <v>6.1657999999999999</v>
      </c>
      <c r="I65" s="11">
        <f>6.1694 * CHOOSE(CONTROL!$C$32, $C$9, 100%, $E$9)</f>
        <v>6.1694000000000004</v>
      </c>
      <c r="J65" s="11">
        <f>6.1658 * CHOOSE(CONTROL!$C$32, $C$9, 100%, $E$9)</f>
        <v>6.1657999999999999</v>
      </c>
      <c r="K65" s="11">
        <f>6.1694 * CHOOSE(CONTROL!$C$32, $C$9, 100%, $E$9)</f>
        <v>6.1694000000000004</v>
      </c>
      <c r="L65" s="11">
        <f>3.8305 * CHOOSE(CONTROL!$C$32, $C$9, 100%, $E$9)</f>
        <v>3.8304999999999998</v>
      </c>
      <c r="M65" s="11">
        <f>3.8342 * CHOOSE(CONTROL!$C$32, $C$9, 100%, $E$9)</f>
        <v>3.8342000000000001</v>
      </c>
      <c r="N65" s="11">
        <f>3.8305 * CHOOSE(CONTROL!$C$32, $C$9, 100%, $E$9)</f>
        <v>3.8304999999999998</v>
      </c>
      <c r="O65" s="11">
        <f>3.8342 * CHOOSE(CONTROL!$C$32, $C$9, 100%, $E$9)</f>
        <v>3.8342000000000001</v>
      </c>
      <c r="P65" s="14"/>
      <c r="Q65" s="14"/>
      <c r="R65" s="14"/>
    </row>
    <row r="66" spans="1:18" ht="15" x14ac:dyDescent="0.2">
      <c r="A66" s="13">
        <v>42856</v>
      </c>
      <c r="B66" s="9">
        <f>3.2809 * CHOOSE(CONTROL!$C$32, $C$9, 100%, $E$9)</f>
        <v>3.2808999999999999</v>
      </c>
      <c r="C66" s="9">
        <f>3.2809 * CHOOSE(CONTROL!$C$32, $C$9, 100%, $E$9)</f>
        <v>3.2808999999999999</v>
      </c>
      <c r="D66" s="9">
        <f>3.2825 * CHOOSE(CONTROL!$C$32, $C$9, 100%, $E$9)</f>
        <v>3.2825000000000002</v>
      </c>
      <c r="E66" s="11">
        <f>3.8305 * CHOOSE(CONTROL!$C$32, $C$9, 100%, $E$9)</f>
        <v>3.8304999999999998</v>
      </c>
      <c r="F66" s="11">
        <f>3.8305 * CHOOSE(CONTROL!$C$32, $C$9, 100%, $E$9)</f>
        <v>3.8304999999999998</v>
      </c>
      <c r="G66" s="11">
        <f>3.8358 * CHOOSE(CONTROL!$C$32, $C$9, 100%, $E$9)</f>
        <v>3.8357999999999999</v>
      </c>
      <c r="H66" s="11">
        <f>6.1787 * CHOOSE(CONTROL!$C$32, $C$9, 100%, $E$9)</f>
        <v>6.1787000000000001</v>
      </c>
      <c r="I66" s="11">
        <f>6.1839 * CHOOSE(CONTROL!$C$32, $C$9, 100%, $E$9)</f>
        <v>6.1839000000000004</v>
      </c>
      <c r="J66" s="11">
        <f>6.1787 * CHOOSE(CONTROL!$C$32, $C$9, 100%, $E$9)</f>
        <v>6.1787000000000001</v>
      </c>
      <c r="K66" s="11">
        <f>6.1839 * CHOOSE(CONTROL!$C$32, $C$9, 100%, $E$9)</f>
        <v>6.1839000000000004</v>
      </c>
      <c r="L66" s="11">
        <f>3.8305 * CHOOSE(CONTROL!$C$32, $C$9, 100%, $E$9)</f>
        <v>3.8304999999999998</v>
      </c>
      <c r="M66" s="11">
        <f>3.8358 * CHOOSE(CONTROL!$C$32, $C$9, 100%, $E$9)</f>
        <v>3.8357999999999999</v>
      </c>
      <c r="N66" s="11">
        <f>3.8305 * CHOOSE(CONTROL!$C$32, $C$9, 100%, $E$9)</f>
        <v>3.8304999999999998</v>
      </c>
      <c r="O66" s="11">
        <f>3.8358 * CHOOSE(CONTROL!$C$32, $C$9, 100%, $E$9)</f>
        <v>3.8357999999999999</v>
      </c>
      <c r="P66" s="14"/>
      <c r="Q66" s="14"/>
      <c r="R66" s="14"/>
    </row>
    <row r="67" spans="1:18" ht="15" x14ac:dyDescent="0.2">
      <c r="A67" s="13">
        <v>42887</v>
      </c>
      <c r="B67" s="9">
        <f>3.2871 * CHOOSE(CONTROL!$C$32, $C$9, 100%, $E$9)</f>
        <v>3.2871000000000001</v>
      </c>
      <c r="C67" s="9">
        <f>3.2871 * CHOOSE(CONTROL!$C$32, $C$9, 100%, $E$9)</f>
        <v>3.2871000000000001</v>
      </c>
      <c r="D67" s="9">
        <f>3.2887 * CHOOSE(CONTROL!$C$32, $C$9, 100%, $E$9)</f>
        <v>3.2887</v>
      </c>
      <c r="E67" s="11">
        <f>3.8345 * CHOOSE(CONTROL!$C$32, $C$9, 100%, $E$9)</f>
        <v>3.8344999999999998</v>
      </c>
      <c r="F67" s="11">
        <f>3.8345 * CHOOSE(CONTROL!$C$32, $C$9, 100%, $E$9)</f>
        <v>3.8344999999999998</v>
      </c>
      <c r="G67" s="11">
        <f>3.8398 * CHOOSE(CONTROL!$C$32, $C$9, 100%, $E$9)</f>
        <v>3.8397999999999999</v>
      </c>
      <c r="H67" s="11">
        <f>6.1915 * CHOOSE(CONTROL!$C$32, $C$9, 100%, $E$9)</f>
        <v>6.1914999999999996</v>
      </c>
      <c r="I67" s="11">
        <f>6.1968 * CHOOSE(CONTROL!$C$32, $C$9, 100%, $E$9)</f>
        <v>6.1967999999999996</v>
      </c>
      <c r="J67" s="11">
        <f>6.1915 * CHOOSE(CONTROL!$C$32, $C$9, 100%, $E$9)</f>
        <v>6.1914999999999996</v>
      </c>
      <c r="K67" s="11">
        <f>6.1968 * CHOOSE(CONTROL!$C$32, $C$9, 100%, $E$9)</f>
        <v>6.1967999999999996</v>
      </c>
      <c r="L67" s="11">
        <f>3.8345 * CHOOSE(CONTROL!$C$32, $C$9, 100%, $E$9)</f>
        <v>3.8344999999999998</v>
      </c>
      <c r="M67" s="11">
        <f>3.8398 * CHOOSE(CONTROL!$C$32, $C$9, 100%, $E$9)</f>
        <v>3.8397999999999999</v>
      </c>
      <c r="N67" s="11">
        <f>3.8345 * CHOOSE(CONTROL!$C$32, $C$9, 100%, $E$9)</f>
        <v>3.8344999999999998</v>
      </c>
      <c r="O67" s="11">
        <f>3.8398 * CHOOSE(CONTROL!$C$32, $C$9, 100%, $E$9)</f>
        <v>3.8397999999999999</v>
      </c>
      <c r="P67" s="14"/>
      <c r="Q67" s="14"/>
      <c r="R67" s="14"/>
    </row>
    <row r="68" spans="1:18" ht="15" x14ac:dyDescent="0.2">
      <c r="A68" s="13">
        <v>42917</v>
      </c>
      <c r="B68" s="9">
        <f>3.3418 * CHOOSE(CONTROL!$C$32, $C$9, 100%, $E$9)</f>
        <v>3.3418000000000001</v>
      </c>
      <c r="C68" s="9">
        <f>3.3418 * CHOOSE(CONTROL!$C$32, $C$9, 100%, $E$9)</f>
        <v>3.3418000000000001</v>
      </c>
      <c r="D68" s="9">
        <f>3.3434 * CHOOSE(CONTROL!$C$32, $C$9, 100%, $E$9)</f>
        <v>3.3433999999999999</v>
      </c>
      <c r="E68" s="11">
        <f>3.9255 * CHOOSE(CONTROL!$C$32, $C$9, 100%, $E$9)</f>
        <v>3.9255</v>
      </c>
      <c r="F68" s="11">
        <f>3.9255 * CHOOSE(CONTROL!$C$32, $C$9, 100%, $E$9)</f>
        <v>3.9255</v>
      </c>
      <c r="G68" s="11">
        <f>3.9308 * CHOOSE(CONTROL!$C$32, $C$9, 100%, $E$9)</f>
        <v>3.9308000000000001</v>
      </c>
      <c r="H68" s="11">
        <f>6.2044 * CHOOSE(CONTROL!$C$32, $C$9, 100%, $E$9)</f>
        <v>6.2043999999999997</v>
      </c>
      <c r="I68" s="11">
        <f>6.2097 * CHOOSE(CONTROL!$C$32, $C$9, 100%, $E$9)</f>
        <v>6.2096999999999998</v>
      </c>
      <c r="J68" s="11">
        <f>6.2044 * CHOOSE(CONTROL!$C$32, $C$9, 100%, $E$9)</f>
        <v>6.2043999999999997</v>
      </c>
      <c r="K68" s="11">
        <f>6.2097 * CHOOSE(CONTROL!$C$32, $C$9, 100%, $E$9)</f>
        <v>6.2096999999999998</v>
      </c>
      <c r="L68" s="11">
        <f>3.9255 * CHOOSE(CONTROL!$C$32, $C$9, 100%, $E$9)</f>
        <v>3.9255</v>
      </c>
      <c r="M68" s="11">
        <f>3.9308 * CHOOSE(CONTROL!$C$32, $C$9, 100%, $E$9)</f>
        <v>3.9308000000000001</v>
      </c>
      <c r="N68" s="11">
        <f>3.9255 * CHOOSE(CONTROL!$C$32, $C$9, 100%, $E$9)</f>
        <v>3.9255</v>
      </c>
      <c r="O68" s="11">
        <f>3.9308 * CHOOSE(CONTROL!$C$32, $C$9, 100%, $E$9)</f>
        <v>3.9308000000000001</v>
      </c>
      <c r="P68" s="14"/>
      <c r="Q68" s="14"/>
      <c r="R68" s="14"/>
    </row>
    <row r="69" spans="1:18" ht="15" x14ac:dyDescent="0.2">
      <c r="A69" s="13">
        <v>42948</v>
      </c>
      <c r="B69" s="9">
        <f>3.357 * CHOOSE(CONTROL!$C$32, $C$9, 100%, $E$9)</f>
        <v>3.3570000000000002</v>
      </c>
      <c r="C69" s="9">
        <f>3.357 * CHOOSE(CONTROL!$C$32, $C$9, 100%, $E$9)</f>
        <v>3.3570000000000002</v>
      </c>
      <c r="D69" s="9">
        <f>3.3586 * CHOOSE(CONTROL!$C$32, $C$9, 100%, $E$9)</f>
        <v>3.3586</v>
      </c>
      <c r="E69" s="11">
        <f>3.9299 * CHOOSE(CONTROL!$C$32, $C$9, 100%, $E$9)</f>
        <v>3.9298999999999999</v>
      </c>
      <c r="F69" s="11">
        <f>3.9299 * CHOOSE(CONTROL!$C$32, $C$9, 100%, $E$9)</f>
        <v>3.9298999999999999</v>
      </c>
      <c r="G69" s="11">
        <f>3.9352 * CHOOSE(CONTROL!$C$32, $C$9, 100%, $E$9)</f>
        <v>3.9352</v>
      </c>
      <c r="H69" s="11">
        <f>6.2174 * CHOOSE(CONTROL!$C$32, $C$9, 100%, $E$9)</f>
        <v>6.2173999999999996</v>
      </c>
      <c r="I69" s="11">
        <f>6.2226 * CHOOSE(CONTROL!$C$32, $C$9, 100%, $E$9)</f>
        <v>6.2225999999999999</v>
      </c>
      <c r="J69" s="11">
        <f>6.2174 * CHOOSE(CONTROL!$C$32, $C$9, 100%, $E$9)</f>
        <v>6.2173999999999996</v>
      </c>
      <c r="K69" s="11">
        <f>6.2226 * CHOOSE(CONTROL!$C$32, $C$9, 100%, $E$9)</f>
        <v>6.2225999999999999</v>
      </c>
      <c r="L69" s="11">
        <f>3.9299 * CHOOSE(CONTROL!$C$32, $C$9, 100%, $E$9)</f>
        <v>3.9298999999999999</v>
      </c>
      <c r="M69" s="11">
        <f>3.9352 * CHOOSE(CONTROL!$C$32, $C$9, 100%, $E$9)</f>
        <v>3.9352</v>
      </c>
      <c r="N69" s="11">
        <f>3.9299 * CHOOSE(CONTROL!$C$32, $C$9, 100%, $E$9)</f>
        <v>3.9298999999999999</v>
      </c>
      <c r="O69" s="11">
        <f>3.9352 * CHOOSE(CONTROL!$C$32, $C$9, 100%, $E$9)</f>
        <v>3.9352</v>
      </c>
      <c r="P69" s="14"/>
      <c r="Q69" s="14"/>
      <c r="R69" s="14"/>
    </row>
    <row r="70" spans="1:18" ht="15" x14ac:dyDescent="0.2">
      <c r="A70" s="13">
        <v>42979</v>
      </c>
      <c r="B70" s="9">
        <f>3.354 * CHOOSE(CONTROL!$C$32, $C$9, 100%, $E$9)</f>
        <v>3.3540000000000001</v>
      </c>
      <c r="C70" s="9">
        <f>3.354 * CHOOSE(CONTROL!$C$32, $C$9, 100%, $E$9)</f>
        <v>3.3540000000000001</v>
      </c>
      <c r="D70" s="9">
        <f>3.3556 * CHOOSE(CONTROL!$C$32, $C$9, 100%, $E$9)</f>
        <v>3.3555999999999999</v>
      </c>
      <c r="E70" s="11">
        <f>3.9279 * CHOOSE(CONTROL!$C$32, $C$9, 100%, $E$9)</f>
        <v>3.9279000000000002</v>
      </c>
      <c r="F70" s="11">
        <f>3.9279 * CHOOSE(CONTROL!$C$32, $C$9, 100%, $E$9)</f>
        <v>3.9279000000000002</v>
      </c>
      <c r="G70" s="11">
        <f>3.9332 * CHOOSE(CONTROL!$C$32, $C$9, 100%, $E$9)</f>
        <v>3.9331999999999998</v>
      </c>
      <c r="H70" s="11">
        <f>6.2303 * CHOOSE(CONTROL!$C$32, $C$9, 100%, $E$9)</f>
        <v>6.2302999999999997</v>
      </c>
      <c r="I70" s="11">
        <f>6.2356 * CHOOSE(CONTROL!$C$32, $C$9, 100%, $E$9)</f>
        <v>6.2355999999999998</v>
      </c>
      <c r="J70" s="11">
        <f>6.2303 * CHOOSE(CONTROL!$C$32, $C$9, 100%, $E$9)</f>
        <v>6.2302999999999997</v>
      </c>
      <c r="K70" s="11">
        <f>6.2356 * CHOOSE(CONTROL!$C$32, $C$9, 100%, $E$9)</f>
        <v>6.2355999999999998</v>
      </c>
      <c r="L70" s="11">
        <f>3.9279 * CHOOSE(CONTROL!$C$32, $C$9, 100%, $E$9)</f>
        <v>3.9279000000000002</v>
      </c>
      <c r="M70" s="11">
        <f>3.9332 * CHOOSE(CONTROL!$C$32, $C$9, 100%, $E$9)</f>
        <v>3.9331999999999998</v>
      </c>
      <c r="N70" s="11">
        <f>3.9279 * CHOOSE(CONTROL!$C$32, $C$9, 100%, $E$9)</f>
        <v>3.9279000000000002</v>
      </c>
      <c r="O70" s="11">
        <f>3.9332 * CHOOSE(CONTROL!$C$32, $C$9, 100%, $E$9)</f>
        <v>3.9331999999999998</v>
      </c>
      <c r="P70" s="14"/>
      <c r="Q70" s="14"/>
      <c r="R70" s="14"/>
    </row>
    <row r="71" spans="1:18" ht="15" x14ac:dyDescent="0.2">
      <c r="A71" s="13">
        <v>43009</v>
      </c>
      <c r="B71" s="9">
        <f>3.3348 * CHOOSE(CONTROL!$C$32, $C$9, 100%, $E$9)</f>
        <v>3.3348</v>
      </c>
      <c r="C71" s="9">
        <f>3.3348 * CHOOSE(CONTROL!$C$32, $C$9, 100%, $E$9)</f>
        <v>3.3348</v>
      </c>
      <c r="D71" s="9">
        <f>3.3358 * CHOOSE(CONTROL!$C$32, $C$9, 100%, $E$9)</f>
        <v>3.3357999999999999</v>
      </c>
      <c r="E71" s="11">
        <f>3.9209 * CHOOSE(CONTROL!$C$32, $C$9, 100%, $E$9)</f>
        <v>3.9209000000000001</v>
      </c>
      <c r="F71" s="11">
        <f>3.9209 * CHOOSE(CONTROL!$C$32, $C$9, 100%, $E$9)</f>
        <v>3.9209000000000001</v>
      </c>
      <c r="G71" s="11">
        <f>3.9245 * CHOOSE(CONTROL!$C$32, $C$9, 100%, $E$9)</f>
        <v>3.9245000000000001</v>
      </c>
      <c r="H71" s="11">
        <f>6.2433 * CHOOSE(CONTROL!$C$32, $C$9, 100%, $E$9)</f>
        <v>6.2432999999999996</v>
      </c>
      <c r="I71" s="11">
        <f>6.2469 * CHOOSE(CONTROL!$C$32, $C$9, 100%, $E$9)</f>
        <v>6.2469000000000001</v>
      </c>
      <c r="J71" s="11">
        <f>6.2433 * CHOOSE(CONTROL!$C$32, $C$9, 100%, $E$9)</f>
        <v>6.2432999999999996</v>
      </c>
      <c r="K71" s="11">
        <f>6.2469 * CHOOSE(CONTROL!$C$32, $C$9, 100%, $E$9)</f>
        <v>6.2469000000000001</v>
      </c>
      <c r="L71" s="11">
        <f>3.9209 * CHOOSE(CONTROL!$C$32, $C$9, 100%, $E$9)</f>
        <v>3.9209000000000001</v>
      </c>
      <c r="M71" s="11">
        <f>3.9245 * CHOOSE(CONTROL!$C$32, $C$9, 100%, $E$9)</f>
        <v>3.9245000000000001</v>
      </c>
      <c r="N71" s="11">
        <f>3.9209 * CHOOSE(CONTROL!$C$32, $C$9, 100%, $E$9)</f>
        <v>3.9209000000000001</v>
      </c>
      <c r="O71" s="11">
        <f>3.9245 * CHOOSE(CONTROL!$C$32, $C$9, 100%, $E$9)</f>
        <v>3.9245000000000001</v>
      </c>
      <c r="P71" s="14"/>
      <c r="Q71" s="14"/>
      <c r="R71" s="14"/>
    </row>
    <row r="72" spans="1:18" ht="15" x14ac:dyDescent="0.2">
      <c r="A72" s="13">
        <v>43040</v>
      </c>
      <c r="B72" s="9">
        <f>3.3463 * CHOOSE(CONTROL!$C$32, $C$9, 100%, $E$9)</f>
        <v>3.3462999999999998</v>
      </c>
      <c r="C72" s="9">
        <f>3.3463 * CHOOSE(CONTROL!$C$32, $C$9, 100%, $E$9)</f>
        <v>3.3462999999999998</v>
      </c>
      <c r="D72" s="9">
        <f>3.3474 * CHOOSE(CONTROL!$C$32, $C$9, 100%, $E$9)</f>
        <v>3.3473999999999999</v>
      </c>
      <c r="E72" s="11">
        <f>3.9229 * CHOOSE(CONTROL!$C$32, $C$9, 100%, $E$9)</f>
        <v>3.9228999999999998</v>
      </c>
      <c r="F72" s="11">
        <f>3.9229 * CHOOSE(CONTROL!$C$32, $C$9, 100%, $E$9)</f>
        <v>3.9228999999999998</v>
      </c>
      <c r="G72" s="11">
        <f>3.9265 * CHOOSE(CONTROL!$C$32, $C$9, 100%, $E$9)</f>
        <v>3.9264999999999999</v>
      </c>
      <c r="H72" s="11">
        <f>6.2563 * CHOOSE(CONTROL!$C$32, $C$9, 100%, $E$9)</f>
        <v>6.2563000000000004</v>
      </c>
      <c r="I72" s="11">
        <f>6.2599 * CHOOSE(CONTROL!$C$32, $C$9, 100%, $E$9)</f>
        <v>6.2599</v>
      </c>
      <c r="J72" s="11">
        <f>6.2563 * CHOOSE(CONTROL!$C$32, $C$9, 100%, $E$9)</f>
        <v>6.2563000000000004</v>
      </c>
      <c r="K72" s="11">
        <f>6.2599 * CHOOSE(CONTROL!$C$32, $C$9, 100%, $E$9)</f>
        <v>6.2599</v>
      </c>
      <c r="L72" s="11">
        <f>3.9229 * CHOOSE(CONTROL!$C$32, $C$9, 100%, $E$9)</f>
        <v>3.9228999999999998</v>
      </c>
      <c r="M72" s="11">
        <f>3.9265 * CHOOSE(CONTROL!$C$32, $C$9, 100%, $E$9)</f>
        <v>3.9264999999999999</v>
      </c>
      <c r="N72" s="11">
        <f>3.9229 * CHOOSE(CONTROL!$C$32, $C$9, 100%, $E$9)</f>
        <v>3.9228999999999998</v>
      </c>
      <c r="O72" s="11">
        <f>3.9265 * CHOOSE(CONTROL!$C$32, $C$9, 100%, $E$9)</f>
        <v>3.9264999999999999</v>
      </c>
      <c r="P72" s="14"/>
      <c r="Q72" s="14"/>
      <c r="R72" s="14"/>
    </row>
    <row r="73" spans="1:18" ht="15" x14ac:dyDescent="0.2">
      <c r="A73" s="13">
        <v>43070</v>
      </c>
      <c r="B73" s="9">
        <f>3.3463 * CHOOSE(CONTROL!$C$32, $C$9, 100%, $E$9)</f>
        <v>3.3462999999999998</v>
      </c>
      <c r="C73" s="9">
        <f>3.3463 * CHOOSE(CONTROL!$C$32, $C$9, 100%, $E$9)</f>
        <v>3.3462999999999998</v>
      </c>
      <c r="D73" s="9">
        <f>3.3474 * CHOOSE(CONTROL!$C$32, $C$9, 100%, $E$9)</f>
        <v>3.3473999999999999</v>
      </c>
      <c r="E73" s="11">
        <f>3.9229 * CHOOSE(CONTROL!$C$32, $C$9, 100%, $E$9)</f>
        <v>3.9228999999999998</v>
      </c>
      <c r="F73" s="11">
        <f>3.9229 * CHOOSE(CONTROL!$C$32, $C$9, 100%, $E$9)</f>
        <v>3.9228999999999998</v>
      </c>
      <c r="G73" s="11">
        <f>3.9265 * CHOOSE(CONTROL!$C$32, $C$9, 100%, $E$9)</f>
        <v>3.9264999999999999</v>
      </c>
      <c r="H73" s="11">
        <f>6.2693 * CHOOSE(CONTROL!$C$32, $C$9, 100%, $E$9)</f>
        <v>6.2693000000000003</v>
      </c>
      <c r="I73" s="11">
        <f>6.2729 * CHOOSE(CONTROL!$C$32, $C$9, 100%, $E$9)</f>
        <v>6.2728999999999999</v>
      </c>
      <c r="J73" s="11">
        <f>6.2693 * CHOOSE(CONTROL!$C$32, $C$9, 100%, $E$9)</f>
        <v>6.2693000000000003</v>
      </c>
      <c r="K73" s="11">
        <f>6.2729 * CHOOSE(CONTROL!$C$32, $C$9, 100%, $E$9)</f>
        <v>6.2728999999999999</v>
      </c>
      <c r="L73" s="11">
        <f>3.9229 * CHOOSE(CONTROL!$C$32, $C$9, 100%, $E$9)</f>
        <v>3.9228999999999998</v>
      </c>
      <c r="M73" s="11">
        <f>3.9265 * CHOOSE(CONTROL!$C$32, $C$9, 100%, $E$9)</f>
        <v>3.9264999999999999</v>
      </c>
      <c r="N73" s="11">
        <f>3.9229 * CHOOSE(CONTROL!$C$32, $C$9, 100%, $E$9)</f>
        <v>3.9228999999999998</v>
      </c>
      <c r="O73" s="11">
        <f>3.9265 * CHOOSE(CONTROL!$C$32, $C$9, 100%, $E$9)</f>
        <v>3.9264999999999999</v>
      </c>
      <c r="P73" s="14"/>
      <c r="Q73" s="14"/>
      <c r="R73" s="14"/>
    </row>
    <row r="74" spans="1:18" ht="15" x14ac:dyDescent="0.2">
      <c r="A74" s="13">
        <v>43101</v>
      </c>
      <c r="B74" s="9">
        <f>3.3747 * CHOOSE(CONTROL!$C$32, $C$9, 100%, $E$9)</f>
        <v>3.3746999999999998</v>
      </c>
      <c r="C74" s="9">
        <f>3.3747 * CHOOSE(CONTROL!$C$32, $C$9, 100%, $E$9)</f>
        <v>3.3746999999999998</v>
      </c>
      <c r="D74" s="9">
        <f>3.3758 * CHOOSE(CONTROL!$C$32, $C$9, 100%, $E$9)</f>
        <v>3.3757999999999999</v>
      </c>
      <c r="E74" s="11">
        <f>3.9606 * CHOOSE(CONTROL!$C$32, $C$9, 100%, $E$9)</f>
        <v>3.9605999999999999</v>
      </c>
      <c r="F74" s="11">
        <f>3.9606 * CHOOSE(CONTROL!$C$32, $C$9, 100%, $E$9)</f>
        <v>3.9605999999999999</v>
      </c>
      <c r="G74" s="11">
        <f>3.9642 * CHOOSE(CONTROL!$C$32, $C$9, 100%, $E$9)</f>
        <v>3.9641999999999999</v>
      </c>
      <c r="H74" s="11">
        <f>6.2824 * CHOOSE(CONTROL!$C$32, $C$9, 100%, $E$9)</f>
        <v>6.2824</v>
      </c>
      <c r="I74" s="11">
        <f>6.286 * CHOOSE(CONTROL!$C$32, $C$9, 100%, $E$9)</f>
        <v>6.2859999999999996</v>
      </c>
      <c r="J74" s="11">
        <f>6.2824 * CHOOSE(CONTROL!$C$32, $C$9, 100%, $E$9)</f>
        <v>6.2824</v>
      </c>
      <c r="K74" s="11">
        <f>6.286 * CHOOSE(CONTROL!$C$32, $C$9, 100%, $E$9)</f>
        <v>6.2859999999999996</v>
      </c>
      <c r="L74" s="11">
        <f>3.9606 * CHOOSE(CONTROL!$C$32, $C$9, 100%, $E$9)</f>
        <v>3.9605999999999999</v>
      </c>
      <c r="M74" s="11">
        <f>3.9642 * CHOOSE(CONTROL!$C$32, $C$9, 100%, $E$9)</f>
        <v>3.9641999999999999</v>
      </c>
      <c r="N74" s="11">
        <f>3.9606 * CHOOSE(CONTROL!$C$32, $C$9, 100%, $E$9)</f>
        <v>3.9605999999999999</v>
      </c>
      <c r="O74" s="11">
        <f>3.9642 * CHOOSE(CONTROL!$C$32, $C$9, 100%, $E$9)</f>
        <v>3.9641999999999999</v>
      </c>
      <c r="P74" s="14"/>
      <c r="Q74" s="14"/>
      <c r="R74" s="14"/>
    </row>
    <row r="75" spans="1:18" ht="15" x14ac:dyDescent="0.2">
      <c r="A75" s="13">
        <v>43132</v>
      </c>
      <c r="B75" s="9">
        <f>3.3805 * CHOOSE(CONTROL!$C$32, $C$9, 100%, $E$9)</f>
        <v>3.3805000000000001</v>
      </c>
      <c r="C75" s="9">
        <f>3.3805 * CHOOSE(CONTROL!$C$32, $C$9, 100%, $E$9)</f>
        <v>3.3805000000000001</v>
      </c>
      <c r="D75" s="9">
        <f>3.3816 * CHOOSE(CONTROL!$C$32, $C$9, 100%, $E$9)</f>
        <v>3.3816000000000002</v>
      </c>
      <c r="E75" s="11">
        <f>3.9586 * CHOOSE(CONTROL!$C$32, $C$9, 100%, $E$9)</f>
        <v>3.9586000000000001</v>
      </c>
      <c r="F75" s="11">
        <f>3.9586 * CHOOSE(CONTROL!$C$32, $C$9, 100%, $E$9)</f>
        <v>3.9586000000000001</v>
      </c>
      <c r="G75" s="11">
        <f>3.9622 * CHOOSE(CONTROL!$C$32, $C$9, 100%, $E$9)</f>
        <v>3.9622000000000002</v>
      </c>
      <c r="H75" s="11">
        <f>6.2955 * CHOOSE(CONTROL!$C$32, $C$9, 100%, $E$9)</f>
        <v>6.2954999999999997</v>
      </c>
      <c r="I75" s="11">
        <f>6.2991 * CHOOSE(CONTROL!$C$32, $C$9, 100%, $E$9)</f>
        <v>6.2991000000000001</v>
      </c>
      <c r="J75" s="11">
        <f>6.2955 * CHOOSE(CONTROL!$C$32, $C$9, 100%, $E$9)</f>
        <v>6.2954999999999997</v>
      </c>
      <c r="K75" s="11">
        <f>6.2991 * CHOOSE(CONTROL!$C$32, $C$9, 100%, $E$9)</f>
        <v>6.2991000000000001</v>
      </c>
      <c r="L75" s="11">
        <f>3.9586 * CHOOSE(CONTROL!$C$32, $C$9, 100%, $E$9)</f>
        <v>3.9586000000000001</v>
      </c>
      <c r="M75" s="11">
        <f>3.9622 * CHOOSE(CONTROL!$C$32, $C$9, 100%, $E$9)</f>
        <v>3.9622000000000002</v>
      </c>
      <c r="N75" s="11">
        <f>3.9586 * CHOOSE(CONTROL!$C$32, $C$9, 100%, $E$9)</f>
        <v>3.9586000000000001</v>
      </c>
      <c r="O75" s="11">
        <f>3.9622 * CHOOSE(CONTROL!$C$32, $C$9, 100%, $E$9)</f>
        <v>3.9622000000000002</v>
      </c>
      <c r="P75" s="14"/>
      <c r="Q75" s="14"/>
      <c r="R75" s="14"/>
    </row>
    <row r="76" spans="1:18" ht="15" x14ac:dyDescent="0.2">
      <c r="A76" s="13">
        <v>43160</v>
      </c>
      <c r="B76" s="9">
        <f>3.3774 * CHOOSE(CONTROL!$C$32, $C$9, 100%, $E$9)</f>
        <v>3.3774000000000002</v>
      </c>
      <c r="C76" s="9">
        <f>3.3774 * CHOOSE(CONTROL!$C$32, $C$9, 100%, $E$9)</f>
        <v>3.3774000000000002</v>
      </c>
      <c r="D76" s="9">
        <f>3.3785 * CHOOSE(CONTROL!$C$32, $C$9, 100%, $E$9)</f>
        <v>3.3784999999999998</v>
      </c>
      <c r="E76" s="11">
        <f>3.9566 * CHOOSE(CONTROL!$C$32, $C$9, 100%, $E$9)</f>
        <v>3.9565999999999999</v>
      </c>
      <c r="F76" s="11">
        <f>3.9566 * CHOOSE(CONTROL!$C$32, $C$9, 100%, $E$9)</f>
        <v>3.9565999999999999</v>
      </c>
      <c r="G76" s="11">
        <f>3.9602 * CHOOSE(CONTROL!$C$32, $C$9, 100%, $E$9)</f>
        <v>3.9601999999999999</v>
      </c>
      <c r="H76" s="11">
        <f>6.3086 * CHOOSE(CONTROL!$C$32, $C$9, 100%, $E$9)</f>
        <v>6.3086000000000002</v>
      </c>
      <c r="I76" s="11">
        <f>6.3122 * CHOOSE(CONTROL!$C$32, $C$9, 100%, $E$9)</f>
        <v>6.3121999999999998</v>
      </c>
      <c r="J76" s="11">
        <f>6.3086 * CHOOSE(CONTROL!$C$32, $C$9, 100%, $E$9)</f>
        <v>6.3086000000000002</v>
      </c>
      <c r="K76" s="11">
        <f>6.3122 * CHOOSE(CONTROL!$C$32, $C$9, 100%, $E$9)</f>
        <v>6.3121999999999998</v>
      </c>
      <c r="L76" s="11">
        <f>3.9566 * CHOOSE(CONTROL!$C$32, $C$9, 100%, $E$9)</f>
        <v>3.9565999999999999</v>
      </c>
      <c r="M76" s="11">
        <f>3.9602 * CHOOSE(CONTROL!$C$32, $C$9, 100%, $E$9)</f>
        <v>3.9601999999999999</v>
      </c>
      <c r="N76" s="11">
        <f>3.9566 * CHOOSE(CONTROL!$C$32, $C$9, 100%, $E$9)</f>
        <v>3.9565999999999999</v>
      </c>
      <c r="O76" s="11">
        <f>3.9602 * CHOOSE(CONTROL!$C$32, $C$9, 100%, $E$9)</f>
        <v>3.9601999999999999</v>
      </c>
      <c r="P76" s="14"/>
      <c r="Q76" s="14"/>
      <c r="R76" s="14"/>
    </row>
    <row r="77" spans="1:18" ht="15" x14ac:dyDescent="0.2">
      <c r="A77" s="13">
        <v>43191</v>
      </c>
      <c r="B77" s="9">
        <f>3.3713 * CHOOSE(CONTROL!$C$32, $C$9, 100%, $E$9)</f>
        <v>3.3713000000000002</v>
      </c>
      <c r="C77" s="9">
        <f>3.3713 * CHOOSE(CONTROL!$C$32, $C$9, 100%, $E$9)</f>
        <v>3.3713000000000002</v>
      </c>
      <c r="D77" s="9">
        <f>3.3724 * CHOOSE(CONTROL!$C$32, $C$9, 100%, $E$9)</f>
        <v>3.3723999999999998</v>
      </c>
      <c r="E77" s="11">
        <f>3.9541 * CHOOSE(CONTROL!$C$32, $C$9, 100%, $E$9)</f>
        <v>3.9540999999999999</v>
      </c>
      <c r="F77" s="11">
        <f>3.9541 * CHOOSE(CONTROL!$C$32, $C$9, 100%, $E$9)</f>
        <v>3.9540999999999999</v>
      </c>
      <c r="G77" s="11">
        <f>3.9577 * CHOOSE(CONTROL!$C$32, $C$9, 100%, $E$9)</f>
        <v>3.9577</v>
      </c>
      <c r="H77" s="11">
        <f>6.3217 * CHOOSE(CONTROL!$C$32, $C$9, 100%, $E$9)</f>
        <v>6.3216999999999999</v>
      </c>
      <c r="I77" s="11">
        <f>6.3254 * CHOOSE(CONTROL!$C$32, $C$9, 100%, $E$9)</f>
        <v>6.3254000000000001</v>
      </c>
      <c r="J77" s="11">
        <f>6.3217 * CHOOSE(CONTROL!$C$32, $C$9, 100%, $E$9)</f>
        <v>6.3216999999999999</v>
      </c>
      <c r="K77" s="11">
        <f>6.3254 * CHOOSE(CONTROL!$C$32, $C$9, 100%, $E$9)</f>
        <v>6.3254000000000001</v>
      </c>
      <c r="L77" s="11">
        <f>3.9541 * CHOOSE(CONTROL!$C$32, $C$9, 100%, $E$9)</f>
        <v>3.9540999999999999</v>
      </c>
      <c r="M77" s="11">
        <f>3.9577 * CHOOSE(CONTROL!$C$32, $C$9, 100%, $E$9)</f>
        <v>3.9577</v>
      </c>
      <c r="N77" s="11">
        <f>3.9541 * CHOOSE(CONTROL!$C$32, $C$9, 100%, $E$9)</f>
        <v>3.9540999999999999</v>
      </c>
      <c r="O77" s="11">
        <f>3.9577 * CHOOSE(CONTROL!$C$32, $C$9, 100%, $E$9)</f>
        <v>3.9577</v>
      </c>
      <c r="P77" s="14"/>
      <c r="Q77" s="14"/>
      <c r="R77" s="14"/>
    </row>
    <row r="78" spans="1:18" ht="15" x14ac:dyDescent="0.2">
      <c r="A78" s="13">
        <v>43221</v>
      </c>
      <c r="B78" s="9">
        <f>3.38 * CHOOSE(CONTROL!$C$32, $C$9, 100%, $E$9)</f>
        <v>3.38</v>
      </c>
      <c r="C78" s="9">
        <f>3.38 * CHOOSE(CONTROL!$C$32, $C$9, 100%, $E$9)</f>
        <v>3.38</v>
      </c>
      <c r="D78" s="9">
        <f>3.3815 * CHOOSE(CONTROL!$C$32, $C$9, 100%, $E$9)</f>
        <v>3.3815</v>
      </c>
      <c r="E78" s="11">
        <f>3.9541 * CHOOSE(CONTROL!$C$32, $C$9, 100%, $E$9)</f>
        <v>3.9540999999999999</v>
      </c>
      <c r="F78" s="11">
        <f>3.9541 * CHOOSE(CONTROL!$C$32, $C$9, 100%, $E$9)</f>
        <v>3.9540999999999999</v>
      </c>
      <c r="G78" s="11">
        <f>3.9594 * CHOOSE(CONTROL!$C$32, $C$9, 100%, $E$9)</f>
        <v>3.9594</v>
      </c>
      <c r="H78" s="11">
        <f>6.3349 * CHOOSE(CONTROL!$C$32, $C$9, 100%, $E$9)</f>
        <v>6.3349000000000002</v>
      </c>
      <c r="I78" s="11">
        <f>6.3402 * CHOOSE(CONTROL!$C$32, $C$9, 100%, $E$9)</f>
        <v>6.3402000000000003</v>
      </c>
      <c r="J78" s="11">
        <f>6.3349 * CHOOSE(CONTROL!$C$32, $C$9, 100%, $E$9)</f>
        <v>6.3349000000000002</v>
      </c>
      <c r="K78" s="11">
        <f>6.3402 * CHOOSE(CONTROL!$C$32, $C$9, 100%, $E$9)</f>
        <v>6.3402000000000003</v>
      </c>
      <c r="L78" s="11">
        <f>3.9541 * CHOOSE(CONTROL!$C$32, $C$9, 100%, $E$9)</f>
        <v>3.9540999999999999</v>
      </c>
      <c r="M78" s="11">
        <f>3.9594 * CHOOSE(CONTROL!$C$32, $C$9, 100%, $E$9)</f>
        <v>3.9594</v>
      </c>
      <c r="N78" s="11">
        <f>3.9541 * CHOOSE(CONTROL!$C$32, $C$9, 100%, $E$9)</f>
        <v>3.9540999999999999</v>
      </c>
      <c r="O78" s="11">
        <f>3.9594 * CHOOSE(CONTROL!$C$32, $C$9, 100%, $E$9)</f>
        <v>3.9594</v>
      </c>
      <c r="P78" s="14"/>
      <c r="Q78" s="14"/>
      <c r="R78" s="14"/>
    </row>
    <row r="79" spans="1:18" ht="15" x14ac:dyDescent="0.2">
      <c r="A79" s="13">
        <v>43252</v>
      </c>
      <c r="B79" s="9">
        <f>3.386 * CHOOSE(CONTROL!$C$32, $C$9, 100%, $E$9)</f>
        <v>3.3860000000000001</v>
      </c>
      <c r="C79" s="9">
        <f>3.386 * CHOOSE(CONTROL!$C$32, $C$9, 100%, $E$9)</f>
        <v>3.3860000000000001</v>
      </c>
      <c r="D79" s="9">
        <f>3.3876 * CHOOSE(CONTROL!$C$32, $C$9, 100%, $E$9)</f>
        <v>3.3875999999999999</v>
      </c>
      <c r="E79" s="11">
        <f>3.9581 * CHOOSE(CONTROL!$C$32, $C$9, 100%, $E$9)</f>
        <v>3.9581</v>
      </c>
      <c r="F79" s="11">
        <f>3.9581 * CHOOSE(CONTROL!$C$32, $C$9, 100%, $E$9)</f>
        <v>3.9581</v>
      </c>
      <c r="G79" s="11">
        <f>3.9634 * CHOOSE(CONTROL!$C$32, $C$9, 100%, $E$9)</f>
        <v>3.9634</v>
      </c>
      <c r="H79" s="11">
        <f>6.3481 * CHOOSE(CONTROL!$C$32, $C$9, 100%, $E$9)</f>
        <v>6.3480999999999996</v>
      </c>
      <c r="I79" s="11">
        <f>6.3534 * CHOOSE(CONTROL!$C$32, $C$9, 100%, $E$9)</f>
        <v>6.3533999999999997</v>
      </c>
      <c r="J79" s="11">
        <f>6.3481 * CHOOSE(CONTROL!$C$32, $C$9, 100%, $E$9)</f>
        <v>6.3480999999999996</v>
      </c>
      <c r="K79" s="11">
        <f>6.3534 * CHOOSE(CONTROL!$C$32, $C$9, 100%, $E$9)</f>
        <v>6.3533999999999997</v>
      </c>
      <c r="L79" s="11">
        <f>3.9581 * CHOOSE(CONTROL!$C$32, $C$9, 100%, $E$9)</f>
        <v>3.9581</v>
      </c>
      <c r="M79" s="11">
        <f>3.9634 * CHOOSE(CONTROL!$C$32, $C$9, 100%, $E$9)</f>
        <v>3.9634</v>
      </c>
      <c r="N79" s="11">
        <f>3.9581 * CHOOSE(CONTROL!$C$32, $C$9, 100%, $E$9)</f>
        <v>3.9581</v>
      </c>
      <c r="O79" s="11">
        <f>3.9634 * CHOOSE(CONTROL!$C$32, $C$9, 100%, $E$9)</f>
        <v>3.9634</v>
      </c>
      <c r="P79" s="14"/>
      <c r="Q79" s="14"/>
      <c r="R79" s="14"/>
    </row>
    <row r="80" spans="1:18" ht="15" x14ac:dyDescent="0.2">
      <c r="A80" s="13">
        <v>43282</v>
      </c>
      <c r="B80" s="9">
        <f>3.4206 * CHOOSE(CONTROL!$C$32, $C$9, 100%, $E$9)</f>
        <v>3.4205999999999999</v>
      </c>
      <c r="C80" s="9">
        <f>3.4206 * CHOOSE(CONTROL!$C$32, $C$9, 100%, $E$9)</f>
        <v>3.4205999999999999</v>
      </c>
      <c r="D80" s="9">
        <f>3.4222 * CHOOSE(CONTROL!$C$32, $C$9, 100%, $E$9)</f>
        <v>3.4222000000000001</v>
      </c>
      <c r="E80" s="11">
        <f>4.0414 * CHOOSE(CONTROL!$C$32, $C$9, 100%, $E$9)</f>
        <v>4.0414000000000003</v>
      </c>
      <c r="F80" s="11">
        <f>4.0414 * CHOOSE(CONTROL!$C$32, $C$9, 100%, $E$9)</f>
        <v>4.0414000000000003</v>
      </c>
      <c r="G80" s="11">
        <f>4.0467 * CHOOSE(CONTROL!$C$32, $C$9, 100%, $E$9)</f>
        <v>4.0467000000000004</v>
      </c>
      <c r="H80" s="11">
        <f>6.3613 * CHOOSE(CONTROL!$C$32, $C$9, 100%, $E$9)</f>
        <v>6.3613</v>
      </c>
      <c r="I80" s="11">
        <f>6.3666 * CHOOSE(CONTROL!$C$32, $C$9, 100%, $E$9)</f>
        <v>6.3666</v>
      </c>
      <c r="J80" s="11">
        <f>6.3613 * CHOOSE(CONTROL!$C$32, $C$9, 100%, $E$9)</f>
        <v>6.3613</v>
      </c>
      <c r="K80" s="11">
        <f>6.3666 * CHOOSE(CONTROL!$C$32, $C$9, 100%, $E$9)</f>
        <v>6.3666</v>
      </c>
      <c r="L80" s="11">
        <f>4.0414 * CHOOSE(CONTROL!$C$32, $C$9, 100%, $E$9)</f>
        <v>4.0414000000000003</v>
      </c>
      <c r="M80" s="11">
        <f>4.0467 * CHOOSE(CONTROL!$C$32, $C$9, 100%, $E$9)</f>
        <v>4.0467000000000004</v>
      </c>
      <c r="N80" s="11">
        <f>4.0414 * CHOOSE(CONTROL!$C$32, $C$9, 100%, $E$9)</f>
        <v>4.0414000000000003</v>
      </c>
      <c r="O80" s="11">
        <f>4.0467 * CHOOSE(CONTROL!$C$32, $C$9, 100%, $E$9)</f>
        <v>4.0467000000000004</v>
      </c>
      <c r="P80" s="14"/>
      <c r="Q80" s="14"/>
      <c r="R80" s="14"/>
    </row>
    <row r="81" spans="1:18" ht="15" x14ac:dyDescent="0.2">
      <c r="A81" s="13">
        <v>43313</v>
      </c>
      <c r="B81" s="9">
        <f>3.4359 * CHOOSE(CONTROL!$C$32, $C$9, 100%, $E$9)</f>
        <v>3.4359000000000002</v>
      </c>
      <c r="C81" s="9">
        <f>3.4359 * CHOOSE(CONTROL!$C$32, $C$9, 100%, $E$9)</f>
        <v>3.4359000000000002</v>
      </c>
      <c r="D81" s="9">
        <f>3.4375 * CHOOSE(CONTROL!$C$32, $C$9, 100%, $E$9)</f>
        <v>3.4375</v>
      </c>
      <c r="E81" s="11">
        <f>4.0458 * CHOOSE(CONTROL!$C$32, $C$9, 100%, $E$9)</f>
        <v>4.0457999999999998</v>
      </c>
      <c r="F81" s="11">
        <f>4.0458 * CHOOSE(CONTROL!$C$32, $C$9, 100%, $E$9)</f>
        <v>4.0457999999999998</v>
      </c>
      <c r="G81" s="11">
        <f>4.0511 * CHOOSE(CONTROL!$C$32, $C$9, 100%, $E$9)</f>
        <v>4.0510999999999999</v>
      </c>
      <c r="H81" s="11">
        <f>6.3746 * CHOOSE(CONTROL!$C$32, $C$9, 100%, $E$9)</f>
        <v>6.3746</v>
      </c>
      <c r="I81" s="11">
        <f>6.3799 * CHOOSE(CONTROL!$C$32, $C$9, 100%, $E$9)</f>
        <v>6.3799000000000001</v>
      </c>
      <c r="J81" s="11">
        <f>6.3746 * CHOOSE(CONTROL!$C$32, $C$9, 100%, $E$9)</f>
        <v>6.3746</v>
      </c>
      <c r="K81" s="11">
        <f>6.3799 * CHOOSE(CONTROL!$C$32, $C$9, 100%, $E$9)</f>
        <v>6.3799000000000001</v>
      </c>
      <c r="L81" s="11">
        <f>4.0458 * CHOOSE(CONTROL!$C$32, $C$9, 100%, $E$9)</f>
        <v>4.0457999999999998</v>
      </c>
      <c r="M81" s="11">
        <f>4.0511 * CHOOSE(CONTROL!$C$32, $C$9, 100%, $E$9)</f>
        <v>4.0510999999999999</v>
      </c>
      <c r="N81" s="11">
        <f>4.0458 * CHOOSE(CONTROL!$C$32, $C$9, 100%, $E$9)</f>
        <v>4.0457999999999998</v>
      </c>
      <c r="O81" s="11">
        <f>4.0511 * CHOOSE(CONTROL!$C$32, $C$9, 100%, $E$9)</f>
        <v>4.0510999999999999</v>
      </c>
      <c r="P81" s="14"/>
      <c r="Q81" s="14"/>
      <c r="R81" s="14"/>
    </row>
    <row r="82" spans="1:18" ht="15" x14ac:dyDescent="0.2">
      <c r="A82" s="13">
        <v>43344</v>
      </c>
      <c r="B82" s="9">
        <f>3.4328 * CHOOSE(CONTROL!$C$32, $C$9, 100%, $E$9)</f>
        <v>3.4327999999999999</v>
      </c>
      <c r="C82" s="9">
        <f>3.4328 * CHOOSE(CONTROL!$C$32, $C$9, 100%, $E$9)</f>
        <v>3.4327999999999999</v>
      </c>
      <c r="D82" s="9">
        <f>3.4344 * CHOOSE(CONTROL!$C$32, $C$9, 100%, $E$9)</f>
        <v>3.4344000000000001</v>
      </c>
      <c r="E82" s="11">
        <f>4.0438 * CHOOSE(CONTROL!$C$32, $C$9, 100%, $E$9)</f>
        <v>4.0438000000000001</v>
      </c>
      <c r="F82" s="11">
        <f>4.0438 * CHOOSE(CONTROL!$C$32, $C$9, 100%, $E$9)</f>
        <v>4.0438000000000001</v>
      </c>
      <c r="G82" s="11">
        <f>4.0491 * CHOOSE(CONTROL!$C$32, $C$9, 100%, $E$9)</f>
        <v>4.0491000000000001</v>
      </c>
      <c r="H82" s="11">
        <f>6.3879 * CHOOSE(CONTROL!$C$32, $C$9, 100%, $E$9)</f>
        <v>6.3879000000000001</v>
      </c>
      <c r="I82" s="11">
        <f>6.3932 * CHOOSE(CONTROL!$C$32, $C$9, 100%, $E$9)</f>
        <v>6.3932000000000002</v>
      </c>
      <c r="J82" s="11">
        <f>6.3879 * CHOOSE(CONTROL!$C$32, $C$9, 100%, $E$9)</f>
        <v>6.3879000000000001</v>
      </c>
      <c r="K82" s="11">
        <f>6.3932 * CHOOSE(CONTROL!$C$32, $C$9, 100%, $E$9)</f>
        <v>6.3932000000000002</v>
      </c>
      <c r="L82" s="11">
        <f>4.0438 * CHOOSE(CONTROL!$C$32, $C$9, 100%, $E$9)</f>
        <v>4.0438000000000001</v>
      </c>
      <c r="M82" s="11">
        <f>4.0491 * CHOOSE(CONTROL!$C$32, $C$9, 100%, $E$9)</f>
        <v>4.0491000000000001</v>
      </c>
      <c r="N82" s="11">
        <f>4.0438 * CHOOSE(CONTROL!$C$32, $C$9, 100%, $E$9)</f>
        <v>4.0438000000000001</v>
      </c>
      <c r="O82" s="11">
        <f>4.0491 * CHOOSE(CONTROL!$C$32, $C$9, 100%, $E$9)</f>
        <v>4.0491000000000001</v>
      </c>
      <c r="P82" s="14"/>
      <c r="Q82" s="14"/>
      <c r="R82" s="14"/>
    </row>
    <row r="83" spans="1:18" ht="15" x14ac:dyDescent="0.2">
      <c r="A83" s="13">
        <v>43374</v>
      </c>
      <c r="B83" s="9">
        <f>3.4135 * CHOOSE(CONTROL!$C$32, $C$9, 100%, $E$9)</f>
        <v>3.4135</v>
      </c>
      <c r="C83" s="9">
        <f>3.4135 * CHOOSE(CONTROL!$C$32, $C$9, 100%, $E$9)</f>
        <v>3.4135</v>
      </c>
      <c r="D83" s="9">
        <f>3.4146 * CHOOSE(CONTROL!$C$32, $C$9, 100%, $E$9)</f>
        <v>3.4146000000000001</v>
      </c>
      <c r="E83" s="11">
        <f>4.0369 * CHOOSE(CONTROL!$C$32, $C$9, 100%, $E$9)</f>
        <v>4.0369000000000002</v>
      </c>
      <c r="F83" s="11">
        <f>4.0369 * CHOOSE(CONTROL!$C$32, $C$9, 100%, $E$9)</f>
        <v>4.0369000000000002</v>
      </c>
      <c r="G83" s="11">
        <f>4.0406 * CHOOSE(CONTROL!$C$32, $C$9, 100%, $E$9)</f>
        <v>4.0406000000000004</v>
      </c>
      <c r="H83" s="11">
        <f>6.4012 * CHOOSE(CONTROL!$C$32, $C$9, 100%, $E$9)</f>
        <v>6.4012000000000002</v>
      </c>
      <c r="I83" s="11">
        <f>6.4048 * CHOOSE(CONTROL!$C$32, $C$9, 100%, $E$9)</f>
        <v>6.4047999999999998</v>
      </c>
      <c r="J83" s="11">
        <f>6.4012 * CHOOSE(CONTROL!$C$32, $C$9, 100%, $E$9)</f>
        <v>6.4012000000000002</v>
      </c>
      <c r="K83" s="11">
        <f>6.4048 * CHOOSE(CONTROL!$C$32, $C$9, 100%, $E$9)</f>
        <v>6.4047999999999998</v>
      </c>
      <c r="L83" s="11">
        <f>4.0369 * CHOOSE(CONTROL!$C$32, $C$9, 100%, $E$9)</f>
        <v>4.0369000000000002</v>
      </c>
      <c r="M83" s="11">
        <f>4.0406 * CHOOSE(CONTROL!$C$32, $C$9, 100%, $E$9)</f>
        <v>4.0406000000000004</v>
      </c>
      <c r="N83" s="11">
        <f>4.0369 * CHOOSE(CONTROL!$C$32, $C$9, 100%, $E$9)</f>
        <v>4.0369000000000002</v>
      </c>
      <c r="O83" s="11">
        <f>4.0406 * CHOOSE(CONTROL!$C$32, $C$9, 100%, $E$9)</f>
        <v>4.0406000000000004</v>
      </c>
      <c r="P83" s="14"/>
      <c r="Q83" s="14"/>
      <c r="R83" s="14"/>
    </row>
    <row r="84" spans="1:18" ht="15" x14ac:dyDescent="0.2">
      <c r="A84" s="13">
        <v>43405</v>
      </c>
      <c r="B84" s="9">
        <f>3.4253 * CHOOSE(CONTROL!$C$32, $C$9, 100%, $E$9)</f>
        <v>3.4253</v>
      </c>
      <c r="C84" s="9">
        <f>3.4253 * CHOOSE(CONTROL!$C$32, $C$9, 100%, $E$9)</f>
        <v>3.4253</v>
      </c>
      <c r="D84" s="9">
        <f>3.4263 * CHOOSE(CONTROL!$C$32, $C$9, 100%, $E$9)</f>
        <v>3.4262999999999999</v>
      </c>
      <c r="E84" s="11">
        <f>4.0389 * CHOOSE(CONTROL!$C$32, $C$9, 100%, $E$9)</f>
        <v>4.0388999999999999</v>
      </c>
      <c r="F84" s="11">
        <f>4.0389 * CHOOSE(CONTROL!$C$32, $C$9, 100%, $E$9)</f>
        <v>4.0388999999999999</v>
      </c>
      <c r="G84" s="11">
        <f>4.0426 * CHOOSE(CONTROL!$C$32, $C$9, 100%, $E$9)</f>
        <v>4.0426000000000002</v>
      </c>
      <c r="H84" s="11">
        <f>6.4145 * CHOOSE(CONTROL!$C$32, $C$9, 100%, $E$9)</f>
        <v>6.4145000000000003</v>
      </c>
      <c r="I84" s="11">
        <f>6.4181 * CHOOSE(CONTROL!$C$32, $C$9, 100%, $E$9)</f>
        <v>6.4180999999999999</v>
      </c>
      <c r="J84" s="11">
        <f>6.4145 * CHOOSE(CONTROL!$C$32, $C$9, 100%, $E$9)</f>
        <v>6.4145000000000003</v>
      </c>
      <c r="K84" s="11">
        <f>6.4181 * CHOOSE(CONTROL!$C$32, $C$9, 100%, $E$9)</f>
        <v>6.4180999999999999</v>
      </c>
      <c r="L84" s="11">
        <f>4.0389 * CHOOSE(CONTROL!$C$32, $C$9, 100%, $E$9)</f>
        <v>4.0388999999999999</v>
      </c>
      <c r="M84" s="11">
        <f>4.0426 * CHOOSE(CONTROL!$C$32, $C$9, 100%, $E$9)</f>
        <v>4.0426000000000002</v>
      </c>
      <c r="N84" s="11">
        <f>4.0389 * CHOOSE(CONTROL!$C$32, $C$9, 100%, $E$9)</f>
        <v>4.0388999999999999</v>
      </c>
      <c r="O84" s="11">
        <f>4.0426 * CHOOSE(CONTROL!$C$32, $C$9, 100%, $E$9)</f>
        <v>4.0426000000000002</v>
      </c>
      <c r="P84" s="14"/>
      <c r="Q84" s="14"/>
      <c r="R84" s="14"/>
    </row>
    <row r="85" spans="1:18" ht="15" x14ac:dyDescent="0.2">
      <c r="A85" s="13">
        <v>43435</v>
      </c>
      <c r="B85" s="9">
        <f>3.4251 * CHOOSE(CONTROL!$C$32, $C$9, 100%, $E$9)</f>
        <v>3.4251</v>
      </c>
      <c r="C85" s="9">
        <f>3.4251 * CHOOSE(CONTROL!$C$32, $C$9, 100%, $E$9)</f>
        <v>3.4251</v>
      </c>
      <c r="D85" s="9">
        <f>3.4262 * CHOOSE(CONTROL!$C$32, $C$9, 100%, $E$9)</f>
        <v>3.4262000000000001</v>
      </c>
      <c r="E85" s="11">
        <f>4.0389 * CHOOSE(CONTROL!$C$32, $C$9, 100%, $E$9)</f>
        <v>4.0388999999999999</v>
      </c>
      <c r="F85" s="11">
        <f>4.0389 * CHOOSE(CONTROL!$C$32, $C$9, 100%, $E$9)</f>
        <v>4.0388999999999999</v>
      </c>
      <c r="G85" s="11">
        <f>4.0426 * CHOOSE(CONTROL!$C$32, $C$9, 100%, $E$9)</f>
        <v>4.0426000000000002</v>
      </c>
      <c r="H85" s="11">
        <f>6.4279 * CHOOSE(CONTROL!$C$32, $C$9, 100%, $E$9)</f>
        <v>6.4279000000000002</v>
      </c>
      <c r="I85" s="11">
        <f>6.4315 * CHOOSE(CONTROL!$C$32, $C$9, 100%, $E$9)</f>
        <v>6.4314999999999998</v>
      </c>
      <c r="J85" s="11">
        <f>6.4279 * CHOOSE(CONTROL!$C$32, $C$9, 100%, $E$9)</f>
        <v>6.4279000000000002</v>
      </c>
      <c r="K85" s="11">
        <f>6.4315 * CHOOSE(CONTROL!$C$32, $C$9, 100%, $E$9)</f>
        <v>6.4314999999999998</v>
      </c>
      <c r="L85" s="11">
        <f>4.0389 * CHOOSE(CONTROL!$C$32, $C$9, 100%, $E$9)</f>
        <v>4.0388999999999999</v>
      </c>
      <c r="M85" s="11">
        <f>4.0426 * CHOOSE(CONTROL!$C$32, $C$9, 100%, $E$9)</f>
        <v>4.0426000000000002</v>
      </c>
      <c r="N85" s="11">
        <f>4.0389 * CHOOSE(CONTROL!$C$32, $C$9, 100%, $E$9)</f>
        <v>4.0388999999999999</v>
      </c>
      <c r="O85" s="11">
        <f>4.0426 * CHOOSE(CONTROL!$C$32, $C$9, 100%, $E$9)</f>
        <v>4.0426000000000002</v>
      </c>
      <c r="P85" s="14"/>
      <c r="Q85" s="14"/>
      <c r="R85" s="14"/>
    </row>
    <row r="86" spans="1:18" ht="15" x14ac:dyDescent="0.2">
      <c r="A86" s="13">
        <v>43466</v>
      </c>
      <c r="B86" s="9">
        <f>3.206 * CHOOSE(CONTROL!$C$32, $C$9, 100%, $E$9)</f>
        <v>3.206</v>
      </c>
      <c r="C86" s="9">
        <f>3.206 * CHOOSE(CONTROL!$C$32, $C$9, 100%, $E$9)</f>
        <v>3.206</v>
      </c>
      <c r="D86" s="9">
        <f>3.2071 * CHOOSE(CONTROL!$C$32, $C$9, 100%, $E$9)</f>
        <v>3.2071000000000001</v>
      </c>
      <c r="E86" s="11">
        <f>4.0646 * CHOOSE(CONTROL!$C$32, $C$9, 100%, $E$9)</f>
        <v>4.0646000000000004</v>
      </c>
      <c r="F86" s="11">
        <f>4.0646 * CHOOSE(CONTROL!$C$32, $C$9, 100%, $E$9)</f>
        <v>4.0646000000000004</v>
      </c>
      <c r="G86" s="11">
        <f>4.0682 * CHOOSE(CONTROL!$C$32, $C$9, 100%, $E$9)</f>
        <v>4.0682</v>
      </c>
      <c r="H86" s="11">
        <f>6.4413 * CHOOSE(CONTROL!$C$32, $C$9, 100%, $E$9)</f>
        <v>6.4413</v>
      </c>
      <c r="I86" s="11">
        <f>6.4449 * CHOOSE(CONTROL!$C$32, $C$9, 100%, $E$9)</f>
        <v>6.4448999999999996</v>
      </c>
      <c r="J86" s="11">
        <f>6.4413 * CHOOSE(CONTROL!$C$32, $C$9, 100%, $E$9)</f>
        <v>6.4413</v>
      </c>
      <c r="K86" s="11">
        <f>6.4449 * CHOOSE(CONTROL!$C$32, $C$9, 100%, $E$9)</f>
        <v>6.4448999999999996</v>
      </c>
      <c r="L86" s="11">
        <f>4.0646 * CHOOSE(CONTROL!$C$32, $C$9, 100%, $E$9)</f>
        <v>4.0646000000000004</v>
      </c>
      <c r="M86" s="11">
        <f>4.0682 * CHOOSE(CONTROL!$C$32, $C$9, 100%, $E$9)</f>
        <v>4.0682</v>
      </c>
      <c r="N86" s="11">
        <f>4.0646 * CHOOSE(CONTROL!$C$32, $C$9, 100%, $E$9)</f>
        <v>4.0646000000000004</v>
      </c>
      <c r="O86" s="11">
        <f>4.0682 * CHOOSE(CONTROL!$C$32, $C$9, 100%, $E$9)</f>
        <v>4.0682</v>
      </c>
      <c r="P86" s="14"/>
      <c r="Q86" s="14"/>
      <c r="R86" s="14"/>
    </row>
    <row r="87" spans="1:18" ht="15" x14ac:dyDescent="0.2">
      <c r="A87" s="13">
        <v>43497</v>
      </c>
      <c r="B87" s="9">
        <f>3.2029 * CHOOSE(CONTROL!$C$32, $C$9, 100%, $E$9)</f>
        <v>3.2029000000000001</v>
      </c>
      <c r="C87" s="9">
        <f>3.2029 * CHOOSE(CONTROL!$C$32, $C$9, 100%, $E$9)</f>
        <v>3.2029000000000001</v>
      </c>
      <c r="D87" s="9">
        <f>3.204 * CHOOSE(CONTROL!$C$32, $C$9, 100%, $E$9)</f>
        <v>3.2040000000000002</v>
      </c>
      <c r="E87" s="11">
        <f>4.0626 * CHOOSE(CONTROL!$C$32, $C$9, 100%, $E$9)</f>
        <v>4.0625999999999998</v>
      </c>
      <c r="F87" s="11">
        <f>4.0626 * CHOOSE(CONTROL!$C$32, $C$9, 100%, $E$9)</f>
        <v>4.0625999999999998</v>
      </c>
      <c r="G87" s="11">
        <f>4.0662 * CHOOSE(CONTROL!$C$32, $C$9, 100%, $E$9)</f>
        <v>4.0662000000000003</v>
      </c>
      <c r="H87" s="11">
        <f>6.4547 * CHOOSE(CONTROL!$C$32, $C$9, 100%, $E$9)</f>
        <v>6.4546999999999999</v>
      </c>
      <c r="I87" s="11">
        <f>6.4583 * CHOOSE(CONTROL!$C$32, $C$9, 100%, $E$9)</f>
        <v>6.4583000000000004</v>
      </c>
      <c r="J87" s="11">
        <f>6.4547 * CHOOSE(CONTROL!$C$32, $C$9, 100%, $E$9)</f>
        <v>6.4546999999999999</v>
      </c>
      <c r="K87" s="11">
        <f>6.4583 * CHOOSE(CONTROL!$C$32, $C$9, 100%, $E$9)</f>
        <v>6.4583000000000004</v>
      </c>
      <c r="L87" s="11">
        <f>4.0626 * CHOOSE(CONTROL!$C$32, $C$9, 100%, $E$9)</f>
        <v>4.0625999999999998</v>
      </c>
      <c r="M87" s="11">
        <f>4.0662 * CHOOSE(CONTROL!$C$32, $C$9, 100%, $E$9)</f>
        <v>4.0662000000000003</v>
      </c>
      <c r="N87" s="11">
        <f>4.0626 * CHOOSE(CONTROL!$C$32, $C$9, 100%, $E$9)</f>
        <v>4.0625999999999998</v>
      </c>
      <c r="O87" s="11">
        <f>4.0662 * CHOOSE(CONTROL!$C$32, $C$9, 100%, $E$9)</f>
        <v>4.0662000000000003</v>
      </c>
      <c r="P87" s="14"/>
      <c r="Q87" s="14"/>
      <c r="R87" s="14"/>
    </row>
    <row r="88" spans="1:18" ht="15" x14ac:dyDescent="0.2">
      <c r="A88" s="13">
        <v>43525</v>
      </c>
      <c r="B88" s="9">
        <f>3.1999 * CHOOSE(CONTROL!$C$32, $C$9, 100%, $E$9)</f>
        <v>3.1999</v>
      </c>
      <c r="C88" s="9">
        <f>3.1999 * CHOOSE(CONTROL!$C$32, $C$9, 100%, $E$9)</f>
        <v>3.1999</v>
      </c>
      <c r="D88" s="9">
        <f>3.201 * CHOOSE(CONTROL!$C$32, $C$9, 100%, $E$9)</f>
        <v>3.2010000000000001</v>
      </c>
      <c r="E88" s="11">
        <f>4.0606 * CHOOSE(CONTROL!$C$32, $C$9, 100%, $E$9)</f>
        <v>4.0606</v>
      </c>
      <c r="F88" s="11">
        <f>4.0606 * CHOOSE(CONTROL!$C$32, $C$9, 100%, $E$9)</f>
        <v>4.0606</v>
      </c>
      <c r="G88" s="11">
        <f>4.0642 * CHOOSE(CONTROL!$C$32, $C$9, 100%, $E$9)</f>
        <v>4.0641999999999996</v>
      </c>
      <c r="H88" s="11">
        <f>6.4681 * CHOOSE(CONTROL!$C$32, $C$9, 100%, $E$9)</f>
        <v>6.4680999999999997</v>
      </c>
      <c r="I88" s="11">
        <f>6.4717 * CHOOSE(CONTROL!$C$32, $C$9, 100%, $E$9)</f>
        <v>6.4717000000000002</v>
      </c>
      <c r="J88" s="11">
        <f>6.4681 * CHOOSE(CONTROL!$C$32, $C$9, 100%, $E$9)</f>
        <v>6.4680999999999997</v>
      </c>
      <c r="K88" s="11">
        <f>6.4717 * CHOOSE(CONTROL!$C$32, $C$9, 100%, $E$9)</f>
        <v>6.4717000000000002</v>
      </c>
      <c r="L88" s="11">
        <f>4.0606 * CHOOSE(CONTROL!$C$32, $C$9, 100%, $E$9)</f>
        <v>4.0606</v>
      </c>
      <c r="M88" s="11">
        <f>4.0642 * CHOOSE(CONTROL!$C$32, $C$9, 100%, $E$9)</f>
        <v>4.0641999999999996</v>
      </c>
      <c r="N88" s="11">
        <f>4.0606 * CHOOSE(CONTROL!$C$32, $C$9, 100%, $E$9)</f>
        <v>4.0606</v>
      </c>
      <c r="O88" s="11">
        <f>4.0642 * CHOOSE(CONTROL!$C$32, $C$9, 100%, $E$9)</f>
        <v>4.0641999999999996</v>
      </c>
      <c r="P88" s="14"/>
      <c r="Q88" s="14"/>
      <c r="R88" s="14"/>
    </row>
    <row r="89" spans="1:18" ht="15" x14ac:dyDescent="0.2">
      <c r="A89" s="13">
        <v>43556</v>
      </c>
      <c r="B89" s="9">
        <f>3.1968 * CHOOSE(CONTROL!$C$32, $C$9, 100%, $E$9)</f>
        <v>3.1968000000000001</v>
      </c>
      <c r="C89" s="9">
        <f>3.1968 * CHOOSE(CONTROL!$C$32, $C$9, 100%, $E$9)</f>
        <v>3.1968000000000001</v>
      </c>
      <c r="D89" s="9">
        <f>3.1979 * CHOOSE(CONTROL!$C$32, $C$9, 100%, $E$9)</f>
        <v>3.1979000000000002</v>
      </c>
      <c r="E89" s="11">
        <f>4.0581 * CHOOSE(CONTROL!$C$32, $C$9, 100%, $E$9)</f>
        <v>4.0580999999999996</v>
      </c>
      <c r="F89" s="11">
        <f>4.0581 * CHOOSE(CONTROL!$C$32, $C$9, 100%, $E$9)</f>
        <v>4.0580999999999996</v>
      </c>
      <c r="G89" s="11">
        <f>4.0617 * CHOOSE(CONTROL!$C$32, $C$9, 100%, $E$9)</f>
        <v>4.0617000000000001</v>
      </c>
      <c r="H89" s="11">
        <f>6.4816 * CHOOSE(CONTROL!$C$32, $C$9, 100%, $E$9)</f>
        <v>6.4816000000000003</v>
      </c>
      <c r="I89" s="11">
        <f>6.4852 * CHOOSE(CONTROL!$C$32, $C$9, 100%, $E$9)</f>
        <v>6.4851999999999999</v>
      </c>
      <c r="J89" s="11">
        <f>6.4816 * CHOOSE(CONTROL!$C$32, $C$9, 100%, $E$9)</f>
        <v>6.4816000000000003</v>
      </c>
      <c r="K89" s="11">
        <f>6.4852 * CHOOSE(CONTROL!$C$32, $C$9, 100%, $E$9)</f>
        <v>6.4851999999999999</v>
      </c>
      <c r="L89" s="11">
        <f>4.0581 * CHOOSE(CONTROL!$C$32, $C$9, 100%, $E$9)</f>
        <v>4.0580999999999996</v>
      </c>
      <c r="M89" s="11">
        <f>4.0617 * CHOOSE(CONTROL!$C$32, $C$9, 100%, $E$9)</f>
        <v>4.0617000000000001</v>
      </c>
      <c r="N89" s="11">
        <f>4.0581 * CHOOSE(CONTROL!$C$32, $C$9, 100%, $E$9)</f>
        <v>4.0580999999999996</v>
      </c>
      <c r="O89" s="11">
        <f>4.0617 * CHOOSE(CONTROL!$C$32, $C$9, 100%, $E$9)</f>
        <v>4.0617000000000001</v>
      </c>
      <c r="P89" s="14"/>
      <c r="Q89" s="14"/>
      <c r="R89" s="14"/>
    </row>
    <row r="90" spans="1:18" ht="15" x14ac:dyDescent="0.2">
      <c r="A90" s="13">
        <v>43586</v>
      </c>
      <c r="B90" s="9">
        <f>3.1968 * CHOOSE(CONTROL!$C$32, $C$9, 100%, $E$9)</f>
        <v>3.1968000000000001</v>
      </c>
      <c r="C90" s="9">
        <f>3.1968 * CHOOSE(CONTROL!$C$32, $C$9, 100%, $E$9)</f>
        <v>3.1968000000000001</v>
      </c>
      <c r="D90" s="9">
        <f>3.1984 * CHOOSE(CONTROL!$C$32, $C$9, 100%, $E$9)</f>
        <v>3.1983999999999999</v>
      </c>
      <c r="E90" s="11">
        <f>4.0581 * CHOOSE(CONTROL!$C$32, $C$9, 100%, $E$9)</f>
        <v>4.0580999999999996</v>
      </c>
      <c r="F90" s="11">
        <f>4.0581 * CHOOSE(CONTROL!$C$32, $C$9, 100%, $E$9)</f>
        <v>4.0580999999999996</v>
      </c>
      <c r="G90" s="11">
        <f>4.0634 * CHOOSE(CONTROL!$C$32, $C$9, 100%, $E$9)</f>
        <v>4.0633999999999997</v>
      </c>
      <c r="H90" s="11">
        <f>6.4951 * CHOOSE(CONTROL!$C$32, $C$9, 100%, $E$9)</f>
        <v>6.4950999999999999</v>
      </c>
      <c r="I90" s="11">
        <f>6.5004 * CHOOSE(CONTROL!$C$32, $C$9, 100%, $E$9)</f>
        <v>6.5004</v>
      </c>
      <c r="J90" s="11">
        <f>6.4951 * CHOOSE(CONTROL!$C$32, $C$9, 100%, $E$9)</f>
        <v>6.4950999999999999</v>
      </c>
      <c r="K90" s="11">
        <f>6.5004 * CHOOSE(CONTROL!$C$32, $C$9, 100%, $E$9)</f>
        <v>6.5004</v>
      </c>
      <c r="L90" s="11">
        <f>4.0581 * CHOOSE(CONTROL!$C$32, $C$9, 100%, $E$9)</f>
        <v>4.0580999999999996</v>
      </c>
      <c r="M90" s="11">
        <f>4.0634 * CHOOSE(CONTROL!$C$32, $C$9, 100%, $E$9)</f>
        <v>4.0633999999999997</v>
      </c>
      <c r="N90" s="11">
        <f>4.0581 * CHOOSE(CONTROL!$C$32, $C$9, 100%, $E$9)</f>
        <v>4.0580999999999996</v>
      </c>
      <c r="O90" s="11">
        <f>4.0634 * CHOOSE(CONTROL!$C$32, $C$9, 100%, $E$9)</f>
        <v>4.0633999999999997</v>
      </c>
      <c r="P90" s="14"/>
      <c r="Q90" s="14"/>
      <c r="R90" s="14"/>
    </row>
    <row r="91" spans="1:18" ht="15" x14ac:dyDescent="0.2">
      <c r="A91" s="13">
        <v>43617</v>
      </c>
      <c r="B91" s="9">
        <f>3.2029 * CHOOSE(CONTROL!$C$32, $C$9, 100%, $E$9)</f>
        <v>3.2029000000000001</v>
      </c>
      <c r="C91" s="9">
        <f>3.2029 * CHOOSE(CONTROL!$C$32, $C$9, 100%, $E$9)</f>
        <v>3.2029000000000001</v>
      </c>
      <c r="D91" s="9">
        <f>3.2045 * CHOOSE(CONTROL!$C$32, $C$9, 100%, $E$9)</f>
        <v>3.2044999999999999</v>
      </c>
      <c r="E91" s="11">
        <f>4.0621 * CHOOSE(CONTROL!$C$32, $C$9, 100%, $E$9)</f>
        <v>4.0621</v>
      </c>
      <c r="F91" s="11">
        <f>4.0621 * CHOOSE(CONTROL!$C$32, $C$9, 100%, $E$9)</f>
        <v>4.0621</v>
      </c>
      <c r="G91" s="11">
        <f>4.0674 * CHOOSE(CONTROL!$C$32, $C$9, 100%, $E$9)</f>
        <v>4.0674000000000001</v>
      </c>
      <c r="H91" s="11">
        <f>6.5086 * CHOOSE(CONTROL!$C$32, $C$9, 100%, $E$9)</f>
        <v>6.5086000000000004</v>
      </c>
      <c r="I91" s="11">
        <f>6.5139 * CHOOSE(CONTROL!$C$32, $C$9, 100%, $E$9)</f>
        <v>6.5138999999999996</v>
      </c>
      <c r="J91" s="11">
        <f>6.5086 * CHOOSE(CONTROL!$C$32, $C$9, 100%, $E$9)</f>
        <v>6.5086000000000004</v>
      </c>
      <c r="K91" s="11">
        <f>6.5139 * CHOOSE(CONTROL!$C$32, $C$9, 100%, $E$9)</f>
        <v>6.5138999999999996</v>
      </c>
      <c r="L91" s="11">
        <f>4.0621 * CHOOSE(CONTROL!$C$32, $C$9, 100%, $E$9)</f>
        <v>4.0621</v>
      </c>
      <c r="M91" s="11">
        <f>4.0674 * CHOOSE(CONTROL!$C$32, $C$9, 100%, $E$9)</f>
        <v>4.0674000000000001</v>
      </c>
      <c r="N91" s="11">
        <f>4.0621 * CHOOSE(CONTROL!$C$32, $C$9, 100%, $E$9)</f>
        <v>4.0621</v>
      </c>
      <c r="O91" s="11">
        <f>4.0674 * CHOOSE(CONTROL!$C$32, $C$9, 100%, $E$9)</f>
        <v>4.0674000000000001</v>
      </c>
      <c r="P91" s="14"/>
      <c r="Q91" s="14"/>
      <c r="R91" s="14"/>
    </row>
    <row r="92" spans="1:18" ht="15" x14ac:dyDescent="0.2">
      <c r="A92" s="13">
        <v>43647</v>
      </c>
      <c r="B92" s="9">
        <f>3.243 * CHOOSE(CONTROL!$C$32, $C$9, 100%, $E$9)</f>
        <v>3.2429999999999999</v>
      </c>
      <c r="C92" s="9">
        <f>3.243 * CHOOSE(CONTROL!$C$32, $C$9, 100%, $E$9)</f>
        <v>3.2429999999999999</v>
      </c>
      <c r="D92" s="9">
        <f>3.2446 * CHOOSE(CONTROL!$C$32, $C$9, 100%, $E$9)</f>
        <v>3.2446000000000002</v>
      </c>
      <c r="E92" s="11">
        <f>4.1173 * CHOOSE(CONTROL!$C$32, $C$9, 100%, $E$9)</f>
        <v>4.1173000000000002</v>
      </c>
      <c r="F92" s="11">
        <f>4.1173 * CHOOSE(CONTROL!$C$32, $C$9, 100%, $E$9)</f>
        <v>4.1173000000000002</v>
      </c>
      <c r="G92" s="11">
        <f>4.1226 * CHOOSE(CONTROL!$C$32, $C$9, 100%, $E$9)</f>
        <v>4.1226000000000003</v>
      </c>
      <c r="H92" s="11">
        <f>6.5222 * CHOOSE(CONTROL!$C$32, $C$9, 100%, $E$9)</f>
        <v>6.5221999999999998</v>
      </c>
      <c r="I92" s="11">
        <f>6.5275 * CHOOSE(CONTROL!$C$32, $C$9, 100%, $E$9)</f>
        <v>6.5274999999999999</v>
      </c>
      <c r="J92" s="11">
        <f>6.5222 * CHOOSE(CONTROL!$C$32, $C$9, 100%, $E$9)</f>
        <v>6.5221999999999998</v>
      </c>
      <c r="K92" s="11">
        <f>6.5275 * CHOOSE(CONTROL!$C$32, $C$9, 100%, $E$9)</f>
        <v>6.5274999999999999</v>
      </c>
      <c r="L92" s="11">
        <f>4.1173 * CHOOSE(CONTROL!$C$32, $C$9, 100%, $E$9)</f>
        <v>4.1173000000000002</v>
      </c>
      <c r="M92" s="11">
        <f>4.1226 * CHOOSE(CONTROL!$C$32, $C$9, 100%, $E$9)</f>
        <v>4.1226000000000003</v>
      </c>
      <c r="N92" s="11">
        <f>4.1173 * CHOOSE(CONTROL!$C$32, $C$9, 100%, $E$9)</f>
        <v>4.1173000000000002</v>
      </c>
      <c r="O92" s="11">
        <f>4.1226 * CHOOSE(CONTROL!$C$32, $C$9, 100%, $E$9)</f>
        <v>4.1226000000000003</v>
      </c>
      <c r="P92" s="14"/>
      <c r="Q92" s="14"/>
      <c r="R92" s="14"/>
    </row>
    <row r="93" spans="1:18" ht="15" x14ac:dyDescent="0.2">
      <c r="A93" s="13">
        <v>43678</v>
      </c>
      <c r="B93" s="9">
        <f>3.2497 * CHOOSE(CONTROL!$C$32, $C$9, 100%, $E$9)</f>
        <v>3.2496999999999998</v>
      </c>
      <c r="C93" s="9">
        <f>3.2497 * CHOOSE(CONTROL!$C$32, $C$9, 100%, $E$9)</f>
        <v>3.2496999999999998</v>
      </c>
      <c r="D93" s="9">
        <f>3.2512 * CHOOSE(CONTROL!$C$32, $C$9, 100%, $E$9)</f>
        <v>3.2511999999999999</v>
      </c>
      <c r="E93" s="11">
        <f>4.1217 * CHOOSE(CONTROL!$C$32, $C$9, 100%, $E$9)</f>
        <v>4.1216999999999997</v>
      </c>
      <c r="F93" s="11">
        <f>4.1217 * CHOOSE(CONTROL!$C$32, $C$9, 100%, $E$9)</f>
        <v>4.1216999999999997</v>
      </c>
      <c r="G93" s="11">
        <f>4.127 * CHOOSE(CONTROL!$C$32, $C$9, 100%, $E$9)</f>
        <v>4.1269999999999998</v>
      </c>
      <c r="H93" s="11">
        <f>6.5358 * CHOOSE(CONTROL!$C$32, $C$9, 100%, $E$9)</f>
        <v>6.5358000000000001</v>
      </c>
      <c r="I93" s="11">
        <f>6.5411 * CHOOSE(CONTROL!$C$32, $C$9, 100%, $E$9)</f>
        <v>6.5411000000000001</v>
      </c>
      <c r="J93" s="11">
        <f>6.5358 * CHOOSE(CONTROL!$C$32, $C$9, 100%, $E$9)</f>
        <v>6.5358000000000001</v>
      </c>
      <c r="K93" s="11">
        <f>6.5411 * CHOOSE(CONTROL!$C$32, $C$9, 100%, $E$9)</f>
        <v>6.5411000000000001</v>
      </c>
      <c r="L93" s="11">
        <f>4.1217 * CHOOSE(CONTROL!$C$32, $C$9, 100%, $E$9)</f>
        <v>4.1216999999999997</v>
      </c>
      <c r="M93" s="11">
        <f>4.127 * CHOOSE(CONTROL!$C$32, $C$9, 100%, $E$9)</f>
        <v>4.1269999999999998</v>
      </c>
      <c r="N93" s="11">
        <f>4.1217 * CHOOSE(CONTROL!$C$32, $C$9, 100%, $E$9)</f>
        <v>4.1216999999999997</v>
      </c>
      <c r="O93" s="11">
        <f>4.127 * CHOOSE(CONTROL!$C$32, $C$9, 100%, $E$9)</f>
        <v>4.1269999999999998</v>
      </c>
      <c r="P93" s="14"/>
      <c r="Q93" s="14"/>
      <c r="R93" s="14"/>
    </row>
    <row r="94" spans="1:18" ht="15" x14ac:dyDescent="0.2">
      <c r="A94" s="13">
        <v>43709</v>
      </c>
      <c r="B94" s="9">
        <f>3.2466 * CHOOSE(CONTROL!$C$32, $C$9, 100%, $E$9)</f>
        <v>3.2465999999999999</v>
      </c>
      <c r="C94" s="9">
        <f>3.2466 * CHOOSE(CONTROL!$C$32, $C$9, 100%, $E$9)</f>
        <v>3.2465999999999999</v>
      </c>
      <c r="D94" s="9">
        <f>3.2482 * CHOOSE(CONTROL!$C$32, $C$9, 100%, $E$9)</f>
        <v>3.2482000000000002</v>
      </c>
      <c r="E94" s="11">
        <f>4.1197 * CHOOSE(CONTROL!$C$32, $C$9, 100%, $E$9)</f>
        <v>4.1196999999999999</v>
      </c>
      <c r="F94" s="11">
        <f>4.1197 * CHOOSE(CONTROL!$C$32, $C$9, 100%, $E$9)</f>
        <v>4.1196999999999999</v>
      </c>
      <c r="G94" s="11">
        <f>4.125 * CHOOSE(CONTROL!$C$32, $C$9, 100%, $E$9)</f>
        <v>4.125</v>
      </c>
      <c r="H94" s="11">
        <f>6.5494 * CHOOSE(CONTROL!$C$32, $C$9, 100%, $E$9)</f>
        <v>6.5494000000000003</v>
      </c>
      <c r="I94" s="11">
        <f>6.5547 * CHOOSE(CONTROL!$C$32, $C$9, 100%, $E$9)</f>
        <v>6.5547000000000004</v>
      </c>
      <c r="J94" s="11">
        <f>6.5494 * CHOOSE(CONTROL!$C$32, $C$9, 100%, $E$9)</f>
        <v>6.5494000000000003</v>
      </c>
      <c r="K94" s="11">
        <f>6.5547 * CHOOSE(CONTROL!$C$32, $C$9, 100%, $E$9)</f>
        <v>6.5547000000000004</v>
      </c>
      <c r="L94" s="11">
        <f>4.1197 * CHOOSE(CONTROL!$C$32, $C$9, 100%, $E$9)</f>
        <v>4.1196999999999999</v>
      </c>
      <c r="M94" s="11">
        <f>4.125 * CHOOSE(CONTROL!$C$32, $C$9, 100%, $E$9)</f>
        <v>4.125</v>
      </c>
      <c r="N94" s="11">
        <f>4.1197 * CHOOSE(CONTROL!$C$32, $C$9, 100%, $E$9)</f>
        <v>4.1196999999999999</v>
      </c>
      <c r="O94" s="11">
        <f>4.125 * CHOOSE(CONTROL!$C$32, $C$9, 100%, $E$9)</f>
        <v>4.125</v>
      </c>
      <c r="P94" s="14"/>
      <c r="Q94" s="14"/>
      <c r="R94" s="14"/>
    </row>
    <row r="95" spans="1:18" ht="15" x14ac:dyDescent="0.2">
      <c r="A95" s="13">
        <v>43739</v>
      </c>
      <c r="B95" s="9">
        <f>3.239 * CHOOSE(CONTROL!$C$32, $C$9, 100%, $E$9)</f>
        <v>3.2389999999999999</v>
      </c>
      <c r="C95" s="9">
        <f>3.239 * CHOOSE(CONTROL!$C$32, $C$9, 100%, $E$9)</f>
        <v>3.2389999999999999</v>
      </c>
      <c r="D95" s="9">
        <f>3.24 * CHOOSE(CONTROL!$C$32, $C$9, 100%, $E$9)</f>
        <v>3.24</v>
      </c>
      <c r="E95" s="11">
        <f>4.113 * CHOOSE(CONTROL!$C$32, $C$9, 100%, $E$9)</f>
        <v>4.1130000000000004</v>
      </c>
      <c r="F95" s="11">
        <f>4.113 * CHOOSE(CONTROL!$C$32, $C$9, 100%, $E$9)</f>
        <v>4.1130000000000004</v>
      </c>
      <c r="G95" s="11">
        <f>4.1166 * CHOOSE(CONTROL!$C$32, $C$9, 100%, $E$9)</f>
        <v>4.1166</v>
      </c>
      <c r="H95" s="11">
        <f>6.563 * CHOOSE(CONTROL!$C$32, $C$9, 100%, $E$9)</f>
        <v>6.5629999999999997</v>
      </c>
      <c r="I95" s="11">
        <f>6.5667 * CHOOSE(CONTROL!$C$32, $C$9, 100%, $E$9)</f>
        <v>6.5667</v>
      </c>
      <c r="J95" s="11">
        <f>6.563 * CHOOSE(CONTROL!$C$32, $C$9, 100%, $E$9)</f>
        <v>6.5629999999999997</v>
      </c>
      <c r="K95" s="11">
        <f>6.5667 * CHOOSE(CONTROL!$C$32, $C$9, 100%, $E$9)</f>
        <v>6.5667</v>
      </c>
      <c r="L95" s="11">
        <f>4.113 * CHOOSE(CONTROL!$C$32, $C$9, 100%, $E$9)</f>
        <v>4.1130000000000004</v>
      </c>
      <c r="M95" s="11">
        <f>4.1166 * CHOOSE(CONTROL!$C$32, $C$9, 100%, $E$9)</f>
        <v>4.1166</v>
      </c>
      <c r="N95" s="11">
        <f>4.113 * CHOOSE(CONTROL!$C$32, $C$9, 100%, $E$9)</f>
        <v>4.1130000000000004</v>
      </c>
      <c r="O95" s="11">
        <f>4.1166 * CHOOSE(CONTROL!$C$32, $C$9, 100%, $E$9)</f>
        <v>4.1166</v>
      </c>
      <c r="P95" s="14"/>
      <c r="Q95" s="14"/>
      <c r="R95" s="14"/>
    </row>
    <row r="96" spans="1:18" ht="15" x14ac:dyDescent="0.2">
      <c r="A96" s="13">
        <v>43770</v>
      </c>
      <c r="B96" s="9">
        <f>3.242 * CHOOSE(CONTROL!$C$32, $C$9, 100%, $E$9)</f>
        <v>3.242</v>
      </c>
      <c r="C96" s="9">
        <f>3.242 * CHOOSE(CONTROL!$C$32, $C$9, 100%, $E$9)</f>
        <v>3.242</v>
      </c>
      <c r="D96" s="9">
        <f>3.2431 * CHOOSE(CONTROL!$C$32, $C$9, 100%, $E$9)</f>
        <v>3.2431000000000001</v>
      </c>
      <c r="E96" s="11">
        <f>4.115 * CHOOSE(CONTROL!$C$32, $C$9, 100%, $E$9)</f>
        <v>4.1150000000000002</v>
      </c>
      <c r="F96" s="11">
        <f>4.115 * CHOOSE(CONTROL!$C$32, $C$9, 100%, $E$9)</f>
        <v>4.1150000000000002</v>
      </c>
      <c r="G96" s="11">
        <f>4.1186 * CHOOSE(CONTROL!$C$32, $C$9, 100%, $E$9)</f>
        <v>4.1185999999999998</v>
      </c>
      <c r="H96" s="11">
        <f>6.5767 * CHOOSE(CONTROL!$C$32, $C$9, 100%, $E$9)</f>
        <v>6.5766999999999998</v>
      </c>
      <c r="I96" s="11">
        <f>6.5803 * CHOOSE(CONTROL!$C$32, $C$9, 100%, $E$9)</f>
        <v>6.5803000000000003</v>
      </c>
      <c r="J96" s="11">
        <f>6.5767 * CHOOSE(CONTROL!$C$32, $C$9, 100%, $E$9)</f>
        <v>6.5766999999999998</v>
      </c>
      <c r="K96" s="11">
        <f>6.5803 * CHOOSE(CONTROL!$C$32, $C$9, 100%, $E$9)</f>
        <v>6.5803000000000003</v>
      </c>
      <c r="L96" s="11">
        <f>4.115 * CHOOSE(CONTROL!$C$32, $C$9, 100%, $E$9)</f>
        <v>4.1150000000000002</v>
      </c>
      <c r="M96" s="11">
        <f>4.1186 * CHOOSE(CONTROL!$C$32, $C$9, 100%, $E$9)</f>
        <v>4.1185999999999998</v>
      </c>
      <c r="N96" s="11">
        <f>4.115 * CHOOSE(CONTROL!$C$32, $C$9, 100%, $E$9)</f>
        <v>4.1150000000000002</v>
      </c>
      <c r="O96" s="11">
        <f>4.1186 * CHOOSE(CONTROL!$C$32, $C$9, 100%, $E$9)</f>
        <v>4.1185999999999998</v>
      </c>
      <c r="P96" s="14"/>
      <c r="Q96" s="14"/>
      <c r="R96" s="14"/>
    </row>
    <row r="97" spans="1:18" ht="15" x14ac:dyDescent="0.2">
      <c r="A97" s="13">
        <v>43800</v>
      </c>
      <c r="B97" s="9">
        <f>3.242 * CHOOSE(CONTROL!$C$32, $C$9, 100%, $E$9)</f>
        <v>3.242</v>
      </c>
      <c r="C97" s="9">
        <f>3.242 * CHOOSE(CONTROL!$C$32, $C$9, 100%, $E$9)</f>
        <v>3.242</v>
      </c>
      <c r="D97" s="9">
        <f>3.2431 * CHOOSE(CONTROL!$C$32, $C$9, 100%, $E$9)</f>
        <v>3.2431000000000001</v>
      </c>
      <c r="E97" s="11">
        <f>4.115 * CHOOSE(CONTROL!$C$32, $C$9, 100%, $E$9)</f>
        <v>4.1150000000000002</v>
      </c>
      <c r="F97" s="11">
        <f>4.115 * CHOOSE(CONTROL!$C$32, $C$9, 100%, $E$9)</f>
        <v>4.1150000000000002</v>
      </c>
      <c r="G97" s="11">
        <f>4.1186 * CHOOSE(CONTROL!$C$32, $C$9, 100%, $E$9)</f>
        <v>4.1185999999999998</v>
      </c>
      <c r="H97" s="11">
        <f>6.5904 * CHOOSE(CONTROL!$C$32, $C$9, 100%, $E$9)</f>
        <v>6.5903999999999998</v>
      </c>
      <c r="I97" s="11">
        <f>6.594 * CHOOSE(CONTROL!$C$32, $C$9, 100%, $E$9)</f>
        <v>6.5940000000000003</v>
      </c>
      <c r="J97" s="11">
        <f>6.5904 * CHOOSE(CONTROL!$C$32, $C$9, 100%, $E$9)</f>
        <v>6.5903999999999998</v>
      </c>
      <c r="K97" s="11">
        <f>6.594 * CHOOSE(CONTROL!$C$32, $C$9, 100%, $E$9)</f>
        <v>6.5940000000000003</v>
      </c>
      <c r="L97" s="11">
        <f>4.115 * CHOOSE(CONTROL!$C$32, $C$9, 100%, $E$9)</f>
        <v>4.1150000000000002</v>
      </c>
      <c r="M97" s="11">
        <f>4.1186 * CHOOSE(CONTROL!$C$32, $C$9, 100%, $E$9)</f>
        <v>4.1185999999999998</v>
      </c>
      <c r="N97" s="11">
        <f>4.115 * CHOOSE(CONTROL!$C$32, $C$9, 100%, $E$9)</f>
        <v>4.1150000000000002</v>
      </c>
      <c r="O97" s="11">
        <f>4.1186 * CHOOSE(CONTROL!$C$32, $C$9, 100%, $E$9)</f>
        <v>4.1185999999999998</v>
      </c>
      <c r="P97" s="14"/>
      <c r="Q97" s="14"/>
      <c r="R97" s="14"/>
    </row>
    <row r="98" spans="1:18" ht="15" x14ac:dyDescent="0.2">
      <c r="A98" s="13">
        <v>43831</v>
      </c>
      <c r="B98" s="9">
        <f>3.2675 * CHOOSE(CONTROL!$C$32, $C$9, 100%, $E$9)</f>
        <v>3.2675000000000001</v>
      </c>
      <c r="C98" s="9">
        <f>3.2675 * CHOOSE(CONTROL!$C$32, $C$9, 100%, $E$9)</f>
        <v>3.2675000000000001</v>
      </c>
      <c r="D98" s="9">
        <f>3.2686 * CHOOSE(CONTROL!$C$32, $C$9, 100%, $E$9)</f>
        <v>3.2686000000000002</v>
      </c>
      <c r="E98" s="11">
        <f>4.148 * CHOOSE(CONTROL!$C$32, $C$9, 100%, $E$9)</f>
        <v>4.1479999999999997</v>
      </c>
      <c r="F98" s="11">
        <f>4.148 * CHOOSE(CONTROL!$C$32, $C$9, 100%, $E$9)</f>
        <v>4.1479999999999997</v>
      </c>
      <c r="G98" s="11">
        <f>4.1516 * CHOOSE(CONTROL!$C$32, $C$9, 100%, $E$9)</f>
        <v>4.1516000000000002</v>
      </c>
      <c r="H98" s="11">
        <f>6.6041 * CHOOSE(CONTROL!$C$32, $C$9, 100%, $E$9)</f>
        <v>6.6040999999999999</v>
      </c>
      <c r="I98" s="11">
        <f>6.6078 * CHOOSE(CONTROL!$C$32, $C$9, 100%, $E$9)</f>
        <v>6.6078000000000001</v>
      </c>
      <c r="J98" s="11">
        <f>6.6041 * CHOOSE(CONTROL!$C$32, $C$9, 100%, $E$9)</f>
        <v>6.6040999999999999</v>
      </c>
      <c r="K98" s="11">
        <f>6.6078 * CHOOSE(CONTROL!$C$32, $C$9, 100%, $E$9)</f>
        <v>6.6078000000000001</v>
      </c>
      <c r="L98" s="11">
        <f>4.148 * CHOOSE(CONTROL!$C$32, $C$9, 100%, $E$9)</f>
        <v>4.1479999999999997</v>
      </c>
      <c r="M98" s="11">
        <f>4.1516 * CHOOSE(CONTROL!$C$32, $C$9, 100%, $E$9)</f>
        <v>4.1516000000000002</v>
      </c>
      <c r="N98" s="11">
        <f>4.148 * CHOOSE(CONTROL!$C$32, $C$9, 100%, $E$9)</f>
        <v>4.1479999999999997</v>
      </c>
      <c r="O98" s="11">
        <f>4.1516 * CHOOSE(CONTROL!$C$32, $C$9, 100%, $E$9)</f>
        <v>4.1516000000000002</v>
      </c>
      <c r="P98" s="14"/>
      <c r="Q98" s="14"/>
      <c r="R98" s="14"/>
    </row>
    <row r="99" spans="1:18" ht="15" x14ac:dyDescent="0.2">
      <c r="A99" s="13">
        <v>43862</v>
      </c>
      <c r="B99" s="9">
        <f>3.2644 * CHOOSE(CONTROL!$C$32, $C$9, 100%, $E$9)</f>
        <v>3.2644000000000002</v>
      </c>
      <c r="C99" s="9">
        <f>3.2644 * CHOOSE(CONTROL!$C$32, $C$9, 100%, $E$9)</f>
        <v>3.2644000000000002</v>
      </c>
      <c r="D99" s="9">
        <f>3.2655 * CHOOSE(CONTROL!$C$32, $C$9, 100%, $E$9)</f>
        <v>3.2654999999999998</v>
      </c>
      <c r="E99" s="11">
        <f>4.146 * CHOOSE(CONTROL!$C$32, $C$9, 100%, $E$9)</f>
        <v>4.1459999999999999</v>
      </c>
      <c r="F99" s="11">
        <f>4.146 * CHOOSE(CONTROL!$C$32, $C$9, 100%, $E$9)</f>
        <v>4.1459999999999999</v>
      </c>
      <c r="G99" s="11">
        <f>4.1496 * CHOOSE(CONTROL!$C$32, $C$9, 100%, $E$9)</f>
        <v>4.1496000000000004</v>
      </c>
      <c r="H99" s="11">
        <f>6.6179 * CHOOSE(CONTROL!$C$32, $C$9, 100%, $E$9)</f>
        <v>6.6178999999999997</v>
      </c>
      <c r="I99" s="11">
        <f>6.6215 * CHOOSE(CONTROL!$C$32, $C$9, 100%, $E$9)</f>
        <v>6.6215000000000002</v>
      </c>
      <c r="J99" s="11">
        <f>6.6179 * CHOOSE(CONTROL!$C$32, $C$9, 100%, $E$9)</f>
        <v>6.6178999999999997</v>
      </c>
      <c r="K99" s="11">
        <f>6.6215 * CHOOSE(CONTROL!$C$32, $C$9, 100%, $E$9)</f>
        <v>6.6215000000000002</v>
      </c>
      <c r="L99" s="11">
        <f>4.146 * CHOOSE(CONTROL!$C$32, $C$9, 100%, $E$9)</f>
        <v>4.1459999999999999</v>
      </c>
      <c r="M99" s="11">
        <f>4.1496 * CHOOSE(CONTROL!$C$32, $C$9, 100%, $E$9)</f>
        <v>4.1496000000000004</v>
      </c>
      <c r="N99" s="11">
        <f>4.146 * CHOOSE(CONTROL!$C$32, $C$9, 100%, $E$9)</f>
        <v>4.1459999999999999</v>
      </c>
      <c r="O99" s="11">
        <f>4.1496 * CHOOSE(CONTROL!$C$32, $C$9, 100%, $E$9)</f>
        <v>4.1496000000000004</v>
      </c>
      <c r="P99" s="14"/>
      <c r="Q99" s="14"/>
      <c r="R99" s="14"/>
    </row>
    <row r="100" spans="1:18" ht="15" x14ac:dyDescent="0.2">
      <c r="A100" s="13">
        <v>43891</v>
      </c>
      <c r="B100" s="9">
        <f>3.2614 * CHOOSE(CONTROL!$C$32, $C$9, 100%, $E$9)</f>
        <v>3.2614000000000001</v>
      </c>
      <c r="C100" s="9">
        <f>3.2614 * CHOOSE(CONTROL!$C$32, $C$9, 100%, $E$9)</f>
        <v>3.2614000000000001</v>
      </c>
      <c r="D100" s="9">
        <f>3.2625 * CHOOSE(CONTROL!$C$32, $C$9, 100%, $E$9)</f>
        <v>3.2625000000000002</v>
      </c>
      <c r="E100" s="11">
        <f>4.144 * CHOOSE(CONTROL!$C$32, $C$9, 100%, $E$9)</f>
        <v>4.1440000000000001</v>
      </c>
      <c r="F100" s="11">
        <f>4.144 * CHOOSE(CONTROL!$C$32, $C$9, 100%, $E$9)</f>
        <v>4.1440000000000001</v>
      </c>
      <c r="G100" s="11">
        <f>4.1476 * CHOOSE(CONTROL!$C$32, $C$9, 100%, $E$9)</f>
        <v>4.1475999999999997</v>
      </c>
      <c r="H100" s="11">
        <f>6.6317 * CHOOSE(CONTROL!$C$32, $C$9, 100%, $E$9)</f>
        <v>6.6317000000000004</v>
      </c>
      <c r="I100" s="11">
        <f>6.6353 * CHOOSE(CONTROL!$C$32, $C$9, 100%, $E$9)</f>
        <v>6.6353</v>
      </c>
      <c r="J100" s="11">
        <f>6.6317 * CHOOSE(CONTROL!$C$32, $C$9, 100%, $E$9)</f>
        <v>6.6317000000000004</v>
      </c>
      <c r="K100" s="11">
        <f>6.6353 * CHOOSE(CONTROL!$C$32, $C$9, 100%, $E$9)</f>
        <v>6.6353</v>
      </c>
      <c r="L100" s="11">
        <f>4.144 * CHOOSE(CONTROL!$C$32, $C$9, 100%, $E$9)</f>
        <v>4.1440000000000001</v>
      </c>
      <c r="M100" s="11">
        <f>4.1476 * CHOOSE(CONTROL!$C$32, $C$9, 100%, $E$9)</f>
        <v>4.1475999999999997</v>
      </c>
      <c r="N100" s="11">
        <f>4.144 * CHOOSE(CONTROL!$C$32, $C$9, 100%, $E$9)</f>
        <v>4.1440000000000001</v>
      </c>
      <c r="O100" s="11">
        <f>4.1476 * CHOOSE(CONTROL!$C$32, $C$9, 100%, $E$9)</f>
        <v>4.1475999999999997</v>
      </c>
      <c r="P100" s="14"/>
      <c r="Q100" s="14"/>
      <c r="R100" s="14"/>
    </row>
    <row r="101" spans="1:18" ht="15" x14ac:dyDescent="0.2">
      <c r="A101" s="13">
        <v>43922</v>
      </c>
      <c r="B101" s="9">
        <f>3.2584 * CHOOSE(CONTROL!$C$32, $C$9, 100%, $E$9)</f>
        <v>3.2584</v>
      </c>
      <c r="C101" s="9">
        <f>3.2584 * CHOOSE(CONTROL!$C$32, $C$9, 100%, $E$9)</f>
        <v>3.2584</v>
      </c>
      <c r="D101" s="9">
        <f>3.2594 * CHOOSE(CONTROL!$C$32, $C$9, 100%, $E$9)</f>
        <v>3.2593999999999999</v>
      </c>
      <c r="E101" s="11">
        <f>4.1415 * CHOOSE(CONTROL!$C$32, $C$9, 100%, $E$9)</f>
        <v>4.1414999999999997</v>
      </c>
      <c r="F101" s="11">
        <f>4.1415 * CHOOSE(CONTROL!$C$32, $C$9, 100%, $E$9)</f>
        <v>4.1414999999999997</v>
      </c>
      <c r="G101" s="11">
        <f>4.1451 * CHOOSE(CONTROL!$C$32, $C$9, 100%, $E$9)</f>
        <v>4.1451000000000002</v>
      </c>
      <c r="H101" s="11">
        <f>6.6455 * CHOOSE(CONTROL!$C$32, $C$9, 100%, $E$9)</f>
        <v>6.6455000000000002</v>
      </c>
      <c r="I101" s="11">
        <f>6.6491 * CHOOSE(CONTROL!$C$32, $C$9, 100%, $E$9)</f>
        <v>6.6490999999999998</v>
      </c>
      <c r="J101" s="11">
        <f>6.6455 * CHOOSE(CONTROL!$C$32, $C$9, 100%, $E$9)</f>
        <v>6.6455000000000002</v>
      </c>
      <c r="K101" s="11">
        <f>6.6491 * CHOOSE(CONTROL!$C$32, $C$9, 100%, $E$9)</f>
        <v>6.6490999999999998</v>
      </c>
      <c r="L101" s="11">
        <f>4.1415 * CHOOSE(CONTROL!$C$32, $C$9, 100%, $E$9)</f>
        <v>4.1414999999999997</v>
      </c>
      <c r="M101" s="11">
        <f>4.1451 * CHOOSE(CONTROL!$C$32, $C$9, 100%, $E$9)</f>
        <v>4.1451000000000002</v>
      </c>
      <c r="N101" s="11">
        <f>4.1415 * CHOOSE(CONTROL!$C$32, $C$9, 100%, $E$9)</f>
        <v>4.1414999999999997</v>
      </c>
      <c r="O101" s="11">
        <f>4.1451 * CHOOSE(CONTROL!$C$32, $C$9, 100%, $E$9)</f>
        <v>4.1451000000000002</v>
      </c>
      <c r="P101" s="14"/>
      <c r="Q101" s="14"/>
      <c r="R101" s="14"/>
    </row>
    <row r="102" spans="1:18" ht="15" x14ac:dyDescent="0.2">
      <c r="A102" s="13">
        <v>43952</v>
      </c>
      <c r="B102" s="9">
        <f>3.2584 * CHOOSE(CONTROL!$C$32, $C$9, 100%, $E$9)</f>
        <v>3.2584</v>
      </c>
      <c r="C102" s="9">
        <f>3.2584 * CHOOSE(CONTROL!$C$32, $C$9, 100%, $E$9)</f>
        <v>3.2584</v>
      </c>
      <c r="D102" s="9">
        <f>3.2599 * CHOOSE(CONTROL!$C$32, $C$9, 100%, $E$9)</f>
        <v>3.2599</v>
      </c>
      <c r="E102" s="11">
        <f>4.1415 * CHOOSE(CONTROL!$C$32, $C$9, 100%, $E$9)</f>
        <v>4.1414999999999997</v>
      </c>
      <c r="F102" s="11">
        <f>4.1415 * CHOOSE(CONTROL!$C$32, $C$9, 100%, $E$9)</f>
        <v>4.1414999999999997</v>
      </c>
      <c r="G102" s="11">
        <f>4.1468 * CHOOSE(CONTROL!$C$32, $C$9, 100%, $E$9)</f>
        <v>4.1467999999999998</v>
      </c>
      <c r="H102" s="11">
        <f>6.6594 * CHOOSE(CONTROL!$C$32, $C$9, 100%, $E$9)</f>
        <v>6.6593999999999998</v>
      </c>
      <c r="I102" s="11">
        <f>6.6646 * CHOOSE(CONTROL!$C$32, $C$9, 100%, $E$9)</f>
        <v>6.6646000000000001</v>
      </c>
      <c r="J102" s="11">
        <f>6.6594 * CHOOSE(CONTROL!$C$32, $C$9, 100%, $E$9)</f>
        <v>6.6593999999999998</v>
      </c>
      <c r="K102" s="11">
        <f>6.6646 * CHOOSE(CONTROL!$C$32, $C$9, 100%, $E$9)</f>
        <v>6.6646000000000001</v>
      </c>
      <c r="L102" s="11">
        <f>4.1415 * CHOOSE(CONTROL!$C$32, $C$9, 100%, $E$9)</f>
        <v>4.1414999999999997</v>
      </c>
      <c r="M102" s="11">
        <f>4.1468 * CHOOSE(CONTROL!$C$32, $C$9, 100%, $E$9)</f>
        <v>4.1467999999999998</v>
      </c>
      <c r="N102" s="11">
        <f>4.1415 * CHOOSE(CONTROL!$C$32, $C$9, 100%, $E$9)</f>
        <v>4.1414999999999997</v>
      </c>
      <c r="O102" s="11">
        <f>4.1468 * CHOOSE(CONTROL!$C$32, $C$9, 100%, $E$9)</f>
        <v>4.1467999999999998</v>
      </c>
      <c r="P102" s="14"/>
      <c r="Q102" s="14"/>
      <c r="R102" s="14"/>
    </row>
    <row r="103" spans="1:18" ht="15" x14ac:dyDescent="0.2">
      <c r="A103" s="13">
        <v>43983</v>
      </c>
      <c r="B103" s="9">
        <f>3.2644 * CHOOSE(CONTROL!$C$32, $C$9, 100%, $E$9)</f>
        <v>3.2644000000000002</v>
      </c>
      <c r="C103" s="9">
        <f>3.2644 * CHOOSE(CONTROL!$C$32, $C$9, 100%, $E$9)</f>
        <v>3.2644000000000002</v>
      </c>
      <c r="D103" s="9">
        <f>3.266 * CHOOSE(CONTROL!$C$32, $C$9, 100%, $E$9)</f>
        <v>3.266</v>
      </c>
      <c r="E103" s="11">
        <f>4.1455 * CHOOSE(CONTROL!$C$32, $C$9, 100%, $E$9)</f>
        <v>4.1455000000000002</v>
      </c>
      <c r="F103" s="11">
        <f>4.1455 * CHOOSE(CONTROL!$C$32, $C$9, 100%, $E$9)</f>
        <v>4.1455000000000002</v>
      </c>
      <c r="G103" s="11">
        <f>4.1508 * CHOOSE(CONTROL!$C$32, $C$9, 100%, $E$9)</f>
        <v>4.1508000000000003</v>
      </c>
      <c r="H103" s="11">
        <f>6.6732 * CHOOSE(CONTROL!$C$32, $C$9, 100%, $E$9)</f>
        <v>6.6731999999999996</v>
      </c>
      <c r="I103" s="11">
        <f>6.6785 * CHOOSE(CONTROL!$C$32, $C$9, 100%, $E$9)</f>
        <v>6.6784999999999997</v>
      </c>
      <c r="J103" s="11">
        <f>6.6732 * CHOOSE(CONTROL!$C$32, $C$9, 100%, $E$9)</f>
        <v>6.6731999999999996</v>
      </c>
      <c r="K103" s="11">
        <f>6.6785 * CHOOSE(CONTROL!$C$32, $C$9, 100%, $E$9)</f>
        <v>6.6784999999999997</v>
      </c>
      <c r="L103" s="11">
        <f>4.1455 * CHOOSE(CONTROL!$C$32, $C$9, 100%, $E$9)</f>
        <v>4.1455000000000002</v>
      </c>
      <c r="M103" s="11">
        <f>4.1508 * CHOOSE(CONTROL!$C$32, $C$9, 100%, $E$9)</f>
        <v>4.1508000000000003</v>
      </c>
      <c r="N103" s="11">
        <f>4.1455 * CHOOSE(CONTROL!$C$32, $C$9, 100%, $E$9)</f>
        <v>4.1455000000000002</v>
      </c>
      <c r="O103" s="11">
        <f>4.1508 * CHOOSE(CONTROL!$C$32, $C$9, 100%, $E$9)</f>
        <v>4.1508000000000003</v>
      </c>
      <c r="P103" s="14"/>
      <c r="Q103" s="14"/>
      <c r="R103" s="14"/>
    </row>
    <row r="104" spans="1:18" ht="15" x14ac:dyDescent="0.2">
      <c r="A104" s="13">
        <v>44013</v>
      </c>
      <c r="B104" s="9">
        <f>3.3098 * CHOOSE(CONTROL!$C$32, $C$9, 100%, $E$9)</f>
        <v>3.3098000000000001</v>
      </c>
      <c r="C104" s="9">
        <f>3.3098 * CHOOSE(CONTROL!$C$32, $C$9, 100%, $E$9)</f>
        <v>3.3098000000000001</v>
      </c>
      <c r="D104" s="9">
        <f>3.3114 * CHOOSE(CONTROL!$C$32, $C$9, 100%, $E$9)</f>
        <v>3.3113999999999999</v>
      </c>
      <c r="E104" s="11">
        <f>4.2176 * CHOOSE(CONTROL!$C$32, $C$9, 100%, $E$9)</f>
        <v>4.2176</v>
      </c>
      <c r="F104" s="11">
        <f>4.2176 * CHOOSE(CONTROL!$C$32, $C$9, 100%, $E$9)</f>
        <v>4.2176</v>
      </c>
      <c r="G104" s="11">
        <f>4.2229 * CHOOSE(CONTROL!$C$32, $C$9, 100%, $E$9)</f>
        <v>4.2229000000000001</v>
      </c>
      <c r="H104" s="11">
        <f>6.6871 * CHOOSE(CONTROL!$C$32, $C$9, 100%, $E$9)</f>
        <v>6.6871</v>
      </c>
      <c r="I104" s="11">
        <f>6.6924 * CHOOSE(CONTROL!$C$32, $C$9, 100%, $E$9)</f>
        <v>6.6924000000000001</v>
      </c>
      <c r="J104" s="11">
        <f>6.6871 * CHOOSE(CONTROL!$C$32, $C$9, 100%, $E$9)</f>
        <v>6.6871</v>
      </c>
      <c r="K104" s="11">
        <f>6.6924 * CHOOSE(CONTROL!$C$32, $C$9, 100%, $E$9)</f>
        <v>6.6924000000000001</v>
      </c>
      <c r="L104" s="11">
        <f>4.2176 * CHOOSE(CONTROL!$C$32, $C$9, 100%, $E$9)</f>
        <v>4.2176</v>
      </c>
      <c r="M104" s="11">
        <f>4.2229 * CHOOSE(CONTROL!$C$32, $C$9, 100%, $E$9)</f>
        <v>4.2229000000000001</v>
      </c>
      <c r="N104" s="11">
        <f>4.2176 * CHOOSE(CONTROL!$C$32, $C$9, 100%, $E$9)</f>
        <v>4.2176</v>
      </c>
      <c r="O104" s="11">
        <f>4.2229 * CHOOSE(CONTROL!$C$32, $C$9, 100%, $E$9)</f>
        <v>4.2229000000000001</v>
      </c>
      <c r="P104" s="14"/>
      <c r="Q104" s="14"/>
      <c r="R104" s="14"/>
    </row>
    <row r="105" spans="1:18" ht="15" x14ac:dyDescent="0.2">
      <c r="A105" s="13">
        <v>44044</v>
      </c>
      <c r="B105" s="9">
        <f>3.3165 * CHOOSE(CONTROL!$C$32, $C$9, 100%, $E$9)</f>
        <v>3.3165</v>
      </c>
      <c r="C105" s="9">
        <f>3.3165 * CHOOSE(CONTROL!$C$32, $C$9, 100%, $E$9)</f>
        <v>3.3165</v>
      </c>
      <c r="D105" s="9">
        <f>3.3181 * CHOOSE(CONTROL!$C$32, $C$9, 100%, $E$9)</f>
        <v>3.3180999999999998</v>
      </c>
      <c r="E105" s="11">
        <f>4.222 * CHOOSE(CONTROL!$C$32, $C$9, 100%, $E$9)</f>
        <v>4.2220000000000004</v>
      </c>
      <c r="F105" s="11">
        <f>4.222 * CHOOSE(CONTROL!$C$32, $C$9, 100%, $E$9)</f>
        <v>4.2220000000000004</v>
      </c>
      <c r="G105" s="11">
        <f>4.2273 * CHOOSE(CONTROL!$C$32, $C$9, 100%, $E$9)</f>
        <v>4.2272999999999996</v>
      </c>
      <c r="H105" s="11">
        <f>6.7011 * CHOOSE(CONTROL!$C$32, $C$9, 100%, $E$9)</f>
        <v>6.7011000000000003</v>
      </c>
      <c r="I105" s="11">
        <f>6.7064 * CHOOSE(CONTROL!$C$32, $C$9, 100%, $E$9)</f>
        <v>6.7064000000000004</v>
      </c>
      <c r="J105" s="11">
        <f>6.7011 * CHOOSE(CONTROL!$C$32, $C$9, 100%, $E$9)</f>
        <v>6.7011000000000003</v>
      </c>
      <c r="K105" s="11">
        <f>6.7064 * CHOOSE(CONTROL!$C$32, $C$9, 100%, $E$9)</f>
        <v>6.7064000000000004</v>
      </c>
      <c r="L105" s="11">
        <f>4.222 * CHOOSE(CONTROL!$C$32, $C$9, 100%, $E$9)</f>
        <v>4.2220000000000004</v>
      </c>
      <c r="M105" s="11">
        <f>4.2273 * CHOOSE(CONTROL!$C$32, $C$9, 100%, $E$9)</f>
        <v>4.2272999999999996</v>
      </c>
      <c r="N105" s="11">
        <f>4.222 * CHOOSE(CONTROL!$C$32, $C$9, 100%, $E$9)</f>
        <v>4.2220000000000004</v>
      </c>
      <c r="O105" s="11">
        <f>4.2273 * CHOOSE(CONTROL!$C$32, $C$9, 100%, $E$9)</f>
        <v>4.2272999999999996</v>
      </c>
      <c r="P105" s="14"/>
      <c r="Q105" s="14"/>
      <c r="R105" s="14"/>
    </row>
    <row r="106" spans="1:18" ht="15" x14ac:dyDescent="0.2">
      <c r="A106" s="13">
        <v>44075</v>
      </c>
      <c r="B106" s="9">
        <f>3.3135 * CHOOSE(CONTROL!$C$32, $C$9, 100%, $E$9)</f>
        <v>3.3134999999999999</v>
      </c>
      <c r="C106" s="9">
        <f>3.3135 * CHOOSE(CONTROL!$C$32, $C$9, 100%, $E$9)</f>
        <v>3.3134999999999999</v>
      </c>
      <c r="D106" s="9">
        <f>3.3151 * CHOOSE(CONTROL!$C$32, $C$9, 100%, $E$9)</f>
        <v>3.3151000000000002</v>
      </c>
      <c r="E106" s="11">
        <f>4.22 * CHOOSE(CONTROL!$C$32, $C$9, 100%, $E$9)</f>
        <v>4.22</v>
      </c>
      <c r="F106" s="11">
        <f>4.22 * CHOOSE(CONTROL!$C$32, $C$9, 100%, $E$9)</f>
        <v>4.22</v>
      </c>
      <c r="G106" s="11">
        <f>4.2253 * CHOOSE(CONTROL!$C$32, $C$9, 100%, $E$9)</f>
        <v>4.2252999999999998</v>
      </c>
      <c r="H106" s="11">
        <f>6.715 * CHOOSE(CONTROL!$C$32, $C$9, 100%, $E$9)</f>
        <v>6.7149999999999999</v>
      </c>
      <c r="I106" s="11">
        <f>6.7203 * CHOOSE(CONTROL!$C$32, $C$9, 100%, $E$9)</f>
        <v>6.7202999999999999</v>
      </c>
      <c r="J106" s="11">
        <f>6.715 * CHOOSE(CONTROL!$C$32, $C$9, 100%, $E$9)</f>
        <v>6.7149999999999999</v>
      </c>
      <c r="K106" s="11">
        <f>6.7203 * CHOOSE(CONTROL!$C$32, $C$9, 100%, $E$9)</f>
        <v>6.7202999999999999</v>
      </c>
      <c r="L106" s="11">
        <f>4.22 * CHOOSE(CONTROL!$C$32, $C$9, 100%, $E$9)</f>
        <v>4.22</v>
      </c>
      <c r="M106" s="11">
        <f>4.2253 * CHOOSE(CONTROL!$C$32, $C$9, 100%, $E$9)</f>
        <v>4.2252999999999998</v>
      </c>
      <c r="N106" s="11">
        <f>4.22 * CHOOSE(CONTROL!$C$32, $C$9, 100%, $E$9)</f>
        <v>4.22</v>
      </c>
      <c r="O106" s="11">
        <f>4.2253 * CHOOSE(CONTROL!$C$32, $C$9, 100%, $E$9)</f>
        <v>4.2252999999999998</v>
      </c>
      <c r="P106" s="14"/>
      <c r="Q106" s="14"/>
      <c r="R106" s="14"/>
    </row>
    <row r="107" spans="1:18" ht="15" x14ac:dyDescent="0.2">
      <c r="A107" s="13">
        <v>44105</v>
      </c>
      <c r="B107" s="9">
        <f>3.3061 * CHOOSE(CONTROL!$C$32, $C$9, 100%, $E$9)</f>
        <v>3.3060999999999998</v>
      </c>
      <c r="C107" s="9">
        <f>3.3061 * CHOOSE(CONTROL!$C$32, $C$9, 100%, $E$9)</f>
        <v>3.3060999999999998</v>
      </c>
      <c r="D107" s="9">
        <f>3.3072 * CHOOSE(CONTROL!$C$32, $C$9, 100%, $E$9)</f>
        <v>3.3071999999999999</v>
      </c>
      <c r="E107" s="11">
        <f>4.2135 * CHOOSE(CONTROL!$C$32, $C$9, 100%, $E$9)</f>
        <v>4.2134999999999998</v>
      </c>
      <c r="F107" s="11">
        <f>4.2135 * CHOOSE(CONTROL!$C$32, $C$9, 100%, $E$9)</f>
        <v>4.2134999999999998</v>
      </c>
      <c r="G107" s="11">
        <f>4.2171 * CHOOSE(CONTROL!$C$32, $C$9, 100%, $E$9)</f>
        <v>4.2171000000000003</v>
      </c>
      <c r="H107" s="11">
        <f>6.729 * CHOOSE(CONTROL!$C$32, $C$9, 100%, $E$9)</f>
        <v>6.7290000000000001</v>
      </c>
      <c r="I107" s="11">
        <f>6.7326 * CHOOSE(CONTROL!$C$32, $C$9, 100%, $E$9)</f>
        <v>6.7325999999999997</v>
      </c>
      <c r="J107" s="11">
        <f>6.729 * CHOOSE(CONTROL!$C$32, $C$9, 100%, $E$9)</f>
        <v>6.7290000000000001</v>
      </c>
      <c r="K107" s="11">
        <f>6.7326 * CHOOSE(CONTROL!$C$32, $C$9, 100%, $E$9)</f>
        <v>6.7325999999999997</v>
      </c>
      <c r="L107" s="11">
        <f>4.2135 * CHOOSE(CONTROL!$C$32, $C$9, 100%, $E$9)</f>
        <v>4.2134999999999998</v>
      </c>
      <c r="M107" s="11">
        <f>4.2171 * CHOOSE(CONTROL!$C$32, $C$9, 100%, $E$9)</f>
        <v>4.2171000000000003</v>
      </c>
      <c r="N107" s="11">
        <f>4.2135 * CHOOSE(CONTROL!$C$32, $C$9, 100%, $E$9)</f>
        <v>4.2134999999999998</v>
      </c>
      <c r="O107" s="11">
        <f>4.2171 * CHOOSE(CONTROL!$C$32, $C$9, 100%, $E$9)</f>
        <v>4.2171000000000003</v>
      </c>
      <c r="P107" s="14"/>
      <c r="Q107" s="14"/>
      <c r="R107" s="14"/>
    </row>
    <row r="108" spans="1:18" ht="15" x14ac:dyDescent="0.2">
      <c r="A108" s="13">
        <v>44136</v>
      </c>
      <c r="B108" s="9">
        <f>3.3092 * CHOOSE(CONTROL!$C$32, $C$9, 100%, $E$9)</f>
        <v>3.3092000000000001</v>
      </c>
      <c r="C108" s="9">
        <f>3.3092 * CHOOSE(CONTROL!$C$32, $C$9, 100%, $E$9)</f>
        <v>3.3092000000000001</v>
      </c>
      <c r="D108" s="9">
        <f>3.3103 * CHOOSE(CONTROL!$C$32, $C$9, 100%, $E$9)</f>
        <v>3.3102999999999998</v>
      </c>
      <c r="E108" s="11">
        <f>4.2155 * CHOOSE(CONTROL!$C$32, $C$9, 100%, $E$9)</f>
        <v>4.2154999999999996</v>
      </c>
      <c r="F108" s="11">
        <f>4.2155 * CHOOSE(CONTROL!$C$32, $C$9, 100%, $E$9)</f>
        <v>4.2154999999999996</v>
      </c>
      <c r="G108" s="11">
        <f>4.2191 * CHOOSE(CONTROL!$C$32, $C$9, 100%, $E$9)</f>
        <v>4.2191000000000001</v>
      </c>
      <c r="H108" s="11">
        <f>6.743 * CHOOSE(CONTROL!$C$32, $C$9, 100%, $E$9)</f>
        <v>6.7430000000000003</v>
      </c>
      <c r="I108" s="11">
        <f>6.7466 * CHOOSE(CONTROL!$C$32, $C$9, 100%, $E$9)</f>
        <v>6.7465999999999999</v>
      </c>
      <c r="J108" s="11">
        <f>6.743 * CHOOSE(CONTROL!$C$32, $C$9, 100%, $E$9)</f>
        <v>6.7430000000000003</v>
      </c>
      <c r="K108" s="11">
        <f>6.7466 * CHOOSE(CONTROL!$C$32, $C$9, 100%, $E$9)</f>
        <v>6.7465999999999999</v>
      </c>
      <c r="L108" s="11">
        <f>4.2155 * CHOOSE(CONTROL!$C$32, $C$9, 100%, $E$9)</f>
        <v>4.2154999999999996</v>
      </c>
      <c r="M108" s="11">
        <f>4.2191 * CHOOSE(CONTROL!$C$32, $C$9, 100%, $E$9)</f>
        <v>4.2191000000000001</v>
      </c>
      <c r="N108" s="11">
        <f>4.2155 * CHOOSE(CONTROL!$C$32, $C$9, 100%, $E$9)</f>
        <v>4.2154999999999996</v>
      </c>
      <c r="O108" s="11">
        <f>4.2191 * CHOOSE(CONTROL!$C$32, $C$9, 100%, $E$9)</f>
        <v>4.2191000000000001</v>
      </c>
      <c r="P108" s="14"/>
      <c r="Q108" s="14"/>
      <c r="R108" s="14"/>
    </row>
    <row r="109" spans="1:18" ht="15" x14ac:dyDescent="0.2">
      <c r="A109" s="13">
        <v>44166</v>
      </c>
      <c r="B109" s="9">
        <f>3.3092 * CHOOSE(CONTROL!$C$32, $C$9, 100%, $E$9)</f>
        <v>3.3092000000000001</v>
      </c>
      <c r="C109" s="9">
        <f>3.3092 * CHOOSE(CONTROL!$C$32, $C$9, 100%, $E$9)</f>
        <v>3.3092000000000001</v>
      </c>
      <c r="D109" s="9">
        <f>3.3103 * CHOOSE(CONTROL!$C$32, $C$9, 100%, $E$9)</f>
        <v>3.3102999999999998</v>
      </c>
      <c r="E109" s="11">
        <f>4.2155 * CHOOSE(CONTROL!$C$32, $C$9, 100%, $E$9)</f>
        <v>4.2154999999999996</v>
      </c>
      <c r="F109" s="11">
        <f>4.2155 * CHOOSE(CONTROL!$C$32, $C$9, 100%, $E$9)</f>
        <v>4.2154999999999996</v>
      </c>
      <c r="G109" s="11">
        <f>4.2191 * CHOOSE(CONTROL!$C$32, $C$9, 100%, $E$9)</f>
        <v>4.2191000000000001</v>
      </c>
      <c r="H109" s="11">
        <f>6.7571 * CHOOSE(CONTROL!$C$32, $C$9, 100%, $E$9)</f>
        <v>6.7571000000000003</v>
      </c>
      <c r="I109" s="11">
        <f>6.7607 * CHOOSE(CONTROL!$C$32, $C$9, 100%, $E$9)</f>
        <v>6.7606999999999999</v>
      </c>
      <c r="J109" s="11">
        <f>6.7571 * CHOOSE(CONTROL!$C$32, $C$9, 100%, $E$9)</f>
        <v>6.7571000000000003</v>
      </c>
      <c r="K109" s="11">
        <f>6.7607 * CHOOSE(CONTROL!$C$32, $C$9, 100%, $E$9)</f>
        <v>6.7606999999999999</v>
      </c>
      <c r="L109" s="11">
        <f>4.2155 * CHOOSE(CONTROL!$C$32, $C$9, 100%, $E$9)</f>
        <v>4.2154999999999996</v>
      </c>
      <c r="M109" s="11">
        <f>4.2191 * CHOOSE(CONTROL!$C$32, $C$9, 100%, $E$9)</f>
        <v>4.2191000000000001</v>
      </c>
      <c r="N109" s="11">
        <f>4.2155 * CHOOSE(CONTROL!$C$32, $C$9, 100%, $E$9)</f>
        <v>4.2154999999999996</v>
      </c>
      <c r="O109" s="11">
        <f>4.2191 * CHOOSE(CONTROL!$C$32, $C$9, 100%, $E$9)</f>
        <v>4.2191000000000001</v>
      </c>
      <c r="P109" s="14"/>
      <c r="Q109" s="14"/>
      <c r="R109" s="14"/>
    </row>
    <row r="110" spans="1:18" ht="15" x14ac:dyDescent="0.2">
      <c r="A110" s="13">
        <v>44197</v>
      </c>
      <c r="B110" s="9">
        <f>3.3407 * CHOOSE(CONTROL!$C$32, $C$9, 100%, $E$9)</f>
        <v>3.3407</v>
      </c>
      <c r="C110" s="9">
        <f>3.3407 * CHOOSE(CONTROL!$C$32, $C$9, 100%, $E$9)</f>
        <v>3.3407</v>
      </c>
      <c r="D110" s="9">
        <f>3.3417 * CHOOSE(CONTROL!$C$32, $C$9, 100%, $E$9)</f>
        <v>3.3416999999999999</v>
      </c>
      <c r="E110" s="11">
        <f>4.2457 * CHOOSE(CONTROL!$C$32, $C$9, 100%, $E$9)</f>
        <v>4.2457000000000003</v>
      </c>
      <c r="F110" s="11">
        <f>4.2457 * CHOOSE(CONTROL!$C$32, $C$9, 100%, $E$9)</f>
        <v>4.2457000000000003</v>
      </c>
      <c r="G110" s="11">
        <f>4.2494 * CHOOSE(CONTROL!$C$32, $C$9, 100%, $E$9)</f>
        <v>4.2493999999999996</v>
      </c>
      <c r="H110" s="11">
        <f>6.7712 * CHOOSE(CONTROL!$C$32, $C$9, 100%, $E$9)</f>
        <v>6.7712000000000003</v>
      </c>
      <c r="I110" s="11">
        <f>6.7748 * CHOOSE(CONTROL!$C$32, $C$9, 100%, $E$9)</f>
        <v>6.7747999999999999</v>
      </c>
      <c r="J110" s="11">
        <f>6.7712 * CHOOSE(CONTROL!$C$32, $C$9, 100%, $E$9)</f>
        <v>6.7712000000000003</v>
      </c>
      <c r="K110" s="11">
        <f>6.7748 * CHOOSE(CONTROL!$C$32, $C$9, 100%, $E$9)</f>
        <v>6.7747999999999999</v>
      </c>
      <c r="L110" s="11">
        <f>4.2457 * CHOOSE(CONTROL!$C$32, $C$9, 100%, $E$9)</f>
        <v>4.2457000000000003</v>
      </c>
      <c r="M110" s="11">
        <f>4.2494 * CHOOSE(CONTROL!$C$32, $C$9, 100%, $E$9)</f>
        <v>4.2493999999999996</v>
      </c>
      <c r="N110" s="11">
        <f>4.2457 * CHOOSE(CONTROL!$C$32, $C$9, 100%, $E$9)</f>
        <v>4.2457000000000003</v>
      </c>
      <c r="O110" s="11">
        <f>4.2494 * CHOOSE(CONTROL!$C$32, $C$9, 100%, $E$9)</f>
        <v>4.2493999999999996</v>
      </c>
      <c r="P110" s="14"/>
      <c r="Q110" s="14"/>
      <c r="R110" s="14"/>
    </row>
    <row r="111" spans="1:18" ht="15" x14ac:dyDescent="0.2">
      <c r="A111" s="13">
        <v>44228</v>
      </c>
      <c r="B111" s="9">
        <f>3.3376 * CHOOSE(CONTROL!$C$32, $C$9, 100%, $E$9)</f>
        <v>3.3376000000000001</v>
      </c>
      <c r="C111" s="9">
        <f>3.3376 * CHOOSE(CONTROL!$C$32, $C$9, 100%, $E$9)</f>
        <v>3.3376000000000001</v>
      </c>
      <c r="D111" s="9">
        <f>3.3387 * CHOOSE(CONTROL!$C$32, $C$9, 100%, $E$9)</f>
        <v>3.3386999999999998</v>
      </c>
      <c r="E111" s="11">
        <f>4.2437 * CHOOSE(CONTROL!$C$32, $C$9, 100%, $E$9)</f>
        <v>4.2436999999999996</v>
      </c>
      <c r="F111" s="11">
        <f>4.2437 * CHOOSE(CONTROL!$C$32, $C$9, 100%, $E$9)</f>
        <v>4.2436999999999996</v>
      </c>
      <c r="G111" s="11">
        <f>4.2474 * CHOOSE(CONTROL!$C$32, $C$9, 100%, $E$9)</f>
        <v>4.2473999999999998</v>
      </c>
      <c r="H111" s="11">
        <f>6.7853 * CHOOSE(CONTROL!$C$32, $C$9, 100%, $E$9)</f>
        <v>6.7853000000000003</v>
      </c>
      <c r="I111" s="11">
        <f>6.7889 * CHOOSE(CONTROL!$C$32, $C$9, 100%, $E$9)</f>
        <v>6.7888999999999999</v>
      </c>
      <c r="J111" s="11">
        <f>6.7853 * CHOOSE(CONTROL!$C$32, $C$9, 100%, $E$9)</f>
        <v>6.7853000000000003</v>
      </c>
      <c r="K111" s="11">
        <f>6.7889 * CHOOSE(CONTROL!$C$32, $C$9, 100%, $E$9)</f>
        <v>6.7888999999999999</v>
      </c>
      <c r="L111" s="11">
        <f>4.2437 * CHOOSE(CONTROL!$C$32, $C$9, 100%, $E$9)</f>
        <v>4.2436999999999996</v>
      </c>
      <c r="M111" s="11">
        <f>4.2474 * CHOOSE(CONTROL!$C$32, $C$9, 100%, $E$9)</f>
        <v>4.2473999999999998</v>
      </c>
      <c r="N111" s="11">
        <f>4.2437 * CHOOSE(CONTROL!$C$32, $C$9, 100%, $E$9)</f>
        <v>4.2436999999999996</v>
      </c>
      <c r="O111" s="11">
        <f>4.2474 * CHOOSE(CONTROL!$C$32, $C$9, 100%, $E$9)</f>
        <v>4.2473999999999998</v>
      </c>
      <c r="P111" s="14"/>
      <c r="Q111" s="14"/>
      <c r="R111" s="14"/>
    </row>
    <row r="112" spans="1:18" ht="15" x14ac:dyDescent="0.2">
      <c r="A112" s="13">
        <v>44256</v>
      </c>
      <c r="B112" s="9">
        <f>3.3346 * CHOOSE(CONTROL!$C$32, $C$9, 100%, $E$9)</f>
        <v>3.3346</v>
      </c>
      <c r="C112" s="9">
        <f>3.3346 * CHOOSE(CONTROL!$C$32, $C$9, 100%, $E$9)</f>
        <v>3.3346</v>
      </c>
      <c r="D112" s="9">
        <f>3.3357 * CHOOSE(CONTROL!$C$32, $C$9, 100%, $E$9)</f>
        <v>3.3357000000000001</v>
      </c>
      <c r="E112" s="11">
        <f>4.2417 * CHOOSE(CONTROL!$C$32, $C$9, 100%, $E$9)</f>
        <v>4.2416999999999998</v>
      </c>
      <c r="F112" s="11">
        <f>4.2417 * CHOOSE(CONTROL!$C$32, $C$9, 100%, $E$9)</f>
        <v>4.2416999999999998</v>
      </c>
      <c r="G112" s="11">
        <f>4.2454 * CHOOSE(CONTROL!$C$32, $C$9, 100%, $E$9)</f>
        <v>4.2454000000000001</v>
      </c>
      <c r="H112" s="11">
        <f>6.7994 * CHOOSE(CONTROL!$C$32, $C$9, 100%, $E$9)</f>
        <v>6.7994000000000003</v>
      </c>
      <c r="I112" s="11">
        <f>6.803 * CHOOSE(CONTROL!$C$32, $C$9, 100%, $E$9)</f>
        <v>6.8029999999999999</v>
      </c>
      <c r="J112" s="11">
        <f>6.7994 * CHOOSE(CONTROL!$C$32, $C$9, 100%, $E$9)</f>
        <v>6.7994000000000003</v>
      </c>
      <c r="K112" s="11">
        <f>6.803 * CHOOSE(CONTROL!$C$32, $C$9, 100%, $E$9)</f>
        <v>6.8029999999999999</v>
      </c>
      <c r="L112" s="11">
        <f>4.2417 * CHOOSE(CONTROL!$C$32, $C$9, 100%, $E$9)</f>
        <v>4.2416999999999998</v>
      </c>
      <c r="M112" s="11">
        <f>4.2454 * CHOOSE(CONTROL!$C$32, $C$9, 100%, $E$9)</f>
        <v>4.2454000000000001</v>
      </c>
      <c r="N112" s="11">
        <f>4.2417 * CHOOSE(CONTROL!$C$32, $C$9, 100%, $E$9)</f>
        <v>4.2416999999999998</v>
      </c>
      <c r="O112" s="11">
        <f>4.2454 * CHOOSE(CONTROL!$C$32, $C$9, 100%, $E$9)</f>
        <v>4.2454000000000001</v>
      </c>
      <c r="P112" s="14"/>
      <c r="Q112" s="14"/>
      <c r="R112" s="14"/>
    </row>
    <row r="113" spans="1:18" ht="15" x14ac:dyDescent="0.2">
      <c r="A113" s="13">
        <v>44287</v>
      </c>
      <c r="B113" s="9">
        <f>3.3316 * CHOOSE(CONTROL!$C$32, $C$9, 100%, $E$9)</f>
        <v>3.3315999999999999</v>
      </c>
      <c r="C113" s="9">
        <f>3.3316 * CHOOSE(CONTROL!$C$32, $C$9, 100%, $E$9)</f>
        <v>3.3315999999999999</v>
      </c>
      <c r="D113" s="9">
        <f>3.3327 * CHOOSE(CONTROL!$C$32, $C$9, 100%, $E$9)</f>
        <v>3.3327</v>
      </c>
      <c r="E113" s="11">
        <f>4.2394 * CHOOSE(CONTROL!$C$32, $C$9, 100%, $E$9)</f>
        <v>4.2393999999999998</v>
      </c>
      <c r="F113" s="11">
        <f>4.2394 * CHOOSE(CONTROL!$C$32, $C$9, 100%, $E$9)</f>
        <v>4.2393999999999998</v>
      </c>
      <c r="G113" s="11">
        <f>4.243 * CHOOSE(CONTROL!$C$32, $C$9, 100%, $E$9)</f>
        <v>4.2430000000000003</v>
      </c>
      <c r="H113" s="11">
        <f>6.8136 * CHOOSE(CONTROL!$C$32, $C$9, 100%, $E$9)</f>
        <v>6.8136000000000001</v>
      </c>
      <c r="I113" s="11">
        <f>6.8172 * CHOOSE(CONTROL!$C$32, $C$9, 100%, $E$9)</f>
        <v>6.8171999999999997</v>
      </c>
      <c r="J113" s="11">
        <f>6.8136 * CHOOSE(CONTROL!$C$32, $C$9, 100%, $E$9)</f>
        <v>6.8136000000000001</v>
      </c>
      <c r="K113" s="11">
        <f>6.8172 * CHOOSE(CONTROL!$C$32, $C$9, 100%, $E$9)</f>
        <v>6.8171999999999997</v>
      </c>
      <c r="L113" s="11">
        <f>4.2394 * CHOOSE(CONTROL!$C$32, $C$9, 100%, $E$9)</f>
        <v>4.2393999999999998</v>
      </c>
      <c r="M113" s="11">
        <f>4.243 * CHOOSE(CONTROL!$C$32, $C$9, 100%, $E$9)</f>
        <v>4.2430000000000003</v>
      </c>
      <c r="N113" s="11">
        <f>4.2394 * CHOOSE(CONTROL!$C$32, $C$9, 100%, $E$9)</f>
        <v>4.2393999999999998</v>
      </c>
      <c r="O113" s="11">
        <f>4.243 * CHOOSE(CONTROL!$C$32, $C$9, 100%, $E$9)</f>
        <v>4.2430000000000003</v>
      </c>
      <c r="P113" s="14"/>
      <c r="Q113" s="14"/>
      <c r="R113" s="14"/>
    </row>
    <row r="114" spans="1:18" ht="15" x14ac:dyDescent="0.2">
      <c r="A114" s="13">
        <v>44317</v>
      </c>
      <c r="B114" s="9">
        <f>3.3316 * CHOOSE(CONTROL!$C$32, $C$9, 100%, $E$9)</f>
        <v>3.3315999999999999</v>
      </c>
      <c r="C114" s="9">
        <f>3.3316 * CHOOSE(CONTROL!$C$32, $C$9, 100%, $E$9)</f>
        <v>3.3315999999999999</v>
      </c>
      <c r="D114" s="9">
        <f>3.3332 * CHOOSE(CONTROL!$C$32, $C$9, 100%, $E$9)</f>
        <v>3.3332000000000002</v>
      </c>
      <c r="E114" s="11">
        <f>4.2394 * CHOOSE(CONTROL!$C$32, $C$9, 100%, $E$9)</f>
        <v>4.2393999999999998</v>
      </c>
      <c r="F114" s="11">
        <f>4.2394 * CHOOSE(CONTROL!$C$32, $C$9, 100%, $E$9)</f>
        <v>4.2393999999999998</v>
      </c>
      <c r="G114" s="11">
        <f>4.2447 * CHOOSE(CONTROL!$C$32, $C$9, 100%, $E$9)</f>
        <v>4.2446999999999999</v>
      </c>
      <c r="H114" s="11">
        <f>6.8278 * CHOOSE(CONTROL!$C$32, $C$9, 100%, $E$9)</f>
        <v>6.8277999999999999</v>
      </c>
      <c r="I114" s="11">
        <f>6.8331 * CHOOSE(CONTROL!$C$32, $C$9, 100%, $E$9)</f>
        <v>6.8331</v>
      </c>
      <c r="J114" s="11">
        <f>6.8278 * CHOOSE(CONTROL!$C$32, $C$9, 100%, $E$9)</f>
        <v>6.8277999999999999</v>
      </c>
      <c r="K114" s="11">
        <f>6.8331 * CHOOSE(CONTROL!$C$32, $C$9, 100%, $E$9)</f>
        <v>6.8331</v>
      </c>
      <c r="L114" s="11">
        <f>4.2394 * CHOOSE(CONTROL!$C$32, $C$9, 100%, $E$9)</f>
        <v>4.2393999999999998</v>
      </c>
      <c r="M114" s="11">
        <f>4.2447 * CHOOSE(CONTROL!$C$32, $C$9, 100%, $E$9)</f>
        <v>4.2446999999999999</v>
      </c>
      <c r="N114" s="11">
        <f>4.2394 * CHOOSE(CONTROL!$C$32, $C$9, 100%, $E$9)</f>
        <v>4.2393999999999998</v>
      </c>
      <c r="O114" s="11">
        <f>4.2447 * CHOOSE(CONTROL!$C$32, $C$9, 100%, $E$9)</f>
        <v>4.2446999999999999</v>
      </c>
      <c r="P114" s="14"/>
      <c r="Q114" s="14"/>
      <c r="R114" s="14"/>
    </row>
    <row r="115" spans="1:18" ht="15" x14ac:dyDescent="0.2">
      <c r="A115" s="13">
        <v>44348</v>
      </c>
      <c r="B115" s="9">
        <f>3.3377 * CHOOSE(CONTROL!$C$32, $C$9, 100%, $E$9)</f>
        <v>3.3376999999999999</v>
      </c>
      <c r="C115" s="9">
        <f>3.3377 * CHOOSE(CONTROL!$C$32, $C$9, 100%, $E$9)</f>
        <v>3.3376999999999999</v>
      </c>
      <c r="D115" s="9">
        <f>3.3393 * CHOOSE(CONTROL!$C$32, $C$9, 100%, $E$9)</f>
        <v>3.3393000000000002</v>
      </c>
      <c r="E115" s="11">
        <f>4.2434 * CHOOSE(CONTROL!$C$32, $C$9, 100%, $E$9)</f>
        <v>4.2434000000000003</v>
      </c>
      <c r="F115" s="11">
        <f>4.2434 * CHOOSE(CONTROL!$C$32, $C$9, 100%, $E$9)</f>
        <v>4.2434000000000003</v>
      </c>
      <c r="G115" s="11">
        <f>4.2487 * CHOOSE(CONTROL!$C$32, $C$9, 100%, $E$9)</f>
        <v>4.2487000000000004</v>
      </c>
      <c r="H115" s="11">
        <f>6.842 * CHOOSE(CONTROL!$C$32, $C$9, 100%, $E$9)</f>
        <v>6.8419999999999996</v>
      </c>
      <c r="I115" s="11">
        <f>6.8473 * CHOOSE(CONTROL!$C$32, $C$9, 100%, $E$9)</f>
        <v>6.8472999999999997</v>
      </c>
      <c r="J115" s="11">
        <f>6.842 * CHOOSE(CONTROL!$C$32, $C$9, 100%, $E$9)</f>
        <v>6.8419999999999996</v>
      </c>
      <c r="K115" s="11">
        <f>6.8473 * CHOOSE(CONTROL!$C$32, $C$9, 100%, $E$9)</f>
        <v>6.8472999999999997</v>
      </c>
      <c r="L115" s="11">
        <f>4.2434 * CHOOSE(CONTROL!$C$32, $C$9, 100%, $E$9)</f>
        <v>4.2434000000000003</v>
      </c>
      <c r="M115" s="11">
        <f>4.2487 * CHOOSE(CONTROL!$C$32, $C$9, 100%, $E$9)</f>
        <v>4.2487000000000004</v>
      </c>
      <c r="N115" s="11">
        <f>4.2434 * CHOOSE(CONTROL!$C$32, $C$9, 100%, $E$9)</f>
        <v>4.2434000000000003</v>
      </c>
      <c r="O115" s="11">
        <f>4.2487 * CHOOSE(CONTROL!$C$32, $C$9, 100%, $E$9)</f>
        <v>4.2487000000000004</v>
      </c>
      <c r="P115" s="14"/>
      <c r="Q115" s="14"/>
      <c r="R115" s="14"/>
    </row>
    <row r="116" spans="1:18" ht="15" x14ac:dyDescent="0.2">
      <c r="A116" s="13">
        <v>44378</v>
      </c>
      <c r="B116" s="9">
        <f>3.3976 * CHOOSE(CONTROL!$C$32, $C$9, 100%, $E$9)</f>
        <v>3.3976000000000002</v>
      </c>
      <c r="C116" s="9">
        <f>3.3976 * CHOOSE(CONTROL!$C$32, $C$9, 100%, $E$9)</f>
        <v>3.3976000000000002</v>
      </c>
      <c r="D116" s="9">
        <f>3.3992 * CHOOSE(CONTROL!$C$32, $C$9, 100%, $E$9)</f>
        <v>3.3992</v>
      </c>
      <c r="E116" s="11">
        <f>4.3089 * CHOOSE(CONTROL!$C$32, $C$9, 100%, $E$9)</f>
        <v>4.3089000000000004</v>
      </c>
      <c r="F116" s="11">
        <f>4.3089 * CHOOSE(CONTROL!$C$32, $C$9, 100%, $E$9)</f>
        <v>4.3089000000000004</v>
      </c>
      <c r="G116" s="11">
        <f>4.3142 * CHOOSE(CONTROL!$C$32, $C$9, 100%, $E$9)</f>
        <v>4.3141999999999996</v>
      </c>
      <c r="H116" s="11">
        <f>6.8562 * CHOOSE(CONTROL!$C$32, $C$9, 100%, $E$9)</f>
        <v>6.8562000000000003</v>
      </c>
      <c r="I116" s="11">
        <f>6.8615 * CHOOSE(CONTROL!$C$32, $C$9, 100%, $E$9)</f>
        <v>6.8615000000000004</v>
      </c>
      <c r="J116" s="11">
        <f>6.8562 * CHOOSE(CONTROL!$C$32, $C$9, 100%, $E$9)</f>
        <v>6.8562000000000003</v>
      </c>
      <c r="K116" s="11">
        <f>6.8615 * CHOOSE(CONTROL!$C$32, $C$9, 100%, $E$9)</f>
        <v>6.8615000000000004</v>
      </c>
      <c r="L116" s="11">
        <f>4.3089 * CHOOSE(CONTROL!$C$32, $C$9, 100%, $E$9)</f>
        <v>4.3089000000000004</v>
      </c>
      <c r="M116" s="11">
        <f>4.3142 * CHOOSE(CONTROL!$C$32, $C$9, 100%, $E$9)</f>
        <v>4.3141999999999996</v>
      </c>
      <c r="N116" s="11">
        <f>4.3089 * CHOOSE(CONTROL!$C$32, $C$9, 100%, $E$9)</f>
        <v>4.3089000000000004</v>
      </c>
      <c r="O116" s="11">
        <f>4.3142 * CHOOSE(CONTROL!$C$32, $C$9, 100%, $E$9)</f>
        <v>4.3141999999999996</v>
      </c>
      <c r="P116" s="14"/>
      <c r="Q116" s="14"/>
      <c r="R116" s="14"/>
    </row>
    <row r="117" spans="1:18" ht="15" x14ac:dyDescent="0.2">
      <c r="A117" s="13">
        <v>44409</v>
      </c>
      <c r="B117" s="9">
        <f>3.4043 * CHOOSE(CONTROL!$C$32, $C$9, 100%, $E$9)</f>
        <v>3.4043000000000001</v>
      </c>
      <c r="C117" s="9">
        <f>3.4043 * CHOOSE(CONTROL!$C$32, $C$9, 100%, $E$9)</f>
        <v>3.4043000000000001</v>
      </c>
      <c r="D117" s="9">
        <f>3.4059 * CHOOSE(CONTROL!$C$32, $C$9, 100%, $E$9)</f>
        <v>3.4058999999999999</v>
      </c>
      <c r="E117" s="11">
        <f>4.3133 * CHOOSE(CONTROL!$C$32, $C$9, 100%, $E$9)</f>
        <v>4.3132999999999999</v>
      </c>
      <c r="F117" s="11">
        <f>4.3133 * CHOOSE(CONTROL!$C$32, $C$9, 100%, $E$9)</f>
        <v>4.3132999999999999</v>
      </c>
      <c r="G117" s="11">
        <f>4.3186 * CHOOSE(CONTROL!$C$32, $C$9, 100%, $E$9)</f>
        <v>4.3186</v>
      </c>
      <c r="H117" s="11">
        <f>6.8705 * CHOOSE(CONTROL!$C$32, $C$9, 100%, $E$9)</f>
        <v>6.8704999999999998</v>
      </c>
      <c r="I117" s="11">
        <f>6.8758 * CHOOSE(CONTROL!$C$32, $C$9, 100%, $E$9)</f>
        <v>6.8757999999999999</v>
      </c>
      <c r="J117" s="11">
        <f>6.8705 * CHOOSE(CONTROL!$C$32, $C$9, 100%, $E$9)</f>
        <v>6.8704999999999998</v>
      </c>
      <c r="K117" s="11">
        <f>6.8758 * CHOOSE(CONTROL!$C$32, $C$9, 100%, $E$9)</f>
        <v>6.8757999999999999</v>
      </c>
      <c r="L117" s="11">
        <f>4.3133 * CHOOSE(CONTROL!$C$32, $C$9, 100%, $E$9)</f>
        <v>4.3132999999999999</v>
      </c>
      <c r="M117" s="11">
        <f>4.3186 * CHOOSE(CONTROL!$C$32, $C$9, 100%, $E$9)</f>
        <v>4.3186</v>
      </c>
      <c r="N117" s="11">
        <f>4.3133 * CHOOSE(CONTROL!$C$32, $C$9, 100%, $E$9)</f>
        <v>4.3132999999999999</v>
      </c>
      <c r="O117" s="11">
        <f>4.3186 * CHOOSE(CONTROL!$C$32, $C$9, 100%, $E$9)</f>
        <v>4.3186</v>
      </c>
      <c r="P117" s="14"/>
      <c r="Q117" s="14"/>
      <c r="R117" s="14"/>
    </row>
    <row r="118" spans="1:18" ht="15" x14ac:dyDescent="0.2">
      <c r="A118" s="13">
        <v>44440</v>
      </c>
      <c r="B118" s="9">
        <f>3.4012 * CHOOSE(CONTROL!$C$32, $C$9, 100%, $E$9)</f>
        <v>3.4011999999999998</v>
      </c>
      <c r="C118" s="9">
        <f>3.4012 * CHOOSE(CONTROL!$C$32, $C$9, 100%, $E$9)</f>
        <v>3.4011999999999998</v>
      </c>
      <c r="D118" s="9">
        <f>3.4028 * CHOOSE(CONTROL!$C$32, $C$9, 100%, $E$9)</f>
        <v>3.4028</v>
      </c>
      <c r="E118" s="11">
        <f>4.3113 * CHOOSE(CONTROL!$C$32, $C$9, 100%, $E$9)</f>
        <v>4.3113000000000001</v>
      </c>
      <c r="F118" s="11">
        <f>4.3113 * CHOOSE(CONTROL!$C$32, $C$9, 100%, $E$9)</f>
        <v>4.3113000000000001</v>
      </c>
      <c r="G118" s="11">
        <f>4.3166 * CHOOSE(CONTROL!$C$32, $C$9, 100%, $E$9)</f>
        <v>4.3166000000000002</v>
      </c>
      <c r="H118" s="11">
        <f>6.8848 * CHOOSE(CONTROL!$C$32, $C$9, 100%, $E$9)</f>
        <v>6.8848000000000003</v>
      </c>
      <c r="I118" s="11">
        <f>6.8901 * CHOOSE(CONTROL!$C$32, $C$9, 100%, $E$9)</f>
        <v>6.8901000000000003</v>
      </c>
      <c r="J118" s="11">
        <f>6.8848 * CHOOSE(CONTROL!$C$32, $C$9, 100%, $E$9)</f>
        <v>6.8848000000000003</v>
      </c>
      <c r="K118" s="11">
        <f>6.8901 * CHOOSE(CONTROL!$C$32, $C$9, 100%, $E$9)</f>
        <v>6.8901000000000003</v>
      </c>
      <c r="L118" s="11">
        <f>4.3113 * CHOOSE(CONTROL!$C$32, $C$9, 100%, $E$9)</f>
        <v>4.3113000000000001</v>
      </c>
      <c r="M118" s="11">
        <f>4.3166 * CHOOSE(CONTROL!$C$32, $C$9, 100%, $E$9)</f>
        <v>4.3166000000000002</v>
      </c>
      <c r="N118" s="11">
        <f>4.3113 * CHOOSE(CONTROL!$C$32, $C$9, 100%, $E$9)</f>
        <v>4.3113000000000001</v>
      </c>
      <c r="O118" s="11">
        <f>4.3166 * CHOOSE(CONTROL!$C$32, $C$9, 100%, $E$9)</f>
        <v>4.3166000000000002</v>
      </c>
      <c r="P118" s="14"/>
      <c r="Q118" s="14"/>
      <c r="R118" s="14"/>
    </row>
    <row r="119" spans="1:18" ht="15" x14ac:dyDescent="0.2">
      <c r="A119" s="13">
        <v>44470</v>
      </c>
      <c r="B119" s="9">
        <f>3.3942 * CHOOSE(CONTROL!$C$32, $C$9, 100%, $E$9)</f>
        <v>3.3942000000000001</v>
      </c>
      <c r="C119" s="9">
        <f>3.3942 * CHOOSE(CONTROL!$C$32, $C$9, 100%, $E$9)</f>
        <v>3.3942000000000001</v>
      </c>
      <c r="D119" s="9">
        <f>3.3953 * CHOOSE(CONTROL!$C$32, $C$9, 100%, $E$9)</f>
        <v>3.3953000000000002</v>
      </c>
      <c r="E119" s="11">
        <f>4.3049 * CHOOSE(CONTROL!$C$32, $C$9, 100%, $E$9)</f>
        <v>4.3048999999999999</v>
      </c>
      <c r="F119" s="11">
        <f>4.3049 * CHOOSE(CONTROL!$C$32, $C$9, 100%, $E$9)</f>
        <v>4.3048999999999999</v>
      </c>
      <c r="G119" s="11">
        <f>4.3085 * CHOOSE(CONTROL!$C$32, $C$9, 100%, $E$9)</f>
        <v>4.3085000000000004</v>
      </c>
      <c r="H119" s="11">
        <f>6.8992 * CHOOSE(CONTROL!$C$32, $C$9, 100%, $E$9)</f>
        <v>6.8992000000000004</v>
      </c>
      <c r="I119" s="11">
        <f>6.9028 * CHOOSE(CONTROL!$C$32, $C$9, 100%, $E$9)</f>
        <v>6.9028</v>
      </c>
      <c r="J119" s="11">
        <f>6.8992 * CHOOSE(CONTROL!$C$32, $C$9, 100%, $E$9)</f>
        <v>6.8992000000000004</v>
      </c>
      <c r="K119" s="11">
        <f>6.9028 * CHOOSE(CONTROL!$C$32, $C$9, 100%, $E$9)</f>
        <v>6.9028</v>
      </c>
      <c r="L119" s="11">
        <f>4.3049 * CHOOSE(CONTROL!$C$32, $C$9, 100%, $E$9)</f>
        <v>4.3048999999999999</v>
      </c>
      <c r="M119" s="11">
        <f>4.3085 * CHOOSE(CONTROL!$C$32, $C$9, 100%, $E$9)</f>
        <v>4.3085000000000004</v>
      </c>
      <c r="N119" s="11">
        <f>4.3049 * CHOOSE(CONTROL!$C$32, $C$9, 100%, $E$9)</f>
        <v>4.3048999999999999</v>
      </c>
      <c r="O119" s="11">
        <f>4.3085 * CHOOSE(CONTROL!$C$32, $C$9, 100%, $E$9)</f>
        <v>4.3085000000000004</v>
      </c>
      <c r="P119" s="14"/>
      <c r="Q119" s="14"/>
      <c r="R119" s="14"/>
    </row>
    <row r="120" spans="1:18" ht="15" x14ac:dyDescent="0.2">
      <c r="A120" s="13">
        <v>44501</v>
      </c>
      <c r="B120" s="9">
        <f>3.3972 * CHOOSE(CONTROL!$C$32, $C$9, 100%, $E$9)</f>
        <v>3.3972000000000002</v>
      </c>
      <c r="C120" s="9">
        <f>3.3972 * CHOOSE(CONTROL!$C$32, $C$9, 100%, $E$9)</f>
        <v>3.3972000000000002</v>
      </c>
      <c r="D120" s="9">
        <f>3.3983 * CHOOSE(CONTROL!$C$32, $C$9, 100%, $E$9)</f>
        <v>3.3982999999999999</v>
      </c>
      <c r="E120" s="11">
        <f>4.3069 * CHOOSE(CONTROL!$C$32, $C$9, 100%, $E$9)</f>
        <v>4.3068999999999997</v>
      </c>
      <c r="F120" s="11">
        <f>4.3069 * CHOOSE(CONTROL!$C$32, $C$9, 100%, $E$9)</f>
        <v>4.3068999999999997</v>
      </c>
      <c r="G120" s="11">
        <f>4.3105 * CHOOSE(CONTROL!$C$32, $C$9, 100%, $E$9)</f>
        <v>4.3105000000000002</v>
      </c>
      <c r="H120" s="11">
        <f>6.9136 * CHOOSE(CONTROL!$C$32, $C$9, 100%, $E$9)</f>
        <v>6.9135999999999997</v>
      </c>
      <c r="I120" s="11">
        <f>6.9172 * CHOOSE(CONTROL!$C$32, $C$9, 100%, $E$9)</f>
        <v>6.9172000000000002</v>
      </c>
      <c r="J120" s="11">
        <f>6.9136 * CHOOSE(CONTROL!$C$32, $C$9, 100%, $E$9)</f>
        <v>6.9135999999999997</v>
      </c>
      <c r="K120" s="11">
        <f>6.9172 * CHOOSE(CONTROL!$C$32, $C$9, 100%, $E$9)</f>
        <v>6.9172000000000002</v>
      </c>
      <c r="L120" s="11">
        <f>4.3069 * CHOOSE(CONTROL!$C$32, $C$9, 100%, $E$9)</f>
        <v>4.3068999999999997</v>
      </c>
      <c r="M120" s="11">
        <f>4.3105 * CHOOSE(CONTROL!$C$32, $C$9, 100%, $E$9)</f>
        <v>4.3105000000000002</v>
      </c>
      <c r="N120" s="11">
        <f>4.3069 * CHOOSE(CONTROL!$C$32, $C$9, 100%, $E$9)</f>
        <v>4.3068999999999997</v>
      </c>
      <c r="O120" s="11">
        <f>4.3105 * CHOOSE(CONTROL!$C$32, $C$9, 100%, $E$9)</f>
        <v>4.3105000000000002</v>
      </c>
      <c r="P120" s="14"/>
      <c r="Q120" s="14"/>
      <c r="R120" s="14"/>
    </row>
    <row r="121" spans="1:18" ht="15" x14ac:dyDescent="0.2">
      <c r="A121" s="13">
        <v>44531</v>
      </c>
      <c r="B121" s="9">
        <f>3.3972 * CHOOSE(CONTROL!$C$32, $C$9, 100%, $E$9)</f>
        <v>3.3972000000000002</v>
      </c>
      <c r="C121" s="9">
        <f>3.3972 * CHOOSE(CONTROL!$C$32, $C$9, 100%, $E$9)</f>
        <v>3.3972000000000002</v>
      </c>
      <c r="D121" s="9">
        <f>3.3983 * CHOOSE(CONTROL!$C$32, $C$9, 100%, $E$9)</f>
        <v>3.3982999999999999</v>
      </c>
      <c r="E121" s="11">
        <f>4.3069 * CHOOSE(CONTROL!$C$32, $C$9, 100%, $E$9)</f>
        <v>4.3068999999999997</v>
      </c>
      <c r="F121" s="11">
        <f>4.3069 * CHOOSE(CONTROL!$C$32, $C$9, 100%, $E$9)</f>
        <v>4.3068999999999997</v>
      </c>
      <c r="G121" s="11">
        <f>4.3105 * CHOOSE(CONTROL!$C$32, $C$9, 100%, $E$9)</f>
        <v>4.3105000000000002</v>
      </c>
      <c r="H121" s="11">
        <f>6.928 * CHOOSE(CONTROL!$C$32, $C$9, 100%, $E$9)</f>
        <v>6.9279999999999999</v>
      </c>
      <c r="I121" s="11">
        <f>6.9316 * CHOOSE(CONTROL!$C$32, $C$9, 100%, $E$9)</f>
        <v>6.9316000000000004</v>
      </c>
      <c r="J121" s="11">
        <f>6.928 * CHOOSE(CONTROL!$C$32, $C$9, 100%, $E$9)</f>
        <v>6.9279999999999999</v>
      </c>
      <c r="K121" s="11">
        <f>6.9316 * CHOOSE(CONTROL!$C$32, $C$9, 100%, $E$9)</f>
        <v>6.9316000000000004</v>
      </c>
      <c r="L121" s="11">
        <f>4.3069 * CHOOSE(CONTROL!$C$32, $C$9, 100%, $E$9)</f>
        <v>4.3068999999999997</v>
      </c>
      <c r="M121" s="11">
        <f>4.3105 * CHOOSE(CONTROL!$C$32, $C$9, 100%, $E$9)</f>
        <v>4.3105000000000002</v>
      </c>
      <c r="N121" s="11">
        <f>4.3069 * CHOOSE(CONTROL!$C$32, $C$9, 100%, $E$9)</f>
        <v>4.3068999999999997</v>
      </c>
      <c r="O121" s="11">
        <f>4.3105 * CHOOSE(CONTROL!$C$32, $C$9, 100%, $E$9)</f>
        <v>4.3105000000000002</v>
      </c>
      <c r="P121" s="14"/>
      <c r="Q121" s="14"/>
      <c r="R121" s="14"/>
    </row>
    <row r="122" spans="1:18" ht="15" x14ac:dyDescent="0.2">
      <c r="A122" s="13">
        <v>44562</v>
      </c>
      <c r="B122" s="9">
        <f>3.4251 * CHOOSE(CONTROL!$C$32, $C$9, 100%, $E$9)</f>
        <v>3.4251</v>
      </c>
      <c r="C122" s="9">
        <f>3.4251 * CHOOSE(CONTROL!$C$32, $C$9, 100%, $E$9)</f>
        <v>3.4251</v>
      </c>
      <c r="D122" s="9">
        <f>3.4261 * CHOOSE(CONTROL!$C$32, $C$9, 100%, $E$9)</f>
        <v>3.4260999999999999</v>
      </c>
      <c r="E122" s="11">
        <f>4.3439 * CHOOSE(CONTROL!$C$32, $C$9, 100%, $E$9)</f>
        <v>4.3438999999999997</v>
      </c>
      <c r="F122" s="11">
        <f>4.3439 * CHOOSE(CONTROL!$C$32, $C$9, 100%, $E$9)</f>
        <v>4.3438999999999997</v>
      </c>
      <c r="G122" s="11">
        <f>4.3475 * CHOOSE(CONTROL!$C$32, $C$9, 100%, $E$9)</f>
        <v>4.3475000000000001</v>
      </c>
      <c r="H122" s="11">
        <f>6.9424 * CHOOSE(CONTROL!$C$32, $C$9, 100%, $E$9)</f>
        <v>6.9424000000000001</v>
      </c>
      <c r="I122" s="11">
        <f>6.946 * CHOOSE(CONTROL!$C$32, $C$9, 100%, $E$9)</f>
        <v>6.9459999999999997</v>
      </c>
      <c r="J122" s="11">
        <f>6.9424 * CHOOSE(CONTROL!$C$32, $C$9, 100%, $E$9)</f>
        <v>6.9424000000000001</v>
      </c>
      <c r="K122" s="11">
        <f>6.946 * CHOOSE(CONTROL!$C$32, $C$9, 100%, $E$9)</f>
        <v>6.9459999999999997</v>
      </c>
      <c r="L122" s="11">
        <f>4.3439 * CHOOSE(CONTROL!$C$32, $C$9, 100%, $E$9)</f>
        <v>4.3438999999999997</v>
      </c>
      <c r="M122" s="11">
        <f>4.3475 * CHOOSE(CONTROL!$C$32, $C$9, 100%, $E$9)</f>
        <v>4.3475000000000001</v>
      </c>
      <c r="N122" s="11">
        <f>4.3439 * CHOOSE(CONTROL!$C$32, $C$9, 100%, $E$9)</f>
        <v>4.3438999999999997</v>
      </c>
      <c r="O122" s="11">
        <f>4.3475 * CHOOSE(CONTROL!$C$32, $C$9, 100%, $E$9)</f>
        <v>4.3475000000000001</v>
      </c>
      <c r="P122" s="14"/>
      <c r="Q122" s="14"/>
      <c r="R122" s="14"/>
    </row>
    <row r="123" spans="1:18" ht="15" x14ac:dyDescent="0.2">
      <c r="A123" s="13">
        <v>44593</v>
      </c>
      <c r="B123" s="9">
        <f>3.422 * CHOOSE(CONTROL!$C$32, $C$9, 100%, $E$9)</f>
        <v>3.4220000000000002</v>
      </c>
      <c r="C123" s="9">
        <f>3.422 * CHOOSE(CONTROL!$C$32, $C$9, 100%, $E$9)</f>
        <v>3.4220000000000002</v>
      </c>
      <c r="D123" s="9">
        <f>3.4231 * CHOOSE(CONTROL!$C$32, $C$9, 100%, $E$9)</f>
        <v>3.4230999999999998</v>
      </c>
      <c r="E123" s="11">
        <f>4.3419 * CHOOSE(CONTROL!$C$32, $C$9, 100%, $E$9)</f>
        <v>4.3418999999999999</v>
      </c>
      <c r="F123" s="11">
        <f>4.3419 * CHOOSE(CONTROL!$C$32, $C$9, 100%, $E$9)</f>
        <v>4.3418999999999999</v>
      </c>
      <c r="G123" s="11">
        <f>4.3455 * CHOOSE(CONTROL!$C$32, $C$9, 100%, $E$9)</f>
        <v>4.3455000000000004</v>
      </c>
      <c r="H123" s="11">
        <f>6.9569 * CHOOSE(CONTROL!$C$32, $C$9, 100%, $E$9)</f>
        <v>6.9569000000000001</v>
      </c>
      <c r="I123" s="11">
        <f>6.9605 * CHOOSE(CONTROL!$C$32, $C$9, 100%, $E$9)</f>
        <v>6.9604999999999997</v>
      </c>
      <c r="J123" s="11">
        <f>6.9569 * CHOOSE(CONTROL!$C$32, $C$9, 100%, $E$9)</f>
        <v>6.9569000000000001</v>
      </c>
      <c r="K123" s="11">
        <f>6.9605 * CHOOSE(CONTROL!$C$32, $C$9, 100%, $E$9)</f>
        <v>6.9604999999999997</v>
      </c>
      <c r="L123" s="11">
        <f>4.3419 * CHOOSE(CONTROL!$C$32, $C$9, 100%, $E$9)</f>
        <v>4.3418999999999999</v>
      </c>
      <c r="M123" s="11">
        <f>4.3455 * CHOOSE(CONTROL!$C$32, $C$9, 100%, $E$9)</f>
        <v>4.3455000000000004</v>
      </c>
      <c r="N123" s="11">
        <f>4.3419 * CHOOSE(CONTROL!$C$32, $C$9, 100%, $E$9)</f>
        <v>4.3418999999999999</v>
      </c>
      <c r="O123" s="11">
        <f>4.3455 * CHOOSE(CONTROL!$C$32, $C$9, 100%, $E$9)</f>
        <v>4.3455000000000004</v>
      </c>
      <c r="P123" s="14"/>
      <c r="Q123" s="14"/>
      <c r="R123" s="14"/>
    </row>
    <row r="124" spans="1:18" ht="15" x14ac:dyDescent="0.2">
      <c r="A124" s="13">
        <v>44621</v>
      </c>
      <c r="B124" s="9">
        <f>3.419 * CHOOSE(CONTROL!$C$32, $C$9, 100%, $E$9)</f>
        <v>3.419</v>
      </c>
      <c r="C124" s="9">
        <f>3.419 * CHOOSE(CONTROL!$C$32, $C$9, 100%, $E$9)</f>
        <v>3.419</v>
      </c>
      <c r="D124" s="9">
        <f>3.4201 * CHOOSE(CONTROL!$C$32, $C$9, 100%, $E$9)</f>
        <v>3.4201000000000001</v>
      </c>
      <c r="E124" s="11">
        <f>4.3399 * CHOOSE(CONTROL!$C$32, $C$9, 100%, $E$9)</f>
        <v>4.3399000000000001</v>
      </c>
      <c r="F124" s="11">
        <f>4.3399 * CHOOSE(CONTROL!$C$32, $C$9, 100%, $E$9)</f>
        <v>4.3399000000000001</v>
      </c>
      <c r="G124" s="11">
        <f>4.3435 * CHOOSE(CONTROL!$C$32, $C$9, 100%, $E$9)</f>
        <v>4.3434999999999997</v>
      </c>
      <c r="H124" s="11">
        <f>6.9713 * CHOOSE(CONTROL!$C$32, $C$9, 100%, $E$9)</f>
        <v>6.9713000000000003</v>
      </c>
      <c r="I124" s="11">
        <f>6.975 * CHOOSE(CONTROL!$C$32, $C$9, 100%, $E$9)</f>
        <v>6.9749999999999996</v>
      </c>
      <c r="J124" s="11">
        <f>6.9713 * CHOOSE(CONTROL!$C$32, $C$9, 100%, $E$9)</f>
        <v>6.9713000000000003</v>
      </c>
      <c r="K124" s="11">
        <f>6.975 * CHOOSE(CONTROL!$C$32, $C$9, 100%, $E$9)</f>
        <v>6.9749999999999996</v>
      </c>
      <c r="L124" s="11">
        <f>4.3399 * CHOOSE(CONTROL!$C$32, $C$9, 100%, $E$9)</f>
        <v>4.3399000000000001</v>
      </c>
      <c r="M124" s="11">
        <f>4.3435 * CHOOSE(CONTROL!$C$32, $C$9, 100%, $E$9)</f>
        <v>4.3434999999999997</v>
      </c>
      <c r="N124" s="11">
        <f>4.3399 * CHOOSE(CONTROL!$C$32, $C$9, 100%, $E$9)</f>
        <v>4.3399000000000001</v>
      </c>
      <c r="O124" s="11">
        <f>4.3435 * CHOOSE(CONTROL!$C$32, $C$9, 100%, $E$9)</f>
        <v>4.3434999999999997</v>
      </c>
      <c r="P124" s="14"/>
      <c r="Q124" s="14"/>
      <c r="R124" s="14"/>
    </row>
    <row r="125" spans="1:18" ht="15" x14ac:dyDescent="0.2">
      <c r="A125" s="13">
        <v>44652</v>
      </c>
      <c r="B125" s="9">
        <f>3.4161 * CHOOSE(CONTROL!$C$32, $C$9, 100%, $E$9)</f>
        <v>3.4161000000000001</v>
      </c>
      <c r="C125" s="9">
        <f>3.4161 * CHOOSE(CONTROL!$C$32, $C$9, 100%, $E$9)</f>
        <v>3.4161000000000001</v>
      </c>
      <c r="D125" s="9">
        <f>3.4172 * CHOOSE(CONTROL!$C$32, $C$9, 100%, $E$9)</f>
        <v>3.4171999999999998</v>
      </c>
      <c r="E125" s="11">
        <f>4.3376 * CHOOSE(CONTROL!$C$32, $C$9, 100%, $E$9)</f>
        <v>4.3376000000000001</v>
      </c>
      <c r="F125" s="11">
        <f>4.3376 * CHOOSE(CONTROL!$C$32, $C$9, 100%, $E$9)</f>
        <v>4.3376000000000001</v>
      </c>
      <c r="G125" s="11">
        <f>4.3412 * CHOOSE(CONTROL!$C$32, $C$9, 100%, $E$9)</f>
        <v>4.3411999999999997</v>
      </c>
      <c r="H125" s="11">
        <f>6.9859 * CHOOSE(CONTROL!$C$32, $C$9, 100%, $E$9)</f>
        <v>6.9859</v>
      </c>
      <c r="I125" s="11">
        <f>6.9895 * CHOOSE(CONTROL!$C$32, $C$9, 100%, $E$9)</f>
        <v>6.9894999999999996</v>
      </c>
      <c r="J125" s="11">
        <f>6.9859 * CHOOSE(CONTROL!$C$32, $C$9, 100%, $E$9)</f>
        <v>6.9859</v>
      </c>
      <c r="K125" s="11">
        <f>6.9895 * CHOOSE(CONTROL!$C$32, $C$9, 100%, $E$9)</f>
        <v>6.9894999999999996</v>
      </c>
      <c r="L125" s="11">
        <f>4.3376 * CHOOSE(CONTROL!$C$32, $C$9, 100%, $E$9)</f>
        <v>4.3376000000000001</v>
      </c>
      <c r="M125" s="11">
        <f>4.3412 * CHOOSE(CONTROL!$C$32, $C$9, 100%, $E$9)</f>
        <v>4.3411999999999997</v>
      </c>
      <c r="N125" s="11">
        <f>4.3376 * CHOOSE(CONTROL!$C$32, $C$9, 100%, $E$9)</f>
        <v>4.3376000000000001</v>
      </c>
      <c r="O125" s="11">
        <f>4.3412 * CHOOSE(CONTROL!$C$32, $C$9, 100%, $E$9)</f>
        <v>4.3411999999999997</v>
      </c>
      <c r="P125" s="14"/>
      <c r="Q125" s="14"/>
      <c r="R125" s="14"/>
    </row>
    <row r="126" spans="1:18" ht="15" x14ac:dyDescent="0.2">
      <c r="A126" s="13">
        <v>44682</v>
      </c>
      <c r="B126" s="9">
        <f>3.4161 * CHOOSE(CONTROL!$C$32, $C$9, 100%, $E$9)</f>
        <v>3.4161000000000001</v>
      </c>
      <c r="C126" s="9">
        <f>3.4161 * CHOOSE(CONTROL!$C$32, $C$9, 100%, $E$9)</f>
        <v>3.4161000000000001</v>
      </c>
      <c r="D126" s="9">
        <f>3.4177 * CHOOSE(CONTROL!$C$32, $C$9, 100%, $E$9)</f>
        <v>3.4177</v>
      </c>
      <c r="E126" s="11">
        <f>4.3376 * CHOOSE(CONTROL!$C$32, $C$9, 100%, $E$9)</f>
        <v>4.3376000000000001</v>
      </c>
      <c r="F126" s="11">
        <f>4.3376 * CHOOSE(CONTROL!$C$32, $C$9, 100%, $E$9)</f>
        <v>4.3376000000000001</v>
      </c>
      <c r="G126" s="11">
        <f>4.3429 * CHOOSE(CONTROL!$C$32, $C$9, 100%, $E$9)</f>
        <v>4.3429000000000002</v>
      </c>
      <c r="H126" s="11">
        <f>7.0004 * CHOOSE(CONTROL!$C$32, $C$9, 100%, $E$9)</f>
        <v>7.0004</v>
      </c>
      <c r="I126" s="11">
        <f>7.0057 * CHOOSE(CONTROL!$C$32, $C$9, 100%, $E$9)</f>
        <v>7.0057</v>
      </c>
      <c r="J126" s="11">
        <f>7.0004 * CHOOSE(CONTROL!$C$32, $C$9, 100%, $E$9)</f>
        <v>7.0004</v>
      </c>
      <c r="K126" s="11">
        <f>7.0057 * CHOOSE(CONTROL!$C$32, $C$9, 100%, $E$9)</f>
        <v>7.0057</v>
      </c>
      <c r="L126" s="11">
        <f>4.3376 * CHOOSE(CONTROL!$C$32, $C$9, 100%, $E$9)</f>
        <v>4.3376000000000001</v>
      </c>
      <c r="M126" s="11">
        <f>4.3429 * CHOOSE(CONTROL!$C$32, $C$9, 100%, $E$9)</f>
        <v>4.3429000000000002</v>
      </c>
      <c r="N126" s="11">
        <f>4.3376 * CHOOSE(CONTROL!$C$32, $C$9, 100%, $E$9)</f>
        <v>4.3376000000000001</v>
      </c>
      <c r="O126" s="11">
        <f>4.3429 * CHOOSE(CONTROL!$C$32, $C$9, 100%, $E$9)</f>
        <v>4.3429000000000002</v>
      </c>
      <c r="P126" s="14"/>
      <c r="Q126" s="14"/>
      <c r="R126" s="14"/>
    </row>
    <row r="127" spans="1:18" ht="15" x14ac:dyDescent="0.2">
      <c r="A127" s="13">
        <v>44713</v>
      </c>
      <c r="B127" s="9">
        <f>3.4222 * CHOOSE(CONTROL!$C$32, $C$9, 100%, $E$9)</f>
        <v>3.4222000000000001</v>
      </c>
      <c r="C127" s="9">
        <f>3.4222 * CHOOSE(CONTROL!$C$32, $C$9, 100%, $E$9)</f>
        <v>3.4222000000000001</v>
      </c>
      <c r="D127" s="9">
        <f>3.4238 * CHOOSE(CONTROL!$C$32, $C$9, 100%, $E$9)</f>
        <v>3.4238</v>
      </c>
      <c r="E127" s="11">
        <f>4.3416 * CHOOSE(CONTROL!$C$32, $C$9, 100%, $E$9)</f>
        <v>4.3415999999999997</v>
      </c>
      <c r="F127" s="11">
        <f>4.3416 * CHOOSE(CONTROL!$C$32, $C$9, 100%, $E$9)</f>
        <v>4.3415999999999997</v>
      </c>
      <c r="G127" s="11">
        <f>4.3469 * CHOOSE(CONTROL!$C$32, $C$9, 100%, $E$9)</f>
        <v>4.3468999999999998</v>
      </c>
      <c r="H127" s="11">
        <f>7.015 * CHOOSE(CONTROL!$C$32, $C$9, 100%, $E$9)</f>
        <v>7.0149999999999997</v>
      </c>
      <c r="I127" s="11">
        <f>7.0203 * CHOOSE(CONTROL!$C$32, $C$9, 100%, $E$9)</f>
        <v>7.0202999999999998</v>
      </c>
      <c r="J127" s="11">
        <f>7.015 * CHOOSE(CONTROL!$C$32, $C$9, 100%, $E$9)</f>
        <v>7.0149999999999997</v>
      </c>
      <c r="K127" s="11">
        <f>7.0203 * CHOOSE(CONTROL!$C$32, $C$9, 100%, $E$9)</f>
        <v>7.0202999999999998</v>
      </c>
      <c r="L127" s="11">
        <f>4.3416 * CHOOSE(CONTROL!$C$32, $C$9, 100%, $E$9)</f>
        <v>4.3415999999999997</v>
      </c>
      <c r="M127" s="11">
        <f>4.3469 * CHOOSE(CONTROL!$C$32, $C$9, 100%, $E$9)</f>
        <v>4.3468999999999998</v>
      </c>
      <c r="N127" s="11">
        <f>4.3416 * CHOOSE(CONTROL!$C$32, $C$9, 100%, $E$9)</f>
        <v>4.3415999999999997</v>
      </c>
      <c r="O127" s="11">
        <f>4.3469 * CHOOSE(CONTROL!$C$32, $C$9, 100%, $E$9)</f>
        <v>4.3468999999999998</v>
      </c>
      <c r="P127" s="14"/>
      <c r="Q127" s="14"/>
      <c r="R127" s="14"/>
    </row>
    <row r="128" spans="1:18" ht="15" x14ac:dyDescent="0.2">
      <c r="A128" s="13">
        <v>44743</v>
      </c>
      <c r="B128" s="9">
        <f>3.4729 * CHOOSE(CONTROL!$C$32, $C$9, 100%, $E$9)</f>
        <v>3.4729000000000001</v>
      </c>
      <c r="C128" s="9">
        <f>3.4729 * CHOOSE(CONTROL!$C$32, $C$9, 100%, $E$9)</f>
        <v>3.4729000000000001</v>
      </c>
      <c r="D128" s="9">
        <f>3.4745 * CHOOSE(CONTROL!$C$32, $C$9, 100%, $E$9)</f>
        <v>3.4744999999999999</v>
      </c>
      <c r="E128" s="11">
        <f>4.4233 * CHOOSE(CONTROL!$C$32, $C$9, 100%, $E$9)</f>
        <v>4.4233000000000002</v>
      </c>
      <c r="F128" s="11">
        <f>4.4233 * CHOOSE(CONTROL!$C$32, $C$9, 100%, $E$9)</f>
        <v>4.4233000000000002</v>
      </c>
      <c r="G128" s="11">
        <f>4.4286 * CHOOSE(CONTROL!$C$32, $C$9, 100%, $E$9)</f>
        <v>4.4286000000000003</v>
      </c>
      <c r="H128" s="11">
        <f>7.0296 * CHOOSE(CONTROL!$C$32, $C$9, 100%, $E$9)</f>
        <v>7.0296000000000003</v>
      </c>
      <c r="I128" s="11">
        <f>7.0349 * CHOOSE(CONTROL!$C$32, $C$9, 100%, $E$9)</f>
        <v>7.0349000000000004</v>
      </c>
      <c r="J128" s="11">
        <f>7.0296 * CHOOSE(CONTROL!$C$32, $C$9, 100%, $E$9)</f>
        <v>7.0296000000000003</v>
      </c>
      <c r="K128" s="11">
        <f>7.0349 * CHOOSE(CONTROL!$C$32, $C$9, 100%, $E$9)</f>
        <v>7.0349000000000004</v>
      </c>
      <c r="L128" s="11">
        <f>4.4233 * CHOOSE(CONTROL!$C$32, $C$9, 100%, $E$9)</f>
        <v>4.4233000000000002</v>
      </c>
      <c r="M128" s="11">
        <f>4.4286 * CHOOSE(CONTROL!$C$32, $C$9, 100%, $E$9)</f>
        <v>4.4286000000000003</v>
      </c>
      <c r="N128" s="11">
        <f>4.4233 * CHOOSE(CONTROL!$C$32, $C$9, 100%, $E$9)</f>
        <v>4.4233000000000002</v>
      </c>
      <c r="O128" s="11">
        <f>4.4286 * CHOOSE(CONTROL!$C$32, $C$9, 100%, $E$9)</f>
        <v>4.4286000000000003</v>
      </c>
      <c r="P128" s="14"/>
      <c r="Q128" s="14"/>
      <c r="R128" s="14"/>
    </row>
    <row r="129" spans="1:18" ht="15" x14ac:dyDescent="0.2">
      <c r="A129" s="13">
        <v>44774</v>
      </c>
      <c r="B129" s="9">
        <f>3.4796 * CHOOSE(CONTROL!$C$32, $C$9, 100%, $E$9)</f>
        <v>3.4796</v>
      </c>
      <c r="C129" s="9">
        <f>3.4796 * CHOOSE(CONTROL!$C$32, $C$9, 100%, $E$9)</f>
        <v>3.4796</v>
      </c>
      <c r="D129" s="9">
        <f>3.4811 * CHOOSE(CONTROL!$C$32, $C$9, 100%, $E$9)</f>
        <v>3.4811000000000001</v>
      </c>
      <c r="E129" s="11">
        <f>4.4277 * CHOOSE(CONTROL!$C$32, $C$9, 100%, $E$9)</f>
        <v>4.4276999999999997</v>
      </c>
      <c r="F129" s="11">
        <f>4.4277 * CHOOSE(CONTROL!$C$32, $C$9, 100%, $E$9)</f>
        <v>4.4276999999999997</v>
      </c>
      <c r="G129" s="11">
        <f>4.433 * CHOOSE(CONTROL!$C$32, $C$9, 100%, $E$9)</f>
        <v>4.4329999999999998</v>
      </c>
      <c r="H129" s="11">
        <f>7.0443 * CHOOSE(CONTROL!$C$32, $C$9, 100%, $E$9)</f>
        <v>7.0442999999999998</v>
      </c>
      <c r="I129" s="11">
        <f>7.0496 * CHOOSE(CONTROL!$C$32, $C$9, 100%, $E$9)</f>
        <v>7.0495999999999999</v>
      </c>
      <c r="J129" s="11">
        <f>7.0443 * CHOOSE(CONTROL!$C$32, $C$9, 100%, $E$9)</f>
        <v>7.0442999999999998</v>
      </c>
      <c r="K129" s="11">
        <f>7.0496 * CHOOSE(CONTROL!$C$32, $C$9, 100%, $E$9)</f>
        <v>7.0495999999999999</v>
      </c>
      <c r="L129" s="11">
        <f>4.4277 * CHOOSE(CONTROL!$C$32, $C$9, 100%, $E$9)</f>
        <v>4.4276999999999997</v>
      </c>
      <c r="M129" s="11">
        <f>4.433 * CHOOSE(CONTROL!$C$32, $C$9, 100%, $E$9)</f>
        <v>4.4329999999999998</v>
      </c>
      <c r="N129" s="11">
        <f>4.4277 * CHOOSE(CONTROL!$C$32, $C$9, 100%, $E$9)</f>
        <v>4.4276999999999997</v>
      </c>
      <c r="O129" s="11">
        <f>4.433 * CHOOSE(CONTROL!$C$32, $C$9, 100%, $E$9)</f>
        <v>4.4329999999999998</v>
      </c>
      <c r="P129" s="14"/>
      <c r="Q129" s="14"/>
      <c r="R129" s="14"/>
    </row>
    <row r="130" spans="1:18" ht="15" x14ac:dyDescent="0.2">
      <c r="A130" s="13">
        <v>44805</v>
      </c>
      <c r="B130" s="9">
        <f>3.4765 * CHOOSE(CONTROL!$C$32, $C$9, 100%, $E$9)</f>
        <v>3.4765000000000001</v>
      </c>
      <c r="C130" s="9">
        <f>3.4765 * CHOOSE(CONTROL!$C$32, $C$9, 100%, $E$9)</f>
        <v>3.4765000000000001</v>
      </c>
      <c r="D130" s="9">
        <f>3.4781 * CHOOSE(CONTROL!$C$32, $C$9, 100%, $E$9)</f>
        <v>3.4781</v>
      </c>
      <c r="E130" s="11">
        <f>4.4257 * CHOOSE(CONTROL!$C$32, $C$9, 100%, $E$9)</f>
        <v>4.4257</v>
      </c>
      <c r="F130" s="11">
        <f>4.4257 * CHOOSE(CONTROL!$C$32, $C$9, 100%, $E$9)</f>
        <v>4.4257</v>
      </c>
      <c r="G130" s="11">
        <f>4.431 * CHOOSE(CONTROL!$C$32, $C$9, 100%, $E$9)</f>
        <v>4.431</v>
      </c>
      <c r="H130" s="11">
        <f>7.0589 * CHOOSE(CONTROL!$C$32, $C$9, 100%, $E$9)</f>
        <v>7.0589000000000004</v>
      </c>
      <c r="I130" s="11">
        <f>7.0642 * CHOOSE(CONTROL!$C$32, $C$9, 100%, $E$9)</f>
        <v>7.0641999999999996</v>
      </c>
      <c r="J130" s="11">
        <f>7.0589 * CHOOSE(CONTROL!$C$32, $C$9, 100%, $E$9)</f>
        <v>7.0589000000000004</v>
      </c>
      <c r="K130" s="11">
        <f>7.0642 * CHOOSE(CONTROL!$C$32, $C$9, 100%, $E$9)</f>
        <v>7.0641999999999996</v>
      </c>
      <c r="L130" s="11">
        <f>4.4257 * CHOOSE(CONTROL!$C$32, $C$9, 100%, $E$9)</f>
        <v>4.4257</v>
      </c>
      <c r="M130" s="11">
        <f>4.431 * CHOOSE(CONTROL!$C$32, $C$9, 100%, $E$9)</f>
        <v>4.431</v>
      </c>
      <c r="N130" s="11">
        <f>4.4257 * CHOOSE(CONTROL!$C$32, $C$9, 100%, $E$9)</f>
        <v>4.4257</v>
      </c>
      <c r="O130" s="11">
        <f>4.431 * CHOOSE(CONTROL!$C$32, $C$9, 100%, $E$9)</f>
        <v>4.431</v>
      </c>
      <c r="P130" s="14"/>
      <c r="Q130" s="14"/>
      <c r="R130" s="14"/>
    </row>
    <row r="131" spans="1:18" ht="15" x14ac:dyDescent="0.2">
      <c r="A131" s="13">
        <v>44835</v>
      </c>
      <c r="B131" s="9">
        <f>3.4698 * CHOOSE(CONTROL!$C$32, $C$9, 100%, $E$9)</f>
        <v>3.4698000000000002</v>
      </c>
      <c r="C131" s="9">
        <f>3.4698 * CHOOSE(CONTROL!$C$32, $C$9, 100%, $E$9)</f>
        <v>3.4698000000000002</v>
      </c>
      <c r="D131" s="9">
        <f>3.4709 * CHOOSE(CONTROL!$C$32, $C$9, 100%, $E$9)</f>
        <v>3.4708999999999999</v>
      </c>
      <c r="E131" s="11">
        <f>4.4195 * CHOOSE(CONTROL!$C$32, $C$9, 100%, $E$9)</f>
        <v>4.4195000000000002</v>
      </c>
      <c r="F131" s="11">
        <f>4.4195 * CHOOSE(CONTROL!$C$32, $C$9, 100%, $E$9)</f>
        <v>4.4195000000000002</v>
      </c>
      <c r="G131" s="11">
        <f>4.4231 * CHOOSE(CONTROL!$C$32, $C$9, 100%, $E$9)</f>
        <v>4.4230999999999998</v>
      </c>
      <c r="H131" s="11">
        <f>7.0736 * CHOOSE(CONTROL!$C$32, $C$9, 100%, $E$9)</f>
        <v>7.0735999999999999</v>
      </c>
      <c r="I131" s="11">
        <f>7.0773 * CHOOSE(CONTROL!$C$32, $C$9, 100%, $E$9)</f>
        <v>7.0773000000000001</v>
      </c>
      <c r="J131" s="11">
        <f>7.0736 * CHOOSE(CONTROL!$C$32, $C$9, 100%, $E$9)</f>
        <v>7.0735999999999999</v>
      </c>
      <c r="K131" s="11">
        <f>7.0773 * CHOOSE(CONTROL!$C$32, $C$9, 100%, $E$9)</f>
        <v>7.0773000000000001</v>
      </c>
      <c r="L131" s="11">
        <f>4.4195 * CHOOSE(CONTROL!$C$32, $C$9, 100%, $E$9)</f>
        <v>4.4195000000000002</v>
      </c>
      <c r="M131" s="11">
        <f>4.4231 * CHOOSE(CONTROL!$C$32, $C$9, 100%, $E$9)</f>
        <v>4.4230999999999998</v>
      </c>
      <c r="N131" s="11">
        <f>4.4195 * CHOOSE(CONTROL!$C$32, $C$9, 100%, $E$9)</f>
        <v>4.4195000000000002</v>
      </c>
      <c r="O131" s="11">
        <f>4.4231 * CHOOSE(CONTROL!$C$32, $C$9, 100%, $E$9)</f>
        <v>4.4230999999999998</v>
      </c>
      <c r="P131" s="14"/>
      <c r="Q131" s="14"/>
      <c r="R131" s="14"/>
    </row>
    <row r="132" spans="1:18" ht="15" x14ac:dyDescent="0.2">
      <c r="A132" s="13">
        <v>44866</v>
      </c>
      <c r="B132" s="9">
        <f>3.4728 * CHOOSE(CONTROL!$C$32, $C$9, 100%, $E$9)</f>
        <v>3.4727999999999999</v>
      </c>
      <c r="C132" s="9">
        <f>3.4728 * CHOOSE(CONTROL!$C$32, $C$9, 100%, $E$9)</f>
        <v>3.4727999999999999</v>
      </c>
      <c r="D132" s="9">
        <f>3.4739 * CHOOSE(CONTROL!$C$32, $C$9, 100%, $E$9)</f>
        <v>3.4739</v>
      </c>
      <c r="E132" s="11">
        <f>4.4215 * CHOOSE(CONTROL!$C$32, $C$9, 100%, $E$9)</f>
        <v>4.4215</v>
      </c>
      <c r="F132" s="11">
        <f>4.4215 * CHOOSE(CONTROL!$C$32, $C$9, 100%, $E$9)</f>
        <v>4.4215</v>
      </c>
      <c r="G132" s="11">
        <f>4.4251 * CHOOSE(CONTROL!$C$32, $C$9, 100%, $E$9)</f>
        <v>4.4250999999999996</v>
      </c>
      <c r="H132" s="11">
        <f>7.0884 * CHOOSE(CONTROL!$C$32, $C$9, 100%, $E$9)</f>
        <v>7.0884</v>
      </c>
      <c r="I132" s="11">
        <f>7.092 * CHOOSE(CONTROL!$C$32, $C$9, 100%, $E$9)</f>
        <v>7.0919999999999996</v>
      </c>
      <c r="J132" s="11">
        <f>7.0884 * CHOOSE(CONTROL!$C$32, $C$9, 100%, $E$9)</f>
        <v>7.0884</v>
      </c>
      <c r="K132" s="11">
        <f>7.092 * CHOOSE(CONTROL!$C$32, $C$9, 100%, $E$9)</f>
        <v>7.0919999999999996</v>
      </c>
      <c r="L132" s="11">
        <f>4.4215 * CHOOSE(CONTROL!$C$32, $C$9, 100%, $E$9)</f>
        <v>4.4215</v>
      </c>
      <c r="M132" s="11">
        <f>4.4251 * CHOOSE(CONTROL!$C$32, $C$9, 100%, $E$9)</f>
        <v>4.4250999999999996</v>
      </c>
      <c r="N132" s="11">
        <f>4.4215 * CHOOSE(CONTROL!$C$32, $C$9, 100%, $E$9)</f>
        <v>4.4215</v>
      </c>
      <c r="O132" s="11">
        <f>4.4251 * CHOOSE(CONTROL!$C$32, $C$9, 100%, $E$9)</f>
        <v>4.4250999999999996</v>
      </c>
      <c r="P132" s="14"/>
      <c r="Q132" s="14"/>
      <c r="R132" s="14"/>
    </row>
    <row r="133" spans="1:18" ht="15" x14ac:dyDescent="0.2">
      <c r="A133" s="13">
        <v>44896</v>
      </c>
      <c r="B133" s="9">
        <f>3.4728 * CHOOSE(CONTROL!$C$32, $C$9, 100%, $E$9)</f>
        <v>3.4727999999999999</v>
      </c>
      <c r="C133" s="9">
        <f>3.4728 * CHOOSE(CONTROL!$C$32, $C$9, 100%, $E$9)</f>
        <v>3.4727999999999999</v>
      </c>
      <c r="D133" s="9">
        <f>3.4739 * CHOOSE(CONTROL!$C$32, $C$9, 100%, $E$9)</f>
        <v>3.4739</v>
      </c>
      <c r="E133" s="11">
        <f>4.4215 * CHOOSE(CONTROL!$C$32, $C$9, 100%, $E$9)</f>
        <v>4.4215</v>
      </c>
      <c r="F133" s="11">
        <f>4.4215 * CHOOSE(CONTROL!$C$32, $C$9, 100%, $E$9)</f>
        <v>4.4215</v>
      </c>
      <c r="G133" s="11">
        <f>4.4251 * CHOOSE(CONTROL!$C$32, $C$9, 100%, $E$9)</f>
        <v>4.4250999999999996</v>
      </c>
      <c r="H133" s="11">
        <f>7.1032 * CHOOSE(CONTROL!$C$32, $C$9, 100%, $E$9)</f>
        <v>7.1032000000000002</v>
      </c>
      <c r="I133" s="11">
        <f>7.1068 * CHOOSE(CONTROL!$C$32, $C$9, 100%, $E$9)</f>
        <v>7.1067999999999998</v>
      </c>
      <c r="J133" s="11">
        <f>7.1032 * CHOOSE(CONTROL!$C$32, $C$9, 100%, $E$9)</f>
        <v>7.1032000000000002</v>
      </c>
      <c r="K133" s="11">
        <f>7.1068 * CHOOSE(CONTROL!$C$32, $C$9, 100%, $E$9)</f>
        <v>7.1067999999999998</v>
      </c>
      <c r="L133" s="11">
        <f>4.4215 * CHOOSE(CONTROL!$C$32, $C$9, 100%, $E$9)</f>
        <v>4.4215</v>
      </c>
      <c r="M133" s="11">
        <f>4.4251 * CHOOSE(CONTROL!$C$32, $C$9, 100%, $E$9)</f>
        <v>4.4250999999999996</v>
      </c>
      <c r="N133" s="11">
        <f>4.4215 * CHOOSE(CONTROL!$C$32, $C$9, 100%, $E$9)</f>
        <v>4.4215</v>
      </c>
      <c r="O133" s="11">
        <f>4.4251 * CHOOSE(CONTROL!$C$32, $C$9, 100%, $E$9)</f>
        <v>4.4250999999999996</v>
      </c>
      <c r="P133" s="14"/>
      <c r="Q133" s="14"/>
      <c r="R133" s="14"/>
    </row>
    <row r="134" spans="1:18" ht="15" x14ac:dyDescent="0.2">
      <c r="A134" s="13">
        <v>44927</v>
      </c>
      <c r="B134" s="9">
        <f>3.5089 * CHOOSE(CONTROL!$C$32, $C$9, 100%, $E$9)</f>
        <v>3.5089000000000001</v>
      </c>
      <c r="C134" s="9">
        <f>3.5089 * CHOOSE(CONTROL!$C$32, $C$9, 100%, $E$9)</f>
        <v>3.5089000000000001</v>
      </c>
      <c r="D134" s="9">
        <f>3.5099 * CHOOSE(CONTROL!$C$32, $C$9, 100%, $E$9)</f>
        <v>3.5099</v>
      </c>
      <c r="E134" s="11">
        <f>4.4558 * CHOOSE(CONTROL!$C$32, $C$9, 100%, $E$9)</f>
        <v>4.4558</v>
      </c>
      <c r="F134" s="11">
        <f>4.4558 * CHOOSE(CONTROL!$C$32, $C$9, 100%, $E$9)</f>
        <v>4.4558</v>
      </c>
      <c r="G134" s="11">
        <f>4.4594 * CHOOSE(CONTROL!$C$32, $C$9, 100%, $E$9)</f>
        <v>4.4593999999999996</v>
      </c>
      <c r="H134" s="11">
        <f>7.118 * CHOOSE(CONTROL!$C$32, $C$9, 100%, $E$9)</f>
        <v>7.1180000000000003</v>
      </c>
      <c r="I134" s="11">
        <f>7.1216 * CHOOSE(CONTROL!$C$32, $C$9, 100%, $E$9)</f>
        <v>7.1215999999999999</v>
      </c>
      <c r="J134" s="11">
        <f>7.118 * CHOOSE(CONTROL!$C$32, $C$9, 100%, $E$9)</f>
        <v>7.1180000000000003</v>
      </c>
      <c r="K134" s="11">
        <f>7.1216 * CHOOSE(CONTROL!$C$32, $C$9, 100%, $E$9)</f>
        <v>7.1215999999999999</v>
      </c>
      <c r="L134" s="11">
        <f>4.4558 * CHOOSE(CONTROL!$C$32, $C$9, 100%, $E$9)</f>
        <v>4.4558</v>
      </c>
      <c r="M134" s="11">
        <f>4.4594 * CHOOSE(CONTROL!$C$32, $C$9, 100%, $E$9)</f>
        <v>4.4593999999999996</v>
      </c>
      <c r="N134" s="11">
        <f>4.4558 * CHOOSE(CONTROL!$C$32, $C$9, 100%, $E$9)</f>
        <v>4.4558</v>
      </c>
      <c r="O134" s="11">
        <f>4.4594 * CHOOSE(CONTROL!$C$32, $C$9, 100%, $E$9)</f>
        <v>4.4593999999999996</v>
      </c>
      <c r="P134" s="14"/>
      <c r="Q134" s="14"/>
      <c r="R134" s="14"/>
    </row>
    <row r="135" spans="1:18" ht="15" x14ac:dyDescent="0.2">
      <c r="A135" s="13">
        <v>44958</v>
      </c>
      <c r="B135" s="9">
        <f>3.5058 * CHOOSE(CONTROL!$C$32, $C$9, 100%, $E$9)</f>
        <v>3.5057999999999998</v>
      </c>
      <c r="C135" s="9">
        <f>3.5058 * CHOOSE(CONTROL!$C$32, $C$9, 100%, $E$9)</f>
        <v>3.5057999999999998</v>
      </c>
      <c r="D135" s="9">
        <f>3.5069 * CHOOSE(CONTROL!$C$32, $C$9, 100%, $E$9)</f>
        <v>3.5068999999999999</v>
      </c>
      <c r="E135" s="11">
        <f>4.4538 * CHOOSE(CONTROL!$C$32, $C$9, 100%, $E$9)</f>
        <v>4.4538000000000002</v>
      </c>
      <c r="F135" s="11">
        <f>4.4538 * CHOOSE(CONTROL!$C$32, $C$9, 100%, $E$9)</f>
        <v>4.4538000000000002</v>
      </c>
      <c r="G135" s="11">
        <f>4.4574 * CHOOSE(CONTROL!$C$32, $C$9, 100%, $E$9)</f>
        <v>4.4573999999999998</v>
      </c>
      <c r="H135" s="11">
        <f>7.1328 * CHOOSE(CONTROL!$C$32, $C$9, 100%, $E$9)</f>
        <v>7.1327999999999996</v>
      </c>
      <c r="I135" s="11">
        <f>7.1364 * CHOOSE(CONTROL!$C$32, $C$9, 100%, $E$9)</f>
        <v>7.1364000000000001</v>
      </c>
      <c r="J135" s="11">
        <f>7.1328 * CHOOSE(CONTROL!$C$32, $C$9, 100%, $E$9)</f>
        <v>7.1327999999999996</v>
      </c>
      <c r="K135" s="11">
        <f>7.1364 * CHOOSE(CONTROL!$C$32, $C$9, 100%, $E$9)</f>
        <v>7.1364000000000001</v>
      </c>
      <c r="L135" s="11">
        <f>4.4538 * CHOOSE(CONTROL!$C$32, $C$9, 100%, $E$9)</f>
        <v>4.4538000000000002</v>
      </c>
      <c r="M135" s="11">
        <f>4.4574 * CHOOSE(CONTROL!$C$32, $C$9, 100%, $E$9)</f>
        <v>4.4573999999999998</v>
      </c>
      <c r="N135" s="11">
        <f>4.4538 * CHOOSE(CONTROL!$C$32, $C$9, 100%, $E$9)</f>
        <v>4.4538000000000002</v>
      </c>
      <c r="O135" s="11">
        <f>4.4574 * CHOOSE(CONTROL!$C$32, $C$9, 100%, $E$9)</f>
        <v>4.4573999999999998</v>
      </c>
      <c r="P135" s="14"/>
      <c r="Q135" s="14"/>
      <c r="R135" s="14"/>
    </row>
    <row r="136" spans="1:18" ht="15" x14ac:dyDescent="0.2">
      <c r="A136" s="13">
        <v>44986</v>
      </c>
      <c r="B136" s="9">
        <f>3.5028 * CHOOSE(CONTROL!$C$32, $C$9, 100%, $E$9)</f>
        <v>3.5028000000000001</v>
      </c>
      <c r="C136" s="9">
        <f>3.5028 * CHOOSE(CONTROL!$C$32, $C$9, 100%, $E$9)</f>
        <v>3.5028000000000001</v>
      </c>
      <c r="D136" s="9">
        <f>3.5039 * CHOOSE(CONTROL!$C$32, $C$9, 100%, $E$9)</f>
        <v>3.5038999999999998</v>
      </c>
      <c r="E136" s="11">
        <f>4.4518 * CHOOSE(CONTROL!$C$32, $C$9, 100%, $E$9)</f>
        <v>4.4518000000000004</v>
      </c>
      <c r="F136" s="11">
        <f>4.4518 * CHOOSE(CONTROL!$C$32, $C$9, 100%, $E$9)</f>
        <v>4.4518000000000004</v>
      </c>
      <c r="G136" s="11">
        <f>4.4554 * CHOOSE(CONTROL!$C$32, $C$9, 100%, $E$9)</f>
        <v>4.4554</v>
      </c>
      <c r="H136" s="11">
        <f>7.1476 * CHOOSE(CONTROL!$C$32, $C$9, 100%, $E$9)</f>
        <v>7.1475999999999997</v>
      </c>
      <c r="I136" s="11">
        <f>7.1513 * CHOOSE(CONTROL!$C$32, $C$9, 100%, $E$9)</f>
        <v>7.1513</v>
      </c>
      <c r="J136" s="11">
        <f>7.1476 * CHOOSE(CONTROL!$C$32, $C$9, 100%, $E$9)</f>
        <v>7.1475999999999997</v>
      </c>
      <c r="K136" s="11">
        <f>7.1513 * CHOOSE(CONTROL!$C$32, $C$9, 100%, $E$9)</f>
        <v>7.1513</v>
      </c>
      <c r="L136" s="11">
        <f>4.4518 * CHOOSE(CONTROL!$C$32, $C$9, 100%, $E$9)</f>
        <v>4.4518000000000004</v>
      </c>
      <c r="M136" s="11">
        <f>4.4554 * CHOOSE(CONTROL!$C$32, $C$9, 100%, $E$9)</f>
        <v>4.4554</v>
      </c>
      <c r="N136" s="11">
        <f>4.4518 * CHOOSE(CONTROL!$C$32, $C$9, 100%, $E$9)</f>
        <v>4.4518000000000004</v>
      </c>
      <c r="O136" s="11">
        <f>4.4554 * CHOOSE(CONTROL!$C$32, $C$9, 100%, $E$9)</f>
        <v>4.4554</v>
      </c>
      <c r="P136" s="14"/>
      <c r="Q136" s="14"/>
      <c r="R136" s="14"/>
    </row>
    <row r="137" spans="1:18" ht="15" x14ac:dyDescent="0.2">
      <c r="A137" s="13">
        <v>45017</v>
      </c>
      <c r="B137" s="9">
        <f>3.5 * CHOOSE(CONTROL!$C$32, $C$9, 100%, $E$9)</f>
        <v>3.5</v>
      </c>
      <c r="C137" s="9">
        <f>3.5 * CHOOSE(CONTROL!$C$32, $C$9, 100%, $E$9)</f>
        <v>3.5</v>
      </c>
      <c r="D137" s="9">
        <f>3.5011 * CHOOSE(CONTROL!$C$32, $C$9, 100%, $E$9)</f>
        <v>3.5011000000000001</v>
      </c>
      <c r="E137" s="11">
        <f>4.4495 * CHOOSE(CONTROL!$C$32, $C$9, 100%, $E$9)</f>
        <v>4.4494999999999996</v>
      </c>
      <c r="F137" s="11">
        <f>4.4495 * CHOOSE(CONTROL!$C$32, $C$9, 100%, $E$9)</f>
        <v>4.4494999999999996</v>
      </c>
      <c r="G137" s="11">
        <f>4.4531 * CHOOSE(CONTROL!$C$32, $C$9, 100%, $E$9)</f>
        <v>4.4531000000000001</v>
      </c>
      <c r="H137" s="11">
        <f>7.1625 * CHOOSE(CONTROL!$C$32, $C$9, 100%, $E$9)</f>
        <v>7.1624999999999996</v>
      </c>
      <c r="I137" s="11">
        <f>7.1661 * CHOOSE(CONTROL!$C$32, $C$9, 100%, $E$9)</f>
        <v>7.1661000000000001</v>
      </c>
      <c r="J137" s="11">
        <f>7.1625 * CHOOSE(CONTROL!$C$32, $C$9, 100%, $E$9)</f>
        <v>7.1624999999999996</v>
      </c>
      <c r="K137" s="11">
        <f>7.1661 * CHOOSE(CONTROL!$C$32, $C$9, 100%, $E$9)</f>
        <v>7.1661000000000001</v>
      </c>
      <c r="L137" s="11">
        <f>4.4495 * CHOOSE(CONTROL!$C$32, $C$9, 100%, $E$9)</f>
        <v>4.4494999999999996</v>
      </c>
      <c r="M137" s="11">
        <f>4.4531 * CHOOSE(CONTROL!$C$32, $C$9, 100%, $E$9)</f>
        <v>4.4531000000000001</v>
      </c>
      <c r="N137" s="11">
        <f>4.4495 * CHOOSE(CONTROL!$C$32, $C$9, 100%, $E$9)</f>
        <v>4.4494999999999996</v>
      </c>
      <c r="O137" s="11">
        <f>4.4531 * CHOOSE(CONTROL!$C$32, $C$9, 100%, $E$9)</f>
        <v>4.4531000000000001</v>
      </c>
      <c r="P137" s="14"/>
      <c r="Q137" s="14"/>
      <c r="R137" s="14"/>
    </row>
    <row r="138" spans="1:18" ht="15" x14ac:dyDescent="0.2">
      <c r="A138" s="13">
        <v>45047</v>
      </c>
      <c r="B138" s="9">
        <f>3.5 * CHOOSE(CONTROL!$C$32, $C$9, 100%, $E$9)</f>
        <v>3.5</v>
      </c>
      <c r="C138" s="9">
        <f>3.5 * CHOOSE(CONTROL!$C$32, $C$9, 100%, $E$9)</f>
        <v>3.5</v>
      </c>
      <c r="D138" s="9">
        <f>3.5016 * CHOOSE(CONTROL!$C$32, $C$9, 100%, $E$9)</f>
        <v>3.5015999999999998</v>
      </c>
      <c r="E138" s="11">
        <f>4.4495 * CHOOSE(CONTROL!$C$32, $C$9, 100%, $E$9)</f>
        <v>4.4494999999999996</v>
      </c>
      <c r="F138" s="11">
        <f>4.4495 * CHOOSE(CONTROL!$C$32, $C$9, 100%, $E$9)</f>
        <v>4.4494999999999996</v>
      </c>
      <c r="G138" s="11">
        <f>4.4548 * CHOOSE(CONTROL!$C$32, $C$9, 100%, $E$9)</f>
        <v>4.4547999999999996</v>
      </c>
      <c r="H138" s="11">
        <f>7.1775 * CHOOSE(CONTROL!$C$32, $C$9, 100%, $E$9)</f>
        <v>7.1775000000000002</v>
      </c>
      <c r="I138" s="11">
        <f>7.1827 * CHOOSE(CONTROL!$C$32, $C$9, 100%, $E$9)</f>
        <v>7.1826999999999996</v>
      </c>
      <c r="J138" s="11">
        <f>7.1775 * CHOOSE(CONTROL!$C$32, $C$9, 100%, $E$9)</f>
        <v>7.1775000000000002</v>
      </c>
      <c r="K138" s="11">
        <f>7.1827 * CHOOSE(CONTROL!$C$32, $C$9, 100%, $E$9)</f>
        <v>7.1826999999999996</v>
      </c>
      <c r="L138" s="11">
        <f>4.4495 * CHOOSE(CONTROL!$C$32, $C$9, 100%, $E$9)</f>
        <v>4.4494999999999996</v>
      </c>
      <c r="M138" s="11">
        <f>4.4548 * CHOOSE(CONTROL!$C$32, $C$9, 100%, $E$9)</f>
        <v>4.4547999999999996</v>
      </c>
      <c r="N138" s="11">
        <f>4.4495 * CHOOSE(CONTROL!$C$32, $C$9, 100%, $E$9)</f>
        <v>4.4494999999999996</v>
      </c>
      <c r="O138" s="11">
        <f>4.4548 * CHOOSE(CONTROL!$C$32, $C$9, 100%, $E$9)</f>
        <v>4.4547999999999996</v>
      </c>
      <c r="P138" s="14"/>
      <c r="Q138" s="14"/>
      <c r="R138" s="14"/>
    </row>
    <row r="139" spans="1:18" ht="15" x14ac:dyDescent="0.2">
      <c r="A139" s="13">
        <v>45078</v>
      </c>
      <c r="B139" s="9">
        <f>3.5061 * CHOOSE(CONTROL!$C$32, $C$9, 100%, $E$9)</f>
        <v>3.5061</v>
      </c>
      <c r="C139" s="9">
        <f>3.5061 * CHOOSE(CONTROL!$C$32, $C$9, 100%, $E$9)</f>
        <v>3.5061</v>
      </c>
      <c r="D139" s="9">
        <f>3.5077 * CHOOSE(CONTROL!$C$32, $C$9, 100%, $E$9)</f>
        <v>3.5076999999999998</v>
      </c>
      <c r="E139" s="11">
        <f>4.4535 * CHOOSE(CONTROL!$C$32, $C$9, 100%, $E$9)</f>
        <v>4.4535</v>
      </c>
      <c r="F139" s="11">
        <f>4.4535 * CHOOSE(CONTROL!$C$32, $C$9, 100%, $E$9)</f>
        <v>4.4535</v>
      </c>
      <c r="G139" s="11">
        <f>4.4588 * CHOOSE(CONTROL!$C$32, $C$9, 100%, $E$9)</f>
        <v>4.4588000000000001</v>
      </c>
      <c r="H139" s="11">
        <f>7.1924 * CHOOSE(CONTROL!$C$32, $C$9, 100%, $E$9)</f>
        <v>7.1924000000000001</v>
      </c>
      <c r="I139" s="11">
        <f>7.1977 * CHOOSE(CONTROL!$C$32, $C$9, 100%, $E$9)</f>
        <v>7.1977000000000002</v>
      </c>
      <c r="J139" s="11">
        <f>7.1924 * CHOOSE(CONTROL!$C$32, $C$9, 100%, $E$9)</f>
        <v>7.1924000000000001</v>
      </c>
      <c r="K139" s="11">
        <f>7.1977 * CHOOSE(CONTROL!$C$32, $C$9, 100%, $E$9)</f>
        <v>7.1977000000000002</v>
      </c>
      <c r="L139" s="11">
        <f>4.4535 * CHOOSE(CONTROL!$C$32, $C$9, 100%, $E$9)</f>
        <v>4.4535</v>
      </c>
      <c r="M139" s="11">
        <f>4.4588 * CHOOSE(CONTROL!$C$32, $C$9, 100%, $E$9)</f>
        <v>4.4588000000000001</v>
      </c>
      <c r="N139" s="11">
        <f>4.4535 * CHOOSE(CONTROL!$C$32, $C$9, 100%, $E$9)</f>
        <v>4.4535</v>
      </c>
      <c r="O139" s="11">
        <f>4.4588 * CHOOSE(CONTROL!$C$32, $C$9, 100%, $E$9)</f>
        <v>4.4588000000000001</v>
      </c>
      <c r="P139" s="14"/>
      <c r="Q139" s="14"/>
      <c r="R139" s="14"/>
    </row>
    <row r="140" spans="1:18" ht="15" x14ac:dyDescent="0.2">
      <c r="A140" s="13">
        <v>45108</v>
      </c>
      <c r="B140" s="9">
        <f>3.5764 * CHOOSE(CONTROL!$C$32, $C$9, 100%, $E$9)</f>
        <v>3.5764</v>
      </c>
      <c r="C140" s="9">
        <f>3.5764 * CHOOSE(CONTROL!$C$32, $C$9, 100%, $E$9)</f>
        <v>3.5764</v>
      </c>
      <c r="D140" s="9">
        <f>3.578 * CHOOSE(CONTROL!$C$32, $C$9, 100%, $E$9)</f>
        <v>3.5779999999999998</v>
      </c>
      <c r="E140" s="11">
        <f>4.5283 * CHOOSE(CONTROL!$C$32, $C$9, 100%, $E$9)</f>
        <v>4.5282999999999998</v>
      </c>
      <c r="F140" s="11">
        <f>4.5283 * CHOOSE(CONTROL!$C$32, $C$9, 100%, $E$9)</f>
        <v>4.5282999999999998</v>
      </c>
      <c r="G140" s="11">
        <f>4.5336 * CHOOSE(CONTROL!$C$32, $C$9, 100%, $E$9)</f>
        <v>4.5335999999999999</v>
      </c>
      <c r="H140" s="11">
        <f>7.2074 * CHOOSE(CONTROL!$C$32, $C$9, 100%, $E$9)</f>
        <v>7.2073999999999998</v>
      </c>
      <c r="I140" s="11">
        <f>7.2127 * CHOOSE(CONTROL!$C$32, $C$9, 100%, $E$9)</f>
        <v>7.2126999999999999</v>
      </c>
      <c r="J140" s="11">
        <f>7.2074 * CHOOSE(CONTROL!$C$32, $C$9, 100%, $E$9)</f>
        <v>7.2073999999999998</v>
      </c>
      <c r="K140" s="11">
        <f>7.2127 * CHOOSE(CONTROL!$C$32, $C$9, 100%, $E$9)</f>
        <v>7.2126999999999999</v>
      </c>
      <c r="L140" s="11">
        <f>4.5283 * CHOOSE(CONTROL!$C$32, $C$9, 100%, $E$9)</f>
        <v>4.5282999999999998</v>
      </c>
      <c r="M140" s="11">
        <f>4.5336 * CHOOSE(CONTROL!$C$32, $C$9, 100%, $E$9)</f>
        <v>4.5335999999999999</v>
      </c>
      <c r="N140" s="11">
        <f>4.5283 * CHOOSE(CONTROL!$C$32, $C$9, 100%, $E$9)</f>
        <v>4.5282999999999998</v>
      </c>
      <c r="O140" s="11">
        <f>4.5336 * CHOOSE(CONTROL!$C$32, $C$9, 100%, $E$9)</f>
        <v>4.5335999999999999</v>
      </c>
      <c r="P140" s="14"/>
      <c r="Q140" s="14"/>
      <c r="R140" s="14"/>
    </row>
    <row r="141" spans="1:18" ht="15" x14ac:dyDescent="0.2">
      <c r="A141" s="13">
        <v>45139</v>
      </c>
      <c r="B141" s="9">
        <f>3.5831 * CHOOSE(CONTROL!$C$32, $C$9, 100%, $E$9)</f>
        <v>3.5831</v>
      </c>
      <c r="C141" s="9">
        <f>3.5831 * CHOOSE(CONTROL!$C$32, $C$9, 100%, $E$9)</f>
        <v>3.5831</v>
      </c>
      <c r="D141" s="9">
        <f>3.5846 * CHOOSE(CONTROL!$C$32, $C$9, 100%, $E$9)</f>
        <v>3.5846</v>
      </c>
      <c r="E141" s="11">
        <f>4.5327 * CHOOSE(CONTROL!$C$32, $C$9, 100%, $E$9)</f>
        <v>4.5327000000000002</v>
      </c>
      <c r="F141" s="11">
        <f>4.5327 * CHOOSE(CONTROL!$C$32, $C$9, 100%, $E$9)</f>
        <v>4.5327000000000002</v>
      </c>
      <c r="G141" s="11">
        <f>4.538 * CHOOSE(CONTROL!$C$32, $C$9, 100%, $E$9)</f>
        <v>4.5380000000000003</v>
      </c>
      <c r="H141" s="11">
        <f>7.2224 * CHOOSE(CONTROL!$C$32, $C$9, 100%, $E$9)</f>
        <v>7.2224000000000004</v>
      </c>
      <c r="I141" s="11">
        <f>7.2277 * CHOOSE(CONTROL!$C$32, $C$9, 100%, $E$9)</f>
        <v>7.2276999999999996</v>
      </c>
      <c r="J141" s="11">
        <f>7.2224 * CHOOSE(CONTROL!$C$32, $C$9, 100%, $E$9)</f>
        <v>7.2224000000000004</v>
      </c>
      <c r="K141" s="11">
        <f>7.2277 * CHOOSE(CONTROL!$C$32, $C$9, 100%, $E$9)</f>
        <v>7.2276999999999996</v>
      </c>
      <c r="L141" s="11">
        <f>4.5327 * CHOOSE(CONTROL!$C$32, $C$9, 100%, $E$9)</f>
        <v>4.5327000000000002</v>
      </c>
      <c r="M141" s="11">
        <f>4.538 * CHOOSE(CONTROL!$C$32, $C$9, 100%, $E$9)</f>
        <v>4.5380000000000003</v>
      </c>
      <c r="N141" s="11">
        <f>4.5327 * CHOOSE(CONTROL!$C$32, $C$9, 100%, $E$9)</f>
        <v>4.5327000000000002</v>
      </c>
      <c r="O141" s="11">
        <f>4.538 * CHOOSE(CONTROL!$C$32, $C$9, 100%, $E$9)</f>
        <v>4.5380000000000003</v>
      </c>
      <c r="P141" s="14"/>
      <c r="Q141" s="14"/>
      <c r="R141" s="14"/>
    </row>
    <row r="142" spans="1:18" ht="15" x14ac:dyDescent="0.2">
      <c r="A142" s="13">
        <v>45170</v>
      </c>
      <c r="B142" s="9">
        <f>3.58 * CHOOSE(CONTROL!$C$32, $C$9, 100%, $E$9)</f>
        <v>3.58</v>
      </c>
      <c r="C142" s="9">
        <f>3.58 * CHOOSE(CONTROL!$C$32, $C$9, 100%, $E$9)</f>
        <v>3.58</v>
      </c>
      <c r="D142" s="9">
        <f>3.5816 * CHOOSE(CONTROL!$C$32, $C$9, 100%, $E$9)</f>
        <v>3.5815999999999999</v>
      </c>
      <c r="E142" s="11">
        <f>4.5307 * CHOOSE(CONTROL!$C$32, $C$9, 100%, $E$9)</f>
        <v>4.5307000000000004</v>
      </c>
      <c r="F142" s="11">
        <f>4.5307 * CHOOSE(CONTROL!$C$32, $C$9, 100%, $E$9)</f>
        <v>4.5307000000000004</v>
      </c>
      <c r="G142" s="11">
        <f>4.536 * CHOOSE(CONTROL!$C$32, $C$9, 100%, $E$9)</f>
        <v>4.5359999999999996</v>
      </c>
      <c r="H142" s="11">
        <f>7.2375 * CHOOSE(CONTROL!$C$32, $C$9, 100%, $E$9)</f>
        <v>7.2374999999999998</v>
      </c>
      <c r="I142" s="11">
        <f>7.2427 * CHOOSE(CONTROL!$C$32, $C$9, 100%, $E$9)</f>
        <v>7.2427000000000001</v>
      </c>
      <c r="J142" s="11">
        <f>7.2375 * CHOOSE(CONTROL!$C$32, $C$9, 100%, $E$9)</f>
        <v>7.2374999999999998</v>
      </c>
      <c r="K142" s="11">
        <f>7.2427 * CHOOSE(CONTROL!$C$32, $C$9, 100%, $E$9)</f>
        <v>7.2427000000000001</v>
      </c>
      <c r="L142" s="11">
        <f>4.5307 * CHOOSE(CONTROL!$C$32, $C$9, 100%, $E$9)</f>
        <v>4.5307000000000004</v>
      </c>
      <c r="M142" s="11">
        <f>4.536 * CHOOSE(CONTROL!$C$32, $C$9, 100%, $E$9)</f>
        <v>4.5359999999999996</v>
      </c>
      <c r="N142" s="11">
        <f>4.5307 * CHOOSE(CONTROL!$C$32, $C$9, 100%, $E$9)</f>
        <v>4.5307000000000004</v>
      </c>
      <c r="O142" s="11">
        <f>4.536 * CHOOSE(CONTROL!$C$32, $C$9, 100%, $E$9)</f>
        <v>4.5359999999999996</v>
      </c>
      <c r="P142" s="14"/>
      <c r="Q142" s="14"/>
      <c r="R142" s="14"/>
    </row>
    <row r="143" spans="1:18" ht="15" x14ac:dyDescent="0.2">
      <c r="A143" s="13">
        <v>45200</v>
      </c>
      <c r="B143" s="9">
        <f>3.5736 * CHOOSE(CONTROL!$C$32, $C$9, 100%, $E$9)</f>
        <v>3.5735999999999999</v>
      </c>
      <c r="C143" s="9">
        <f>3.5736 * CHOOSE(CONTROL!$C$32, $C$9, 100%, $E$9)</f>
        <v>3.5735999999999999</v>
      </c>
      <c r="D143" s="9">
        <f>3.5747 * CHOOSE(CONTROL!$C$32, $C$9, 100%, $E$9)</f>
        <v>3.5747</v>
      </c>
      <c r="E143" s="11">
        <f>4.5247 * CHOOSE(CONTROL!$C$32, $C$9, 100%, $E$9)</f>
        <v>4.5247000000000002</v>
      </c>
      <c r="F143" s="11">
        <f>4.5247 * CHOOSE(CONTROL!$C$32, $C$9, 100%, $E$9)</f>
        <v>4.5247000000000002</v>
      </c>
      <c r="G143" s="11">
        <f>4.5283 * CHOOSE(CONTROL!$C$32, $C$9, 100%, $E$9)</f>
        <v>4.5282999999999998</v>
      </c>
      <c r="H143" s="11">
        <f>7.2525 * CHOOSE(CONTROL!$C$32, $C$9, 100%, $E$9)</f>
        <v>7.2525000000000004</v>
      </c>
      <c r="I143" s="11">
        <f>7.2561 * CHOOSE(CONTROL!$C$32, $C$9, 100%, $E$9)</f>
        <v>7.2561</v>
      </c>
      <c r="J143" s="11">
        <f>7.2525 * CHOOSE(CONTROL!$C$32, $C$9, 100%, $E$9)</f>
        <v>7.2525000000000004</v>
      </c>
      <c r="K143" s="11">
        <f>7.2561 * CHOOSE(CONTROL!$C$32, $C$9, 100%, $E$9)</f>
        <v>7.2561</v>
      </c>
      <c r="L143" s="11">
        <f>4.5247 * CHOOSE(CONTROL!$C$32, $C$9, 100%, $E$9)</f>
        <v>4.5247000000000002</v>
      </c>
      <c r="M143" s="11">
        <f>4.5283 * CHOOSE(CONTROL!$C$32, $C$9, 100%, $E$9)</f>
        <v>4.5282999999999998</v>
      </c>
      <c r="N143" s="11">
        <f>4.5247 * CHOOSE(CONTROL!$C$32, $C$9, 100%, $E$9)</f>
        <v>4.5247000000000002</v>
      </c>
      <c r="O143" s="11">
        <f>4.5283 * CHOOSE(CONTROL!$C$32, $C$9, 100%, $E$9)</f>
        <v>4.5282999999999998</v>
      </c>
      <c r="P143" s="14"/>
      <c r="Q143" s="14"/>
      <c r="R143" s="14"/>
    </row>
    <row r="144" spans="1:18" ht="15" x14ac:dyDescent="0.2">
      <c r="A144" s="13">
        <v>45231</v>
      </c>
      <c r="B144" s="9">
        <f>3.5766 * CHOOSE(CONTROL!$C$32, $C$9, 100%, $E$9)</f>
        <v>3.5766</v>
      </c>
      <c r="C144" s="9">
        <f>3.5766 * CHOOSE(CONTROL!$C$32, $C$9, 100%, $E$9)</f>
        <v>3.5766</v>
      </c>
      <c r="D144" s="9">
        <f>3.5777 * CHOOSE(CONTROL!$C$32, $C$9, 100%, $E$9)</f>
        <v>3.5777000000000001</v>
      </c>
      <c r="E144" s="11">
        <f>4.5267 * CHOOSE(CONTROL!$C$32, $C$9, 100%, $E$9)</f>
        <v>4.5266999999999999</v>
      </c>
      <c r="F144" s="11">
        <f>4.5267 * CHOOSE(CONTROL!$C$32, $C$9, 100%, $E$9)</f>
        <v>4.5266999999999999</v>
      </c>
      <c r="G144" s="11">
        <f>4.5303 * CHOOSE(CONTROL!$C$32, $C$9, 100%, $E$9)</f>
        <v>4.5303000000000004</v>
      </c>
      <c r="H144" s="11">
        <f>7.2676 * CHOOSE(CONTROL!$C$32, $C$9, 100%, $E$9)</f>
        <v>7.2675999999999998</v>
      </c>
      <c r="I144" s="11">
        <f>7.2713 * CHOOSE(CONTROL!$C$32, $C$9, 100%, $E$9)</f>
        <v>7.2713000000000001</v>
      </c>
      <c r="J144" s="11">
        <f>7.2676 * CHOOSE(CONTROL!$C$32, $C$9, 100%, $E$9)</f>
        <v>7.2675999999999998</v>
      </c>
      <c r="K144" s="11">
        <f>7.2713 * CHOOSE(CONTROL!$C$32, $C$9, 100%, $E$9)</f>
        <v>7.2713000000000001</v>
      </c>
      <c r="L144" s="11">
        <f>4.5267 * CHOOSE(CONTROL!$C$32, $C$9, 100%, $E$9)</f>
        <v>4.5266999999999999</v>
      </c>
      <c r="M144" s="11">
        <f>4.5303 * CHOOSE(CONTROL!$C$32, $C$9, 100%, $E$9)</f>
        <v>4.5303000000000004</v>
      </c>
      <c r="N144" s="11">
        <f>4.5267 * CHOOSE(CONTROL!$C$32, $C$9, 100%, $E$9)</f>
        <v>4.5266999999999999</v>
      </c>
      <c r="O144" s="11">
        <f>4.5303 * CHOOSE(CONTROL!$C$32, $C$9, 100%, $E$9)</f>
        <v>4.5303000000000004</v>
      </c>
      <c r="P144" s="14"/>
      <c r="Q144" s="14"/>
      <c r="R144" s="14"/>
    </row>
    <row r="145" spans="1:18" ht="15" x14ac:dyDescent="0.2">
      <c r="A145" s="13">
        <v>45261</v>
      </c>
      <c r="B145" s="9">
        <f>3.5766 * CHOOSE(CONTROL!$C$32, $C$9, 100%, $E$9)</f>
        <v>3.5766</v>
      </c>
      <c r="C145" s="9">
        <f>3.5766 * CHOOSE(CONTROL!$C$32, $C$9, 100%, $E$9)</f>
        <v>3.5766</v>
      </c>
      <c r="D145" s="9">
        <f>3.5777 * CHOOSE(CONTROL!$C$32, $C$9, 100%, $E$9)</f>
        <v>3.5777000000000001</v>
      </c>
      <c r="E145" s="11">
        <f>4.5267 * CHOOSE(CONTROL!$C$32, $C$9, 100%, $E$9)</f>
        <v>4.5266999999999999</v>
      </c>
      <c r="F145" s="11">
        <f>4.5267 * CHOOSE(CONTROL!$C$32, $C$9, 100%, $E$9)</f>
        <v>4.5266999999999999</v>
      </c>
      <c r="G145" s="11">
        <f>4.5303 * CHOOSE(CONTROL!$C$32, $C$9, 100%, $E$9)</f>
        <v>4.5303000000000004</v>
      </c>
      <c r="H145" s="11">
        <f>7.2828 * CHOOSE(CONTROL!$C$32, $C$9, 100%, $E$9)</f>
        <v>7.2827999999999999</v>
      </c>
      <c r="I145" s="11">
        <f>7.2864 * CHOOSE(CONTROL!$C$32, $C$9, 100%, $E$9)</f>
        <v>7.2864000000000004</v>
      </c>
      <c r="J145" s="11">
        <f>7.2828 * CHOOSE(CONTROL!$C$32, $C$9, 100%, $E$9)</f>
        <v>7.2827999999999999</v>
      </c>
      <c r="K145" s="11">
        <f>7.2864 * CHOOSE(CONTROL!$C$32, $C$9, 100%, $E$9)</f>
        <v>7.2864000000000004</v>
      </c>
      <c r="L145" s="11">
        <f>4.5267 * CHOOSE(CONTROL!$C$32, $C$9, 100%, $E$9)</f>
        <v>4.5266999999999999</v>
      </c>
      <c r="M145" s="11">
        <f>4.5303 * CHOOSE(CONTROL!$C$32, $C$9, 100%, $E$9)</f>
        <v>4.5303000000000004</v>
      </c>
      <c r="N145" s="11">
        <f>4.5267 * CHOOSE(CONTROL!$C$32, $C$9, 100%, $E$9)</f>
        <v>4.5266999999999999</v>
      </c>
      <c r="O145" s="11">
        <f>4.5303 * CHOOSE(CONTROL!$C$32, $C$9, 100%, $E$9)</f>
        <v>4.5303000000000004</v>
      </c>
      <c r="P145" s="14"/>
      <c r="Q145" s="14"/>
      <c r="R145" s="14"/>
    </row>
    <row r="146" spans="1:18" ht="15" x14ac:dyDescent="0.2">
      <c r="A146" s="13">
        <v>45292</v>
      </c>
      <c r="B146" s="9">
        <f>3.6058 * CHOOSE(CONTROL!$C$32, $C$9, 100%, $E$9)</f>
        <v>3.6057999999999999</v>
      </c>
      <c r="C146" s="9">
        <f>3.6058 * CHOOSE(CONTROL!$C$32, $C$9, 100%, $E$9)</f>
        <v>3.6057999999999999</v>
      </c>
      <c r="D146" s="9">
        <f>3.6069 * CHOOSE(CONTROL!$C$32, $C$9, 100%, $E$9)</f>
        <v>3.6069</v>
      </c>
      <c r="E146" s="11">
        <f>4.5664 * CHOOSE(CONTROL!$C$32, $C$9, 100%, $E$9)</f>
        <v>4.5663999999999998</v>
      </c>
      <c r="F146" s="11">
        <f>4.5664 * CHOOSE(CONTROL!$C$32, $C$9, 100%, $E$9)</f>
        <v>4.5663999999999998</v>
      </c>
      <c r="G146" s="11">
        <f>4.57 * CHOOSE(CONTROL!$C$32, $C$9, 100%, $E$9)</f>
        <v>4.57</v>
      </c>
      <c r="H146" s="11">
        <f>7.298 * CHOOSE(CONTROL!$C$32, $C$9, 100%, $E$9)</f>
        <v>7.298</v>
      </c>
      <c r="I146" s="11">
        <f>7.3016 * CHOOSE(CONTROL!$C$32, $C$9, 100%, $E$9)</f>
        <v>7.3015999999999996</v>
      </c>
      <c r="J146" s="11">
        <f>7.298 * CHOOSE(CONTROL!$C$32, $C$9, 100%, $E$9)</f>
        <v>7.298</v>
      </c>
      <c r="K146" s="11">
        <f>7.3016 * CHOOSE(CONTROL!$C$32, $C$9, 100%, $E$9)</f>
        <v>7.3015999999999996</v>
      </c>
      <c r="L146" s="11">
        <f>4.5664 * CHOOSE(CONTROL!$C$32, $C$9, 100%, $E$9)</f>
        <v>4.5663999999999998</v>
      </c>
      <c r="M146" s="11">
        <f>4.57 * CHOOSE(CONTROL!$C$32, $C$9, 100%, $E$9)</f>
        <v>4.57</v>
      </c>
      <c r="N146" s="11">
        <f>4.5664 * CHOOSE(CONTROL!$C$32, $C$9, 100%, $E$9)</f>
        <v>4.5663999999999998</v>
      </c>
      <c r="O146" s="11">
        <f>4.57 * CHOOSE(CONTROL!$C$32, $C$9, 100%, $E$9)</f>
        <v>4.57</v>
      </c>
      <c r="P146" s="14"/>
      <c r="Q146" s="14"/>
      <c r="R146" s="14"/>
    </row>
    <row r="147" spans="1:18" ht="15" x14ac:dyDescent="0.2">
      <c r="A147" s="13">
        <v>45323</v>
      </c>
      <c r="B147" s="9">
        <f>3.6028 * CHOOSE(CONTROL!$C$32, $C$9, 100%, $E$9)</f>
        <v>3.6027999999999998</v>
      </c>
      <c r="C147" s="9">
        <f>3.6028 * CHOOSE(CONTROL!$C$32, $C$9, 100%, $E$9)</f>
        <v>3.6027999999999998</v>
      </c>
      <c r="D147" s="9">
        <f>3.6038 * CHOOSE(CONTROL!$C$32, $C$9, 100%, $E$9)</f>
        <v>3.6038000000000001</v>
      </c>
      <c r="E147" s="11">
        <f>4.5644 * CHOOSE(CONTROL!$C$32, $C$9, 100%, $E$9)</f>
        <v>4.5644</v>
      </c>
      <c r="F147" s="11">
        <f>4.5644 * CHOOSE(CONTROL!$C$32, $C$9, 100%, $E$9)</f>
        <v>4.5644</v>
      </c>
      <c r="G147" s="11">
        <f>4.568 * CHOOSE(CONTROL!$C$32, $C$9, 100%, $E$9)</f>
        <v>4.5679999999999996</v>
      </c>
      <c r="H147" s="11">
        <f>7.3132 * CHOOSE(CONTROL!$C$32, $C$9, 100%, $E$9)</f>
        <v>7.3132000000000001</v>
      </c>
      <c r="I147" s="11">
        <f>7.3168 * CHOOSE(CONTROL!$C$32, $C$9, 100%, $E$9)</f>
        <v>7.3167999999999997</v>
      </c>
      <c r="J147" s="11">
        <f>7.3132 * CHOOSE(CONTROL!$C$32, $C$9, 100%, $E$9)</f>
        <v>7.3132000000000001</v>
      </c>
      <c r="K147" s="11">
        <f>7.3168 * CHOOSE(CONTROL!$C$32, $C$9, 100%, $E$9)</f>
        <v>7.3167999999999997</v>
      </c>
      <c r="L147" s="11">
        <f>4.5644 * CHOOSE(CONTROL!$C$32, $C$9, 100%, $E$9)</f>
        <v>4.5644</v>
      </c>
      <c r="M147" s="11">
        <f>4.568 * CHOOSE(CONTROL!$C$32, $C$9, 100%, $E$9)</f>
        <v>4.5679999999999996</v>
      </c>
      <c r="N147" s="11">
        <f>4.5644 * CHOOSE(CONTROL!$C$32, $C$9, 100%, $E$9)</f>
        <v>4.5644</v>
      </c>
      <c r="O147" s="11">
        <f>4.568 * CHOOSE(CONTROL!$C$32, $C$9, 100%, $E$9)</f>
        <v>4.5679999999999996</v>
      </c>
      <c r="P147" s="14"/>
      <c r="Q147" s="14"/>
      <c r="R147" s="14"/>
    </row>
    <row r="148" spans="1:18" ht="15" x14ac:dyDescent="0.2">
      <c r="A148" s="13">
        <v>45352</v>
      </c>
      <c r="B148" s="9">
        <f>3.5997 * CHOOSE(CONTROL!$C$32, $C$9, 100%, $E$9)</f>
        <v>3.5996999999999999</v>
      </c>
      <c r="C148" s="9">
        <f>3.5997 * CHOOSE(CONTROL!$C$32, $C$9, 100%, $E$9)</f>
        <v>3.5996999999999999</v>
      </c>
      <c r="D148" s="9">
        <f>3.6008 * CHOOSE(CONTROL!$C$32, $C$9, 100%, $E$9)</f>
        <v>3.6008</v>
      </c>
      <c r="E148" s="11">
        <f>4.5624 * CHOOSE(CONTROL!$C$32, $C$9, 100%, $E$9)</f>
        <v>4.5624000000000002</v>
      </c>
      <c r="F148" s="11">
        <f>4.5624 * CHOOSE(CONTROL!$C$32, $C$9, 100%, $E$9)</f>
        <v>4.5624000000000002</v>
      </c>
      <c r="G148" s="11">
        <f>4.566 * CHOOSE(CONTROL!$C$32, $C$9, 100%, $E$9)</f>
        <v>4.5659999999999998</v>
      </c>
      <c r="H148" s="11">
        <f>7.3284 * CHOOSE(CONTROL!$C$32, $C$9, 100%, $E$9)</f>
        <v>7.3284000000000002</v>
      </c>
      <c r="I148" s="11">
        <f>7.332 * CHOOSE(CONTROL!$C$32, $C$9, 100%, $E$9)</f>
        <v>7.3319999999999999</v>
      </c>
      <c r="J148" s="11">
        <f>7.3284 * CHOOSE(CONTROL!$C$32, $C$9, 100%, $E$9)</f>
        <v>7.3284000000000002</v>
      </c>
      <c r="K148" s="11">
        <f>7.332 * CHOOSE(CONTROL!$C$32, $C$9, 100%, $E$9)</f>
        <v>7.3319999999999999</v>
      </c>
      <c r="L148" s="11">
        <f>4.5624 * CHOOSE(CONTROL!$C$32, $C$9, 100%, $E$9)</f>
        <v>4.5624000000000002</v>
      </c>
      <c r="M148" s="11">
        <f>4.566 * CHOOSE(CONTROL!$C$32, $C$9, 100%, $E$9)</f>
        <v>4.5659999999999998</v>
      </c>
      <c r="N148" s="11">
        <f>4.5624 * CHOOSE(CONTROL!$C$32, $C$9, 100%, $E$9)</f>
        <v>4.5624000000000002</v>
      </c>
      <c r="O148" s="11">
        <f>4.566 * CHOOSE(CONTROL!$C$32, $C$9, 100%, $E$9)</f>
        <v>4.5659999999999998</v>
      </c>
      <c r="P148" s="14"/>
      <c r="Q148" s="14"/>
      <c r="R148" s="14"/>
    </row>
    <row r="149" spans="1:18" ht="15" x14ac:dyDescent="0.2">
      <c r="A149" s="13">
        <v>45383</v>
      </c>
      <c r="B149" s="9">
        <f>3.597 * CHOOSE(CONTROL!$C$32, $C$9, 100%, $E$9)</f>
        <v>3.597</v>
      </c>
      <c r="C149" s="9">
        <f>3.597 * CHOOSE(CONTROL!$C$32, $C$9, 100%, $E$9)</f>
        <v>3.597</v>
      </c>
      <c r="D149" s="9">
        <f>3.5981 * CHOOSE(CONTROL!$C$32, $C$9, 100%, $E$9)</f>
        <v>3.5981000000000001</v>
      </c>
      <c r="E149" s="11">
        <f>4.5602 * CHOOSE(CONTROL!$C$32, $C$9, 100%, $E$9)</f>
        <v>4.5602</v>
      </c>
      <c r="F149" s="11">
        <f>4.5602 * CHOOSE(CONTROL!$C$32, $C$9, 100%, $E$9)</f>
        <v>4.5602</v>
      </c>
      <c r="G149" s="11">
        <f>4.5638 * CHOOSE(CONTROL!$C$32, $C$9, 100%, $E$9)</f>
        <v>4.5637999999999996</v>
      </c>
      <c r="H149" s="11">
        <f>7.3437 * CHOOSE(CONTROL!$C$32, $C$9, 100%, $E$9)</f>
        <v>7.3437000000000001</v>
      </c>
      <c r="I149" s="11">
        <f>7.3473 * CHOOSE(CONTROL!$C$32, $C$9, 100%, $E$9)</f>
        <v>7.3472999999999997</v>
      </c>
      <c r="J149" s="11">
        <f>7.3437 * CHOOSE(CONTROL!$C$32, $C$9, 100%, $E$9)</f>
        <v>7.3437000000000001</v>
      </c>
      <c r="K149" s="11">
        <f>7.3473 * CHOOSE(CONTROL!$C$32, $C$9, 100%, $E$9)</f>
        <v>7.3472999999999997</v>
      </c>
      <c r="L149" s="11">
        <f>4.5602 * CHOOSE(CONTROL!$C$32, $C$9, 100%, $E$9)</f>
        <v>4.5602</v>
      </c>
      <c r="M149" s="11">
        <f>4.5638 * CHOOSE(CONTROL!$C$32, $C$9, 100%, $E$9)</f>
        <v>4.5637999999999996</v>
      </c>
      <c r="N149" s="11">
        <f>4.5602 * CHOOSE(CONTROL!$C$32, $C$9, 100%, $E$9)</f>
        <v>4.5602</v>
      </c>
      <c r="O149" s="11">
        <f>4.5638 * CHOOSE(CONTROL!$C$32, $C$9, 100%, $E$9)</f>
        <v>4.5637999999999996</v>
      </c>
      <c r="P149" s="14"/>
      <c r="Q149" s="14"/>
      <c r="R149" s="14"/>
    </row>
    <row r="150" spans="1:18" ht="15" x14ac:dyDescent="0.2">
      <c r="A150" s="13">
        <v>45413</v>
      </c>
      <c r="B150" s="9">
        <f>3.597 * CHOOSE(CONTROL!$C$32, $C$9, 100%, $E$9)</f>
        <v>3.597</v>
      </c>
      <c r="C150" s="9">
        <f>3.597 * CHOOSE(CONTROL!$C$32, $C$9, 100%, $E$9)</f>
        <v>3.597</v>
      </c>
      <c r="D150" s="9">
        <f>3.5986 * CHOOSE(CONTROL!$C$32, $C$9, 100%, $E$9)</f>
        <v>3.5985999999999998</v>
      </c>
      <c r="E150" s="11">
        <f>4.5602 * CHOOSE(CONTROL!$C$32, $C$9, 100%, $E$9)</f>
        <v>4.5602</v>
      </c>
      <c r="F150" s="11">
        <f>4.5602 * CHOOSE(CONTROL!$C$32, $C$9, 100%, $E$9)</f>
        <v>4.5602</v>
      </c>
      <c r="G150" s="11">
        <f>4.5654 * CHOOSE(CONTROL!$C$32, $C$9, 100%, $E$9)</f>
        <v>4.5654000000000003</v>
      </c>
      <c r="H150" s="11">
        <f>7.359 * CHOOSE(CONTROL!$C$32, $C$9, 100%, $E$9)</f>
        <v>7.359</v>
      </c>
      <c r="I150" s="11">
        <f>7.3643 * CHOOSE(CONTROL!$C$32, $C$9, 100%, $E$9)</f>
        <v>7.3643000000000001</v>
      </c>
      <c r="J150" s="11">
        <f>7.359 * CHOOSE(CONTROL!$C$32, $C$9, 100%, $E$9)</f>
        <v>7.359</v>
      </c>
      <c r="K150" s="11">
        <f>7.3643 * CHOOSE(CONTROL!$C$32, $C$9, 100%, $E$9)</f>
        <v>7.3643000000000001</v>
      </c>
      <c r="L150" s="11">
        <f>4.5602 * CHOOSE(CONTROL!$C$32, $C$9, 100%, $E$9)</f>
        <v>4.5602</v>
      </c>
      <c r="M150" s="11">
        <f>4.5654 * CHOOSE(CONTROL!$C$32, $C$9, 100%, $E$9)</f>
        <v>4.5654000000000003</v>
      </c>
      <c r="N150" s="11">
        <f>4.5602 * CHOOSE(CONTROL!$C$32, $C$9, 100%, $E$9)</f>
        <v>4.5602</v>
      </c>
      <c r="O150" s="11">
        <f>4.5654 * CHOOSE(CONTROL!$C$32, $C$9, 100%, $E$9)</f>
        <v>4.5654000000000003</v>
      </c>
      <c r="P150" s="14"/>
      <c r="Q150" s="14"/>
      <c r="R150" s="14"/>
    </row>
    <row r="151" spans="1:18" ht="15" x14ac:dyDescent="0.2">
      <c r="A151" s="13">
        <v>45444</v>
      </c>
      <c r="B151" s="9">
        <f>3.6031 * CHOOSE(CONTROL!$C$32, $C$9, 100%, $E$9)</f>
        <v>3.6031</v>
      </c>
      <c r="C151" s="9">
        <f>3.6031 * CHOOSE(CONTROL!$C$32, $C$9, 100%, $E$9)</f>
        <v>3.6031</v>
      </c>
      <c r="D151" s="9">
        <f>3.6047 * CHOOSE(CONTROL!$C$32, $C$9, 100%, $E$9)</f>
        <v>3.6046999999999998</v>
      </c>
      <c r="E151" s="11">
        <f>4.5642 * CHOOSE(CONTROL!$C$32, $C$9, 100%, $E$9)</f>
        <v>4.5641999999999996</v>
      </c>
      <c r="F151" s="11">
        <f>4.5642 * CHOOSE(CONTROL!$C$32, $C$9, 100%, $E$9)</f>
        <v>4.5641999999999996</v>
      </c>
      <c r="G151" s="11">
        <f>4.5694 * CHOOSE(CONTROL!$C$32, $C$9, 100%, $E$9)</f>
        <v>4.5693999999999999</v>
      </c>
      <c r="H151" s="11">
        <f>7.3743 * CHOOSE(CONTROL!$C$32, $C$9, 100%, $E$9)</f>
        <v>7.3742999999999999</v>
      </c>
      <c r="I151" s="11">
        <f>7.3796 * CHOOSE(CONTROL!$C$32, $C$9, 100%, $E$9)</f>
        <v>7.3795999999999999</v>
      </c>
      <c r="J151" s="11">
        <f>7.3743 * CHOOSE(CONTROL!$C$32, $C$9, 100%, $E$9)</f>
        <v>7.3742999999999999</v>
      </c>
      <c r="K151" s="11">
        <f>7.3796 * CHOOSE(CONTROL!$C$32, $C$9, 100%, $E$9)</f>
        <v>7.3795999999999999</v>
      </c>
      <c r="L151" s="11">
        <f>4.5642 * CHOOSE(CONTROL!$C$32, $C$9, 100%, $E$9)</f>
        <v>4.5641999999999996</v>
      </c>
      <c r="M151" s="11">
        <f>4.5694 * CHOOSE(CONTROL!$C$32, $C$9, 100%, $E$9)</f>
        <v>4.5693999999999999</v>
      </c>
      <c r="N151" s="11">
        <f>4.5642 * CHOOSE(CONTROL!$C$32, $C$9, 100%, $E$9)</f>
        <v>4.5641999999999996</v>
      </c>
      <c r="O151" s="11">
        <f>4.5694 * CHOOSE(CONTROL!$C$32, $C$9, 100%, $E$9)</f>
        <v>4.5693999999999999</v>
      </c>
      <c r="P151" s="14"/>
      <c r="Q151" s="14"/>
      <c r="R151" s="14"/>
    </row>
    <row r="152" spans="1:18" ht="15" x14ac:dyDescent="0.2">
      <c r="A152" s="13">
        <v>45474</v>
      </c>
      <c r="B152" s="9">
        <f>3.6559 * CHOOSE(CONTROL!$C$32, $C$9, 100%, $E$9)</f>
        <v>3.6558999999999999</v>
      </c>
      <c r="C152" s="9">
        <f>3.6559 * CHOOSE(CONTROL!$C$32, $C$9, 100%, $E$9)</f>
        <v>3.6558999999999999</v>
      </c>
      <c r="D152" s="9">
        <f>3.6575 * CHOOSE(CONTROL!$C$32, $C$9, 100%, $E$9)</f>
        <v>3.6575000000000002</v>
      </c>
      <c r="E152" s="11">
        <f>4.6521 * CHOOSE(CONTROL!$C$32, $C$9, 100%, $E$9)</f>
        <v>4.6520999999999999</v>
      </c>
      <c r="F152" s="11">
        <f>4.6521 * CHOOSE(CONTROL!$C$32, $C$9, 100%, $E$9)</f>
        <v>4.6520999999999999</v>
      </c>
      <c r="G152" s="11">
        <f>4.6574 * CHOOSE(CONTROL!$C$32, $C$9, 100%, $E$9)</f>
        <v>4.6574</v>
      </c>
      <c r="H152" s="11">
        <f>7.3897 * CHOOSE(CONTROL!$C$32, $C$9, 100%, $E$9)</f>
        <v>7.3897000000000004</v>
      </c>
      <c r="I152" s="11">
        <f>7.3949 * CHOOSE(CONTROL!$C$32, $C$9, 100%, $E$9)</f>
        <v>7.3948999999999998</v>
      </c>
      <c r="J152" s="11">
        <f>7.3897 * CHOOSE(CONTROL!$C$32, $C$9, 100%, $E$9)</f>
        <v>7.3897000000000004</v>
      </c>
      <c r="K152" s="11">
        <f>7.3949 * CHOOSE(CONTROL!$C$32, $C$9, 100%, $E$9)</f>
        <v>7.3948999999999998</v>
      </c>
      <c r="L152" s="11">
        <f>4.6521 * CHOOSE(CONTROL!$C$32, $C$9, 100%, $E$9)</f>
        <v>4.6520999999999999</v>
      </c>
      <c r="M152" s="11">
        <f>4.6574 * CHOOSE(CONTROL!$C$32, $C$9, 100%, $E$9)</f>
        <v>4.6574</v>
      </c>
      <c r="N152" s="11">
        <f>4.6521 * CHOOSE(CONTROL!$C$32, $C$9, 100%, $E$9)</f>
        <v>4.6520999999999999</v>
      </c>
      <c r="O152" s="11">
        <f>4.6574 * CHOOSE(CONTROL!$C$32, $C$9, 100%, $E$9)</f>
        <v>4.6574</v>
      </c>
      <c r="P152" s="14"/>
      <c r="Q152" s="14"/>
      <c r="R152" s="14"/>
    </row>
    <row r="153" spans="1:18" ht="15" x14ac:dyDescent="0.2">
      <c r="A153" s="13">
        <v>45505</v>
      </c>
      <c r="B153" s="9">
        <f>3.6626 * CHOOSE(CONTROL!$C$32, $C$9, 100%, $E$9)</f>
        <v>3.6625999999999999</v>
      </c>
      <c r="C153" s="9">
        <f>3.6626 * CHOOSE(CONTROL!$C$32, $C$9, 100%, $E$9)</f>
        <v>3.6625999999999999</v>
      </c>
      <c r="D153" s="9">
        <f>3.6642 * CHOOSE(CONTROL!$C$32, $C$9, 100%, $E$9)</f>
        <v>3.6642000000000001</v>
      </c>
      <c r="E153" s="11">
        <f>4.6565 * CHOOSE(CONTROL!$C$32, $C$9, 100%, $E$9)</f>
        <v>4.6565000000000003</v>
      </c>
      <c r="F153" s="11">
        <f>4.6565 * CHOOSE(CONTROL!$C$32, $C$9, 100%, $E$9)</f>
        <v>4.6565000000000003</v>
      </c>
      <c r="G153" s="11">
        <f>4.6618 * CHOOSE(CONTROL!$C$32, $C$9, 100%, $E$9)</f>
        <v>4.6618000000000004</v>
      </c>
      <c r="H153" s="11">
        <f>7.405 * CHOOSE(CONTROL!$C$32, $C$9, 100%, $E$9)</f>
        <v>7.4050000000000002</v>
      </c>
      <c r="I153" s="11">
        <f>7.4103 * CHOOSE(CONTROL!$C$32, $C$9, 100%, $E$9)</f>
        <v>7.4103000000000003</v>
      </c>
      <c r="J153" s="11">
        <f>7.405 * CHOOSE(CONTROL!$C$32, $C$9, 100%, $E$9)</f>
        <v>7.4050000000000002</v>
      </c>
      <c r="K153" s="11">
        <f>7.4103 * CHOOSE(CONTROL!$C$32, $C$9, 100%, $E$9)</f>
        <v>7.4103000000000003</v>
      </c>
      <c r="L153" s="11">
        <f>4.6565 * CHOOSE(CONTROL!$C$32, $C$9, 100%, $E$9)</f>
        <v>4.6565000000000003</v>
      </c>
      <c r="M153" s="11">
        <f>4.6618 * CHOOSE(CONTROL!$C$32, $C$9, 100%, $E$9)</f>
        <v>4.6618000000000004</v>
      </c>
      <c r="N153" s="11">
        <f>4.6565 * CHOOSE(CONTROL!$C$32, $C$9, 100%, $E$9)</f>
        <v>4.6565000000000003</v>
      </c>
      <c r="O153" s="11">
        <f>4.6618 * CHOOSE(CONTROL!$C$32, $C$9, 100%, $E$9)</f>
        <v>4.6618000000000004</v>
      </c>
      <c r="P153" s="14"/>
      <c r="Q153" s="14"/>
      <c r="R153" s="14"/>
    </row>
    <row r="154" spans="1:18" ht="15" x14ac:dyDescent="0.2">
      <c r="A154" s="13">
        <v>45536</v>
      </c>
      <c r="B154" s="9">
        <f>3.6595 * CHOOSE(CONTROL!$C$32, $C$9, 100%, $E$9)</f>
        <v>3.6595</v>
      </c>
      <c r="C154" s="9">
        <f>3.6595 * CHOOSE(CONTROL!$C$32, $C$9, 100%, $E$9)</f>
        <v>3.6595</v>
      </c>
      <c r="D154" s="9">
        <f>3.6611 * CHOOSE(CONTROL!$C$32, $C$9, 100%, $E$9)</f>
        <v>3.6610999999999998</v>
      </c>
      <c r="E154" s="11">
        <f>4.6545 * CHOOSE(CONTROL!$C$32, $C$9, 100%, $E$9)</f>
        <v>4.6544999999999996</v>
      </c>
      <c r="F154" s="11">
        <f>4.6545 * CHOOSE(CONTROL!$C$32, $C$9, 100%, $E$9)</f>
        <v>4.6544999999999996</v>
      </c>
      <c r="G154" s="11">
        <f>4.6598 * CHOOSE(CONTROL!$C$32, $C$9, 100%, $E$9)</f>
        <v>4.6597999999999997</v>
      </c>
      <c r="H154" s="11">
        <f>7.4205 * CHOOSE(CONTROL!$C$32, $C$9, 100%, $E$9)</f>
        <v>7.4204999999999997</v>
      </c>
      <c r="I154" s="11">
        <f>7.4258 * CHOOSE(CONTROL!$C$32, $C$9, 100%, $E$9)</f>
        <v>7.4257999999999997</v>
      </c>
      <c r="J154" s="11">
        <f>7.4205 * CHOOSE(CONTROL!$C$32, $C$9, 100%, $E$9)</f>
        <v>7.4204999999999997</v>
      </c>
      <c r="K154" s="11">
        <f>7.4258 * CHOOSE(CONTROL!$C$32, $C$9, 100%, $E$9)</f>
        <v>7.4257999999999997</v>
      </c>
      <c r="L154" s="11">
        <f>4.6545 * CHOOSE(CONTROL!$C$32, $C$9, 100%, $E$9)</f>
        <v>4.6544999999999996</v>
      </c>
      <c r="M154" s="11">
        <f>4.6598 * CHOOSE(CONTROL!$C$32, $C$9, 100%, $E$9)</f>
        <v>4.6597999999999997</v>
      </c>
      <c r="N154" s="11">
        <f>4.6545 * CHOOSE(CONTROL!$C$32, $C$9, 100%, $E$9)</f>
        <v>4.6544999999999996</v>
      </c>
      <c r="O154" s="11">
        <f>4.6598 * CHOOSE(CONTROL!$C$32, $C$9, 100%, $E$9)</f>
        <v>4.6597999999999997</v>
      </c>
      <c r="P154" s="14"/>
      <c r="Q154" s="14"/>
      <c r="R154" s="14"/>
    </row>
    <row r="155" spans="1:18" ht="15" x14ac:dyDescent="0.2">
      <c r="A155" s="13">
        <v>45566</v>
      </c>
      <c r="B155" s="9">
        <f>3.6534 * CHOOSE(CONTROL!$C$32, $C$9, 100%, $E$9)</f>
        <v>3.6534</v>
      </c>
      <c r="C155" s="9">
        <f>3.6534 * CHOOSE(CONTROL!$C$32, $C$9, 100%, $E$9)</f>
        <v>3.6534</v>
      </c>
      <c r="D155" s="9">
        <f>3.6545 * CHOOSE(CONTROL!$C$32, $C$9, 100%, $E$9)</f>
        <v>3.6545000000000001</v>
      </c>
      <c r="E155" s="11">
        <f>4.6486 * CHOOSE(CONTROL!$C$32, $C$9, 100%, $E$9)</f>
        <v>4.6486000000000001</v>
      </c>
      <c r="F155" s="11">
        <f>4.6486 * CHOOSE(CONTROL!$C$32, $C$9, 100%, $E$9)</f>
        <v>4.6486000000000001</v>
      </c>
      <c r="G155" s="11">
        <f>4.6522 * CHOOSE(CONTROL!$C$32, $C$9, 100%, $E$9)</f>
        <v>4.6521999999999997</v>
      </c>
      <c r="H155" s="11">
        <f>7.4359 * CHOOSE(CONTROL!$C$32, $C$9, 100%, $E$9)</f>
        <v>7.4359000000000002</v>
      </c>
      <c r="I155" s="11">
        <f>7.4396 * CHOOSE(CONTROL!$C$32, $C$9, 100%, $E$9)</f>
        <v>7.4396000000000004</v>
      </c>
      <c r="J155" s="11">
        <f>7.4359 * CHOOSE(CONTROL!$C$32, $C$9, 100%, $E$9)</f>
        <v>7.4359000000000002</v>
      </c>
      <c r="K155" s="11">
        <f>7.4396 * CHOOSE(CONTROL!$C$32, $C$9, 100%, $E$9)</f>
        <v>7.4396000000000004</v>
      </c>
      <c r="L155" s="11">
        <f>4.6486 * CHOOSE(CONTROL!$C$32, $C$9, 100%, $E$9)</f>
        <v>4.6486000000000001</v>
      </c>
      <c r="M155" s="11">
        <f>4.6522 * CHOOSE(CONTROL!$C$32, $C$9, 100%, $E$9)</f>
        <v>4.6521999999999997</v>
      </c>
      <c r="N155" s="11">
        <f>4.6486 * CHOOSE(CONTROL!$C$32, $C$9, 100%, $E$9)</f>
        <v>4.6486000000000001</v>
      </c>
      <c r="O155" s="11">
        <f>4.6522 * CHOOSE(CONTROL!$C$32, $C$9, 100%, $E$9)</f>
        <v>4.6521999999999997</v>
      </c>
      <c r="P155" s="14"/>
      <c r="Q155" s="14"/>
      <c r="R155" s="14"/>
    </row>
    <row r="156" spans="1:18" ht="15" x14ac:dyDescent="0.2">
      <c r="A156" s="13">
        <v>45597</v>
      </c>
      <c r="B156" s="9">
        <f>3.6565 * CHOOSE(CONTROL!$C$32, $C$9, 100%, $E$9)</f>
        <v>3.6564999999999999</v>
      </c>
      <c r="C156" s="9">
        <f>3.6565 * CHOOSE(CONTROL!$C$32, $C$9, 100%, $E$9)</f>
        <v>3.6564999999999999</v>
      </c>
      <c r="D156" s="9">
        <f>3.6576 * CHOOSE(CONTROL!$C$32, $C$9, 100%, $E$9)</f>
        <v>3.6576</v>
      </c>
      <c r="E156" s="11">
        <f>4.6506 * CHOOSE(CONTROL!$C$32, $C$9, 100%, $E$9)</f>
        <v>4.6505999999999998</v>
      </c>
      <c r="F156" s="11">
        <f>4.6506 * CHOOSE(CONTROL!$C$32, $C$9, 100%, $E$9)</f>
        <v>4.6505999999999998</v>
      </c>
      <c r="G156" s="11">
        <f>4.6542 * CHOOSE(CONTROL!$C$32, $C$9, 100%, $E$9)</f>
        <v>4.6542000000000003</v>
      </c>
      <c r="H156" s="11">
        <f>7.4514 * CHOOSE(CONTROL!$C$32, $C$9, 100%, $E$9)</f>
        <v>7.4513999999999996</v>
      </c>
      <c r="I156" s="11">
        <f>7.455 * CHOOSE(CONTROL!$C$32, $C$9, 100%, $E$9)</f>
        <v>7.4550000000000001</v>
      </c>
      <c r="J156" s="11">
        <f>7.4514 * CHOOSE(CONTROL!$C$32, $C$9, 100%, $E$9)</f>
        <v>7.4513999999999996</v>
      </c>
      <c r="K156" s="11">
        <f>7.455 * CHOOSE(CONTROL!$C$32, $C$9, 100%, $E$9)</f>
        <v>7.4550000000000001</v>
      </c>
      <c r="L156" s="11">
        <f>4.6506 * CHOOSE(CONTROL!$C$32, $C$9, 100%, $E$9)</f>
        <v>4.6505999999999998</v>
      </c>
      <c r="M156" s="11">
        <f>4.6542 * CHOOSE(CONTROL!$C$32, $C$9, 100%, $E$9)</f>
        <v>4.6542000000000003</v>
      </c>
      <c r="N156" s="11">
        <f>4.6506 * CHOOSE(CONTROL!$C$32, $C$9, 100%, $E$9)</f>
        <v>4.6505999999999998</v>
      </c>
      <c r="O156" s="11">
        <f>4.6542 * CHOOSE(CONTROL!$C$32, $C$9, 100%, $E$9)</f>
        <v>4.6542000000000003</v>
      </c>
      <c r="P156" s="14"/>
      <c r="Q156" s="14"/>
      <c r="R156" s="14"/>
    </row>
    <row r="157" spans="1:18" ht="15" x14ac:dyDescent="0.2">
      <c r="A157" s="13">
        <v>45627</v>
      </c>
      <c r="B157" s="9">
        <f>3.6565 * CHOOSE(CONTROL!$C$32, $C$9, 100%, $E$9)</f>
        <v>3.6564999999999999</v>
      </c>
      <c r="C157" s="9">
        <f>3.6565 * CHOOSE(CONTROL!$C$32, $C$9, 100%, $E$9)</f>
        <v>3.6564999999999999</v>
      </c>
      <c r="D157" s="9">
        <f>3.6576 * CHOOSE(CONTROL!$C$32, $C$9, 100%, $E$9)</f>
        <v>3.6576</v>
      </c>
      <c r="E157" s="11">
        <f>4.6506 * CHOOSE(CONTROL!$C$32, $C$9, 100%, $E$9)</f>
        <v>4.6505999999999998</v>
      </c>
      <c r="F157" s="11">
        <f>4.6506 * CHOOSE(CONTROL!$C$32, $C$9, 100%, $E$9)</f>
        <v>4.6505999999999998</v>
      </c>
      <c r="G157" s="11">
        <f>4.6542 * CHOOSE(CONTROL!$C$32, $C$9, 100%, $E$9)</f>
        <v>4.6542000000000003</v>
      </c>
      <c r="H157" s="11">
        <f>7.467 * CHOOSE(CONTROL!$C$32, $C$9, 100%, $E$9)</f>
        <v>7.4669999999999996</v>
      </c>
      <c r="I157" s="11">
        <f>7.4706 * CHOOSE(CONTROL!$C$32, $C$9, 100%, $E$9)</f>
        <v>7.4706000000000001</v>
      </c>
      <c r="J157" s="11">
        <f>7.467 * CHOOSE(CONTROL!$C$32, $C$9, 100%, $E$9)</f>
        <v>7.4669999999999996</v>
      </c>
      <c r="K157" s="11">
        <f>7.4706 * CHOOSE(CONTROL!$C$32, $C$9, 100%, $E$9)</f>
        <v>7.4706000000000001</v>
      </c>
      <c r="L157" s="11">
        <f>4.6506 * CHOOSE(CONTROL!$C$32, $C$9, 100%, $E$9)</f>
        <v>4.6505999999999998</v>
      </c>
      <c r="M157" s="11">
        <f>4.6542 * CHOOSE(CONTROL!$C$32, $C$9, 100%, $E$9)</f>
        <v>4.6542000000000003</v>
      </c>
      <c r="N157" s="11">
        <f>4.6506 * CHOOSE(CONTROL!$C$32, $C$9, 100%, $E$9)</f>
        <v>4.6505999999999998</v>
      </c>
      <c r="O157" s="11">
        <f>4.6542 * CHOOSE(CONTROL!$C$32, $C$9, 100%, $E$9)</f>
        <v>4.6542000000000003</v>
      </c>
      <c r="P157" s="14"/>
      <c r="Q157" s="14"/>
      <c r="R157" s="14"/>
    </row>
    <row r="158" spans="1:18" ht="15" x14ac:dyDescent="0.2">
      <c r="A158" s="13">
        <v>45658</v>
      </c>
      <c r="B158" s="9">
        <f>3.691 * CHOOSE(CONTROL!$C$32, $C$9, 100%, $E$9)</f>
        <v>3.6909999999999998</v>
      </c>
      <c r="C158" s="9">
        <f>3.691 * CHOOSE(CONTROL!$C$32, $C$9, 100%, $E$9)</f>
        <v>3.6909999999999998</v>
      </c>
      <c r="D158" s="9">
        <f>3.6921 * CHOOSE(CONTROL!$C$32, $C$9, 100%, $E$9)</f>
        <v>3.6920999999999999</v>
      </c>
      <c r="E158" s="11">
        <f>4.6908 * CHOOSE(CONTROL!$C$32, $C$9, 100%, $E$9)</f>
        <v>4.6908000000000003</v>
      </c>
      <c r="F158" s="11">
        <f>4.6908 * CHOOSE(CONTROL!$C$32, $C$9, 100%, $E$9)</f>
        <v>4.6908000000000003</v>
      </c>
      <c r="G158" s="11">
        <f>4.6945 * CHOOSE(CONTROL!$C$32, $C$9, 100%, $E$9)</f>
        <v>4.6944999999999997</v>
      </c>
      <c r="H158" s="11">
        <f>7.4825 * CHOOSE(CONTROL!$C$32, $C$9, 100%, $E$9)</f>
        <v>7.4824999999999999</v>
      </c>
      <c r="I158" s="11">
        <f>7.4861 * CHOOSE(CONTROL!$C$32, $C$9, 100%, $E$9)</f>
        <v>7.4861000000000004</v>
      </c>
      <c r="J158" s="11">
        <f>7.4825 * CHOOSE(CONTROL!$C$32, $C$9, 100%, $E$9)</f>
        <v>7.4824999999999999</v>
      </c>
      <c r="K158" s="11">
        <f>7.4861 * CHOOSE(CONTROL!$C$32, $C$9, 100%, $E$9)</f>
        <v>7.4861000000000004</v>
      </c>
      <c r="L158" s="11">
        <f>4.6908 * CHOOSE(CONTROL!$C$32, $C$9, 100%, $E$9)</f>
        <v>4.6908000000000003</v>
      </c>
      <c r="M158" s="11">
        <f>4.6945 * CHOOSE(CONTROL!$C$32, $C$9, 100%, $E$9)</f>
        <v>4.6944999999999997</v>
      </c>
      <c r="N158" s="11">
        <f>4.6908 * CHOOSE(CONTROL!$C$32, $C$9, 100%, $E$9)</f>
        <v>4.6908000000000003</v>
      </c>
      <c r="O158" s="11">
        <f>4.6945 * CHOOSE(CONTROL!$C$32, $C$9, 100%, $E$9)</f>
        <v>4.6944999999999997</v>
      </c>
      <c r="P158" s="14"/>
      <c r="Q158" s="14"/>
      <c r="R158" s="14"/>
    </row>
    <row r="159" spans="1:18" ht="15" x14ac:dyDescent="0.2">
      <c r="A159" s="13">
        <v>45689</v>
      </c>
      <c r="B159" s="9">
        <f>3.688 * CHOOSE(CONTROL!$C$32, $C$9, 100%, $E$9)</f>
        <v>3.6880000000000002</v>
      </c>
      <c r="C159" s="9">
        <f>3.688 * CHOOSE(CONTROL!$C$32, $C$9, 100%, $E$9)</f>
        <v>3.6880000000000002</v>
      </c>
      <c r="D159" s="9">
        <f>3.6891 * CHOOSE(CONTROL!$C$32, $C$9, 100%, $E$9)</f>
        <v>3.6890999999999998</v>
      </c>
      <c r="E159" s="11">
        <f>4.6888 * CHOOSE(CONTROL!$C$32, $C$9, 100%, $E$9)</f>
        <v>4.6887999999999996</v>
      </c>
      <c r="F159" s="11">
        <f>4.6888 * CHOOSE(CONTROL!$C$32, $C$9, 100%, $E$9)</f>
        <v>4.6887999999999996</v>
      </c>
      <c r="G159" s="11">
        <f>4.6925 * CHOOSE(CONTROL!$C$32, $C$9, 100%, $E$9)</f>
        <v>4.6924999999999999</v>
      </c>
      <c r="H159" s="11">
        <f>7.4981 * CHOOSE(CONTROL!$C$32, $C$9, 100%, $E$9)</f>
        <v>7.4981</v>
      </c>
      <c r="I159" s="11">
        <f>7.5017 * CHOOSE(CONTROL!$C$32, $C$9, 100%, $E$9)</f>
        <v>7.5016999999999996</v>
      </c>
      <c r="J159" s="11">
        <f>7.4981 * CHOOSE(CONTROL!$C$32, $C$9, 100%, $E$9)</f>
        <v>7.4981</v>
      </c>
      <c r="K159" s="11">
        <f>7.5017 * CHOOSE(CONTROL!$C$32, $C$9, 100%, $E$9)</f>
        <v>7.5016999999999996</v>
      </c>
      <c r="L159" s="11">
        <f>4.6888 * CHOOSE(CONTROL!$C$32, $C$9, 100%, $E$9)</f>
        <v>4.6887999999999996</v>
      </c>
      <c r="M159" s="11">
        <f>4.6925 * CHOOSE(CONTROL!$C$32, $C$9, 100%, $E$9)</f>
        <v>4.6924999999999999</v>
      </c>
      <c r="N159" s="11">
        <f>4.6888 * CHOOSE(CONTROL!$C$32, $C$9, 100%, $E$9)</f>
        <v>4.6887999999999996</v>
      </c>
      <c r="O159" s="11">
        <f>4.6925 * CHOOSE(CONTROL!$C$32, $C$9, 100%, $E$9)</f>
        <v>4.6924999999999999</v>
      </c>
      <c r="P159" s="14"/>
      <c r="Q159" s="14"/>
      <c r="R159" s="14"/>
    </row>
    <row r="160" spans="1:18" ht="15" x14ac:dyDescent="0.2">
      <c r="A160" s="13">
        <v>45717</v>
      </c>
      <c r="B160" s="9">
        <f>3.685 * CHOOSE(CONTROL!$C$32, $C$9, 100%, $E$9)</f>
        <v>3.6850000000000001</v>
      </c>
      <c r="C160" s="9">
        <f>3.685 * CHOOSE(CONTROL!$C$32, $C$9, 100%, $E$9)</f>
        <v>3.6850000000000001</v>
      </c>
      <c r="D160" s="9">
        <f>3.686 * CHOOSE(CONTROL!$C$32, $C$9, 100%, $E$9)</f>
        <v>3.6859999999999999</v>
      </c>
      <c r="E160" s="11">
        <f>4.6868 * CHOOSE(CONTROL!$C$32, $C$9, 100%, $E$9)</f>
        <v>4.6867999999999999</v>
      </c>
      <c r="F160" s="11">
        <f>4.6868 * CHOOSE(CONTROL!$C$32, $C$9, 100%, $E$9)</f>
        <v>4.6867999999999999</v>
      </c>
      <c r="G160" s="11">
        <f>4.6905 * CHOOSE(CONTROL!$C$32, $C$9, 100%, $E$9)</f>
        <v>4.6905000000000001</v>
      </c>
      <c r="H160" s="11">
        <f>7.5137 * CHOOSE(CONTROL!$C$32, $C$9, 100%, $E$9)</f>
        <v>7.5137</v>
      </c>
      <c r="I160" s="11">
        <f>7.5173 * CHOOSE(CONTROL!$C$32, $C$9, 100%, $E$9)</f>
        <v>7.5172999999999996</v>
      </c>
      <c r="J160" s="11">
        <f>7.5137 * CHOOSE(CONTROL!$C$32, $C$9, 100%, $E$9)</f>
        <v>7.5137</v>
      </c>
      <c r="K160" s="11">
        <f>7.5173 * CHOOSE(CONTROL!$C$32, $C$9, 100%, $E$9)</f>
        <v>7.5172999999999996</v>
      </c>
      <c r="L160" s="11">
        <f>4.6868 * CHOOSE(CONTROL!$C$32, $C$9, 100%, $E$9)</f>
        <v>4.6867999999999999</v>
      </c>
      <c r="M160" s="11">
        <f>4.6905 * CHOOSE(CONTROL!$C$32, $C$9, 100%, $E$9)</f>
        <v>4.6905000000000001</v>
      </c>
      <c r="N160" s="11">
        <f>4.6868 * CHOOSE(CONTROL!$C$32, $C$9, 100%, $E$9)</f>
        <v>4.6867999999999999</v>
      </c>
      <c r="O160" s="11">
        <f>4.6905 * CHOOSE(CONTROL!$C$32, $C$9, 100%, $E$9)</f>
        <v>4.6905000000000001</v>
      </c>
      <c r="P160" s="14"/>
      <c r="Q160" s="14"/>
      <c r="R160" s="14"/>
    </row>
    <row r="161" spans="1:18" ht="15" x14ac:dyDescent="0.2">
      <c r="A161" s="13">
        <v>45748</v>
      </c>
      <c r="B161" s="9">
        <f>3.6823 * CHOOSE(CONTROL!$C$32, $C$9, 100%, $E$9)</f>
        <v>3.6823000000000001</v>
      </c>
      <c r="C161" s="9">
        <f>3.6823 * CHOOSE(CONTROL!$C$32, $C$9, 100%, $E$9)</f>
        <v>3.6823000000000001</v>
      </c>
      <c r="D161" s="9">
        <f>3.6834 * CHOOSE(CONTROL!$C$32, $C$9, 100%, $E$9)</f>
        <v>3.6833999999999998</v>
      </c>
      <c r="E161" s="11">
        <f>4.6846 * CHOOSE(CONTROL!$C$32, $C$9, 100%, $E$9)</f>
        <v>4.6845999999999997</v>
      </c>
      <c r="F161" s="11">
        <f>4.6846 * CHOOSE(CONTROL!$C$32, $C$9, 100%, $E$9)</f>
        <v>4.6845999999999997</v>
      </c>
      <c r="G161" s="11">
        <f>4.6882 * CHOOSE(CONTROL!$C$32, $C$9, 100%, $E$9)</f>
        <v>4.6882000000000001</v>
      </c>
      <c r="H161" s="11">
        <f>7.5294 * CHOOSE(CONTROL!$C$32, $C$9, 100%, $E$9)</f>
        <v>7.5293999999999999</v>
      </c>
      <c r="I161" s="11">
        <f>7.533 * CHOOSE(CONTROL!$C$32, $C$9, 100%, $E$9)</f>
        <v>7.5330000000000004</v>
      </c>
      <c r="J161" s="11">
        <f>7.5294 * CHOOSE(CONTROL!$C$32, $C$9, 100%, $E$9)</f>
        <v>7.5293999999999999</v>
      </c>
      <c r="K161" s="11">
        <f>7.533 * CHOOSE(CONTROL!$C$32, $C$9, 100%, $E$9)</f>
        <v>7.5330000000000004</v>
      </c>
      <c r="L161" s="11">
        <f>4.6846 * CHOOSE(CONTROL!$C$32, $C$9, 100%, $E$9)</f>
        <v>4.6845999999999997</v>
      </c>
      <c r="M161" s="11">
        <f>4.6882 * CHOOSE(CONTROL!$C$32, $C$9, 100%, $E$9)</f>
        <v>4.6882000000000001</v>
      </c>
      <c r="N161" s="11">
        <f>4.6846 * CHOOSE(CONTROL!$C$32, $C$9, 100%, $E$9)</f>
        <v>4.6845999999999997</v>
      </c>
      <c r="O161" s="11">
        <f>4.6882 * CHOOSE(CONTROL!$C$32, $C$9, 100%, $E$9)</f>
        <v>4.6882000000000001</v>
      </c>
      <c r="P161" s="14"/>
      <c r="Q161" s="14"/>
      <c r="R161" s="14"/>
    </row>
    <row r="162" spans="1:18" ht="15" x14ac:dyDescent="0.2">
      <c r="A162" s="13">
        <v>45778</v>
      </c>
      <c r="B162" s="9">
        <f>3.6823 * CHOOSE(CONTROL!$C$32, $C$9, 100%, $E$9)</f>
        <v>3.6823000000000001</v>
      </c>
      <c r="C162" s="9">
        <f>3.6823 * CHOOSE(CONTROL!$C$32, $C$9, 100%, $E$9)</f>
        <v>3.6823000000000001</v>
      </c>
      <c r="D162" s="9">
        <f>3.6839 * CHOOSE(CONTROL!$C$32, $C$9, 100%, $E$9)</f>
        <v>3.6839</v>
      </c>
      <c r="E162" s="11">
        <f>4.6846 * CHOOSE(CONTROL!$C$32, $C$9, 100%, $E$9)</f>
        <v>4.6845999999999997</v>
      </c>
      <c r="F162" s="11">
        <f>4.6846 * CHOOSE(CONTROL!$C$32, $C$9, 100%, $E$9)</f>
        <v>4.6845999999999997</v>
      </c>
      <c r="G162" s="11">
        <f>4.6899 * CHOOSE(CONTROL!$C$32, $C$9, 100%, $E$9)</f>
        <v>4.6898999999999997</v>
      </c>
      <c r="H162" s="11">
        <f>7.5451 * CHOOSE(CONTROL!$C$32, $C$9, 100%, $E$9)</f>
        <v>7.5450999999999997</v>
      </c>
      <c r="I162" s="11">
        <f>7.5504 * CHOOSE(CONTROL!$C$32, $C$9, 100%, $E$9)</f>
        <v>7.5503999999999998</v>
      </c>
      <c r="J162" s="11">
        <f>7.5451 * CHOOSE(CONTROL!$C$32, $C$9, 100%, $E$9)</f>
        <v>7.5450999999999997</v>
      </c>
      <c r="K162" s="11">
        <f>7.5504 * CHOOSE(CONTROL!$C$32, $C$9, 100%, $E$9)</f>
        <v>7.5503999999999998</v>
      </c>
      <c r="L162" s="11">
        <f>4.6846 * CHOOSE(CONTROL!$C$32, $C$9, 100%, $E$9)</f>
        <v>4.6845999999999997</v>
      </c>
      <c r="M162" s="11">
        <f>4.6899 * CHOOSE(CONTROL!$C$32, $C$9, 100%, $E$9)</f>
        <v>4.6898999999999997</v>
      </c>
      <c r="N162" s="11">
        <f>4.6846 * CHOOSE(CONTROL!$C$32, $C$9, 100%, $E$9)</f>
        <v>4.6845999999999997</v>
      </c>
      <c r="O162" s="11">
        <f>4.6899 * CHOOSE(CONTROL!$C$32, $C$9, 100%, $E$9)</f>
        <v>4.6898999999999997</v>
      </c>
      <c r="P162" s="14"/>
      <c r="Q162" s="14"/>
      <c r="R162" s="14"/>
    </row>
    <row r="163" spans="1:18" ht="15" x14ac:dyDescent="0.2">
      <c r="A163" s="13">
        <v>45809</v>
      </c>
      <c r="B163" s="9">
        <f>3.6884 * CHOOSE(CONTROL!$C$32, $C$9, 100%, $E$9)</f>
        <v>3.6884000000000001</v>
      </c>
      <c r="C163" s="9">
        <f>3.6884 * CHOOSE(CONTROL!$C$32, $C$9, 100%, $E$9)</f>
        <v>3.6884000000000001</v>
      </c>
      <c r="D163" s="9">
        <f>3.69 * CHOOSE(CONTROL!$C$32, $C$9, 100%, $E$9)</f>
        <v>3.69</v>
      </c>
      <c r="E163" s="11">
        <f>4.6886 * CHOOSE(CONTROL!$C$32, $C$9, 100%, $E$9)</f>
        <v>4.6886000000000001</v>
      </c>
      <c r="F163" s="11">
        <f>4.6886 * CHOOSE(CONTROL!$C$32, $C$9, 100%, $E$9)</f>
        <v>4.6886000000000001</v>
      </c>
      <c r="G163" s="11">
        <f>4.6939 * CHOOSE(CONTROL!$C$32, $C$9, 100%, $E$9)</f>
        <v>4.6939000000000002</v>
      </c>
      <c r="H163" s="11">
        <f>7.5608 * CHOOSE(CONTROL!$C$32, $C$9, 100%, $E$9)</f>
        <v>7.5608000000000004</v>
      </c>
      <c r="I163" s="11">
        <f>7.5661 * CHOOSE(CONTROL!$C$32, $C$9, 100%, $E$9)</f>
        <v>7.5660999999999996</v>
      </c>
      <c r="J163" s="11">
        <f>7.5608 * CHOOSE(CONTROL!$C$32, $C$9, 100%, $E$9)</f>
        <v>7.5608000000000004</v>
      </c>
      <c r="K163" s="11">
        <f>7.5661 * CHOOSE(CONTROL!$C$32, $C$9, 100%, $E$9)</f>
        <v>7.5660999999999996</v>
      </c>
      <c r="L163" s="11">
        <f>4.6886 * CHOOSE(CONTROL!$C$32, $C$9, 100%, $E$9)</f>
        <v>4.6886000000000001</v>
      </c>
      <c r="M163" s="11">
        <f>4.6939 * CHOOSE(CONTROL!$C$32, $C$9, 100%, $E$9)</f>
        <v>4.6939000000000002</v>
      </c>
      <c r="N163" s="11">
        <f>4.6886 * CHOOSE(CONTROL!$C$32, $C$9, 100%, $E$9)</f>
        <v>4.6886000000000001</v>
      </c>
      <c r="O163" s="11">
        <f>4.6939 * CHOOSE(CONTROL!$C$32, $C$9, 100%, $E$9)</f>
        <v>4.6939000000000002</v>
      </c>
      <c r="P163" s="14"/>
      <c r="Q163" s="14"/>
      <c r="R163" s="14"/>
    </row>
    <row r="164" spans="1:18" ht="15" x14ac:dyDescent="0.2">
      <c r="A164" s="13">
        <v>45839</v>
      </c>
      <c r="B164" s="9">
        <f>3.7541 * CHOOSE(CONTROL!$C$32, $C$9, 100%, $E$9)</f>
        <v>3.7541000000000002</v>
      </c>
      <c r="C164" s="9">
        <f>3.7541 * CHOOSE(CONTROL!$C$32, $C$9, 100%, $E$9)</f>
        <v>3.7541000000000002</v>
      </c>
      <c r="D164" s="9">
        <f>3.7556 * CHOOSE(CONTROL!$C$32, $C$9, 100%, $E$9)</f>
        <v>3.7555999999999998</v>
      </c>
      <c r="E164" s="11">
        <f>4.7776 * CHOOSE(CONTROL!$C$32, $C$9, 100%, $E$9)</f>
        <v>4.7775999999999996</v>
      </c>
      <c r="F164" s="11">
        <f>4.7776 * CHOOSE(CONTROL!$C$32, $C$9, 100%, $E$9)</f>
        <v>4.7775999999999996</v>
      </c>
      <c r="G164" s="11">
        <f>4.7829 * CHOOSE(CONTROL!$C$32, $C$9, 100%, $E$9)</f>
        <v>4.7828999999999997</v>
      </c>
      <c r="H164" s="11">
        <f>7.5765 * CHOOSE(CONTROL!$C$32, $C$9, 100%, $E$9)</f>
        <v>7.5765000000000002</v>
      </c>
      <c r="I164" s="11">
        <f>7.5818 * CHOOSE(CONTROL!$C$32, $C$9, 100%, $E$9)</f>
        <v>7.5818000000000003</v>
      </c>
      <c r="J164" s="11">
        <f>7.5765 * CHOOSE(CONTROL!$C$32, $C$9, 100%, $E$9)</f>
        <v>7.5765000000000002</v>
      </c>
      <c r="K164" s="11">
        <f>7.5818 * CHOOSE(CONTROL!$C$32, $C$9, 100%, $E$9)</f>
        <v>7.5818000000000003</v>
      </c>
      <c r="L164" s="11">
        <f>4.7776 * CHOOSE(CONTROL!$C$32, $C$9, 100%, $E$9)</f>
        <v>4.7775999999999996</v>
      </c>
      <c r="M164" s="11">
        <f>4.7829 * CHOOSE(CONTROL!$C$32, $C$9, 100%, $E$9)</f>
        <v>4.7828999999999997</v>
      </c>
      <c r="N164" s="11">
        <f>4.7776 * CHOOSE(CONTROL!$C$32, $C$9, 100%, $E$9)</f>
        <v>4.7775999999999996</v>
      </c>
      <c r="O164" s="11">
        <f>4.7829 * CHOOSE(CONTROL!$C$32, $C$9, 100%, $E$9)</f>
        <v>4.7828999999999997</v>
      </c>
      <c r="P164" s="14"/>
      <c r="Q164" s="14"/>
      <c r="R164" s="14"/>
    </row>
    <row r="165" spans="1:18" ht="15" x14ac:dyDescent="0.2">
      <c r="A165" s="13">
        <v>45870</v>
      </c>
      <c r="B165" s="9">
        <f>3.7607 * CHOOSE(CONTROL!$C$32, $C$9, 100%, $E$9)</f>
        <v>3.7606999999999999</v>
      </c>
      <c r="C165" s="9">
        <f>3.7607 * CHOOSE(CONTROL!$C$32, $C$9, 100%, $E$9)</f>
        <v>3.7606999999999999</v>
      </c>
      <c r="D165" s="9">
        <f>3.7623 * CHOOSE(CONTROL!$C$32, $C$9, 100%, $E$9)</f>
        <v>3.7623000000000002</v>
      </c>
      <c r="E165" s="11">
        <f>4.782 * CHOOSE(CONTROL!$C$32, $C$9, 100%, $E$9)</f>
        <v>4.782</v>
      </c>
      <c r="F165" s="11">
        <f>4.782 * CHOOSE(CONTROL!$C$32, $C$9, 100%, $E$9)</f>
        <v>4.782</v>
      </c>
      <c r="G165" s="11">
        <f>4.7873 * CHOOSE(CONTROL!$C$32, $C$9, 100%, $E$9)</f>
        <v>4.7873000000000001</v>
      </c>
      <c r="H165" s="11">
        <f>7.5923 * CHOOSE(CONTROL!$C$32, $C$9, 100%, $E$9)</f>
        <v>7.5922999999999998</v>
      </c>
      <c r="I165" s="11">
        <f>7.5976 * CHOOSE(CONTROL!$C$32, $C$9, 100%, $E$9)</f>
        <v>7.5975999999999999</v>
      </c>
      <c r="J165" s="11">
        <f>7.5923 * CHOOSE(CONTROL!$C$32, $C$9, 100%, $E$9)</f>
        <v>7.5922999999999998</v>
      </c>
      <c r="K165" s="11">
        <f>7.5976 * CHOOSE(CONTROL!$C$32, $C$9, 100%, $E$9)</f>
        <v>7.5975999999999999</v>
      </c>
      <c r="L165" s="11">
        <f>4.782 * CHOOSE(CONTROL!$C$32, $C$9, 100%, $E$9)</f>
        <v>4.782</v>
      </c>
      <c r="M165" s="11">
        <f>4.7873 * CHOOSE(CONTROL!$C$32, $C$9, 100%, $E$9)</f>
        <v>4.7873000000000001</v>
      </c>
      <c r="N165" s="11">
        <f>4.782 * CHOOSE(CONTROL!$C$32, $C$9, 100%, $E$9)</f>
        <v>4.782</v>
      </c>
      <c r="O165" s="11">
        <f>4.7873 * CHOOSE(CONTROL!$C$32, $C$9, 100%, $E$9)</f>
        <v>4.7873000000000001</v>
      </c>
      <c r="P165" s="14"/>
      <c r="Q165" s="14"/>
      <c r="R165" s="14"/>
    </row>
    <row r="166" spans="1:18" ht="15" x14ac:dyDescent="0.2">
      <c r="A166" s="13">
        <v>45901</v>
      </c>
      <c r="B166" s="9">
        <f>3.7577 * CHOOSE(CONTROL!$C$32, $C$9, 100%, $E$9)</f>
        <v>3.7576999999999998</v>
      </c>
      <c r="C166" s="9">
        <f>3.7577 * CHOOSE(CONTROL!$C$32, $C$9, 100%, $E$9)</f>
        <v>3.7576999999999998</v>
      </c>
      <c r="D166" s="9">
        <f>3.7593 * CHOOSE(CONTROL!$C$32, $C$9, 100%, $E$9)</f>
        <v>3.7593000000000001</v>
      </c>
      <c r="E166" s="11">
        <f>4.78 * CHOOSE(CONTROL!$C$32, $C$9, 100%, $E$9)</f>
        <v>4.78</v>
      </c>
      <c r="F166" s="11">
        <f>4.78 * CHOOSE(CONTROL!$C$32, $C$9, 100%, $E$9)</f>
        <v>4.78</v>
      </c>
      <c r="G166" s="11">
        <f>4.7853 * CHOOSE(CONTROL!$C$32, $C$9, 100%, $E$9)</f>
        <v>4.7853000000000003</v>
      </c>
      <c r="H166" s="11">
        <f>7.6081 * CHOOSE(CONTROL!$C$32, $C$9, 100%, $E$9)</f>
        <v>7.6081000000000003</v>
      </c>
      <c r="I166" s="11">
        <f>7.6134 * CHOOSE(CONTROL!$C$32, $C$9, 100%, $E$9)</f>
        <v>7.6134000000000004</v>
      </c>
      <c r="J166" s="11">
        <f>7.6081 * CHOOSE(CONTROL!$C$32, $C$9, 100%, $E$9)</f>
        <v>7.6081000000000003</v>
      </c>
      <c r="K166" s="11">
        <f>7.6134 * CHOOSE(CONTROL!$C$32, $C$9, 100%, $E$9)</f>
        <v>7.6134000000000004</v>
      </c>
      <c r="L166" s="11">
        <f>4.78 * CHOOSE(CONTROL!$C$32, $C$9, 100%, $E$9)</f>
        <v>4.78</v>
      </c>
      <c r="M166" s="11">
        <f>4.7853 * CHOOSE(CONTROL!$C$32, $C$9, 100%, $E$9)</f>
        <v>4.7853000000000003</v>
      </c>
      <c r="N166" s="11">
        <f>4.78 * CHOOSE(CONTROL!$C$32, $C$9, 100%, $E$9)</f>
        <v>4.78</v>
      </c>
      <c r="O166" s="11">
        <f>4.7853 * CHOOSE(CONTROL!$C$32, $C$9, 100%, $E$9)</f>
        <v>4.7853000000000003</v>
      </c>
      <c r="P166" s="14"/>
      <c r="Q166" s="14"/>
      <c r="R166" s="14"/>
    </row>
    <row r="167" spans="1:18" ht="15" x14ac:dyDescent="0.2">
      <c r="A167" s="13">
        <v>45931</v>
      </c>
      <c r="B167" s="9">
        <f>3.7519 * CHOOSE(CONTROL!$C$32, $C$9, 100%, $E$9)</f>
        <v>3.7519</v>
      </c>
      <c r="C167" s="9">
        <f>3.7519 * CHOOSE(CONTROL!$C$32, $C$9, 100%, $E$9)</f>
        <v>3.7519</v>
      </c>
      <c r="D167" s="9">
        <f>3.753 * CHOOSE(CONTROL!$C$32, $C$9, 100%, $E$9)</f>
        <v>3.7530000000000001</v>
      </c>
      <c r="E167" s="11">
        <f>4.7743 * CHOOSE(CONTROL!$C$32, $C$9, 100%, $E$9)</f>
        <v>4.7743000000000002</v>
      </c>
      <c r="F167" s="11">
        <f>4.7743 * CHOOSE(CONTROL!$C$32, $C$9, 100%, $E$9)</f>
        <v>4.7743000000000002</v>
      </c>
      <c r="G167" s="11">
        <f>4.7779 * CHOOSE(CONTROL!$C$32, $C$9, 100%, $E$9)</f>
        <v>4.7778999999999998</v>
      </c>
      <c r="H167" s="11">
        <f>7.624 * CHOOSE(CONTROL!$C$32, $C$9, 100%, $E$9)</f>
        <v>7.6239999999999997</v>
      </c>
      <c r="I167" s="11">
        <f>7.6276 * CHOOSE(CONTROL!$C$32, $C$9, 100%, $E$9)</f>
        <v>7.6276000000000002</v>
      </c>
      <c r="J167" s="11">
        <f>7.624 * CHOOSE(CONTROL!$C$32, $C$9, 100%, $E$9)</f>
        <v>7.6239999999999997</v>
      </c>
      <c r="K167" s="11">
        <f>7.6276 * CHOOSE(CONTROL!$C$32, $C$9, 100%, $E$9)</f>
        <v>7.6276000000000002</v>
      </c>
      <c r="L167" s="11">
        <f>4.7743 * CHOOSE(CONTROL!$C$32, $C$9, 100%, $E$9)</f>
        <v>4.7743000000000002</v>
      </c>
      <c r="M167" s="11">
        <f>4.7779 * CHOOSE(CONTROL!$C$32, $C$9, 100%, $E$9)</f>
        <v>4.7778999999999998</v>
      </c>
      <c r="N167" s="11">
        <f>4.7743 * CHOOSE(CONTROL!$C$32, $C$9, 100%, $E$9)</f>
        <v>4.7743000000000002</v>
      </c>
      <c r="O167" s="11">
        <f>4.7779 * CHOOSE(CONTROL!$C$32, $C$9, 100%, $E$9)</f>
        <v>4.7778999999999998</v>
      </c>
      <c r="P167" s="14"/>
      <c r="Q167" s="14"/>
      <c r="R167" s="14"/>
    </row>
    <row r="168" spans="1:18" ht="15" x14ac:dyDescent="0.2">
      <c r="A168" s="13">
        <v>45962</v>
      </c>
      <c r="B168" s="9">
        <f>3.755 * CHOOSE(CONTROL!$C$32, $C$9, 100%, $E$9)</f>
        <v>3.7549999999999999</v>
      </c>
      <c r="C168" s="9">
        <f>3.755 * CHOOSE(CONTROL!$C$32, $C$9, 100%, $E$9)</f>
        <v>3.7549999999999999</v>
      </c>
      <c r="D168" s="9">
        <f>3.7561 * CHOOSE(CONTROL!$C$32, $C$9, 100%, $E$9)</f>
        <v>3.7561</v>
      </c>
      <c r="E168" s="11">
        <f>4.7763 * CHOOSE(CONTROL!$C$32, $C$9, 100%, $E$9)</f>
        <v>4.7763</v>
      </c>
      <c r="F168" s="11">
        <f>4.7763 * CHOOSE(CONTROL!$C$32, $C$9, 100%, $E$9)</f>
        <v>4.7763</v>
      </c>
      <c r="G168" s="11">
        <f>4.7799 * CHOOSE(CONTROL!$C$32, $C$9, 100%, $E$9)</f>
        <v>4.7798999999999996</v>
      </c>
      <c r="H168" s="11">
        <f>7.6399 * CHOOSE(CONTROL!$C$32, $C$9, 100%, $E$9)</f>
        <v>7.6398999999999999</v>
      </c>
      <c r="I168" s="11">
        <f>7.6435 * CHOOSE(CONTROL!$C$32, $C$9, 100%, $E$9)</f>
        <v>7.6435000000000004</v>
      </c>
      <c r="J168" s="11">
        <f>7.6399 * CHOOSE(CONTROL!$C$32, $C$9, 100%, $E$9)</f>
        <v>7.6398999999999999</v>
      </c>
      <c r="K168" s="11">
        <f>7.6435 * CHOOSE(CONTROL!$C$32, $C$9, 100%, $E$9)</f>
        <v>7.6435000000000004</v>
      </c>
      <c r="L168" s="11">
        <f>4.7763 * CHOOSE(CONTROL!$C$32, $C$9, 100%, $E$9)</f>
        <v>4.7763</v>
      </c>
      <c r="M168" s="11">
        <f>4.7799 * CHOOSE(CONTROL!$C$32, $C$9, 100%, $E$9)</f>
        <v>4.7798999999999996</v>
      </c>
      <c r="N168" s="11">
        <f>4.7763 * CHOOSE(CONTROL!$C$32, $C$9, 100%, $E$9)</f>
        <v>4.7763</v>
      </c>
      <c r="O168" s="11">
        <f>4.7799 * CHOOSE(CONTROL!$C$32, $C$9, 100%, $E$9)</f>
        <v>4.7798999999999996</v>
      </c>
    </row>
    <row r="169" spans="1:18" ht="15" x14ac:dyDescent="0.2">
      <c r="A169" s="13">
        <v>45992</v>
      </c>
      <c r="B169" s="9">
        <f>3.755 * CHOOSE(CONTROL!$C$32, $C$9, 100%, $E$9)</f>
        <v>3.7549999999999999</v>
      </c>
      <c r="C169" s="9">
        <f>3.755 * CHOOSE(CONTROL!$C$32, $C$9, 100%, $E$9)</f>
        <v>3.7549999999999999</v>
      </c>
      <c r="D169" s="9">
        <f>3.7561 * CHOOSE(CONTROL!$C$32, $C$9, 100%, $E$9)</f>
        <v>3.7561</v>
      </c>
      <c r="E169" s="11">
        <f>4.7763 * CHOOSE(CONTROL!$C$32, $C$9, 100%, $E$9)</f>
        <v>4.7763</v>
      </c>
      <c r="F169" s="11">
        <f>4.7763 * CHOOSE(CONTROL!$C$32, $C$9, 100%, $E$9)</f>
        <v>4.7763</v>
      </c>
      <c r="G169" s="11">
        <f>4.7799 * CHOOSE(CONTROL!$C$32, $C$9, 100%, $E$9)</f>
        <v>4.7798999999999996</v>
      </c>
      <c r="H169" s="11">
        <f>7.6558 * CHOOSE(CONTROL!$C$32, $C$9, 100%, $E$9)</f>
        <v>7.6558000000000002</v>
      </c>
      <c r="I169" s="11">
        <f>7.6594 * CHOOSE(CONTROL!$C$32, $C$9, 100%, $E$9)</f>
        <v>7.6593999999999998</v>
      </c>
      <c r="J169" s="11">
        <f>7.6558 * CHOOSE(CONTROL!$C$32, $C$9, 100%, $E$9)</f>
        <v>7.6558000000000002</v>
      </c>
      <c r="K169" s="11">
        <f>7.6594 * CHOOSE(CONTROL!$C$32, $C$9, 100%, $E$9)</f>
        <v>7.6593999999999998</v>
      </c>
      <c r="L169" s="11">
        <f>4.7763 * CHOOSE(CONTROL!$C$32, $C$9, 100%, $E$9)</f>
        <v>4.7763</v>
      </c>
      <c r="M169" s="11">
        <f>4.7799 * CHOOSE(CONTROL!$C$32, $C$9, 100%, $E$9)</f>
        <v>4.7798999999999996</v>
      </c>
      <c r="N169" s="11">
        <f>4.7763 * CHOOSE(CONTROL!$C$32, $C$9, 100%, $E$9)</f>
        <v>4.7763</v>
      </c>
      <c r="O169" s="11">
        <f>4.7799 * CHOOSE(CONTROL!$C$32, $C$9, 100%, $E$9)</f>
        <v>4.7798999999999996</v>
      </c>
    </row>
    <row r="170" spans="1:18" ht="15" x14ac:dyDescent="0.2">
      <c r="A170" s="13">
        <v>46023</v>
      </c>
      <c r="B170" s="9">
        <f>3.7892 * CHOOSE(CONTROL!$C$32, $C$9, 100%, $E$9)</f>
        <v>3.7892000000000001</v>
      </c>
      <c r="C170" s="9">
        <f>3.7892 * CHOOSE(CONTROL!$C$32, $C$9, 100%, $E$9)</f>
        <v>3.7892000000000001</v>
      </c>
      <c r="D170" s="9">
        <f>3.7902 * CHOOSE(CONTROL!$C$32, $C$9, 100%, $E$9)</f>
        <v>3.7902</v>
      </c>
      <c r="E170" s="11">
        <f>4.8185 * CHOOSE(CONTROL!$C$32, $C$9, 100%, $E$9)</f>
        <v>4.8185000000000002</v>
      </c>
      <c r="F170" s="11">
        <f>4.8185 * CHOOSE(CONTROL!$C$32, $C$9, 100%, $E$9)</f>
        <v>4.8185000000000002</v>
      </c>
      <c r="G170" s="11">
        <f>4.8221 * CHOOSE(CONTROL!$C$32, $C$9, 100%, $E$9)</f>
        <v>4.8220999999999998</v>
      </c>
      <c r="H170" s="11">
        <f>7.6717 * CHOOSE(CONTROL!$C$32, $C$9, 100%, $E$9)</f>
        <v>7.6717000000000004</v>
      </c>
      <c r="I170" s="11">
        <f>7.6753 * CHOOSE(CONTROL!$C$32, $C$9, 100%, $E$9)</f>
        <v>7.6753</v>
      </c>
      <c r="J170" s="11">
        <f>7.6717 * CHOOSE(CONTROL!$C$32, $C$9, 100%, $E$9)</f>
        <v>7.6717000000000004</v>
      </c>
      <c r="K170" s="11">
        <f>7.6753 * CHOOSE(CONTROL!$C$32, $C$9, 100%, $E$9)</f>
        <v>7.6753</v>
      </c>
      <c r="L170" s="11">
        <f>4.8185 * CHOOSE(CONTROL!$C$32, $C$9, 100%, $E$9)</f>
        <v>4.8185000000000002</v>
      </c>
      <c r="M170" s="11">
        <f>4.8221 * CHOOSE(CONTROL!$C$32, $C$9, 100%, $E$9)</f>
        <v>4.8220999999999998</v>
      </c>
      <c r="N170" s="11">
        <f>4.8185 * CHOOSE(CONTROL!$C$32, $C$9, 100%, $E$9)</f>
        <v>4.8185000000000002</v>
      </c>
      <c r="O170" s="11">
        <f>4.8221 * CHOOSE(CONTROL!$C$32, $C$9, 100%, $E$9)</f>
        <v>4.8220999999999998</v>
      </c>
    </row>
    <row r="171" spans="1:18" ht="15" x14ac:dyDescent="0.2">
      <c r="A171" s="13">
        <v>46054</v>
      </c>
      <c r="B171" s="9">
        <f>3.7861 * CHOOSE(CONTROL!$C$32, $C$9, 100%, $E$9)</f>
        <v>3.7860999999999998</v>
      </c>
      <c r="C171" s="9">
        <f>3.7861 * CHOOSE(CONTROL!$C$32, $C$9, 100%, $E$9)</f>
        <v>3.7860999999999998</v>
      </c>
      <c r="D171" s="9">
        <f>3.7872 * CHOOSE(CONTROL!$C$32, $C$9, 100%, $E$9)</f>
        <v>3.7871999999999999</v>
      </c>
      <c r="E171" s="11">
        <f>4.8165 * CHOOSE(CONTROL!$C$32, $C$9, 100%, $E$9)</f>
        <v>4.8164999999999996</v>
      </c>
      <c r="F171" s="11">
        <f>4.8165 * CHOOSE(CONTROL!$C$32, $C$9, 100%, $E$9)</f>
        <v>4.8164999999999996</v>
      </c>
      <c r="G171" s="11">
        <f>4.8201 * CHOOSE(CONTROL!$C$32, $C$9, 100%, $E$9)</f>
        <v>4.8201000000000001</v>
      </c>
      <c r="H171" s="11">
        <f>7.6877 * CHOOSE(CONTROL!$C$32, $C$9, 100%, $E$9)</f>
        <v>7.6877000000000004</v>
      </c>
      <c r="I171" s="11">
        <f>7.6913 * CHOOSE(CONTROL!$C$32, $C$9, 100%, $E$9)</f>
        <v>7.6913</v>
      </c>
      <c r="J171" s="11">
        <f>7.6877 * CHOOSE(CONTROL!$C$32, $C$9, 100%, $E$9)</f>
        <v>7.6877000000000004</v>
      </c>
      <c r="K171" s="11">
        <f>7.6913 * CHOOSE(CONTROL!$C$32, $C$9, 100%, $E$9)</f>
        <v>7.6913</v>
      </c>
      <c r="L171" s="11">
        <f>4.8165 * CHOOSE(CONTROL!$C$32, $C$9, 100%, $E$9)</f>
        <v>4.8164999999999996</v>
      </c>
      <c r="M171" s="11">
        <f>4.8201 * CHOOSE(CONTROL!$C$32, $C$9, 100%, $E$9)</f>
        <v>4.8201000000000001</v>
      </c>
      <c r="N171" s="11">
        <f>4.8165 * CHOOSE(CONTROL!$C$32, $C$9, 100%, $E$9)</f>
        <v>4.8164999999999996</v>
      </c>
      <c r="O171" s="11">
        <f>4.8201 * CHOOSE(CONTROL!$C$32, $C$9, 100%, $E$9)</f>
        <v>4.8201000000000001</v>
      </c>
    </row>
    <row r="172" spans="1:18" ht="15" x14ac:dyDescent="0.2">
      <c r="A172" s="13">
        <v>46082</v>
      </c>
      <c r="B172" s="9">
        <f>3.7831 * CHOOSE(CONTROL!$C$32, $C$9, 100%, $E$9)</f>
        <v>3.7831000000000001</v>
      </c>
      <c r="C172" s="9">
        <f>3.7831 * CHOOSE(CONTROL!$C$32, $C$9, 100%, $E$9)</f>
        <v>3.7831000000000001</v>
      </c>
      <c r="D172" s="9">
        <f>3.7842 * CHOOSE(CONTROL!$C$32, $C$9, 100%, $E$9)</f>
        <v>3.7841999999999998</v>
      </c>
      <c r="E172" s="11">
        <f>4.8145 * CHOOSE(CONTROL!$C$32, $C$9, 100%, $E$9)</f>
        <v>4.8144999999999998</v>
      </c>
      <c r="F172" s="11">
        <f>4.8145 * CHOOSE(CONTROL!$C$32, $C$9, 100%, $E$9)</f>
        <v>4.8144999999999998</v>
      </c>
      <c r="G172" s="11">
        <f>4.8181 * CHOOSE(CONTROL!$C$32, $C$9, 100%, $E$9)</f>
        <v>4.8181000000000003</v>
      </c>
      <c r="H172" s="11">
        <f>7.7037 * CHOOSE(CONTROL!$C$32, $C$9, 100%, $E$9)</f>
        <v>7.7037000000000004</v>
      </c>
      <c r="I172" s="11">
        <f>7.7073 * CHOOSE(CONTROL!$C$32, $C$9, 100%, $E$9)</f>
        <v>7.7073</v>
      </c>
      <c r="J172" s="11">
        <f>7.7037 * CHOOSE(CONTROL!$C$32, $C$9, 100%, $E$9)</f>
        <v>7.7037000000000004</v>
      </c>
      <c r="K172" s="11">
        <f>7.7073 * CHOOSE(CONTROL!$C$32, $C$9, 100%, $E$9)</f>
        <v>7.7073</v>
      </c>
      <c r="L172" s="11">
        <f>4.8145 * CHOOSE(CONTROL!$C$32, $C$9, 100%, $E$9)</f>
        <v>4.8144999999999998</v>
      </c>
      <c r="M172" s="11">
        <f>4.8181 * CHOOSE(CONTROL!$C$32, $C$9, 100%, $E$9)</f>
        <v>4.8181000000000003</v>
      </c>
      <c r="N172" s="11">
        <f>4.8145 * CHOOSE(CONTROL!$C$32, $C$9, 100%, $E$9)</f>
        <v>4.8144999999999998</v>
      </c>
      <c r="O172" s="11">
        <f>4.8181 * CHOOSE(CONTROL!$C$32, $C$9, 100%, $E$9)</f>
        <v>4.8181000000000003</v>
      </c>
    </row>
    <row r="173" spans="1:18" ht="15" x14ac:dyDescent="0.2">
      <c r="A173" s="13">
        <v>46113</v>
      </c>
      <c r="B173" s="9">
        <f>3.7805 * CHOOSE(CONTROL!$C$32, $C$9, 100%, $E$9)</f>
        <v>3.7805</v>
      </c>
      <c r="C173" s="9">
        <f>3.7805 * CHOOSE(CONTROL!$C$32, $C$9, 100%, $E$9)</f>
        <v>3.7805</v>
      </c>
      <c r="D173" s="9">
        <f>3.7816 * CHOOSE(CONTROL!$C$32, $C$9, 100%, $E$9)</f>
        <v>3.7816000000000001</v>
      </c>
      <c r="E173" s="11">
        <f>4.8123 * CHOOSE(CONTROL!$C$32, $C$9, 100%, $E$9)</f>
        <v>4.8122999999999996</v>
      </c>
      <c r="F173" s="11">
        <f>4.8123 * CHOOSE(CONTROL!$C$32, $C$9, 100%, $E$9)</f>
        <v>4.8122999999999996</v>
      </c>
      <c r="G173" s="11">
        <f>4.816 * CHOOSE(CONTROL!$C$32, $C$9, 100%, $E$9)</f>
        <v>4.8159999999999998</v>
      </c>
      <c r="H173" s="11">
        <f>7.7198 * CHOOSE(CONTROL!$C$32, $C$9, 100%, $E$9)</f>
        <v>7.7198000000000002</v>
      </c>
      <c r="I173" s="11">
        <f>7.7234 * CHOOSE(CONTROL!$C$32, $C$9, 100%, $E$9)</f>
        <v>7.7233999999999998</v>
      </c>
      <c r="J173" s="11">
        <f>7.7198 * CHOOSE(CONTROL!$C$32, $C$9, 100%, $E$9)</f>
        <v>7.7198000000000002</v>
      </c>
      <c r="K173" s="11">
        <f>7.7234 * CHOOSE(CONTROL!$C$32, $C$9, 100%, $E$9)</f>
        <v>7.7233999999999998</v>
      </c>
      <c r="L173" s="11">
        <f>4.8123 * CHOOSE(CONTROL!$C$32, $C$9, 100%, $E$9)</f>
        <v>4.8122999999999996</v>
      </c>
      <c r="M173" s="11">
        <f>4.816 * CHOOSE(CONTROL!$C$32, $C$9, 100%, $E$9)</f>
        <v>4.8159999999999998</v>
      </c>
      <c r="N173" s="11">
        <f>4.8123 * CHOOSE(CONTROL!$C$32, $C$9, 100%, $E$9)</f>
        <v>4.8122999999999996</v>
      </c>
      <c r="O173" s="11">
        <f>4.816 * CHOOSE(CONTROL!$C$32, $C$9, 100%, $E$9)</f>
        <v>4.8159999999999998</v>
      </c>
    </row>
    <row r="174" spans="1:18" ht="15" x14ac:dyDescent="0.2">
      <c r="A174" s="13">
        <v>46143</v>
      </c>
      <c r="B174" s="9">
        <f>3.7805 * CHOOSE(CONTROL!$C$32, $C$9, 100%, $E$9)</f>
        <v>3.7805</v>
      </c>
      <c r="C174" s="9">
        <f>3.7805 * CHOOSE(CONTROL!$C$32, $C$9, 100%, $E$9)</f>
        <v>3.7805</v>
      </c>
      <c r="D174" s="9">
        <f>3.7821 * CHOOSE(CONTROL!$C$32, $C$9, 100%, $E$9)</f>
        <v>3.7820999999999998</v>
      </c>
      <c r="E174" s="11">
        <f>4.8123 * CHOOSE(CONTROL!$C$32, $C$9, 100%, $E$9)</f>
        <v>4.8122999999999996</v>
      </c>
      <c r="F174" s="11">
        <f>4.8123 * CHOOSE(CONTROL!$C$32, $C$9, 100%, $E$9)</f>
        <v>4.8122999999999996</v>
      </c>
      <c r="G174" s="11">
        <f>4.8176 * CHOOSE(CONTROL!$C$32, $C$9, 100%, $E$9)</f>
        <v>4.8175999999999997</v>
      </c>
      <c r="H174" s="11">
        <f>7.7359 * CHOOSE(CONTROL!$C$32, $C$9, 100%, $E$9)</f>
        <v>7.7359</v>
      </c>
      <c r="I174" s="11">
        <f>7.7412 * CHOOSE(CONTROL!$C$32, $C$9, 100%, $E$9)</f>
        <v>7.7412000000000001</v>
      </c>
      <c r="J174" s="11">
        <f>7.7359 * CHOOSE(CONTROL!$C$32, $C$9, 100%, $E$9)</f>
        <v>7.7359</v>
      </c>
      <c r="K174" s="11">
        <f>7.7412 * CHOOSE(CONTROL!$C$32, $C$9, 100%, $E$9)</f>
        <v>7.7412000000000001</v>
      </c>
      <c r="L174" s="11">
        <f>4.8123 * CHOOSE(CONTROL!$C$32, $C$9, 100%, $E$9)</f>
        <v>4.8122999999999996</v>
      </c>
      <c r="M174" s="11">
        <f>4.8176 * CHOOSE(CONTROL!$C$32, $C$9, 100%, $E$9)</f>
        <v>4.8175999999999997</v>
      </c>
      <c r="N174" s="11">
        <f>4.8123 * CHOOSE(CONTROL!$C$32, $C$9, 100%, $E$9)</f>
        <v>4.8122999999999996</v>
      </c>
      <c r="O174" s="11">
        <f>4.8176 * CHOOSE(CONTROL!$C$32, $C$9, 100%, $E$9)</f>
        <v>4.8175999999999997</v>
      </c>
    </row>
    <row r="175" spans="1:18" ht="15" x14ac:dyDescent="0.2">
      <c r="A175" s="13">
        <v>46174</v>
      </c>
      <c r="B175" s="9">
        <f>3.7866 * CHOOSE(CONTROL!$C$32, $C$9, 100%, $E$9)</f>
        <v>3.7866</v>
      </c>
      <c r="C175" s="9">
        <f>3.7866 * CHOOSE(CONTROL!$C$32, $C$9, 100%, $E$9)</f>
        <v>3.7866</v>
      </c>
      <c r="D175" s="9">
        <f>3.7882 * CHOOSE(CONTROL!$C$32, $C$9, 100%, $E$9)</f>
        <v>3.7881999999999998</v>
      </c>
      <c r="E175" s="11">
        <f>4.8163 * CHOOSE(CONTROL!$C$32, $C$9, 100%, $E$9)</f>
        <v>4.8163</v>
      </c>
      <c r="F175" s="11">
        <f>4.8163 * CHOOSE(CONTROL!$C$32, $C$9, 100%, $E$9)</f>
        <v>4.8163</v>
      </c>
      <c r="G175" s="11">
        <f>4.8216 * CHOOSE(CONTROL!$C$32, $C$9, 100%, $E$9)</f>
        <v>4.8216000000000001</v>
      </c>
      <c r="H175" s="11">
        <f>7.752 * CHOOSE(CONTROL!$C$32, $C$9, 100%, $E$9)</f>
        <v>7.7519999999999998</v>
      </c>
      <c r="I175" s="11">
        <f>7.7573 * CHOOSE(CONTROL!$C$32, $C$9, 100%, $E$9)</f>
        <v>7.7572999999999999</v>
      </c>
      <c r="J175" s="11">
        <f>7.752 * CHOOSE(CONTROL!$C$32, $C$9, 100%, $E$9)</f>
        <v>7.7519999999999998</v>
      </c>
      <c r="K175" s="11">
        <f>7.7573 * CHOOSE(CONTROL!$C$32, $C$9, 100%, $E$9)</f>
        <v>7.7572999999999999</v>
      </c>
      <c r="L175" s="11">
        <f>4.8163 * CHOOSE(CONTROL!$C$32, $C$9, 100%, $E$9)</f>
        <v>4.8163</v>
      </c>
      <c r="M175" s="11">
        <f>4.8216 * CHOOSE(CONTROL!$C$32, $C$9, 100%, $E$9)</f>
        <v>4.8216000000000001</v>
      </c>
      <c r="N175" s="11">
        <f>4.8163 * CHOOSE(CONTROL!$C$32, $C$9, 100%, $E$9)</f>
        <v>4.8163</v>
      </c>
      <c r="O175" s="11">
        <f>4.8216 * CHOOSE(CONTROL!$C$32, $C$9, 100%, $E$9)</f>
        <v>4.8216000000000001</v>
      </c>
    </row>
    <row r="176" spans="1:18" ht="15" x14ac:dyDescent="0.2">
      <c r="A176" s="13">
        <v>46204</v>
      </c>
      <c r="B176" s="9">
        <f>3.8506 * CHOOSE(CONTROL!$C$32, $C$9, 100%, $E$9)</f>
        <v>3.8506</v>
      </c>
      <c r="C176" s="9">
        <f>3.8506 * CHOOSE(CONTROL!$C$32, $C$9, 100%, $E$9)</f>
        <v>3.8506</v>
      </c>
      <c r="D176" s="9">
        <f>3.8522 * CHOOSE(CONTROL!$C$32, $C$9, 100%, $E$9)</f>
        <v>3.8521999999999998</v>
      </c>
      <c r="E176" s="11">
        <f>4.9098 * CHOOSE(CONTROL!$C$32, $C$9, 100%, $E$9)</f>
        <v>4.9097999999999997</v>
      </c>
      <c r="F176" s="11">
        <f>4.9098 * CHOOSE(CONTROL!$C$32, $C$9, 100%, $E$9)</f>
        <v>4.9097999999999997</v>
      </c>
      <c r="G176" s="11">
        <f>4.9151 * CHOOSE(CONTROL!$C$32, $C$9, 100%, $E$9)</f>
        <v>4.9150999999999998</v>
      </c>
      <c r="H176" s="11">
        <f>7.7681 * CHOOSE(CONTROL!$C$32, $C$9, 100%, $E$9)</f>
        <v>7.7680999999999996</v>
      </c>
      <c r="I176" s="11">
        <f>7.7734 * CHOOSE(CONTROL!$C$32, $C$9, 100%, $E$9)</f>
        <v>7.7733999999999996</v>
      </c>
      <c r="J176" s="11">
        <f>7.7681 * CHOOSE(CONTROL!$C$32, $C$9, 100%, $E$9)</f>
        <v>7.7680999999999996</v>
      </c>
      <c r="K176" s="11">
        <f>7.7734 * CHOOSE(CONTROL!$C$32, $C$9, 100%, $E$9)</f>
        <v>7.7733999999999996</v>
      </c>
      <c r="L176" s="11">
        <f>4.9098 * CHOOSE(CONTROL!$C$32, $C$9, 100%, $E$9)</f>
        <v>4.9097999999999997</v>
      </c>
      <c r="M176" s="11">
        <f>4.9151 * CHOOSE(CONTROL!$C$32, $C$9, 100%, $E$9)</f>
        <v>4.9150999999999998</v>
      </c>
      <c r="N176" s="11">
        <f>4.9098 * CHOOSE(CONTROL!$C$32, $C$9, 100%, $E$9)</f>
        <v>4.9097999999999997</v>
      </c>
      <c r="O176" s="11">
        <f>4.9151 * CHOOSE(CONTROL!$C$32, $C$9, 100%, $E$9)</f>
        <v>4.9150999999999998</v>
      </c>
    </row>
    <row r="177" spans="1:15" ht="15" x14ac:dyDescent="0.2">
      <c r="A177" s="13">
        <v>46235</v>
      </c>
      <c r="B177" s="9">
        <f>3.8573 * CHOOSE(CONTROL!$C$32, $C$9, 100%, $E$9)</f>
        <v>3.8573</v>
      </c>
      <c r="C177" s="9">
        <f>3.8573 * CHOOSE(CONTROL!$C$32, $C$9, 100%, $E$9)</f>
        <v>3.8573</v>
      </c>
      <c r="D177" s="9">
        <f>3.8589 * CHOOSE(CONTROL!$C$32, $C$9, 100%, $E$9)</f>
        <v>3.8589000000000002</v>
      </c>
      <c r="E177" s="11">
        <f>4.9142 * CHOOSE(CONTROL!$C$32, $C$9, 100%, $E$9)</f>
        <v>4.9142000000000001</v>
      </c>
      <c r="F177" s="11">
        <f>4.9142 * CHOOSE(CONTROL!$C$32, $C$9, 100%, $E$9)</f>
        <v>4.9142000000000001</v>
      </c>
      <c r="G177" s="11">
        <f>4.9195 * CHOOSE(CONTROL!$C$32, $C$9, 100%, $E$9)</f>
        <v>4.9195000000000002</v>
      </c>
      <c r="H177" s="11">
        <f>7.7843 * CHOOSE(CONTROL!$C$32, $C$9, 100%, $E$9)</f>
        <v>7.7843</v>
      </c>
      <c r="I177" s="11">
        <f>7.7896 * CHOOSE(CONTROL!$C$32, $C$9, 100%, $E$9)</f>
        <v>7.7896000000000001</v>
      </c>
      <c r="J177" s="11">
        <f>7.7843 * CHOOSE(CONTROL!$C$32, $C$9, 100%, $E$9)</f>
        <v>7.7843</v>
      </c>
      <c r="K177" s="11">
        <f>7.7896 * CHOOSE(CONTROL!$C$32, $C$9, 100%, $E$9)</f>
        <v>7.7896000000000001</v>
      </c>
      <c r="L177" s="11">
        <f>4.9142 * CHOOSE(CONTROL!$C$32, $C$9, 100%, $E$9)</f>
        <v>4.9142000000000001</v>
      </c>
      <c r="M177" s="11">
        <f>4.9195 * CHOOSE(CONTROL!$C$32, $C$9, 100%, $E$9)</f>
        <v>4.9195000000000002</v>
      </c>
      <c r="N177" s="11">
        <f>4.9142 * CHOOSE(CONTROL!$C$32, $C$9, 100%, $E$9)</f>
        <v>4.9142000000000001</v>
      </c>
      <c r="O177" s="11">
        <f>4.9195 * CHOOSE(CONTROL!$C$32, $C$9, 100%, $E$9)</f>
        <v>4.9195000000000002</v>
      </c>
    </row>
    <row r="178" spans="1:15" ht="15" x14ac:dyDescent="0.2">
      <c r="A178" s="13">
        <v>46266</v>
      </c>
      <c r="B178" s="9">
        <f>3.8543 * CHOOSE(CONTROL!$C$32, $C$9, 100%, $E$9)</f>
        <v>3.8542999999999998</v>
      </c>
      <c r="C178" s="9">
        <f>3.8543 * CHOOSE(CONTROL!$C$32, $C$9, 100%, $E$9)</f>
        <v>3.8542999999999998</v>
      </c>
      <c r="D178" s="9">
        <f>3.8558 * CHOOSE(CONTROL!$C$32, $C$9, 100%, $E$9)</f>
        <v>3.8557999999999999</v>
      </c>
      <c r="E178" s="11">
        <f>4.9122 * CHOOSE(CONTROL!$C$32, $C$9, 100%, $E$9)</f>
        <v>4.9122000000000003</v>
      </c>
      <c r="F178" s="11">
        <f>4.9122 * CHOOSE(CONTROL!$C$32, $C$9, 100%, $E$9)</f>
        <v>4.9122000000000003</v>
      </c>
      <c r="G178" s="11">
        <f>4.9175 * CHOOSE(CONTROL!$C$32, $C$9, 100%, $E$9)</f>
        <v>4.9175000000000004</v>
      </c>
      <c r="H178" s="11">
        <f>7.8005 * CHOOSE(CONTROL!$C$32, $C$9, 100%, $E$9)</f>
        <v>7.8005000000000004</v>
      </c>
      <c r="I178" s="11">
        <f>7.8058 * CHOOSE(CONTROL!$C$32, $C$9, 100%, $E$9)</f>
        <v>7.8057999999999996</v>
      </c>
      <c r="J178" s="11">
        <f>7.8005 * CHOOSE(CONTROL!$C$32, $C$9, 100%, $E$9)</f>
        <v>7.8005000000000004</v>
      </c>
      <c r="K178" s="11">
        <f>7.8058 * CHOOSE(CONTROL!$C$32, $C$9, 100%, $E$9)</f>
        <v>7.8057999999999996</v>
      </c>
      <c r="L178" s="11">
        <f>4.9122 * CHOOSE(CONTROL!$C$32, $C$9, 100%, $E$9)</f>
        <v>4.9122000000000003</v>
      </c>
      <c r="M178" s="11">
        <f>4.9175 * CHOOSE(CONTROL!$C$32, $C$9, 100%, $E$9)</f>
        <v>4.9175000000000004</v>
      </c>
      <c r="N178" s="11">
        <f>4.9122 * CHOOSE(CONTROL!$C$32, $C$9, 100%, $E$9)</f>
        <v>4.9122000000000003</v>
      </c>
      <c r="O178" s="11">
        <f>4.9175 * CHOOSE(CONTROL!$C$32, $C$9, 100%, $E$9)</f>
        <v>4.9175000000000004</v>
      </c>
    </row>
    <row r="179" spans="1:15" ht="15" x14ac:dyDescent="0.2">
      <c r="A179" s="13">
        <v>46296</v>
      </c>
      <c r="B179" s="9">
        <f>3.8489 * CHOOSE(CONTROL!$C$32, $C$9, 100%, $E$9)</f>
        <v>3.8489</v>
      </c>
      <c r="C179" s="9">
        <f>3.8489 * CHOOSE(CONTROL!$C$32, $C$9, 100%, $E$9)</f>
        <v>3.8489</v>
      </c>
      <c r="D179" s="9">
        <f>3.8499 * CHOOSE(CONTROL!$C$32, $C$9, 100%, $E$9)</f>
        <v>3.8498999999999999</v>
      </c>
      <c r="E179" s="11">
        <f>4.9067 * CHOOSE(CONTROL!$C$32, $C$9, 100%, $E$9)</f>
        <v>4.9066999999999998</v>
      </c>
      <c r="F179" s="11">
        <f>4.9067 * CHOOSE(CONTROL!$C$32, $C$9, 100%, $E$9)</f>
        <v>4.9066999999999998</v>
      </c>
      <c r="G179" s="11">
        <f>4.9103 * CHOOSE(CONTROL!$C$32, $C$9, 100%, $E$9)</f>
        <v>4.9103000000000003</v>
      </c>
      <c r="H179" s="11">
        <f>7.8168 * CHOOSE(CONTROL!$C$32, $C$9, 100%, $E$9)</f>
        <v>7.8167999999999997</v>
      </c>
      <c r="I179" s="11">
        <f>7.8204 * CHOOSE(CONTROL!$C$32, $C$9, 100%, $E$9)</f>
        <v>7.8204000000000002</v>
      </c>
      <c r="J179" s="11">
        <f>7.8168 * CHOOSE(CONTROL!$C$32, $C$9, 100%, $E$9)</f>
        <v>7.8167999999999997</v>
      </c>
      <c r="K179" s="11">
        <f>7.8204 * CHOOSE(CONTROL!$C$32, $C$9, 100%, $E$9)</f>
        <v>7.8204000000000002</v>
      </c>
      <c r="L179" s="11">
        <f>4.9067 * CHOOSE(CONTROL!$C$32, $C$9, 100%, $E$9)</f>
        <v>4.9066999999999998</v>
      </c>
      <c r="M179" s="11">
        <f>4.9103 * CHOOSE(CONTROL!$C$32, $C$9, 100%, $E$9)</f>
        <v>4.9103000000000003</v>
      </c>
      <c r="N179" s="11">
        <f>4.9067 * CHOOSE(CONTROL!$C$32, $C$9, 100%, $E$9)</f>
        <v>4.9066999999999998</v>
      </c>
      <c r="O179" s="11">
        <f>4.9103 * CHOOSE(CONTROL!$C$32, $C$9, 100%, $E$9)</f>
        <v>4.9103000000000003</v>
      </c>
    </row>
    <row r="180" spans="1:15" ht="15" x14ac:dyDescent="0.2">
      <c r="A180" s="13">
        <v>46327</v>
      </c>
      <c r="B180" s="9">
        <f>3.8519 * CHOOSE(CONTROL!$C$32, $C$9, 100%, $E$9)</f>
        <v>3.8519000000000001</v>
      </c>
      <c r="C180" s="9">
        <f>3.8519 * CHOOSE(CONTROL!$C$32, $C$9, 100%, $E$9)</f>
        <v>3.8519000000000001</v>
      </c>
      <c r="D180" s="9">
        <f>3.853 * CHOOSE(CONTROL!$C$32, $C$9, 100%, $E$9)</f>
        <v>3.8530000000000002</v>
      </c>
      <c r="E180" s="11">
        <f>4.9087 * CHOOSE(CONTROL!$C$32, $C$9, 100%, $E$9)</f>
        <v>4.9086999999999996</v>
      </c>
      <c r="F180" s="11">
        <f>4.9087 * CHOOSE(CONTROL!$C$32, $C$9, 100%, $E$9)</f>
        <v>4.9086999999999996</v>
      </c>
      <c r="G180" s="11">
        <f>4.9123 * CHOOSE(CONTROL!$C$32, $C$9, 100%, $E$9)</f>
        <v>4.9123000000000001</v>
      </c>
      <c r="H180" s="11">
        <f>7.8331 * CHOOSE(CONTROL!$C$32, $C$9, 100%, $E$9)</f>
        <v>7.8331</v>
      </c>
      <c r="I180" s="11">
        <f>7.8367 * CHOOSE(CONTROL!$C$32, $C$9, 100%, $E$9)</f>
        <v>7.8367000000000004</v>
      </c>
      <c r="J180" s="11">
        <f>7.8331 * CHOOSE(CONTROL!$C$32, $C$9, 100%, $E$9)</f>
        <v>7.8331</v>
      </c>
      <c r="K180" s="11">
        <f>7.8367 * CHOOSE(CONTROL!$C$32, $C$9, 100%, $E$9)</f>
        <v>7.8367000000000004</v>
      </c>
      <c r="L180" s="11">
        <f>4.9087 * CHOOSE(CONTROL!$C$32, $C$9, 100%, $E$9)</f>
        <v>4.9086999999999996</v>
      </c>
      <c r="M180" s="11">
        <f>4.9123 * CHOOSE(CONTROL!$C$32, $C$9, 100%, $E$9)</f>
        <v>4.9123000000000001</v>
      </c>
      <c r="N180" s="11">
        <f>4.9087 * CHOOSE(CONTROL!$C$32, $C$9, 100%, $E$9)</f>
        <v>4.9086999999999996</v>
      </c>
      <c r="O180" s="11">
        <f>4.9123 * CHOOSE(CONTROL!$C$32, $C$9, 100%, $E$9)</f>
        <v>4.9123000000000001</v>
      </c>
    </row>
    <row r="181" spans="1:15" ht="15" x14ac:dyDescent="0.2">
      <c r="A181" s="13">
        <v>46357</v>
      </c>
      <c r="B181" s="9">
        <f>3.8519 * CHOOSE(CONTROL!$C$32, $C$9, 100%, $E$9)</f>
        <v>3.8519000000000001</v>
      </c>
      <c r="C181" s="9">
        <f>3.8519 * CHOOSE(CONTROL!$C$32, $C$9, 100%, $E$9)</f>
        <v>3.8519000000000001</v>
      </c>
      <c r="D181" s="9">
        <f>3.853 * CHOOSE(CONTROL!$C$32, $C$9, 100%, $E$9)</f>
        <v>3.8530000000000002</v>
      </c>
      <c r="E181" s="11">
        <f>4.9087 * CHOOSE(CONTROL!$C$32, $C$9, 100%, $E$9)</f>
        <v>4.9086999999999996</v>
      </c>
      <c r="F181" s="11">
        <f>4.9087 * CHOOSE(CONTROL!$C$32, $C$9, 100%, $E$9)</f>
        <v>4.9086999999999996</v>
      </c>
      <c r="G181" s="11">
        <f>4.9123 * CHOOSE(CONTROL!$C$32, $C$9, 100%, $E$9)</f>
        <v>4.9123000000000001</v>
      </c>
      <c r="H181" s="11">
        <f>7.8494 * CHOOSE(CONTROL!$C$32, $C$9, 100%, $E$9)</f>
        <v>7.8494000000000002</v>
      </c>
      <c r="I181" s="11">
        <f>7.853 * CHOOSE(CONTROL!$C$32, $C$9, 100%, $E$9)</f>
        <v>7.8529999999999998</v>
      </c>
      <c r="J181" s="11">
        <f>7.8494 * CHOOSE(CONTROL!$C$32, $C$9, 100%, $E$9)</f>
        <v>7.8494000000000002</v>
      </c>
      <c r="K181" s="11">
        <f>7.853 * CHOOSE(CONTROL!$C$32, $C$9, 100%, $E$9)</f>
        <v>7.8529999999999998</v>
      </c>
      <c r="L181" s="11">
        <f>4.9087 * CHOOSE(CONTROL!$C$32, $C$9, 100%, $E$9)</f>
        <v>4.9086999999999996</v>
      </c>
      <c r="M181" s="11">
        <f>4.9123 * CHOOSE(CONTROL!$C$32, $C$9, 100%, $E$9)</f>
        <v>4.9123000000000001</v>
      </c>
      <c r="N181" s="11">
        <f>4.9087 * CHOOSE(CONTROL!$C$32, $C$9, 100%, $E$9)</f>
        <v>4.9086999999999996</v>
      </c>
      <c r="O181" s="11">
        <f>4.9123 * CHOOSE(CONTROL!$C$32, $C$9, 100%, $E$9)</f>
        <v>4.9123000000000001</v>
      </c>
    </row>
    <row r="182" spans="1:15" ht="15" x14ac:dyDescent="0.2">
      <c r="A182" s="13">
        <v>46388</v>
      </c>
      <c r="B182" s="9">
        <f>3.8871 * CHOOSE(CONTROL!$C$32, $C$9, 100%, $E$9)</f>
        <v>3.8871000000000002</v>
      </c>
      <c r="C182" s="9">
        <f>3.8871 * CHOOSE(CONTROL!$C$32, $C$9, 100%, $E$9)</f>
        <v>3.8871000000000002</v>
      </c>
      <c r="D182" s="9">
        <f>3.8882 * CHOOSE(CONTROL!$C$32, $C$9, 100%, $E$9)</f>
        <v>3.8881999999999999</v>
      </c>
      <c r="E182" s="11">
        <f>4.9479 * CHOOSE(CONTROL!$C$32, $C$9, 100%, $E$9)</f>
        <v>4.9478999999999997</v>
      </c>
      <c r="F182" s="11">
        <f>4.9479 * CHOOSE(CONTROL!$C$32, $C$9, 100%, $E$9)</f>
        <v>4.9478999999999997</v>
      </c>
      <c r="G182" s="11">
        <f>4.9515 * CHOOSE(CONTROL!$C$32, $C$9, 100%, $E$9)</f>
        <v>4.9515000000000002</v>
      </c>
      <c r="H182" s="11">
        <f>7.8657 * CHOOSE(CONTROL!$C$32, $C$9, 100%, $E$9)</f>
        <v>7.8657000000000004</v>
      </c>
      <c r="I182" s="11">
        <f>7.8694 * CHOOSE(CONTROL!$C$32, $C$9, 100%, $E$9)</f>
        <v>7.8693999999999997</v>
      </c>
      <c r="J182" s="11">
        <f>7.8657 * CHOOSE(CONTROL!$C$32, $C$9, 100%, $E$9)</f>
        <v>7.8657000000000004</v>
      </c>
      <c r="K182" s="11">
        <f>7.8694 * CHOOSE(CONTROL!$C$32, $C$9, 100%, $E$9)</f>
        <v>7.8693999999999997</v>
      </c>
      <c r="L182" s="11">
        <f>4.9479 * CHOOSE(CONTROL!$C$32, $C$9, 100%, $E$9)</f>
        <v>4.9478999999999997</v>
      </c>
      <c r="M182" s="11">
        <f>4.9515 * CHOOSE(CONTROL!$C$32, $C$9, 100%, $E$9)</f>
        <v>4.9515000000000002</v>
      </c>
      <c r="N182" s="11">
        <f>4.9479 * CHOOSE(CONTROL!$C$32, $C$9, 100%, $E$9)</f>
        <v>4.9478999999999997</v>
      </c>
      <c r="O182" s="11">
        <f>4.9515 * CHOOSE(CONTROL!$C$32, $C$9, 100%, $E$9)</f>
        <v>4.9515000000000002</v>
      </c>
    </row>
    <row r="183" spans="1:15" ht="15" x14ac:dyDescent="0.2">
      <c r="A183" s="13">
        <v>46419</v>
      </c>
      <c r="B183" s="9">
        <f>3.884 * CHOOSE(CONTROL!$C$32, $C$9, 100%, $E$9)</f>
        <v>3.8839999999999999</v>
      </c>
      <c r="C183" s="9">
        <f>3.884 * CHOOSE(CONTROL!$C$32, $C$9, 100%, $E$9)</f>
        <v>3.8839999999999999</v>
      </c>
      <c r="D183" s="9">
        <f>3.8851 * CHOOSE(CONTROL!$C$32, $C$9, 100%, $E$9)</f>
        <v>3.8851</v>
      </c>
      <c r="E183" s="11">
        <f>4.9459 * CHOOSE(CONTROL!$C$32, $C$9, 100%, $E$9)</f>
        <v>4.9459</v>
      </c>
      <c r="F183" s="11">
        <f>4.9459 * CHOOSE(CONTROL!$C$32, $C$9, 100%, $E$9)</f>
        <v>4.9459</v>
      </c>
      <c r="G183" s="11">
        <f>4.9495 * CHOOSE(CONTROL!$C$32, $C$9, 100%, $E$9)</f>
        <v>4.9494999999999996</v>
      </c>
      <c r="H183" s="11">
        <f>7.8821 * CHOOSE(CONTROL!$C$32, $C$9, 100%, $E$9)</f>
        <v>7.8821000000000003</v>
      </c>
      <c r="I183" s="11">
        <f>7.8857 * CHOOSE(CONTROL!$C$32, $C$9, 100%, $E$9)</f>
        <v>7.8856999999999999</v>
      </c>
      <c r="J183" s="11">
        <f>7.8821 * CHOOSE(CONTROL!$C$32, $C$9, 100%, $E$9)</f>
        <v>7.8821000000000003</v>
      </c>
      <c r="K183" s="11">
        <f>7.8857 * CHOOSE(CONTROL!$C$32, $C$9, 100%, $E$9)</f>
        <v>7.8856999999999999</v>
      </c>
      <c r="L183" s="11">
        <f>4.9459 * CHOOSE(CONTROL!$C$32, $C$9, 100%, $E$9)</f>
        <v>4.9459</v>
      </c>
      <c r="M183" s="11">
        <f>4.9495 * CHOOSE(CONTROL!$C$32, $C$9, 100%, $E$9)</f>
        <v>4.9494999999999996</v>
      </c>
      <c r="N183" s="11">
        <f>4.9459 * CHOOSE(CONTROL!$C$32, $C$9, 100%, $E$9)</f>
        <v>4.9459</v>
      </c>
      <c r="O183" s="11">
        <f>4.9495 * CHOOSE(CONTROL!$C$32, $C$9, 100%, $E$9)</f>
        <v>4.9494999999999996</v>
      </c>
    </row>
    <row r="184" spans="1:15" ht="15" x14ac:dyDescent="0.2">
      <c r="A184" s="13">
        <v>46447</v>
      </c>
      <c r="B184" s="9">
        <f>3.881 * CHOOSE(CONTROL!$C$32, $C$9, 100%, $E$9)</f>
        <v>3.8809999999999998</v>
      </c>
      <c r="C184" s="9">
        <f>3.881 * CHOOSE(CONTROL!$C$32, $C$9, 100%, $E$9)</f>
        <v>3.8809999999999998</v>
      </c>
      <c r="D184" s="9">
        <f>3.8821 * CHOOSE(CONTROL!$C$32, $C$9, 100%, $E$9)</f>
        <v>3.8820999999999999</v>
      </c>
      <c r="E184" s="11">
        <f>4.9439 * CHOOSE(CONTROL!$C$32, $C$9, 100%, $E$9)</f>
        <v>4.9439000000000002</v>
      </c>
      <c r="F184" s="11">
        <f>4.9439 * CHOOSE(CONTROL!$C$32, $C$9, 100%, $E$9)</f>
        <v>4.9439000000000002</v>
      </c>
      <c r="G184" s="11">
        <f>4.9475 * CHOOSE(CONTROL!$C$32, $C$9, 100%, $E$9)</f>
        <v>4.9474999999999998</v>
      </c>
      <c r="H184" s="11">
        <f>7.8985 * CHOOSE(CONTROL!$C$32, $C$9, 100%, $E$9)</f>
        <v>7.8985000000000003</v>
      </c>
      <c r="I184" s="11">
        <f>7.9022 * CHOOSE(CONTROL!$C$32, $C$9, 100%, $E$9)</f>
        <v>7.9021999999999997</v>
      </c>
      <c r="J184" s="11">
        <f>7.8985 * CHOOSE(CONTROL!$C$32, $C$9, 100%, $E$9)</f>
        <v>7.8985000000000003</v>
      </c>
      <c r="K184" s="11">
        <f>7.9022 * CHOOSE(CONTROL!$C$32, $C$9, 100%, $E$9)</f>
        <v>7.9021999999999997</v>
      </c>
      <c r="L184" s="11">
        <f>4.9439 * CHOOSE(CONTROL!$C$32, $C$9, 100%, $E$9)</f>
        <v>4.9439000000000002</v>
      </c>
      <c r="M184" s="11">
        <f>4.9475 * CHOOSE(CONTROL!$C$32, $C$9, 100%, $E$9)</f>
        <v>4.9474999999999998</v>
      </c>
      <c r="N184" s="11">
        <f>4.9439 * CHOOSE(CONTROL!$C$32, $C$9, 100%, $E$9)</f>
        <v>4.9439000000000002</v>
      </c>
      <c r="O184" s="11">
        <f>4.9475 * CHOOSE(CONTROL!$C$32, $C$9, 100%, $E$9)</f>
        <v>4.9474999999999998</v>
      </c>
    </row>
    <row r="185" spans="1:15" ht="15" x14ac:dyDescent="0.2">
      <c r="A185" s="13">
        <v>46478</v>
      </c>
      <c r="B185" s="9">
        <f>3.8786 * CHOOSE(CONTROL!$C$32, $C$9, 100%, $E$9)</f>
        <v>3.8786</v>
      </c>
      <c r="C185" s="9">
        <f>3.8786 * CHOOSE(CONTROL!$C$32, $C$9, 100%, $E$9)</f>
        <v>3.8786</v>
      </c>
      <c r="D185" s="9">
        <f>3.8796 * CHOOSE(CONTROL!$C$32, $C$9, 100%, $E$9)</f>
        <v>3.8795999999999999</v>
      </c>
      <c r="E185" s="11">
        <f>4.9418 * CHOOSE(CONTROL!$C$32, $C$9, 100%, $E$9)</f>
        <v>4.9417999999999997</v>
      </c>
      <c r="F185" s="11">
        <f>4.9418 * CHOOSE(CONTROL!$C$32, $C$9, 100%, $E$9)</f>
        <v>4.9417999999999997</v>
      </c>
      <c r="G185" s="11">
        <f>4.9454 * CHOOSE(CONTROL!$C$32, $C$9, 100%, $E$9)</f>
        <v>4.9454000000000002</v>
      </c>
      <c r="H185" s="11">
        <f>7.915 * CHOOSE(CONTROL!$C$32, $C$9, 100%, $E$9)</f>
        <v>7.915</v>
      </c>
      <c r="I185" s="11">
        <f>7.9186 * CHOOSE(CONTROL!$C$32, $C$9, 100%, $E$9)</f>
        <v>7.9185999999999996</v>
      </c>
      <c r="J185" s="11">
        <f>7.915 * CHOOSE(CONTROL!$C$32, $C$9, 100%, $E$9)</f>
        <v>7.915</v>
      </c>
      <c r="K185" s="11">
        <f>7.9186 * CHOOSE(CONTROL!$C$32, $C$9, 100%, $E$9)</f>
        <v>7.9185999999999996</v>
      </c>
      <c r="L185" s="11">
        <f>4.9418 * CHOOSE(CONTROL!$C$32, $C$9, 100%, $E$9)</f>
        <v>4.9417999999999997</v>
      </c>
      <c r="M185" s="11">
        <f>4.9454 * CHOOSE(CONTROL!$C$32, $C$9, 100%, $E$9)</f>
        <v>4.9454000000000002</v>
      </c>
      <c r="N185" s="11">
        <f>4.9418 * CHOOSE(CONTROL!$C$32, $C$9, 100%, $E$9)</f>
        <v>4.9417999999999997</v>
      </c>
      <c r="O185" s="11">
        <f>4.9454 * CHOOSE(CONTROL!$C$32, $C$9, 100%, $E$9)</f>
        <v>4.9454000000000002</v>
      </c>
    </row>
    <row r="186" spans="1:15" ht="15" x14ac:dyDescent="0.2">
      <c r="A186" s="13">
        <v>46508</v>
      </c>
      <c r="B186" s="9">
        <f>3.8786 * CHOOSE(CONTROL!$C$32, $C$9, 100%, $E$9)</f>
        <v>3.8786</v>
      </c>
      <c r="C186" s="9">
        <f>3.8786 * CHOOSE(CONTROL!$C$32, $C$9, 100%, $E$9)</f>
        <v>3.8786</v>
      </c>
      <c r="D186" s="9">
        <f>3.8801 * CHOOSE(CONTROL!$C$32, $C$9, 100%, $E$9)</f>
        <v>3.8801000000000001</v>
      </c>
      <c r="E186" s="11">
        <f>4.9418 * CHOOSE(CONTROL!$C$32, $C$9, 100%, $E$9)</f>
        <v>4.9417999999999997</v>
      </c>
      <c r="F186" s="11">
        <f>4.9418 * CHOOSE(CONTROL!$C$32, $C$9, 100%, $E$9)</f>
        <v>4.9417999999999997</v>
      </c>
      <c r="G186" s="11">
        <f>4.9471 * CHOOSE(CONTROL!$C$32, $C$9, 100%, $E$9)</f>
        <v>4.9470999999999998</v>
      </c>
      <c r="H186" s="11">
        <f>7.9315 * CHOOSE(CONTROL!$C$32, $C$9, 100%, $E$9)</f>
        <v>7.9314999999999998</v>
      </c>
      <c r="I186" s="11">
        <f>7.9368 * CHOOSE(CONTROL!$C$32, $C$9, 100%, $E$9)</f>
        <v>7.9367999999999999</v>
      </c>
      <c r="J186" s="11">
        <f>7.9315 * CHOOSE(CONTROL!$C$32, $C$9, 100%, $E$9)</f>
        <v>7.9314999999999998</v>
      </c>
      <c r="K186" s="11">
        <f>7.9368 * CHOOSE(CONTROL!$C$32, $C$9, 100%, $E$9)</f>
        <v>7.9367999999999999</v>
      </c>
      <c r="L186" s="11">
        <f>4.9418 * CHOOSE(CONTROL!$C$32, $C$9, 100%, $E$9)</f>
        <v>4.9417999999999997</v>
      </c>
      <c r="M186" s="11">
        <f>4.9471 * CHOOSE(CONTROL!$C$32, $C$9, 100%, $E$9)</f>
        <v>4.9470999999999998</v>
      </c>
      <c r="N186" s="11">
        <f>4.9418 * CHOOSE(CONTROL!$C$32, $C$9, 100%, $E$9)</f>
        <v>4.9417999999999997</v>
      </c>
      <c r="O186" s="11">
        <f>4.9471 * CHOOSE(CONTROL!$C$32, $C$9, 100%, $E$9)</f>
        <v>4.9470999999999998</v>
      </c>
    </row>
    <row r="187" spans="1:15" ht="15" x14ac:dyDescent="0.2">
      <c r="A187" s="13">
        <v>46539</v>
      </c>
      <c r="B187" s="9">
        <f>3.8846 * CHOOSE(CONTROL!$C$32, $C$9, 100%, $E$9)</f>
        <v>3.8845999999999998</v>
      </c>
      <c r="C187" s="9">
        <f>3.8846 * CHOOSE(CONTROL!$C$32, $C$9, 100%, $E$9)</f>
        <v>3.8845999999999998</v>
      </c>
      <c r="D187" s="9">
        <f>3.8862 * CHOOSE(CONTROL!$C$32, $C$9, 100%, $E$9)</f>
        <v>3.8862000000000001</v>
      </c>
      <c r="E187" s="11">
        <f>4.9458 * CHOOSE(CONTROL!$C$32, $C$9, 100%, $E$9)</f>
        <v>4.9458000000000002</v>
      </c>
      <c r="F187" s="11">
        <f>4.9458 * CHOOSE(CONTROL!$C$32, $C$9, 100%, $E$9)</f>
        <v>4.9458000000000002</v>
      </c>
      <c r="G187" s="11">
        <f>4.9511 * CHOOSE(CONTROL!$C$32, $C$9, 100%, $E$9)</f>
        <v>4.9511000000000003</v>
      </c>
      <c r="H187" s="11">
        <f>7.948 * CHOOSE(CONTROL!$C$32, $C$9, 100%, $E$9)</f>
        <v>7.9480000000000004</v>
      </c>
      <c r="I187" s="11">
        <f>7.9533 * CHOOSE(CONTROL!$C$32, $C$9, 100%, $E$9)</f>
        <v>7.9532999999999996</v>
      </c>
      <c r="J187" s="11">
        <f>7.948 * CHOOSE(CONTROL!$C$32, $C$9, 100%, $E$9)</f>
        <v>7.9480000000000004</v>
      </c>
      <c r="K187" s="11">
        <f>7.9533 * CHOOSE(CONTROL!$C$32, $C$9, 100%, $E$9)</f>
        <v>7.9532999999999996</v>
      </c>
      <c r="L187" s="11">
        <f>4.9458 * CHOOSE(CONTROL!$C$32, $C$9, 100%, $E$9)</f>
        <v>4.9458000000000002</v>
      </c>
      <c r="M187" s="11">
        <f>4.9511 * CHOOSE(CONTROL!$C$32, $C$9, 100%, $E$9)</f>
        <v>4.9511000000000003</v>
      </c>
      <c r="N187" s="11">
        <f>4.9458 * CHOOSE(CONTROL!$C$32, $C$9, 100%, $E$9)</f>
        <v>4.9458000000000002</v>
      </c>
      <c r="O187" s="11">
        <f>4.9511 * CHOOSE(CONTROL!$C$32, $C$9, 100%, $E$9)</f>
        <v>4.9511000000000003</v>
      </c>
    </row>
    <row r="188" spans="1:15" ht="15" x14ac:dyDescent="0.2">
      <c r="A188" s="13">
        <v>46569</v>
      </c>
      <c r="B188" s="9">
        <f>3.951 * CHOOSE(CONTROL!$C$32, $C$9, 100%, $E$9)</f>
        <v>3.9510000000000001</v>
      </c>
      <c r="C188" s="9">
        <f>3.951 * CHOOSE(CONTROL!$C$32, $C$9, 100%, $E$9)</f>
        <v>3.9510000000000001</v>
      </c>
      <c r="D188" s="9">
        <f>3.9526 * CHOOSE(CONTROL!$C$32, $C$9, 100%, $E$9)</f>
        <v>3.9525999999999999</v>
      </c>
      <c r="E188" s="11">
        <f>5.0318 * CHOOSE(CONTROL!$C$32, $C$9, 100%, $E$9)</f>
        <v>5.0317999999999996</v>
      </c>
      <c r="F188" s="11">
        <f>5.0318 * CHOOSE(CONTROL!$C$32, $C$9, 100%, $E$9)</f>
        <v>5.0317999999999996</v>
      </c>
      <c r="G188" s="11">
        <f>5.0371 * CHOOSE(CONTROL!$C$32, $C$9, 100%, $E$9)</f>
        <v>5.0370999999999997</v>
      </c>
      <c r="H188" s="11">
        <f>7.9646 * CHOOSE(CONTROL!$C$32, $C$9, 100%, $E$9)</f>
        <v>7.9645999999999999</v>
      </c>
      <c r="I188" s="11">
        <f>7.9699 * CHOOSE(CONTROL!$C$32, $C$9, 100%, $E$9)</f>
        <v>7.9699</v>
      </c>
      <c r="J188" s="11">
        <f>7.9646 * CHOOSE(CONTROL!$C$32, $C$9, 100%, $E$9)</f>
        <v>7.9645999999999999</v>
      </c>
      <c r="K188" s="11">
        <f>7.9699 * CHOOSE(CONTROL!$C$32, $C$9, 100%, $E$9)</f>
        <v>7.9699</v>
      </c>
      <c r="L188" s="11">
        <f>5.0318 * CHOOSE(CONTROL!$C$32, $C$9, 100%, $E$9)</f>
        <v>5.0317999999999996</v>
      </c>
      <c r="M188" s="11">
        <f>5.0371 * CHOOSE(CONTROL!$C$32, $C$9, 100%, $E$9)</f>
        <v>5.0370999999999997</v>
      </c>
      <c r="N188" s="11">
        <f>5.0318 * CHOOSE(CONTROL!$C$32, $C$9, 100%, $E$9)</f>
        <v>5.0317999999999996</v>
      </c>
      <c r="O188" s="11">
        <f>5.0371 * CHOOSE(CONTROL!$C$32, $C$9, 100%, $E$9)</f>
        <v>5.0370999999999997</v>
      </c>
    </row>
    <row r="189" spans="1:15" ht="15" x14ac:dyDescent="0.2">
      <c r="A189" s="13">
        <v>46600</v>
      </c>
      <c r="B189" s="9">
        <f>3.9577 * CHOOSE(CONTROL!$C$32, $C$9, 100%, $E$9)</f>
        <v>3.9577</v>
      </c>
      <c r="C189" s="9">
        <f>3.9577 * CHOOSE(CONTROL!$C$32, $C$9, 100%, $E$9)</f>
        <v>3.9577</v>
      </c>
      <c r="D189" s="9">
        <f>3.9592 * CHOOSE(CONTROL!$C$32, $C$9, 100%, $E$9)</f>
        <v>3.9592000000000001</v>
      </c>
      <c r="E189" s="11">
        <f>5.0362 * CHOOSE(CONTROL!$C$32, $C$9, 100%, $E$9)</f>
        <v>5.0362</v>
      </c>
      <c r="F189" s="11">
        <f>5.0362 * CHOOSE(CONTROL!$C$32, $C$9, 100%, $E$9)</f>
        <v>5.0362</v>
      </c>
      <c r="G189" s="11">
        <f>5.0415 * CHOOSE(CONTROL!$C$32, $C$9, 100%, $E$9)</f>
        <v>5.0415000000000001</v>
      </c>
      <c r="H189" s="11">
        <f>7.9812 * CHOOSE(CONTROL!$C$32, $C$9, 100%, $E$9)</f>
        <v>7.9812000000000003</v>
      </c>
      <c r="I189" s="11">
        <f>7.9865 * CHOOSE(CONTROL!$C$32, $C$9, 100%, $E$9)</f>
        <v>7.9865000000000004</v>
      </c>
      <c r="J189" s="11">
        <f>7.9812 * CHOOSE(CONTROL!$C$32, $C$9, 100%, $E$9)</f>
        <v>7.9812000000000003</v>
      </c>
      <c r="K189" s="11">
        <f>7.9865 * CHOOSE(CONTROL!$C$32, $C$9, 100%, $E$9)</f>
        <v>7.9865000000000004</v>
      </c>
      <c r="L189" s="11">
        <f>5.0362 * CHOOSE(CONTROL!$C$32, $C$9, 100%, $E$9)</f>
        <v>5.0362</v>
      </c>
      <c r="M189" s="11">
        <f>5.0415 * CHOOSE(CONTROL!$C$32, $C$9, 100%, $E$9)</f>
        <v>5.0415000000000001</v>
      </c>
      <c r="N189" s="11">
        <f>5.0362 * CHOOSE(CONTROL!$C$32, $C$9, 100%, $E$9)</f>
        <v>5.0362</v>
      </c>
      <c r="O189" s="11">
        <f>5.0415 * CHOOSE(CONTROL!$C$32, $C$9, 100%, $E$9)</f>
        <v>5.0415000000000001</v>
      </c>
    </row>
    <row r="190" spans="1:15" ht="15" x14ac:dyDescent="0.2">
      <c r="A190" s="13">
        <v>46631</v>
      </c>
      <c r="B190" s="9">
        <f>3.9546 * CHOOSE(CONTROL!$C$32, $C$9, 100%, $E$9)</f>
        <v>3.9546000000000001</v>
      </c>
      <c r="C190" s="9">
        <f>3.9546 * CHOOSE(CONTROL!$C$32, $C$9, 100%, $E$9)</f>
        <v>3.9546000000000001</v>
      </c>
      <c r="D190" s="9">
        <f>3.9562 * CHOOSE(CONTROL!$C$32, $C$9, 100%, $E$9)</f>
        <v>3.9561999999999999</v>
      </c>
      <c r="E190" s="11">
        <f>5.0342 * CHOOSE(CONTROL!$C$32, $C$9, 100%, $E$9)</f>
        <v>5.0342000000000002</v>
      </c>
      <c r="F190" s="11">
        <f>5.0342 * CHOOSE(CONTROL!$C$32, $C$9, 100%, $E$9)</f>
        <v>5.0342000000000002</v>
      </c>
      <c r="G190" s="11">
        <f>5.0395 * CHOOSE(CONTROL!$C$32, $C$9, 100%, $E$9)</f>
        <v>5.0395000000000003</v>
      </c>
      <c r="H190" s="11">
        <f>7.9978 * CHOOSE(CONTROL!$C$32, $C$9, 100%, $E$9)</f>
        <v>7.9977999999999998</v>
      </c>
      <c r="I190" s="11">
        <f>8.0031 * CHOOSE(CONTROL!$C$32, $C$9, 100%, $E$9)</f>
        <v>8.0030999999999999</v>
      </c>
      <c r="J190" s="11">
        <f>7.9978 * CHOOSE(CONTROL!$C$32, $C$9, 100%, $E$9)</f>
        <v>7.9977999999999998</v>
      </c>
      <c r="K190" s="11">
        <f>8.0031 * CHOOSE(CONTROL!$C$32, $C$9, 100%, $E$9)</f>
        <v>8.0030999999999999</v>
      </c>
      <c r="L190" s="11">
        <f>5.0342 * CHOOSE(CONTROL!$C$32, $C$9, 100%, $E$9)</f>
        <v>5.0342000000000002</v>
      </c>
      <c r="M190" s="11">
        <f>5.0395 * CHOOSE(CONTROL!$C$32, $C$9, 100%, $E$9)</f>
        <v>5.0395000000000003</v>
      </c>
      <c r="N190" s="11">
        <f>5.0342 * CHOOSE(CONTROL!$C$32, $C$9, 100%, $E$9)</f>
        <v>5.0342000000000002</v>
      </c>
      <c r="O190" s="11">
        <f>5.0395 * CHOOSE(CONTROL!$C$32, $C$9, 100%, $E$9)</f>
        <v>5.0395000000000003</v>
      </c>
    </row>
    <row r="191" spans="1:15" ht="15" x14ac:dyDescent="0.2">
      <c r="A191" s="13">
        <v>46661</v>
      </c>
      <c r="B191" s="9">
        <f>3.9496 * CHOOSE(CONTROL!$C$32, $C$9, 100%, $E$9)</f>
        <v>3.9496000000000002</v>
      </c>
      <c r="C191" s="9">
        <f>3.9496 * CHOOSE(CONTROL!$C$32, $C$9, 100%, $E$9)</f>
        <v>3.9496000000000002</v>
      </c>
      <c r="D191" s="9">
        <f>3.9506 * CHOOSE(CONTROL!$C$32, $C$9, 100%, $E$9)</f>
        <v>3.9506000000000001</v>
      </c>
      <c r="E191" s="11">
        <f>5.0288 * CHOOSE(CONTROL!$C$32, $C$9, 100%, $E$9)</f>
        <v>5.0288000000000004</v>
      </c>
      <c r="F191" s="11">
        <f>5.0288 * CHOOSE(CONTROL!$C$32, $C$9, 100%, $E$9)</f>
        <v>5.0288000000000004</v>
      </c>
      <c r="G191" s="11">
        <f>5.0324 * CHOOSE(CONTROL!$C$32, $C$9, 100%, $E$9)</f>
        <v>5.0324</v>
      </c>
      <c r="H191" s="11">
        <f>8.0145 * CHOOSE(CONTROL!$C$32, $C$9, 100%, $E$9)</f>
        <v>8.0145</v>
      </c>
      <c r="I191" s="11">
        <f>8.0181 * CHOOSE(CONTROL!$C$32, $C$9, 100%, $E$9)</f>
        <v>8.0181000000000004</v>
      </c>
      <c r="J191" s="11">
        <f>8.0145 * CHOOSE(CONTROL!$C$32, $C$9, 100%, $E$9)</f>
        <v>8.0145</v>
      </c>
      <c r="K191" s="11">
        <f>8.0181 * CHOOSE(CONTROL!$C$32, $C$9, 100%, $E$9)</f>
        <v>8.0181000000000004</v>
      </c>
      <c r="L191" s="11">
        <f>5.0288 * CHOOSE(CONTROL!$C$32, $C$9, 100%, $E$9)</f>
        <v>5.0288000000000004</v>
      </c>
      <c r="M191" s="11">
        <f>5.0324 * CHOOSE(CONTROL!$C$32, $C$9, 100%, $E$9)</f>
        <v>5.0324</v>
      </c>
      <c r="N191" s="11">
        <f>5.0288 * CHOOSE(CONTROL!$C$32, $C$9, 100%, $E$9)</f>
        <v>5.0288000000000004</v>
      </c>
      <c r="O191" s="11">
        <f>5.0324 * CHOOSE(CONTROL!$C$32, $C$9, 100%, $E$9)</f>
        <v>5.0324</v>
      </c>
    </row>
    <row r="192" spans="1:15" ht="15" x14ac:dyDescent="0.2">
      <c r="A192" s="13">
        <v>46692</v>
      </c>
      <c r="B192" s="9">
        <f>3.9526 * CHOOSE(CONTROL!$C$32, $C$9, 100%, $E$9)</f>
        <v>3.9525999999999999</v>
      </c>
      <c r="C192" s="9">
        <f>3.9526 * CHOOSE(CONTROL!$C$32, $C$9, 100%, $E$9)</f>
        <v>3.9525999999999999</v>
      </c>
      <c r="D192" s="9">
        <f>3.9537 * CHOOSE(CONTROL!$C$32, $C$9, 100%, $E$9)</f>
        <v>3.9537</v>
      </c>
      <c r="E192" s="11">
        <f>5.0308 * CHOOSE(CONTROL!$C$32, $C$9, 100%, $E$9)</f>
        <v>5.0308000000000002</v>
      </c>
      <c r="F192" s="11">
        <f>5.0308 * CHOOSE(CONTROL!$C$32, $C$9, 100%, $E$9)</f>
        <v>5.0308000000000002</v>
      </c>
      <c r="G192" s="11">
        <f>5.0344 * CHOOSE(CONTROL!$C$32, $C$9, 100%, $E$9)</f>
        <v>5.0343999999999998</v>
      </c>
      <c r="H192" s="11">
        <f>8.0311 * CHOOSE(CONTROL!$C$32, $C$9, 100%, $E$9)</f>
        <v>8.0311000000000003</v>
      </c>
      <c r="I192" s="11">
        <f>8.0348 * CHOOSE(CONTROL!$C$32, $C$9, 100%, $E$9)</f>
        <v>8.0348000000000006</v>
      </c>
      <c r="J192" s="11">
        <f>8.0311 * CHOOSE(CONTROL!$C$32, $C$9, 100%, $E$9)</f>
        <v>8.0311000000000003</v>
      </c>
      <c r="K192" s="11">
        <f>8.0348 * CHOOSE(CONTROL!$C$32, $C$9, 100%, $E$9)</f>
        <v>8.0348000000000006</v>
      </c>
      <c r="L192" s="11">
        <f>5.0308 * CHOOSE(CONTROL!$C$32, $C$9, 100%, $E$9)</f>
        <v>5.0308000000000002</v>
      </c>
      <c r="M192" s="11">
        <f>5.0344 * CHOOSE(CONTROL!$C$32, $C$9, 100%, $E$9)</f>
        <v>5.0343999999999998</v>
      </c>
      <c r="N192" s="11">
        <f>5.0308 * CHOOSE(CONTROL!$C$32, $C$9, 100%, $E$9)</f>
        <v>5.0308000000000002</v>
      </c>
      <c r="O192" s="11">
        <f>5.0344 * CHOOSE(CONTROL!$C$32, $C$9, 100%, $E$9)</f>
        <v>5.0343999999999998</v>
      </c>
    </row>
    <row r="193" spans="1:15" ht="15" x14ac:dyDescent="0.2">
      <c r="A193" s="13">
        <v>46722</v>
      </c>
      <c r="B193" s="9">
        <f>3.9526 * CHOOSE(CONTROL!$C$32, $C$9, 100%, $E$9)</f>
        <v>3.9525999999999999</v>
      </c>
      <c r="C193" s="9">
        <f>3.9526 * CHOOSE(CONTROL!$C$32, $C$9, 100%, $E$9)</f>
        <v>3.9525999999999999</v>
      </c>
      <c r="D193" s="9">
        <f>3.9537 * CHOOSE(CONTROL!$C$32, $C$9, 100%, $E$9)</f>
        <v>3.9537</v>
      </c>
      <c r="E193" s="11">
        <f>5.0308 * CHOOSE(CONTROL!$C$32, $C$9, 100%, $E$9)</f>
        <v>5.0308000000000002</v>
      </c>
      <c r="F193" s="11">
        <f>5.0308 * CHOOSE(CONTROL!$C$32, $C$9, 100%, $E$9)</f>
        <v>5.0308000000000002</v>
      </c>
      <c r="G193" s="11">
        <f>5.0344 * CHOOSE(CONTROL!$C$32, $C$9, 100%, $E$9)</f>
        <v>5.0343999999999998</v>
      </c>
      <c r="H193" s="11">
        <f>8.0479 * CHOOSE(CONTROL!$C$32, $C$9, 100%, $E$9)</f>
        <v>8.0479000000000003</v>
      </c>
      <c r="I193" s="11">
        <f>8.0515 * CHOOSE(CONTROL!$C$32, $C$9, 100%, $E$9)</f>
        <v>8.0515000000000008</v>
      </c>
      <c r="J193" s="11">
        <f>8.0479 * CHOOSE(CONTROL!$C$32, $C$9, 100%, $E$9)</f>
        <v>8.0479000000000003</v>
      </c>
      <c r="K193" s="11">
        <f>8.0515 * CHOOSE(CONTROL!$C$32, $C$9, 100%, $E$9)</f>
        <v>8.0515000000000008</v>
      </c>
      <c r="L193" s="11">
        <f>5.0308 * CHOOSE(CONTROL!$C$32, $C$9, 100%, $E$9)</f>
        <v>5.0308000000000002</v>
      </c>
      <c r="M193" s="11">
        <f>5.0344 * CHOOSE(CONTROL!$C$32, $C$9, 100%, $E$9)</f>
        <v>5.0343999999999998</v>
      </c>
      <c r="N193" s="11">
        <f>5.0308 * CHOOSE(CONTROL!$C$32, $C$9, 100%, $E$9)</f>
        <v>5.0308000000000002</v>
      </c>
      <c r="O193" s="11">
        <f>5.0344 * CHOOSE(CONTROL!$C$32, $C$9, 100%, $E$9)</f>
        <v>5.0343999999999998</v>
      </c>
    </row>
    <row r="194" spans="1:15" ht="15" x14ac:dyDescent="0.2">
      <c r="A194" s="13">
        <v>46753</v>
      </c>
      <c r="B194" s="9">
        <f>3.9901 * CHOOSE(CONTROL!$C$32, $C$9, 100%, $E$9)</f>
        <v>3.9901</v>
      </c>
      <c r="C194" s="9">
        <f>3.9901 * CHOOSE(CONTROL!$C$32, $C$9, 100%, $E$9)</f>
        <v>3.9901</v>
      </c>
      <c r="D194" s="9">
        <f>3.9912 * CHOOSE(CONTROL!$C$32, $C$9, 100%, $E$9)</f>
        <v>3.9912000000000001</v>
      </c>
      <c r="E194" s="11">
        <f>5.0753 * CHOOSE(CONTROL!$C$32, $C$9, 100%, $E$9)</f>
        <v>5.0753000000000004</v>
      </c>
      <c r="F194" s="11">
        <f>5.0753 * CHOOSE(CONTROL!$C$32, $C$9, 100%, $E$9)</f>
        <v>5.0753000000000004</v>
      </c>
      <c r="G194" s="11">
        <f>5.0789 * CHOOSE(CONTROL!$C$32, $C$9, 100%, $E$9)</f>
        <v>5.0789</v>
      </c>
      <c r="H194" s="11">
        <f>8.0646 * CHOOSE(CONTROL!$C$32, $C$9, 100%, $E$9)</f>
        <v>8.0646000000000004</v>
      </c>
      <c r="I194" s="11">
        <f>8.0683 * CHOOSE(CONTROL!$C$32, $C$9, 100%, $E$9)</f>
        <v>8.0683000000000007</v>
      </c>
      <c r="J194" s="11">
        <f>8.0646 * CHOOSE(CONTROL!$C$32, $C$9, 100%, $E$9)</f>
        <v>8.0646000000000004</v>
      </c>
      <c r="K194" s="11">
        <f>8.0683 * CHOOSE(CONTROL!$C$32, $C$9, 100%, $E$9)</f>
        <v>8.0683000000000007</v>
      </c>
      <c r="L194" s="11">
        <f>5.0753 * CHOOSE(CONTROL!$C$32, $C$9, 100%, $E$9)</f>
        <v>5.0753000000000004</v>
      </c>
      <c r="M194" s="11">
        <f>5.0789 * CHOOSE(CONTROL!$C$32, $C$9, 100%, $E$9)</f>
        <v>5.0789</v>
      </c>
      <c r="N194" s="11">
        <f>5.0753 * CHOOSE(CONTROL!$C$32, $C$9, 100%, $E$9)</f>
        <v>5.0753000000000004</v>
      </c>
      <c r="O194" s="11">
        <f>5.0789 * CHOOSE(CONTROL!$C$32, $C$9, 100%, $E$9)</f>
        <v>5.0789</v>
      </c>
    </row>
    <row r="195" spans="1:15" ht="15" x14ac:dyDescent="0.2">
      <c r="A195" s="13">
        <v>46784</v>
      </c>
      <c r="B195" s="9">
        <f>3.9871 * CHOOSE(CONTROL!$C$32, $C$9, 100%, $E$9)</f>
        <v>3.9870999999999999</v>
      </c>
      <c r="C195" s="9">
        <f>3.9871 * CHOOSE(CONTROL!$C$32, $C$9, 100%, $E$9)</f>
        <v>3.9870999999999999</v>
      </c>
      <c r="D195" s="9">
        <f>3.9882 * CHOOSE(CONTROL!$C$32, $C$9, 100%, $E$9)</f>
        <v>3.9882</v>
      </c>
      <c r="E195" s="11">
        <f>5.0733 * CHOOSE(CONTROL!$C$32, $C$9, 100%, $E$9)</f>
        <v>5.0732999999999997</v>
      </c>
      <c r="F195" s="11">
        <f>5.0733 * CHOOSE(CONTROL!$C$32, $C$9, 100%, $E$9)</f>
        <v>5.0732999999999997</v>
      </c>
      <c r="G195" s="11">
        <f>5.0769 * CHOOSE(CONTROL!$C$32, $C$9, 100%, $E$9)</f>
        <v>5.0769000000000002</v>
      </c>
      <c r="H195" s="11">
        <f>8.0814 * CHOOSE(CONTROL!$C$32, $C$9, 100%, $E$9)</f>
        <v>8.0814000000000004</v>
      </c>
      <c r="I195" s="11">
        <f>8.0851 * CHOOSE(CONTROL!$C$32, $C$9, 100%, $E$9)</f>
        <v>8.0851000000000006</v>
      </c>
      <c r="J195" s="11">
        <f>8.0814 * CHOOSE(CONTROL!$C$32, $C$9, 100%, $E$9)</f>
        <v>8.0814000000000004</v>
      </c>
      <c r="K195" s="11">
        <f>8.0851 * CHOOSE(CONTROL!$C$32, $C$9, 100%, $E$9)</f>
        <v>8.0851000000000006</v>
      </c>
      <c r="L195" s="11">
        <f>5.0733 * CHOOSE(CONTROL!$C$32, $C$9, 100%, $E$9)</f>
        <v>5.0732999999999997</v>
      </c>
      <c r="M195" s="11">
        <f>5.0769 * CHOOSE(CONTROL!$C$32, $C$9, 100%, $E$9)</f>
        <v>5.0769000000000002</v>
      </c>
      <c r="N195" s="11">
        <f>5.0733 * CHOOSE(CONTROL!$C$32, $C$9, 100%, $E$9)</f>
        <v>5.0732999999999997</v>
      </c>
      <c r="O195" s="11">
        <f>5.0769 * CHOOSE(CONTROL!$C$32, $C$9, 100%, $E$9)</f>
        <v>5.0769000000000002</v>
      </c>
    </row>
    <row r="196" spans="1:15" ht="15" x14ac:dyDescent="0.2">
      <c r="A196" s="13">
        <v>46813</v>
      </c>
      <c r="B196" s="9">
        <f>3.984 * CHOOSE(CONTROL!$C$32, $C$9, 100%, $E$9)</f>
        <v>3.984</v>
      </c>
      <c r="C196" s="9">
        <f>3.984 * CHOOSE(CONTROL!$C$32, $C$9, 100%, $E$9)</f>
        <v>3.984</v>
      </c>
      <c r="D196" s="9">
        <f>3.9851 * CHOOSE(CONTROL!$C$32, $C$9, 100%, $E$9)</f>
        <v>3.9851000000000001</v>
      </c>
      <c r="E196" s="11">
        <f>5.0713 * CHOOSE(CONTROL!$C$32, $C$9, 100%, $E$9)</f>
        <v>5.0712999999999999</v>
      </c>
      <c r="F196" s="11">
        <f>5.0713 * CHOOSE(CONTROL!$C$32, $C$9, 100%, $E$9)</f>
        <v>5.0712999999999999</v>
      </c>
      <c r="G196" s="11">
        <f>5.0749 * CHOOSE(CONTROL!$C$32, $C$9, 100%, $E$9)</f>
        <v>5.0749000000000004</v>
      </c>
      <c r="H196" s="11">
        <f>8.0983 * CHOOSE(CONTROL!$C$32, $C$9, 100%, $E$9)</f>
        <v>8.0983000000000001</v>
      </c>
      <c r="I196" s="11">
        <f>8.1019 * CHOOSE(CONTROL!$C$32, $C$9, 100%, $E$9)</f>
        <v>8.1019000000000005</v>
      </c>
      <c r="J196" s="11">
        <f>8.0983 * CHOOSE(CONTROL!$C$32, $C$9, 100%, $E$9)</f>
        <v>8.0983000000000001</v>
      </c>
      <c r="K196" s="11">
        <f>8.1019 * CHOOSE(CONTROL!$C$32, $C$9, 100%, $E$9)</f>
        <v>8.1019000000000005</v>
      </c>
      <c r="L196" s="11">
        <f>5.0713 * CHOOSE(CONTROL!$C$32, $C$9, 100%, $E$9)</f>
        <v>5.0712999999999999</v>
      </c>
      <c r="M196" s="11">
        <f>5.0749 * CHOOSE(CONTROL!$C$32, $C$9, 100%, $E$9)</f>
        <v>5.0749000000000004</v>
      </c>
      <c r="N196" s="11">
        <f>5.0713 * CHOOSE(CONTROL!$C$32, $C$9, 100%, $E$9)</f>
        <v>5.0712999999999999</v>
      </c>
      <c r="O196" s="11">
        <f>5.0749 * CHOOSE(CONTROL!$C$32, $C$9, 100%, $E$9)</f>
        <v>5.0749000000000004</v>
      </c>
    </row>
    <row r="197" spans="1:15" ht="15" x14ac:dyDescent="0.2">
      <c r="A197" s="13">
        <v>46844</v>
      </c>
      <c r="B197" s="9">
        <f>3.9817 * CHOOSE(CONTROL!$C$32, $C$9, 100%, $E$9)</f>
        <v>3.9817</v>
      </c>
      <c r="C197" s="9">
        <f>3.9817 * CHOOSE(CONTROL!$C$32, $C$9, 100%, $E$9)</f>
        <v>3.9817</v>
      </c>
      <c r="D197" s="9">
        <f>3.9828 * CHOOSE(CONTROL!$C$32, $C$9, 100%, $E$9)</f>
        <v>3.9828000000000001</v>
      </c>
      <c r="E197" s="11">
        <f>5.0692 * CHOOSE(CONTROL!$C$32, $C$9, 100%, $E$9)</f>
        <v>5.0692000000000004</v>
      </c>
      <c r="F197" s="11">
        <f>5.0692 * CHOOSE(CONTROL!$C$32, $C$9, 100%, $E$9)</f>
        <v>5.0692000000000004</v>
      </c>
      <c r="G197" s="11">
        <f>5.0728 * CHOOSE(CONTROL!$C$32, $C$9, 100%, $E$9)</f>
        <v>5.0728</v>
      </c>
      <c r="H197" s="11">
        <f>8.1152 * CHOOSE(CONTROL!$C$32, $C$9, 100%, $E$9)</f>
        <v>8.1151999999999997</v>
      </c>
      <c r="I197" s="11">
        <f>8.1188 * CHOOSE(CONTROL!$C$32, $C$9, 100%, $E$9)</f>
        <v>8.1188000000000002</v>
      </c>
      <c r="J197" s="11">
        <f>8.1152 * CHOOSE(CONTROL!$C$32, $C$9, 100%, $E$9)</f>
        <v>8.1151999999999997</v>
      </c>
      <c r="K197" s="11">
        <f>8.1188 * CHOOSE(CONTROL!$C$32, $C$9, 100%, $E$9)</f>
        <v>8.1188000000000002</v>
      </c>
      <c r="L197" s="11">
        <f>5.0692 * CHOOSE(CONTROL!$C$32, $C$9, 100%, $E$9)</f>
        <v>5.0692000000000004</v>
      </c>
      <c r="M197" s="11">
        <f>5.0728 * CHOOSE(CONTROL!$C$32, $C$9, 100%, $E$9)</f>
        <v>5.0728</v>
      </c>
      <c r="N197" s="11">
        <f>5.0692 * CHOOSE(CONTROL!$C$32, $C$9, 100%, $E$9)</f>
        <v>5.0692000000000004</v>
      </c>
      <c r="O197" s="11">
        <f>5.0728 * CHOOSE(CONTROL!$C$32, $C$9, 100%, $E$9)</f>
        <v>5.0728</v>
      </c>
    </row>
    <row r="198" spans="1:15" ht="15" x14ac:dyDescent="0.2">
      <c r="A198" s="13">
        <v>46874</v>
      </c>
      <c r="B198" s="9">
        <f>3.9817 * CHOOSE(CONTROL!$C$32, $C$9, 100%, $E$9)</f>
        <v>3.9817</v>
      </c>
      <c r="C198" s="9">
        <f>3.9817 * CHOOSE(CONTROL!$C$32, $C$9, 100%, $E$9)</f>
        <v>3.9817</v>
      </c>
      <c r="D198" s="9">
        <f>3.9833 * CHOOSE(CONTROL!$C$32, $C$9, 100%, $E$9)</f>
        <v>3.9832999999999998</v>
      </c>
      <c r="E198" s="11">
        <f>5.0692 * CHOOSE(CONTROL!$C$32, $C$9, 100%, $E$9)</f>
        <v>5.0692000000000004</v>
      </c>
      <c r="F198" s="11">
        <f>5.0692 * CHOOSE(CONTROL!$C$32, $C$9, 100%, $E$9)</f>
        <v>5.0692000000000004</v>
      </c>
      <c r="G198" s="11">
        <f>5.0745 * CHOOSE(CONTROL!$C$32, $C$9, 100%, $E$9)</f>
        <v>5.0744999999999996</v>
      </c>
      <c r="H198" s="11">
        <f>8.1321 * CHOOSE(CONTROL!$C$32, $C$9, 100%, $E$9)</f>
        <v>8.1320999999999994</v>
      </c>
      <c r="I198" s="11">
        <f>8.1374 * CHOOSE(CONTROL!$C$32, $C$9, 100%, $E$9)</f>
        <v>8.1373999999999995</v>
      </c>
      <c r="J198" s="11">
        <f>8.1321 * CHOOSE(CONTROL!$C$32, $C$9, 100%, $E$9)</f>
        <v>8.1320999999999994</v>
      </c>
      <c r="K198" s="11">
        <f>8.1374 * CHOOSE(CONTROL!$C$32, $C$9, 100%, $E$9)</f>
        <v>8.1373999999999995</v>
      </c>
      <c r="L198" s="11">
        <f>5.0692 * CHOOSE(CONTROL!$C$32, $C$9, 100%, $E$9)</f>
        <v>5.0692000000000004</v>
      </c>
      <c r="M198" s="11">
        <f>5.0745 * CHOOSE(CONTROL!$C$32, $C$9, 100%, $E$9)</f>
        <v>5.0744999999999996</v>
      </c>
      <c r="N198" s="11">
        <f>5.0692 * CHOOSE(CONTROL!$C$32, $C$9, 100%, $E$9)</f>
        <v>5.0692000000000004</v>
      </c>
      <c r="O198" s="11">
        <f>5.0745 * CHOOSE(CONTROL!$C$32, $C$9, 100%, $E$9)</f>
        <v>5.0744999999999996</v>
      </c>
    </row>
    <row r="199" spans="1:15" ht="15" x14ac:dyDescent="0.2">
      <c r="A199" s="13">
        <v>46905</v>
      </c>
      <c r="B199" s="9">
        <f>3.9878 * CHOOSE(CONTROL!$C$32, $C$9, 100%, $E$9)</f>
        <v>3.9878</v>
      </c>
      <c r="C199" s="9">
        <f>3.9878 * CHOOSE(CONTROL!$C$32, $C$9, 100%, $E$9)</f>
        <v>3.9878</v>
      </c>
      <c r="D199" s="9">
        <f>3.9893 * CHOOSE(CONTROL!$C$32, $C$9, 100%, $E$9)</f>
        <v>3.9893000000000001</v>
      </c>
      <c r="E199" s="11">
        <f>5.0732 * CHOOSE(CONTROL!$C$32, $C$9, 100%, $E$9)</f>
        <v>5.0731999999999999</v>
      </c>
      <c r="F199" s="11">
        <f>5.0732 * CHOOSE(CONTROL!$C$32, $C$9, 100%, $E$9)</f>
        <v>5.0731999999999999</v>
      </c>
      <c r="G199" s="11">
        <f>5.0785 * CHOOSE(CONTROL!$C$32, $C$9, 100%, $E$9)</f>
        <v>5.0785</v>
      </c>
      <c r="H199" s="11">
        <f>8.149 * CHOOSE(CONTROL!$C$32, $C$9, 100%, $E$9)</f>
        <v>8.1489999999999991</v>
      </c>
      <c r="I199" s="11">
        <f>8.1543 * CHOOSE(CONTROL!$C$32, $C$9, 100%, $E$9)</f>
        <v>8.1542999999999992</v>
      </c>
      <c r="J199" s="11">
        <f>8.149 * CHOOSE(CONTROL!$C$32, $C$9, 100%, $E$9)</f>
        <v>8.1489999999999991</v>
      </c>
      <c r="K199" s="11">
        <f>8.1543 * CHOOSE(CONTROL!$C$32, $C$9, 100%, $E$9)</f>
        <v>8.1542999999999992</v>
      </c>
      <c r="L199" s="11">
        <f>5.0732 * CHOOSE(CONTROL!$C$32, $C$9, 100%, $E$9)</f>
        <v>5.0731999999999999</v>
      </c>
      <c r="M199" s="11">
        <f>5.0785 * CHOOSE(CONTROL!$C$32, $C$9, 100%, $E$9)</f>
        <v>5.0785</v>
      </c>
      <c r="N199" s="11">
        <f>5.0732 * CHOOSE(CONTROL!$C$32, $C$9, 100%, $E$9)</f>
        <v>5.0731999999999999</v>
      </c>
      <c r="O199" s="11">
        <f>5.0785 * CHOOSE(CONTROL!$C$32, $C$9, 100%, $E$9)</f>
        <v>5.0785</v>
      </c>
    </row>
    <row r="200" spans="1:15" ht="15" x14ac:dyDescent="0.2">
      <c r="A200" s="13">
        <v>46935</v>
      </c>
      <c r="B200" s="9">
        <f>4.0588 * CHOOSE(CONTROL!$C$32, $C$9, 100%, $E$9)</f>
        <v>4.0587999999999997</v>
      </c>
      <c r="C200" s="9">
        <f>4.0588 * CHOOSE(CONTROL!$C$32, $C$9, 100%, $E$9)</f>
        <v>4.0587999999999997</v>
      </c>
      <c r="D200" s="9">
        <f>4.0603 * CHOOSE(CONTROL!$C$32, $C$9, 100%, $E$9)</f>
        <v>4.0602999999999998</v>
      </c>
      <c r="E200" s="11">
        <f>5.1714 * CHOOSE(CONTROL!$C$32, $C$9, 100%, $E$9)</f>
        <v>5.1714000000000002</v>
      </c>
      <c r="F200" s="11">
        <f>5.1714 * CHOOSE(CONTROL!$C$32, $C$9, 100%, $E$9)</f>
        <v>5.1714000000000002</v>
      </c>
      <c r="G200" s="11">
        <f>5.1767 * CHOOSE(CONTROL!$C$32, $C$9, 100%, $E$9)</f>
        <v>5.1767000000000003</v>
      </c>
      <c r="H200" s="11">
        <f>8.166 * CHOOSE(CONTROL!$C$32, $C$9, 100%, $E$9)</f>
        <v>8.1660000000000004</v>
      </c>
      <c r="I200" s="11">
        <f>8.1713 * CHOOSE(CONTROL!$C$32, $C$9, 100%, $E$9)</f>
        <v>8.1713000000000005</v>
      </c>
      <c r="J200" s="11">
        <f>8.166 * CHOOSE(CONTROL!$C$32, $C$9, 100%, $E$9)</f>
        <v>8.1660000000000004</v>
      </c>
      <c r="K200" s="11">
        <f>8.1713 * CHOOSE(CONTROL!$C$32, $C$9, 100%, $E$9)</f>
        <v>8.1713000000000005</v>
      </c>
      <c r="L200" s="11">
        <f>5.1714 * CHOOSE(CONTROL!$C$32, $C$9, 100%, $E$9)</f>
        <v>5.1714000000000002</v>
      </c>
      <c r="M200" s="11">
        <f>5.1767 * CHOOSE(CONTROL!$C$32, $C$9, 100%, $E$9)</f>
        <v>5.1767000000000003</v>
      </c>
      <c r="N200" s="11">
        <f>5.1714 * CHOOSE(CONTROL!$C$32, $C$9, 100%, $E$9)</f>
        <v>5.1714000000000002</v>
      </c>
      <c r="O200" s="11">
        <f>5.1767 * CHOOSE(CONTROL!$C$32, $C$9, 100%, $E$9)</f>
        <v>5.1767000000000003</v>
      </c>
    </row>
    <row r="201" spans="1:15" ht="15" x14ac:dyDescent="0.2">
      <c r="A201" s="13">
        <v>46966</v>
      </c>
      <c r="B201" s="9">
        <f>4.0654 * CHOOSE(CONTROL!$C$32, $C$9, 100%, $E$9)</f>
        <v>4.0654000000000003</v>
      </c>
      <c r="C201" s="9">
        <f>4.0654 * CHOOSE(CONTROL!$C$32, $C$9, 100%, $E$9)</f>
        <v>4.0654000000000003</v>
      </c>
      <c r="D201" s="9">
        <f>4.067 * CHOOSE(CONTROL!$C$32, $C$9, 100%, $E$9)</f>
        <v>4.0670000000000002</v>
      </c>
      <c r="E201" s="11">
        <f>5.1758 * CHOOSE(CONTROL!$C$32, $C$9, 100%, $E$9)</f>
        <v>5.1757999999999997</v>
      </c>
      <c r="F201" s="11">
        <f>5.1758 * CHOOSE(CONTROL!$C$32, $C$9, 100%, $E$9)</f>
        <v>5.1757999999999997</v>
      </c>
      <c r="G201" s="11">
        <f>5.1811 * CHOOSE(CONTROL!$C$32, $C$9, 100%, $E$9)</f>
        <v>5.1810999999999998</v>
      </c>
      <c r="H201" s="11">
        <f>8.183 * CHOOSE(CONTROL!$C$32, $C$9, 100%, $E$9)</f>
        <v>8.1829999999999998</v>
      </c>
      <c r="I201" s="11">
        <f>8.1883 * CHOOSE(CONTROL!$C$32, $C$9, 100%, $E$9)</f>
        <v>8.1882999999999999</v>
      </c>
      <c r="J201" s="11">
        <f>8.183 * CHOOSE(CONTROL!$C$32, $C$9, 100%, $E$9)</f>
        <v>8.1829999999999998</v>
      </c>
      <c r="K201" s="11">
        <f>8.1883 * CHOOSE(CONTROL!$C$32, $C$9, 100%, $E$9)</f>
        <v>8.1882999999999999</v>
      </c>
      <c r="L201" s="11">
        <f>5.1758 * CHOOSE(CONTROL!$C$32, $C$9, 100%, $E$9)</f>
        <v>5.1757999999999997</v>
      </c>
      <c r="M201" s="11">
        <f>5.1811 * CHOOSE(CONTROL!$C$32, $C$9, 100%, $E$9)</f>
        <v>5.1810999999999998</v>
      </c>
      <c r="N201" s="11">
        <f>5.1758 * CHOOSE(CONTROL!$C$32, $C$9, 100%, $E$9)</f>
        <v>5.1757999999999997</v>
      </c>
      <c r="O201" s="11">
        <f>5.1811 * CHOOSE(CONTROL!$C$32, $C$9, 100%, $E$9)</f>
        <v>5.1810999999999998</v>
      </c>
    </row>
    <row r="202" spans="1:15" ht="15" x14ac:dyDescent="0.2">
      <c r="A202" s="13">
        <v>46997</v>
      </c>
      <c r="B202" s="9">
        <f>4.0624 * CHOOSE(CONTROL!$C$32, $C$9, 100%, $E$9)</f>
        <v>4.0624000000000002</v>
      </c>
      <c r="C202" s="9">
        <f>4.0624 * CHOOSE(CONTROL!$C$32, $C$9, 100%, $E$9)</f>
        <v>4.0624000000000002</v>
      </c>
      <c r="D202" s="9">
        <f>4.064 * CHOOSE(CONTROL!$C$32, $C$9, 100%, $E$9)</f>
        <v>4.0640000000000001</v>
      </c>
      <c r="E202" s="11">
        <f>5.1738 * CHOOSE(CONTROL!$C$32, $C$9, 100%, $E$9)</f>
        <v>5.1738</v>
      </c>
      <c r="F202" s="11">
        <f>5.1738 * CHOOSE(CONTROL!$C$32, $C$9, 100%, $E$9)</f>
        <v>5.1738</v>
      </c>
      <c r="G202" s="11">
        <f>5.1791 * CHOOSE(CONTROL!$C$32, $C$9, 100%, $E$9)</f>
        <v>5.1791</v>
      </c>
      <c r="H202" s="11">
        <f>8.2 * CHOOSE(CONTROL!$C$32, $C$9, 100%, $E$9)</f>
        <v>8.1999999999999993</v>
      </c>
      <c r="I202" s="11">
        <f>8.2053 * CHOOSE(CONTROL!$C$32, $C$9, 100%, $E$9)</f>
        <v>8.2052999999999994</v>
      </c>
      <c r="J202" s="11">
        <f>8.2 * CHOOSE(CONTROL!$C$32, $C$9, 100%, $E$9)</f>
        <v>8.1999999999999993</v>
      </c>
      <c r="K202" s="11">
        <f>8.2053 * CHOOSE(CONTROL!$C$32, $C$9, 100%, $E$9)</f>
        <v>8.2052999999999994</v>
      </c>
      <c r="L202" s="11">
        <f>5.1738 * CHOOSE(CONTROL!$C$32, $C$9, 100%, $E$9)</f>
        <v>5.1738</v>
      </c>
      <c r="M202" s="11">
        <f>5.1791 * CHOOSE(CONTROL!$C$32, $C$9, 100%, $E$9)</f>
        <v>5.1791</v>
      </c>
      <c r="N202" s="11">
        <f>5.1738 * CHOOSE(CONTROL!$C$32, $C$9, 100%, $E$9)</f>
        <v>5.1738</v>
      </c>
      <c r="O202" s="11">
        <f>5.1791 * CHOOSE(CONTROL!$C$32, $C$9, 100%, $E$9)</f>
        <v>5.1791</v>
      </c>
    </row>
    <row r="203" spans="1:15" ht="15" x14ac:dyDescent="0.2">
      <c r="A203" s="13">
        <v>47027</v>
      </c>
      <c r="B203" s="9">
        <f>4.0577 * CHOOSE(CONTROL!$C$32, $C$9, 100%, $E$9)</f>
        <v>4.0576999999999996</v>
      </c>
      <c r="C203" s="9">
        <f>4.0577 * CHOOSE(CONTROL!$C$32, $C$9, 100%, $E$9)</f>
        <v>4.0576999999999996</v>
      </c>
      <c r="D203" s="9">
        <f>4.0588 * CHOOSE(CONTROL!$C$32, $C$9, 100%, $E$9)</f>
        <v>4.0587999999999997</v>
      </c>
      <c r="E203" s="11">
        <f>5.1686 * CHOOSE(CONTROL!$C$32, $C$9, 100%, $E$9)</f>
        <v>5.1685999999999996</v>
      </c>
      <c r="F203" s="11">
        <f>5.1686 * CHOOSE(CONTROL!$C$32, $C$9, 100%, $E$9)</f>
        <v>5.1685999999999996</v>
      </c>
      <c r="G203" s="11">
        <f>5.1722 * CHOOSE(CONTROL!$C$32, $C$9, 100%, $E$9)</f>
        <v>5.1722000000000001</v>
      </c>
      <c r="H203" s="11">
        <f>8.2171 * CHOOSE(CONTROL!$C$32, $C$9, 100%, $E$9)</f>
        <v>8.2171000000000003</v>
      </c>
      <c r="I203" s="11">
        <f>8.2207 * CHOOSE(CONTROL!$C$32, $C$9, 100%, $E$9)</f>
        <v>8.2207000000000008</v>
      </c>
      <c r="J203" s="11">
        <f>8.2171 * CHOOSE(CONTROL!$C$32, $C$9, 100%, $E$9)</f>
        <v>8.2171000000000003</v>
      </c>
      <c r="K203" s="11">
        <f>8.2207 * CHOOSE(CONTROL!$C$32, $C$9, 100%, $E$9)</f>
        <v>8.2207000000000008</v>
      </c>
      <c r="L203" s="11">
        <f>5.1686 * CHOOSE(CONTROL!$C$32, $C$9, 100%, $E$9)</f>
        <v>5.1685999999999996</v>
      </c>
      <c r="M203" s="11">
        <f>5.1722 * CHOOSE(CONTROL!$C$32, $C$9, 100%, $E$9)</f>
        <v>5.1722000000000001</v>
      </c>
      <c r="N203" s="11">
        <f>5.1686 * CHOOSE(CONTROL!$C$32, $C$9, 100%, $E$9)</f>
        <v>5.1685999999999996</v>
      </c>
      <c r="O203" s="11">
        <f>5.1722 * CHOOSE(CONTROL!$C$32, $C$9, 100%, $E$9)</f>
        <v>5.1722000000000001</v>
      </c>
    </row>
    <row r="204" spans="1:15" ht="15" x14ac:dyDescent="0.2">
      <c r="A204" s="13">
        <v>47058</v>
      </c>
      <c r="B204" s="9">
        <f>4.0607 * CHOOSE(CONTROL!$C$32, $C$9, 100%, $E$9)</f>
        <v>4.0606999999999998</v>
      </c>
      <c r="C204" s="9">
        <f>4.0607 * CHOOSE(CONTROL!$C$32, $C$9, 100%, $E$9)</f>
        <v>4.0606999999999998</v>
      </c>
      <c r="D204" s="9">
        <f>4.0618 * CHOOSE(CONTROL!$C$32, $C$9, 100%, $E$9)</f>
        <v>4.0617999999999999</v>
      </c>
      <c r="E204" s="11">
        <f>5.1706 * CHOOSE(CONTROL!$C$32, $C$9, 100%, $E$9)</f>
        <v>5.1706000000000003</v>
      </c>
      <c r="F204" s="11">
        <f>5.1706 * CHOOSE(CONTROL!$C$32, $C$9, 100%, $E$9)</f>
        <v>5.1706000000000003</v>
      </c>
      <c r="G204" s="11">
        <f>5.1742 * CHOOSE(CONTROL!$C$32, $C$9, 100%, $E$9)</f>
        <v>5.1741999999999999</v>
      </c>
      <c r="H204" s="11">
        <f>8.2342 * CHOOSE(CONTROL!$C$32, $C$9, 100%, $E$9)</f>
        <v>8.2341999999999995</v>
      </c>
      <c r="I204" s="11">
        <f>8.2379 * CHOOSE(CONTROL!$C$32, $C$9, 100%, $E$9)</f>
        <v>8.2378999999999998</v>
      </c>
      <c r="J204" s="11">
        <f>8.2342 * CHOOSE(CONTROL!$C$32, $C$9, 100%, $E$9)</f>
        <v>8.2341999999999995</v>
      </c>
      <c r="K204" s="11">
        <f>8.2379 * CHOOSE(CONTROL!$C$32, $C$9, 100%, $E$9)</f>
        <v>8.2378999999999998</v>
      </c>
      <c r="L204" s="11">
        <f>5.1706 * CHOOSE(CONTROL!$C$32, $C$9, 100%, $E$9)</f>
        <v>5.1706000000000003</v>
      </c>
      <c r="M204" s="11">
        <f>5.1742 * CHOOSE(CONTROL!$C$32, $C$9, 100%, $E$9)</f>
        <v>5.1741999999999999</v>
      </c>
      <c r="N204" s="11">
        <f>5.1706 * CHOOSE(CONTROL!$C$32, $C$9, 100%, $E$9)</f>
        <v>5.1706000000000003</v>
      </c>
      <c r="O204" s="11">
        <f>5.1742 * CHOOSE(CONTROL!$C$32, $C$9, 100%, $E$9)</f>
        <v>5.1741999999999999</v>
      </c>
    </row>
    <row r="205" spans="1:15" ht="15" x14ac:dyDescent="0.2">
      <c r="A205" s="13">
        <v>47088</v>
      </c>
      <c r="B205" s="9">
        <f>4.0607 * CHOOSE(CONTROL!$C$32, $C$9, 100%, $E$9)</f>
        <v>4.0606999999999998</v>
      </c>
      <c r="C205" s="9">
        <f>4.0607 * CHOOSE(CONTROL!$C$32, $C$9, 100%, $E$9)</f>
        <v>4.0606999999999998</v>
      </c>
      <c r="D205" s="9">
        <f>4.0618 * CHOOSE(CONTROL!$C$32, $C$9, 100%, $E$9)</f>
        <v>4.0617999999999999</v>
      </c>
      <c r="E205" s="11">
        <f>5.1706 * CHOOSE(CONTROL!$C$32, $C$9, 100%, $E$9)</f>
        <v>5.1706000000000003</v>
      </c>
      <c r="F205" s="11">
        <f>5.1706 * CHOOSE(CONTROL!$C$32, $C$9, 100%, $E$9)</f>
        <v>5.1706000000000003</v>
      </c>
      <c r="G205" s="11">
        <f>5.1742 * CHOOSE(CONTROL!$C$32, $C$9, 100%, $E$9)</f>
        <v>5.1741999999999999</v>
      </c>
      <c r="H205" s="11">
        <f>8.2514 * CHOOSE(CONTROL!$C$32, $C$9, 100%, $E$9)</f>
        <v>8.2514000000000003</v>
      </c>
      <c r="I205" s="11">
        <f>8.255 * CHOOSE(CONTROL!$C$32, $C$9, 100%, $E$9)</f>
        <v>8.2550000000000008</v>
      </c>
      <c r="J205" s="11">
        <f>8.2514 * CHOOSE(CONTROL!$C$32, $C$9, 100%, $E$9)</f>
        <v>8.2514000000000003</v>
      </c>
      <c r="K205" s="11">
        <f>8.255 * CHOOSE(CONTROL!$C$32, $C$9, 100%, $E$9)</f>
        <v>8.2550000000000008</v>
      </c>
      <c r="L205" s="11">
        <f>5.1706 * CHOOSE(CONTROL!$C$32, $C$9, 100%, $E$9)</f>
        <v>5.1706000000000003</v>
      </c>
      <c r="M205" s="11">
        <f>5.1742 * CHOOSE(CONTROL!$C$32, $C$9, 100%, $E$9)</f>
        <v>5.1741999999999999</v>
      </c>
      <c r="N205" s="11">
        <f>5.1706 * CHOOSE(CONTROL!$C$32, $C$9, 100%, $E$9)</f>
        <v>5.1706000000000003</v>
      </c>
      <c r="O205" s="11">
        <f>5.1742 * CHOOSE(CONTROL!$C$32, $C$9, 100%, $E$9)</f>
        <v>5.1741999999999999</v>
      </c>
    </row>
    <row r="206" spans="1:15" ht="15" x14ac:dyDescent="0.2">
      <c r="A206" s="13">
        <v>47119</v>
      </c>
      <c r="B206" s="9">
        <f>4.0932 * CHOOSE(CONTROL!$C$32, $C$9, 100%, $E$9)</f>
        <v>4.0932000000000004</v>
      </c>
      <c r="C206" s="9">
        <f>4.0932 * CHOOSE(CONTROL!$C$32, $C$9, 100%, $E$9)</f>
        <v>4.0932000000000004</v>
      </c>
      <c r="D206" s="9">
        <f>4.0943 * CHOOSE(CONTROL!$C$32, $C$9, 100%, $E$9)</f>
        <v>4.0942999999999996</v>
      </c>
      <c r="E206" s="11">
        <f>5.2103 * CHOOSE(CONTROL!$C$32, $C$9, 100%, $E$9)</f>
        <v>5.2103000000000002</v>
      </c>
      <c r="F206" s="11">
        <f>5.2103 * CHOOSE(CONTROL!$C$32, $C$9, 100%, $E$9)</f>
        <v>5.2103000000000002</v>
      </c>
      <c r="G206" s="11">
        <f>5.2139 * CHOOSE(CONTROL!$C$32, $C$9, 100%, $E$9)</f>
        <v>5.2138999999999998</v>
      </c>
      <c r="H206" s="11">
        <f>8.2686 * CHOOSE(CONTROL!$C$32, $C$9, 100%, $E$9)</f>
        <v>8.2685999999999993</v>
      </c>
      <c r="I206" s="11">
        <f>8.2722 * CHOOSE(CONTROL!$C$32, $C$9, 100%, $E$9)</f>
        <v>8.2721999999999998</v>
      </c>
      <c r="J206" s="11">
        <f>8.2686 * CHOOSE(CONTROL!$C$32, $C$9, 100%, $E$9)</f>
        <v>8.2685999999999993</v>
      </c>
      <c r="K206" s="11">
        <f>8.2722 * CHOOSE(CONTROL!$C$32, $C$9, 100%, $E$9)</f>
        <v>8.2721999999999998</v>
      </c>
      <c r="L206" s="11">
        <f>5.2103 * CHOOSE(CONTROL!$C$32, $C$9, 100%, $E$9)</f>
        <v>5.2103000000000002</v>
      </c>
      <c r="M206" s="11">
        <f>5.2139 * CHOOSE(CONTROL!$C$32, $C$9, 100%, $E$9)</f>
        <v>5.2138999999999998</v>
      </c>
      <c r="N206" s="11">
        <f>5.2103 * CHOOSE(CONTROL!$C$32, $C$9, 100%, $E$9)</f>
        <v>5.2103000000000002</v>
      </c>
      <c r="O206" s="11">
        <f>5.2139 * CHOOSE(CONTROL!$C$32, $C$9, 100%, $E$9)</f>
        <v>5.2138999999999998</v>
      </c>
    </row>
    <row r="207" spans="1:15" ht="15" x14ac:dyDescent="0.2">
      <c r="A207" s="13">
        <v>47150</v>
      </c>
      <c r="B207" s="9">
        <f>4.0902 * CHOOSE(CONTROL!$C$32, $C$9, 100%, $E$9)</f>
        <v>4.0902000000000003</v>
      </c>
      <c r="C207" s="9">
        <f>4.0902 * CHOOSE(CONTROL!$C$32, $C$9, 100%, $E$9)</f>
        <v>4.0902000000000003</v>
      </c>
      <c r="D207" s="9">
        <f>4.0913 * CHOOSE(CONTROL!$C$32, $C$9, 100%, $E$9)</f>
        <v>4.0913000000000004</v>
      </c>
      <c r="E207" s="11">
        <f>5.2083 * CHOOSE(CONTROL!$C$32, $C$9, 100%, $E$9)</f>
        <v>5.2083000000000004</v>
      </c>
      <c r="F207" s="11">
        <f>5.2083 * CHOOSE(CONTROL!$C$32, $C$9, 100%, $E$9)</f>
        <v>5.2083000000000004</v>
      </c>
      <c r="G207" s="11">
        <f>5.2119 * CHOOSE(CONTROL!$C$32, $C$9, 100%, $E$9)</f>
        <v>5.2119</v>
      </c>
      <c r="H207" s="11">
        <f>8.2858 * CHOOSE(CONTROL!$C$32, $C$9, 100%, $E$9)</f>
        <v>8.2858000000000001</v>
      </c>
      <c r="I207" s="11">
        <f>8.2894 * CHOOSE(CONTROL!$C$32, $C$9, 100%, $E$9)</f>
        <v>8.2894000000000005</v>
      </c>
      <c r="J207" s="11">
        <f>8.2858 * CHOOSE(CONTROL!$C$32, $C$9, 100%, $E$9)</f>
        <v>8.2858000000000001</v>
      </c>
      <c r="K207" s="11">
        <f>8.2894 * CHOOSE(CONTROL!$C$32, $C$9, 100%, $E$9)</f>
        <v>8.2894000000000005</v>
      </c>
      <c r="L207" s="11">
        <f>5.2083 * CHOOSE(CONTROL!$C$32, $C$9, 100%, $E$9)</f>
        <v>5.2083000000000004</v>
      </c>
      <c r="M207" s="11">
        <f>5.2119 * CHOOSE(CONTROL!$C$32, $C$9, 100%, $E$9)</f>
        <v>5.2119</v>
      </c>
      <c r="N207" s="11">
        <f>5.2083 * CHOOSE(CONTROL!$C$32, $C$9, 100%, $E$9)</f>
        <v>5.2083000000000004</v>
      </c>
      <c r="O207" s="11">
        <f>5.2119 * CHOOSE(CONTROL!$C$32, $C$9, 100%, $E$9)</f>
        <v>5.2119</v>
      </c>
    </row>
    <row r="208" spans="1:15" ht="15" x14ac:dyDescent="0.2">
      <c r="A208" s="13">
        <v>47178</v>
      </c>
      <c r="B208" s="9">
        <f>4.0872 * CHOOSE(CONTROL!$C$32, $C$9, 100%, $E$9)</f>
        <v>4.0872000000000002</v>
      </c>
      <c r="C208" s="9">
        <f>4.0872 * CHOOSE(CONTROL!$C$32, $C$9, 100%, $E$9)</f>
        <v>4.0872000000000002</v>
      </c>
      <c r="D208" s="9">
        <f>4.0882 * CHOOSE(CONTROL!$C$32, $C$9, 100%, $E$9)</f>
        <v>4.0881999999999996</v>
      </c>
      <c r="E208" s="11">
        <f>5.2063 * CHOOSE(CONTROL!$C$32, $C$9, 100%, $E$9)</f>
        <v>5.2062999999999997</v>
      </c>
      <c r="F208" s="11">
        <f>5.2063 * CHOOSE(CONTROL!$C$32, $C$9, 100%, $E$9)</f>
        <v>5.2062999999999997</v>
      </c>
      <c r="G208" s="11">
        <f>5.2099 * CHOOSE(CONTROL!$C$32, $C$9, 100%, $E$9)</f>
        <v>5.2099000000000002</v>
      </c>
      <c r="H208" s="11">
        <f>8.3031 * CHOOSE(CONTROL!$C$32, $C$9, 100%, $E$9)</f>
        <v>8.3031000000000006</v>
      </c>
      <c r="I208" s="11">
        <f>8.3067 * CHOOSE(CONTROL!$C$32, $C$9, 100%, $E$9)</f>
        <v>8.3066999999999993</v>
      </c>
      <c r="J208" s="11">
        <f>8.3031 * CHOOSE(CONTROL!$C$32, $C$9, 100%, $E$9)</f>
        <v>8.3031000000000006</v>
      </c>
      <c r="K208" s="11">
        <f>8.3067 * CHOOSE(CONTROL!$C$32, $C$9, 100%, $E$9)</f>
        <v>8.3066999999999993</v>
      </c>
      <c r="L208" s="11">
        <f>5.2063 * CHOOSE(CONTROL!$C$32, $C$9, 100%, $E$9)</f>
        <v>5.2062999999999997</v>
      </c>
      <c r="M208" s="11">
        <f>5.2099 * CHOOSE(CONTROL!$C$32, $C$9, 100%, $E$9)</f>
        <v>5.2099000000000002</v>
      </c>
      <c r="N208" s="11">
        <f>5.2063 * CHOOSE(CONTROL!$C$32, $C$9, 100%, $E$9)</f>
        <v>5.2062999999999997</v>
      </c>
      <c r="O208" s="11">
        <f>5.2099 * CHOOSE(CONTROL!$C$32, $C$9, 100%, $E$9)</f>
        <v>5.2099000000000002</v>
      </c>
    </row>
    <row r="209" spans="1:15" ht="15" x14ac:dyDescent="0.2">
      <c r="A209" s="13">
        <v>47209</v>
      </c>
      <c r="B209" s="9">
        <f>4.0849 * CHOOSE(CONTROL!$C$32, $C$9, 100%, $E$9)</f>
        <v>4.0849000000000002</v>
      </c>
      <c r="C209" s="9">
        <f>4.0849 * CHOOSE(CONTROL!$C$32, $C$9, 100%, $E$9)</f>
        <v>4.0849000000000002</v>
      </c>
      <c r="D209" s="9">
        <f>4.086 * CHOOSE(CONTROL!$C$32, $C$9, 100%, $E$9)</f>
        <v>4.0860000000000003</v>
      </c>
      <c r="E209" s="11">
        <f>5.2043 * CHOOSE(CONTROL!$C$32, $C$9, 100%, $E$9)</f>
        <v>5.2042999999999999</v>
      </c>
      <c r="F209" s="11">
        <f>5.2043 * CHOOSE(CONTROL!$C$32, $C$9, 100%, $E$9)</f>
        <v>5.2042999999999999</v>
      </c>
      <c r="G209" s="11">
        <f>5.2079 * CHOOSE(CONTROL!$C$32, $C$9, 100%, $E$9)</f>
        <v>5.2079000000000004</v>
      </c>
      <c r="H209" s="11">
        <f>8.3204 * CHOOSE(CONTROL!$C$32, $C$9, 100%, $E$9)</f>
        <v>8.3203999999999994</v>
      </c>
      <c r="I209" s="11">
        <f>8.324 * CHOOSE(CONTROL!$C$32, $C$9, 100%, $E$9)</f>
        <v>8.3239999999999998</v>
      </c>
      <c r="J209" s="11">
        <f>8.3204 * CHOOSE(CONTROL!$C$32, $C$9, 100%, $E$9)</f>
        <v>8.3203999999999994</v>
      </c>
      <c r="K209" s="11">
        <f>8.324 * CHOOSE(CONTROL!$C$32, $C$9, 100%, $E$9)</f>
        <v>8.3239999999999998</v>
      </c>
      <c r="L209" s="11">
        <f>5.2043 * CHOOSE(CONTROL!$C$32, $C$9, 100%, $E$9)</f>
        <v>5.2042999999999999</v>
      </c>
      <c r="M209" s="11">
        <f>5.2079 * CHOOSE(CONTROL!$C$32, $C$9, 100%, $E$9)</f>
        <v>5.2079000000000004</v>
      </c>
      <c r="N209" s="11">
        <f>5.2043 * CHOOSE(CONTROL!$C$32, $C$9, 100%, $E$9)</f>
        <v>5.2042999999999999</v>
      </c>
      <c r="O209" s="11">
        <f>5.2079 * CHOOSE(CONTROL!$C$32, $C$9, 100%, $E$9)</f>
        <v>5.2079000000000004</v>
      </c>
    </row>
    <row r="210" spans="1:15" ht="15" x14ac:dyDescent="0.2">
      <c r="A210" s="13">
        <v>47239</v>
      </c>
      <c r="B210" s="9">
        <f>4.0849 * CHOOSE(CONTROL!$C$32, $C$9, 100%, $E$9)</f>
        <v>4.0849000000000002</v>
      </c>
      <c r="C210" s="9">
        <f>4.0849 * CHOOSE(CONTROL!$C$32, $C$9, 100%, $E$9)</f>
        <v>4.0849000000000002</v>
      </c>
      <c r="D210" s="9">
        <f>4.0865 * CHOOSE(CONTROL!$C$32, $C$9, 100%, $E$9)</f>
        <v>4.0865</v>
      </c>
      <c r="E210" s="11">
        <f>5.2043 * CHOOSE(CONTROL!$C$32, $C$9, 100%, $E$9)</f>
        <v>5.2042999999999999</v>
      </c>
      <c r="F210" s="11">
        <f>5.2043 * CHOOSE(CONTROL!$C$32, $C$9, 100%, $E$9)</f>
        <v>5.2042999999999999</v>
      </c>
      <c r="G210" s="11">
        <f>5.2096 * CHOOSE(CONTROL!$C$32, $C$9, 100%, $E$9)</f>
        <v>5.2096</v>
      </c>
      <c r="H210" s="11">
        <f>8.3377 * CHOOSE(CONTROL!$C$32, $C$9, 100%, $E$9)</f>
        <v>8.3376999999999999</v>
      </c>
      <c r="I210" s="11">
        <f>8.343 * CHOOSE(CONTROL!$C$32, $C$9, 100%, $E$9)</f>
        <v>8.343</v>
      </c>
      <c r="J210" s="11">
        <f>8.3377 * CHOOSE(CONTROL!$C$32, $C$9, 100%, $E$9)</f>
        <v>8.3376999999999999</v>
      </c>
      <c r="K210" s="11">
        <f>8.343 * CHOOSE(CONTROL!$C$32, $C$9, 100%, $E$9)</f>
        <v>8.343</v>
      </c>
      <c r="L210" s="11">
        <f>5.2043 * CHOOSE(CONTROL!$C$32, $C$9, 100%, $E$9)</f>
        <v>5.2042999999999999</v>
      </c>
      <c r="M210" s="11">
        <f>5.2096 * CHOOSE(CONTROL!$C$32, $C$9, 100%, $E$9)</f>
        <v>5.2096</v>
      </c>
      <c r="N210" s="11">
        <f>5.2043 * CHOOSE(CONTROL!$C$32, $C$9, 100%, $E$9)</f>
        <v>5.2042999999999999</v>
      </c>
      <c r="O210" s="11">
        <f>5.2096 * CHOOSE(CONTROL!$C$32, $C$9, 100%, $E$9)</f>
        <v>5.2096</v>
      </c>
    </row>
    <row r="211" spans="1:15" ht="15" x14ac:dyDescent="0.2">
      <c r="A211" s="13">
        <v>47270</v>
      </c>
      <c r="B211" s="9">
        <f>4.091 * CHOOSE(CONTROL!$C$32, $C$9, 100%, $E$9)</f>
        <v>4.0910000000000002</v>
      </c>
      <c r="C211" s="9">
        <f>4.091 * CHOOSE(CONTROL!$C$32, $C$9, 100%, $E$9)</f>
        <v>4.0910000000000002</v>
      </c>
      <c r="D211" s="9">
        <f>4.0925 * CHOOSE(CONTROL!$C$32, $C$9, 100%, $E$9)</f>
        <v>4.0925000000000002</v>
      </c>
      <c r="E211" s="11">
        <f>5.2083 * CHOOSE(CONTROL!$C$32, $C$9, 100%, $E$9)</f>
        <v>5.2083000000000004</v>
      </c>
      <c r="F211" s="11">
        <f>5.2083 * CHOOSE(CONTROL!$C$32, $C$9, 100%, $E$9)</f>
        <v>5.2083000000000004</v>
      </c>
      <c r="G211" s="11">
        <f>5.2136 * CHOOSE(CONTROL!$C$32, $C$9, 100%, $E$9)</f>
        <v>5.2135999999999996</v>
      </c>
      <c r="H211" s="11">
        <f>8.3551 * CHOOSE(CONTROL!$C$32, $C$9, 100%, $E$9)</f>
        <v>8.3551000000000002</v>
      </c>
      <c r="I211" s="11">
        <f>8.3604 * CHOOSE(CONTROL!$C$32, $C$9, 100%, $E$9)</f>
        <v>8.3604000000000003</v>
      </c>
      <c r="J211" s="11">
        <f>8.3551 * CHOOSE(CONTROL!$C$32, $C$9, 100%, $E$9)</f>
        <v>8.3551000000000002</v>
      </c>
      <c r="K211" s="11">
        <f>8.3604 * CHOOSE(CONTROL!$C$32, $C$9, 100%, $E$9)</f>
        <v>8.3604000000000003</v>
      </c>
      <c r="L211" s="11">
        <f>5.2083 * CHOOSE(CONTROL!$C$32, $C$9, 100%, $E$9)</f>
        <v>5.2083000000000004</v>
      </c>
      <c r="M211" s="11">
        <f>5.2136 * CHOOSE(CONTROL!$C$32, $C$9, 100%, $E$9)</f>
        <v>5.2135999999999996</v>
      </c>
      <c r="N211" s="11">
        <f>5.2083 * CHOOSE(CONTROL!$C$32, $C$9, 100%, $E$9)</f>
        <v>5.2083000000000004</v>
      </c>
      <c r="O211" s="11">
        <f>5.2136 * CHOOSE(CONTROL!$C$32, $C$9, 100%, $E$9)</f>
        <v>5.2135999999999996</v>
      </c>
    </row>
    <row r="212" spans="1:15" ht="15" x14ac:dyDescent="0.2">
      <c r="A212" s="13">
        <v>47300</v>
      </c>
      <c r="B212" s="9">
        <f>4.1496 * CHOOSE(CONTROL!$C$32, $C$9, 100%, $E$9)</f>
        <v>4.1496000000000004</v>
      </c>
      <c r="C212" s="9">
        <f>4.1496 * CHOOSE(CONTROL!$C$32, $C$9, 100%, $E$9)</f>
        <v>4.1496000000000004</v>
      </c>
      <c r="D212" s="9">
        <f>4.1512 * CHOOSE(CONTROL!$C$32, $C$9, 100%, $E$9)</f>
        <v>4.1512000000000002</v>
      </c>
      <c r="E212" s="11">
        <f>5.2949 * CHOOSE(CONTROL!$C$32, $C$9, 100%, $E$9)</f>
        <v>5.2949000000000002</v>
      </c>
      <c r="F212" s="11">
        <f>5.2949 * CHOOSE(CONTROL!$C$32, $C$9, 100%, $E$9)</f>
        <v>5.2949000000000002</v>
      </c>
      <c r="G212" s="11">
        <f>5.3002 * CHOOSE(CONTROL!$C$32, $C$9, 100%, $E$9)</f>
        <v>5.3002000000000002</v>
      </c>
      <c r="H212" s="11">
        <f>8.3725 * CHOOSE(CONTROL!$C$32, $C$9, 100%, $E$9)</f>
        <v>8.3725000000000005</v>
      </c>
      <c r="I212" s="11">
        <f>8.3778 * CHOOSE(CONTROL!$C$32, $C$9, 100%, $E$9)</f>
        <v>8.3778000000000006</v>
      </c>
      <c r="J212" s="11">
        <f>8.3725 * CHOOSE(CONTROL!$C$32, $C$9, 100%, $E$9)</f>
        <v>8.3725000000000005</v>
      </c>
      <c r="K212" s="11">
        <f>8.3778 * CHOOSE(CONTROL!$C$32, $C$9, 100%, $E$9)</f>
        <v>8.3778000000000006</v>
      </c>
      <c r="L212" s="11">
        <f>5.2949 * CHOOSE(CONTROL!$C$32, $C$9, 100%, $E$9)</f>
        <v>5.2949000000000002</v>
      </c>
      <c r="M212" s="11">
        <f>5.3002 * CHOOSE(CONTROL!$C$32, $C$9, 100%, $E$9)</f>
        <v>5.3002000000000002</v>
      </c>
      <c r="N212" s="11">
        <f>5.2949 * CHOOSE(CONTROL!$C$32, $C$9, 100%, $E$9)</f>
        <v>5.2949000000000002</v>
      </c>
      <c r="O212" s="11">
        <f>5.3002 * CHOOSE(CONTROL!$C$32, $C$9, 100%, $E$9)</f>
        <v>5.3002000000000002</v>
      </c>
    </row>
    <row r="213" spans="1:15" ht="15" x14ac:dyDescent="0.2">
      <c r="A213" s="13">
        <v>47331</v>
      </c>
      <c r="B213" s="9">
        <f>4.1563 * CHOOSE(CONTROL!$C$32, $C$9, 100%, $E$9)</f>
        <v>4.1562999999999999</v>
      </c>
      <c r="C213" s="9">
        <f>4.1563 * CHOOSE(CONTROL!$C$32, $C$9, 100%, $E$9)</f>
        <v>4.1562999999999999</v>
      </c>
      <c r="D213" s="9">
        <f>4.1579 * CHOOSE(CONTROL!$C$32, $C$9, 100%, $E$9)</f>
        <v>4.1578999999999997</v>
      </c>
      <c r="E213" s="11">
        <f>5.2993 * CHOOSE(CONTROL!$C$32, $C$9, 100%, $E$9)</f>
        <v>5.2992999999999997</v>
      </c>
      <c r="F213" s="11">
        <f>5.2993 * CHOOSE(CONTROL!$C$32, $C$9, 100%, $E$9)</f>
        <v>5.2992999999999997</v>
      </c>
      <c r="G213" s="11">
        <f>5.3046 * CHOOSE(CONTROL!$C$32, $C$9, 100%, $E$9)</f>
        <v>5.3045999999999998</v>
      </c>
      <c r="H213" s="11">
        <f>8.3899 * CHOOSE(CONTROL!$C$32, $C$9, 100%, $E$9)</f>
        <v>8.3899000000000008</v>
      </c>
      <c r="I213" s="11">
        <f>8.3952 * CHOOSE(CONTROL!$C$32, $C$9, 100%, $E$9)</f>
        <v>8.3952000000000009</v>
      </c>
      <c r="J213" s="11">
        <f>8.3899 * CHOOSE(CONTROL!$C$32, $C$9, 100%, $E$9)</f>
        <v>8.3899000000000008</v>
      </c>
      <c r="K213" s="11">
        <f>8.3952 * CHOOSE(CONTROL!$C$32, $C$9, 100%, $E$9)</f>
        <v>8.3952000000000009</v>
      </c>
      <c r="L213" s="11">
        <f>5.2993 * CHOOSE(CONTROL!$C$32, $C$9, 100%, $E$9)</f>
        <v>5.2992999999999997</v>
      </c>
      <c r="M213" s="11">
        <f>5.3046 * CHOOSE(CONTROL!$C$32, $C$9, 100%, $E$9)</f>
        <v>5.3045999999999998</v>
      </c>
      <c r="N213" s="11">
        <f>5.2993 * CHOOSE(CONTROL!$C$32, $C$9, 100%, $E$9)</f>
        <v>5.2992999999999997</v>
      </c>
      <c r="O213" s="11">
        <f>5.3046 * CHOOSE(CONTROL!$C$32, $C$9, 100%, $E$9)</f>
        <v>5.3045999999999998</v>
      </c>
    </row>
    <row r="214" spans="1:15" ht="15" x14ac:dyDescent="0.2">
      <c r="A214" s="13">
        <v>47362</v>
      </c>
      <c r="B214" s="9">
        <f>4.1533 * CHOOSE(CONTROL!$C$32, $C$9, 100%, $E$9)</f>
        <v>4.1532999999999998</v>
      </c>
      <c r="C214" s="9">
        <f>4.1533 * CHOOSE(CONTROL!$C$32, $C$9, 100%, $E$9)</f>
        <v>4.1532999999999998</v>
      </c>
      <c r="D214" s="9">
        <f>4.1548 * CHOOSE(CONTROL!$C$32, $C$9, 100%, $E$9)</f>
        <v>4.1547999999999998</v>
      </c>
      <c r="E214" s="11">
        <f>5.2973 * CHOOSE(CONTROL!$C$32, $C$9, 100%, $E$9)</f>
        <v>5.2972999999999999</v>
      </c>
      <c r="F214" s="11">
        <f>5.2973 * CHOOSE(CONTROL!$C$32, $C$9, 100%, $E$9)</f>
        <v>5.2972999999999999</v>
      </c>
      <c r="G214" s="11">
        <f>5.3026 * CHOOSE(CONTROL!$C$32, $C$9, 100%, $E$9)</f>
        <v>5.3026</v>
      </c>
      <c r="H214" s="11">
        <f>8.4074 * CHOOSE(CONTROL!$C$32, $C$9, 100%, $E$9)</f>
        <v>8.4074000000000009</v>
      </c>
      <c r="I214" s="11">
        <f>8.4127 * CHOOSE(CONTROL!$C$32, $C$9, 100%, $E$9)</f>
        <v>8.4126999999999992</v>
      </c>
      <c r="J214" s="11">
        <f>8.4074 * CHOOSE(CONTROL!$C$32, $C$9, 100%, $E$9)</f>
        <v>8.4074000000000009</v>
      </c>
      <c r="K214" s="11">
        <f>8.4127 * CHOOSE(CONTROL!$C$32, $C$9, 100%, $E$9)</f>
        <v>8.4126999999999992</v>
      </c>
      <c r="L214" s="11">
        <f>5.2973 * CHOOSE(CONTROL!$C$32, $C$9, 100%, $E$9)</f>
        <v>5.2972999999999999</v>
      </c>
      <c r="M214" s="11">
        <f>5.3026 * CHOOSE(CONTROL!$C$32, $C$9, 100%, $E$9)</f>
        <v>5.3026</v>
      </c>
      <c r="N214" s="11">
        <f>5.2973 * CHOOSE(CONTROL!$C$32, $C$9, 100%, $E$9)</f>
        <v>5.2972999999999999</v>
      </c>
      <c r="O214" s="11">
        <f>5.3026 * CHOOSE(CONTROL!$C$32, $C$9, 100%, $E$9)</f>
        <v>5.3026</v>
      </c>
    </row>
    <row r="215" spans="1:15" ht="15" x14ac:dyDescent="0.2">
      <c r="A215" s="13">
        <v>47392</v>
      </c>
      <c r="B215" s="9">
        <f>4.1489 * CHOOSE(CONTROL!$C$32, $C$9, 100%, $E$9)</f>
        <v>4.1489000000000003</v>
      </c>
      <c r="C215" s="9">
        <f>4.1489 * CHOOSE(CONTROL!$C$32, $C$9, 100%, $E$9)</f>
        <v>4.1489000000000003</v>
      </c>
      <c r="D215" s="9">
        <f>4.15 * CHOOSE(CONTROL!$C$32, $C$9, 100%, $E$9)</f>
        <v>4.1500000000000004</v>
      </c>
      <c r="E215" s="11">
        <f>5.2923 * CHOOSE(CONTROL!$C$32, $C$9, 100%, $E$9)</f>
        <v>5.2923</v>
      </c>
      <c r="F215" s="11">
        <f>5.2923 * CHOOSE(CONTROL!$C$32, $C$9, 100%, $E$9)</f>
        <v>5.2923</v>
      </c>
      <c r="G215" s="11">
        <f>5.2959 * CHOOSE(CONTROL!$C$32, $C$9, 100%, $E$9)</f>
        <v>5.2958999999999996</v>
      </c>
      <c r="H215" s="11">
        <f>8.4249 * CHOOSE(CONTROL!$C$32, $C$9, 100%, $E$9)</f>
        <v>8.4248999999999992</v>
      </c>
      <c r="I215" s="11">
        <f>8.4285 * CHOOSE(CONTROL!$C$32, $C$9, 100%, $E$9)</f>
        <v>8.4284999999999997</v>
      </c>
      <c r="J215" s="11">
        <f>8.4249 * CHOOSE(CONTROL!$C$32, $C$9, 100%, $E$9)</f>
        <v>8.4248999999999992</v>
      </c>
      <c r="K215" s="11">
        <f>8.4285 * CHOOSE(CONTROL!$C$32, $C$9, 100%, $E$9)</f>
        <v>8.4284999999999997</v>
      </c>
      <c r="L215" s="11">
        <f>5.2923 * CHOOSE(CONTROL!$C$32, $C$9, 100%, $E$9)</f>
        <v>5.2923</v>
      </c>
      <c r="M215" s="11">
        <f>5.2959 * CHOOSE(CONTROL!$C$32, $C$9, 100%, $E$9)</f>
        <v>5.2958999999999996</v>
      </c>
      <c r="N215" s="11">
        <f>5.2923 * CHOOSE(CONTROL!$C$32, $C$9, 100%, $E$9)</f>
        <v>5.2923</v>
      </c>
      <c r="O215" s="11">
        <f>5.2959 * CHOOSE(CONTROL!$C$32, $C$9, 100%, $E$9)</f>
        <v>5.2958999999999996</v>
      </c>
    </row>
    <row r="216" spans="1:15" ht="15" x14ac:dyDescent="0.2">
      <c r="A216" s="13">
        <v>47423</v>
      </c>
      <c r="B216" s="9">
        <f>4.152 * CHOOSE(CONTROL!$C$32, $C$9, 100%, $E$9)</f>
        <v>4.1520000000000001</v>
      </c>
      <c r="C216" s="9">
        <f>4.152 * CHOOSE(CONTROL!$C$32, $C$9, 100%, $E$9)</f>
        <v>4.1520000000000001</v>
      </c>
      <c r="D216" s="9">
        <f>4.153 * CHOOSE(CONTROL!$C$32, $C$9, 100%, $E$9)</f>
        <v>4.1529999999999996</v>
      </c>
      <c r="E216" s="11">
        <f>5.2943 * CHOOSE(CONTROL!$C$32, $C$9, 100%, $E$9)</f>
        <v>5.2942999999999998</v>
      </c>
      <c r="F216" s="11">
        <f>5.2943 * CHOOSE(CONTROL!$C$32, $C$9, 100%, $E$9)</f>
        <v>5.2942999999999998</v>
      </c>
      <c r="G216" s="11">
        <f>5.2979 * CHOOSE(CONTROL!$C$32, $C$9, 100%, $E$9)</f>
        <v>5.2979000000000003</v>
      </c>
      <c r="H216" s="11">
        <f>8.4425 * CHOOSE(CONTROL!$C$32, $C$9, 100%, $E$9)</f>
        <v>8.4425000000000008</v>
      </c>
      <c r="I216" s="11">
        <f>8.4461 * CHOOSE(CONTROL!$C$32, $C$9, 100%, $E$9)</f>
        <v>8.4460999999999995</v>
      </c>
      <c r="J216" s="11">
        <f>8.4425 * CHOOSE(CONTROL!$C$32, $C$9, 100%, $E$9)</f>
        <v>8.4425000000000008</v>
      </c>
      <c r="K216" s="11">
        <f>8.4461 * CHOOSE(CONTROL!$C$32, $C$9, 100%, $E$9)</f>
        <v>8.4460999999999995</v>
      </c>
      <c r="L216" s="11">
        <f>5.2943 * CHOOSE(CONTROL!$C$32, $C$9, 100%, $E$9)</f>
        <v>5.2942999999999998</v>
      </c>
      <c r="M216" s="11">
        <f>5.2979 * CHOOSE(CONTROL!$C$32, $C$9, 100%, $E$9)</f>
        <v>5.2979000000000003</v>
      </c>
      <c r="N216" s="11">
        <f>5.2943 * CHOOSE(CONTROL!$C$32, $C$9, 100%, $E$9)</f>
        <v>5.2942999999999998</v>
      </c>
      <c r="O216" s="11">
        <f>5.2979 * CHOOSE(CONTROL!$C$32, $C$9, 100%, $E$9)</f>
        <v>5.2979000000000003</v>
      </c>
    </row>
    <row r="217" spans="1:15" ht="15" x14ac:dyDescent="0.2">
      <c r="A217" s="13">
        <v>47453</v>
      </c>
      <c r="B217" s="9">
        <f>4.152 * CHOOSE(CONTROL!$C$32, $C$9, 100%, $E$9)</f>
        <v>4.1520000000000001</v>
      </c>
      <c r="C217" s="9">
        <f>4.152 * CHOOSE(CONTROL!$C$32, $C$9, 100%, $E$9)</f>
        <v>4.1520000000000001</v>
      </c>
      <c r="D217" s="9">
        <f>4.153 * CHOOSE(CONTROL!$C$32, $C$9, 100%, $E$9)</f>
        <v>4.1529999999999996</v>
      </c>
      <c r="E217" s="11">
        <f>5.2943 * CHOOSE(CONTROL!$C$32, $C$9, 100%, $E$9)</f>
        <v>5.2942999999999998</v>
      </c>
      <c r="F217" s="11">
        <f>5.2943 * CHOOSE(CONTROL!$C$32, $C$9, 100%, $E$9)</f>
        <v>5.2942999999999998</v>
      </c>
      <c r="G217" s="11">
        <f>5.2979 * CHOOSE(CONTROL!$C$32, $C$9, 100%, $E$9)</f>
        <v>5.2979000000000003</v>
      </c>
      <c r="H217" s="11">
        <f>8.4601 * CHOOSE(CONTROL!$C$32, $C$9, 100%, $E$9)</f>
        <v>8.4601000000000006</v>
      </c>
      <c r="I217" s="11">
        <f>8.4637 * CHOOSE(CONTROL!$C$32, $C$9, 100%, $E$9)</f>
        <v>8.4636999999999993</v>
      </c>
      <c r="J217" s="11">
        <f>8.4601 * CHOOSE(CONTROL!$C$32, $C$9, 100%, $E$9)</f>
        <v>8.4601000000000006</v>
      </c>
      <c r="K217" s="11">
        <f>8.4637 * CHOOSE(CONTROL!$C$32, $C$9, 100%, $E$9)</f>
        <v>8.4636999999999993</v>
      </c>
      <c r="L217" s="11">
        <f>5.2943 * CHOOSE(CONTROL!$C$32, $C$9, 100%, $E$9)</f>
        <v>5.2942999999999998</v>
      </c>
      <c r="M217" s="11">
        <f>5.2979 * CHOOSE(CONTROL!$C$32, $C$9, 100%, $E$9)</f>
        <v>5.2979000000000003</v>
      </c>
      <c r="N217" s="11">
        <f>5.2943 * CHOOSE(CONTROL!$C$32, $C$9, 100%, $E$9)</f>
        <v>5.2942999999999998</v>
      </c>
      <c r="O217" s="11">
        <f>5.2979 * CHOOSE(CONTROL!$C$32, $C$9, 100%, $E$9)</f>
        <v>5.2979000000000003</v>
      </c>
    </row>
    <row r="218" spans="1:15" ht="15" x14ac:dyDescent="0.2">
      <c r="A218" s="13">
        <v>47484</v>
      </c>
      <c r="B218" s="9">
        <f>4.1883 * CHOOSE(CONTROL!$C$32, $C$9, 100%, $E$9)</f>
        <v>4.1882999999999999</v>
      </c>
      <c r="C218" s="9">
        <f>4.1883 * CHOOSE(CONTROL!$C$32, $C$9, 100%, $E$9)</f>
        <v>4.1882999999999999</v>
      </c>
      <c r="D218" s="9">
        <f>4.1893 * CHOOSE(CONTROL!$C$32, $C$9, 100%, $E$9)</f>
        <v>4.1893000000000002</v>
      </c>
      <c r="E218" s="11">
        <f>5.3388 * CHOOSE(CONTROL!$C$32, $C$9, 100%, $E$9)</f>
        <v>5.3388</v>
      </c>
      <c r="F218" s="11">
        <f>5.3388 * CHOOSE(CONTROL!$C$32, $C$9, 100%, $E$9)</f>
        <v>5.3388</v>
      </c>
      <c r="G218" s="11">
        <f>5.3424 * CHOOSE(CONTROL!$C$32, $C$9, 100%, $E$9)</f>
        <v>5.3423999999999996</v>
      </c>
      <c r="H218" s="11">
        <f>8.4777 * CHOOSE(CONTROL!$C$32, $C$9, 100%, $E$9)</f>
        <v>8.4777000000000005</v>
      </c>
      <c r="I218" s="11">
        <f>8.4813 * CHOOSE(CONTROL!$C$32, $C$9, 100%, $E$9)</f>
        <v>8.4812999999999992</v>
      </c>
      <c r="J218" s="11">
        <f>8.4777 * CHOOSE(CONTROL!$C$32, $C$9, 100%, $E$9)</f>
        <v>8.4777000000000005</v>
      </c>
      <c r="K218" s="11">
        <f>8.4813 * CHOOSE(CONTROL!$C$32, $C$9, 100%, $E$9)</f>
        <v>8.4812999999999992</v>
      </c>
      <c r="L218" s="11">
        <f>5.3388 * CHOOSE(CONTROL!$C$32, $C$9, 100%, $E$9)</f>
        <v>5.3388</v>
      </c>
      <c r="M218" s="11">
        <f>5.3424 * CHOOSE(CONTROL!$C$32, $C$9, 100%, $E$9)</f>
        <v>5.3423999999999996</v>
      </c>
      <c r="N218" s="11">
        <f>5.3388 * CHOOSE(CONTROL!$C$32, $C$9, 100%, $E$9)</f>
        <v>5.3388</v>
      </c>
      <c r="O218" s="11">
        <f>5.3424 * CHOOSE(CONTROL!$C$32, $C$9, 100%, $E$9)</f>
        <v>5.3423999999999996</v>
      </c>
    </row>
    <row r="219" spans="1:15" ht="15" x14ac:dyDescent="0.2">
      <c r="A219" s="13">
        <v>47515</v>
      </c>
      <c r="B219" s="9">
        <f>4.1852 * CHOOSE(CONTROL!$C$32, $C$9, 100%, $E$9)</f>
        <v>4.1852</v>
      </c>
      <c r="C219" s="9">
        <f>4.1852 * CHOOSE(CONTROL!$C$32, $C$9, 100%, $E$9)</f>
        <v>4.1852</v>
      </c>
      <c r="D219" s="9">
        <f>4.1863 * CHOOSE(CONTROL!$C$32, $C$9, 100%, $E$9)</f>
        <v>4.1863000000000001</v>
      </c>
      <c r="E219" s="11">
        <f>5.3368 * CHOOSE(CONTROL!$C$32, $C$9, 100%, $E$9)</f>
        <v>5.3368000000000002</v>
      </c>
      <c r="F219" s="11">
        <f>5.3368 * CHOOSE(CONTROL!$C$32, $C$9, 100%, $E$9)</f>
        <v>5.3368000000000002</v>
      </c>
      <c r="G219" s="11">
        <f>5.3404 * CHOOSE(CONTROL!$C$32, $C$9, 100%, $E$9)</f>
        <v>5.3403999999999998</v>
      </c>
      <c r="H219" s="11">
        <f>8.4954 * CHOOSE(CONTROL!$C$32, $C$9, 100%, $E$9)</f>
        <v>8.4954000000000001</v>
      </c>
      <c r="I219" s="11">
        <f>8.499 * CHOOSE(CONTROL!$C$32, $C$9, 100%, $E$9)</f>
        <v>8.4990000000000006</v>
      </c>
      <c r="J219" s="11">
        <f>8.4954 * CHOOSE(CONTROL!$C$32, $C$9, 100%, $E$9)</f>
        <v>8.4954000000000001</v>
      </c>
      <c r="K219" s="11">
        <f>8.499 * CHOOSE(CONTROL!$C$32, $C$9, 100%, $E$9)</f>
        <v>8.4990000000000006</v>
      </c>
      <c r="L219" s="11">
        <f>5.3368 * CHOOSE(CONTROL!$C$32, $C$9, 100%, $E$9)</f>
        <v>5.3368000000000002</v>
      </c>
      <c r="M219" s="11">
        <f>5.3404 * CHOOSE(CONTROL!$C$32, $C$9, 100%, $E$9)</f>
        <v>5.3403999999999998</v>
      </c>
      <c r="N219" s="11">
        <f>5.3368 * CHOOSE(CONTROL!$C$32, $C$9, 100%, $E$9)</f>
        <v>5.3368000000000002</v>
      </c>
      <c r="O219" s="11">
        <f>5.3404 * CHOOSE(CONTROL!$C$32, $C$9, 100%, $E$9)</f>
        <v>5.3403999999999998</v>
      </c>
    </row>
    <row r="220" spans="1:15" ht="15" x14ac:dyDescent="0.2">
      <c r="A220" s="13">
        <v>47543</v>
      </c>
      <c r="B220" s="9">
        <f>4.1822 * CHOOSE(CONTROL!$C$32, $C$9, 100%, $E$9)</f>
        <v>4.1821999999999999</v>
      </c>
      <c r="C220" s="9">
        <f>4.1822 * CHOOSE(CONTROL!$C$32, $C$9, 100%, $E$9)</f>
        <v>4.1821999999999999</v>
      </c>
      <c r="D220" s="9">
        <f>4.1833 * CHOOSE(CONTROL!$C$32, $C$9, 100%, $E$9)</f>
        <v>4.1833</v>
      </c>
      <c r="E220" s="11">
        <f>5.3348 * CHOOSE(CONTROL!$C$32, $C$9, 100%, $E$9)</f>
        <v>5.3348000000000004</v>
      </c>
      <c r="F220" s="11">
        <f>5.3348 * CHOOSE(CONTROL!$C$32, $C$9, 100%, $E$9)</f>
        <v>5.3348000000000004</v>
      </c>
      <c r="G220" s="11">
        <f>5.3384 * CHOOSE(CONTROL!$C$32, $C$9, 100%, $E$9)</f>
        <v>5.3384</v>
      </c>
      <c r="H220" s="11">
        <f>8.5131 * CHOOSE(CONTROL!$C$32, $C$9, 100%, $E$9)</f>
        <v>8.5130999999999997</v>
      </c>
      <c r="I220" s="11">
        <f>8.5167 * CHOOSE(CONTROL!$C$32, $C$9, 100%, $E$9)</f>
        <v>8.5167000000000002</v>
      </c>
      <c r="J220" s="11">
        <f>8.5131 * CHOOSE(CONTROL!$C$32, $C$9, 100%, $E$9)</f>
        <v>8.5130999999999997</v>
      </c>
      <c r="K220" s="11">
        <f>8.5167 * CHOOSE(CONTROL!$C$32, $C$9, 100%, $E$9)</f>
        <v>8.5167000000000002</v>
      </c>
      <c r="L220" s="11">
        <f>5.3348 * CHOOSE(CONTROL!$C$32, $C$9, 100%, $E$9)</f>
        <v>5.3348000000000004</v>
      </c>
      <c r="M220" s="11">
        <f>5.3384 * CHOOSE(CONTROL!$C$32, $C$9, 100%, $E$9)</f>
        <v>5.3384</v>
      </c>
      <c r="N220" s="11">
        <f>5.3348 * CHOOSE(CONTROL!$C$32, $C$9, 100%, $E$9)</f>
        <v>5.3348000000000004</v>
      </c>
      <c r="O220" s="11">
        <f>5.3384 * CHOOSE(CONTROL!$C$32, $C$9, 100%, $E$9)</f>
        <v>5.3384</v>
      </c>
    </row>
    <row r="221" spans="1:15" ht="15" x14ac:dyDescent="0.2">
      <c r="A221" s="13">
        <v>47574</v>
      </c>
      <c r="B221" s="9">
        <f>4.18 * CHOOSE(CONTROL!$C$32, $C$9, 100%, $E$9)</f>
        <v>4.18</v>
      </c>
      <c r="C221" s="9">
        <f>4.18 * CHOOSE(CONTROL!$C$32, $C$9, 100%, $E$9)</f>
        <v>4.18</v>
      </c>
      <c r="D221" s="9">
        <f>4.1811 * CHOOSE(CONTROL!$C$32, $C$9, 100%, $E$9)</f>
        <v>4.1810999999999998</v>
      </c>
      <c r="E221" s="11">
        <f>5.3328 * CHOOSE(CONTROL!$C$32, $C$9, 100%, $E$9)</f>
        <v>5.3327999999999998</v>
      </c>
      <c r="F221" s="11">
        <f>5.3328 * CHOOSE(CONTROL!$C$32, $C$9, 100%, $E$9)</f>
        <v>5.3327999999999998</v>
      </c>
      <c r="G221" s="11">
        <f>5.3364 * CHOOSE(CONTROL!$C$32, $C$9, 100%, $E$9)</f>
        <v>5.3364000000000003</v>
      </c>
      <c r="H221" s="11">
        <f>8.5308 * CHOOSE(CONTROL!$C$32, $C$9, 100%, $E$9)</f>
        <v>8.5307999999999993</v>
      </c>
      <c r="I221" s="11">
        <f>8.5344 * CHOOSE(CONTROL!$C$32, $C$9, 100%, $E$9)</f>
        <v>8.5343999999999998</v>
      </c>
      <c r="J221" s="11">
        <f>8.5308 * CHOOSE(CONTROL!$C$32, $C$9, 100%, $E$9)</f>
        <v>8.5307999999999993</v>
      </c>
      <c r="K221" s="11">
        <f>8.5344 * CHOOSE(CONTROL!$C$32, $C$9, 100%, $E$9)</f>
        <v>8.5343999999999998</v>
      </c>
      <c r="L221" s="11">
        <f>5.3328 * CHOOSE(CONTROL!$C$32, $C$9, 100%, $E$9)</f>
        <v>5.3327999999999998</v>
      </c>
      <c r="M221" s="11">
        <f>5.3364 * CHOOSE(CONTROL!$C$32, $C$9, 100%, $E$9)</f>
        <v>5.3364000000000003</v>
      </c>
      <c r="N221" s="11">
        <f>5.3328 * CHOOSE(CONTROL!$C$32, $C$9, 100%, $E$9)</f>
        <v>5.3327999999999998</v>
      </c>
      <c r="O221" s="11">
        <f>5.3364 * CHOOSE(CONTROL!$C$32, $C$9, 100%, $E$9)</f>
        <v>5.3364000000000003</v>
      </c>
    </row>
    <row r="222" spans="1:15" ht="15" x14ac:dyDescent="0.2">
      <c r="A222" s="13">
        <v>47604</v>
      </c>
      <c r="B222" s="9">
        <f>4.18 * CHOOSE(CONTROL!$C$32, $C$9, 100%, $E$9)</f>
        <v>4.18</v>
      </c>
      <c r="C222" s="9">
        <f>4.18 * CHOOSE(CONTROL!$C$32, $C$9, 100%, $E$9)</f>
        <v>4.18</v>
      </c>
      <c r="D222" s="9">
        <f>4.1816 * CHOOSE(CONTROL!$C$32, $C$9, 100%, $E$9)</f>
        <v>4.1816000000000004</v>
      </c>
      <c r="E222" s="11">
        <f>5.3328 * CHOOSE(CONTROL!$C$32, $C$9, 100%, $E$9)</f>
        <v>5.3327999999999998</v>
      </c>
      <c r="F222" s="11">
        <f>5.3328 * CHOOSE(CONTROL!$C$32, $C$9, 100%, $E$9)</f>
        <v>5.3327999999999998</v>
      </c>
      <c r="G222" s="11">
        <f>5.3381 * CHOOSE(CONTROL!$C$32, $C$9, 100%, $E$9)</f>
        <v>5.3380999999999998</v>
      </c>
      <c r="H222" s="11">
        <f>8.5486 * CHOOSE(CONTROL!$C$32, $C$9, 100%, $E$9)</f>
        <v>8.5486000000000004</v>
      </c>
      <c r="I222" s="11">
        <f>8.5539 * CHOOSE(CONTROL!$C$32, $C$9, 100%, $E$9)</f>
        <v>8.5539000000000005</v>
      </c>
      <c r="J222" s="11">
        <f>8.5486 * CHOOSE(CONTROL!$C$32, $C$9, 100%, $E$9)</f>
        <v>8.5486000000000004</v>
      </c>
      <c r="K222" s="11">
        <f>8.5539 * CHOOSE(CONTROL!$C$32, $C$9, 100%, $E$9)</f>
        <v>8.5539000000000005</v>
      </c>
      <c r="L222" s="11">
        <f>5.3328 * CHOOSE(CONTROL!$C$32, $C$9, 100%, $E$9)</f>
        <v>5.3327999999999998</v>
      </c>
      <c r="M222" s="11">
        <f>5.3381 * CHOOSE(CONTROL!$C$32, $C$9, 100%, $E$9)</f>
        <v>5.3380999999999998</v>
      </c>
      <c r="N222" s="11">
        <f>5.3328 * CHOOSE(CONTROL!$C$32, $C$9, 100%, $E$9)</f>
        <v>5.3327999999999998</v>
      </c>
      <c r="O222" s="11">
        <f>5.3381 * CHOOSE(CONTROL!$C$32, $C$9, 100%, $E$9)</f>
        <v>5.3380999999999998</v>
      </c>
    </row>
    <row r="223" spans="1:15" ht="15" x14ac:dyDescent="0.2">
      <c r="A223" s="13">
        <v>47635</v>
      </c>
      <c r="B223" s="9">
        <f>4.1861 * CHOOSE(CONTROL!$C$32, $C$9, 100%, $E$9)</f>
        <v>4.1860999999999997</v>
      </c>
      <c r="C223" s="9">
        <f>4.1861 * CHOOSE(CONTROL!$C$32, $C$9, 100%, $E$9)</f>
        <v>4.1860999999999997</v>
      </c>
      <c r="D223" s="9">
        <f>4.1877 * CHOOSE(CONTROL!$C$32, $C$9, 100%, $E$9)</f>
        <v>4.1877000000000004</v>
      </c>
      <c r="E223" s="11">
        <f>5.3368 * CHOOSE(CONTROL!$C$32, $C$9, 100%, $E$9)</f>
        <v>5.3368000000000002</v>
      </c>
      <c r="F223" s="11">
        <f>5.3368 * CHOOSE(CONTROL!$C$32, $C$9, 100%, $E$9)</f>
        <v>5.3368000000000002</v>
      </c>
      <c r="G223" s="11">
        <f>5.3421 * CHOOSE(CONTROL!$C$32, $C$9, 100%, $E$9)</f>
        <v>5.3421000000000003</v>
      </c>
      <c r="H223" s="11">
        <f>8.5664 * CHOOSE(CONTROL!$C$32, $C$9, 100%, $E$9)</f>
        <v>8.5663999999999998</v>
      </c>
      <c r="I223" s="11">
        <f>8.5717 * CHOOSE(CONTROL!$C$32, $C$9, 100%, $E$9)</f>
        <v>8.5716999999999999</v>
      </c>
      <c r="J223" s="11">
        <f>8.5664 * CHOOSE(CONTROL!$C$32, $C$9, 100%, $E$9)</f>
        <v>8.5663999999999998</v>
      </c>
      <c r="K223" s="11">
        <f>8.5717 * CHOOSE(CONTROL!$C$32, $C$9, 100%, $E$9)</f>
        <v>8.5716999999999999</v>
      </c>
      <c r="L223" s="11">
        <f>5.3368 * CHOOSE(CONTROL!$C$32, $C$9, 100%, $E$9)</f>
        <v>5.3368000000000002</v>
      </c>
      <c r="M223" s="11">
        <f>5.3421 * CHOOSE(CONTROL!$C$32, $C$9, 100%, $E$9)</f>
        <v>5.3421000000000003</v>
      </c>
      <c r="N223" s="11">
        <f>5.3368 * CHOOSE(CONTROL!$C$32, $C$9, 100%, $E$9)</f>
        <v>5.3368000000000002</v>
      </c>
      <c r="O223" s="11">
        <f>5.3421 * CHOOSE(CONTROL!$C$32, $C$9, 100%, $E$9)</f>
        <v>5.3421000000000003</v>
      </c>
    </row>
    <row r="224" spans="1:15" ht="15" x14ac:dyDescent="0.2">
      <c r="A224" s="13">
        <v>47665</v>
      </c>
      <c r="B224" s="9">
        <f>4.2533 * CHOOSE(CONTROL!$C$32, $C$9, 100%, $E$9)</f>
        <v>4.2533000000000003</v>
      </c>
      <c r="C224" s="9">
        <f>4.2533 * CHOOSE(CONTROL!$C$32, $C$9, 100%, $E$9)</f>
        <v>4.2533000000000003</v>
      </c>
      <c r="D224" s="9">
        <f>4.2549 * CHOOSE(CONTROL!$C$32, $C$9, 100%, $E$9)</f>
        <v>4.2549000000000001</v>
      </c>
      <c r="E224" s="11">
        <f>5.4347 * CHOOSE(CONTROL!$C$32, $C$9, 100%, $E$9)</f>
        <v>5.4347000000000003</v>
      </c>
      <c r="F224" s="11">
        <f>5.4347 * CHOOSE(CONTROL!$C$32, $C$9, 100%, $E$9)</f>
        <v>5.4347000000000003</v>
      </c>
      <c r="G224" s="11">
        <f>5.44 * CHOOSE(CONTROL!$C$32, $C$9, 100%, $E$9)</f>
        <v>5.44</v>
      </c>
      <c r="H224" s="11">
        <f>8.5842 * CHOOSE(CONTROL!$C$32, $C$9, 100%, $E$9)</f>
        <v>8.5841999999999992</v>
      </c>
      <c r="I224" s="11">
        <f>8.5895 * CHOOSE(CONTROL!$C$32, $C$9, 100%, $E$9)</f>
        <v>8.5894999999999992</v>
      </c>
      <c r="J224" s="11">
        <f>8.5842 * CHOOSE(CONTROL!$C$32, $C$9, 100%, $E$9)</f>
        <v>8.5841999999999992</v>
      </c>
      <c r="K224" s="11">
        <f>8.5895 * CHOOSE(CONTROL!$C$32, $C$9, 100%, $E$9)</f>
        <v>8.5894999999999992</v>
      </c>
      <c r="L224" s="11">
        <f>5.4347 * CHOOSE(CONTROL!$C$32, $C$9, 100%, $E$9)</f>
        <v>5.4347000000000003</v>
      </c>
      <c r="M224" s="11">
        <f>5.44 * CHOOSE(CONTROL!$C$32, $C$9, 100%, $E$9)</f>
        <v>5.44</v>
      </c>
      <c r="N224" s="11">
        <f>5.4347 * CHOOSE(CONTROL!$C$32, $C$9, 100%, $E$9)</f>
        <v>5.4347000000000003</v>
      </c>
      <c r="O224" s="11">
        <f>5.44 * CHOOSE(CONTROL!$C$32, $C$9, 100%, $E$9)</f>
        <v>5.44</v>
      </c>
    </row>
    <row r="225" spans="1:15" ht="15" x14ac:dyDescent="0.2">
      <c r="A225" s="13">
        <v>47696</v>
      </c>
      <c r="B225" s="9">
        <f>4.26 * CHOOSE(CONTROL!$C$32, $C$9, 100%, $E$9)</f>
        <v>4.26</v>
      </c>
      <c r="C225" s="9">
        <f>4.26 * CHOOSE(CONTROL!$C$32, $C$9, 100%, $E$9)</f>
        <v>4.26</v>
      </c>
      <c r="D225" s="9">
        <f>4.2616 * CHOOSE(CONTROL!$C$32, $C$9, 100%, $E$9)</f>
        <v>4.2615999999999996</v>
      </c>
      <c r="E225" s="11">
        <f>5.4391 * CHOOSE(CONTROL!$C$32, $C$9, 100%, $E$9)</f>
        <v>5.4390999999999998</v>
      </c>
      <c r="F225" s="11">
        <f>5.4391 * CHOOSE(CONTROL!$C$32, $C$9, 100%, $E$9)</f>
        <v>5.4390999999999998</v>
      </c>
      <c r="G225" s="11">
        <f>5.4444 * CHOOSE(CONTROL!$C$32, $C$9, 100%, $E$9)</f>
        <v>5.4443999999999999</v>
      </c>
      <c r="H225" s="11">
        <f>8.6021 * CHOOSE(CONTROL!$C$32, $C$9, 100%, $E$9)</f>
        <v>8.6021000000000001</v>
      </c>
      <c r="I225" s="11">
        <f>8.6074 * CHOOSE(CONTROL!$C$32, $C$9, 100%, $E$9)</f>
        <v>8.6074000000000002</v>
      </c>
      <c r="J225" s="11">
        <f>8.6021 * CHOOSE(CONTROL!$C$32, $C$9, 100%, $E$9)</f>
        <v>8.6021000000000001</v>
      </c>
      <c r="K225" s="11">
        <f>8.6074 * CHOOSE(CONTROL!$C$32, $C$9, 100%, $E$9)</f>
        <v>8.6074000000000002</v>
      </c>
      <c r="L225" s="11">
        <f>5.4391 * CHOOSE(CONTROL!$C$32, $C$9, 100%, $E$9)</f>
        <v>5.4390999999999998</v>
      </c>
      <c r="M225" s="11">
        <f>5.4444 * CHOOSE(CONTROL!$C$32, $C$9, 100%, $E$9)</f>
        <v>5.4443999999999999</v>
      </c>
      <c r="N225" s="11">
        <f>5.4391 * CHOOSE(CONTROL!$C$32, $C$9, 100%, $E$9)</f>
        <v>5.4390999999999998</v>
      </c>
      <c r="O225" s="11">
        <f>5.4444 * CHOOSE(CONTROL!$C$32, $C$9, 100%, $E$9)</f>
        <v>5.4443999999999999</v>
      </c>
    </row>
    <row r="226" spans="1:15" ht="15" x14ac:dyDescent="0.2">
      <c r="A226" s="13">
        <v>47727</v>
      </c>
      <c r="B226" s="9">
        <f>4.2569 * CHOOSE(CONTROL!$C$32, $C$9, 100%, $E$9)</f>
        <v>4.2568999999999999</v>
      </c>
      <c r="C226" s="9">
        <f>4.2569 * CHOOSE(CONTROL!$C$32, $C$9, 100%, $E$9)</f>
        <v>4.2568999999999999</v>
      </c>
      <c r="D226" s="9">
        <f>4.2585 * CHOOSE(CONTROL!$C$32, $C$9, 100%, $E$9)</f>
        <v>4.2584999999999997</v>
      </c>
      <c r="E226" s="11">
        <f>5.4371 * CHOOSE(CONTROL!$C$32, $C$9, 100%, $E$9)</f>
        <v>5.4371</v>
      </c>
      <c r="F226" s="11">
        <f>5.4371 * CHOOSE(CONTROL!$C$32, $C$9, 100%, $E$9)</f>
        <v>5.4371</v>
      </c>
      <c r="G226" s="11">
        <f>5.4424 * CHOOSE(CONTROL!$C$32, $C$9, 100%, $E$9)</f>
        <v>5.4424000000000001</v>
      </c>
      <c r="H226" s="11">
        <f>8.62 * CHOOSE(CONTROL!$C$32, $C$9, 100%, $E$9)</f>
        <v>8.6199999999999992</v>
      </c>
      <c r="I226" s="11">
        <f>8.6253 * CHOOSE(CONTROL!$C$32, $C$9, 100%, $E$9)</f>
        <v>8.6252999999999993</v>
      </c>
      <c r="J226" s="11">
        <f>8.62 * CHOOSE(CONTROL!$C$32, $C$9, 100%, $E$9)</f>
        <v>8.6199999999999992</v>
      </c>
      <c r="K226" s="11">
        <f>8.6253 * CHOOSE(CONTROL!$C$32, $C$9, 100%, $E$9)</f>
        <v>8.6252999999999993</v>
      </c>
      <c r="L226" s="11">
        <f>5.4371 * CHOOSE(CONTROL!$C$32, $C$9, 100%, $E$9)</f>
        <v>5.4371</v>
      </c>
      <c r="M226" s="11">
        <f>5.4424 * CHOOSE(CONTROL!$C$32, $C$9, 100%, $E$9)</f>
        <v>5.4424000000000001</v>
      </c>
      <c r="N226" s="11">
        <f>5.4371 * CHOOSE(CONTROL!$C$32, $C$9, 100%, $E$9)</f>
        <v>5.4371</v>
      </c>
      <c r="O226" s="11">
        <f>5.4424 * CHOOSE(CONTROL!$C$32, $C$9, 100%, $E$9)</f>
        <v>5.4424000000000001</v>
      </c>
    </row>
    <row r="227" spans="1:15" ht="15" x14ac:dyDescent="0.2">
      <c r="A227" s="13">
        <v>47757</v>
      </c>
      <c r="B227" s="9">
        <f>4.253 * CHOOSE(CONTROL!$C$32, $C$9, 100%, $E$9)</f>
        <v>4.2530000000000001</v>
      </c>
      <c r="C227" s="9">
        <f>4.253 * CHOOSE(CONTROL!$C$32, $C$9, 100%, $E$9)</f>
        <v>4.2530000000000001</v>
      </c>
      <c r="D227" s="9">
        <f>4.254 * CHOOSE(CONTROL!$C$32, $C$9, 100%, $E$9)</f>
        <v>4.2539999999999996</v>
      </c>
      <c r="E227" s="11">
        <f>5.4323 * CHOOSE(CONTROL!$C$32, $C$9, 100%, $E$9)</f>
        <v>5.4322999999999997</v>
      </c>
      <c r="F227" s="11">
        <f>5.4323 * CHOOSE(CONTROL!$C$32, $C$9, 100%, $E$9)</f>
        <v>5.4322999999999997</v>
      </c>
      <c r="G227" s="11">
        <f>5.436 * CHOOSE(CONTROL!$C$32, $C$9, 100%, $E$9)</f>
        <v>5.4359999999999999</v>
      </c>
      <c r="H227" s="11">
        <f>8.638 * CHOOSE(CONTROL!$C$32, $C$9, 100%, $E$9)</f>
        <v>8.6379999999999999</v>
      </c>
      <c r="I227" s="11">
        <f>8.6416 * CHOOSE(CONTROL!$C$32, $C$9, 100%, $E$9)</f>
        <v>8.6416000000000004</v>
      </c>
      <c r="J227" s="11">
        <f>8.638 * CHOOSE(CONTROL!$C$32, $C$9, 100%, $E$9)</f>
        <v>8.6379999999999999</v>
      </c>
      <c r="K227" s="11">
        <f>8.6416 * CHOOSE(CONTROL!$C$32, $C$9, 100%, $E$9)</f>
        <v>8.6416000000000004</v>
      </c>
      <c r="L227" s="11">
        <f>5.4323 * CHOOSE(CONTROL!$C$32, $C$9, 100%, $E$9)</f>
        <v>5.4322999999999997</v>
      </c>
      <c r="M227" s="11">
        <f>5.436 * CHOOSE(CONTROL!$C$32, $C$9, 100%, $E$9)</f>
        <v>5.4359999999999999</v>
      </c>
      <c r="N227" s="11">
        <f>5.4323 * CHOOSE(CONTROL!$C$32, $C$9, 100%, $E$9)</f>
        <v>5.4322999999999997</v>
      </c>
      <c r="O227" s="11">
        <f>5.436 * CHOOSE(CONTROL!$C$32, $C$9, 100%, $E$9)</f>
        <v>5.4359999999999999</v>
      </c>
    </row>
    <row r="228" spans="1:15" ht="15" x14ac:dyDescent="0.2">
      <c r="A228" s="13">
        <v>47788</v>
      </c>
      <c r="B228" s="9">
        <f>4.256 * CHOOSE(CONTROL!$C$32, $C$9, 100%, $E$9)</f>
        <v>4.2560000000000002</v>
      </c>
      <c r="C228" s="9">
        <f>4.256 * CHOOSE(CONTROL!$C$32, $C$9, 100%, $E$9)</f>
        <v>4.2560000000000002</v>
      </c>
      <c r="D228" s="9">
        <f>4.2571 * CHOOSE(CONTROL!$C$32, $C$9, 100%, $E$9)</f>
        <v>4.2571000000000003</v>
      </c>
      <c r="E228" s="11">
        <f>5.4343 * CHOOSE(CONTROL!$C$32, $C$9, 100%, $E$9)</f>
        <v>5.4343000000000004</v>
      </c>
      <c r="F228" s="11">
        <f>5.4343 * CHOOSE(CONTROL!$C$32, $C$9, 100%, $E$9)</f>
        <v>5.4343000000000004</v>
      </c>
      <c r="G228" s="11">
        <f>5.438 * CHOOSE(CONTROL!$C$32, $C$9, 100%, $E$9)</f>
        <v>5.4379999999999997</v>
      </c>
      <c r="H228" s="11">
        <f>8.656 * CHOOSE(CONTROL!$C$32, $C$9, 100%, $E$9)</f>
        <v>8.6560000000000006</v>
      </c>
      <c r="I228" s="11">
        <f>8.6596 * CHOOSE(CONTROL!$C$32, $C$9, 100%, $E$9)</f>
        <v>8.6595999999999993</v>
      </c>
      <c r="J228" s="11">
        <f>8.656 * CHOOSE(CONTROL!$C$32, $C$9, 100%, $E$9)</f>
        <v>8.6560000000000006</v>
      </c>
      <c r="K228" s="11">
        <f>8.6596 * CHOOSE(CONTROL!$C$32, $C$9, 100%, $E$9)</f>
        <v>8.6595999999999993</v>
      </c>
      <c r="L228" s="11">
        <f>5.4343 * CHOOSE(CONTROL!$C$32, $C$9, 100%, $E$9)</f>
        <v>5.4343000000000004</v>
      </c>
      <c r="M228" s="11">
        <f>5.438 * CHOOSE(CONTROL!$C$32, $C$9, 100%, $E$9)</f>
        <v>5.4379999999999997</v>
      </c>
      <c r="N228" s="11">
        <f>5.4343 * CHOOSE(CONTROL!$C$32, $C$9, 100%, $E$9)</f>
        <v>5.4343000000000004</v>
      </c>
      <c r="O228" s="11">
        <f>5.438 * CHOOSE(CONTROL!$C$32, $C$9, 100%, $E$9)</f>
        <v>5.4379999999999997</v>
      </c>
    </row>
    <row r="229" spans="1:15" ht="15" x14ac:dyDescent="0.2">
      <c r="A229" s="13">
        <v>47818</v>
      </c>
      <c r="B229" s="9">
        <f>4.256 * CHOOSE(CONTROL!$C$32, $C$9, 100%, $E$9)</f>
        <v>4.2560000000000002</v>
      </c>
      <c r="C229" s="9">
        <f>4.256 * CHOOSE(CONTROL!$C$32, $C$9, 100%, $E$9)</f>
        <v>4.2560000000000002</v>
      </c>
      <c r="D229" s="9">
        <f>4.2571 * CHOOSE(CONTROL!$C$32, $C$9, 100%, $E$9)</f>
        <v>4.2571000000000003</v>
      </c>
      <c r="E229" s="11">
        <f>5.4343 * CHOOSE(CONTROL!$C$32, $C$9, 100%, $E$9)</f>
        <v>5.4343000000000004</v>
      </c>
      <c r="F229" s="11">
        <f>5.4343 * CHOOSE(CONTROL!$C$32, $C$9, 100%, $E$9)</f>
        <v>5.4343000000000004</v>
      </c>
      <c r="G229" s="11">
        <f>5.438 * CHOOSE(CONTROL!$C$32, $C$9, 100%, $E$9)</f>
        <v>5.4379999999999997</v>
      </c>
      <c r="H229" s="11">
        <f>8.674 * CHOOSE(CONTROL!$C$32, $C$9, 100%, $E$9)</f>
        <v>8.6739999999999995</v>
      </c>
      <c r="I229" s="11">
        <f>8.6776 * CHOOSE(CONTROL!$C$32, $C$9, 100%, $E$9)</f>
        <v>8.6776</v>
      </c>
      <c r="J229" s="11">
        <f>8.674 * CHOOSE(CONTROL!$C$32, $C$9, 100%, $E$9)</f>
        <v>8.6739999999999995</v>
      </c>
      <c r="K229" s="11">
        <f>8.6776 * CHOOSE(CONTROL!$C$32, $C$9, 100%, $E$9)</f>
        <v>8.6776</v>
      </c>
      <c r="L229" s="11">
        <f>5.4343 * CHOOSE(CONTROL!$C$32, $C$9, 100%, $E$9)</f>
        <v>5.4343000000000004</v>
      </c>
      <c r="M229" s="11">
        <f>5.438 * CHOOSE(CONTROL!$C$32, $C$9, 100%, $E$9)</f>
        <v>5.4379999999999997</v>
      </c>
      <c r="N229" s="11">
        <f>5.4343 * CHOOSE(CONTROL!$C$32, $C$9, 100%, $E$9)</f>
        <v>5.4343000000000004</v>
      </c>
      <c r="O229" s="11">
        <f>5.438 * CHOOSE(CONTROL!$C$32, $C$9, 100%, $E$9)</f>
        <v>5.4379999999999997</v>
      </c>
    </row>
    <row r="230" spans="1:15" ht="15" x14ac:dyDescent="0.2">
      <c r="A230" s="13">
        <v>47849</v>
      </c>
      <c r="B230" s="9">
        <f>4.2906 * CHOOSE(CONTROL!$C$32, $C$9, 100%, $E$9)</f>
        <v>4.2906000000000004</v>
      </c>
      <c r="C230" s="9">
        <f>4.2906 * CHOOSE(CONTROL!$C$32, $C$9, 100%, $E$9)</f>
        <v>4.2906000000000004</v>
      </c>
      <c r="D230" s="9">
        <f>4.2916 * CHOOSE(CONTROL!$C$32, $C$9, 100%, $E$9)</f>
        <v>4.2915999999999999</v>
      </c>
      <c r="E230" s="11">
        <f>5.4769 * CHOOSE(CONTROL!$C$32, $C$9, 100%, $E$9)</f>
        <v>5.4768999999999997</v>
      </c>
      <c r="F230" s="11">
        <f>5.4769 * CHOOSE(CONTROL!$C$32, $C$9, 100%, $E$9)</f>
        <v>5.4768999999999997</v>
      </c>
      <c r="G230" s="11">
        <f>5.4806 * CHOOSE(CONTROL!$C$32, $C$9, 100%, $E$9)</f>
        <v>5.4805999999999999</v>
      </c>
      <c r="H230" s="11">
        <f>8.6921 * CHOOSE(CONTROL!$C$32, $C$9, 100%, $E$9)</f>
        <v>8.6920999999999999</v>
      </c>
      <c r="I230" s="11">
        <f>8.6957 * CHOOSE(CONTROL!$C$32, $C$9, 100%, $E$9)</f>
        <v>8.6957000000000004</v>
      </c>
      <c r="J230" s="11">
        <f>8.6921 * CHOOSE(CONTROL!$C$32, $C$9, 100%, $E$9)</f>
        <v>8.6920999999999999</v>
      </c>
      <c r="K230" s="11">
        <f>8.6957 * CHOOSE(CONTROL!$C$32, $C$9, 100%, $E$9)</f>
        <v>8.6957000000000004</v>
      </c>
      <c r="L230" s="11">
        <f>5.4769 * CHOOSE(CONTROL!$C$32, $C$9, 100%, $E$9)</f>
        <v>5.4768999999999997</v>
      </c>
      <c r="M230" s="11">
        <f>5.4806 * CHOOSE(CONTROL!$C$32, $C$9, 100%, $E$9)</f>
        <v>5.4805999999999999</v>
      </c>
      <c r="N230" s="11">
        <f>5.4769 * CHOOSE(CONTROL!$C$32, $C$9, 100%, $E$9)</f>
        <v>5.4768999999999997</v>
      </c>
      <c r="O230" s="11">
        <f>5.4806 * CHOOSE(CONTROL!$C$32, $C$9, 100%, $E$9)</f>
        <v>5.4805999999999999</v>
      </c>
    </row>
    <row r="231" spans="1:15" ht="15" x14ac:dyDescent="0.2">
      <c r="A231" s="13">
        <v>47880</v>
      </c>
      <c r="B231" s="9">
        <f>4.2875 * CHOOSE(CONTROL!$C$32, $C$9, 100%, $E$9)</f>
        <v>4.2874999999999996</v>
      </c>
      <c r="C231" s="9">
        <f>4.2875 * CHOOSE(CONTROL!$C$32, $C$9, 100%, $E$9)</f>
        <v>4.2874999999999996</v>
      </c>
      <c r="D231" s="9">
        <f>4.2886 * CHOOSE(CONTROL!$C$32, $C$9, 100%, $E$9)</f>
        <v>4.2885999999999997</v>
      </c>
      <c r="E231" s="11">
        <f>5.4749 * CHOOSE(CONTROL!$C$32, $C$9, 100%, $E$9)</f>
        <v>5.4748999999999999</v>
      </c>
      <c r="F231" s="11">
        <f>5.4749 * CHOOSE(CONTROL!$C$32, $C$9, 100%, $E$9)</f>
        <v>5.4748999999999999</v>
      </c>
      <c r="G231" s="11">
        <f>5.4786 * CHOOSE(CONTROL!$C$32, $C$9, 100%, $E$9)</f>
        <v>5.4786000000000001</v>
      </c>
      <c r="H231" s="11">
        <f>8.7102 * CHOOSE(CONTROL!$C$32, $C$9, 100%, $E$9)</f>
        <v>8.7102000000000004</v>
      </c>
      <c r="I231" s="11">
        <f>8.7138 * CHOOSE(CONTROL!$C$32, $C$9, 100%, $E$9)</f>
        <v>8.7138000000000009</v>
      </c>
      <c r="J231" s="11">
        <f>8.7102 * CHOOSE(CONTROL!$C$32, $C$9, 100%, $E$9)</f>
        <v>8.7102000000000004</v>
      </c>
      <c r="K231" s="11">
        <f>8.7138 * CHOOSE(CONTROL!$C$32, $C$9, 100%, $E$9)</f>
        <v>8.7138000000000009</v>
      </c>
      <c r="L231" s="11">
        <f>5.4749 * CHOOSE(CONTROL!$C$32, $C$9, 100%, $E$9)</f>
        <v>5.4748999999999999</v>
      </c>
      <c r="M231" s="11">
        <f>5.4786 * CHOOSE(CONTROL!$C$32, $C$9, 100%, $E$9)</f>
        <v>5.4786000000000001</v>
      </c>
      <c r="N231" s="11">
        <f>5.4749 * CHOOSE(CONTROL!$C$32, $C$9, 100%, $E$9)</f>
        <v>5.4748999999999999</v>
      </c>
      <c r="O231" s="11">
        <f>5.4786 * CHOOSE(CONTROL!$C$32, $C$9, 100%, $E$9)</f>
        <v>5.4786000000000001</v>
      </c>
    </row>
    <row r="232" spans="1:15" ht="15" x14ac:dyDescent="0.2">
      <c r="A232" s="13">
        <v>47908</v>
      </c>
      <c r="B232" s="9">
        <f>4.2845 * CHOOSE(CONTROL!$C$32, $C$9, 100%, $E$9)</f>
        <v>4.2845000000000004</v>
      </c>
      <c r="C232" s="9">
        <f>4.2845 * CHOOSE(CONTROL!$C$32, $C$9, 100%, $E$9)</f>
        <v>4.2845000000000004</v>
      </c>
      <c r="D232" s="9">
        <f>4.2856 * CHOOSE(CONTROL!$C$32, $C$9, 100%, $E$9)</f>
        <v>4.2855999999999996</v>
      </c>
      <c r="E232" s="11">
        <f>5.4729 * CHOOSE(CONTROL!$C$32, $C$9, 100%, $E$9)</f>
        <v>5.4729000000000001</v>
      </c>
      <c r="F232" s="11">
        <f>5.4729 * CHOOSE(CONTROL!$C$32, $C$9, 100%, $E$9)</f>
        <v>5.4729000000000001</v>
      </c>
      <c r="G232" s="11">
        <f>5.4766 * CHOOSE(CONTROL!$C$32, $C$9, 100%, $E$9)</f>
        <v>5.4766000000000004</v>
      </c>
      <c r="H232" s="11">
        <f>8.7283 * CHOOSE(CONTROL!$C$32, $C$9, 100%, $E$9)</f>
        <v>8.7283000000000008</v>
      </c>
      <c r="I232" s="11">
        <f>8.7319 * CHOOSE(CONTROL!$C$32, $C$9, 100%, $E$9)</f>
        <v>8.7318999999999996</v>
      </c>
      <c r="J232" s="11">
        <f>8.7283 * CHOOSE(CONTROL!$C$32, $C$9, 100%, $E$9)</f>
        <v>8.7283000000000008</v>
      </c>
      <c r="K232" s="11">
        <f>8.7319 * CHOOSE(CONTROL!$C$32, $C$9, 100%, $E$9)</f>
        <v>8.7318999999999996</v>
      </c>
      <c r="L232" s="11">
        <f>5.4729 * CHOOSE(CONTROL!$C$32, $C$9, 100%, $E$9)</f>
        <v>5.4729000000000001</v>
      </c>
      <c r="M232" s="11">
        <f>5.4766 * CHOOSE(CONTROL!$C$32, $C$9, 100%, $E$9)</f>
        <v>5.4766000000000004</v>
      </c>
      <c r="N232" s="11">
        <f>5.4729 * CHOOSE(CONTROL!$C$32, $C$9, 100%, $E$9)</f>
        <v>5.4729000000000001</v>
      </c>
      <c r="O232" s="11">
        <f>5.4766 * CHOOSE(CONTROL!$C$32, $C$9, 100%, $E$9)</f>
        <v>5.4766000000000004</v>
      </c>
    </row>
    <row r="233" spans="1:15" ht="15" x14ac:dyDescent="0.2">
      <c r="A233" s="13">
        <v>47939</v>
      </c>
      <c r="B233" s="9">
        <f>4.2824 * CHOOSE(CONTROL!$C$32, $C$9, 100%, $E$9)</f>
        <v>4.2824</v>
      </c>
      <c r="C233" s="9">
        <f>4.2824 * CHOOSE(CONTROL!$C$32, $C$9, 100%, $E$9)</f>
        <v>4.2824</v>
      </c>
      <c r="D233" s="9">
        <f>4.2835 * CHOOSE(CONTROL!$C$32, $C$9, 100%, $E$9)</f>
        <v>4.2835000000000001</v>
      </c>
      <c r="E233" s="11">
        <f>5.471 * CHOOSE(CONTROL!$C$32, $C$9, 100%, $E$9)</f>
        <v>5.4710000000000001</v>
      </c>
      <c r="F233" s="11">
        <f>5.471 * CHOOSE(CONTROL!$C$32, $C$9, 100%, $E$9)</f>
        <v>5.4710000000000001</v>
      </c>
      <c r="G233" s="11">
        <f>5.4746 * CHOOSE(CONTROL!$C$32, $C$9, 100%, $E$9)</f>
        <v>5.4745999999999997</v>
      </c>
      <c r="H233" s="11">
        <f>8.7465 * CHOOSE(CONTROL!$C$32, $C$9, 100%, $E$9)</f>
        <v>8.7464999999999993</v>
      </c>
      <c r="I233" s="11">
        <f>8.7501 * CHOOSE(CONTROL!$C$32, $C$9, 100%, $E$9)</f>
        <v>8.7500999999999998</v>
      </c>
      <c r="J233" s="11">
        <f>8.7465 * CHOOSE(CONTROL!$C$32, $C$9, 100%, $E$9)</f>
        <v>8.7464999999999993</v>
      </c>
      <c r="K233" s="11">
        <f>8.7501 * CHOOSE(CONTROL!$C$32, $C$9, 100%, $E$9)</f>
        <v>8.7500999999999998</v>
      </c>
      <c r="L233" s="11">
        <f>5.471 * CHOOSE(CONTROL!$C$32, $C$9, 100%, $E$9)</f>
        <v>5.4710000000000001</v>
      </c>
      <c r="M233" s="11">
        <f>5.4746 * CHOOSE(CONTROL!$C$32, $C$9, 100%, $E$9)</f>
        <v>5.4745999999999997</v>
      </c>
      <c r="N233" s="11">
        <f>5.471 * CHOOSE(CONTROL!$C$32, $C$9, 100%, $E$9)</f>
        <v>5.4710000000000001</v>
      </c>
      <c r="O233" s="11">
        <f>5.4746 * CHOOSE(CONTROL!$C$32, $C$9, 100%, $E$9)</f>
        <v>5.4745999999999997</v>
      </c>
    </row>
    <row r="234" spans="1:15" ht="15" x14ac:dyDescent="0.2">
      <c r="A234" s="13">
        <v>47969</v>
      </c>
      <c r="B234" s="9">
        <f>4.2824 * CHOOSE(CONTROL!$C$32, $C$9, 100%, $E$9)</f>
        <v>4.2824</v>
      </c>
      <c r="C234" s="9">
        <f>4.2824 * CHOOSE(CONTROL!$C$32, $C$9, 100%, $E$9)</f>
        <v>4.2824</v>
      </c>
      <c r="D234" s="9">
        <f>4.284 * CHOOSE(CONTROL!$C$32, $C$9, 100%, $E$9)</f>
        <v>4.2839999999999998</v>
      </c>
      <c r="E234" s="11">
        <f>5.471 * CHOOSE(CONTROL!$C$32, $C$9, 100%, $E$9)</f>
        <v>5.4710000000000001</v>
      </c>
      <c r="F234" s="11">
        <f>5.471 * CHOOSE(CONTROL!$C$32, $C$9, 100%, $E$9)</f>
        <v>5.4710000000000001</v>
      </c>
      <c r="G234" s="11">
        <f>5.4763 * CHOOSE(CONTROL!$C$32, $C$9, 100%, $E$9)</f>
        <v>5.4763000000000002</v>
      </c>
      <c r="H234" s="11">
        <f>8.7647 * CHOOSE(CONTROL!$C$32, $C$9, 100%, $E$9)</f>
        <v>8.7646999999999995</v>
      </c>
      <c r="I234" s="11">
        <f>8.77 * CHOOSE(CONTROL!$C$32, $C$9, 100%, $E$9)</f>
        <v>8.77</v>
      </c>
      <c r="J234" s="11">
        <f>8.7647 * CHOOSE(CONTROL!$C$32, $C$9, 100%, $E$9)</f>
        <v>8.7646999999999995</v>
      </c>
      <c r="K234" s="11">
        <f>8.77 * CHOOSE(CONTROL!$C$32, $C$9, 100%, $E$9)</f>
        <v>8.77</v>
      </c>
      <c r="L234" s="11">
        <f>5.471 * CHOOSE(CONTROL!$C$32, $C$9, 100%, $E$9)</f>
        <v>5.4710000000000001</v>
      </c>
      <c r="M234" s="11">
        <f>5.4763 * CHOOSE(CONTROL!$C$32, $C$9, 100%, $E$9)</f>
        <v>5.4763000000000002</v>
      </c>
      <c r="N234" s="11">
        <f>5.471 * CHOOSE(CONTROL!$C$32, $C$9, 100%, $E$9)</f>
        <v>5.4710000000000001</v>
      </c>
      <c r="O234" s="11">
        <f>5.4763 * CHOOSE(CONTROL!$C$32, $C$9, 100%, $E$9)</f>
        <v>5.4763000000000002</v>
      </c>
    </row>
    <row r="235" spans="1:15" ht="15" x14ac:dyDescent="0.2">
      <c r="A235" s="13">
        <v>48000</v>
      </c>
      <c r="B235" s="9">
        <f>4.2885 * CHOOSE(CONTROL!$C$32, $C$9, 100%, $E$9)</f>
        <v>4.2885</v>
      </c>
      <c r="C235" s="9">
        <f>4.2885 * CHOOSE(CONTROL!$C$32, $C$9, 100%, $E$9)</f>
        <v>4.2885</v>
      </c>
      <c r="D235" s="9">
        <f>4.2901 * CHOOSE(CONTROL!$C$32, $C$9, 100%, $E$9)</f>
        <v>4.2900999999999998</v>
      </c>
      <c r="E235" s="11">
        <f>5.475 * CHOOSE(CONTROL!$C$32, $C$9, 100%, $E$9)</f>
        <v>5.4749999999999996</v>
      </c>
      <c r="F235" s="11">
        <f>5.475 * CHOOSE(CONTROL!$C$32, $C$9, 100%, $E$9)</f>
        <v>5.4749999999999996</v>
      </c>
      <c r="G235" s="11">
        <f>5.4803 * CHOOSE(CONTROL!$C$32, $C$9, 100%, $E$9)</f>
        <v>5.4802999999999997</v>
      </c>
      <c r="H235" s="11">
        <f>8.783 * CHOOSE(CONTROL!$C$32, $C$9, 100%, $E$9)</f>
        <v>8.7829999999999995</v>
      </c>
      <c r="I235" s="11">
        <f>8.7883 * CHOOSE(CONTROL!$C$32, $C$9, 100%, $E$9)</f>
        <v>8.7882999999999996</v>
      </c>
      <c r="J235" s="11">
        <f>8.783 * CHOOSE(CONTROL!$C$32, $C$9, 100%, $E$9)</f>
        <v>8.7829999999999995</v>
      </c>
      <c r="K235" s="11">
        <f>8.7883 * CHOOSE(CONTROL!$C$32, $C$9, 100%, $E$9)</f>
        <v>8.7882999999999996</v>
      </c>
      <c r="L235" s="11">
        <f>5.475 * CHOOSE(CONTROL!$C$32, $C$9, 100%, $E$9)</f>
        <v>5.4749999999999996</v>
      </c>
      <c r="M235" s="11">
        <f>5.4803 * CHOOSE(CONTROL!$C$32, $C$9, 100%, $E$9)</f>
        <v>5.4802999999999997</v>
      </c>
      <c r="N235" s="11">
        <f>5.475 * CHOOSE(CONTROL!$C$32, $C$9, 100%, $E$9)</f>
        <v>5.4749999999999996</v>
      </c>
      <c r="O235" s="11">
        <f>5.4803 * CHOOSE(CONTROL!$C$32, $C$9, 100%, $E$9)</f>
        <v>5.4802999999999997</v>
      </c>
    </row>
    <row r="236" spans="1:15" ht="15" x14ac:dyDescent="0.2">
      <c r="A236" s="13">
        <v>48030</v>
      </c>
      <c r="B236" s="9">
        <f>4.3512 * CHOOSE(CONTROL!$C$32, $C$9, 100%, $E$9)</f>
        <v>4.3512000000000004</v>
      </c>
      <c r="C236" s="9">
        <f>4.3512 * CHOOSE(CONTROL!$C$32, $C$9, 100%, $E$9)</f>
        <v>4.3512000000000004</v>
      </c>
      <c r="D236" s="9">
        <f>4.3528 * CHOOSE(CONTROL!$C$32, $C$9, 100%, $E$9)</f>
        <v>4.3528000000000002</v>
      </c>
      <c r="E236" s="11">
        <f>5.5682 * CHOOSE(CONTROL!$C$32, $C$9, 100%, $E$9)</f>
        <v>5.5682</v>
      </c>
      <c r="F236" s="11">
        <f>5.5682 * CHOOSE(CONTROL!$C$32, $C$9, 100%, $E$9)</f>
        <v>5.5682</v>
      </c>
      <c r="G236" s="11">
        <f>5.5735 * CHOOSE(CONTROL!$C$32, $C$9, 100%, $E$9)</f>
        <v>5.5735000000000001</v>
      </c>
      <c r="H236" s="11">
        <f>8.8013 * CHOOSE(CONTROL!$C$32, $C$9, 100%, $E$9)</f>
        <v>8.8012999999999995</v>
      </c>
      <c r="I236" s="11">
        <f>8.8066 * CHOOSE(CONTROL!$C$32, $C$9, 100%, $E$9)</f>
        <v>8.8065999999999995</v>
      </c>
      <c r="J236" s="11">
        <f>8.8013 * CHOOSE(CONTROL!$C$32, $C$9, 100%, $E$9)</f>
        <v>8.8012999999999995</v>
      </c>
      <c r="K236" s="11">
        <f>8.8066 * CHOOSE(CONTROL!$C$32, $C$9, 100%, $E$9)</f>
        <v>8.8065999999999995</v>
      </c>
      <c r="L236" s="11">
        <f>5.5682 * CHOOSE(CONTROL!$C$32, $C$9, 100%, $E$9)</f>
        <v>5.5682</v>
      </c>
      <c r="M236" s="11">
        <f>5.5735 * CHOOSE(CONTROL!$C$32, $C$9, 100%, $E$9)</f>
        <v>5.5735000000000001</v>
      </c>
      <c r="N236" s="11">
        <f>5.5682 * CHOOSE(CONTROL!$C$32, $C$9, 100%, $E$9)</f>
        <v>5.5682</v>
      </c>
      <c r="O236" s="11">
        <f>5.5735 * CHOOSE(CONTROL!$C$32, $C$9, 100%, $E$9)</f>
        <v>5.5735000000000001</v>
      </c>
    </row>
    <row r="237" spans="1:15" ht="15" x14ac:dyDescent="0.2">
      <c r="A237" s="13">
        <v>48061</v>
      </c>
      <c r="B237" s="9">
        <f>4.3579 * CHOOSE(CONTROL!$C$32, $C$9, 100%, $E$9)</f>
        <v>4.3578999999999999</v>
      </c>
      <c r="C237" s="9">
        <f>4.3579 * CHOOSE(CONTROL!$C$32, $C$9, 100%, $E$9)</f>
        <v>4.3578999999999999</v>
      </c>
      <c r="D237" s="9">
        <f>4.3595 * CHOOSE(CONTROL!$C$32, $C$9, 100%, $E$9)</f>
        <v>4.3594999999999997</v>
      </c>
      <c r="E237" s="11">
        <f>5.5726 * CHOOSE(CONTROL!$C$32, $C$9, 100%, $E$9)</f>
        <v>5.5726000000000004</v>
      </c>
      <c r="F237" s="11">
        <f>5.5726 * CHOOSE(CONTROL!$C$32, $C$9, 100%, $E$9)</f>
        <v>5.5726000000000004</v>
      </c>
      <c r="G237" s="11">
        <f>5.5779 * CHOOSE(CONTROL!$C$32, $C$9, 100%, $E$9)</f>
        <v>5.5778999999999996</v>
      </c>
      <c r="H237" s="11">
        <f>8.8196 * CHOOSE(CONTROL!$C$32, $C$9, 100%, $E$9)</f>
        <v>8.8195999999999994</v>
      </c>
      <c r="I237" s="11">
        <f>8.8249 * CHOOSE(CONTROL!$C$32, $C$9, 100%, $E$9)</f>
        <v>8.8248999999999995</v>
      </c>
      <c r="J237" s="11">
        <f>8.8196 * CHOOSE(CONTROL!$C$32, $C$9, 100%, $E$9)</f>
        <v>8.8195999999999994</v>
      </c>
      <c r="K237" s="11">
        <f>8.8249 * CHOOSE(CONTROL!$C$32, $C$9, 100%, $E$9)</f>
        <v>8.8248999999999995</v>
      </c>
      <c r="L237" s="11">
        <f>5.5726 * CHOOSE(CONTROL!$C$32, $C$9, 100%, $E$9)</f>
        <v>5.5726000000000004</v>
      </c>
      <c r="M237" s="11">
        <f>5.5779 * CHOOSE(CONTROL!$C$32, $C$9, 100%, $E$9)</f>
        <v>5.5778999999999996</v>
      </c>
      <c r="N237" s="11">
        <f>5.5726 * CHOOSE(CONTROL!$C$32, $C$9, 100%, $E$9)</f>
        <v>5.5726000000000004</v>
      </c>
      <c r="O237" s="11">
        <f>5.5779 * CHOOSE(CONTROL!$C$32, $C$9, 100%, $E$9)</f>
        <v>5.5778999999999996</v>
      </c>
    </row>
    <row r="238" spans="1:15" ht="15" x14ac:dyDescent="0.2">
      <c r="A238" s="13">
        <v>48092</v>
      </c>
      <c r="B238" s="9">
        <f>4.3549 * CHOOSE(CONTROL!$C$32, $C$9, 100%, $E$9)</f>
        <v>4.3548999999999998</v>
      </c>
      <c r="C238" s="9">
        <f>4.3549 * CHOOSE(CONTROL!$C$32, $C$9, 100%, $E$9)</f>
        <v>4.3548999999999998</v>
      </c>
      <c r="D238" s="9">
        <f>4.3565 * CHOOSE(CONTROL!$C$32, $C$9, 100%, $E$9)</f>
        <v>4.3564999999999996</v>
      </c>
      <c r="E238" s="11">
        <f>5.5706 * CHOOSE(CONTROL!$C$32, $C$9, 100%, $E$9)</f>
        <v>5.5705999999999998</v>
      </c>
      <c r="F238" s="11">
        <f>5.5706 * CHOOSE(CONTROL!$C$32, $C$9, 100%, $E$9)</f>
        <v>5.5705999999999998</v>
      </c>
      <c r="G238" s="11">
        <f>5.5759 * CHOOSE(CONTROL!$C$32, $C$9, 100%, $E$9)</f>
        <v>5.5758999999999999</v>
      </c>
      <c r="H238" s="11">
        <f>8.838 * CHOOSE(CONTROL!$C$32, $C$9, 100%, $E$9)</f>
        <v>8.8379999999999992</v>
      </c>
      <c r="I238" s="11">
        <f>8.8433 * CHOOSE(CONTROL!$C$32, $C$9, 100%, $E$9)</f>
        <v>8.8432999999999993</v>
      </c>
      <c r="J238" s="11">
        <f>8.838 * CHOOSE(CONTROL!$C$32, $C$9, 100%, $E$9)</f>
        <v>8.8379999999999992</v>
      </c>
      <c r="K238" s="11">
        <f>8.8433 * CHOOSE(CONTROL!$C$32, $C$9, 100%, $E$9)</f>
        <v>8.8432999999999993</v>
      </c>
      <c r="L238" s="11">
        <f>5.5706 * CHOOSE(CONTROL!$C$32, $C$9, 100%, $E$9)</f>
        <v>5.5705999999999998</v>
      </c>
      <c r="M238" s="11">
        <f>5.5759 * CHOOSE(CONTROL!$C$32, $C$9, 100%, $E$9)</f>
        <v>5.5758999999999999</v>
      </c>
      <c r="N238" s="11">
        <f>5.5706 * CHOOSE(CONTROL!$C$32, $C$9, 100%, $E$9)</f>
        <v>5.5705999999999998</v>
      </c>
      <c r="O238" s="11">
        <f>5.5759 * CHOOSE(CONTROL!$C$32, $C$9, 100%, $E$9)</f>
        <v>5.5758999999999999</v>
      </c>
    </row>
    <row r="239" spans="1:15" ht="15" x14ac:dyDescent="0.2">
      <c r="A239" s="13">
        <v>48122</v>
      </c>
      <c r="B239" s="9">
        <f>4.3513 * CHOOSE(CONTROL!$C$32, $C$9, 100%, $E$9)</f>
        <v>4.3513000000000002</v>
      </c>
      <c r="C239" s="9">
        <f>4.3513 * CHOOSE(CONTROL!$C$32, $C$9, 100%, $E$9)</f>
        <v>4.3513000000000002</v>
      </c>
      <c r="D239" s="9">
        <f>4.3523 * CHOOSE(CONTROL!$C$32, $C$9, 100%, $E$9)</f>
        <v>4.3522999999999996</v>
      </c>
      <c r="E239" s="11">
        <f>5.566 * CHOOSE(CONTROL!$C$32, $C$9, 100%, $E$9)</f>
        <v>5.5659999999999998</v>
      </c>
      <c r="F239" s="11">
        <f>5.566 * CHOOSE(CONTROL!$C$32, $C$9, 100%, $E$9)</f>
        <v>5.5659999999999998</v>
      </c>
      <c r="G239" s="11">
        <f>5.5696 * CHOOSE(CONTROL!$C$32, $C$9, 100%, $E$9)</f>
        <v>5.5696000000000003</v>
      </c>
      <c r="H239" s="11">
        <f>8.8564 * CHOOSE(CONTROL!$C$32, $C$9, 100%, $E$9)</f>
        <v>8.8564000000000007</v>
      </c>
      <c r="I239" s="11">
        <f>8.86 * CHOOSE(CONTROL!$C$32, $C$9, 100%, $E$9)</f>
        <v>8.86</v>
      </c>
      <c r="J239" s="11">
        <f>8.8564 * CHOOSE(CONTROL!$C$32, $C$9, 100%, $E$9)</f>
        <v>8.8564000000000007</v>
      </c>
      <c r="K239" s="11">
        <f>8.86 * CHOOSE(CONTROL!$C$32, $C$9, 100%, $E$9)</f>
        <v>8.86</v>
      </c>
      <c r="L239" s="11">
        <f>5.566 * CHOOSE(CONTROL!$C$32, $C$9, 100%, $E$9)</f>
        <v>5.5659999999999998</v>
      </c>
      <c r="M239" s="11">
        <f>5.5696 * CHOOSE(CONTROL!$C$32, $C$9, 100%, $E$9)</f>
        <v>5.5696000000000003</v>
      </c>
      <c r="N239" s="11">
        <f>5.566 * CHOOSE(CONTROL!$C$32, $C$9, 100%, $E$9)</f>
        <v>5.5659999999999998</v>
      </c>
      <c r="O239" s="11">
        <f>5.5696 * CHOOSE(CONTROL!$C$32, $C$9, 100%, $E$9)</f>
        <v>5.5696000000000003</v>
      </c>
    </row>
    <row r="240" spans="1:15" ht="15" x14ac:dyDescent="0.2">
      <c r="A240" s="13">
        <v>48153</v>
      </c>
      <c r="B240" s="9">
        <f>4.3543 * CHOOSE(CONTROL!$C$32, $C$9, 100%, $E$9)</f>
        <v>4.3543000000000003</v>
      </c>
      <c r="C240" s="9">
        <f>4.3543 * CHOOSE(CONTROL!$C$32, $C$9, 100%, $E$9)</f>
        <v>4.3543000000000003</v>
      </c>
      <c r="D240" s="9">
        <f>4.3554 * CHOOSE(CONTROL!$C$32, $C$9, 100%, $E$9)</f>
        <v>4.3554000000000004</v>
      </c>
      <c r="E240" s="11">
        <f>5.568 * CHOOSE(CONTROL!$C$32, $C$9, 100%, $E$9)</f>
        <v>5.5679999999999996</v>
      </c>
      <c r="F240" s="11">
        <f>5.568 * CHOOSE(CONTROL!$C$32, $C$9, 100%, $E$9)</f>
        <v>5.5679999999999996</v>
      </c>
      <c r="G240" s="11">
        <f>5.5716 * CHOOSE(CONTROL!$C$32, $C$9, 100%, $E$9)</f>
        <v>5.5716000000000001</v>
      </c>
      <c r="H240" s="11">
        <f>8.8749 * CHOOSE(CONTROL!$C$32, $C$9, 100%, $E$9)</f>
        <v>8.8749000000000002</v>
      </c>
      <c r="I240" s="11">
        <f>8.8785 * CHOOSE(CONTROL!$C$32, $C$9, 100%, $E$9)</f>
        <v>8.8785000000000007</v>
      </c>
      <c r="J240" s="11">
        <f>8.8749 * CHOOSE(CONTROL!$C$32, $C$9, 100%, $E$9)</f>
        <v>8.8749000000000002</v>
      </c>
      <c r="K240" s="11">
        <f>8.8785 * CHOOSE(CONTROL!$C$32, $C$9, 100%, $E$9)</f>
        <v>8.8785000000000007</v>
      </c>
      <c r="L240" s="11">
        <f>5.568 * CHOOSE(CONTROL!$C$32, $C$9, 100%, $E$9)</f>
        <v>5.5679999999999996</v>
      </c>
      <c r="M240" s="11">
        <f>5.5716 * CHOOSE(CONTROL!$C$32, $C$9, 100%, $E$9)</f>
        <v>5.5716000000000001</v>
      </c>
      <c r="N240" s="11">
        <f>5.568 * CHOOSE(CONTROL!$C$32, $C$9, 100%, $E$9)</f>
        <v>5.5679999999999996</v>
      </c>
      <c r="O240" s="11">
        <f>5.5716 * CHOOSE(CONTROL!$C$32, $C$9, 100%, $E$9)</f>
        <v>5.5716000000000001</v>
      </c>
    </row>
    <row r="241" spans="1:15" ht="15" x14ac:dyDescent="0.2">
      <c r="A241" s="13">
        <v>48183</v>
      </c>
      <c r="B241" s="9">
        <f>4.3543 * CHOOSE(CONTROL!$C$32, $C$9, 100%, $E$9)</f>
        <v>4.3543000000000003</v>
      </c>
      <c r="C241" s="9">
        <f>4.3543 * CHOOSE(CONTROL!$C$32, $C$9, 100%, $E$9)</f>
        <v>4.3543000000000003</v>
      </c>
      <c r="D241" s="9">
        <f>4.3554 * CHOOSE(CONTROL!$C$32, $C$9, 100%, $E$9)</f>
        <v>4.3554000000000004</v>
      </c>
      <c r="E241" s="11">
        <f>5.568 * CHOOSE(CONTROL!$C$32, $C$9, 100%, $E$9)</f>
        <v>5.5679999999999996</v>
      </c>
      <c r="F241" s="11">
        <f>5.568 * CHOOSE(CONTROL!$C$32, $C$9, 100%, $E$9)</f>
        <v>5.5679999999999996</v>
      </c>
      <c r="G241" s="11">
        <f>5.5716 * CHOOSE(CONTROL!$C$32, $C$9, 100%, $E$9)</f>
        <v>5.5716000000000001</v>
      </c>
      <c r="H241" s="11">
        <f>8.8934 * CHOOSE(CONTROL!$C$32, $C$9, 100%, $E$9)</f>
        <v>8.8933999999999997</v>
      </c>
      <c r="I241" s="11">
        <f>8.897 * CHOOSE(CONTROL!$C$32, $C$9, 100%, $E$9)</f>
        <v>8.8970000000000002</v>
      </c>
      <c r="J241" s="11">
        <f>8.8934 * CHOOSE(CONTROL!$C$32, $C$9, 100%, $E$9)</f>
        <v>8.8933999999999997</v>
      </c>
      <c r="K241" s="11">
        <f>8.897 * CHOOSE(CONTROL!$C$32, $C$9, 100%, $E$9)</f>
        <v>8.8970000000000002</v>
      </c>
      <c r="L241" s="11">
        <f>5.568 * CHOOSE(CONTROL!$C$32, $C$9, 100%, $E$9)</f>
        <v>5.5679999999999996</v>
      </c>
      <c r="M241" s="11">
        <f>5.5716 * CHOOSE(CONTROL!$C$32, $C$9, 100%, $E$9)</f>
        <v>5.5716000000000001</v>
      </c>
      <c r="N241" s="11">
        <f>5.568 * CHOOSE(CONTROL!$C$32, $C$9, 100%, $E$9)</f>
        <v>5.5679999999999996</v>
      </c>
      <c r="O241" s="11">
        <f>5.5716 * CHOOSE(CONTROL!$C$32, $C$9, 100%, $E$9)</f>
        <v>5.5716000000000001</v>
      </c>
    </row>
    <row r="242" spans="1:15" ht="15" x14ac:dyDescent="0.2">
      <c r="A242" s="13">
        <v>48214</v>
      </c>
      <c r="B242" s="9">
        <f>4.3913 * CHOOSE(CONTROL!$C$32, $C$9, 100%, $E$9)</f>
        <v>4.3913000000000002</v>
      </c>
      <c r="C242" s="9">
        <f>4.3913 * CHOOSE(CONTROL!$C$32, $C$9, 100%, $E$9)</f>
        <v>4.3913000000000002</v>
      </c>
      <c r="D242" s="9">
        <f>4.3923 * CHOOSE(CONTROL!$C$32, $C$9, 100%, $E$9)</f>
        <v>4.3922999999999996</v>
      </c>
      <c r="E242" s="11">
        <f>5.6146 * CHOOSE(CONTROL!$C$32, $C$9, 100%, $E$9)</f>
        <v>5.6146000000000003</v>
      </c>
      <c r="F242" s="11">
        <f>5.6146 * CHOOSE(CONTROL!$C$32, $C$9, 100%, $E$9)</f>
        <v>5.6146000000000003</v>
      </c>
      <c r="G242" s="11">
        <f>5.6182 * CHOOSE(CONTROL!$C$32, $C$9, 100%, $E$9)</f>
        <v>5.6181999999999999</v>
      </c>
      <c r="H242" s="11">
        <f>8.9119 * CHOOSE(CONTROL!$C$32, $C$9, 100%, $E$9)</f>
        <v>8.9118999999999993</v>
      </c>
      <c r="I242" s="11">
        <f>8.9155 * CHOOSE(CONTROL!$C$32, $C$9, 100%, $E$9)</f>
        <v>8.9154999999999998</v>
      </c>
      <c r="J242" s="11">
        <f>8.9119 * CHOOSE(CONTROL!$C$32, $C$9, 100%, $E$9)</f>
        <v>8.9118999999999993</v>
      </c>
      <c r="K242" s="11">
        <f>8.9155 * CHOOSE(CONTROL!$C$32, $C$9, 100%, $E$9)</f>
        <v>8.9154999999999998</v>
      </c>
      <c r="L242" s="11">
        <f>5.6146 * CHOOSE(CONTROL!$C$32, $C$9, 100%, $E$9)</f>
        <v>5.6146000000000003</v>
      </c>
      <c r="M242" s="11">
        <f>5.6182 * CHOOSE(CONTROL!$C$32, $C$9, 100%, $E$9)</f>
        <v>5.6181999999999999</v>
      </c>
      <c r="N242" s="11">
        <f>5.6146 * CHOOSE(CONTROL!$C$32, $C$9, 100%, $E$9)</f>
        <v>5.6146000000000003</v>
      </c>
      <c r="O242" s="11">
        <f>5.6182 * CHOOSE(CONTROL!$C$32, $C$9, 100%, $E$9)</f>
        <v>5.6181999999999999</v>
      </c>
    </row>
    <row r="243" spans="1:15" ht="15" x14ac:dyDescent="0.2">
      <c r="A243" s="13">
        <v>48245</v>
      </c>
      <c r="B243" s="9">
        <f>4.3882 * CHOOSE(CONTROL!$C$32, $C$9, 100%, $E$9)</f>
        <v>4.3882000000000003</v>
      </c>
      <c r="C243" s="9">
        <f>4.3882 * CHOOSE(CONTROL!$C$32, $C$9, 100%, $E$9)</f>
        <v>4.3882000000000003</v>
      </c>
      <c r="D243" s="9">
        <f>4.3893 * CHOOSE(CONTROL!$C$32, $C$9, 100%, $E$9)</f>
        <v>4.3893000000000004</v>
      </c>
      <c r="E243" s="11">
        <f>5.6126 * CHOOSE(CONTROL!$C$32, $C$9, 100%, $E$9)</f>
        <v>5.6125999999999996</v>
      </c>
      <c r="F243" s="11">
        <f>5.6126 * CHOOSE(CONTROL!$C$32, $C$9, 100%, $E$9)</f>
        <v>5.6125999999999996</v>
      </c>
      <c r="G243" s="11">
        <f>5.6162 * CHOOSE(CONTROL!$C$32, $C$9, 100%, $E$9)</f>
        <v>5.6162000000000001</v>
      </c>
      <c r="H243" s="11">
        <f>8.9305 * CHOOSE(CONTROL!$C$32, $C$9, 100%, $E$9)</f>
        <v>8.9305000000000003</v>
      </c>
      <c r="I243" s="11">
        <f>8.9341 * CHOOSE(CONTROL!$C$32, $C$9, 100%, $E$9)</f>
        <v>8.9341000000000008</v>
      </c>
      <c r="J243" s="11">
        <f>8.9305 * CHOOSE(CONTROL!$C$32, $C$9, 100%, $E$9)</f>
        <v>8.9305000000000003</v>
      </c>
      <c r="K243" s="11">
        <f>8.9341 * CHOOSE(CONTROL!$C$32, $C$9, 100%, $E$9)</f>
        <v>8.9341000000000008</v>
      </c>
      <c r="L243" s="11">
        <f>5.6126 * CHOOSE(CONTROL!$C$32, $C$9, 100%, $E$9)</f>
        <v>5.6125999999999996</v>
      </c>
      <c r="M243" s="11">
        <f>5.6162 * CHOOSE(CONTROL!$C$32, $C$9, 100%, $E$9)</f>
        <v>5.6162000000000001</v>
      </c>
      <c r="N243" s="11">
        <f>5.6126 * CHOOSE(CONTROL!$C$32, $C$9, 100%, $E$9)</f>
        <v>5.6125999999999996</v>
      </c>
      <c r="O243" s="11">
        <f>5.6162 * CHOOSE(CONTROL!$C$32, $C$9, 100%, $E$9)</f>
        <v>5.6162000000000001</v>
      </c>
    </row>
    <row r="244" spans="1:15" ht="15" x14ac:dyDescent="0.2">
      <c r="A244" s="13">
        <v>48274</v>
      </c>
      <c r="B244" s="9">
        <f>4.3852 * CHOOSE(CONTROL!$C$32, $C$9, 100%, $E$9)</f>
        <v>4.3852000000000002</v>
      </c>
      <c r="C244" s="9">
        <f>4.3852 * CHOOSE(CONTROL!$C$32, $C$9, 100%, $E$9)</f>
        <v>4.3852000000000002</v>
      </c>
      <c r="D244" s="9">
        <f>4.3862 * CHOOSE(CONTROL!$C$32, $C$9, 100%, $E$9)</f>
        <v>4.3861999999999997</v>
      </c>
      <c r="E244" s="11">
        <f>5.6106 * CHOOSE(CONTROL!$C$32, $C$9, 100%, $E$9)</f>
        <v>5.6105999999999998</v>
      </c>
      <c r="F244" s="11">
        <f>5.6106 * CHOOSE(CONTROL!$C$32, $C$9, 100%, $E$9)</f>
        <v>5.6105999999999998</v>
      </c>
      <c r="G244" s="11">
        <f>5.6142 * CHOOSE(CONTROL!$C$32, $C$9, 100%, $E$9)</f>
        <v>5.6142000000000003</v>
      </c>
      <c r="H244" s="11">
        <f>8.9491 * CHOOSE(CONTROL!$C$32, $C$9, 100%, $E$9)</f>
        <v>8.9490999999999996</v>
      </c>
      <c r="I244" s="11">
        <f>8.9527 * CHOOSE(CONTROL!$C$32, $C$9, 100%, $E$9)</f>
        <v>8.9527000000000001</v>
      </c>
      <c r="J244" s="11">
        <f>8.9491 * CHOOSE(CONTROL!$C$32, $C$9, 100%, $E$9)</f>
        <v>8.9490999999999996</v>
      </c>
      <c r="K244" s="11">
        <f>8.9527 * CHOOSE(CONTROL!$C$32, $C$9, 100%, $E$9)</f>
        <v>8.9527000000000001</v>
      </c>
      <c r="L244" s="11">
        <f>5.6106 * CHOOSE(CONTROL!$C$32, $C$9, 100%, $E$9)</f>
        <v>5.6105999999999998</v>
      </c>
      <c r="M244" s="11">
        <f>5.6142 * CHOOSE(CONTROL!$C$32, $C$9, 100%, $E$9)</f>
        <v>5.6142000000000003</v>
      </c>
      <c r="N244" s="11">
        <f>5.6106 * CHOOSE(CONTROL!$C$32, $C$9, 100%, $E$9)</f>
        <v>5.6105999999999998</v>
      </c>
      <c r="O244" s="11">
        <f>5.6142 * CHOOSE(CONTROL!$C$32, $C$9, 100%, $E$9)</f>
        <v>5.6142000000000003</v>
      </c>
    </row>
    <row r="245" spans="1:15" ht="15" x14ac:dyDescent="0.2">
      <c r="A245" s="13">
        <v>48305</v>
      </c>
      <c r="B245" s="9">
        <f>4.3832 * CHOOSE(CONTROL!$C$32, $C$9, 100%, $E$9)</f>
        <v>4.3832000000000004</v>
      </c>
      <c r="C245" s="9">
        <f>4.3832 * CHOOSE(CONTROL!$C$32, $C$9, 100%, $E$9)</f>
        <v>4.3832000000000004</v>
      </c>
      <c r="D245" s="9">
        <f>4.3843 * CHOOSE(CONTROL!$C$32, $C$9, 100%, $E$9)</f>
        <v>4.3842999999999996</v>
      </c>
      <c r="E245" s="11">
        <f>5.6087 * CHOOSE(CONTROL!$C$32, $C$9, 100%, $E$9)</f>
        <v>5.6086999999999998</v>
      </c>
      <c r="F245" s="11">
        <f>5.6087 * CHOOSE(CONTROL!$C$32, $C$9, 100%, $E$9)</f>
        <v>5.6086999999999998</v>
      </c>
      <c r="G245" s="11">
        <f>5.6123 * CHOOSE(CONTROL!$C$32, $C$9, 100%, $E$9)</f>
        <v>5.6123000000000003</v>
      </c>
      <c r="H245" s="11">
        <f>8.9677 * CHOOSE(CONTROL!$C$32, $C$9, 100%, $E$9)</f>
        <v>8.9677000000000007</v>
      </c>
      <c r="I245" s="11">
        <f>8.9713 * CHOOSE(CONTROL!$C$32, $C$9, 100%, $E$9)</f>
        <v>8.9712999999999994</v>
      </c>
      <c r="J245" s="11">
        <f>8.9677 * CHOOSE(CONTROL!$C$32, $C$9, 100%, $E$9)</f>
        <v>8.9677000000000007</v>
      </c>
      <c r="K245" s="11">
        <f>8.9713 * CHOOSE(CONTROL!$C$32, $C$9, 100%, $E$9)</f>
        <v>8.9712999999999994</v>
      </c>
      <c r="L245" s="11">
        <f>5.6087 * CHOOSE(CONTROL!$C$32, $C$9, 100%, $E$9)</f>
        <v>5.6086999999999998</v>
      </c>
      <c r="M245" s="11">
        <f>5.6123 * CHOOSE(CONTROL!$C$32, $C$9, 100%, $E$9)</f>
        <v>5.6123000000000003</v>
      </c>
      <c r="N245" s="11">
        <f>5.6087 * CHOOSE(CONTROL!$C$32, $C$9, 100%, $E$9)</f>
        <v>5.6086999999999998</v>
      </c>
      <c r="O245" s="11">
        <f>5.6123 * CHOOSE(CONTROL!$C$32, $C$9, 100%, $E$9)</f>
        <v>5.6123000000000003</v>
      </c>
    </row>
    <row r="246" spans="1:15" ht="15" x14ac:dyDescent="0.2">
      <c r="A246" s="13">
        <v>48335</v>
      </c>
      <c r="B246" s="9">
        <f>4.3832 * CHOOSE(CONTROL!$C$32, $C$9, 100%, $E$9)</f>
        <v>4.3832000000000004</v>
      </c>
      <c r="C246" s="9">
        <f>4.3832 * CHOOSE(CONTROL!$C$32, $C$9, 100%, $E$9)</f>
        <v>4.3832000000000004</v>
      </c>
      <c r="D246" s="9">
        <f>4.3848 * CHOOSE(CONTROL!$C$32, $C$9, 100%, $E$9)</f>
        <v>4.3848000000000003</v>
      </c>
      <c r="E246" s="11">
        <f>5.6087 * CHOOSE(CONTROL!$C$32, $C$9, 100%, $E$9)</f>
        <v>5.6086999999999998</v>
      </c>
      <c r="F246" s="11">
        <f>5.6087 * CHOOSE(CONTROL!$C$32, $C$9, 100%, $E$9)</f>
        <v>5.6086999999999998</v>
      </c>
      <c r="G246" s="11">
        <f>5.614 * CHOOSE(CONTROL!$C$32, $C$9, 100%, $E$9)</f>
        <v>5.6139999999999999</v>
      </c>
      <c r="H246" s="11">
        <f>8.9864 * CHOOSE(CONTROL!$C$32, $C$9, 100%, $E$9)</f>
        <v>8.9863999999999997</v>
      </c>
      <c r="I246" s="11">
        <f>8.9917 * CHOOSE(CONTROL!$C$32, $C$9, 100%, $E$9)</f>
        <v>8.9916999999999998</v>
      </c>
      <c r="J246" s="11">
        <f>8.9864 * CHOOSE(CONTROL!$C$32, $C$9, 100%, $E$9)</f>
        <v>8.9863999999999997</v>
      </c>
      <c r="K246" s="11">
        <f>8.9917 * CHOOSE(CONTROL!$C$32, $C$9, 100%, $E$9)</f>
        <v>8.9916999999999998</v>
      </c>
      <c r="L246" s="11">
        <f>5.6087 * CHOOSE(CONTROL!$C$32, $C$9, 100%, $E$9)</f>
        <v>5.6086999999999998</v>
      </c>
      <c r="M246" s="11">
        <f>5.614 * CHOOSE(CONTROL!$C$32, $C$9, 100%, $E$9)</f>
        <v>5.6139999999999999</v>
      </c>
      <c r="N246" s="11">
        <f>5.6087 * CHOOSE(CONTROL!$C$32, $C$9, 100%, $E$9)</f>
        <v>5.6086999999999998</v>
      </c>
      <c r="O246" s="11">
        <f>5.614 * CHOOSE(CONTROL!$C$32, $C$9, 100%, $E$9)</f>
        <v>5.6139999999999999</v>
      </c>
    </row>
    <row r="247" spans="1:15" ht="15" x14ac:dyDescent="0.2">
      <c r="A247" s="13">
        <v>48366</v>
      </c>
      <c r="B247" s="9">
        <f>4.3893 * CHOOSE(CONTROL!$C$32, $C$9, 100%, $E$9)</f>
        <v>4.3893000000000004</v>
      </c>
      <c r="C247" s="9">
        <f>4.3893 * CHOOSE(CONTROL!$C$32, $C$9, 100%, $E$9)</f>
        <v>4.3893000000000004</v>
      </c>
      <c r="D247" s="9">
        <f>4.3909 * CHOOSE(CONTROL!$C$32, $C$9, 100%, $E$9)</f>
        <v>4.3909000000000002</v>
      </c>
      <c r="E247" s="11">
        <f>5.6127 * CHOOSE(CONTROL!$C$32, $C$9, 100%, $E$9)</f>
        <v>5.6127000000000002</v>
      </c>
      <c r="F247" s="11">
        <f>5.6127 * CHOOSE(CONTROL!$C$32, $C$9, 100%, $E$9)</f>
        <v>5.6127000000000002</v>
      </c>
      <c r="G247" s="11">
        <f>5.618 * CHOOSE(CONTROL!$C$32, $C$9, 100%, $E$9)</f>
        <v>5.6180000000000003</v>
      </c>
      <c r="H247" s="11">
        <f>9.0051 * CHOOSE(CONTROL!$C$32, $C$9, 100%, $E$9)</f>
        <v>9.0051000000000005</v>
      </c>
      <c r="I247" s="11">
        <f>9.0104 * CHOOSE(CONTROL!$C$32, $C$9, 100%, $E$9)</f>
        <v>9.0104000000000006</v>
      </c>
      <c r="J247" s="11">
        <f>9.0051 * CHOOSE(CONTROL!$C$32, $C$9, 100%, $E$9)</f>
        <v>9.0051000000000005</v>
      </c>
      <c r="K247" s="11">
        <f>9.0104 * CHOOSE(CONTROL!$C$32, $C$9, 100%, $E$9)</f>
        <v>9.0104000000000006</v>
      </c>
      <c r="L247" s="11">
        <f>5.6127 * CHOOSE(CONTROL!$C$32, $C$9, 100%, $E$9)</f>
        <v>5.6127000000000002</v>
      </c>
      <c r="M247" s="11">
        <f>5.618 * CHOOSE(CONTROL!$C$32, $C$9, 100%, $E$9)</f>
        <v>5.6180000000000003</v>
      </c>
      <c r="N247" s="11">
        <f>5.6127 * CHOOSE(CONTROL!$C$32, $C$9, 100%, $E$9)</f>
        <v>5.6127000000000002</v>
      </c>
      <c r="O247" s="11">
        <f>5.618 * CHOOSE(CONTROL!$C$32, $C$9, 100%, $E$9)</f>
        <v>5.6180000000000003</v>
      </c>
    </row>
    <row r="248" spans="1:15" ht="15" x14ac:dyDescent="0.2">
      <c r="A248" s="13">
        <v>48396</v>
      </c>
      <c r="B248" s="9">
        <f>4.4571 * CHOOSE(CONTROL!$C$32, $C$9, 100%, $E$9)</f>
        <v>4.4570999999999996</v>
      </c>
      <c r="C248" s="9">
        <f>4.4571 * CHOOSE(CONTROL!$C$32, $C$9, 100%, $E$9)</f>
        <v>4.4570999999999996</v>
      </c>
      <c r="D248" s="9">
        <f>4.4586 * CHOOSE(CONTROL!$C$32, $C$9, 100%, $E$9)</f>
        <v>4.4585999999999997</v>
      </c>
      <c r="E248" s="11">
        <f>5.7152 * CHOOSE(CONTROL!$C$32, $C$9, 100%, $E$9)</f>
        <v>5.7152000000000003</v>
      </c>
      <c r="F248" s="11">
        <f>5.7152 * CHOOSE(CONTROL!$C$32, $C$9, 100%, $E$9)</f>
        <v>5.7152000000000003</v>
      </c>
      <c r="G248" s="11">
        <f>5.7205 * CHOOSE(CONTROL!$C$32, $C$9, 100%, $E$9)</f>
        <v>5.7205000000000004</v>
      </c>
      <c r="H248" s="11">
        <f>9.0239 * CHOOSE(CONTROL!$C$32, $C$9, 100%, $E$9)</f>
        <v>9.0238999999999994</v>
      </c>
      <c r="I248" s="11">
        <f>9.0292 * CHOOSE(CONTROL!$C$32, $C$9, 100%, $E$9)</f>
        <v>9.0291999999999994</v>
      </c>
      <c r="J248" s="11">
        <f>9.0239 * CHOOSE(CONTROL!$C$32, $C$9, 100%, $E$9)</f>
        <v>9.0238999999999994</v>
      </c>
      <c r="K248" s="11">
        <f>9.0292 * CHOOSE(CONTROL!$C$32, $C$9, 100%, $E$9)</f>
        <v>9.0291999999999994</v>
      </c>
      <c r="L248" s="11">
        <f>5.7152 * CHOOSE(CONTROL!$C$32, $C$9, 100%, $E$9)</f>
        <v>5.7152000000000003</v>
      </c>
      <c r="M248" s="11">
        <f>5.7205 * CHOOSE(CONTROL!$C$32, $C$9, 100%, $E$9)</f>
        <v>5.7205000000000004</v>
      </c>
      <c r="N248" s="11">
        <f>5.7152 * CHOOSE(CONTROL!$C$32, $C$9, 100%, $E$9)</f>
        <v>5.7152000000000003</v>
      </c>
      <c r="O248" s="11">
        <f>5.7205 * CHOOSE(CONTROL!$C$32, $C$9, 100%, $E$9)</f>
        <v>5.7205000000000004</v>
      </c>
    </row>
    <row r="249" spans="1:15" ht="15" x14ac:dyDescent="0.2">
      <c r="A249" s="13">
        <v>48427</v>
      </c>
      <c r="B249" s="9">
        <f>4.4637 * CHOOSE(CONTROL!$C$32, $C$9, 100%, $E$9)</f>
        <v>4.4637000000000002</v>
      </c>
      <c r="C249" s="9">
        <f>4.4637 * CHOOSE(CONTROL!$C$32, $C$9, 100%, $E$9)</f>
        <v>4.4637000000000002</v>
      </c>
      <c r="D249" s="9">
        <f>4.4653 * CHOOSE(CONTROL!$C$32, $C$9, 100%, $E$9)</f>
        <v>4.4653</v>
      </c>
      <c r="E249" s="11">
        <f>5.7196 * CHOOSE(CONTROL!$C$32, $C$9, 100%, $E$9)</f>
        <v>5.7195999999999998</v>
      </c>
      <c r="F249" s="11">
        <f>5.7196 * CHOOSE(CONTROL!$C$32, $C$9, 100%, $E$9)</f>
        <v>5.7195999999999998</v>
      </c>
      <c r="G249" s="11">
        <f>5.7249 * CHOOSE(CONTROL!$C$32, $C$9, 100%, $E$9)</f>
        <v>5.7248999999999999</v>
      </c>
      <c r="H249" s="11">
        <f>9.0427 * CHOOSE(CONTROL!$C$32, $C$9, 100%, $E$9)</f>
        <v>9.0427</v>
      </c>
      <c r="I249" s="11">
        <f>9.048 * CHOOSE(CONTROL!$C$32, $C$9, 100%, $E$9)</f>
        <v>9.048</v>
      </c>
      <c r="J249" s="11">
        <f>9.0427 * CHOOSE(CONTROL!$C$32, $C$9, 100%, $E$9)</f>
        <v>9.0427</v>
      </c>
      <c r="K249" s="11">
        <f>9.048 * CHOOSE(CONTROL!$C$32, $C$9, 100%, $E$9)</f>
        <v>9.048</v>
      </c>
      <c r="L249" s="11">
        <f>5.7196 * CHOOSE(CONTROL!$C$32, $C$9, 100%, $E$9)</f>
        <v>5.7195999999999998</v>
      </c>
      <c r="M249" s="11">
        <f>5.7249 * CHOOSE(CONTROL!$C$32, $C$9, 100%, $E$9)</f>
        <v>5.7248999999999999</v>
      </c>
      <c r="N249" s="11">
        <f>5.7196 * CHOOSE(CONTROL!$C$32, $C$9, 100%, $E$9)</f>
        <v>5.7195999999999998</v>
      </c>
      <c r="O249" s="11">
        <f>5.7249 * CHOOSE(CONTROL!$C$32, $C$9, 100%, $E$9)</f>
        <v>5.7248999999999999</v>
      </c>
    </row>
    <row r="250" spans="1:15" ht="15" x14ac:dyDescent="0.2">
      <c r="A250" s="13">
        <v>48458</v>
      </c>
      <c r="B250" s="9">
        <f>4.4607 * CHOOSE(CONTROL!$C$32, $C$9, 100%, $E$9)</f>
        <v>4.4607000000000001</v>
      </c>
      <c r="C250" s="9">
        <f>4.4607 * CHOOSE(CONTROL!$C$32, $C$9, 100%, $E$9)</f>
        <v>4.4607000000000001</v>
      </c>
      <c r="D250" s="9">
        <f>4.4623 * CHOOSE(CONTROL!$C$32, $C$9, 100%, $E$9)</f>
        <v>4.4622999999999999</v>
      </c>
      <c r="E250" s="11">
        <f>5.7176 * CHOOSE(CONTROL!$C$32, $C$9, 100%, $E$9)</f>
        <v>5.7176</v>
      </c>
      <c r="F250" s="11">
        <f>5.7176 * CHOOSE(CONTROL!$C$32, $C$9, 100%, $E$9)</f>
        <v>5.7176</v>
      </c>
      <c r="G250" s="11">
        <f>5.7229 * CHOOSE(CONTROL!$C$32, $C$9, 100%, $E$9)</f>
        <v>5.7229000000000001</v>
      </c>
      <c r="H250" s="11">
        <f>9.0615 * CHOOSE(CONTROL!$C$32, $C$9, 100%, $E$9)</f>
        <v>9.0615000000000006</v>
      </c>
      <c r="I250" s="11">
        <f>9.0668 * CHOOSE(CONTROL!$C$32, $C$9, 100%, $E$9)</f>
        <v>9.0668000000000006</v>
      </c>
      <c r="J250" s="11">
        <f>9.0615 * CHOOSE(CONTROL!$C$32, $C$9, 100%, $E$9)</f>
        <v>9.0615000000000006</v>
      </c>
      <c r="K250" s="11">
        <f>9.0668 * CHOOSE(CONTROL!$C$32, $C$9, 100%, $E$9)</f>
        <v>9.0668000000000006</v>
      </c>
      <c r="L250" s="11">
        <f>5.7176 * CHOOSE(CONTROL!$C$32, $C$9, 100%, $E$9)</f>
        <v>5.7176</v>
      </c>
      <c r="M250" s="11">
        <f>5.7229 * CHOOSE(CONTROL!$C$32, $C$9, 100%, $E$9)</f>
        <v>5.7229000000000001</v>
      </c>
      <c r="N250" s="11">
        <f>5.7176 * CHOOSE(CONTROL!$C$32, $C$9, 100%, $E$9)</f>
        <v>5.7176</v>
      </c>
      <c r="O250" s="11">
        <f>5.7229 * CHOOSE(CONTROL!$C$32, $C$9, 100%, $E$9)</f>
        <v>5.7229000000000001</v>
      </c>
    </row>
    <row r="251" spans="1:15" ht="15" x14ac:dyDescent="0.2">
      <c r="A251" s="13">
        <v>48488</v>
      </c>
      <c r="B251" s="9">
        <f>4.4575 * CHOOSE(CONTROL!$C$32, $C$9, 100%, $E$9)</f>
        <v>4.4574999999999996</v>
      </c>
      <c r="C251" s="9">
        <f>4.4575 * CHOOSE(CONTROL!$C$32, $C$9, 100%, $E$9)</f>
        <v>4.4574999999999996</v>
      </c>
      <c r="D251" s="9">
        <f>4.4586 * CHOOSE(CONTROL!$C$32, $C$9, 100%, $E$9)</f>
        <v>4.4585999999999997</v>
      </c>
      <c r="E251" s="11">
        <f>5.7132 * CHOOSE(CONTROL!$C$32, $C$9, 100%, $E$9)</f>
        <v>5.7131999999999996</v>
      </c>
      <c r="F251" s="11">
        <f>5.7132 * CHOOSE(CONTROL!$C$32, $C$9, 100%, $E$9)</f>
        <v>5.7131999999999996</v>
      </c>
      <c r="G251" s="11">
        <f>5.7168 * CHOOSE(CONTROL!$C$32, $C$9, 100%, $E$9)</f>
        <v>5.7168000000000001</v>
      </c>
      <c r="H251" s="11">
        <f>9.0804 * CHOOSE(CONTROL!$C$32, $C$9, 100%, $E$9)</f>
        <v>9.0803999999999991</v>
      </c>
      <c r="I251" s="11">
        <f>9.084 * CHOOSE(CONTROL!$C$32, $C$9, 100%, $E$9)</f>
        <v>9.0839999999999996</v>
      </c>
      <c r="J251" s="11">
        <f>9.0804 * CHOOSE(CONTROL!$C$32, $C$9, 100%, $E$9)</f>
        <v>9.0803999999999991</v>
      </c>
      <c r="K251" s="11">
        <f>9.084 * CHOOSE(CONTROL!$C$32, $C$9, 100%, $E$9)</f>
        <v>9.0839999999999996</v>
      </c>
      <c r="L251" s="11">
        <f>5.7132 * CHOOSE(CONTROL!$C$32, $C$9, 100%, $E$9)</f>
        <v>5.7131999999999996</v>
      </c>
      <c r="M251" s="11">
        <f>5.7168 * CHOOSE(CONTROL!$C$32, $C$9, 100%, $E$9)</f>
        <v>5.7168000000000001</v>
      </c>
      <c r="N251" s="11">
        <f>5.7132 * CHOOSE(CONTROL!$C$32, $C$9, 100%, $E$9)</f>
        <v>5.7131999999999996</v>
      </c>
      <c r="O251" s="11">
        <f>5.7168 * CHOOSE(CONTROL!$C$32, $C$9, 100%, $E$9)</f>
        <v>5.7168000000000001</v>
      </c>
    </row>
    <row r="252" spans="1:15" ht="15" x14ac:dyDescent="0.2">
      <c r="A252" s="13">
        <v>48519</v>
      </c>
      <c r="B252" s="9">
        <f>4.4605 * CHOOSE(CONTROL!$C$32, $C$9, 100%, $E$9)</f>
        <v>4.4604999999999997</v>
      </c>
      <c r="C252" s="9">
        <f>4.4605 * CHOOSE(CONTROL!$C$32, $C$9, 100%, $E$9)</f>
        <v>4.4604999999999997</v>
      </c>
      <c r="D252" s="9">
        <f>4.4616 * CHOOSE(CONTROL!$C$32, $C$9, 100%, $E$9)</f>
        <v>4.4615999999999998</v>
      </c>
      <c r="E252" s="11">
        <f>5.7152 * CHOOSE(CONTROL!$C$32, $C$9, 100%, $E$9)</f>
        <v>5.7152000000000003</v>
      </c>
      <c r="F252" s="11">
        <f>5.7152 * CHOOSE(CONTROL!$C$32, $C$9, 100%, $E$9)</f>
        <v>5.7152000000000003</v>
      </c>
      <c r="G252" s="11">
        <f>5.7188 * CHOOSE(CONTROL!$C$32, $C$9, 100%, $E$9)</f>
        <v>5.7187999999999999</v>
      </c>
      <c r="H252" s="11">
        <f>9.0993 * CHOOSE(CONTROL!$C$32, $C$9, 100%, $E$9)</f>
        <v>9.0992999999999995</v>
      </c>
      <c r="I252" s="11">
        <f>9.1029 * CHOOSE(CONTROL!$C$32, $C$9, 100%, $E$9)</f>
        <v>9.1029</v>
      </c>
      <c r="J252" s="11">
        <f>9.0993 * CHOOSE(CONTROL!$C$32, $C$9, 100%, $E$9)</f>
        <v>9.0992999999999995</v>
      </c>
      <c r="K252" s="11">
        <f>9.1029 * CHOOSE(CONTROL!$C$32, $C$9, 100%, $E$9)</f>
        <v>9.1029</v>
      </c>
      <c r="L252" s="11">
        <f>5.7152 * CHOOSE(CONTROL!$C$32, $C$9, 100%, $E$9)</f>
        <v>5.7152000000000003</v>
      </c>
      <c r="M252" s="11">
        <f>5.7188 * CHOOSE(CONTROL!$C$32, $C$9, 100%, $E$9)</f>
        <v>5.7187999999999999</v>
      </c>
      <c r="N252" s="11">
        <f>5.7152 * CHOOSE(CONTROL!$C$32, $C$9, 100%, $E$9)</f>
        <v>5.7152000000000003</v>
      </c>
      <c r="O252" s="11">
        <f>5.7188 * CHOOSE(CONTROL!$C$32, $C$9, 100%, $E$9)</f>
        <v>5.7187999999999999</v>
      </c>
    </row>
    <row r="253" spans="1:15" ht="15" x14ac:dyDescent="0.2">
      <c r="A253" s="13">
        <v>48549</v>
      </c>
      <c r="B253" s="9">
        <f>4.4605 * CHOOSE(CONTROL!$C$32, $C$9, 100%, $E$9)</f>
        <v>4.4604999999999997</v>
      </c>
      <c r="C253" s="9">
        <f>4.4605 * CHOOSE(CONTROL!$C$32, $C$9, 100%, $E$9)</f>
        <v>4.4604999999999997</v>
      </c>
      <c r="D253" s="9">
        <f>4.4616 * CHOOSE(CONTROL!$C$32, $C$9, 100%, $E$9)</f>
        <v>4.4615999999999998</v>
      </c>
      <c r="E253" s="11">
        <f>5.7152 * CHOOSE(CONTROL!$C$32, $C$9, 100%, $E$9)</f>
        <v>5.7152000000000003</v>
      </c>
      <c r="F253" s="11">
        <f>5.7152 * CHOOSE(CONTROL!$C$32, $C$9, 100%, $E$9)</f>
        <v>5.7152000000000003</v>
      </c>
      <c r="G253" s="11">
        <f>5.7188 * CHOOSE(CONTROL!$C$32, $C$9, 100%, $E$9)</f>
        <v>5.7187999999999999</v>
      </c>
      <c r="H253" s="11">
        <f>9.1183 * CHOOSE(CONTROL!$C$32, $C$9, 100%, $E$9)</f>
        <v>9.1182999999999996</v>
      </c>
      <c r="I253" s="11">
        <f>9.1219 * CHOOSE(CONTROL!$C$32, $C$9, 100%, $E$9)</f>
        <v>9.1219000000000001</v>
      </c>
      <c r="J253" s="11">
        <f>9.1183 * CHOOSE(CONTROL!$C$32, $C$9, 100%, $E$9)</f>
        <v>9.1182999999999996</v>
      </c>
      <c r="K253" s="11">
        <f>9.1219 * CHOOSE(CONTROL!$C$32, $C$9, 100%, $E$9)</f>
        <v>9.1219000000000001</v>
      </c>
      <c r="L253" s="11">
        <f>5.7152 * CHOOSE(CONTROL!$C$32, $C$9, 100%, $E$9)</f>
        <v>5.7152000000000003</v>
      </c>
      <c r="M253" s="11">
        <f>5.7188 * CHOOSE(CONTROL!$C$32, $C$9, 100%, $E$9)</f>
        <v>5.7187999999999999</v>
      </c>
      <c r="N253" s="11">
        <f>5.7152 * CHOOSE(CONTROL!$C$32, $C$9, 100%, $E$9)</f>
        <v>5.7152000000000003</v>
      </c>
      <c r="O253" s="11">
        <f>5.7188 * CHOOSE(CONTROL!$C$32, $C$9, 100%, $E$9)</f>
        <v>5.7187999999999999</v>
      </c>
    </row>
    <row r="254" spans="1:15" ht="15" x14ac:dyDescent="0.2">
      <c r="A254" s="13">
        <v>48580</v>
      </c>
      <c r="B254" s="9">
        <f>4.4966 * CHOOSE(CONTROL!$C$32, $C$9, 100%, $E$9)</f>
        <v>4.4965999999999999</v>
      </c>
      <c r="C254" s="9">
        <f>4.4966 * CHOOSE(CONTROL!$C$32, $C$9, 100%, $E$9)</f>
        <v>4.4965999999999999</v>
      </c>
      <c r="D254" s="9">
        <f>4.4977 * CHOOSE(CONTROL!$C$32, $C$9, 100%, $E$9)</f>
        <v>4.4977</v>
      </c>
      <c r="E254" s="11">
        <f>5.7608 * CHOOSE(CONTROL!$C$32, $C$9, 100%, $E$9)</f>
        <v>5.7607999999999997</v>
      </c>
      <c r="F254" s="11">
        <f>5.7608 * CHOOSE(CONTROL!$C$32, $C$9, 100%, $E$9)</f>
        <v>5.7607999999999997</v>
      </c>
      <c r="G254" s="11">
        <f>5.7644 * CHOOSE(CONTROL!$C$32, $C$9, 100%, $E$9)</f>
        <v>5.7644000000000002</v>
      </c>
      <c r="H254" s="11">
        <f>9.1373 * CHOOSE(CONTROL!$C$32, $C$9, 100%, $E$9)</f>
        <v>9.1372999999999998</v>
      </c>
      <c r="I254" s="11">
        <f>9.1409 * CHOOSE(CONTROL!$C$32, $C$9, 100%, $E$9)</f>
        <v>9.1409000000000002</v>
      </c>
      <c r="J254" s="11">
        <f>9.1373 * CHOOSE(CONTROL!$C$32, $C$9, 100%, $E$9)</f>
        <v>9.1372999999999998</v>
      </c>
      <c r="K254" s="11">
        <f>9.1409 * CHOOSE(CONTROL!$C$32, $C$9, 100%, $E$9)</f>
        <v>9.1409000000000002</v>
      </c>
      <c r="L254" s="11">
        <f>5.7608 * CHOOSE(CONTROL!$C$32, $C$9, 100%, $E$9)</f>
        <v>5.7607999999999997</v>
      </c>
      <c r="M254" s="11">
        <f>5.7644 * CHOOSE(CONTROL!$C$32, $C$9, 100%, $E$9)</f>
        <v>5.7644000000000002</v>
      </c>
      <c r="N254" s="11">
        <f>5.7608 * CHOOSE(CONTROL!$C$32, $C$9, 100%, $E$9)</f>
        <v>5.7607999999999997</v>
      </c>
      <c r="O254" s="11">
        <f>5.7644 * CHOOSE(CONTROL!$C$32, $C$9, 100%, $E$9)</f>
        <v>5.7644000000000002</v>
      </c>
    </row>
    <row r="255" spans="1:15" ht="15" x14ac:dyDescent="0.2">
      <c r="A255" s="13">
        <v>48611</v>
      </c>
      <c r="B255" s="9">
        <f>4.4936 * CHOOSE(CONTROL!$C$32, $C$9, 100%, $E$9)</f>
        <v>4.4935999999999998</v>
      </c>
      <c r="C255" s="9">
        <f>4.4936 * CHOOSE(CONTROL!$C$32, $C$9, 100%, $E$9)</f>
        <v>4.4935999999999998</v>
      </c>
      <c r="D255" s="9">
        <f>4.4946 * CHOOSE(CONTROL!$C$32, $C$9, 100%, $E$9)</f>
        <v>4.4946000000000002</v>
      </c>
      <c r="E255" s="11">
        <f>5.7588 * CHOOSE(CONTROL!$C$32, $C$9, 100%, $E$9)</f>
        <v>5.7587999999999999</v>
      </c>
      <c r="F255" s="11">
        <f>5.7588 * CHOOSE(CONTROL!$C$32, $C$9, 100%, $E$9)</f>
        <v>5.7587999999999999</v>
      </c>
      <c r="G255" s="11">
        <f>5.7624 * CHOOSE(CONTROL!$C$32, $C$9, 100%, $E$9)</f>
        <v>5.7624000000000004</v>
      </c>
      <c r="H255" s="11">
        <f>9.1563 * CHOOSE(CONTROL!$C$32, $C$9, 100%, $E$9)</f>
        <v>9.1562999999999999</v>
      </c>
      <c r="I255" s="11">
        <f>9.1599 * CHOOSE(CONTROL!$C$32, $C$9, 100%, $E$9)</f>
        <v>9.1599000000000004</v>
      </c>
      <c r="J255" s="11">
        <f>9.1563 * CHOOSE(CONTROL!$C$32, $C$9, 100%, $E$9)</f>
        <v>9.1562999999999999</v>
      </c>
      <c r="K255" s="11">
        <f>9.1599 * CHOOSE(CONTROL!$C$32, $C$9, 100%, $E$9)</f>
        <v>9.1599000000000004</v>
      </c>
      <c r="L255" s="11">
        <f>5.7588 * CHOOSE(CONTROL!$C$32, $C$9, 100%, $E$9)</f>
        <v>5.7587999999999999</v>
      </c>
      <c r="M255" s="11">
        <f>5.7624 * CHOOSE(CONTROL!$C$32, $C$9, 100%, $E$9)</f>
        <v>5.7624000000000004</v>
      </c>
      <c r="N255" s="11">
        <f>5.7588 * CHOOSE(CONTROL!$C$32, $C$9, 100%, $E$9)</f>
        <v>5.7587999999999999</v>
      </c>
      <c r="O255" s="11">
        <f>5.7624 * CHOOSE(CONTROL!$C$32, $C$9, 100%, $E$9)</f>
        <v>5.7624000000000004</v>
      </c>
    </row>
    <row r="256" spans="1:15" ht="15" x14ac:dyDescent="0.2">
      <c r="A256" s="13">
        <v>48639</v>
      </c>
      <c r="B256" s="9">
        <f>4.4905 * CHOOSE(CONTROL!$C$32, $C$9, 100%, $E$9)</f>
        <v>4.4904999999999999</v>
      </c>
      <c r="C256" s="9">
        <f>4.4905 * CHOOSE(CONTROL!$C$32, $C$9, 100%, $E$9)</f>
        <v>4.4904999999999999</v>
      </c>
      <c r="D256" s="9">
        <f>4.4916 * CHOOSE(CONTROL!$C$32, $C$9, 100%, $E$9)</f>
        <v>4.4916</v>
      </c>
      <c r="E256" s="11">
        <f>5.7568 * CHOOSE(CONTROL!$C$32, $C$9, 100%, $E$9)</f>
        <v>5.7568000000000001</v>
      </c>
      <c r="F256" s="11">
        <f>5.7568 * CHOOSE(CONTROL!$C$32, $C$9, 100%, $E$9)</f>
        <v>5.7568000000000001</v>
      </c>
      <c r="G256" s="11">
        <f>5.7604 * CHOOSE(CONTROL!$C$32, $C$9, 100%, $E$9)</f>
        <v>5.7603999999999997</v>
      </c>
      <c r="H256" s="11">
        <f>9.1754 * CHOOSE(CONTROL!$C$32, $C$9, 100%, $E$9)</f>
        <v>9.1753999999999998</v>
      </c>
      <c r="I256" s="11">
        <f>9.179 * CHOOSE(CONTROL!$C$32, $C$9, 100%, $E$9)</f>
        <v>9.1790000000000003</v>
      </c>
      <c r="J256" s="11">
        <f>9.1754 * CHOOSE(CONTROL!$C$32, $C$9, 100%, $E$9)</f>
        <v>9.1753999999999998</v>
      </c>
      <c r="K256" s="11">
        <f>9.179 * CHOOSE(CONTROL!$C$32, $C$9, 100%, $E$9)</f>
        <v>9.1790000000000003</v>
      </c>
      <c r="L256" s="11">
        <f>5.7568 * CHOOSE(CONTROL!$C$32, $C$9, 100%, $E$9)</f>
        <v>5.7568000000000001</v>
      </c>
      <c r="M256" s="11">
        <f>5.7604 * CHOOSE(CONTROL!$C$32, $C$9, 100%, $E$9)</f>
        <v>5.7603999999999997</v>
      </c>
      <c r="N256" s="11">
        <f>5.7568 * CHOOSE(CONTROL!$C$32, $C$9, 100%, $E$9)</f>
        <v>5.7568000000000001</v>
      </c>
      <c r="O256" s="11">
        <f>5.7604 * CHOOSE(CONTROL!$C$32, $C$9, 100%, $E$9)</f>
        <v>5.7603999999999997</v>
      </c>
    </row>
    <row r="257" spans="1:15" ht="15" x14ac:dyDescent="0.2">
      <c r="A257" s="13">
        <v>48670</v>
      </c>
      <c r="B257" s="9">
        <f>4.4887 * CHOOSE(CONTROL!$C$32, $C$9, 100%, $E$9)</f>
        <v>4.4886999999999997</v>
      </c>
      <c r="C257" s="9">
        <f>4.4887 * CHOOSE(CONTROL!$C$32, $C$9, 100%, $E$9)</f>
        <v>4.4886999999999997</v>
      </c>
      <c r="D257" s="9">
        <f>4.4897 * CHOOSE(CONTROL!$C$32, $C$9, 100%, $E$9)</f>
        <v>4.4897</v>
      </c>
      <c r="E257" s="11">
        <f>5.755 * CHOOSE(CONTROL!$C$32, $C$9, 100%, $E$9)</f>
        <v>5.7549999999999999</v>
      </c>
      <c r="F257" s="11">
        <f>5.755 * CHOOSE(CONTROL!$C$32, $C$9, 100%, $E$9)</f>
        <v>5.7549999999999999</v>
      </c>
      <c r="G257" s="11">
        <f>5.7586 * CHOOSE(CONTROL!$C$32, $C$9, 100%, $E$9)</f>
        <v>5.7586000000000004</v>
      </c>
      <c r="H257" s="11">
        <f>9.1945 * CHOOSE(CONTROL!$C$32, $C$9, 100%, $E$9)</f>
        <v>9.1944999999999997</v>
      </c>
      <c r="I257" s="11">
        <f>9.1981 * CHOOSE(CONTROL!$C$32, $C$9, 100%, $E$9)</f>
        <v>9.1981000000000002</v>
      </c>
      <c r="J257" s="11">
        <f>9.1945 * CHOOSE(CONTROL!$C$32, $C$9, 100%, $E$9)</f>
        <v>9.1944999999999997</v>
      </c>
      <c r="K257" s="11">
        <f>9.1981 * CHOOSE(CONTROL!$C$32, $C$9, 100%, $E$9)</f>
        <v>9.1981000000000002</v>
      </c>
      <c r="L257" s="11">
        <f>5.755 * CHOOSE(CONTROL!$C$32, $C$9, 100%, $E$9)</f>
        <v>5.7549999999999999</v>
      </c>
      <c r="M257" s="11">
        <f>5.7586 * CHOOSE(CONTROL!$C$32, $C$9, 100%, $E$9)</f>
        <v>5.7586000000000004</v>
      </c>
      <c r="N257" s="11">
        <f>5.755 * CHOOSE(CONTROL!$C$32, $C$9, 100%, $E$9)</f>
        <v>5.7549999999999999</v>
      </c>
      <c r="O257" s="11">
        <f>5.7586 * CHOOSE(CONTROL!$C$32, $C$9, 100%, $E$9)</f>
        <v>5.7586000000000004</v>
      </c>
    </row>
    <row r="258" spans="1:15" ht="15" x14ac:dyDescent="0.2">
      <c r="A258" s="13">
        <v>48700</v>
      </c>
      <c r="B258" s="9">
        <f>4.4887 * CHOOSE(CONTROL!$C$32, $C$9, 100%, $E$9)</f>
        <v>4.4886999999999997</v>
      </c>
      <c r="C258" s="9">
        <f>4.4887 * CHOOSE(CONTROL!$C$32, $C$9, 100%, $E$9)</f>
        <v>4.4886999999999997</v>
      </c>
      <c r="D258" s="9">
        <f>4.4902 * CHOOSE(CONTROL!$C$32, $C$9, 100%, $E$9)</f>
        <v>4.4901999999999997</v>
      </c>
      <c r="E258" s="11">
        <f>5.755 * CHOOSE(CONTROL!$C$32, $C$9, 100%, $E$9)</f>
        <v>5.7549999999999999</v>
      </c>
      <c r="F258" s="11">
        <f>5.755 * CHOOSE(CONTROL!$C$32, $C$9, 100%, $E$9)</f>
        <v>5.7549999999999999</v>
      </c>
      <c r="G258" s="11">
        <f>5.7602 * CHOOSE(CONTROL!$C$32, $C$9, 100%, $E$9)</f>
        <v>5.7602000000000002</v>
      </c>
      <c r="H258" s="11">
        <f>9.2136 * CHOOSE(CONTROL!$C$32, $C$9, 100%, $E$9)</f>
        <v>9.2135999999999996</v>
      </c>
      <c r="I258" s="11">
        <f>9.2189 * CHOOSE(CONTROL!$C$32, $C$9, 100%, $E$9)</f>
        <v>9.2188999999999997</v>
      </c>
      <c r="J258" s="11">
        <f>9.2136 * CHOOSE(CONTROL!$C$32, $C$9, 100%, $E$9)</f>
        <v>9.2135999999999996</v>
      </c>
      <c r="K258" s="11">
        <f>9.2189 * CHOOSE(CONTROL!$C$32, $C$9, 100%, $E$9)</f>
        <v>9.2188999999999997</v>
      </c>
      <c r="L258" s="11">
        <f>5.755 * CHOOSE(CONTROL!$C$32, $C$9, 100%, $E$9)</f>
        <v>5.7549999999999999</v>
      </c>
      <c r="M258" s="11">
        <f>5.7602 * CHOOSE(CONTROL!$C$32, $C$9, 100%, $E$9)</f>
        <v>5.7602000000000002</v>
      </c>
      <c r="N258" s="11">
        <f>5.755 * CHOOSE(CONTROL!$C$32, $C$9, 100%, $E$9)</f>
        <v>5.7549999999999999</v>
      </c>
      <c r="O258" s="11">
        <f>5.7602 * CHOOSE(CONTROL!$C$32, $C$9, 100%, $E$9)</f>
        <v>5.7602000000000002</v>
      </c>
    </row>
    <row r="259" spans="1:15" ht="15" x14ac:dyDescent="0.2">
      <c r="A259" s="13">
        <v>48731</v>
      </c>
      <c r="B259" s="9">
        <f>4.4947 * CHOOSE(CONTROL!$C$32, $C$9, 100%, $E$9)</f>
        <v>4.4946999999999999</v>
      </c>
      <c r="C259" s="9">
        <f>4.4947 * CHOOSE(CONTROL!$C$32, $C$9, 100%, $E$9)</f>
        <v>4.4946999999999999</v>
      </c>
      <c r="D259" s="9">
        <f>4.4963 * CHOOSE(CONTROL!$C$32, $C$9, 100%, $E$9)</f>
        <v>4.4962999999999997</v>
      </c>
      <c r="E259" s="11">
        <f>5.759 * CHOOSE(CONTROL!$C$32, $C$9, 100%, $E$9)</f>
        <v>5.7590000000000003</v>
      </c>
      <c r="F259" s="11">
        <f>5.759 * CHOOSE(CONTROL!$C$32, $C$9, 100%, $E$9)</f>
        <v>5.7590000000000003</v>
      </c>
      <c r="G259" s="11">
        <f>5.7642 * CHOOSE(CONTROL!$C$32, $C$9, 100%, $E$9)</f>
        <v>5.7641999999999998</v>
      </c>
      <c r="H259" s="11">
        <f>9.2328 * CHOOSE(CONTROL!$C$32, $C$9, 100%, $E$9)</f>
        <v>9.2327999999999992</v>
      </c>
      <c r="I259" s="11">
        <f>9.2381 * CHOOSE(CONTROL!$C$32, $C$9, 100%, $E$9)</f>
        <v>9.2380999999999993</v>
      </c>
      <c r="J259" s="11">
        <f>9.2328 * CHOOSE(CONTROL!$C$32, $C$9, 100%, $E$9)</f>
        <v>9.2327999999999992</v>
      </c>
      <c r="K259" s="11">
        <f>9.2381 * CHOOSE(CONTROL!$C$32, $C$9, 100%, $E$9)</f>
        <v>9.2380999999999993</v>
      </c>
      <c r="L259" s="11">
        <f>5.759 * CHOOSE(CONTROL!$C$32, $C$9, 100%, $E$9)</f>
        <v>5.7590000000000003</v>
      </c>
      <c r="M259" s="11">
        <f>5.7642 * CHOOSE(CONTROL!$C$32, $C$9, 100%, $E$9)</f>
        <v>5.7641999999999998</v>
      </c>
      <c r="N259" s="11">
        <f>5.759 * CHOOSE(CONTROL!$C$32, $C$9, 100%, $E$9)</f>
        <v>5.7590000000000003</v>
      </c>
      <c r="O259" s="11">
        <f>5.7642 * CHOOSE(CONTROL!$C$32, $C$9, 100%, $E$9)</f>
        <v>5.7641999999999998</v>
      </c>
    </row>
    <row r="260" spans="1:15" ht="15" x14ac:dyDescent="0.2">
      <c r="A260" s="13">
        <v>48761</v>
      </c>
      <c r="B260" s="9">
        <f>4.5602 * CHOOSE(CONTROL!$C$32, $C$9, 100%, $E$9)</f>
        <v>4.5602</v>
      </c>
      <c r="C260" s="9">
        <f>4.5602 * CHOOSE(CONTROL!$C$32, $C$9, 100%, $E$9)</f>
        <v>4.5602</v>
      </c>
      <c r="D260" s="9">
        <f>4.5618 * CHOOSE(CONTROL!$C$32, $C$9, 100%, $E$9)</f>
        <v>4.5617999999999999</v>
      </c>
      <c r="E260" s="11">
        <f>5.8589 * CHOOSE(CONTROL!$C$32, $C$9, 100%, $E$9)</f>
        <v>5.8589000000000002</v>
      </c>
      <c r="F260" s="11">
        <f>5.8589 * CHOOSE(CONTROL!$C$32, $C$9, 100%, $E$9)</f>
        <v>5.8589000000000002</v>
      </c>
      <c r="G260" s="11">
        <f>5.8642 * CHOOSE(CONTROL!$C$32, $C$9, 100%, $E$9)</f>
        <v>5.8642000000000003</v>
      </c>
      <c r="H260" s="11">
        <f>9.2521 * CHOOSE(CONTROL!$C$32, $C$9, 100%, $E$9)</f>
        <v>9.2521000000000004</v>
      </c>
      <c r="I260" s="11">
        <f>9.2574 * CHOOSE(CONTROL!$C$32, $C$9, 100%, $E$9)</f>
        <v>9.2574000000000005</v>
      </c>
      <c r="J260" s="11">
        <f>9.2521 * CHOOSE(CONTROL!$C$32, $C$9, 100%, $E$9)</f>
        <v>9.2521000000000004</v>
      </c>
      <c r="K260" s="11">
        <f>9.2574 * CHOOSE(CONTROL!$C$32, $C$9, 100%, $E$9)</f>
        <v>9.2574000000000005</v>
      </c>
      <c r="L260" s="11">
        <f>5.8589 * CHOOSE(CONTROL!$C$32, $C$9, 100%, $E$9)</f>
        <v>5.8589000000000002</v>
      </c>
      <c r="M260" s="11">
        <f>5.8642 * CHOOSE(CONTROL!$C$32, $C$9, 100%, $E$9)</f>
        <v>5.8642000000000003</v>
      </c>
      <c r="N260" s="11">
        <f>5.8589 * CHOOSE(CONTROL!$C$32, $C$9, 100%, $E$9)</f>
        <v>5.8589000000000002</v>
      </c>
      <c r="O260" s="11">
        <f>5.8642 * CHOOSE(CONTROL!$C$32, $C$9, 100%, $E$9)</f>
        <v>5.8642000000000003</v>
      </c>
    </row>
    <row r="261" spans="1:15" ht="15" x14ac:dyDescent="0.2">
      <c r="A261" s="13">
        <v>48792</v>
      </c>
      <c r="B261" s="9">
        <f>4.5669 * CHOOSE(CONTROL!$C$32, $C$9, 100%, $E$9)</f>
        <v>4.5669000000000004</v>
      </c>
      <c r="C261" s="9">
        <f>4.5669 * CHOOSE(CONTROL!$C$32, $C$9, 100%, $E$9)</f>
        <v>4.5669000000000004</v>
      </c>
      <c r="D261" s="9">
        <f>4.5685 * CHOOSE(CONTROL!$C$32, $C$9, 100%, $E$9)</f>
        <v>4.5685000000000002</v>
      </c>
      <c r="E261" s="11">
        <f>5.8633 * CHOOSE(CONTROL!$C$32, $C$9, 100%, $E$9)</f>
        <v>5.8632999999999997</v>
      </c>
      <c r="F261" s="11">
        <f>5.8633 * CHOOSE(CONTROL!$C$32, $C$9, 100%, $E$9)</f>
        <v>5.8632999999999997</v>
      </c>
      <c r="G261" s="11">
        <f>5.8686 * CHOOSE(CONTROL!$C$32, $C$9, 100%, $E$9)</f>
        <v>5.8685999999999998</v>
      </c>
      <c r="H261" s="11">
        <f>9.2713 * CHOOSE(CONTROL!$C$32, $C$9, 100%, $E$9)</f>
        <v>9.2713000000000001</v>
      </c>
      <c r="I261" s="11">
        <f>9.2766 * CHOOSE(CONTROL!$C$32, $C$9, 100%, $E$9)</f>
        <v>9.2766000000000002</v>
      </c>
      <c r="J261" s="11">
        <f>9.2713 * CHOOSE(CONTROL!$C$32, $C$9, 100%, $E$9)</f>
        <v>9.2713000000000001</v>
      </c>
      <c r="K261" s="11">
        <f>9.2766 * CHOOSE(CONTROL!$C$32, $C$9, 100%, $E$9)</f>
        <v>9.2766000000000002</v>
      </c>
      <c r="L261" s="11">
        <f>5.8633 * CHOOSE(CONTROL!$C$32, $C$9, 100%, $E$9)</f>
        <v>5.8632999999999997</v>
      </c>
      <c r="M261" s="11">
        <f>5.8686 * CHOOSE(CONTROL!$C$32, $C$9, 100%, $E$9)</f>
        <v>5.8685999999999998</v>
      </c>
      <c r="N261" s="11">
        <f>5.8633 * CHOOSE(CONTROL!$C$32, $C$9, 100%, $E$9)</f>
        <v>5.8632999999999997</v>
      </c>
      <c r="O261" s="11">
        <f>5.8686 * CHOOSE(CONTROL!$C$32, $C$9, 100%, $E$9)</f>
        <v>5.8685999999999998</v>
      </c>
    </row>
    <row r="262" spans="1:15" ht="15" x14ac:dyDescent="0.2">
      <c r="A262" s="13">
        <v>48823</v>
      </c>
      <c r="B262" s="9">
        <f>4.5638 * CHOOSE(CONTROL!$C$32, $C$9, 100%, $E$9)</f>
        <v>4.5637999999999996</v>
      </c>
      <c r="C262" s="9">
        <f>4.5638 * CHOOSE(CONTROL!$C$32, $C$9, 100%, $E$9)</f>
        <v>4.5637999999999996</v>
      </c>
      <c r="D262" s="9">
        <f>4.5654 * CHOOSE(CONTROL!$C$32, $C$9, 100%, $E$9)</f>
        <v>4.5654000000000003</v>
      </c>
      <c r="E262" s="11">
        <f>5.8613 * CHOOSE(CONTROL!$C$32, $C$9, 100%, $E$9)</f>
        <v>5.8613</v>
      </c>
      <c r="F262" s="11">
        <f>5.8613 * CHOOSE(CONTROL!$C$32, $C$9, 100%, $E$9)</f>
        <v>5.8613</v>
      </c>
      <c r="G262" s="11">
        <f>5.8666 * CHOOSE(CONTROL!$C$32, $C$9, 100%, $E$9)</f>
        <v>5.8666</v>
      </c>
      <c r="H262" s="11">
        <f>9.2907 * CHOOSE(CONTROL!$C$32, $C$9, 100%, $E$9)</f>
        <v>9.2906999999999993</v>
      </c>
      <c r="I262" s="11">
        <f>9.296 * CHOOSE(CONTROL!$C$32, $C$9, 100%, $E$9)</f>
        <v>9.2959999999999994</v>
      </c>
      <c r="J262" s="11">
        <f>9.2907 * CHOOSE(CONTROL!$C$32, $C$9, 100%, $E$9)</f>
        <v>9.2906999999999993</v>
      </c>
      <c r="K262" s="11">
        <f>9.296 * CHOOSE(CONTROL!$C$32, $C$9, 100%, $E$9)</f>
        <v>9.2959999999999994</v>
      </c>
      <c r="L262" s="11">
        <f>5.8613 * CHOOSE(CONTROL!$C$32, $C$9, 100%, $E$9)</f>
        <v>5.8613</v>
      </c>
      <c r="M262" s="11">
        <f>5.8666 * CHOOSE(CONTROL!$C$32, $C$9, 100%, $E$9)</f>
        <v>5.8666</v>
      </c>
      <c r="N262" s="11">
        <f>5.8613 * CHOOSE(CONTROL!$C$32, $C$9, 100%, $E$9)</f>
        <v>5.8613</v>
      </c>
      <c r="O262" s="11">
        <f>5.8666 * CHOOSE(CONTROL!$C$32, $C$9, 100%, $E$9)</f>
        <v>5.8666</v>
      </c>
    </row>
    <row r="263" spans="1:15" ht="15" x14ac:dyDescent="0.2">
      <c r="A263" s="13">
        <v>48853</v>
      </c>
      <c r="B263" s="9">
        <f>4.561 * CHOOSE(CONTROL!$C$32, $C$9, 100%, $E$9)</f>
        <v>4.5609999999999999</v>
      </c>
      <c r="C263" s="9">
        <f>4.561 * CHOOSE(CONTROL!$C$32, $C$9, 100%, $E$9)</f>
        <v>4.5609999999999999</v>
      </c>
      <c r="D263" s="9">
        <f>4.5621 * CHOOSE(CONTROL!$C$32, $C$9, 100%, $E$9)</f>
        <v>4.5621</v>
      </c>
      <c r="E263" s="11">
        <f>5.8571 * CHOOSE(CONTROL!$C$32, $C$9, 100%, $E$9)</f>
        <v>5.8571</v>
      </c>
      <c r="F263" s="11">
        <f>5.8571 * CHOOSE(CONTROL!$C$32, $C$9, 100%, $E$9)</f>
        <v>5.8571</v>
      </c>
      <c r="G263" s="11">
        <f>5.8607 * CHOOSE(CONTROL!$C$32, $C$9, 100%, $E$9)</f>
        <v>5.8606999999999996</v>
      </c>
      <c r="H263" s="11">
        <f>9.31 * CHOOSE(CONTROL!$C$32, $C$9, 100%, $E$9)</f>
        <v>9.31</v>
      </c>
      <c r="I263" s="11">
        <f>9.3136 * CHOOSE(CONTROL!$C$32, $C$9, 100%, $E$9)</f>
        <v>9.3135999999999992</v>
      </c>
      <c r="J263" s="11">
        <f>9.31 * CHOOSE(CONTROL!$C$32, $C$9, 100%, $E$9)</f>
        <v>9.31</v>
      </c>
      <c r="K263" s="11">
        <f>9.3136 * CHOOSE(CONTROL!$C$32, $C$9, 100%, $E$9)</f>
        <v>9.3135999999999992</v>
      </c>
      <c r="L263" s="11">
        <f>5.8571 * CHOOSE(CONTROL!$C$32, $C$9, 100%, $E$9)</f>
        <v>5.8571</v>
      </c>
      <c r="M263" s="11">
        <f>5.8607 * CHOOSE(CONTROL!$C$32, $C$9, 100%, $E$9)</f>
        <v>5.8606999999999996</v>
      </c>
      <c r="N263" s="11">
        <f>5.8571 * CHOOSE(CONTROL!$C$32, $C$9, 100%, $E$9)</f>
        <v>5.8571</v>
      </c>
      <c r="O263" s="11">
        <f>5.8607 * CHOOSE(CONTROL!$C$32, $C$9, 100%, $E$9)</f>
        <v>5.8606999999999996</v>
      </c>
    </row>
    <row r="264" spans="1:15" ht="15" x14ac:dyDescent="0.2">
      <c r="A264" s="13">
        <v>48884</v>
      </c>
      <c r="B264" s="9">
        <f>4.564 * CHOOSE(CONTROL!$C$32, $C$9, 100%, $E$9)</f>
        <v>4.5640000000000001</v>
      </c>
      <c r="C264" s="9">
        <f>4.564 * CHOOSE(CONTROL!$C$32, $C$9, 100%, $E$9)</f>
        <v>4.5640000000000001</v>
      </c>
      <c r="D264" s="9">
        <f>4.5651 * CHOOSE(CONTROL!$C$32, $C$9, 100%, $E$9)</f>
        <v>4.5651000000000002</v>
      </c>
      <c r="E264" s="11">
        <f>5.8591 * CHOOSE(CONTROL!$C$32, $C$9, 100%, $E$9)</f>
        <v>5.8590999999999998</v>
      </c>
      <c r="F264" s="11">
        <f>5.8591 * CHOOSE(CONTROL!$C$32, $C$9, 100%, $E$9)</f>
        <v>5.8590999999999998</v>
      </c>
      <c r="G264" s="11">
        <f>5.8627 * CHOOSE(CONTROL!$C$32, $C$9, 100%, $E$9)</f>
        <v>5.8627000000000002</v>
      </c>
      <c r="H264" s="11">
        <f>9.3294 * CHOOSE(CONTROL!$C$32, $C$9, 100%, $E$9)</f>
        <v>9.3293999999999997</v>
      </c>
      <c r="I264" s="11">
        <f>9.333 * CHOOSE(CONTROL!$C$32, $C$9, 100%, $E$9)</f>
        <v>9.3330000000000002</v>
      </c>
      <c r="J264" s="11">
        <f>9.3294 * CHOOSE(CONTROL!$C$32, $C$9, 100%, $E$9)</f>
        <v>9.3293999999999997</v>
      </c>
      <c r="K264" s="11">
        <f>9.333 * CHOOSE(CONTROL!$C$32, $C$9, 100%, $E$9)</f>
        <v>9.3330000000000002</v>
      </c>
      <c r="L264" s="11">
        <f>5.8591 * CHOOSE(CONTROL!$C$32, $C$9, 100%, $E$9)</f>
        <v>5.8590999999999998</v>
      </c>
      <c r="M264" s="11">
        <f>5.8627 * CHOOSE(CONTROL!$C$32, $C$9, 100%, $E$9)</f>
        <v>5.8627000000000002</v>
      </c>
      <c r="N264" s="11">
        <f>5.8591 * CHOOSE(CONTROL!$C$32, $C$9, 100%, $E$9)</f>
        <v>5.8590999999999998</v>
      </c>
      <c r="O264" s="11">
        <f>5.8627 * CHOOSE(CONTROL!$C$32, $C$9, 100%, $E$9)</f>
        <v>5.8627000000000002</v>
      </c>
    </row>
    <row r="265" spans="1:15" ht="15" x14ac:dyDescent="0.2">
      <c r="A265" s="13">
        <v>48914</v>
      </c>
      <c r="B265" s="9">
        <f>4.564 * CHOOSE(CONTROL!$C$32, $C$9, 100%, $E$9)</f>
        <v>4.5640000000000001</v>
      </c>
      <c r="C265" s="9">
        <f>4.564 * CHOOSE(CONTROL!$C$32, $C$9, 100%, $E$9)</f>
        <v>4.5640000000000001</v>
      </c>
      <c r="D265" s="9">
        <f>4.5651 * CHOOSE(CONTROL!$C$32, $C$9, 100%, $E$9)</f>
        <v>4.5651000000000002</v>
      </c>
      <c r="E265" s="11">
        <f>5.8591 * CHOOSE(CONTROL!$C$32, $C$9, 100%, $E$9)</f>
        <v>5.8590999999999998</v>
      </c>
      <c r="F265" s="11">
        <f>5.8591 * CHOOSE(CONTROL!$C$32, $C$9, 100%, $E$9)</f>
        <v>5.8590999999999998</v>
      </c>
      <c r="G265" s="11">
        <f>5.8627 * CHOOSE(CONTROL!$C$32, $C$9, 100%, $E$9)</f>
        <v>5.8627000000000002</v>
      </c>
      <c r="H265" s="11">
        <f>9.3488 * CHOOSE(CONTROL!$C$32, $C$9, 100%, $E$9)</f>
        <v>9.3488000000000007</v>
      </c>
      <c r="I265" s="11">
        <f>9.3525 * CHOOSE(CONTROL!$C$32, $C$9, 100%, $E$9)</f>
        <v>9.3524999999999991</v>
      </c>
      <c r="J265" s="11">
        <f>9.3488 * CHOOSE(CONTROL!$C$32, $C$9, 100%, $E$9)</f>
        <v>9.3488000000000007</v>
      </c>
      <c r="K265" s="11">
        <f>9.3525 * CHOOSE(CONTROL!$C$32, $C$9, 100%, $E$9)</f>
        <v>9.3524999999999991</v>
      </c>
      <c r="L265" s="11">
        <f>5.8591 * CHOOSE(CONTROL!$C$32, $C$9, 100%, $E$9)</f>
        <v>5.8590999999999998</v>
      </c>
      <c r="M265" s="11">
        <f>5.8627 * CHOOSE(CONTROL!$C$32, $C$9, 100%, $E$9)</f>
        <v>5.8627000000000002</v>
      </c>
      <c r="N265" s="11">
        <f>5.8591 * CHOOSE(CONTROL!$C$32, $C$9, 100%, $E$9)</f>
        <v>5.8590999999999998</v>
      </c>
      <c r="O265" s="11">
        <f>5.8627 * CHOOSE(CONTROL!$C$32, $C$9, 100%, $E$9)</f>
        <v>5.8627000000000002</v>
      </c>
    </row>
    <row r="266" spans="1:15" ht="15" x14ac:dyDescent="0.2">
      <c r="A266" s="13">
        <v>48945</v>
      </c>
      <c r="B266" s="9">
        <f>4.6027 * CHOOSE(CONTROL!$C$32, $C$9, 100%, $E$9)</f>
        <v>4.6026999999999996</v>
      </c>
      <c r="C266" s="9">
        <f>4.6027 * CHOOSE(CONTROL!$C$32, $C$9, 100%, $E$9)</f>
        <v>4.6026999999999996</v>
      </c>
      <c r="D266" s="9">
        <f>4.6037 * CHOOSE(CONTROL!$C$32, $C$9, 100%, $E$9)</f>
        <v>4.6036999999999999</v>
      </c>
      <c r="E266" s="11">
        <f>5.9092 * CHOOSE(CONTROL!$C$32, $C$9, 100%, $E$9)</f>
        <v>5.9092000000000002</v>
      </c>
      <c r="F266" s="11">
        <f>5.9092 * CHOOSE(CONTROL!$C$32, $C$9, 100%, $E$9)</f>
        <v>5.9092000000000002</v>
      </c>
      <c r="G266" s="11">
        <f>5.9129 * CHOOSE(CONTROL!$C$32, $C$9, 100%, $E$9)</f>
        <v>5.9128999999999996</v>
      </c>
      <c r="H266" s="11">
        <f>9.3683 * CHOOSE(CONTROL!$C$32, $C$9, 100%, $E$9)</f>
        <v>9.3682999999999996</v>
      </c>
      <c r="I266" s="11">
        <f>9.3719 * CHOOSE(CONTROL!$C$32, $C$9, 100%, $E$9)</f>
        <v>9.3719000000000001</v>
      </c>
      <c r="J266" s="11">
        <f>9.3683 * CHOOSE(CONTROL!$C$32, $C$9, 100%, $E$9)</f>
        <v>9.3682999999999996</v>
      </c>
      <c r="K266" s="11">
        <f>9.3719 * CHOOSE(CONTROL!$C$32, $C$9, 100%, $E$9)</f>
        <v>9.3719000000000001</v>
      </c>
      <c r="L266" s="11">
        <f>5.9092 * CHOOSE(CONTROL!$C$32, $C$9, 100%, $E$9)</f>
        <v>5.9092000000000002</v>
      </c>
      <c r="M266" s="11">
        <f>5.9129 * CHOOSE(CONTROL!$C$32, $C$9, 100%, $E$9)</f>
        <v>5.9128999999999996</v>
      </c>
      <c r="N266" s="11">
        <f>5.9092 * CHOOSE(CONTROL!$C$32, $C$9, 100%, $E$9)</f>
        <v>5.9092000000000002</v>
      </c>
      <c r="O266" s="11">
        <f>5.9129 * CHOOSE(CONTROL!$C$32, $C$9, 100%, $E$9)</f>
        <v>5.9128999999999996</v>
      </c>
    </row>
    <row r="267" spans="1:15" ht="15" x14ac:dyDescent="0.2">
      <c r="A267" s="13">
        <v>48976</v>
      </c>
      <c r="B267" s="9">
        <f>4.5996 * CHOOSE(CONTROL!$C$32, $C$9, 100%, $E$9)</f>
        <v>4.5995999999999997</v>
      </c>
      <c r="C267" s="9">
        <f>4.5996 * CHOOSE(CONTROL!$C$32, $C$9, 100%, $E$9)</f>
        <v>4.5995999999999997</v>
      </c>
      <c r="D267" s="9">
        <f>4.6007 * CHOOSE(CONTROL!$C$32, $C$9, 100%, $E$9)</f>
        <v>4.6006999999999998</v>
      </c>
      <c r="E267" s="11">
        <f>5.9072 * CHOOSE(CONTROL!$C$32, $C$9, 100%, $E$9)</f>
        <v>5.9071999999999996</v>
      </c>
      <c r="F267" s="11">
        <f>5.9072 * CHOOSE(CONTROL!$C$32, $C$9, 100%, $E$9)</f>
        <v>5.9071999999999996</v>
      </c>
      <c r="G267" s="11">
        <f>5.9109 * CHOOSE(CONTROL!$C$32, $C$9, 100%, $E$9)</f>
        <v>5.9108999999999998</v>
      </c>
      <c r="H267" s="11">
        <f>9.3878 * CHOOSE(CONTROL!$C$32, $C$9, 100%, $E$9)</f>
        <v>9.3878000000000004</v>
      </c>
      <c r="I267" s="11">
        <f>9.3915 * CHOOSE(CONTROL!$C$32, $C$9, 100%, $E$9)</f>
        <v>9.3915000000000006</v>
      </c>
      <c r="J267" s="11">
        <f>9.3878 * CHOOSE(CONTROL!$C$32, $C$9, 100%, $E$9)</f>
        <v>9.3878000000000004</v>
      </c>
      <c r="K267" s="11">
        <f>9.3915 * CHOOSE(CONTROL!$C$32, $C$9, 100%, $E$9)</f>
        <v>9.3915000000000006</v>
      </c>
      <c r="L267" s="11">
        <f>5.9072 * CHOOSE(CONTROL!$C$32, $C$9, 100%, $E$9)</f>
        <v>5.9071999999999996</v>
      </c>
      <c r="M267" s="11">
        <f>5.9109 * CHOOSE(CONTROL!$C$32, $C$9, 100%, $E$9)</f>
        <v>5.9108999999999998</v>
      </c>
      <c r="N267" s="11">
        <f>5.9072 * CHOOSE(CONTROL!$C$32, $C$9, 100%, $E$9)</f>
        <v>5.9071999999999996</v>
      </c>
      <c r="O267" s="11">
        <f>5.9109 * CHOOSE(CONTROL!$C$32, $C$9, 100%, $E$9)</f>
        <v>5.9108999999999998</v>
      </c>
    </row>
    <row r="268" spans="1:15" ht="15" x14ac:dyDescent="0.2">
      <c r="A268" s="13">
        <v>49004</v>
      </c>
      <c r="B268" s="9">
        <f>4.5966 * CHOOSE(CONTROL!$C$32, $C$9, 100%, $E$9)</f>
        <v>4.5965999999999996</v>
      </c>
      <c r="C268" s="9">
        <f>4.5966 * CHOOSE(CONTROL!$C$32, $C$9, 100%, $E$9)</f>
        <v>4.5965999999999996</v>
      </c>
      <c r="D268" s="9">
        <f>4.5977 * CHOOSE(CONTROL!$C$32, $C$9, 100%, $E$9)</f>
        <v>4.5976999999999997</v>
      </c>
      <c r="E268" s="11">
        <f>5.9052 * CHOOSE(CONTROL!$C$32, $C$9, 100%, $E$9)</f>
        <v>5.9051999999999998</v>
      </c>
      <c r="F268" s="11">
        <f>5.9052 * CHOOSE(CONTROL!$C$32, $C$9, 100%, $E$9)</f>
        <v>5.9051999999999998</v>
      </c>
      <c r="G268" s="11">
        <f>5.9089 * CHOOSE(CONTROL!$C$32, $C$9, 100%, $E$9)</f>
        <v>5.9089</v>
      </c>
      <c r="H268" s="11">
        <f>9.4074 * CHOOSE(CONTROL!$C$32, $C$9, 100%, $E$9)</f>
        <v>9.4074000000000009</v>
      </c>
      <c r="I268" s="11">
        <f>9.411 * CHOOSE(CONTROL!$C$32, $C$9, 100%, $E$9)</f>
        <v>9.4109999999999996</v>
      </c>
      <c r="J268" s="11">
        <f>9.4074 * CHOOSE(CONTROL!$C$32, $C$9, 100%, $E$9)</f>
        <v>9.4074000000000009</v>
      </c>
      <c r="K268" s="11">
        <f>9.411 * CHOOSE(CONTROL!$C$32, $C$9, 100%, $E$9)</f>
        <v>9.4109999999999996</v>
      </c>
      <c r="L268" s="11">
        <f>5.9052 * CHOOSE(CONTROL!$C$32, $C$9, 100%, $E$9)</f>
        <v>5.9051999999999998</v>
      </c>
      <c r="M268" s="11">
        <f>5.9089 * CHOOSE(CONTROL!$C$32, $C$9, 100%, $E$9)</f>
        <v>5.9089</v>
      </c>
      <c r="N268" s="11">
        <f>5.9052 * CHOOSE(CONTROL!$C$32, $C$9, 100%, $E$9)</f>
        <v>5.9051999999999998</v>
      </c>
      <c r="O268" s="11">
        <f>5.9089 * CHOOSE(CONTROL!$C$32, $C$9, 100%, $E$9)</f>
        <v>5.9089</v>
      </c>
    </row>
    <row r="269" spans="1:15" ht="15" x14ac:dyDescent="0.2">
      <c r="A269" s="13">
        <v>49035</v>
      </c>
      <c r="B269" s="9">
        <f>4.5948 * CHOOSE(CONTROL!$C$32, $C$9, 100%, $E$9)</f>
        <v>4.5948000000000002</v>
      </c>
      <c r="C269" s="9">
        <f>4.5948 * CHOOSE(CONTROL!$C$32, $C$9, 100%, $E$9)</f>
        <v>4.5948000000000002</v>
      </c>
      <c r="D269" s="9">
        <f>4.5959 * CHOOSE(CONTROL!$C$32, $C$9, 100%, $E$9)</f>
        <v>4.5959000000000003</v>
      </c>
      <c r="E269" s="11">
        <f>5.9035 * CHOOSE(CONTROL!$C$32, $C$9, 100%, $E$9)</f>
        <v>5.9035000000000002</v>
      </c>
      <c r="F269" s="11">
        <f>5.9035 * CHOOSE(CONTROL!$C$32, $C$9, 100%, $E$9)</f>
        <v>5.9035000000000002</v>
      </c>
      <c r="G269" s="11">
        <f>5.9071 * CHOOSE(CONTROL!$C$32, $C$9, 100%, $E$9)</f>
        <v>5.9070999999999998</v>
      </c>
      <c r="H269" s="11">
        <f>9.427 * CHOOSE(CONTROL!$C$32, $C$9, 100%, $E$9)</f>
        <v>9.4269999999999996</v>
      </c>
      <c r="I269" s="11">
        <f>9.4306 * CHOOSE(CONTROL!$C$32, $C$9, 100%, $E$9)</f>
        <v>9.4306000000000001</v>
      </c>
      <c r="J269" s="11">
        <f>9.427 * CHOOSE(CONTROL!$C$32, $C$9, 100%, $E$9)</f>
        <v>9.4269999999999996</v>
      </c>
      <c r="K269" s="11">
        <f>9.4306 * CHOOSE(CONTROL!$C$32, $C$9, 100%, $E$9)</f>
        <v>9.4306000000000001</v>
      </c>
      <c r="L269" s="11">
        <f>5.9035 * CHOOSE(CONTROL!$C$32, $C$9, 100%, $E$9)</f>
        <v>5.9035000000000002</v>
      </c>
      <c r="M269" s="11">
        <f>5.9071 * CHOOSE(CONTROL!$C$32, $C$9, 100%, $E$9)</f>
        <v>5.9070999999999998</v>
      </c>
      <c r="N269" s="11">
        <f>5.9035 * CHOOSE(CONTROL!$C$32, $C$9, 100%, $E$9)</f>
        <v>5.9035000000000002</v>
      </c>
      <c r="O269" s="11">
        <f>5.9071 * CHOOSE(CONTROL!$C$32, $C$9, 100%, $E$9)</f>
        <v>5.9070999999999998</v>
      </c>
    </row>
    <row r="270" spans="1:15" ht="15" x14ac:dyDescent="0.2">
      <c r="A270" s="13">
        <v>49065</v>
      </c>
      <c r="B270" s="9">
        <f>4.5948 * CHOOSE(CONTROL!$C$32, $C$9, 100%, $E$9)</f>
        <v>4.5948000000000002</v>
      </c>
      <c r="C270" s="9">
        <f>4.5948 * CHOOSE(CONTROL!$C$32, $C$9, 100%, $E$9)</f>
        <v>4.5948000000000002</v>
      </c>
      <c r="D270" s="9">
        <f>4.5964 * CHOOSE(CONTROL!$C$32, $C$9, 100%, $E$9)</f>
        <v>4.5964</v>
      </c>
      <c r="E270" s="11">
        <f>5.9035 * CHOOSE(CONTROL!$C$32, $C$9, 100%, $E$9)</f>
        <v>5.9035000000000002</v>
      </c>
      <c r="F270" s="11">
        <f>5.9035 * CHOOSE(CONTROL!$C$32, $C$9, 100%, $E$9)</f>
        <v>5.9035000000000002</v>
      </c>
      <c r="G270" s="11">
        <f>5.9088 * CHOOSE(CONTROL!$C$32, $C$9, 100%, $E$9)</f>
        <v>5.9088000000000003</v>
      </c>
      <c r="H270" s="11">
        <f>9.4466 * CHOOSE(CONTROL!$C$32, $C$9, 100%, $E$9)</f>
        <v>9.4466000000000001</v>
      </c>
      <c r="I270" s="11">
        <f>9.4519 * CHOOSE(CONTROL!$C$32, $C$9, 100%, $E$9)</f>
        <v>9.4519000000000002</v>
      </c>
      <c r="J270" s="11">
        <f>9.4466 * CHOOSE(CONTROL!$C$32, $C$9, 100%, $E$9)</f>
        <v>9.4466000000000001</v>
      </c>
      <c r="K270" s="11">
        <f>9.4519 * CHOOSE(CONTROL!$C$32, $C$9, 100%, $E$9)</f>
        <v>9.4519000000000002</v>
      </c>
      <c r="L270" s="11">
        <f>5.9035 * CHOOSE(CONTROL!$C$32, $C$9, 100%, $E$9)</f>
        <v>5.9035000000000002</v>
      </c>
      <c r="M270" s="11">
        <f>5.9088 * CHOOSE(CONTROL!$C$32, $C$9, 100%, $E$9)</f>
        <v>5.9088000000000003</v>
      </c>
      <c r="N270" s="11">
        <f>5.9035 * CHOOSE(CONTROL!$C$32, $C$9, 100%, $E$9)</f>
        <v>5.9035000000000002</v>
      </c>
      <c r="O270" s="11">
        <f>5.9088 * CHOOSE(CONTROL!$C$32, $C$9, 100%, $E$9)</f>
        <v>5.9088000000000003</v>
      </c>
    </row>
    <row r="271" spans="1:15" ht="15" x14ac:dyDescent="0.2">
      <c r="A271" s="13">
        <v>49096</v>
      </c>
      <c r="B271" s="9">
        <f>4.6009 * CHOOSE(CONTROL!$C$32, $C$9, 100%, $E$9)</f>
        <v>4.6009000000000002</v>
      </c>
      <c r="C271" s="9">
        <f>4.6009 * CHOOSE(CONTROL!$C$32, $C$9, 100%, $E$9)</f>
        <v>4.6009000000000002</v>
      </c>
      <c r="D271" s="9">
        <f>4.6025 * CHOOSE(CONTROL!$C$32, $C$9, 100%, $E$9)</f>
        <v>4.6025</v>
      </c>
      <c r="E271" s="11">
        <f>5.9075 * CHOOSE(CONTROL!$C$32, $C$9, 100%, $E$9)</f>
        <v>5.9074999999999998</v>
      </c>
      <c r="F271" s="11">
        <f>5.9075 * CHOOSE(CONTROL!$C$32, $C$9, 100%, $E$9)</f>
        <v>5.9074999999999998</v>
      </c>
      <c r="G271" s="11">
        <f>5.9128 * CHOOSE(CONTROL!$C$32, $C$9, 100%, $E$9)</f>
        <v>5.9127999999999998</v>
      </c>
      <c r="H271" s="11">
        <f>9.4663 * CHOOSE(CONTROL!$C$32, $C$9, 100%, $E$9)</f>
        <v>9.4663000000000004</v>
      </c>
      <c r="I271" s="11">
        <f>9.4716 * CHOOSE(CONTROL!$C$32, $C$9, 100%, $E$9)</f>
        <v>9.4716000000000005</v>
      </c>
      <c r="J271" s="11">
        <f>9.4663 * CHOOSE(CONTROL!$C$32, $C$9, 100%, $E$9)</f>
        <v>9.4663000000000004</v>
      </c>
      <c r="K271" s="11">
        <f>9.4716 * CHOOSE(CONTROL!$C$32, $C$9, 100%, $E$9)</f>
        <v>9.4716000000000005</v>
      </c>
      <c r="L271" s="11">
        <f>5.9075 * CHOOSE(CONTROL!$C$32, $C$9, 100%, $E$9)</f>
        <v>5.9074999999999998</v>
      </c>
      <c r="M271" s="11">
        <f>5.9128 * CHOOSE(CONTROL!$C$32, $C$9, 100%, $E$9)</f>
        <v>5.9127999999999998</v>
      </c>
      <c r="N271" s="11">
        <f>5.9075 * CHOOSE(CONTROL!$C$32, $C$9, 100%, $E$9)</f>
        <v>5.9074999999999998</v>
      </c>
      <c r="O271" s="11">
        <f>5.9128 * CHOOSE(CONTROL!$C$32, $C$9, 100%, $E$9)</f>
        <v>5.9127999999999998</v>
      </c>
    </row>
    <row r="272" spans="1:15" ht="15" x14ac:dyDescent="0.2">
      <c r="A272" s="13">
        <v>49126</v>
      </c>
      <c r="B272" s="9">
        <f>4.6716 * CHOOSE(CONTROL!$C$32, $C$9, 100%, $E$9)</f>
        <v>4.6715999999999998</v>
      </c>
      <c r="C272" s="9">
        <f>4.6716 * CHOOSE(CONTROL!$C$32, $C$9, 100%, $E$9)</f>
        <v>4.6715999999999998</v>
      </c>
      <c r="D272" s="9">
        <f>4.6731 * CHOOSE(CONTROL!$C$32, $C$9, 100%, $E$9)</f>
        <v>4.6730999999999998</v>
      </c>
      <c r="E272" s="11">
        <f>6.0182 * CHOOSE(CONTROL!$C$32, $C$9, 100%, $E$9)</f>
        <v>6.0182000000000002</v>
      </c>
      <c r="F272" s="11">
        <f>6.0182 * CHOOSE(CONTROL!$C$32, $C$9, 100%, $E$9)</f>
        <v>6.0182000000000002</v>
      </c>
      <c r="G272" s="11">
        <f>6.0235 * CHOOSE(CONTROL!$C$32, $C$9, 100%, $E$9)</f>
        <v>6.0235000000000003</v>
      </c>
      <c r="H272" s="11">
        <f>9.486 * CHOOSE(CONTROL!$C$32, $C$9, 100%, $E$9)</f>
        <v>9.4860000000000007</v>
      </c>
      <c r="I272" s="11">
        <f>9.4913 * CHOOSE(CONTROL!$C$32, $C$9, 100%, $E$9)</f>
        <v>9.4913000000000007</v>
      </c>
      <c r="J272" s="11">
        <f>9.486 * CHOOSE(CONTROL!$C$32, $C$9, 100%, $E$9)</f>
        <v>9.4860000000000007</v>
      </c>
      <c r="K272" s="11">
        <f>9.4913 * CHOOSE(CONTROL!$C$32, $C$9, 100%, $E$9)</f>
        <v>9.4913000000000007</v>
      </c>
      <c r="L272" s="11">
        <f>6.0182 * CHOOSE(CONTROL!$C$32, $C$9, 100%, $E$9)</f>
        <v>6.0182000000000002</v>
      </c>
      <c r="M272" s="11">
        <f>6.0235 * CHOOSE(CONTROL!$C$32, $C$9, 100%, $E$9)</f>
        <v>6.0235000000000003</v>
      </c>
      <c r="N272" s="11">
        <f>6.0182 * CHOOSE(CONTROL!$C$32, $C$9, 100%, $E$9)</f>
        <v>6.0182000000000002</v>
      </c>
      <c r="O272" s="11">
        <f>6.0235 * CHOOSE(CONTROL!$C$32, $C$9, 100%, $E$9)</f>
        <v>6.0235000000000003</v>
      </c>
    </row>
    <row r="273" spans="1:15" ht="15" x14ac:dyDescent="0.2">
      <c r="A273" s="13">
        <v>49157</v>
      </c>
      <c r="B273" s="9">
        <f>4.6783 * CHOOSE(CONTROL!$C$32, $C$9, 100%, $E$9)</f>
        <v>4.6783000000000001</v>
      </c>
      <c r="C273" s="9">
        <f>4.6783 * CHOOSE(CONTROL!$C$32, $C$9, 100%, $E$9)</f>
        <v>4.6783000000000001</v>
      </c>
      <c r="D273" s="9">
        <f>4.6798 * CHOOSE(CONTROL!$C$32, $C$9, 100%, $E$9)</f>
        <v>4.6798000000000002</v>
      </c>
      <c r="E273" s="11">
        <f>6.0226 * CHOOSE(CONTROL!$C$32, $C$9, 100%, $E$9)</f>
        <v>6.0225999999999997</v>
      </c>
      <c r="F273" s="11">
        <f>6.0226 * CHOOSE(CONTROL!$C$32, $C$9, 100%, $E$9)</f>
        <v>6.0225999999999997</v>
      </c>
      <c r="G273" s="11">
        <f>6.0279 * CHOOSE(CONTROL!$C$32, $C$9, 100%, $E$9)</f>
        <v>6.0278999999999998</v>
      </c>
      <c r="H273" s="11">
        <f>9.5058 * CHOOSE(CONTROL!$C$32, $C$9, 100%, $E$9)</f>
        <v>9.5058000000000007</v>
      </c>
      <c r="I273" s="11">
        <f>9.5111 * CHOOSE(CONTROL!$C$32, $C$9, 100%, $E$9)</f>
        <v>9.5111000000000008</v>
      </c>
      <c r="J273" s="11">
        <f>9.5058 * CHOOSE(CONTROL!$C$32, $C$9, 100%, $E$9)</f>
        <v>9.5058000000000007</v>
      </c>
      <c r="K273" s="11">
        <f>9.5111 * CHOOSE(CONTROL!$C$32, $C$9, 100%, $E$9)</f>
        <v>9.5111000000000008</v>
      </c>
      <c r="L273" s="11">
        <f>6.0226 * CHOOSE(CONTROL!$C$32, $C$9, 100%, $E$9)</f>
        <v>6.0225999999999997</v>
      </c>
      <c r="M273" s="11">
        <f>6.0279 * CHOOSE(CONTROL!$C$32, $C$9, 100%, $E$9)</f>
        <v>6.0278999999999998</v>
      </c>
      <c r="N273" s="11">
        <f>6.0226 * CHOOSE(CONTROL!$C$32, $C$9, 100%, $E$9)</f>
        <v>6.0225999999999997</v>
      </c>
      <c r="O273" s="11">
        <f>6.0279 * CHOOSE(CONTROL!$C$32, $C$9, 100%, $E$9)</f>
        <v>6.0278999999999998</v>
      </c>
    </row>
    <row r="274" spans="1:15" ht="15" x14ac:dyDescent="0.2">
      <c r="A274" s="13">
        <v>49188</v>
      </c>
      <c r="B274" s="9">
        <f>4.6752 * CHOOSE(CONTROL!$C$32, $C$9, 100%, $E$9)</f>
        <v>4.6752000000000002</v>
      </c>
      <c r="C274" s="9">
        <f>4.6752 * CHOOSE(CONTROL!$C$32, $C$9, 100%, $E$9)</f>
        <v>4.6752000000000002</v>
      </c>
      <c r="D274" s="9">
        <f>4.6768 * CHOOSE(CONTROL!$C$32, $C$9, 100%, $E$9)</f>
        <v>4.6768000000000001</v>
      </c>
      <c r="E274" s="11">
        <f>6.0206 * CHOOSE(CONTROL!$C$32, $C$9, 100%, $E$9)</f>
        <v>6.0206</v>
      </c>
      <c r="F274" s="11">
        <f>6.0206 * CHOOSE(CONTROL!$C$32, $C$9, 100%, $E$9)</f>
        <v>6.0206</v>
      </c>
      <c r="G274" s="11">
        <f>6.0259 * CHOOSE(CONTROL!$C$32, $C$9, 100%, $E$9)</f>
        <v>6.0259</v>
      </c>
      <c r="H274" s="11">
        <f>9.5256 * CHOOSE(CONTROL!$C$32, $C$9, 100%, $E$9)</f>
        <v>9.5256000000000007</v>
      </c>
      <c r="I274" s="11">
        <f>9.5309 * CHOOSE(CONTROL!$C$32, $C$9, 100%, $E$9)</f>
        <v>9.5309000000000008</v>
      </c>
      <c r="J274" s="11">
        <f>9.5256 * CHOOSE(CONTROL!$C$32, $C$9, 100%, $E$9)</f>
        <v>9.5256000000000007</v>
      </c>
      <c r="K274" s="11">
        <f>9.5309 * CHOOSE(CONTROL!$C$32, $C$9, 100%, $E$9)</f>
        <v>9.5309000000000008</v>
      </c>
      <c r="L274" s="11">
        <f>6.0206 * CHOOSE(CONTROL!$C$32, $C$9, 100%, $E$9)</f>
        <v>6.0206</v>
      </c>
      <c r="M274" s="11">
        <f>6.0259 * CHOOSE(CONTROL!$C$32, $C$9, 100%, $E$9)</f>
        <v>6.0259</v>
      </c>
      <c r="N274" s="11">
        <f>6.0206 * CHOOSE(CONTROL!$C$32, $C$9, 100%, $E$9)</f>
        <v>6.0206</v>
      </c>
      <c r="O274" s="11">
        <f>6.0259 * CHOOSE(CONTROL!$C$32, $C$9, 100%, $E$9)</f>
        <v>6.0259</v>
      </c>
    </row>
    <row r="275" spans="1:15" ht="15" x14ac:dyDescent="0.2">
      <c r="A275" s="13">
        <v>49218</v>
      </c>
      <c r="B275" s="9">
        <f>4.6728 * CHOOSE(CONTROL!$C$32, $C$9, 100%, $E$9)</f>
        <v>4.6727999999999996</v>
      </c>
      <c r="C275" s="9">
        <f>4.6728 * CHOOSE(CONTROL!$C$32, $C$9, 100%, $E$9)</f>
        <v>4.6727999999999996</v>
      </c>
      <c r="D275" s="9">
        <f>4.6739 * CHOOSE(CONTROL!$C$32, $C$9, 100%, $E$9)</f>
        <v>4.6738999999999997</v>
      </c>
      <c r="E275" s="11">
        <f>6.0166 * CHOOSE(CONTROL!$C$32, $C$9, 100%, $E$9)</f>
        <v>6.0166000000000004</v>
      </c>
      <c r="F275" s="11">
        <f>6.0166 * CHOOSE(CONTROL!$C$32, $C$9, 100%, $E$9)</f>
        <v>6.0166000000000004</v>
      </c>
      <c r="G275" s="11">
        <f>6.0202 * CHOOSE(CONTROL!$C$32, $C$9, 100%, $E$9)</f>
        <v>6.0202</v>
      </c>
      <c r="H275" s="11">
        <f>9.5454 * CHOOSE(CONTROL!$C$32, $C$9, 100%, $E$9)</f>
        <v>9.5454000000000008</v>
      </c>
      <c r="I275" s="11">
        <f>9.5491 * CHOOSE(CONTROL!$C$32, $C$9, 100%, $E$9)</f>
        <v>9.5490999999999993</v>
      </c>
      <c r="J275" s="11">
        <f>9.5454 * CHOOSE(CONTROL!$C$32, $C$9, 100%, $E$9)</f>
        <v>9.5454000000000008</v>
      </c>
      <c r="K275" s="11">
        <f>9.5491 * CHOOSE(CONTROL!$C$32, $C$9, 100%, $E$9)</f>
        <v>9.5490999999999993</v>
      </c>
      <c r="L275" s="11">
        <f>6.0166 * CHOOSE(CONTROL!$C$32, $C$9, 100%, $E$9)</f>
        <v>6.0166000000000004</v>
      </c>
      <c r="M275" s="11">
        <f>6.0202 * CHOOSE(CONTROL!$C$32, $C$9, 100%, $E$9)</f>
        <v>6.0202</v>
      </c>
      <c r="N275" s="11">
        <f>6.0166 * CHOOSE(CONTROL!$C$32, $C$9, 100%, $E$9)</f>
        <v>6.0166000000000004</v>
      </c>
      <c r="O275" s="11">
        <f>6.0202 * CHOOSE(CONTROL!$C$32, $C$9, 100%, $E$9)</f>
        <v>6.0202</v>
      </c>
    </row>
    <row r="276" spans="1:15" ht="15" x14ac:dyDescent="0.2">
      <c r="A276" s="13">
        <v>49249</v>
      </c>
      <c r="B276" s="9">
        <f>4.6758 * CHOOSE(CONTROL!$C$32, $C$9, 100%, $E$9)</f>
        <v>4.6757999999999997</v>
      </c>
      <c r="C276" s="9">
        <f>4.6758 * CHOOSE(CONTROL!$C$32, $C$9, 100%, $E$9)</f>
        <v>4.6757999999999997</v>
      </c>
      <c r="D276" s="9">
        <f>4.6769 * CHOOSE(CONTROL!$C$32, $C$9, 100%, $E$9)</f>
        <v>4.6768999999999998</v>
      </c>
      <c r="E276" s="11">
        <f>6.0186 * CHOOSE(CONTROL!$C$32, $C$9, 100%, $E$9)</f>
        <v>6.0186000000000002</v>
      </c>
      <c r="F276" s="11">
        <f>6.0186 * CHOOSE(CONTROL!$C$32, $C$9, 100%, $E$9)</f>
        <v>6.0186000000000002</v>
      </c>
      <c r="G276" s="11">
        <f>6.0222 * CHOOSE(CONTROL!$C$32, $C$9, 100%, $E$9)</f>
        <v>6.0221999999999998</v>
      </c>
      <c r="H276" s="11">
        <f>9.5653 * CHOOSE(CONTROL!$C$32, $C$9, 100%, $E$9)</f>
        <v>9.5653000000000006</v>
      </c>
      <c r="I276" s="11">
        <f>9.569 * CHOOSE(CONTROL!$C$32, $C$9, 100%, $E$9)</f>
        <v>9.5690000000000008</v>
      </c>
      <c r="J276" s="11">
        <f>9.5653 * CHOOSE(CONTROL!$C$32, $C$9, 100%, $E$9)</f>
        <v>9.5653000000000006</v>
      </c>
      <c r="K276" s="11">
        <f>9.569 * CHOOSE(CONTROL!$C$32, $C$9, 100%, $E$9)</f>
        <v>9.5690000000000008</v>
      </c>
      <c r="L276" s="11">
        <f>6.0186 * CHOOSE(CONTROL!$C$32, $C$9, 100%, $E$9)</f>
        <v>6.0186000000000002</v>
      </c>
      <c r="M276" s="11">
        <f>6.0222 * CHOOSE(CONTROL!$C$32, $C$9, 100%, $E$9)</f>
        <v>6.0221999999999998</v>
      </c>
      <c r="N276" s="11">
        <f>6.0186 * CHOOSE(CONTROL!$C$32, $C$9, 100%, $E$9)</f>
        <v>6.0186000000000002</v>
      </c>
      <c r="O276" s="11">
        <f>6.0222 * CHOOSE(CONTROL!$C$32, $C$9, 100%, $E$9)</f>
        <v>6.0221999999999998</v>
      </c>
    </row>
    <row r="277" spans="1:15" ht="15" x14ac:dyDescent="0.2">
      <c r="A277" s="13">
        <v>49279</v>
      </c>
      <c r="B277" s="9">
        <f>4.6758 * CHOOSE(CONTROL!$C$32, $C$9, 100%, $E$9)</f>
        <v>4.6757999999999997</v>
      </c>
      <c r="C277" s="9">
        <f>4.6758 * CHOOSE(CONTROL!$C$32, $C$9, 100%, $E$9)</f>
        <v>4.6757999999999997</v>
      </c>
      <c r="D277" s="9">
        <f>4.6769 * CHOOSE(CONTROL!$C$32, $C$9, 100%, $E$9)</f>
        <v>4.6768999999999998</v>
      </c>
      <c r="E277" s="11">
        <f>6.0186 * CHOOSE(CONTROL!$C$32, $C$9, 100%, $E$9)</f>
        <v>6.0186000000000002</v>
      </c>
      <c r="F277" s="11">
        <f>6.0186 * CHOOSE(CONTROL!$C$32, $C$9, 100%, $E$9)</f>
        <v>6.0186000000000002</v>
      </c>
      <c r="G277" s="11">
        <f>6.0222 * CHOOSE(CONTROL!$C$32, $C$9, 100%, $E$9)</f>
        <v>6.0221999999999998</v>
      </c>
      <c r="H277" s="11">
        <f>9.5853 * CHOOSE(CONTROL!$C$32, $C$9, 100%, $E$9)</f>
        <v>9.5853000000000002</v>
      </c>
      <c r="I277" s="11">
        <f>9.5889 * CHOOSE(CONTROL!$C$32, $C$9, 100%, $E$9)</f>
        <v>9.5889000000000006</v>
      </c>
      <c r="J277" s="11">
        <f>9.5853 * CHOOSE(CONTROL!$C$32, $C$9, 100%, $E$9)</f>
        <v>9.5853000000000002</v>
      </c>
      <c r="K277" s="11">
        <f>9.5889 * CHOOSE(CONTROL!$C$32, $C$9, 100%, $E$9)</f>
        <v>9.5889000000000006</v>
      </c>
      <c r="L277" s="11">
        <f>6.0186 * CHOOSE(CONTROL!$C$32, $C$9, 100%, $E$9)</f>
        <v>6.0186000000000002</v>
      </c>
      <c r="M277" s="11">
        <f>6.0222 * CHOOSE(CONTROL!$C$32, $C$9, 100%, $E$9)</f>
        <v>6.0221999999999998</v>
      </c>
      <c r="N277" s="11">
        <f>6.0186 * CHOOSE(CONTROL!$C$32, $C$9, 100%, $E$9)</f>
        <v>6.0186000000000002</v>
      </c>
      <c r="O277" s="11">
        <f>6.0222 * CHOOSE(CONTROL!$C$32, $C$9, 100%, $E$9)</f>
        <v>6.0221999999999998</v>
      </c>
    </row>
    <row r="278" spans="1:15" ht="15" x14ac:dyDescent="0.2">
      <c r="A278" s="13">
        <v>49310</v>
      </c>
      <c r="B278" s="9">
        <f>4.713 * CHOOSE(CONTROL!$C$32, $C$9, 100%, $E$9)</f>
        <v>4.7130000000000001</v>
      </c>
      <c r="C278" s="9">
        <f>4.713 * CHOOSE(CONTROL!$C$32, $C$9, 100%, $E$9)</f>
        <v>4.7130000000000001</v>
      </c>
      <c r="D278" s="9">
        <f>4.7141 * CHOOSE(CONTROL!$C$32, $C$9, 100%, $E$9)</f>
        <v>4.7141000000000002</v>
      </c>
      <c r="E278" s="11">
        <f>6.0663 * CHOOSE(CONTROL!$C$32, $C$9, 100%, $E$9)</f>
        <v>6.0663</v>
      </c>
      <c r="F278" s="11">
        <f>6.0663 * CHOOSE(CONTROL!$C$32, $C$9, 100%, $E$9)</f>
        <v>6.0663</v>
      </c>
      <c r="G278" s="11">
        <f>6.0699 * CHOOSE(CONTROL!$C$32, $C$9, 100%, $E$9)</f>
        <v>6.0698999999999996</v>
      </c>
      <c r="H278" s="11">
        <f>9.6052 * CHOOSE(CONTROL!$C$32, $C$9, 100%, $E$9)</f>
        <v>9.6052</v>
      </c>
      <c r="I278" s="11">
        <f>9.6088 * CHOOSE(CONTROL!$C$32, $C$9, 100%, $E$9)</f>
        <v>9.6088000000000005</v>
      </c>
      <c r="J278" s="11">
        <f>9.6052 * CHOOSE(CONTROL!$C$32, $C$9, 100%, $E$9)</f>
        <v>9.6052</v>
      </c>
      <c r="K278" s="11">
        <f>9.6088 * CHOOSE(CONTROL!$C$32, $C$9, 100%, $E$9)</f>
        <v>9.6088000000000005</v>
      </c>
      <c r="L278" s="11">
        <f>6.0663 * CHOOSE(CONTROL!$C$32, $C$9, 100%, $E$9)</f>
        <v>6.0663</v>
      </c>
      <c r="M278" s="11">
        <f>6.0699 * CHOOSE(CONTROL!$C$32, $C$9, 100%, $E$9)</f>
        <v>6.0698999999999996</v>
      </c>
      <c r="N278" s="11">
        <f>6.0663 * CHOOSE(CONTROL!$C$32, $C$9, 100%, $E$9)</f>
        <v>6.0663</v>
      </c>
      <c r="O278" s="11">
        <f>6.0699 * CHOOSE(CONTROL!$C$32, $C$9, 100%, $E$9)</f>
        <v>6.0698999999999996</v>
      </c>
    </row>
    <row r="279" spans="1:15" ht="15" x14ac:dyDescent="0.2">
      <c r="A279" s="13">
        <v>49341</v>
      </c>
      <c r="B279" s="9">
        <f>4.71 * CHOOSE(CONTROL!$C$32, $C$9, 100%, $E$9)</f>
        <v>4.71</v>
      </c>
      <c r="C279" s="9">
        <f>4.71 * CHOOSE(CONTROL!$C$32, $C$9, 100%, $E$9)</f>
        <v>4.71</v>
      </c>
      <c r="D279" s="9">
        <f>4.711 * CHOOSE(CONTROL!$C$32, $C$9, 100%, $E$9)</f>
        <v>4.7110000000000003</v>
      </c>
      <c r="E279" s="11">
        <f>6.3757 * CHOOSE(CONTROL!$C$32, $C$9, 100%, $E$9)</f>
        <v>6.3757000000000001</v>
      </c>
      <c r="F279" s="11">
        <f>6.3757 * CHOOSE(CONTROL!$C$32, $C$9, 100%, $E$9)</f>
        <v>6.3757000000000001</v>
      </c>
      <c r="G279" s="11">
        <f>6.3793 * CHOOSE(CONTROL!$C$32, $C$9, 100%, $E$9)</f>
        <v>6.3792999999999997</v>
      </c>
      <c r="H279" s="11">
        <f>9.6252 * CHOOSE(CONTROL!$C$32, $C$9, 100%, $E$9)</f>
        <v>9.6251999999999995</v>
      </c>
      <c r="I279" s="11">
        <f>9.6289 * CHOOSE(CONTROL!$C$32, $C$9, 100%, $E$9)</f>
        <v>9.6288999999999998</v>
      </c>
      <c r="J279" s="11">
        <f>9.6252 * CHOOSE(CONTROL!$C$32, $C$9, 100%, $E$9)</f>
        <v>9.6251999999999995</v>
      </c>
      <c r="K279" s="11">
        <f>9.6289 * CHOOSE(CONTROL!$C$32, $C$9, 100%, $E$9)</f>
        <v>9.6288999999999998</v>
      </c>
      <c r="L279" s="11">
        <f>6.3757 * CHOOSE(CONTROL!$C$32, $C$9, 100%, $E$9)</f>
        <v>6.3757000000000001</v>
      </c>
      <c r="M279" s="11">
        <f>6.3793 * CHOOSE(CONTROL!$C$32, $C$9, 100%, $E$9)</f>
        <v>6.3792999999999997</v>
      </c>
      <c r="N279" s="11">
        <f>6.3757 * CHOOSE(CONTROL!$C$32, $C$9, 100%, $E$9)</f>
        <v>6.3757000000000001</v>
      </c>
      <c r="O279" s="11">
        <f>6.3793 * CHOOSE(CONTROL!$C$32, $C$9, 100%, $E$9)</f>
        <v>6.3792999999999997</v>
      </c>
    </row>
    <row r="280" spans="1:15" ht="15" x14ac:dyDescent="0.2">
      <c r="A280" s="13">
        <v>49369</v>
      </c>
      <c r="B280" s="9">
        <f>4.7069 * CHOOSE(CONTROL!$C$32, $C$9, 100%, $E$9)</f>
        <v>4.7069000000000001</v>
      </c>
      <c r="C280" s="9">
        <f>4.7069 * CHOOSE(CONTROL!$C$32, $C$9, 100%, $E$9)</f>
        <v>4.7069000000000001</v>
      </c>
      <c r="D280" s="9">
        <f>4.708 * CHOOSE(CONTROL!$C$32, $C$9, 100%, $E$9)</f>
        <v>4.7080000000000002</v>
      </c>
      <c r="E280" s="11">
        <f>6.0623 * CHOOSE(CONTROL!$C$32, $C$9, 100%, $E$9)</f>
        <v>6.0622999999999996</v>
      </c>
      <c r="F280" s="11">
        <f>6.0623 * CHOOSE(CONTROL!$C$32, $C$9, 100%, $E$9)</f>
        <v>6.0622999999999996</v>
      </c>
      <c r="G280" s="11">
        <f>6.0659 * CHOOSE(CONTROL!$C$32, $C$9, 100%, $E$9)</f>
        <v>6.0659000000000001</v>
      </c>
      <c r="H280" s="11">
        <f>9.6453 * CHOOSE(CONTROL!$C$32, $C$9, 100%, $E$9)</f>
        <v>9.6453000000000007</v>
      </c>
      <c r="I280" s="11">
        <f>9.6489 * CHOOSE(CONTROL!$C$32, $C$9, 100%, $E$9)</f>
        <v>9.6488999999999994</v>
      </c>
      <c r="J280" s="11">
        <f>9.6453 * CHOOSE(CONTROL!$C$32, $C$9, 100%, $E$9)</f>
        <v>9.6453000000000007</v>
      </c>
      <c r="K280" s="11">
        <f>9.6489 * CHOOSE(CONTROL!$C$32, $C$9, 100%, $E$9)</f>
        <v>9.6488999999999994</v>
      </c>
      <c r="L280" s="11">
        <f>6.0623 * CHOOSE(CONTROL!$C$32, $C$9, 100%, $E$9)</f>
        <v>6.0622999999999996</v>
      </c>
      <c r="M280" s="11">
        <f>6.0659 * CHOOSE(CONTROL!$C$32, $C$9, 100%, $E$9)</f>
        <v>6.0659000000000001</v>
      </c>
      <c r="N280" s="11">
        <f>6.0623 * CHOOSE(CONTROL!$C$32, $C$9, 100%, $E$9)</f>
        <v>6.0622999999999996</v>
      </c>
      <c r="O280" s="11">
        <f>6.0659 * CHOOSE(CONTROL!$C$32, $C$9, 100%, $E$9)</f>
        <v>6.0659000000000001</v>
      </c>
    </row>
    <row r="281" spans="1:15" ht="15" x14ac:dyDescent="0.2">
      <c r="A281" s="13">
        <v>49400</v>
      </c>
      <c r="B281" s="9">
        <f>4.7052 * CHOOSE(CONTROL!$C$32, $C$9, 100%, $E$9)</f>
        <v>4.7051999999999996</v>
      </c>
      <c r="C281" s="9">
        <f>4.7052 * CHOOSE(CONTROL!$C$32, $C$9, 100%, $E$9)</f>
        <v>4.7051999999999996</v>
      </c>
      <c r="D281" s="9">
        <f>4.7063 * CHOOSE(CONTROL!$C$32, $C$9, 100%, $E$9)</f>
        <v>4.7062999999999997</v>
      </c>
      <c r="E281" s="11">
        <f>6.0605 * CHOOSE(CONTROL!$C$32, $C$9, 100%, $E$9)</f>
        <v>6.0605000000000002</v>
      </c>
      <c r="F281" s="11">
        <f>6.0605 * CHOOSE(CONTROL!$C$32, $C$9, 100%, $E$9)</f>
        <v>6.0605000000000002</v>
      </c>
      <c r="G281" s="11">
        <f>6.0642 * CHOOSE(CONTROL!$C$32, $C$9, 100%, $E$9)</f>
        <v>6.0641999999999996</v>
      </c>
      <c r="H281" s="11">
        <f>9.6654 * CHOOSE(CONTROL!$C$32, $C$9, 100%, $E$9)</f>
        <v>9.6654</v>
      </c>
      <c r="I281" s="11">
        <f>9.669 * CHOOSE(CONTROL!$C$32, $C$9, 100%, $E$9)</f>
        <v>9.6690000000000005</v>
      </c>
      <c r="J281" s="11">
        <f>9.6654 * CHOOSE(CONTROL!$C$32, $C$9, 100%, $E$9)</f>
        <v>9.6654</v>
      </c>
      <c r="K281" s="11">
        <f>9.669 * CHOOSE(CONTROL!$C$32, $C$9, 100%, $E$9)</f>
        <v>9.6690000000000005</v>
      </c>
      <c r="L281" s="11">
        <f>6.0605 * CHOOSE(CONTROL!$C$32, $C$9, 100%, $E$9)</f>
        <v>6.0605000000000002</v>
      </c>
      <c r="M281" s="11">
        <f>6.0642 * CHOOSE(CONTROL!$C$32, $C$9, 100%, $E$9)</f>
        <v>6.0641999999999996</v>
      </c>
      <c r="N281" s="11">
        <f>6.0605 * CHOOSE(CONTROL!$C$32, $C$9, 100%, $E$9)</f>
        <v>6.0605000000000002</v>
      </c>
      <c r="O281" s="11">
        <f>6.0642 * CHOOSE(CONTROL!$C$32, $C$9, 100%, $E$9)</f>
        <v>6.0641999999999996</v>
      </c>
    </row>
    <row r="282" spans="1:15" ht="15" x14ac:dyDescent="0.2">
      <c r="A282" s="13">
        <v>49430</v>
      </c>
      <c r="B282" s="9">
        <f>4.7052 * CHOOSE(CONTROL!$C$32, $C$9, 100%, $E$9)</f>
        <v>4.7051999999999996</v>
      </c>
      <c r="C282" s="9">
        <f>4.7052 * CHOOSE(CONTROL!$C$32, $C$9, 100%, $E$9)</f>
        <v>4.7051999999999996</v>
      </c>
      <c r="D282" s="9">
        <f>4.7068 * CHOOSE(CONTROL!$C$32, $C$9, 100%, $E$9)</f>
        <v>4.7068000000000003</v>
      </c>
      <c r="E282" s="11">
        <f>6.0605 * CHOOSE(CONTROL!$C$32, $C$9, 100%, $E$9)</f>
        <v>6.0605000000000002</v>
      </c>
      <c r="F282" s="11">
        <f>6.0605 * CHOOSE(CONTROL!$C$32, $C$9, 100%, $E$9)</f>
        <v>6.0605000000000002</v>
      </c>
      <c r="G282" s="11">
        <f>6.0658 * CHOOSE(CONTROL!$C$32, $C$9, 100%, $E$9)</f>
        <v>6.0658000000000003</v>
      </c>
      <c r="H282" s="11">
        <f>9.6855 * CHOOSE(CONTROL!$C$32, $C$9, 100%, $E$9)</f>
        <v>9.6854999999999993</v>
      </c>
      <c r="I282" s="11">
        <f>9.6908 * CHOOSE(CONTROL!$C$32, $C$9, 100%, $E$9)</f>
        <v>9.6907999999999994</v>
      </c>
      <c r="J282" s="11">
        <f>9.6855 * CHOOSE(CONTROL!$C$32, $C$9, 100%, $E$9)</f>
        <v>9.6854999999999993</v>
      </c>
      <c r="K282" s="11">
        <f>9.6908 * CHOOSE(CONTROL!$C$32, $C$9, 100%, $E$9)</f>
        <v>9.6907999999999994</v>
      </c>
      <c r="L282" s="11">
        <f>6.0605 * CHOOSE(CONTROL!$C$32, $C$9, 100%, $E$9)</f>
        <v>6.0605000000000002</v>
      </c>
      <c r="M282" s="11">
        <f>6.0658 * CHOOSE(CONTROL!$C$32, $C$9, 100%, $E$9)</f>
        <v>6.0658000000000003</v>
      </c>
      <c r="N282" s="11">
        <f>6.0605 * CHOOSE(CONTROL!$C$32, $C$9, 100%, $E$9)</f>
        <v>6.0605000000000002</v>
      </c>
      <c r="O282" s="11">
        <f>6.0658 * CHOOSE(CONTROL!$C$32, $C$9, 100%, $E$9)</f>
        <v>6.0658000000000003</v>
      </c>
    </row>
    <row r="283" spans="1:15" ht="15" x14ac:dyDescent="0.2">
      <c r="A283" s="13">
        <v>49461</v>
      </c>
      <c r="B283" s="9">
        <f>4.7113 * CHOOSE(CONTROL!$C$32, $C$9, 100%, $E$9)</f>
        <v>4.7112999999999996</v>
      </c>
      <c r="C283" s="9">
        <f>4.7113 * CHOOSE(CONTROL!$C$32, $C$9, 100%, $E$9)</f>
        <v>4.7112999999999996</v>
      </c>
      <c r="D283" s="9">
        <f>4.7129 * CHOOSE(CONTROL!$C$32, $C$9, 100%, $E$9)</f>
        <v>4.7129000000000003</v>
      </c>
      <c r="E283" s="11">
        <f>6.0645 * CHOOSE(CONTROL!$C$32, $C$9, 100%, $E$9)</f>
        <v>6.0644999999999998</v>
      </c>
      <c r="F283" s="11">
        <f>6.0645 * CHOOSE(CONTROL!$C$32, $C$9, 100%, $E$9)</f>
        <v>6.0644999999999998</v>
      </c>
      <c r="G283" s="11">
        <f>6.0698 * CHOOSE(CONTROL!$C$32, $C$9, 100%, $E$9)</f>
        <v>6.0697999999999999</v>
      </c>
      <c r="H283" s="11">
        <f>9.7057 * CHOOSE(CONTROL!$C$32, $C$9, 100%, $E$9)</f>
        <v>9.7057000000000002</v>
      </c>
      <c r="I283" s="11">
        <f>9.711 * CHOOSE(CONTROL!$C$32, $C$9, 100%, $E$9)</f>
        <v>9.7110000000000003</v>
      </c>
      <c r="J283" s="11">
        <f>9.7057 * CHOOSE(CONTROL!$C$32, $C$9, 100%, $E$9)</f>
        <v>9.7057000000000002</v>
      </c>
      <c r="K283" s="11">
        <f>9.711 * CHOOSE(CONTROL!$C$32, $C$9, 100%, $E$9)</f>
        <v>9.7110000000000003</v>
      </c>
      <c r="L283" s="11">
        <f>6.0645 * CHOOSE(CONTROL!$C$32, $C$9, 100%, $E$9)</f>
        <v>6.0644999999999998</v>
      </c>
      <c r="M283" s="11">
        <f>6.0698 * CHOOSE(CONTROL!$C$32, $C$9, 100%, $E$9)</f>
        <v>6.0697999999999999</v>
      </c>
      <c r="N283" s="11">
        <f>6.0645 * CHOOSE(CONTROL!$C$32, $C$9, 100%, $E$9)</f>
        <v>6.0644999999999998</v>
      </c>
      <c r="O283" s="11">
        <f>6.0698 * CHOOSE(CONTROL!$C$32, $C$9, 100%, $E$9)</f>
        <v>6.0697999999999999</v>
      </c>
    </row>
    <row r="284" spans="1:15" ht="15" x14ac:dyDescent="0.2">
      <c r="A284" s="13">
        <v>49491</v>
      </c>
      <c r="B284" s="9">
        <f>4.7784 * CHOOSE(CONTROL!$C$32, $C$9, 100%, $E$9)</f>
        <v>4.7784000000000004</v>
      </c>
      <c r="C284" s="9">
        <f>4.7784 * CHOOSE(CONTROL!$C$32, $C$9, 100%, $E$9)</f>
        <v>4.7784000000000004</v>
      </c>
      <c r="D284" s="9">
        <f>4.7799 * CHOOSE(CONTROL!$C$32, $C$9, 100%, $E$9)</f>
        <v>4.7798999999999996</v>
      </c>
      <c r="E284" s="11">
        <f>6.1692 * CHOOSE(CONTROL!$C$32, $C$9, 100%, $E$9)</f>
        <v>6.1692</v>
      </c>
      <c r="F284" s="11">
        <f>6.1692 * CHOOSE(CONTROL!$C$32, $C$9, 100%, $E$9)</f>
        <v>6.1692</v>
      </c>
      <c r="G284" s="11">
        <f>6.1745 * CHOOSE(CONTROL!$C$32, $C$9, 100%, $E$9)</f>
        <v>6.1745000000000001</v>
      </c>
      <c r="H284" s="11">
        <f>9.7259 * CHOOSE(CONTROL!$C$32, $C$9, 100%, $E$9)</f>
        <v>9.7258999999999993</v>
      </c>
      <c r="I284" s="11">
        <f>9.7312 * CHOOSE(CONTROL!$C$32, $C$9, 100%, $E$9)</f>
        <v>9.7311999999999994</v>
      </c>
      <c r="J284" s="11">
        <f>9.7259 * CHOOSE(CONTROL!$C$32, $C$9, 100%, $E$9)</f>
        <v>9.7258999999999993</v>
      </c>
      <c r="K284" s="11">
        <f>9.7312 * CHOOSE(CONTROL!$C$32, $C$9, 100%, $E$9)</f>
        <v>9.7311999999999994</v>
      </c>
      <c r="L284" s="11">
        <f>6.1692 * CHOOSE(CONTROL!$C$32, $C$9, 100%, $E$9)</f>
        <v>6.1692</v>
      </c>
      <c r="M284" s="11">
        <f>6.1745 * CHOOSE(CONTROL!$C$32, $C$9, 100%, $E$9)</f>
        <v>6.1745000000000001</v>
      </c>
      <c r="N284" s="11">
        <f>6.1692 * CHOOSE(CONTROL!$C$32, $C$9, 100%, $E$9)</f>
        <v>6.1692</v>
      </c>
      <c r="O284" s="11">
        <f>6.1745 * CHOOSE(CONTROL!$C$32, $C$9, 100%, $E$9)</f>
        <v>6.1745000000000001</v>
      </c>
    </row>
    <row r="285" spans="1:15" ht="15" x14ac:dyDescent="0.2">
      <c r="A285" s="13">
        <v>49522</v>
      </c>
      <c r="B285" s="9">
        <f>4.785 * CHOOSE(CONTROL!$C$32, $C$9, 100%, $E$9)</f>
        <v>4.7850000000000001</v>
      </c>
      <c r="C285" s="9">
        <f>4.785 * CHOOSE(CONTROL!$C$32, $C$9, 100%, $E$9)</f>
        <v>4.7850000000000001</v>
      </c>
      <c r="D285" s="9">
        <f>4.7866 * CHOOSE(CONTROL!$C$32, $C$9, 100%, $E$9)</f>
        <v>4.7866</v>
      </c>
      <c r="E285" s="11">
        <f>6.523 * CHOOSE(CONTROL!$C$32, $C$9, 100%, $E$9)</f>
        <v>6.5229999999999997</v>
      </c>
      <c r="F285" s="11">
        <f>6.523 * CHOOSE(CONTROL!$C$32, $C$9, 100%, $E$9)</f>
        <v>6.5229999999999997</v>
      </c>
      <c r="G285" s="11">
        <f>6.5283 * CHOOSE(CONTROL!$C$32, $C$9, 100%, $E$9)</f>
        <v>6.5282999999999998</v>
      </c>
      <c r="H285" s="11">
        <f>9.7462 * CHOOSE(CONTROL!$C$32, $C$9, 100%, $E$9)</f>
        <v>9.7462</v>
      </c>
      <c r="I285" s="11">
        <f>9.7515 * CHOOSE(CONTROL!$C$32, $C$9, 100%, $E$9)</f>
        <v>9.7515000000000001</v>
      </c>
      <c r="J285" s="11">
        <f>9.7462 * CHOOSE(CONTROL!$C$32, $C$9, 100%, $E$9)</f>
        <v>9.7462</v>
      </c>
      <c r="K285" s="11">
        <f>9.7515 * CHOOSE(CONTROL!$C$32, $C$9, 100%, $E$9)</f>
        <v>9.7515000000000001</v>
      </c>
      <c r="L285" s="11">
        <f>6.523 * CHOOSE(CONTROL!$C$32, $C$9, 100%, $E$9)</f>
        <v>6.5229999999999997</v>
      </c>
      <c r="M285" s="11">
        <f>6.5283 * CHOOSE(CONTROL!$C$32, $C$9, 100%, $E$9)</f>
        <v>6.5282999999999998</v>
      </c>
      <c r="N285" s="11">
        <f>6.523 * CHOOSE(CONTROL!$C$32, $C$9, 100%, $E$9)</f>
        <v>6.5229999999999997</v>
      </c>
      <c r="O285" s="11">
        <f>6.5283 * CHOOSE(CONTROL!$C$32, $C$9, 100%, $E$9)</f>
        <v>6.5282999999999998</v>
      </c>
    </row>
    <row r="286" spans="1:15" ht="15" x14ac:dyDescent="0.2">
      <c r="A286" s="13">
        <v>49553</v>
      </c>
      <c r="B286" s="9">
        <f>4.782 * CHOOSE(CONTROL!$C$32, $C$9, 100%, $E$9)</f>
        <v>4.782</v>
      </c>
      <c r="C286" s="9">
        <f>4.782 * CHOOSE(CONTROL!$C$32, $C$9, 100%, $E$9)</f>
        <v>4.782</v>
      </c>
      <c r="D286" s="9">
        <f>4.7836 * CHOOSE(CONTROL!$C$32, $C$9, 100%, $E$9)</f>
        <v>4.7835999999999999</v>
      </c>
      <c r="E286" s="11">
        <f>6.5105 * CHOOSE(CONTROL!$C$32, $C$9, 100%, $E$9)</f>
        <v>6.5105000000000004</v>
      </c>
      <c r="F286" s="11">
        <f>6.5105 * CHOOSE(CONTROL!$C$32, $C$9, 100%, $E$9)</f>
        <v>6.5105000000000004</v>
      </c>
      <c r="G286" s="11">
        <f>6.5158 * CHOOSE(CONTROL!$C$32, $C$9, 100%, $E$9)</f>
        <v>6.5157999999999996</v>
      </c>
      <c r="H286" s="11">
        <f>9.7665 * CHOOSE(CONTROL!$C$32, $C$9, 100%, $E$9)</f>
        <v>9.7665000000000006</v>
      </c>
      <c r="I286" s="11">
        <f>9.7718 * CHOOSE(CONTROL!$C$32, $C$9, 100%, $E$9)</f>
        <v>9.7718000000000007</v>
      </c>
      <c r="J286" s="11">
        <f>9.7665 * CHOOSE(CONTROL!$C$32, $C$9, 100%, $E$9)</f>
        <v>9.7665000000000006</v>
      </c>
      <c r="K286" s="11">
        <f>9.7718 * CHOOSE(CONTROL!$C$32, $C$9, 100%, $E$9)</f>
        <v>9.7718000000000007</v>
      </c>
      <c r="L286" s="11">
        <f>6.5105 * CHOOSE(CONTROL!$C$32, $C$9, 100%, $E$9)</f>
        <v>6.5105000000000004</v>
      </c>
      <c r="M286" s="11">
        <f>6.5158 * CHOOSE(CONTROL!$C$32, $C$9, 100%, $E$9)</f>
        <v>6.5157999999999996</v>
      </c>
      <c r="N286" s="11">
        <f>6.5105 * CHOOSE(CONTROL!$C$32, $C$9, 100%, $E$9)</f>
        <v>6.5105000000000004</v>
      </c>
      <c r="O286" s="11">
        <f>6.5158 * CHOOSE(CONTROL!$C$32, $C$9, 100%, $E$9)</f>
        <v>6.5157999999999996</v>
      </c>
    </row>
    <row r="287" spans="1:15" ht="15" x14ac:dyDescent="0.2">
      <c r="A287" s="13">
        <v>49583</v>
      </c>
      <c r="B287" s="9">
        <f>4.78 * CHOOSE(CONTROL!$C$32, $C$9, 100%, $E$9)</f>
        <v>4.78</v>
      </c>
      <c r="C287" s="9">
        <f>4.78 * CHOOSE(CONTROL!$C$32, $C$9, 100%, $E$9)</f>
        <v>4.78</v>
      </c>
      <c r="D287" s="9">
        <f>4.781 * CHOOSE(CONTROL!$C$32, $C$9, 100%, $E$9)</f>
        <v>4.7809999999999997</v>
      </c>
      <c r="E287" s="11">
        <f>6.1678 * CHOOSE(CONTROL!$C$32, $C$9, 100%, $E$9)</f>
        <v>6.1677999999999997</v>
      </c>
      <c r="F287" s="11">
        <f>6.1678 * CHOOSE(CONTROL!$C$32, $C$9, 100%, $E$9)</f>
        <v>6.1677999999999997</v>
      </c>
      <c r="G287" s="11">
        <f>6.1714 * CHOOSE(CONTROL!$C$32, $C$9, 100%, $E$9)</f>
        <v>6.1714000000000002</v>
      </c>
      <c r="H287" s="11">
        <f>9.7868 * CHOOSE(CONTROL!$C$32, $C$9, 100%, $E$9)</f>
        <v>9.7867999999999995</v>
      </c>
      <c r="I287" s="11">
        <f>9.7905 * CHOOSE(CONTROL!$C$32, $C$9, 100%, $E$9)</f>
        <v>9.7904999999999998</v>
      </c>
      <c r="J287" s="11">
        <f>9.7868 * CHOOSE(CONTROL!$C$32, $C$9, 100%, $E$9)</f>
        <v>9.7867999999999995</v>
      </c>
      <c r="K287" s="11">
        <f>9.7905 * CHOOSE(CONTROL!$C$32, $C$9, 100%, $E$9)</f>
        <v>9.7904999999999998</v>
      </c>
      <c r="L287" s="11">
        <f>6.1678 * CHOOSE(CONTROL!$C$32, $C$9, 100%, $E$9)</f>
        <v>6.1677999999999997</v>
      </c>
      <c r="M287" s="11">
        <f>6.1714 * CHOOSE(CONTROL!$C$32, $C$9, 100%, $E$9)</f>
        <v>6.1714000000000002</v>
      </c>
      <c r="N287" s="11">
        <f>6.1678 * CHOOSE(CONTROL!$C$32, $C$9, 100%, $E$9)</f>
        <v>6.1677999999999997</v>
      </c>
      <c r="O287" s="11">
        <f>6.1714 * CHOOSE(CONTROL!$C$32, $C$9, 100%, $E$9)</f>
        <v>6.1714000000000002</v>
      </c>
    </row>
    <row r="288" spans="1:15" ht="15" x14ac:dyDescent="0.2">
      <c r="A288" s="13">
        <v>49614</v>
      </c>
      <c r="B288" s="9">
        <f>4.783 * CHOOSE(CONTROL!$C$32, $C$9, 100%, $E$9)</f>
        <v>4.7830000000000004</v>
      </c>
      <c r="C288" s="9">
        <f>4.783 * CHOOSE(CONTROL!$C$32, $C$9, 100%, $E$9)</f>
        <v>4.7830000000000004</v>
      </c>
      <c r="D288" s="9">
        <f>4.7841 * CHOOSE(CONTROL!$C$32, $C$9, 100%, $E$9)</f>
        <v>4.7840999999999996</v>
      </c>
      <c r="E288" s="11">
        <f>6.1698 * CHOOSE(CONTROL!$C$32, $C$9, 100%, $E$9)</f>
        <v>6.1698000000000004</v>
      </c>
      <c r="F288" s="11">
        <f>6.1698 * CHOOSE(CONTROL!$C$32, $C$9, 100%, $E$9)</f>
        <v>6.1698000000000004</v>
      </c>
      <c r="G288" s="11">
        <f>6.1734 * CHOOSE(CONTROL!$C$32, $C$9, 100%, $E$9)</f>
        <v>6.1734</v>
      </c>
      <c r="H288" s="11">
        <f>9.8072 * CHOOSE(CONTROL!$C$32, $C$9, 100%, $E$9)</f>
        <v>9.8071999999999999</v>
      </c>
      <c r="I288" s="11">
        <f>9.8108 * CHOOSE(CONTROL!$C$32, $C$9, 100%, $E$9)</f>
        <v>9.8108000000000004</v>
      </c>
      <c r="J288" s="11">
        <f>9.8072 * CHOOSE(CONTROL!$C$32, $C$9, 100%, $E$9)</f>
        <v>9.8071999999999999</v>
      </c>
      <c r="K288" s="11">
        <f>9.8108 * CHOOSE(CONTROL!$C$32, $C$9, 100%, $E$9)</f>
        <v>9.8108000000000004</v>
      </c>
      <c r="L288" s="11">
        <f>6.1698 * CHOOSE(CONTROL!$C$32, $C$9, 100%, $E$9)</f>
        <v>6.1698000000000004</v>
      </c>
      <c r="M288" s="11">
        <f>6.1734 * CHOOSE(CONTROL!$C$32, $C$9, 100%, $E$9)</f>
        <v>6.1734</v>
      </c>
      <c r="N288" s="11">
        <f>6.1698 * CHOOSE(CONTROL!$C$32, $C$9, 100%, $E$9)</f>
        <v>6.1698000000000004</v>
      </c>
      <c r="O288" s="11">
        <f>6.1734 * CHOOSE(CONTROL!$C$32, $C$9, 100%, $E$9)</f>
        <v>6.1734</v>
      </c>
    </row>
    <row r="289" spans="1:15" ht="15" x14ac:dyDescent="0.2">
      <c r="A289" s="13">
        <v>49644</v>
      </c>
      <c r="B289" s="9">
        <f>4.783 * CHOOSE(CONTROL!$C$32, $C$9, 100%, $E$9)</f>
        <v>4.7830000000000004</v>
      </c>
      <c r="C289" s="9">
        <f>4.783 * CHOOSE(CONTROL!$C$32, $C$9, 100%, $E$9)</f>
        <v>4.7830000000000004</v>
      </c>
      <c r="D289" s="9">
        <f>4.7841 * CHOOSE(CONTROL!$C$32, $C$9, 100%, $E$9)</f>
        <v>4.7840999999999996</v>
      </c>
      <c r="E289" s="11">
        <f>6.5096 * CHOOSE(CONTROL!$C$32, $C$9, 100%, $E$9)</f>
        <v>6.5095999999999998</v>
      </c>
      <c r="F289" s="11">
        <f>6.5096 * CHOOSE(CONTROL!$C$32, $C$9, 100%, $E$9)</f>
        <v>6.5095999999999998</v>
      </c>
      <c r="G289" s="11">
        <f>6.5132 * CHOOSE(CONTROL!$C$32, $C$9, 100%, $E$9)</f>
        <v>6.5132000000000003</v>
      </c>
      <c r="H289" s="11">
        <f>9.8277 * CHOOSE(CONTROL!$C$32, $C$9, 100%, $E$9)</f>
        <v>9.8277000000000001</v>
      </c>
      <c r="I289" s="11">
        <f>9.8313 * CHOOSE(CONTROL!$C$32, $C$9, 100%, $E$9)</f>
        <v>9.8313000000000006</v>
      </c>
      <c r="J289" s="11">
        <f>9.8277 * CHOOSE(CONTROL!$C$32, $C$9, 100%, $E$9)</f>
        <v>9.8277000000000001</v>
      </c>
      <c r="K289" s="11">
        <f>9.8313 * CHOOSE(CONTROL!$C$32, $C$9, 100%, $E$9)</f>
        <v>9.8313000000000006</v>
      </c>
      <c r="L289" s="11">
        <f>6.5096 * CHOOSE(CONTROL!$C$32, $C$9, 100%, $E$9)</f>
        <v>6.5095999999999998</v>
      </c>
      <c r="M289" s="11">
        <f>6.5132 * CHOOSE(CONTROL!$C$32, $C$9, 100%, $E$9)</f>
        <v>6.5132000000000003</v>
      </c>
      <c r="N289" s="11">
        <f>6.5096 * CHOOSE(CONTROL!$C$32, $C$9, 100%, $E$9)</f>
        <v>6.5095999999999998</v>
      </c>
      <c r="O289" s="11">
        <f>6.5132 * CHOOSE(CONTROL!$C$32, $C$9, 100%, $E$9)</f>
        <v>6.5132000000000003</v>
      </c>
    </row>
    <row r="290" spans="1:15" ht="15" x14ac:dyDescent="0.2">
      <c r="A290" s="13">
        <v>49675</v>
      </c>
      <c r="B290" s="9">
        <f>4.8216 * CHOOSE(CONTROL!$C$32, $C$9, 100%, $E$9)</f>
        <v>4.8216000000000001</v>
      </c>
      <c r="C290" s="9">
        <f>4.8216 * CHOOSE(CONTROL!$C$32, $C$9, 100%, $E$9)</f>
        <v>4.8216000000000001</v>
      </c>
      <c r="D290" s="9">
        <f>4.8227 * CHOOSE(CONTROL!$C$32, $C$9, 100%, $E$9)</f>
        <v>4.8227000000000002</v>
      </c>
      <c r="E290" s="11">
        <f>6.5301 * CHOOSE(CONTROL!$C$32, $C$9, 100%, $E$9)</f>
        <v>6.5301</v>
      </c>
      <c r="F290" s="11">
        <f>6.5301 * CHOOSE(CONTROL!$C$32, $C$9, 100%, $E$9)</f>
        <v>6.5301</v>
      </c>
      <c r="G290" s="11">
        <f>6.5337 * CHOOSE(CONTROL!$C$32, $C$9, 100%, $E$9)</f>
        <v>6.5336999999999996</v>
      </c>
      <c r="H290" s="11">
        <f>9.8481 * CHOOSE(CONTROL!$C$32, $C$9, 100%, $E$9)</f>
        <v>9.8481000000000005</v>
      </c>
      <c r="I290" s="11">
        <f>9.8518 * CHOOSE(CONTROL!$C$32, $C$9, 100%, $E$9)</f>
        <v>9.8518000000000008</v>
      </c>
      <c r="J290" s="11">
        <f>9.8481 * CHOOSE(CONTROL!$C$32, $C$9, 100%, $E$9)</f>
        <v>9.8481000000000005</v>
      </c>
      <c r="K290" s="11">
        <f>9.8518 * CHOOSE(CONTROL!$C$32, $C$9, 100%, $E$9)</f>
        <v>9.8518000000000008</v>
      </c>
      <c r="L290" s="11">
        <f>6.5301 * CHOOSE(CONTROL!$C$32, $C$9, 100%, $E$9)</f>
        <v>6.5301</v>
      </c>
      <c r="M290" s="11">
        <f>6.5337 * CHOOSE(CONTROL!$C$32, $C$9, 100%, $E$9)</f>
        <v>6.5336999999999996</v>
      </c>
      <c r="N290" s="11">
        <f>6.5301 * CHOOSE(CONTROL!$C$32, $C$9, 100%, $E$9)</f>
        <v>6.5301</v>
      </c>
      <c r="O290" s="11">
        <f>6.5337 * CHOOSE(CONTROL!$C$32, $C$9, 100%, $E$9)</f>
        <v>6.5336999999999996</v>
      </c>
    </row>
    <row r="291" spans="1:15" ht="15" x14ac:dyDescent="0.2">
      <c r="A291" s="13">
        <v>49706</v>
      </c>
      <c r="B291" s="9">
        <f>4.8186 * CHOOSE(CONTROL!$C$32, $C$9, 100%, $E$9)</f>
        <v>4.8186</v>
      </c>
      <c r="C291" s="9">
        <f>4.8186 * CHOOSE(CONTROL!$C$32, $C$9, 100%, $E$9)</f>
        <v>4.8186</v>
      </c>
      <c r="D291" s="9">
        <f>4.8196 * CHOOSE(CONTROL!$C$32, $C$9, 100%, $E$9)</f>
        <v>4.8196000000000003</v>
      </c>
      <c r="E291" s="11">
        <f>6.4268 * CHOOSE(CONTROL!$C$32, $C$9, 100%, $E$9)</f>
        <v>6.4268000000000001</v>
      </c>
      <c r="F291" s="11">
        <f>6.4268 * CHOOSE(CONTROL!$C$32, $C$9, 100%, $E$9)</f>
        <v>6.4268000000000001</v>
      </c>
      <c r="G291" s="11">
        <f>6.4304 * CHOOSE(CONTROL!$C$32, $C$9, 100%, $E$9)</f>
        <v>6.4303999999999997</v>
      </c>
      <c r="H291" s="11">
        <f>9.8687 * CHOOSE(CONTROL!$C$32, $C$9, 100%, $E$9)</f>
        <v>9.8687000000000005</v>
      </c>
      <c r="I291" s="11">
        <f>9.8723 * CHOOSE(CONTROL!$C$32, $C$9, 100%, $E$9)</f>
        <v>9.8722999999999992</v>
      </c>
      <c r="J291" s="11">
        <f>9.8687 * CHOOSE(CONTROL!$C$32, $C$9, 100%, $E$9)</f>
        <v>9.8687000000000005</v>
      </c>
      <c r="K291" s="11">
        <f>9.8723 * CHOOSE(CONTROL!$C$32, $C$9, 100%, $E$9)</f>
        <v>9.8722999999999992</v>
      </c>
      <c r="L291" s="11">
        <f>6.4268 * CHOOSE(CONTROL!$C$32, $C$9, 100%, $E$9)</f>
        <v>6.4268000000000001</v>
      </c>
      <c r="M291" s="11">
        <f>6.4304 * CHOOSE(CONTROL!$C$32, $C$9, 100%, $E$9)</f>
        <v>6.4303999999999997</v>
      </c>
      <c r="N291" s="11">
        <f>6.4268 * CHOOSE(CONTROL!$C$32, $C$9, 100%, $E$9)</f>
        <v>6.4268000000000001</v>
      </c>
      <c r="O291" s="11">
        <f>6.4304 * CHOOSE(CONTROL!$C$32, $C$9, 100%, $E$9)</f>
        <v>6.4303999999999997</v>
      </c>
    </row>
    <row r="292" spans="1:15" ht="15" x14ac:dyDescent="0.2">
      <c r="A292" s="13">
        <v>49735</v>
      </c>
      <c r="B292" s="9">
        <f>4.8155 * CHOOSE(CONTROL!$C$32, $C$9, 100%, $E$9)</f>
        <v>4.8155000000000001</v>
      </c>
      <c r="C292" s="9">
        <f>4.8155 * CHOOSE(CONTROL!$C$32, $C$9, 100%, $E$9)</f>
        <v>4.8155000000000001</v>
      </c>
      <c r="D292" s="9">
        <f>4.8166 * CHOOSE(CONTROL!$C$32, $C$9, 100%, $E$9)</f>
        <v>4.8166000000000002</v>
      </c>
      <c r="E292" s="11">
        <f>6.5044 * CHOOSE(CONTROL!$C$32, $C$9, 100%, $E$9)</f>
        <v>6.5044000000000004</v>
      </c>
      <c r="F292" s="11">
        <f>6.5044 * CHOOSE(CONTROL!$C$32, $C$9, 100%, $E$9)</f>
        <v>6.5044000000000004</v>
      </c>
      <c r="G292" s="11">
        <f>6.508 * CHOOSE(CONTROL!$C$32, $C$9, 100%, $E$9)</f>
        <v>6.508</v>
      </c>
      <c r="H292" s="11">
        <f>9.8892 * CHOOSE(CONTROL!$C$32, $C$9, 100%, $E$9)</f>
        <v>9.8892000000000007</v>
      </c>
      <c r="I292" s="11">
        <f>9.8928 * CHOOSE(CONTROL!$C$32, $C$9, 100%, $E$9)</f>
        <v>9.8927999999999994</v>
      </c>
      <c r="J292" s="11">
        <f>9.8892 * CHOOSE(CONTROL!$C$32, $C$9, 100%, $E$9)</f>
        <v>9.8892000000000007</v>
      </c>
      <c r="K292" s="11">
        <f>9.8928 * CHOOSE(CONTROL!$C$32, $C$9, 100%, $E$9)</f>
        <v>9.8927999999999994</v>
      </c>
      <c r="L292" s="11">
        <f>6.5044 * CHOOSE(CONTROL!$C$32, $C$9, 100%, $E$9)</f>
        <v>6.5044000000000004</v>
      </c>
      <c r="M292" s="11">
        <f>6.508 * CHOOSE(CONTROL!$C$32, $C$9, 100%, $E$9)</f>
        <v>6.508</v>
      </c>
      <c r="N292" s="11">
        <f>6.5044 * CHOOSE(CONTROL!$C$32, $C$9, 100%, $E$9)</f>
        <v>6.5044000000000004</v>
      </c>
      <c r="O292" s="11">
        <f>6.508 * CHOOSE(CONTROL!$C$32, $C$9, 100%, $E$9)</f>
        <v>6.508</v>
      </c>
    </row>
    <row r="293" spans="1:15" ht="15" x14ac:dyDescent="0.2">
      <c r="A293" s="13">
        <v>49766</v>
      </c>
      <c r="B293" s="9">
        <f>4.814 * CHOOSE(CONTROL!$C$32, $C$9, 100%, $E$9)</f>
        <v>4.8140000000000001</v>
      </c>
      <c r="C293" s="9">
        <f>4.814 * CHOOSE(CONTROL!$C$32, $C$9, 100%, $E$9)</f>
        <v>4.8140000000000001</v>
      </c>
      <c r="D293" s="9">
        <f>4.815 * CHOOSE(CONTROL!$C$32, $C$9, 100%, $E$9)</f>
        <v>4.8150000000000004</v>
      </c>
      <c r="E293" s="11">
        <f>6.5859 * CHOOSE(CONTROL!$C$32, $C$9, 100%, $E$9)</f>
        <v>6.5858999999999996</v>
      </c>
      <c r="F293" s="11">
        <f>6.5859 * CHOOSE(CONTROL!$C$32, $C$9, 100%, $E$9)</f>
        <v>6.5858999999999996</v>
      </c>
      <c r="G293" s="11">
        <f>6.5895 * CHOOSE(CONTROL!$C$32, $C$9, 100%, $E$9)</f>
        <v>6.5895000000000001</v>
      </c>
      <c r="H293" s="11">
        <f>9.9098 * CHOOSE(CONTROL!$C$32, $C$9, 100%, $E$9)</f>
        <v>9.9098000000000006</v>
      </c>
      <c r="I293" s="11">
        <f>9.9134 * CHOOSE(CONTROL!$C$32, $C$9, 100%, $E$9)</f>
        <v>9.9133999999999993</v>
      </c>
      <c r="J293" s="11">
        <f>9.9098 * CHOOSE(CONTROL!$C$32, $C$9, 100%, $E$9)</f>
        <v>9.9098000000000006</v>
      </c>
      <c r="K293" s="11">
        <f>9.9134 * CHOOSE(CONTROL!$C$32, $C$9, 100%, $E$9)</f>
        <v>9.9133999999999993</v>
      </c>
      <c r="L293" s="11">
        <f>6.5859 * CHOOSE(CONTROL!$C$32, $C$9, 100%, $E$9)</f>
        <v>6.5858999999999996</v>
      </c>
      <c r="M293" s="11">
        <f>6.5895 * CHOOSE(CONTROL!$C$32, $C$9, 100%, $E$9)</f>
        <v>6.5895000000000001</v>
      </c>
      <c r="N293" s="11">
        <f>6.5859 * CHOOSE(CONTROL!$C$32, $C$9, 100%, $E$9)</f>
        <v>6.5858999999999996</v>
      </c>
      <c r="O293" s="11">
        <f>6.5895 * CHOOSE(CONTROL!$C$32, $C$9, 100%, $E$9)</f>
        <v>6.5895000000000001</v>
      </c>
    </row>
    <row r="294" spans="1:15" ht="15" x14ac:dyDescent="0.2">
      <c r="A294" s="13">
        <v>49796</v>
      </c>
      <c r="B294" s="9">
        <f>4.814 * CHOOSE(CONTROL!$C$32, $C$9, 100%, $E$9)</f>
        <v>4.8140000000000001</v>
      </c>
      <c r="C294" s="9">
        <f>4.814 * CHOOSE(CONTROL!$C$32, $C$9, 100%, $E$9)</f>
        <v>4.8140000000000001</v>
      </c>
      <c r="D294" s="9">
        <f>4.8155 * CHOOSE(CONTROL!$C$32, $C$9, 100%, $E$9)</f>
        <v>4.8155000000000001</v>
      </c>
      <c r="E294" s="11">
        <f>6.2171 * CHOOSE(CONTROL!$C$32, $C$9, 100%, $E$9)</f>
        <v>6.2171000000000003</v>
      </c>
      <c r="F294" s="11">
        <f>6.2171 * CHOOSE(CONTROL!$C$32, $C$9, 100%, $E$9)</f>
        <v>6.2171000000000003</v>
      </c>
      <c r="G294" s="11">
        <f>6.2224 * CHOOSE(CONTROL!$C$32, $C$9, 100%, $E$9)</f>
        <v>6.2224000000000004</v>
      </c>
      <c r="H294" s="11">
        <f>9.9305 * CHOOSE(CONTROL!$C$32, $C$9, 100%, $E$9)</f>
        <v>9.9305000000000003</v>
      </c>
      <c r="I294" s="11">
        <f>9.9358 * CHOOSE(CONTROL!$C$32, $C$9, 100%, $E$9)</f>
        <v>9.9358000000000004</v>
      </c>
      <c r="J294" s="11">
        <f>9.9305 * CHOOSE(CONTROL!$C$32, $C$9, 100%, $E$9)</f>
        <v>9.9305000000000003</v>
      </c>
      <c r="K294" s="11">
        <f>9.9358 * CHOOSE(CONTROL!$C$32, $C$9, 100%, $E$9)</f>
        <v>9.9358000000000004</v>
      </c>
      <c r="L294" s="11">
        <f>6.2171 * CHOOSE(CONTROL!$C$32, $C$9, 100%, $E$9)</f>
        <v>6.2171000000000003</v>
      </c>
      <c r="M294" s="11">
        <f>6.2224 * CHOOSE(CONTROL!$C$32, $C$9, 100%, $E$9)</f>
        <v>6.2224000000000004</v>
      </c>
      <c r="N294" s="11">
        <f>6.2171 * CHOOSE(CONTROL!$C$32, $C$9, 100%, $E$9)</f>
        <v>6.2171000000000003</v>
      </c>
      <c r="O294" s="11">
        <f>6.2224 * CHOOSE(CONTROL!$C$32, $C$9, 100%, $E$9)</f>
        <v>6.2224000000000004</v>
      </c>
    </row>
    <row r="295" spans="1:15" ht="15" x14ac:dyDescent="0.2">
      <c r="A295" s="13">
        <v>49827</v>
      </c>
      <c r="B295" s="9">
        <f>4.82 * CHOOSE(CONTROL!$C$32, $C$9, 100%, $E$9)</f>
        <v>4.82</v>
      </c>
      <c r="C295" s="9">
        <f>4.82 * CHOOSE(CONTROL!$C$32, $C$9, 100%, $E$9)</f>
        <v>4.82</v>
      </c>
      <c r="D295" s="9">
        <f>4.8216 * CHOOSE(CONTROL!$C$32, $C$9, 100%, $E$9)</f>
        <v>4.8216000000000001</v>
      </c>
      <c r="E295" s="11">
        <f>6.5901 * CHOOSE(CONTROL!$C$32, $C$9, 100%, $E$9)</f>
        <v>6.5900999999999996</v>
      </c>
      <c r="F295" s="11">
        <f>6.5901 * CHOOSE(CONTROL!$C$32, $C$9, 100%, $E$9)</f>
        <v>6.5900999999999996</v>
      </c>
      <c r="G295" s="11">
        <f>6.5954 * CHOOSE(CONTROL!$C$32, $C$9, 100%, $E$9)</f>
        <v>6.5953999999999997</v>
      </c>
      <c r="H295" s="11">
        <f>9.9511 * CHOOSE(CONTROL!$C$32, $C$9, 100%, $E$9)</f>
        <v>9.9511000000000003</v>
      </c>
      <c r="I295" s="11">
        <f>9.9564 * CHOOSE(CONTROL!$C$32, $C$9, 100%, $E$9)</f>
        <v>9.9564000000000004</v>
      </c>
      <c r="J295" s="11">
        <f>9.9511 * CHOOSE(CONTROL!$C$32, $C$9, 100%, $E$9)</f>
        <v>9.9511000000000003</v>
      </c>
      <c r="K295" s="11">
        <f>9.9564 * CHOOSE(CONTROL!$C$32, $C$9, 100%, $E$9)</f>
        <v>9.9564000000000004</v>
      </c>
      <c r="L295" s="11">
        <f>6.5901 * CHOOSE(CONTROL!$C$32, $C$9, 100%, $E$9)</f>
        <v>6.5900999999999996</v>
      </c>
      <c r="M295" s="11">
        <f>6.5954 * CHOOSE(CONTROL!$C$32, $C$9, 100%, $E$9)</f>
        <v>6.5953999999999997</v>
      </c>
      <c r="N295" s="11">
        <f>6.5901 * CHOOSE(CONTROL!$C$32, $C$9, 100%, $E$9)</f>
        <v>6.5900999999999996</v>
      </c>
      <c r="O295" s="11">
        <f>6.5954 * CHOOSE(CONTROL!$C$32, $C$9, 100%, $E$9)</f>
        <v>6.5953999999999997</v>
      </c>
    </row>
    <row r="296" spans="1:15" ht="15" x14ac:dyDescent="0.2">
      <c r="A296" s="13">
        <v>49857</v>
      </c>
      <c r="B296" s="9">
        <f>4.8896 * CHOOSE(CONTROL!$C$32, $C$9, 100%, $E$9)</f>
        <v>4.8895999999999997</v>
      </c>
      <c r="C296" s="9">
        <f>4.8896 * CHOOSE(CONTROL!$C$32, $C$9, 100%, $E$9)</f>
        <v>4.8895999999999997</v>
      </c>
      <c r="D296" s="9">
        <f>4.8911 * CHOOSE(CONTROL!$C$32, $C$9, 100%, $E$9)</f>
        <v>4.8910999999999998</v>
      </c>
      <c r="E296" s="11">
        <f>6.5201 * CHOOSE(CONTROL!$C$32, $C$9, 100%, $E$9)</f>
        <v>6.5201000000000002</v>
      </c>
      <c r="F296" s="11">
        <f>6.5201 * CHOOSE(CONTROL!$C$32, $C$9, 100%, $E$9)</f>
        <v>6.5201000000000002</v>
      </c>
      <c r="G296" s="11">
        <f>6.5254 * CHOOSE(CONTROL!$C$32, $C$9, 100%, $E$9)</f>
        <v>6.5254000000000003</v>
      </c>
      <c r="H296" s="11">
        <f>9.9719 * CHOOSE(CONTROL!$C$32, $C$9, 100%, $E$9)</f>
        <v>9.9718999999999998</v>
      </c>
      <c r="I296" s="11">
        <f>9.9772 * CHOOSE(CONTROL!$C$32, $C$9, 100%, $E$9)</f>
        <v>9.9771999999999998</v>
      </c>
      <c r="J296" s="11">
        <f>9.9719 * CHOOSE(CONTROL!$C$32, $C$9, 100%, $E$9)</f>
        <v>9.9718999999999998</v>
      </c>
      <c r="K296" s="11">
        <f>9.9772 * CHOOSE(CONTROL!$C$32, $C$9, 100%, $E$9)</f>
        <v>9.9771999999999998</v>
      </c>
      <c r="L296" s="11">
        <f>6.5201 * CHOOSE(CONTROL!$C$32, $C$9, 100%, $E$9)</f>
        <v>6.5201000000000002</v>
      </c>
      <c r="M296" s="11">
        <f>6.5254 * CHOOSE(CONTROL!$C$32, $C$9, 100%, $E$9)</f>
        <v>6.5254000000000003</v>
      </c>
      <c r="N296" s="11">
        <f>6.5201 * CHOOSE(CONTROL!$C$32, $C$9, 100%, $E$9)</f>
        <v>6.5201000000000002</v>
      </c>
      <c r="O296" s="11">
        <f>6.5254 * CHOOSE(CONTROL!$C$32, $C$9, 100%, $E$9)</f>
        <v>6.5254000000000003</v>
      </c>
    </row>
    <row r="297" spans="1:15" ht="15" x14ac:dyDescent="0.2">
      <c r="A297" s="13">
        <v>49888</v>
      </c>
      <c r="B297" s="9">
        <f>4.8962 * CHOOSE(CONTROL!$C$32, $C$9, 100%, $E$9)</f>
        <v>4.8962000000000003</v>
      </c>
      <c r="C297" s="9">
        <f>4.8962 * CHOOSE(CONTROL!$C$32, $C$9, 100%, $E$9)</f>
        <v>4.8962000000000003</v>
      </c>
      <c r="D297" s="9">
        <f>4.8978 * CHOOSE(CONTROL!$C$32, $C$9, 100%, $E$9)</f>
        <v>4.8978000000000002</v>
      </c>
      <c r="E297" s="11">
        <f>6.4284 * CHOOSE(CONTROL!$C$32, $C$9, 100%, $E$9)</f>
        <v>6.4283999999999999</v>
      </c>
      <c r="F297" s="11">
        <f>6.4284 * CHOOSE(CONTROL!$C$32, $C$9, 100%, $E$9)</f>
        <v>6.4283999999999999</v>
      </c>
      <c r="G297" s="11">
        <f>6.4336 * CHOOSE(CONTROL!$C$32, $C$9, 100%, $E$9)</f>
        <v>6.4336000000000002</v>
      </c>
      <c r="H297" s="11">
        <f>9.9927 * CHOOSE(CONTROL!$C$32, $C$9, 100%, $E$9)</f>
        <v>9.9926999999999992</v>
      </c>
      <c r="I297" s="11">
        <f>9.9979 * CHOOSE(CONTROL!$C$32, $C$9, 100%, $E$9)</f>
        <v>9.9978999999999996</v>
      </c>
      <c r="J297" s="11">
        <f>9.9927 * CHOOSE(CONTROL!$C$32, $C$9, 100%, $E$9)</f>
        <v>9.9926999999999992</v>
      </c>
      <c r="K297" s="11">
        <f>9.9979 * CHOOSE(CONTROL!$C$32, $C$9, 100%, $E$9)</f>
        <v>9.9978999999999996</v>
      </c>
      <c r="L297" s="11">
        <f>6.4284 * CHOOSE(CONTROL!$C$32, $C$9, 100%, $E$9)</f>
        <v>6.4283999999999999</v>
      </c>
      <c r="M297" s="11">
        <f>6.4336 * CHOOSE(CONTROL!$C$32, $C$9, 100%, $E$9)</f>
        <v>6.4336000000000002</v>
      </c>
      <c r="N297" s="11">
        <f>6.4284 * CHOOSE(CONTROL!$C$32, $C$9, 100%, $E$9)</f>
        <v>6.4283999999999999</v>
      </c>
      <c r="O297" s="11">
        <f>6.4336 * CHOOSE(CONTROL!$C$32, $C$9, 100%, $E$9)</f>
        <v>6.4336000000000002</v>
      </c>
    </row>
    <row r="298" spans="1:15" ht="15" x14ac:dyDescent="0.2">
      <c r="A298" s="13">
        <v>49919</v>
      </c>
      <c r="B298" s="9">
        <f>4.8932 * CHOOSE(CONTROL!$C$32, $C$9, 100%, $E$9)</f>
        <v>4.8932000000000002</v>
      </c>
      <c r="C298" s="9">
        <f>4.8932 * CHOOSE(CONTROL!$C$32, $C$9, 100%, $E$9)</f>
        <v>4.8932000000000002</v>
      </c>
      <c r="D298" s="9">
        <f>4.8948 * CHOOSE(CONTROL!$C$32, $C$9, 100%, $E$9)</f>
        <v>4.8948</v>
      </c>
      <c r="E298" s="11">
        <f>6.4155 * CHOOSE(CONTROL!$C$32, $C$9, 100%, $E$9)</f>
        <v>6.4154999999999998</v>
      </c>
      <c r="F298" s="11">
        <f>6.4155 * CHOOSE(CONTROL!$C$32, $C$9, 100%, $E$9)</f>
        <v>6.4154999999999998</v>
      </c>
      <c r="G298" s="11">
        <f>6.4208 * CHOOSE(CONTROL!$C$32, $C$9, 100%, $E$9)</f>
        <v>6.4207999999999998</v>
      </c>
      <c r="H298" s="11">
        <f>10.0135 * CHOOSE(CONTROL!$C$32, $C$9, 100%, $E$9)</f>
        <v>10.013500000000001</v>
      </c>
      <c r="I298" s="11">
        <f>10.0188 * CHOOSE(CONTROL!$C$32, $C$9, 100%, $E$9)</f>
        <v>10.018800000000001</v>
      </c>
      <c r="J298" s="11">
        <f>10.0135 * CHOOSE(CONTROL!$C$32, $C$9, 100%, $E$9)</f>
        <v>10.013500000000001</v>
      </c>
      <c r="K298" s="11">
        <f>10.0188 * CHOOSE(CONTROL!$C$32, $C$9, 100%, $E$9)</f>
        <v>10.018800000000001</v>
      </c>
      <c r="L298" s="11">
        <f>6.4155 * CHOOSE(CONTROL!$C$32, $C$9, 100%, $E$9)</f>
        <v>6.4154999999999998</v>
      </c>
      <c r="M298" s="11">
        <f>6.4208 * CHOOSE(CONTROL!$C$32, $C$9, 100%, $E$9)</f>
        <v>6.4207999999999998</v>
      </c>
      <c r="N298" s="11">
        <f>6.4155 * CHOOSE(CONTROL!$C$32, $C$9, 100%, $E$9)</f>
        <v>6.4154999999999998</v>
      </c>
      <c r="O298" s="11">
        <f>6.4208 * CHOOSE(CONTROL!$C$32, $C$9, 100%, $E$9)</f>
        <v>6.4207999999999998</v>
      </c>
    </row>
    <row r="299" spans="1:15" ht="15" x14ac:dyDescent="0.2">
      <c r="A299" s="13">
        <v>49949</v>
      </c>
      <c r="B299" s="9">
        <f>4.8916 * CHOOSE(CONTROL!$C$32, $C$9, 100%, $E$9)</f>
        <v>4.8916000000000004</v>
      </c>
      <c r="C299" s="9">
        <f>4.8916 * CHOOSE(CONTROL!$C$32, $C$9, 100%, $E$9)</f>
        <v>4.8916000000000004</v>
      </c>
      <c r="D299" s="9">
        <f>4.8927 * CHOOSE(CONTROL!$C$32, $C$9, 100%, $E$9)</f>
        <v>4.8926999999999996</v>
      </c>
      <c r="E299" s="11">
        <f>6.4449 * CHOOSE(CONTROL!$C$32, $C$9, 100%, $E$9)</f>
        <v>6.4448999999999996</v>
      </c>
      <c r="F299" s="11">
        <f>6.4449 * CHOOSE(CONTROL!$C$32, $C$9, 100%, $E$9)</f>
        <v>6.4448999999999996</v>
      </c>
      <c r="G299" s="11">
        <f>6.4486 * CHOOSE(CONTROL!$C$32, $C$9, 100%, $E$9)</f>
        <v>6.4485999999999999</v>
      </c>
      <c r="H299" s="11">
        <f>10.0343 * CHOOSE(CONTROL!$C$32, $C$9, 100%, $E$9)</f>
        <v>10.0343</v>
      </c>
      <c r="I299" s="11">
        <f>10.0379 * CHOOSE(CONTROL!$C$32, $C$9, 100%, $E$9)</f>
        <v>10.0379</v>
      </c>
      <c r="J299" s="11">
        <f>10.0343 * CHOOSE(CONTROL!$C$32, $C$9, 100%, $E$9)</f>
        <v>10.0343</v>
      </c>
      <c r="K299" s="11">
        <f>10.0379 * CHOOSE(CONTROL!$C$32, $C$9, 100%, $E$9)</f>
        <v>10.0379</v>
      </c>
      <c r="L299" s="11">
        <f>6.4449 * CHOOSE(CONTROL!$C$32, $C$9, 100%, $E$9)</f>
        <v>6.4448999999999996</v>
      </c>
      <c r="M299" s="11">
        <f>6.4486 * CHOOSE(CONTROL!$C$32, $C$9, 100%, $E$9)</f>
        <v>6.4485999999999999</v>
      </c>
      <c r="N299" s="11">
        <f>6.4449 * CHOOSE(CONTROL!$C$32, $C$9, 100%, $E$9)</f>
        <v>6.4448999999999996</v>
      </c>
      <c r="O299" s="11">
        <f>6.4486 * CHOOSE(CONTROL!$C$32, $C$9, 100%, $E$9)</f>
        <v>6.4485999999999999</v>
      </c>
    </row>
    <row r="300" spans="1:15" ht="15" x14ac:dyDescent="0.2">
      <c r="A300" s="13">
        <v>49980</v>
      </c>
      <c r="B300" s="9">
        <f>4.8946 * CHOOSE(CONTROL!$C$32, $C$9, 100%, $E$9)</f>
        <v>4.8945999999999996</v>
      </c>
      <c r="C300" s="9">
        <f>4.8946 * CHOOSE(CONTROL!$C$32, $C$9, 100%, $E$9)</f>
        <v>4.8945999999999996</v>
      </c>
      <c r="D300" s="9">
        <f>4.8957 * CHOOSE(CONTROL!$C$32, $C$9, 100%, $E$9)</f>
        <v>4.8956999999999997</v>
      </c>
      <c r="E300" s="11">
        <f>6.4685 * CHOOSE(CONTROL!$C$32, $C$9, 100%, $E$9)</f>
        <v>6.4684999999999997</v>
      </c>
      <c r="F300" s="11">
        <f>6.4685 * CHOOSE(CONTROL!$C$32, $C$9, 100%, $E$9)</f>
        <v>6.4684999999999997</v>
      </c>
      <c r="G300" s="11">
        <f>6.4721 * CHOOSE(CONTROL!$C$32, $C$9, 100%, $E$9)</f>
        <v>6.4721000000000002</v>
      </c>
      <c r="H300" s="11">
        <f>10.0552 * CHOOSE(CONTROL!$C$32, $C$9, 100%, $E$9)</f>
        <v>10.055199999999999</v>
      </c>
      <c r="I300" s="11">
        <f>10.0589 * CHOOSE(CONTROL!$C$32, $C$9, 100%, $E$9)</f>
        <v>10.0589</v>
      </c>
      <c r="J300" s="11">
        <f>10.0552 * CHOOSE(CONTROL!$C$32, $C$9, 100%, $E$9)</f>
        <v>10.055199999999999</v>
      </c>
      <c r="K300" s="11">
        <f>10.0589 * CHOOSE(CONTROL!$C$32, $C$9, 100%, $E$9)</f>
        <v>10.0589</v>
      </c>
      <c r="L300" s="11">
        <f>6.4685 * CHOOSE(CONTROL!$C$32, $C$9, 100%, $E$9)</f>
        <v>6.4684999999999997</v>
      </c>
      <c r="M300" s="11">
        <f>6.4721 * CHOOSE(CONTROL!$C$32, $C$9, 100%, $E$9)</f>
        <v>6.4721000000000002</v>
      </c>
      <c r="N300" s="11">
        <f>6.4685 * CHOOSE(CONTROL!$C$32, $C$9, 100%, $E$9)</f>
        <v>6.4684999999999997</v>
      </c>
      <c r="O300" s="11">
        <f>6.4721 * CHOOSE(CONTROL!$C$32, $C$9, 100%, $E$9)</f>
        <v>6.4721000000000002</v>
      </c>
    </row>
    <row r="301" spans="1:15" ht="15" x14ac:dyDescent="0.2">
      <c r="A301" s="13">
        <v>50010</v>
      </c>
      <c r="B301" s="9">
        <f>4.8946 * CHOOSE(CONTROL!$C$32, $C$9, 100%, $E$9)</f>
        <v>4.8945999999999996</v>
      </c>
      <c r="C301" s="9">
        <f>4.8946 * CHOOSE(CONTROL!$C$32, $C$9, 100%, $E$9)</f>
        <v>4.8945999999999996</v>
      </c>
      <c r="D301" s="9">
        <f>4.8957 * CHOOSE(CONTROL!$C$32, $C$9, 100%, $E$9)</f>
        <v>4.8956999999999997</v>
      </c>
      <c r="E301" s="11">
        <f>6.4149 * CHOOSE(CONTROL!$C$32, $C$9, 100%, $E$9)</f>
        <v>6.4149000000000003</v>
      </c>
      <c r="F301" s="11">
        <f>6.4149 * CHOOSE(CONTROL!$C$32, $C$9, 100%, $E$9)</f>
        <v>6.4149000000000003</v>
      </c>
      <c r="G301" s="11">
        <f>6.4185 * CHOOSE(CONTROL!$C$32, $C$9, 100%, $E$9)</f>
        <v>6.4184999999999999</v>
      </c>
      <c r="H301" s="11">
        <f>10.0762 * CHOOSE(CONTROL!$C$32, $C$9, 100%, $E$9)</f>
        <v>10.0762</v>
      </c>
      <c r="I301" s="11">
        <f>10.0798 * CHOOSE(CONTROL!$C$32, $C$9, 100%, $E$9)</f>
        <v>10.079800000000001</v>
      </c>
      <c r="J301" s="11">
        <f>10.0762 * CHOOSE(CONTROL!$C$32, $C$9, 100%, $E$9)</f>
        <v>10.0762</v>
      </c>
      <c r="K301" s="11">
        <f>10.0798 * CHOOSE(CONTROL!$C$32, $C$9, 100%, $E$9)</f>
        <v>10.079800000000001</v>
      </c>
      <c r="L301" s="11">
        <f>6.4149 * CHOOSE(CONTROL!$C$32, $C$9, 100%, $E$9)</f>
        <v>6.4149000000000003</v>
      </c>
      <c r="M301" s="11">
        <f>6.4185 * CHOOSE(CONTROL!$C$32, $C$9, 100%, $E$9)</f>
        <v>6.4184999999999999</v>
      </c>
      <c r="N301" s="11">
        <f>6.4149 * CHOOSE(CONTROL!$C$32, $C$9, 100%, $E$9)</f>
        <v>6.4149000000000003</v>
      </c>
      <c r="O301" s="11">
        <f>6.4185 * CHOOSE(CONTROL!$C$32, $C$9, 100%, $E$9)</f>
        <v>6.4184999999999999</v>
      </c>
    </row>
    <row r="302" spans="1:15" ht="15" x14ac:dyDescent="0.2">
      <c r="A302" s="13">
        <v>50041</v>
      </c>
      <c r="B302" s="9">
        <f>4.9322 * CHOOSE(CONTROL!$C$32, $C$9, 100%, $E$9)</f>
        <v>4.9321999999999999</v>
      </c>
      <c r="C302" s="9">
        <f>4.9322 * CHOOSE(CONTROL!$C$32, $C$9, 100%, $E$9)</f>
        <v>4.9321999999999999</v>
      </c>
      <c r="D302" s="9">
        <f>4.9333 * CHOOSE(CONTROL!$C$32, $C$9, 100%, $E$9)</f>
        <v>4.9333</v>
      </c>
      <c r="E302" s="11">
        <f>6.4909 * CHOOSE(CONTROL!$C$32, $C$9, 100%, $E$9)</f>
        <v>6.4908999999999999</v>
      </c>
      <c r="F302" s="11">
        <f>6.4909 * CHOOSE(CONTROL!$C$32, $C$9, 100%, $E$9)</f>
        <v>6.4908999999999999</v>
      </c>
      <c r="G302" s="11">
        <f>6.4945 * CHOOSE(CONTROL!$C$32, $C$9, 100%, $E$9)</f>
        <v>6.4945000000000004</v>
      </c>
      <c r="H302" s="11">
        <f>10.0972 * CHOOSE(CONTROL!$C$32, $C$9, 100%, $E$9)</f>
        <v>10.097200000000001</v>
      </c>
      <c r="I302" s="11">
        <f>10.1008 * CHOOSE(CONTROL!$C$32, $C$9, 100%, $E$9)</f>
        <v>10.1008</v>
      </c>
      <c r="J302" s="11">
        <f>10.0972 * CHOOSE(CONTROL!$C$32, $C$9, 100%, $E$9)</f>
        <v>10.097200000000001</v>
      </c>
      <c r="K302" s="11">
        <f>10.1008 * CHOOSE(CONTROL!$C$32, $C$9, 100%, $E$9)</f>
        <v>10.1008</v>
      </c>
      <c r="L302" s="11">
        <f>6.4909 * CHOOSE(CONTROL!$C$32, $C$9, 100%, $E$9)</f>
        <v>6.4908999999999999</v>
      </c>
      <c r="M302" s="11">
        <f>6.4945 * CHOOSE(CONTROL!$C$32, $C$9, 100%, $E$9)</f>
        <v>6.4945000000000004</v>
      </c>
      <c r="N302" s="11">
        <f>6.4909 * CHOOSE(CONTROL!$C$32, $C$9, 100%, $E$9)</f>
        <v>6.4908999999999999</v>
      </c>
      <c r="O302" s="11">
        <f>6.4945 * CHOOSE(CONTROL!$C$32, $C$9, 100%, $E$9)</f>
        <v>6.4945000000000004</v>
      </c>
    </row>
    <row r="303" spans="1:15" ht="15" x14ac:dyDescent="0.2">
      <c r="A303" s="13">
        <v>50072</v>
      </c>
      <c r="B303" s="9">
        <f>4.9291 * CHOOSE(CONTROL!$C$32, $C$9, 100%, $E$9)</f>
        <v>4.9291</v>
      </c>
      <c r="C303" s="9">
        <f>4.9291 * CHOOSE(CONTROL!$C$32, $C$9, 100%, $E$9)</f>
        <v>4.9291</v>
      </c>
      <c r="D303" s="9">
        <f>4.9302 * CHOOSE(CONTROL!$C$32, $C$9, 100%, $E$9)</f>
        <v>4.9302000000000001</v>
      </c>
      <c r="E303" s="11">
        <f>6.3843 * CHOOSE(CONTROL!$C$32, $C$9, 100%, $E$9)</f>
        <v>6.3842999999999996</v>
      </c>
      <c r="F303" s="11">
        <f>6.3843 * CHOOSE(CONTROL!$C$32, $C$9, 100%, $E$9)</f>
        <v>6.3842999999999996</v>
      </c>
      <c r="G303" s="11">
        <f>6.3879 * CHOOSE(CONTROL!$C$32, $C$9, 100%, $E$9)</f>
        <v>6.3879000000000001</v>
      </c>
      <c r="H303" s="11">
        <f>10.1182 * CHOOSE(CONTROL!$C$32, $C$9, 100%, $E$9)</f>
        <v>10.1182</v>
      </c>
      <c r="I303" s="11">
        <f>10.1218 * CHOOSE(CONTROL!$C$32, $C$9, 100%, $E$9)</f>
        <v>10.1218</v>
      </c>
      <c r="J303" s="11">
        <f>10.1182 * CHOOSE(CONTROL!$C$32, $C$9, 100%, $E$9)</f>
        <v>10.1182</v>
      </c>
      <c r="K303" s="11">
        <f>10.1218 * CHOOSE(CONTROL!$C$32, $C$9, 100%, $E$9)</f>
        <v>10.1218</v>
      </c>
      <c r="L303" s="11">
        <f>6.3843 * CHOOSE(CONTROL!$C$32, $C$9, 100%, $E$9)</f>
        <v>6.3842999999999996</v>
      </c>
      <c r="M303" s="11">
        <f>6.3879 * CHOOSE(CONTROL!$C$32, $C$9, 100%, $E$9)</f>
        <v>6.3879000000000001</v>
      </c>
      <c r="N303" s="11">
        <f>6.3843 * CHOOSE(CONTROL!$C$32, $C$9, 100%, $E$9)</f>
        <v>6.3842999999999996</v>
      </c>
      <c r="O303" s="11">
        <f>6.3879 * CHOOSE(CONTROL!$C$32, $C$9, 100%, $E$9)</f>
        <v>6.3879000000000001</v>
      </c>
    </row>
    <row r="304" spans="1:15" ht="15" x14ac:dyDescent="0.2">
      <c r="A304" s="13">
        <v>50100</v>
      </c>
      <c r="B304" s="9">
        <f>4.9261 * CHOOSE(CONTROL!$C$32, $C$9, 100%, $E$9)</f>
        <v>4.9260999999999999</v>
      </c>
      <c r="C304" s="9">
        <f>4.9261 * CHOOSE(CONTROL!$C$32, $C$9, 100%, $E$9)</f>
        <v>4.9260999999999999</v>
      </c>
      <c r="D304" s="9">
        <f>4.9272 * CHOOSE(CONTROL!$C$32, $C$9, 100%, $E$9)</f>
        <v>4.9272</v>
      </c>
      <c r="E304" s="11">
        <f>6.4645 * CHOOSE(CONTROL!$C$32, $C$9, 100%, $E$9)</f>
        <v>6.4645000000000001</v>
      </c>
      <c r="F304" s="11">
        <f>6.4645 * CHOOSE(CONTROL!$C$32, $C$9, 100%, $E$9)</f>
        <v>6.4645000000000001</v>
      </c>
      <c r="G304" s="11">
        <f>6.4681 * CHOOSE(CONTROL!$C$32, $C$9, 100%, $E$9)</f>
        <v>6.4680999999999997</v>
      </c>
      <c r="H304" s="11">
        <f>10.1393 * CHOOSE(CONTROL!$C$32, $C$9, 100%, $E$9)</f>
        <v>10.1393</v>
      </c>
      <c r="I304" s="11">
        <f>10.1429 * CHOOSE(CONTROL!$C$32, $C$9, 100%, $E$9)</f>
        <v>10.142899999999999</v>
      </c>
      <c r="J304" s="11">
        <f>10.1393 * CHOOSE(CONTROL!$C$32, $C$9, 100%, $E$9)</f>
        <v>10.1393</v>
      </c>
      <c r="K304" s="11">
        <f>10.1429 * CHOOSE(CONTROL!$C$32, $C$9, 100%, $E$9)</f>
        <v>10.142899999999999</v>
      </c>
      <c r="L304" s="11">
        <f>6.4645 * CHOOSE(CONTROL!$C$32, $C$9, 100%, $E$9)</f>
        <v>6.4645000000000001</v>
      </c>
      <c r="M304" s="11">
        <f>6.4681 * CHOOSE(CONTROL!$C$32, $C$9, 100%, $E$9)</f>
        <v>6.4680999999999997</v>
      </c>
      <c r="N304" s="11">
        <f>6.4645 * CHOOSE(CONTROL!$C$32, $C$9, 100%, $E$9)</f>
        <v>6.4645000000000001</v>
      </c>
      <c r="O304" s="11">
        <f>6.4681 * CHOOSE(CONTROL!$C$32, $C$9, 100%, $E$9)</f>
        <v>6.4680999999999997</v>
      </c>
    </row>
    <row r="305" spans="1:15" ht="15" x14ac:dyDescent="0.2">
      <c r="A305" s="13">
        <v>50131</v>
      </c>
      <c r="B305" s="9">
        <f>4.9246 * CHOOSE(CONTROL!$C$32, $C$9, 100%, $E$9)</f>
        <v>4.9245999999999999</v>
      </c>
      <c r="C305" s="9">
        <f>4.9246 * CHOOSE(CONTROL!$C$32, $C$9, 100%, $E$9)</f>
        <v>4.9245999999999999</v>
      </c>
      <c r="D305" s="9">
        <f>4.9257 * CHOOSE(CONTROL!$C$32, $C$9, 100%, $E$9)</f>
        <v>4.9257</v>
      </c>
      <c r="E305" s="11">
        <f>6.5488 * CHOOSE(CONTROL!$C$32, $C$9, 100%, $E$9)</f>
        <v>6.5488</v>
      </c>
      <c r="F305" s="11">
        <f>6.5488 * CHOOSE(CONTROL!$C$32, $C$9, 100%, $E$9)</f>
        <v>6.5488</v>
      </c>
      <c r="G305" s="11">
        <f>6.5524 * CHOOSE(CONTROL!$C$32, $C$9, 100%, $E$9)</f>
        <v>6.5523999999999996</v>
      </c>
      <c r="H305" s="11">
        <f>10.1604 * CHOOSE(CONTROL!$C$32, $C$9, 100%, $E$9)</f>
        <v>10.160399999999999</v>
      </c>
      <c r="I305" s="11">
        <f>10.164 * CHOOSE(CONTROL!$C$32, $C$9, 100%, $E$9)</f>
        <v>10.164</v>
      </c>
      <c r="J305" s="11">
        <f>10.1604 * CHOOSE(CONTROL!$C$32, $C$9, 100%, $E$9)</f>
        <v>10.160399999999999</v>
      </c>
      <c r="K305" s="11">
        <f>10.164 * CHOOSE(CONTROL!$C$32, $C$9, 100%, $E$9)</f>
        <v>10.164</v>
      </c>
      <c r="L305" s="11">
        <f>6.5488 * CHOOSE(CONTROL!$C$32, $C$9, 100%, $E$9)</f>
        <v>6.5488</v>
      </c>
      <c r="M305" s="11">
        <f>6.5524 * CHOOSE(CONTROL!$C$32, $C$9, 100%, $E$9)</f>
        <v>6.5523999999999996</v>
      </c>
      <c r="N305" s="11">
        <f>6.5488 * CHOOSE(CONTROL!$C$32, $C$9, 100%, $E$9)</f>
        <v>6.5488</v>
      </c>
      <c r="O305" s="11">
        <f>6.5524 * CHOOSE(CONTROL!$C$32, $C$9, 100%, $E$9)</f>
        <v>6.5523999999999996</v>
      </c>
    </row>
    <row r="306" spans="1:15" ht="15" x14ac:dyDescent="0.2">
      <c r="A306" s="13">
        <v>50161</v>
      </c>
      <c r="B306" s="9">
        <f>4.9246 * CHOOSE(CONTROL!$C$32, $C$9, 100%, $E$9)</f>
        <v>4.9245999999999999</v>
      </c>
      <c r="C306" s="9">
        <f>4.9246 * CHOOSE(CONTROL!$C$32, $C$9, 100%, $E$9)</f>
        <v>4.9245999999999999</v>
      </c>
      <c r="D306" s="9">
        <f>4.9262 * CHOOSE(CONTROL!$C$32, $C$9, 100%, $E$9)</f>
        <v>4.9261999999999997</v>
      </c>
      <c r="E306" s="11">
        <f>6.5819 * CHOOSE(CONTROL!$C$32, $C$9, 100%, $E$9)</f>
        <v>6.5819000000000001</v>
      </c>
      <c r="F306" s="11">
        <f>6.5819 * CHOOSE(CONTROL!$C$32, $C$9, 100%, $E$9)</f>
        <v>6.5819000000000001</v>
      </c>
      <c r="G306" s="11">
        <f>6.5872 * CHOOSE(CONTROL!$C$32, $C$9, 100%, $E$9)</f>
        <v>6.5872000000000002</v>
      </c>
      <c r="H306" s="11">
        <f>10.1816 * CHOOSE(CONTROL!$C$32, $C$9, 100%, $E$9)</f>
        <v>10.1816</v>
      </c>
      <c r="I306" s="11">
        <f>10.1869 * CHOOSE(CONTROL!$C$32, $C$9, 100%, $E$9)</f>
        <v>10.1869</v>
      </c>
      <c r="J306" s="11">
        <f>10.1816 * CHOOSE(CONTROL!$C$32, $C$9, 100%, $E$9)</f>
        <v>10.1816</v>
      </c>
      <c r="K306" s="11">
        <f>10.1869 * CHOOSE(CONTROL!$C$32, $C$9, 100%, $E$9)</f>
        <v>10.1869</v>
      </c>
      <c r="L306" s="11">
        <f>6.5819 * CHOOSE(CONTROL!$C$32, $C$9, 100%, $E$9)</f>
        <v>6.5819000000000001</v>
      </c>
      <c r="M306" s="11">
        <f>6.5872 * CHOOSE(CONTROL!$C$32, $C$9, 100%, $E$9)</f>
        <v>6.5872000000000002</v>
      </c>
      <c r="N306" s="11">
        <f>6.5819 * CHOOSE(CONTROL!$C$32, $C$9, 100%, $E$9)</f>
        <v>6.5819000000000001</v>
      </c>
      <c r="O306" s="11">
        <f>6.5872 * CHOOSE(CONTROL!$C$32, $C$9, 100%, $E$9)</f>
        <v>6.5872000000000002</v>
      </c>
    </row>
    <row r="307" spans="1:15" ht="15" x14ac:dyDescent="0.2">
      <c r="A307" s="13">
        <v>50192</v>
      </c>
      <c r="B307" s="9">
        <f>4.9307 * CHOOSE(CONTROL!$C$32, $C$9, 100%, $E$9)</f>
        <v>4.9306999999999999</v>
      </c>
      <c r="C307" s="9">
        <f>4.9307 * CHOOSE(CONTROL!$C$32, $C$9, 100%, $E$9)</f>
        <v>4.9306999999999999</v>
      </c>
      <c r="D307" s="9">
        <f>4.9323 * CHOOSE(CONTROL!$C$32, $C$9, 100%, $E$9)</f>
        <v>4.9322999999999997</v>
      </c>
      <c r="E307" s="11">
        <f>6.553 * CHOOSE(CONTROL!$C$32, $C$9, 100%, $E$9)</f>
        <v>6.5529999999999999</v>
      </c>
      <c r="F307" s="11">
        <f>6.553 * CHOOSE(CONTROL!$C$32, $C$9, 100%, $E$9)</f>
        <v>6.5529999999999999</v>
      </c>
      <c r="G307" s="11">
        <f>6.5583 * CHOOSE(CONTROL!$C$32, $C$9, 100%, $E$9)</f>
        <v>6.5583</v>
      </c>
      <c r="H307" s="11">
        <f>10.2028 * CHOOSE(CONTROL!$C$32, $C$9, 100%, $E$9)</f>
        <v>10.2028</v>
      </c>
      <c r="I307" s="11">
        <f>10.2081 * CHOOSE(CONTROL!$C$32, $C$9, 100%, $E$9)</f>
        <v>10.2081</v>
      </c>
      <c r="J307" s="11">
        <f>10.2028 * CHOOSE(CONTROL!$C$32, $C$9, 100%, $E$9)</f>
        <v>10.2028</v>
      </c>
      <c r="K307" s="11">
        <f>10.2081 * CHOOSE(CONTROL!$C$32, $C$9, 100%, $E$9)</f>
        <v>10.2081</v>
      </c>
      <c r="L307" s="11">
        <f>6.553 * CHOOSE(CONTROL!$C$32, $C$9, 100%, $E$9)</f>
        <v>6.5529999999999999</v>
      </c>
      <c r="M307" s="11">
        <f>6.5583 * CHOOSE(CONTROL!$C$32, $C$9, 100%, $E$9)</f>
        <v>6.5583</v>
      </c>
      <c r="N307" s="11">
        <f>6.553 * CHOOSE(CONTROL!$C$32, $C$9, 100%, $E$9)</f>
        <v>6.5529999999999999</v>
      </c>
      <c r="O307" s="11">
        <f>6.5583 * CHOOSE(CONTROL!$C$32, $C$9, 100%, $E$9)</f>
        <v>6.5583</v>
      </c>
    </row>
    <row r="308" spans="1:15" ht="15" x14ac:dyDescent="0.2">
      <c r="A308" s="13">
        <v>50222</v>
      </c>
      <c r="B308" s="9">
        <f>4.9977 * CHOOSE(CONTROL!$C$32, $C$9, 100%, $E$9)</f>
        <v>4.9977</v>
      </c>
      <c r="C308" s="9">
        <f>4.9977 * CHOOSE(CONTROL!$C$32, $C$9, 100%, $E$9)</f>
        <v>4.9977</v>
      </c>
      <c r="D308" s="9">
        <f>4.9993 * CHOOSE(CONTROL!$C$32, $C$9, 100%, $E$9)</f>
        <v>4.9992999999999999</v>
      </c>
      <c r="E308" s="11">
        <f>6.6146 * CHOOSE(CONTROL!$C$32, $C$9, 100%, $E$9)</f>
        <v>6.6146000000000003</v>
      </c>
      <c r="F308" s="11">
        <f>6.6146 * CHOOSE(CONTROL!$C$32, $C$9, 100%, $E$9)</f>
        <v>6.6146000000000003</v>
      </c>
      <c r="G308" s="11">
        <f>6.6199 * CHOOSE(CONTROL!$C$32, $C$9, 100%, $E$9)</f>
        <v>6.6199000000000003</v>
      </c>
      <c r="H308" s="11">
        <f>10.2241 * CHOOSE(CONTROL!$C$32, $C$9, 100%, $E$9)</f>
        <v>10.2241</v>
      </c>
      <c r="I308" s="11">
        <f>10.2293 * CHOOSE(CONTROL!$C$32, $C$9, 100%, $E$9)</f>
        <v>10.2293</v>
      </c>
      <c r="J308" s="11">
        <f>10.2241 * CHOOSE(CONTROL!$C$32, $C$9, 100%, $E$9)</f>
        <v>10.2241</v>
      </c>
      <c r="K308" s="11">
        <f>10.2293 * CHOOSE(CONTROL!$C$32, $C$9, 100%, $E$9)</f>
        <v>10.2293</v>
      </c>
      <c r="L308" s="11">
        <f>6.6146 * CHOOSE(CONTROL!$C$32, $C$9, 100%, $E$9)</f>
        <v>6.6146000000000003</v>
      </c>
      <c r="M308" s="11">
        <f>6.6199 * CHOOSE(CONTROL!$C$32, $C$9, 100%, $E$9)</f>
        <v>6.6199000000000003</v>
      </c>
      <c r="N308" s="11">
        <f>6.6146 * CHOOSE(CONTROL!$C$32, $C$9, 100%, $E$9)</f>
        <v>6.6146000000000003</v>
      </c>
      <c r="O308" s="11">
        <f>6.6199 * CHOOSE(CONTROL!$C$32, $C$9, 100%, $E$9)</f>
        <v>6.6199000000000003</v>
      </c>
    </row>
    <row r="309" spans="1:15" ht="15" x14ac:dyDescent="0.2">
      <c r="A309" s="13">
        <v>50253</v>
      </c>
      <c r="B309" s="9">
        <f>5.0044 * CHOOSE(CONTROL!$C$32, $C$9, 100%, $E$9)</f>
        <v>5.0044000000000004</v>
      </c>
      <c r="C309" s="9">
        <f>5.0044 * CHOOSE(CONTROL!$C$32, $C$9, 100%, $E$9)</f>
        <v>5.0044000000000004</v>
      </c>
      <c r="D309" s="9">
        <f>5.006 * CHOOSE(CONTROL!$C$32, $C$9, 100%, $E$9)</f>
        <v>5.0060000000000002</v>
      </c>
      <c r="E309" s="11">
        <f>6.5198 * CHOOSE(CONTROL!$C$32, $C$9, 100%, $E$9)</f>
        <v>6.5198</v>
      </c>
      <c r="F309" s="11">
        <f>6.5198 * CHOOSE(CONTROL!$C$32, $C$9, 100%, $E$9)</f>
        <v>6.5198</v>
      </c>
      <c r="G309" s="11">
        <f>6.525 * CHOOSE(CONTROL!$C$32, $C$9, 100%, $E$9)</f>
        <v>6.5250000000000004</v>
      </c>
      <c r="H309" s="11">
        <f>10.2454 * CHOOSE(CONTROL!$C$32, $C$9, 100%, $E$9)</f>
        <v>10.2454</v>
      </c>
      <c r="I309" s="11">
        <f>10.2506 * CHOOSE(CONTROL!$C$32, $C$9, 100%, $E$9)</f>
        <v>10.2506</v>
      </c>
      <c r="J309" s="11">
        <f>10.2454 * CHOOSE(CONTROL!$C$32, $C$9, 100%, $E$9)</f>
        <v>10.2454</v>
      </c>
      <c r="K309" s="11">
        <f>10.2506 * CHOOSE(CONTROL!$C$32, $C$9, 100%, $E$9)</f>
        <v>10.2506</v>
      </c>
      <c r="L309" s="11">
        <f>6.5198 * CHOOSE(CONTROL!$C$32, $C$9, 100%, $E$9)</f>
        <v>6.5198</v>
      </c>
      <c r="M309" s="11">
        <f>6.525 * CHOOSE(CONTROL!$C$32, $C$9, 100%, $E$9)</f>
        <v>6.5250000000000004</v>
      </c>
      <c r="N309" s="11">
        <f>6.5198 * CHOOSE(CONTROL!$C$32, $C$9, 100%, $E$9)</f>
        <v>6.5198</v>
      </c>
      <c r="O309" s="11">
        <f>6.525 * CHOOSE(CONTROL!$C$32, $C$9, 100%, $E$9)</f>
        <v>6.5250000000000004</v>
      </c>
    </row>
    <row r="310" spans="1:15" ht="15" x14ac:dyDescent="0.2">
      <c r="A310" s="13">
        <v>50284</v>
      </c>
      <c r="B310" s="9">
        <f>5.0014 * CHOOSE(CONTROL!$C$32, $C$9, 100%, $E$9)</f>
        <v>5.0014000000000003</v>
      </c>
      <c r="C310" s="9">
        <f>5.0014 * CHOOSE(CONTROL!$C$32, $C$9, 100%, $E$9)</f>
        <v>5.0014000000000003</v>
      </c>
      <c r="D310" s="9">
        <f>5.003 * CHOOSE(CONTROL!$C$32, $C$9, 100%, $E$9)</f>
        <v>5.0030000000000001</v>
      </c>
      <c r="E310" s="11">
        <f>6.5066 * CHOOSE(CONTROL!$C$32, $C$9, 100%, $E$9)</f>
        <v>6.5065999999999997</v>
      </c>
      <c r="F310" s="11">
        <f>6.5066 * CHOOSE(CONTROL!$C$32, $C$9, 100%, $E$9)</f>
        <v>6.5065999999999997</v>
      </c>
      <c r="G310" s="11">
        <f>6.5119 * CHOOSE(CONTROL!$C$32, $C$9, 100%, $E$9)</f>
        <v>6.5118999999999998</v>
      </c>
      <c r="H310" s="11">
        <f>10.2667 * CHOOSE(CONTROL!$C$32, $C$9, 100%, $E$9)</f>
        <v>10.2667</v>
      </c>
      <c r="I310" s="11">
        <f>10.272 * CHOOSE(CONTROL!$C$32, $C$9, 100%, $E$9)</f>
        <v>10.272</v>
      </c>
      <c r="J310" s="11">
        <f>10.2667 * CHOOSE(CONTROL!$C$32, $C$9, 100%, $E$9)</f>
        <v>10.2667</v>
      </c>
      <c r="K310" s="11">
        <f>10.272 * CHOOSE(CONTROL!$C$32, $C$9, 100%, $E$9)</f>
        <v>10.272</v>
      </c>
      <c r="L310" s="11">
        <f>6.5066 * CHOOSE(CONTROL!$C$32, $C$9, 100%, $E$9)</f>
        <v>6.5065999999999997</v>
      </c>
      <c r="M310" s="11">
        <f>6.5119 * CHOOSE(CONTROL!$C$32, $C$9, 100%, $E$9)</f>
        <v>6.5118999999999998</v>
      </c>
      <c r="N310" s="11">
        <f>6.5066 * CHOOSE(CONTROL!$C$32, $C$9, 100%, $E$9)</f>
        <v>6.5065999999999997</v>
      </c>
      <c r="O310" s="11">
        <f>6.5119 * CHOOSE(CONTROL!$C$32, $C$9, 100%, $E$9)</f>
        <v>6.5118999999999998</v>
      </c>
    </row>
    <row r="311" spans="1:15" ht="15" x14ac:dyDescent="0.2">
      <c r="A311" s="13">
        <v>50314</v>
      </c>
      <c r="B311" s="9">
        <f>5.0002 * CHOOSE(CONTROL!$C$32, $C$9, 100%, $E$9)</f>
        <v>5.0002000000000004</v>
      </c>
      <c r="C311" s="9">
        <f>5.0002 * CHOOSE(CONTROL!$C$32, $C$9, 100%, $E$9)</f>
        <v>5.0002000000000004</v>
      </c>
      <c r="D311" s="9">
        <f>5.0012 * CHOOSE(CONTROL!$C$32, $C$9, 100%, $E$9)</f>
        <v>5.0011999999999999</v>
      </c>
      <c r="E311" s="11">
        <f>6.5374 * CHOOSE(CONTROL!$C$32, $C$9, 100%, $E$9)</f>
        <v>6.5373999999999999</v>
      </c>
      <c r="F311" s="11">
        <f>6.5374 * CHOOSE(CONTROL!$C$32, $C$9, 100%, $E$9)</f>
        <v>6.5373999999999999</v>
      </c>
      <c r="G311" s="11">
        <f>6.541 * CHOOSE(CONTROL!$C$32, $C$9, 100%, $E$9)</f>
        <v>6.5410000000000004</v>
      </c>
      <c r="H311" s="11">
        <f>10.2881 * CHOOSE(CONTROL!$C$32, $C$9, 100%, $E$9)</f>
        <v>10.2881</v>
      </c>
      <c r="I311" s="11">
        <f>10.2917 * CHOOSE(CONTROL!$C$32, $C$9, 100%, $E$9)</f>
        <v>10.291700000000001</v>
      </c>
      <c r="J311" s="11">
        <f>10.2881 * CHOOSE(CONTROL!$C$32, $C$9, 100%, $E$9)</f>
        <v>10.2881</v>
      </c>
      <c r="K311" s="11">
        <f>10.2917 * CHOOSE(CONTROL!$C$32, $C$9, 100%, $E$9)</f>
        <v>10.291700000000001</v>
      </c>
      <c r="L311" s="11">
        <f>6.5374 * CHOOSE(CONTROL!$C$32, $C$9, 100%, $E$9)</f>
        <v>6.5373999999999999</v>
      </c>
      <c r="M311" s="11">
        <f>6.541 * CHOOSE(CONTROL!$C$32, $C$9, 100%, $E$9)</f>
        <v>6.5410000000000004</v>
      </c>
      <c r="N311" s="11">
        <f>6.5374 * CHOOSE(CONTROL!$C$32, $C$9, 100%, $E$9)</f>
        <v>6.5373999999999999</v>
      </c>
      <c r="O311" s="11">
        <f>6.541 * CHOOSE(CONTROL!$C$32, $C$9, 100%, $E$9)</f>
        <v>6.5410000000000004</v>
      </c>
    </row>
    <row r="312" spans="1:15" ht="15" x14ac:dyDescent="0.2">
      <c r="A312" s="13">
        <v>50345</v>
      </c>
      <c r="B312" s="9">
        <f>5.0032 * CHOOSE(CONTROL!$C$32, $C$9, 100%, $E$9)</f>
        <v>5.0031999999999996</v>
      </c>
      <c r="C312" s="9">
        <f>5.0032 * CHOOSE(CONTROL!$C$32, $C$9, 100%, $E$9)</f>
        <v>5.0031999999999996</v>
      </c>
      <c r="D312" s="9">
        <f>5.0043 * CHOOSE(CONTROL!$C$32, $C$9, 100%, $E$9)</f>
        <v>5.0042999999999997</v>
      </c>
      <c r="E312" s="11">
        <f>6.5616 * CHOOSE(CONTROL!$C$32, $C$9, 100%, $E$9)</f>
        <v>6.5616000000000003</v>
      </c>
      <c r="F312" s="11">
        <f>6.5616 * CHOOSE(CONTROL!$C$32, $C$9, 100%, $E$9)</f>
        <v>6.5616000000000003</v>
      </c>
      <c r="G312" s="11">
        <f>6.5652 * CHOOSE(CONTROL!$C$32, $C$9, 100%, $E$9)</f>
        <v>6.5651999999999999</v>
      </c>
      <c r="H312" s="11">
        <f>10.3095 * CHOOSE(CONTROL!$C$32, $C$9, 100%, $E$9)</f>
        <v>10.3095</v>
      </c>
      <c r="I312" s="11">
        <f>10.3131 * CHOOSE(CONTROL!$C$32, $C$9, 100%, $E$9)</f>
        <v>10.3131</v>
      </c>
      <c r="J312" s="11">
        <f>10.3095 * CHOOSE(CONTROL!$C$32, $C$9, 100%, $E$9)</f>
        <v>10.3095</v>
      </c>
      <c r="K312" s="11">
        <f>10.3131 * CHOOSE(CONTROL!$C$32, $C$9, 100%, $E$9)</f>
        <v>10.3131</v>
      </c>
      <c r="L312" s="11">
        <f>6.5616 * CHOOSE(CONTROL!$C$32, $C$9, 100%, $E$9)</f>
        <v>6.5616000000000003</v>
      </c>
      <c r="M312" s="11">
        <f>6.5652 * CHOOSE(CONTROL!$C$32, $C$9, 100%, $E$9)</f>
        <v>6.5651999999999999</v>
      </c>
      <c r="N312" s="11">
        <f>6.5616 * CHOOSE(CONTROL!$C$32, $C$9, 100%, $E$9)</f>
        <v>6.5616000000000003</v>
      </c>
      <c r="O312" s="11">
        <f>6.5652 * CHOOSE(CONTROL!$C$32, $C$9, 100%, $E$9)</f>
        <v>6.5651999999999999</v>
      </c>
    </row>
    <row r="313" spans="1:15" ht="15" x14ac:dyDescent="0.2">
      <c r="A313" s="13">
        <v>50375</v>
      </c>
      <c r="B313" s="9">
        <f>5.0032 * CHOOSE(CONTROL!$C$32, $C$9, 100%, $E$9)</f>
        <v>5.0031999999999996</v>
      </c>
      <c r="C313" s="9">
        <f>5.0032 * CHOOSE(CONTROL!$C$32, $C$9, 100%, $E$9)</f>
        <v>5.0031999999999996</v>
      </c>
      <c r="D313" s="9">
        <f>5.0043 * CHOOSE(CONTROL!$C$32, $C$9, 100%, $E$9)</f>
        <v>5.0042999999999997</v>
      </c>
      <c r="E313" s="11">
        <f>6.5063 * CHOOSE(CONTROL!$C$32, $C$9, 100%, $E$9)</f>
        <v>6.5063000000000004</v>
      </c>
      <c r="F313" s="11">
        <f>6.5063 * CHOOSE(CONTROL!$C$32, $C$9, 100%, $E$9)</f>
        <v>6.5063000000000004</v>
      </c>
      <c r="G313" s="11">
        <f>6.51 * CHOOSE(CONTROL!$C$32, $C$9, 100%, $E$9)</f>
        <v>6.51</v>
      </c>
      <c r="H313" s="11">
        <f>10.331 * CHOOSE(CONTROL!$C$32, $C$9, 100%, $E$9)</f>
        <v>10.331</v>
      </c>
      <c r="I313" s="11">
        <f>10.3346 * CHOOSE(CONTROL!$C$32, $C$9, 100%, $E$9)</f>
        <v>10.3346</v>
      </c>
      <c r="J313" s="11">
        <f>10.331 * CHOOSE(CONTROL!$C$32, $C$9, 100%, $E$9)</f>
        <v>10.331</v>
      </c>
      <c r="K313" s="11">
        <f>10.3346 * CHOOSE(CONTROL!$C$32, $C$9, 100%, $E$9)</f>
        <v>10.3346</v>
      </c>
      <c r="L313" s="11">
        <f>6.5063 * CHOOSE(CONTROL!$C$32, $C$9, 100%, $E$9)</f>
        <v>6.5063000000000004</v>
      </c>
      <c r="M313" s="11">
        <f>6.51 * CHOOSE(CONTROL!$C$32, $C$9, 100%, $E$9)</f>
        <v>6.51</v>
      </c>
      <c r="N313" s="11">
        <f>6.5063 * CHOOSE(CONTROL!$C$32, $C$9, 100%, $E$9)</f>
        <v>6.5063000000000004</v>
      </c>
      <c r="O313" s="11">
        <f>6.51 * CHOOSE(CONTROL!$C$32, $C$9, 100%, $E$9)</f>
        <v>6.51</v>
      </c>
    </row>
    <row r="314" spans="1:15" ht="15" x14ac:dyDescent="0.2">
      <c r="A314" s="13">
        <v>50406</v>
      </c>
      <c r="B314" s="9">
        <f>5.043 * CHOOSE(CONTROL!$C$32, $C$9, 100%, $E$9)</f>
        <v>5.0430000000000001</v>
      </c>
      <c r="C314" s="9">
        <f>5.043 * CHOOSE(CONTROL!$C$32, $C$9, 100%, $E$9)</f>
        <v>5.0430000000000001</v>
      </c>
      <c r="D314" s="9">
        <f>5.044 * CHOOSE(CONTROL!$C$32, $C$9, 100%, $E$9)</f>
        <v>5.0439999999999996</v>
      </c>
      <c r="E314" s="11">
        <f>6.5545 * CHOOSE(CONTROL!$C$32, $C$9, 100%, $E$9)</f>
        <v>6.5545</v>
      </c>
      <c r="F314" s="11">
        <f>6.5545 * CHOOSE(CONTROL!$C$32, $C$9, 100%, $E$9)</f>
        <v>6.5545</v>
      </c>
      <c r="G314" s="11">
        <f>6.5582 * CHOOSE(CONTROL!$C$32, $C$9, 100%, $E$9)</f>
        <v>6.5582000000000003</v>
      </c>
      <c r="H314" s="11">
        <f>10.3525 * CHOOSE(CONTROL!$C$32, $C$9, 100%, $E$9)</f>
        <v>10.352499999999999</v>
      </c>
      <c r="I314" s="11">
        <f>10.3561 * CHOOSE(CONTROL!$C$32, $C$9, 100%, $E$9)</f>
        <v>10.3561</v>
      </c>
      <c r="J314" s="11">
        <f>10.3525 * CHOOSE(CONTROL!$C$32, $C$9, 100%, $E$9)</f>
        <v>10.352499999999999</v>
      </c>
      <c r="K314" s="11">
        <f>10.3561 * CHOOSE(CONTROL!$C$32, $C$9, 100%, $E$9)</f>
        <v>10.3561</v>
      </c>
      <c r="L314" s="11">
        <f>6.5545 * CHOOSE(CONTROL!$C$32, $C$9, 100%, $E$9)</f>
        <v>6.5545</v>
      </c>
      <c r="M314" s="11">
        <f>6.5582 * CHOOSE(CONTROL!$C$32, $C$9, 100%, $E$9)</f>
        <v>6.5582000000000003</v>
      </c>
      <c r="N314" s="11">
        <f>6.5545 * CHOOSE(CONTROL!$C$32, $C$9, 100%, $E$9)</f>
        <v>6.5545</v>
      </c>
      <c r="O314" s="11">
        <f>6.5582 * CHOOSE(CONTROL!$C$32, $C$9, 100%, $E$9)</f>
        <v>6.5582000000000003</v>
      </c>
    </row>
    <row r="315" spans="1:15" ht="15" x14ac:dyDescent="0.2">
      <c r="A315" s="13">
        <v>50437</v>
      </c>
      <c r="B315" s="9">
        <f>5.0399 * CHOOSE(CONTROL!$C$32, $C$9, 100%, $E$9)</f>
        <v>5.0399000000000003</v>
      </c>
      <c r="C315" s="9">
        <f>5.0399 * CHOOSE(CONTROL!$C$32, $C$9, 100%, $E$9)</f>
        <v>5.0399000000000003</v>
      </c>
      <c r="D315" s="9">
        <f>5.041 * CHOOSE(CONTROL!$C$32, $C$9, 100%, $E$9)</f>
        <v>5.0410000000000004</v>
      </c>
      <c r="E315" s="11">
        <f>6.4445 * CHOOSE(CONTROL!$C$32, $C$9, 100%, $E$9)</f>
        <v>6.4444999999999997</v>
      </c>
      <c r="F315" s="11">
        <f>6.4445 * CHOOSE(CONTROL!$C$32, $C$9, 100%, $E$9)</f>
        <v>6.4444999999999997</v>
      </c>
      <c r="G315" s="11">
        <f>6.4481 * CHOOSE(CONTROL!$C$32, $C$9, 100%, $E$9)</f>
        <v>6.4481000000000002</v>
      </c>
      <c r="H315" s="11">
        <f>10.3741 * CHOOSE(CONTROL!$C$32, $C$9, 100%, $E$9)</f>
        <v>10.3741</v>
      </c>
      <c r="I315" s="11">
        <f>10.3777 * CHOOSE(CONTROL!$C$32, $C$9, 100%, $E$9)</f>
        <v>10.377700000000001</v>
      </c>
      <c r="J315" s="11">
        <f>10.3741 * CHOOSE(CONTROL!$C$32, $C$9, 100%, $E$9)</f>
        <v>10.3741</v>
      </c>
      <c r="K315" s="11">
        <f>10.3777 * CHOOSE(CONTROL!$C$32, $C$9, 100%, $E$9)</f>
        <v>10.377700000000001</v>
      </c>
      <c r="L315" s="11">
        <f>6.4445 * CHOOSE(CONTROL!$C$32, $C$9, 100%, $E$9)</f>
        <v>6.4444999999999997</v>
      </c>
      <c r="M315" s="11">
        <f>6.4481 * CHOOSE(CONTROL!$C$32, $C$9, 100%, $E$9)</f>
        <v>6.4481000000000002</v>
      </c>
      <c r="N315" s="11">
        <f>6.4445 * CHOOSE(CONTROL!$C$32, $C$9, 100%, $E$9)</f>
        <v>6.4444999999999997</v>
      </c>
      <c r="O315" s="11">
        <f>6.4481 * CHOOSE(CONTROL!$C$32, $C$9, 100%, $E$9)</f>
        <v>6.4481000000000002</v>
      </c>
    </row>
    <row r="316" spans="1:15" ht="15" x14ac:dyDescent="0.2">
      <c r="A316" s="13">
        <v>50465</v>
      </c>
      <c r="B316" s="9">
        <f>5.0369 * CHOOSE(CONTROL!$C$32, $C$9, 100%, $E$9)</f>
        <v>5.0369000000000002</v>
      </c>
      <c r="C316" s="9">
        <f>5.0369 * CHOOSE(CONTROL!$C$32, $C$9, 100%, $E$9)</f>
        <v>5.0369000000000002</v>
      </c>
      <c r="D316" s="9">
        <f>5.038 * CHOOSE(CONTROL!$C$32, $C$9, 100%, $E$9)</f>
        <v>5.0380000000000003</v>
      </c>
      <c r="E316" s="11">
        <f>6.5275 * CHOOSE(CONTROL!$C$32, $C$9, 100%, $E$9)</f>
        <v>6.5274999999999999</v>
      </c>
      <c r="F316" s="11">
        <f>6.5275 * CHOOSE(CONTROL!$C$32, $C$9, 100%, $E$9)</f>
        <v>6.5274999999999999</v>
      </c>
      <c r="G316" s="11">
        <f>6.5311 * CHOOSE(CONTROL!$C$32, $C$9, 100%, $E$9)</f>
        <v>6.5311000000000003</v>
      </c>
      <c r="H316" s="11">
        <f>10.3957 * CHOOSE(CONTROL!$C$32, $C$9, 100%, $E$9)</f>
        <v>10.3957</v>
      </c>
      <c r="I316" s="11">
        <f>10.3993 * CHOOSE(CONTROL!$C$32, $C$9, 100%, $E$9)</f>
        <v>10.3993</v>
      </c>
      <c r="J316" s="11">
        <f>10.3957 * CHOOSE(CONTROL!$C$32, $C$9, 100%, $E$9)</f>
        <v>10.3957</v>
      </c>
      <c r="K316" s="11">
        <f>10.3993 * CHOOSE(CONTROL!$C$32, $C$9, 100%, $E$9)</f>
        <v>10.3993</v>
      </c>
      <c r="L316" s="11">
        <f>6.5275 * CHOOSE(CONTROL!$C$32, $C$9, 100%, $E$9)</f>
        <v>6.5274999999999999</v>
      </c>
      <c r="M316" s="11">
        <f>6.5311 * CHOOSE(CONTROL!$C$32, $C$9, 100%, $E$9)</f>
        <v>6.5311000000000003</v>
      </c>
      <c r="N316" s="11">
        <f>6.5275 * CHOOSE(CONTROL!$C$32, $C$9, 100%, $E$9)</f>
        <v>6.5274999999999999</v>
      </c>
      <c r="O316" s="11">
        <f>6.5311 * CHOOSE(CONTROL!$C$32, $C$9, 100%, $E$9)</f>
        <v>6.5311000000000003</v>
      </c>
    </row>
    <row r="317" spans="1:15" ht="15" x14ac:dyDescent="0.2">
      <c r="A317" s="13">
        <v>50496</v>
      </c>
      <c r="B317" s="9">
        <f>5.0356 * CHOOSE(CONTROL!$C$32, $C$9, 100%, $E$9)</f>
        <v>5.0355999999999996</v>
      </c>
      <c r="C317" s="9">
        <f>5.0356 * CHOOSE(CONTROL!$C$32, $C$9, 100%, $E$9)</f>
        <v>5.0355999999999996</v>
      </c>
      <c r="D317" s="9">
        <f>5.0366 * CHOOSE(CONTROL!$C$32, $C$9, 100%, $E$9)</f>
        <v>5.0366</v>
      </c>
      <c r="E317" s="11">
        <f>6.6146 * CHOOSE(CONTROL!$C$32, $C$9, 100%, $E$9)</f>
        <v>6.6146000000000003</v>
      </c>
      <c r="F317" s="11">
        <f>6.6146 * CHOOSE(CONTROL!$C$32, $C$9, 100%, $E$9)</f>
        <v>6.6146000000000003</v>
      </c>
      <c r="G317" s="11">
        <f>6.6182 * CHOOSE(CONTROL!$C$32, $C$9, 100%, $E$9)</f>
        <v>6.6181999999999999</v>
      </c>
      <c r="H317" s="11">
        <f>10.4174 * CHOOSE(CONTROL!$C$32, $C$9, 100%, $E$9)</f>
        <v>10.417400000000001</v>
      </c>
      <c r="I317" s="11">
        <f>10.421 * CHOOSE(CONTROL!$C$32, $C$9, 100%, $E$9)</f>
        <v>10.420999999999999</v>
      </c>
      <c r="J317" s="11">
        <f>10.4174 * CHOOSE(CONTROL!$C$32, $C$9, 100%, $E$9)</f>
        <v>10.417400000000001</v>
      </c>
      <c r="K317" s="11">
        <f>10.421 * CHOOSE(CONTROL!$C$32, $C$9, 100%, $E$9)</f>
        <v>10.420999999999999</v>
      </c>
      <c r="L317" s="11">
        <f>6.6146 * CHOOSE(CONTROL!$C$32, $C$9, 100%, $E$9)</f>
        <v>6.6146000000000003</v>
      </c>
      <c r="M317" s="11">
        <f>6.6182 * CHOOSE(CONTROL!$C$32, $C$9, 100%, $E$9)</f>
        <v>6.6181999999999999</v>
      </c>
      <c r="N317" s="11">
        <f>6.6146 * CHOOSE(CONTROL!$C$32, $C$9, 100%, $E$9)</f>
        <v>6.6146000000000003</v>
      </c>
      <c r="O317" s="11">
        <f>6.6182 * CHOOSE(CONTROL!$C$32, $C$9, 100%, $E$9)</f>
        <v>6.6181999999999999</v>
      </c>
    </row>
    <row r="318" spans="1:15" ht="15" x14ac:dyDescent="0.2">
      <c r="A318" s="13">
        <v>50526</v>
      </c>
      <c r="B318" s="9">
        <f>5.0356 * CHOOSE(CONTROL!$C$32, $C$9, 100%, $E$9)</f>
        <v>5.0355999999999996</v>
      </c>
      <c r="C318" s="9">
        <f>5.0356 * CHOOSE(CONTROL!$C$32, $C$9, 100%, $E$9)</f>
        <v>5.0355999999999996</v>
      </c>
      <c r="D318" s="9">
        <f>5.0371 * CHOOSE(CONTROL!$C$32, $C$9, 100%, $E$9)</f>
        <v>5.0370999999999997</v>
      </c>
      <c r="E318" s="11">
        <f>6.6488 * CHOOSE(CONTROL!$C$32, $C$9, 100%, $E$9)</f>
        <v>6.6487999999999996</v>
      </c>
      <c r="F318" s="11">
        <f>6.6488 * CHOOSE(CONTROL!$C$32, $C$9, 100%, $E$9)</f>
        <v>6.6487999999999996</v>
      </c>
      <c r="G318" s="11">
        <f>6.6541 * CHOOSE(CONTROL!$C$32, $C$9, 100%, $E$9)</f>
        <v>6.6540999999999997</v>
      </c>
      <c r="H318" s="11">
        <f>10.4391 * CHOOSE(CONTROL!$C$32, $C$9, 100%, $E$9)</f>
        <v>10.4391</v>
      </c>
      <c r="I318" s="11">
        <f>10.4444 * CHOOSE(CONTROL!$C$32, $C$9, 100%, $E$9)</f>
        <v>10.4444</v>
      </c>
      <c r="J318" s="11">
        <f>10.4391 * CHOOSE(CONTROL!$C$32, $C$9, 100%, $E$9)</f>
        <v>10.4391</v>
      </c>
      <c r="K318" s="11">
        <f>10.4444 * CHOOSE(CONTROL!$C$32, $C$9, 100%, $E$9)</f>
        <v>10.4444</v>
      </c>
      <c r="L318" s="11">
        <f>6.6488 * CHOOSE(CONTROL!$C$32, $C$9, 100%, $E$9)</f>
        <v>6.6487999999999996</v>
      </c>
      <c r="M318" s="11">
        <f>6.6541 * CHOOSE(CONTROL!$C$32, $C$9, 100%, $E$9)</f>
        <v>6.6540999999999997</v>
      </c>
      <c r="N318" s="11">
        <f>6.6488 * CHOOSE(CONTROL!$C$32, $C$9, 100%, $E$9)</f>
        <v>6.6487999999999996</v>
      </c>
      <c r="O318" s="11">
        <f>6.6541 * CHOOSE(CONTROL!$C$32, $C$9, 100%, $E$9)</f>
        <v>6.6540999999999997</v>
      </c>
    </row>
    <row r="319" spans="1:15" ht="15" x14ac:dyDescent="0.2">
      <c r="A319" s="13">
        <v>50557</v>
      </c>
      <c r="B319" s="9">
        <f>5.0416 * CHOOSE(CONTROL!$C$32, $C$9, 100%, $E$9)</f>
        <v>5.0415999999999999</v>
      </c>
      <c r="C319" s="9">
        <f>5.0416 * CHOOSE(CONTROL!$C$32, $C$9, 100%, $E$9)</f>
        <v>5.0415999999999999</v>
      </c>
      <c r="D319" s="9">
        <f>5.0432 * CHOOSE(CONTROL!$C$32, $C$9, 100%, $E$9)</f>
        <v>5.0431999999999997</v>
      </c>
      <c r="E319" s="11">
        <f>6.6188 * CHOOSE(CONTROL!$C$32, $C$9, 100%, $E$9)</f>
        <v>6.6188000000000002</v>
      </c>
      <c r="F319" s="11">
        <f>6.6188 * CHOOSE(CONTROL!$C$32, $C$9, 100%, $E$9)</f>
        <v>6.6188000000000002</v>
      </c>
      <c r="G319" s="11">
        <f>6.6241 * CHOOSE(CONTROL!$C$32, $C$9, 100%, $E$9)</f>
        <v>6.6241000000000003</v>
      </c>
      <c r="H319" s="11">
        <f>10.4608 * CHOOSE(CONTROL!$C$32, $C$9, 100%, $E$9)</f>
        <v>10.460800000000001</v>
      </c>
      <c r="I319" s="11">
        <f>10.4661 * CHOOSE(CONTROL!$C$32, $C$9, 100%, $E$9)</f>
        <v>10.466100000000001</v>
      </c>
      <c r="J319" s="11">
        <f>10.4608 * CHOOSE(CONTROL!$C$32, $C$9, 100%, $E$9)</f>
        <v>10.460800000000001</v>
      </c>
      <c r="K319" s="11">
        <f>10.4661 * CHOOSE(CONTROL!$C$32, $C$9, 100%, $E$9)</f>
        <v>10.466100000000001</v>
      </c>
      <c r="L319" s="11">
        <f>6.6188 * CHOOSE(CONTROL!$C$32, $C$9, 100%, $E$9)</f>
        <v>6.6188000000000002</v>
      </c>
      <c r="M319" s="11">
        <f>6.6241 * CHOOSE(CONTROL!$C$32, $C$9, 100%, $E$9)</f>
        <v>6.6241000000000003</v>
      </c>
      <c r="N319" s="11">
        <f>6.6188 * CHOOSE(CONTROL!$C$32, $C$9, 100%, $E$9)</f>
        <v>6.6188000000000002</v>
      </c>
      <c r="O319" s="11">
        <f>6.6241 * CHOOSE(CONTROL!$C$32, $C$9, 100%, $E$9)</f>
        <v>6.6241000000000003</v>
      </c>
    </row>
    <row r="320" spans="1:15" ht="15" x14ac:dyDescent="0.2">
      <c r="A320" s="13">
        <v>50587</v>
      </c>
      <c r="B320" s="9">
        <f>5.1131 * CHOOSE(CONTROL!$C$32, $C$9, 100%, $E$9)</f>
        <v>5.1131000000000002</v>
      </c>
      <c r="C320" s="9">
        <f>5.1131 * CHOOSE(CONTROL!$C$32, $C$9, 100%, $E$9)</f>
        <v>5.1131000000000002</v>
      </c>
      <c r="D320" s="9">
        <f>5.1147 * CHOOSE(CONTROL!$C$32, $C$9, 100%, $E$9)</f>
        <v>5.1147</v>
      </c>
      <c r="E320" s="11">
        <f>6.6086 * CHOOSE(CONTROL!$C$32, $C$9, 100%, $E$9)</f>
        <v>6.6086</v>
      </c>
      <c r="F320" s="11">
        <f>6.6086 * CHOOSE(CONTROL!$C$32, $C$9, 100%, $E$9)</f>
        <v>6.6086</v>
      </c>
      <c r="G320" s="11">
        <f>6.6139 * CHOOSE(CONTROL!$C$32, $C$9, 100%, $E$9)</f>
        <v>6.6139000000000001</v>
      </c>
      <c r="H320" s="11">
        <f>10.4826 * CHOOSE(CONTROL!$C$32, $C$9, 100%, $E$9)</f>
        <v>10.4826</v>
      </c>
      <c r="I320" s="11">
        <f>10.4879 * CHOOSE(CONTROL!$C$32, $C$9, 100%, $E$9)</f>
        <v>10.4879</v>
      </c>
      <c r="J320" s="11">
        <f>10.4826 * CHOOSE(CONTROL!$C$32, $C$9, 100%, $E$9)</f>
        <v>10.4826</v>
      </c>
      <c r="K320" s="11">
        <f>10.4879 * CHOOSE(CONTROL!$C$32, $C$9, 100%, $E$9)</f>
        <v>10.4879</v>
      </c>
      <c r="L320" s="11">
        <f>6.6086 * CHOOSE(CONTROL!$C$32, $C$9, 100%, $E$9)</f>
        <v>6.6086</v>
      </c>
      <c r="M320" s="11">
        <f>6.6139 * CHOOSE(CONTROL!$C$32, $C$9, 100%, $E$9)</f>
        <v>6.6139000000000001</v>
      </c>
      <c r="N320" s="11">
        <f>6.6086 * CHOOSE(CONTROL!$C$32, $C$9, 100%, $E$9)</f>
        <v>6.6086</v>
      </c>
      <c r="O320" s="11">
        <f>6.6139 * CHOOSE(CONTROL!$C$32, $C$9, 100%, $E$9)</f>
        <v>6.6139000000000001</v>
      </c>
    </row>
    <row r="321" spans="1:15" ht="15" x14ac:dyDescent="0.2">
      <c r="A321" s="13">
        <v>50618</v>
      </c>
      <c r="B321" s="9">
        <f>5.1198 * CHOOSE(CONTROL!$C$32, $C$9, 100%, $E$9)</f>
        <v>5.1197999999999997</v>
      </c>
      <c r="C321" s="9">
        <f>5.1198 * CHOOSE(CONTROL!$C$32, $C$9, 100%, $E$9)</f>
        <v>5.1197999999999997</v>
      </c>
      <c r="D321" s="9">
        <f>5.1214 * CHOOSE(CONTROL!$C$32, $C$9, 100%, $E$9)</f>
        <v>5.1214000000000004</v>
      </c>
      <c r="E321" s="11">
        <f>6.5105 * CHOOSE(CONTROL!$C$32, $C$9, 100%, $E$9)</f>
        <v>6.5105000000000004</v>
      </c>
      <c r="F321" s="11">
        <f>6.5105 * CHOOSE(CONTROL!$C$32, $C$9, 100%, $E$9)</f>
        <v>6.5105000000000004</v>
      </c>
      <c r="G321" s="11">
        <f>6.5158 * CHOOSE(CONTROL!$C$32, $C$9, 100%, $E$9)</f>
        <v>6.5157999999999996</v>
      </c>
      <c r="H321" s="11">
        <f>10.5044 * CHOOSE(CONTROL!$C$32, $C$9, 100%, $E$9)</f>
        <v>10.5044</v>
      </c>
      <c r="I321" s="11">
        <f>10.5097 * CHOOSE(CONTROL!$C$32, $C$9, 100%, $E$9)</f>
        <v>10.5097</v>
      </c>
      <c r="J321" s="11">
        <f>10.5044 * CHOOSE(CONTROL!$C$32, $C$9, 100%, $E$9)</f>
        <v>10.5044</v>
      </c>
      <c r="K321" s="11">
        <f>10.5097 * CHOOSE(CONTROL!$C$32, $C$9, 100%, $E$9)</f>
        <v>10.5097</v>
      </c>
      <c r="L321" s="11">
        <f>6.5105 * CHOOSE(CONTROL!$C$32, $C$9, 100%, $E$9)</f>
        <v>6.5105000000000004</v>
      </c>
      <c r="M321" s="11">
        <f>6.5158 * CHOOSE(CONTROL!$C$32, $C$9, 100%, $E$9)</f>
        <v>6.5157999999999996</v>
      </c>
      <c r="N321" s="11">
        <f>6.5105 * CHOOSE(CONTROL!$C$32, $C$9, 100%, $E$9)</f>
        <v>6.5105000000000004</v>
      </c>
      <c r="O321" s="11">
        <f>6.5158 * CHOOSE(CONTROL!$C$32, $C$9, 100%, $E$9)</f>
        <v>6.5157999999999996</v>
      </c>
    </row>
    <row r="322" spans="1:15" ht="15" x14ac:dyDescent="0.2">
      <c r="A322" s="13">
        <v>50649</v>
      </c>
      <c r="B322" s="9">
        <f>5.1167 * CHOOSE(CONTROL!$C$32, $C$9, 100%, $E$9)</f>
        <v>5.1166999999999998</v>
      </c>
      <c r="C322" s="9">
        <f>5.1167 * CHOOSE(CONTROL!$C$32, $C$9, 100%, $E$9)</f>
        <v>5.1166999999999998</v>
      </c>
      <c r="D322" s="9">
        <f>5.1183 * CHOOSE(CONTROL!$C$32, $C$9, 100%, $E$9)</f>
        <v>5.1182999999999996</v>
      </c>
      <c r="E322" s="11">
        <f>6.4969 * CHOOSE(CONTROL!$C$32, $C$9, 100%, $E$9)</f>
        <v>6.4969000000000001</v>
      </c>
      <c r="F322" s="11">
        <f>6.4969 * CHOOSE(CONTROL!$C$32, $C$9, 100%, $E$9)</f>
        <v>6.4969000000000001</v>
      </c>
      <c r="G322" s="11">
        <f>6.5022 * CHOOSE(CONTROL!$C$32, $C$9, 100%, $E$9)</f>
        <v>6.5022000000000002</v>
      </c>
      <c r="H322" s="11">
        <f>10.5263 * CHOOSE(CONTROL!$C$32, $C$9, 100%, $E$9)</f>
        <v>10.526300000000001</v>
      </c>
      <c r="I322" s="11">
        <f>10.5316 * CHOOSE(CONTROL!$C$32, $C$9, 100%, $E$9)</f>
        <v>10.531599999999999</v>
      </c>
      <c r="J322" s="11">
        <f>10.5263 * CHOOSE(CONTROL!$C$32, $C$9, 100%, $E$9)</f>
        <v>10.526300000000001</v>
      </c>
      <c r="K322" s="11">
        <f>10.5316 * CHOOSE(CONTROL!$C$32, $C$9, 100%, $E$9)</f>
        <v>10.531599999999999</v>
      </c>
      <c r="L322" s="11">
        <f>6.4969 * CHOOSE(CONTROL!$C$32, $C$9, 100%, $E$9)</f>
        <v>6.4969000000000001</v>
      </c>
      <c r="M322" s="11">
        <f>6.5022 * CHOOSE(CONTROL!$C$32, $C$9, 100%, $E$9)</f>
        <v>6.5022000000000002</v>
      </c>
      <c r="N322" s="11">
        <f>6.4969 * CHOOSE(CONTROL!$C$32, $C$9, 100%, $E$9)</f>
        <v>6.4969000000000001</v>
      </c>
      <c r="O322" s="11">
        <f>6.5022 * CHOOSE(CONTROL!$C$32, $C$9, 100%, $E$9)</f>
        <v>6.5022000000000002</v>
      </c>
    </row>
    <row r="323" spans="1:15" ht="15" x14ac:dyDescent="0.2">
      <c r="A323" s="13">
        <v>50679</v>
      </c>
      <c r="B323" s="9">
        <f>5.1159 * CHOOSE(CONTROL!$C$32, $C$9, 100%, $E$9)</f>
        <v>5.1158999999999999</v>
      </c>
      <c r="C323" s="9">
        <f>5.1159 * CHOOSE(CONTROL!$C$32, $C$9, 100%, $E$9)</f>
        <v>5.1158999999999999</v>
      </c>
      <c r="D323" s="9">
        <f>5.117 * CHOOSE(CONTROL!$C$32, $C$9, 100%, $E$9)</f>
        <v>5.117</v>
      </c>
      <c r="E323" s="11">
        <f>6.5292 * CHOOSE(CONTROL!$C$32, $C$9, 100%, $E$9)</f>
        <v>6.5292000000000003</v>
      </c>
      <c r="F323" s="11">
        <f>6.5292 * CHOOSE(CONTROL!$C$32, $C$9, 100%, $E$9)</f>
        <v>6.5292000000000003</v>
      </c>
      <c r="G323" s="11">
        <f>6.5328 * CHOOSE(CONTROL!$C$32, $C$9, 100%, $E$9)</f>
        <v>6.5327999999999999</v>
      </c>
      <c r="H323" s="11">
        <f>10.5483 * CHOOSE(CONTROL!$C$32, $C$9, 100%, $E$9)</f>
        <v>10.548299999999999</v>
      </c>
      <c r="I323" s="11">
        <f>10.5519 * CHOOSE(CONTROL!$C$32, $C$9, 100%, $E$9)</f>
        <v>10.5519</v>
      </c>
      <c r="J323" s="11">
        <f>10.5483 * CHOOSE(CONTROL!$C$32, $C$9, 100%, $E$9)</f>
        <v>10.548299999999999</v>
      </c>
      <c r="K323" s="11">
        <f>10.5519 * CHOOSE(CONTROL!$C$32, $C$9, 100%, $E$9)</f>
        <v>10.5519</v>
      </c>
      <c r="L323" s="11">
        <f>6.5292 * CHOOSE(CONTROL!$C$32, $C$9, 100%, $E$9)</f>
        <v>6.5292000000000003</v>
      </c>
      <c r="M323" s="11">
        <f>6.5328 * CHOOSE(CONTROL!$C$32, $C$9, 100%, $E$9)</f>
        <v>6.5327999999999999</v>
      </c>
      <c r="N323" s="11">
        <f>6.5292 * CHOOSE(CONTROL!$C$32, $C$9, 100%, $E$9)</f>
        <v>6.5292000000000003</v>
      </c>
      <c r="O323" s="11">
        <f>6.5328 * CHOOSE(CONTROL!$C$32, $C$9, 100%, $E$9)</f>
        <v>6.5327999999999999</v>
      </c>
    </row>
    <row r="324" spans="1:15" ht="15" x14ac:dyDescent="0.2">
      <c r="A324" s="13">
        <v>50710</v>
      </c>
      <c r="B324" s="9">
        <f>5.119 * CHOOSE(CONTROL!$C$32, $C$9, 100%, $E$9)</f>
        <v>5.1189999999999998</v>
      </c>
      <c r="C324" s="9">
        <f>5.119 * CHOOSE(CONTROL!$C$32, $C$9, 100%, $E$9)</f>
        <v>5.1189999999999998</v>
      </c>
      <c r="D324" s="9">
        <f>5.1201 * CHOOSE(CONTROL!$C$32, $C$9, 100%, $E$9)</f>
        <v>5.1200999999999999</v>
      </c>
      <c r="E324" s="11">
        <f>6.5541 * CHOOSE(CONTROL!$C$32, $C$9, 100%, $E$9)</f>
        <v>6.5541</v>
      </c>
      <c r="F324" s="11">
        <f>6.5541 * CHOOSE(CONTROL!$C$32, $C$9, 100%, $E$9)</f>
        <v>6.5541</v>
      </c>
      <c r="G324" s="11">
        <f>6.5578 * CHOOSE(CONTROL!$C$32, $C$9, 100%, $E$9)</f>
        <v>6.5578000000000003</v>
      </c>
      <c r="H324" s="11">
        <f>10.5702 * CHOOSE(CONTROL!$C$32, $C$9, 100%, $E$9)</f>
        <v>10.5702</v>
      </c>
      <c r="I324" s="11">
        <f>10.5738 * CHOOSE(CONTROL!$C$32, $C$9, 100%, $E$9)</f>
        <v>10.5738</v>
      </c>
      <c r="J324" s="11">
        <f>10.5702 * CHOOSE(CONTROL!$C$32, $C$9, 100%, $E$9)</f>
        <v>10.5702</v>
      </c>
      <c r="K324" s="11">
        <f>10.5738 * CHOOSE(CONTROL!$C$32, $C$9, 100%, $E$9)</f>
        <v>10.5738</v>
      </c>
      <c r="L324" s="11">
        <f>6.5541 * CHOOSE(CONTROL!$C$32, $C$9, 100%, $E$9)</f>
        <v>6.5541</v>
      </c>
      <c r="M324" s="11">
        <f>6.5578 * CHOOSE(CONTROL!$C$32, $C$9, 100%, $E$9)</f>
        <v>6.5578000000000003</v>
      </c>
      <c r="N324" s="11">
        <f>6.5541 * CHOOSE(CONTROL!$C$32, $C$9, 100%, $E$9)</f>
        <v>6.5541</v>
      </c>
      <c r="O324" s="11">
        <f>6.5578 * CHOOSE(CONTROL!$C$32, $C$9, 100%, $E$9)</f>
        <v>6.5578000000000003</v>
      </c>
    </row>
    <row r="325" spans="1:15" ht="15" x14ac:dyDescent="0.2">
      <c r="A325" s="13">
        <v>50740</v>
      </c>
      <c r="B325" s="9">
        <f>5.119 * CHOOSE(CONTROL!$C$32, $C$9, 100%, $E$9)</f>
        <v>5.1189999999999998</v>
      </c>
      <c r="C325" s="9">
        <f>5.119 * CHOOSE(CONTROL!$C$32, $C$9, 100%, $E$9)</f>
        <v>5.1189999999999998</v>
      </c>
      <c r="D325" s="9">
        <f>5.1201 * CHOOSE(CONTROL!$C$32, $C$9, 100%, $E$9)</f>
        <v>5.1200999999999999</v>
      </c>
      <c r="E325" s="11">
        <f>6.533 * CHOOSE(CONTROL!$C$32, $C$9, 100%, $E$9)</f>
        <v>6.5330000000000004</v>
      </c>
      <c r="F325" s="11">
        <f>6.533 * CHOOSE(CONTROL!$C$32, $C$9, 100%, $E$9)</f>
        <v>6.5330000000000004</v>
      </c>
      <c r="G325" s="11">
        <f>6.5367 * CHOOSE(CONTROL!$C$32, $C$9, 100%, $E$9)</f>
        <v>6.5366999999999997</v>
      </c>
      <c r="H325" s="11">
        <f>10.5923 * CHOOSE(CONTROL!$C$32, $C$9, 100%, $E$9)</f>
        <v>10.5923</v>
      </c>
      <c r="I325" s="11">
        <f>10.5959 * CHOOSE(CONTROL!$C$32, $C$9, 100%, $E$9)</f>
        <v>10.5959</v>
      </c>
      <c r="J325" s="11">
        <f>10.5923 * CHOOSE(CONTROL!$C$32, $C$9, 100%, $E$9)</f>
        <v>10.5923</v>
      </c>
      <c r="K325" s="11">
        <f>10.5959 * CHOOSE(CONTROL!$C$32, $C$9, 100%, $E$9)</f>
        <v>10.5959</v>
      </c>
      <c r="L325" s="11">
        <f>6.533 * CHOOSE(CONTROL!$C$32, $C$9, 100%, $E$9)</f>
        <v>6.5330000000000004</v>
      </c>
      <c r="M325" s="11">
        <f>6.5367 * CHOOSE(CONTROL!$C$32, $C$9, 100%, $E$9)</f>
        <v>6.5366999999999997</v>
      </c>
      <c r="N325" s="11">
        <f>6.533 * CHOOSE(CONTROL!$C$32, $C$9, 100%, $E$9)</f>
        <v>6.5330000000000004</v>
      </c>
      <c r="O325" s="11">
        <f>6.5367 * CHOOSE(CONTROL!$C$32, $C$9, 100%, $E$9)</f>
        <v>6.5366999999999997</v>
      </c>
    </row>
    <row r="326" spans="1:15" ht="15" x14ac:dyDescent="0.2">
      <c r="A326" s="13">
        <v>50771</v>
      </c>
      <c r="B326" s="9">
        <f>5.1575 * CHOOSE(CONTROL!$C$32, $C$9, 100%, $E$9)</f>
        <v>5.1574999999999998</v>
      </c>
      <c r="C326" s="9">
        <f>5.1575 * CHOOSE(CONTROL!$C$32, $C$9, 100%, $E$9)</f>
        <v>5.1574999999999998</v>
      </c>
      <c r="D326" s="9">
        <f>5.1586 * CHOOSE(CONTROL!$C$32, $C$9, 100%, $E$9)</f>
        <v>5.1585999999999999</v>
      </c>
      <c r="E326" s="11">
        <f>6.5634 * CHOOSE(CONTROL!$C$32, $C$9, 100%, $E$9)</f>
        <v>6.5633999999999997</v>
      </c>
      <c r="F326" s="11">
        <f>6.5634 * CHOOSE(CONTROL!$C$32, $C$9, 100%, $E$9)</f>
        <v>6.5633999999999997</v>
      </c>
      <c r="G326" s="11">
        <f>6.567 * CHOOSE(CONTROL!$C$32, $C$9, 100%, $E$9)</f>
        <v>6.5670000000000002</v>
      </c>
      <c r="H326" s="11">
        <f>10.6143 * CHOOSE(CONTROL!$C$32, $C$9, 100%, $E$9)</f>
        <v>10.6143</v>
      </c>
      <c r="I326" s="11">
        <f>10.6179 * CHOOSE(CONTROL!$C$32, $C$9, 100%, $E$9)</f>
        <v>10.617900000000001</v>
      </c>
      <c r="J326" s="11">
        <f>10.6143 * CHOOSE(CONTROL!$C$32, $C$9, 100%, $E$9)</f>
        <v>10.6143</v>
      </c>
      <c r="K326" s="11">
        <f>10.6179 * CHOOSE(CONTROL!$C$32, $C$9, 100%, $E$9)</f>
        <v>10.617900000000001</v>
      </c>
      <c r="L326" s="11">
        <f>6.5634 * CHOOSE(CONTROL!$C$32, $C$9, 100%, $E$9)</f>
        <v>6.5633999999999997</v>
      </c>
      <c r="M326" s="11">
        <f>6.567 * CHOOSE(CONTROL!$C$32, $C$9, 100%, $E$9)</f>
        <v>6.5670000000000002</v>
      </c>
      <c r="N326" s="11">
        <f>6.5634 * CHOOSE(CONTROL!$C$32, $C$9, 100%, $E$9)</f>
        <v>6.5633999999999997</v>
      </c>
      <c r="O326" s="11">
        <f>6.567 * CHOOSE(CONTROL!$C$32, $C$9, 100%, $E$9)</f>
        <v>6.5670000000000002</v>
      </c>
    </row>
    <row r="327" spans="1:15" ht="15" x14ac:dyDescent="0.2">
      <c r="A327" s="13">
        <v>50802</v>
      </c>
      <c r="B327" s="9">
        <f>5.1544 * CHOOSE(CONTROL!$C$32, $C$9, 100%, $E$9)</f>
        <v>5.1543999999999999</v>
      </c>
      <c r="C327" s="9">
        <f>5.1544 * CHOOSE(CONTROL!$C$32, $C$9, 100%, $E$9)</f>
        <v>5.1543999999999999</v>
      </c>
      <c r="D327" s="9">
        <f>5.1555 * CHOOSE(CONTROL!$C$32, $C$9, 100%, $E$9)</f>
        <v>5.1555</v>
      </c>
      <c r="E327" s="11">
        <f>6.4498 * CHOOSE(CONTROL!$C$32, $C$9, 100%, $E$9)</f>
        <v>6.4497999999999998</v>
      </c>
      <c r="F327" s="11">
        <f>6.4498 * CHOOSE(CONTROL!$C$32, $C$9, 100%, $E$9)</f>
        <v>6.4497999999999998</v>
      </c>
      <c r="G327" s="11">
        <f>6.4535 * CHOOSE(CONTROL!$C$32, $C$9, 100%, $E$9)</f>
        <v>6.4535</v>
      </c>
      <c r="H327" s="11">
        <f>10.6364 * CHOOSE(CONTROL!$C$32, $C$9, 100%, $E$9)</f>
        <v>10.6364</v>
      </c>
      <c r="I327" s="11">
        <f>10.64 * CHOOSE(CONTROL!$C$32, $C$9, 100%, $E$9)</f>
        <v>10.64</v>
      </c>
      <c r="J327" s="11">
        <f>10.6364 * CHOOSE(CONTROL!$C$32, $C$9, 100%, $E$9)</f>
        <v>10.6364</v>
      </c>
      <c r="K327" s="11">
        <f>10.64 * CHOOSE(CONTROL!$C$32, $C$9, 100%, $E$9)</f>
        <v>10.64</v>
      </c>
      <c r="L327" s="11">
        <f>6.4498 * CHOOSE(CONTROL!$C$32, $C$9, 100%, $E$9)</f>
        <v>6.4497999999999998</v>
      </c>
      <c r="M327" s="11">
        <f>6.4535 * CHOOSE(CONTROL!$C$32, $C$9, 100%, $E$9)</f>
        <v>6.4535</v>
      </c>
      <c r="N327" s="11">
        <f>6.4498 * CHOOSE(CONTROL!$C$32, $C$9, 100%, $E$9)</f>
        <v>6.4497999999999998</v>
      </c>
      <c r="O327" s="11">
        <f>6.4535 * CHOOSE(CONTROL!$C$32, $C$9, 100%, $E$9)</f>
        <v>6.4535</v>
      </c>
    </row>
    <row r="328" spans="1:15" ht="15" x14ac:dyDescent="0.2">
      <c r="A328" s="13">
        <v>50830</v>
      </c>
      <c r="B328" s="9">
        <f>5.1514 * CHOOSE(CONTROL!$C$32, $C$9, 100%, $E$9)</f>
        <v>5.1513999999999998</v>
      </c>
      <c r="C328" s="9">
        <f>5.1514 * CHOOSE(CONTROL!$C$32, $C$9, 100%, $E$9)</f>
        <v>5.1513999999999998</v>
      </c>
      <c r="D328" s="9">
        <f>5.1525 * CHOOSE(CONTROL!$C$32, $C$9, 100%, $E$9)</f>
        <v>5.1524999999999999</v>
      </c>
      <c r="E328" s="11">
        <f>6.5356 * CHOOSE(CONTROL!$C$32, $C$9, 100%, $E$9)</f>
        <v>6.5355999999999996</v>
      </c>
      <c r="F328" s="11">
        <f>6.5356 * CHOOSE(CONTROL!$C$32, $C$9, 100%, $E$9)</f>
        <v>6.5355999999999996</v>
      </c>
      <c r="G328" s="11">
        <f>6.5392 * CHOOSE(CONTROL!$C$32, $C$9, 100%, $E$9)</f>
        <v>6.5392000000000001</v>
      </c>
      <c r="H328" s="11">
        <f>10.6586 * CHOOSE(CONTROL!$C$32, $C$9, 100%, $E$9)</f>
        <v>10.6586</v>
      </c>
      <c r="I328" s="11">
        <f>10.6622 * CHOOSE(CONTROL!$C$32, $C$9, 100%, $E$9)</f>
        <v>10.6622</v>
      </c>
      <c r="J328" s="11">
        <f>10.6586 * CHOOSE(CONTROL!$C$32, $C$9, 100%, $E$9)</f>
        <v>10.6586</v>
      </c>
      <c r="K328" s="11">
        <f>10.6622 * CHOOSE(CONTROL!$C$32, $C$9, 100%, $E$9)</f>
        <v>10.6622</v>
      </c>
      <c r="L328" s="11">
        <f>6.5356 * CHOOSE(CONTROL!$C$32, $C$9, 100%, $E$9)</f>
        <v>6.5355999999999996</v>
      </c>
      <c r="M328" s="11">
        <f>6.5392 * CHOOSE(CONTROL!$C$32, $C$9, 100%, $E$9)</f>
        <v>6.5392000000000001</v>
      </c>
      <c r="N328" s="11">
        <f>6.5356 * CHOOSE(CONTROL!$C$32, $C$9, 100%, $E$9)</f>
        <v>6.5355999999999996</v>
      </c>
      <c r="O328" s="11">
        <f>6.5392 * CHOOSE(CONTROL!$C$32, $C$9, 100%, $E$9)</f>
        <v>6.5392000000000001</v>
      </c>
    </row>
    <row r="329" spans="1:15" ht="15" x14ac:dyDescent="0.2">
      <c r="A329" s="13">
        <v>50861</v>
      </c>
      <c r="B329" s="9">
        <f>5.1502 * CHOOSE(CONTROL!$C$32, $C$9, 100%, $E$9)</f>
        <v>5.1501999999999999</v>
      </c>
      <c r="C329" s="9">
        <f>5.1502 * CHOOSE(CONTROL!$C$32, $C$9, 100%, $E$9)</f>
        <v>5.1501999999999999</v>
      </c>
      <c r="D329" s="9">
        <f>5.1512 * CHOOSE(CONTROL!$C$32, $C$9, 100%, $E$9)</f>
        <v>5.1512000000000002</v>
      </c>
      <c r="E329" s="11">
        <f>6.6256 * CHOOSE(CONTROL!$C$32, $C$9, 100%, $E$9)</f>
        <v>6.6256000000000004</v>
      </c>
      <c r="F329" s="11">
        <f>6.6256 * CHOOSE(CONTROL!$C$32, $C$9, 100%, $E$9)</f>
        <v>6.6256000000000004</v>
      </c>
      <c r="G329" s="11">
        <f>6.6292 * CHOOSE(CONTROL!$C$32, $C$9, 100%, $E$9)</f>
        <v>6.6292</v>
      </c>
      <c r="H329" s="11">
        <f>10.6808 * CHOOSE(CONTROL!$C$32, $C$9, 100%, $E$9)</f>
        <v>10.6808</v>
      </c>
      <c r="I329" s="11">
        <f>10.6844 * CHOOSE(CONTROL!$C$32, $C$9, 100%, $E$9)</f>
        <v>10.6844</v>
      </c>
      <c r="J329" s="11">
        <f>10.6808 * CHOOSE(CONTROL!$C$32, $C$9, 100%, $E$9)</f>
        <v>10.6808</v>
      </c>
      <c r="K329" s="11">
        <f>10.6844 * CHOOSE(CONTROL!$C$32, $C$9, 100%, $E$9)</f>
        <v>10.6844</v>
      </c>
      <c r="L329" s="11">
        <f>6.6256 * CHOOSE(CONTROL!$C$32, $C$9, 100%, $E$9)</f>
        <v>6.6256000000000004</v>
      </c>
      <c r="M329" s="11">
        <f>6.6292 * CHOOSE(CONTROL!$C$32, $C$9, 100%, $E$9)</f>
        <v>6.6292</v>
      </c>
      <c r="N329" s="11">
        <f>6.6256 * CHOOSE(CONTROL!$C$32, $C$9, 100%, $E$9)</f>
        <v>6.6256000000000004</v>
      </c>
      <c r="O329" s="11">
        <f>6.6292 * CHOOSE(CONTROL!$C$32, $C$9, 100%, $E$9)</f>
        <v>6.6292</v>
      </c>
    </row>
    <row r="330" spans="1:15" ht="15" x14ac:dyDescent="0.2">
      <c r="A330" s="13">
        <v>50891</v>
      </c>
      <c r="B330" s="9">
        <f>5.1502 * CHOOSE(CONTROL!$C$32, $C$9, 100%, $E$9)</f>
        <v>5.1501999999999999</v>
      </c>
      <c r="C330" s="9">
        <f>5.1502 * CHOOSE(CONTROL!$C$32, $C$9, 100%, $E$9)</f>
        <v>5.1501999999999999</v>
      </c>
      <c r="D330" s="9">
        <f>5.1517 * CHOOSE(CONTROL!$C$32, $C$9, 100%, $E$9)</f>
        <v>5.1516999999999999</v>
      </c>
      <c r="E330" s="11">
        <f>6.661 * CHOOSE(CONTROL!$C$32, $C$9, 100%, $E$9)</f>
        <v>6.6609999999999996</v>
      </c>
      <c r="F330" s="11">
        <f>6.661 * CHOOSE(CONTROL!$C$32, $C$9, 100%, $E$9)</f>
        <v>6.6609999999999996</v>
      </c>
      <c r="G330" s="11">
        <f>6.6663 * CHOOSE(CONTROL!$C$32, $C$9, 100%, $E$9)</f>
        <v>6.6662999999999997</v>
      </c>
      <c r="H330" s="11">
        <f>10.703 * CHOOSE(CONTROL!$C$32, $C$9, 100%, $E$9)</f>
        <v>10.702999999999999</v>
      </c>
      <c r="I330" s="11">
        <f>10.7083 * CHOOSE(CONTROL!$C$32, $C$9, 100%, $E$9)</f>
        <v>10.708299999999999</v>
      </c>
      <c r="J330" s="11">
        <f>10.703 * CHOOSE(CONTROL!$C$32, $C$9, 100%, $E$9)</f>
        <v>10.702999999999999</v>
      </c>
      <c r="K330" s="11">
        <f>10.7083 * CHOOSE(CONTROL!$C$32, $C$9, 100%, $E$9)</f>
        <v>10.708299999999999</v>
      </c>
      <c r="L330" s="11">
        <f>6.661 * CHOOSE(CONTROL!$C$32, $C$9, 100%, $E$9)</f>
        <v>6.6609999999999996</v>
      </c>
      <c r="M330" s="11">
        <f>6.6663 * CHOOSE(CONTROL!$C$32, $C$9, 100%, $E$9)</f>
        <v>6.6662999999999997</v>
      </c>
      <c r="N330" s="11">
        <f>6.661 * CHOOSE(CONTROL!$C$32, $C$9, 100%, $E$9)</f>
        <v>6.6609999999999996</v>
      </c>
      <c r="O330" s="11">
        <f>6.6663 * CHOOSE(CONTROL!$C$32, $C$9, 100%, $E$9)</f>
        <v>6.6662999999999997</v>
      </c>
    </row>
    <row r="331" spans="1:15" ht="15" x14ac:dyDescent="0.2">
      <c r="A331" s="13">
        <v>50922</v>
      </c>
      <c r="B331" s="9">
        <f>5.1562 * CHOOSE(CONTROL!$C$32, $C$9, 100%, $E$9)</f>
        <v>5.1562000000000001</v>
      </c>
      <c r="C331" s="9">
        <f>5.1562 * CHOOSE(CONTROL!$C$32, $C$9, 100%, $E$9)</f>
        <v>5.1562000000000001</v>
      </c>
      <c r="D331" s="9">
        <f>5.1578 * CHOOSE(CONTROL!$C$32, $C$9, 100%, $E$9)</f>
        <v>5.1577999999999999</v>
      </c>
      <c r="E331" s="11">
        <f>6.6299 * CHOOSE(CONTROL!$C$32, $C$9, 100%, $E$9)</f>
        <v>6.6299000000000001</v>
      </c>
      <c r="F331" s="11">
        <f>6.6299 * CHOOSE(CONTROL!$C$32, $C$9, 100%, $E$9)</f>
        <v>6.6299000000000001</v>
      </c>
      <c r="G331" s="11">
        <f>6.6352 * CHOOSE(CONTROL!$C$32, $C$9, 100%, $E$9)</f>
        <v>6.6352000000000002</v>
      </c>
      <c r="H331" s="11">
        <f>10.7253 * CHOOSE(CONTROL!$C$32, $C$9, 100%, $E$9)</f>
        <v>10.725300000000001</v>
      </c>
      <c r="I331" s="11">
        <f>10.7306 * CHOOSE(CONTROL!$C$32, $C$9, 100%, $E$9)</f>
        <v>10.730600000000001</v>
      </c>
      <c r="J331" s="11">
        <f>10.7253 * CHOOSE(CONTROL!$C$32, $C$9, 100%, $E$9)</f>
        <v>10.725300000000001</v>
      </c>
      <c r="K331" s="11">
        <f>10.7306 * CHOOSE(CONTROL!$C$32, $C$9, 100%, $E$9)</f>
        <v>10.730600000000001</v>
      </c>
      <c r="L331" s="11">
        <f>6.6299 * CHOOSE(CONTROL!$C$32, $C$9, 100%, $E$9)</f>
        <v>6.6299000000000001</v>
      </c>
      <c r="M331" s="11">
        <f>6.6352 * CHOOSE(CONTROL!$C$32, $C$9, 100%, $E$9)</f>
        <v>6.6352000000000002</v>
      </c>
      <c r="N331" s="11">
        <f>6.6299 * CHOOSE(CONTROL!$C$32, $C$9, 100%, $E$9)</f>
        <v>6.6299000000000001</v>
      </c>
      <c r="O331" s="11">
        <f>6.6352 * CHOOSE(CONTROL!$C$32, $C$9, 100%, $E$9)</f>
        <v>6.6352000000000002</v>
      </c>
    </row>
    <row r="332" spans="1:15" ht="15" x14ac:dyDescent="0.2">
      <c r="A332" s="13">
        <v>50952</v>
      </c>
      <c r="B332" s="9">
        <f>5.2245 * CHOOSE(CONTROL!$C$32, $C$9, 100%, $E$9)</f>
        <v>5.2244999999999999</v>
      </c>
      <c r="C332" s="9">
        <f>5.2245 * CHOOSE(CONTROL!$C$32, $C$9, 100%, $E$9)</f>
        <v>5.2244999999999999</v>
      </c>
      <c r="D332" s="9">
        <f>5.226 * CHOOSE(CONTROL!$C$32, $C$9, 100%, $E$9)</f>
        <v>5.226</v>
      </c>
      <c r="E332" s="11">
        <f>6.6597 * CHOOSE(CONTROL!$C$32, $C$9, 100%, $E$9)</f>
        <v>6.6597</v>
      </c>
      <c r="F332" s="11">
        <f>6.6597 * CHOOSE(CONTROL!$C$32, $C$9, 100%, $E$9)</f>
        <v>6.6597</v>
      </c>
      <c r="G332" s="11">
        <f>6.665 * CHOOSE(CONTROL!$C$32, $C$9, 100%, $E$9)</f>
        <v>6.665</v>
      </c>
      <c r="H332" s="11">
        <f>10.7477 * CHOOSE(CONTROL!$C$32, $C$9, 100%, $E$9)</f>
        <v>10.7477</v>
      </c>
      <c r="I332" s="11">
        <f>10.753 * CHOOSE(CONTROL!$C$32, $C$9, 100%, $E$9)</f>
        <v>10.753</v>
      </c>
      <c r="J332" s="11">
        <f>10.7477 * CHOOSE(CONTROL!$C$32, $C$9, 100%, $E$9)</f>
        <v>10.7477</v>
      </c>
      <c r="K332" s="11">
        <f>10.753 * CHOOSE(CONTROL!$C$32, $C$9, 100%, $E$9)</f>
        <v>10.753</v>
      </c>
      <c r="L332" s="11">
        <f>6.6597 * CHOOSE(CONTROL!$C$32, $C$9, 100%, $E$9)</f>
        <v>6.6597</v>
      </c>
      <c r="M332" s="11">
        <f>6.665 * CHOOSE(CONTROL!$C$32, $C$9, 100%, $E$9)</f>
        <v>6.665</v>
      </c>
      <c r="N332" s="11">
        <f>6.6597 * CHOOSE(CONTROL!$C$32, $C$9, 100%, $E$9)</f>
        <v>6.6597</v>
      </c>
      <c r="O332" s="11">
        <f>6.665 * CHOOSE(CONTROL!$C$32, $C$9, 100%, $E$9)</f>
        <v>6.665</v>
      </c>
    </row>
    <row r="333" spans="1:15" ht="15" x14ac:dyDescent="0.2">
      <c r="A333" s="13">
        <v>50983</v>
      </c>
      <c r="B333" s="9">
        <f>5.2312 * CHOOSE(CONTROL!$C$32, $C$9, 100%, $E$9)</f>
        <v>5.2312000000000003</v>
      </c>
      <c r="C333" s="9">
        <f>5.2312 * CHOOSE(CONTROL!$C$32, $C$9, 100%, $E$9)</f>
        <v>5.2312000000000003</v>
      </c>
      <c r="D333" s="9">
        <f>5.2327 * CHOOSE(CONTROL!$C$32, $C$9, 100%, $E$9)</f>
        <v>5.2327000000000004</v>
      </c>
      <c r="E333" s="11">
        <f>6.5583 * CHOOSE(CONTROL!$C$32, $C$9, 100%, $E$9)</f>
        <v>6.5583</v>
      </c>
      <c r="F333" s="11">
        <f>6.5583 * CHOOSE(CONTROL!$C$32, $C$9, 100%, $E$9)</f>
        <v>6.5583</v>
      </c>
      <c r="G333" s="11">
        <f>6.5635 * CHOOSE(CONTROL!$C$32, $C$9, 100%, $E$9)</f>
        <v>6.5635000000000003</v>
      </c>
      <c r="H333" s="11">
        <f>10.7701 * CHOOSE(CONTROL!$C$32, $C$9, 100%, $E$9)</f>
        <v>10.770099999999999</v>
      </c>
      <c r="I333" s="11">
        <f>10.7754 * CHOOSE(CONTROL!$C$32, $C$9, 100%, $E$9)</f>
        <v>10.775399999999999</v>
      </c>
      <c r="J333" s="11">
        <f>10.7701 * CHOOSE(CONTROL!$C$32, $C$9, 100%, $E$9)</f>
        <v>10.770099999999999</v>
      </c>
      <c r="K333" s="11">
        <f>10.7754 * CHOOSE(CONTROL!$C$32, $C$9, 100%, $E$9)</f>
        <v>10.775399999999999</v>
      </c>
      <c r="L333" s="11">
        <f>6.5583 * CHOOSE(CONTROL!$C$32, $C$9, 100%, $E$9)</f>
        <v>6.5583</v>
      </c>
      <c r="M333" s="11">
        <f>6.5635 * CHOOSE(CONTROL!$C$32, $C$9, 100%, $E$9)</f>
        <v>6.5635000000000003</v>
      </c>
      <c r="N333" s="11">
        <f>6.5583 * CHOOSE(CONTROL!$C$32, $C$9, 100%, $E$9)</f>
        <v>6.5583</v>
      </c>
      <c r="O333" s="11">
        <f>6.5635 * CHOOSE(CONTROL!$C$32, $C$9, 100%, $E$9)</f>
        <v>6.5635000000000003</v>
      </c>
    </row>
    <row r="334" spans="1:15" ht="15" x14ac:dyDescent="0.2">
      <c r="A334" s="13">
        <v>51014</v>
      </c>
      <c r="B334" s="9">
        <f>5.2281 * CHOOSE(CONTROL!$C$32, $C$9, 100%, $E$9)</f>
        <v>5.2281000000000004</v>
      </c>
      <c r="C334" s="9">
        <f>5.2281 * CHOOSE(CONTROL!$C$32, $C$9, 100%, $E$9)</f>
        <v>5.2281000000000004</v>
      </c>
      <c r="D334" s="9">
        <f>5.2297 * CHOOSE(CONTROL!$C$32, $C$9, 100%, $E$9)</f>
        <v>5.2297000000000002</v>
      </c>
      <c r="E334" s="11">
        <f>6.5443 * CHOOSE(CONTROL!$C$32, $C$9, 100%, $E$9)</f>
        <v>6.5442999999999998</v>
      </c>
      <c r="F334" s="11">
        <f>6.5443 * CHOOSE(CONTROL!$C$32, $C$9, 100%, $E$9)</f>
        <v>6.5442999999999998</v>
      </c>
      <c r="G334" s="11">
        <f>6.5496 * CHOOSE(CONTROL!$C$32, $C$9, 100%, $E$9)</f>
        <v>6.5495999999999999</v>
      </c>
      <c r="H334" s="11">
        <f>10.7925 * CHOOSE(CONTROL!$C$32, $C$9, 100%, $E$9)</f>
        <v>10.7925</v>
      </c>
      <c r="I334" s="11">
        <f>10.7978 * CHOOSE(CONTROL!$C$32, $C$9, 100%, $E$9)</f>
        <v>10.797800000000001</v>
      </c>
      <c r="J334" s="11">
        <f>10.7925 * CHOOSE(CONTROL!$C$32, $C$9, 100%, $E$9)</f>
        <v>10.7925</v>
      </c>
      <c r="K334" s="11">
        <f>10.7978 * CHOOSE(CONTROL!$C$32, $C$9, 100%, $E$9)</f>
        <v>10.797800000000001</v>
      </c>
      <c r="L334" s="11">
        <f>6.5443 * CHOOSE(CONTROL!$C$32, $C$9, 100%, $E$9)</f>
        <v>6.5442999999999998</v>
      </c>
      <c r="M334" s="11">
        <f>6.5496 * CHOOSE(CONTROL!$C$32, $C$9, 100%, $E$9)</f>
        <v>6.5495999999999999</v>
      </c>
      <c r="N334" s="11">
        <f>6.5443 * CHOOSE(CONTROL!$C$32, $C$9, 100%, $E$9)</f>
        <v>6.5442999999999998</v>
      </c>
      <c r="O334" s="11">
        <f>6.5496 * CHOOSE(CONTROL!$C$32, $C$9, 100%, $E$9)</f>
        <v>6.5495999999999999</v>
      </c>
    </row>
    <row r="335" spans="1:15" ht="15" x14ac:dyDescent="0.2">
      <c r="A335" s="13">
        <v>51044</v>
      </c>
      <c r="B335" s="9">
        <f>5.2277 * CHOOSE(CONTROL!$C$32, $C$9, 100%, $E$9)</f>
        <v>5.2276999999999996</v>
      </c>
      <c r="C335" s="9">
        <f>5.2277 * CHOOSE(CONTROL!$C$32, $C$9, 100%, $E$9)</f>
        <v>5.2276999999999996</v>
      </c>
      <c r="D335" s="9">
        <f>5.2288 * CHOOSE(CONTROL!$C$32, $C$9, 100%, $E$9)</f>
        <v>5.2287999999999997</v>
      </c>
      <c r="E335" s="11">
        <f>6.5781 * CHOOSE(CONTROL!$C$32, $C$9, 100%, $E$9)</f>
        <v>6.5781000000000001</v>
      </c>
      <c r="F335" s="11">
        <f>6.5781 * CHOOSE(CONTROL!$C$32, $C$9, 100%, $E$9)</f>
        <v>6.5781000000000001</v>
      </c>
      <c r="G335" s="11">
        <f>6.5817 * CHOOSE(CONTROL!$C$32, $C$9, 100%, $E$9)</f>
        <v>6.5816999999999997</v>
      </c>
      <c r="H335" s="11">
        <f>10.815 * CHOOSE(CONTROL!$C$32, $C$9, 100%, $E$9)</f>
        <v>10.815</v>
      </c>
      <c r="I335" s="11">
        <f>10.8186 * CHOOSE(CONTROL!$C$32, $C$9, 100%, $E$9)</f>
        <v>10.8186</v>
      </c>
      <c r="J335" s="11">
        <f>10.815 * CHOOSE(CONTROL!$C$32, $C$9, 100%, $E$9)</f>
        <v>10.815</v>
      </c>
      <c r="K335" s="11">
        <f>10.8186 * CHOOSE(CONTROL!$C$32, $C$9, 100%, $E$9)</f>
        <v>10.8186</v>
      </c>
      <c r="L335" s="11">
        <f>6.5781 * CHOOSE(CONTROL!$C$32, $C$9, 100%, $E$9)</f>
        <v>6.5781000000000001</v>
      </c>
      <c r="M335" s="11">
        <f>6.5817 * CHOOSE(CONTROL!$C$32, $C$9, 100%, $E$9)</f>
        <v>6.5816999999999997</v>
      </c>
      <c r="N335" s="11">
        <f>6.5781 * CHOOSE(CONTROL!$C$32, $C$9, 100%, $E$9)</f>
        <v>6.5781000000000001</v>
      </c>
      <c r="O335" s="11">
        <f>6.5817 * CHOOSE(CONTROL!$C$32, $C$9, 100%, $E$9)</f>
        <v>6.5816999999999997</v>
      </c>
    </row>
    <row r="336" spans="1:15" ht="15" x14ac:dyDescent="0.2">
      <c r="A336" s="13">
        <v>51075</v>
      </c>
      <c r="B336" s="9">
        <f>5.2308 * CHOOSE(CONTROL!$C$32, $C$9, 100%, $E$9)</f>
        <v>5.2308000000000003</v>
      </c>
      <c r="C336" s="9">
        <f>5.2308 * CHOOSE(CONTROL!$C$32, $C$9, 100%, $E$9)</f>
        <v>5.2308000000000003</v>
      </c>
      <c r="D336" s="9">
        <f>5.2319 * CHOOSE(CONTROL!$C$32, $C$9, 100%, $E$9)</f>
        <v>5.2319000000000004</v>
      </c>
      <c r="E336" s="11">
        <f>6.6038 * CHOOSE(CONTROL!$C$32, $C$9, 100%, $E$9)</f>
        <v>6.6037999999999997</v>
      </c>
      <c r="F336" s="11">
        <f>6.6038 * CHOOSE(CONTROL!$C$32, $C$9, 100%, $E$9)</f>
        <v>6.6037999999999997</v>
      </c>
      <c r="G336" s="11">
        <f>6.6074 * CHOOSE(CONTROL!$C$32, $C$9, 100%, $E$9)</f>
        <v>6.6074000000000002</v>
      </c>
      <c r="H336" s="11">
        <f>10.8375 * CHOOSE(CONTROL!$C$32, $C$9, 100%, $E$9)</f>
        <v>10.8375</v>
      </c>
      <c r="I336" s="11">
        <f>10.8412 * CHOOSE(CONTROL!$C$32, $C$9, 100%, $E$9)</f>
        <v>10.841200000000001</v>
      </c>
      <c r="J336" s="11">
        <f>10.8375 * CHOOSE(CONTROL!$C$32, $C$9, 100%, $E$9)</f>
        <v>10.8375</v>
      </c>
      <c r="K336" s="11">
        <f>10.8412 * CHOOSE(CONTROL!$C$32, $C$9, 100%, $E$9)</f>
        <v>10.841200000000001</v>
      </c>
      <c r="L336" s="11">
        <f>6.6038 * CHOOSE(CONTROL!$C$32, $C$9, 100%, $E$9)</f>
        <v>6.6037999999999997</v>
      </c>
      <c r="M336" s="11">
        <f>6.6074 * CHOOSE(CONTROL!$C$32, $C$9, 100%, $E$9)</f>
        <v>6.6074000000000002</v>
      </c>
      <c r="N336" s="11">
        <f>6.6038 * CHOOSE(CONTROL!$C$32, $C$9, 100%, $E$9)</f>
        <v>6.6037999999999997</v>
      </c>
      <c r="O336" s="11">
        <f>6.6074 * CHOOSE(CONTROL!$C$32, $C$9, 100%, $E$9)</f>
        <v>6.6074000000000002</v>
      </c>
    </row>
    <row r="337" spans="1:15" ht="15" x14ac:dyDescent="0.2">
      <c r="A337" s="13">
        <v>51105</v>
      </c>
      <c r="B337" s="9">
        <f>5.2308 * CHOOSE(CONTROL!$C$32, $C$9, 100%, $E$9)</f>
        <v>5.2308000000000003</v>
      </c>
      <c r="C337" s="9">
        <f>5.2308 * CHOOSE(CONTROL!$C$32, $C$9, 100%, $E$9)</f>
        <v>5.2308000000000003</v>
      </c>
      <c r="D337" s="9">
        <f>5.2319 * CHOOSE(CONTROL!$C$32, $C$9, 100%, $E$9)</f>
        <v>5.2319000000000004</v>
      </c>
      <c r="E337" s="11">
        <f>6.5448 * CHOOSE(CONTROL!$C$32, $C$9, 100%, $E$9)</f>
        <v>6.5448000000000004</v>
      </c>
      <c r="F337" s="11">
        <f>6.5448 * CHOOSE(CONTROL!$C$32, $C$9, 100%, $E$9)</f>
        <v>6.5448000000000004</v>
      </c>
      <c r="G337" s="11">
        <f>6.5485 * CHOOSE(CONTROL!$C$32, $C$9, 100%, $E$9)</f>
        <v>6.5484999999999998</v>
      </c>
      <c r="H337" s="11">
        <f>10.8601 * CHOOSE(CONTROL!$C$32, $C$9, 100%, $E$9)</f>
        <v>10.860099999999999</v>
      </c>
      <c r="I337" s="11">
        <f>10.8637 * CHOOSE(CONTROL!$C$32, $C$9, 100%, $E$9)</f>
        <v>10.8637</v>
      </c>
      <c r="J337" s="11">
        <f>10.8601 * CHOOSE(CONTROL!$C$32, $C$9, 100%, $E$9)</f>
        <v>10.860099999999999</v>
      </c>
      <c r="K337" s="11">
        <f>10.8637 * CHOOSE(CONTROL!$C$32, $C$9, 100%, $E$9)</f>
        <v>10.8637</v>
      </c>
      <c r="L337" s="11">
        <f>6.5448 * CHOOSE(CONTROL!$C$32, $C$9, 100%, $E$9)</f>
        <v>6.5448000000000004</v>
      </c>
      <c r="M337" s="11">
        <f>6.5485 * CHOOSE(CONTROL!$C$32, $C$9, 100%, $E$9)</f>
        <v>6.5484999999999998</v>
      </c>
      <c r="N337" s="11">
        <f>6.5448 * CHOOSE(CONTROL!$C$32, $C$9, 100%, $E$9)</f>
        <v>6.5448000000000004</v>
      </c>
      <c r="O337" s="11">
        <f>6.5485 * CHOOSE(CONTROL!$C$32, $C$9, 100%, $E$9)</f>
        <v>6.5484999999999998</v>
      </c>
    </row>
    <row r="338" spans="1:15" ht="15" x14ac:dyDescent="0.2">
      <c r="A338" s="13">
        <v>51136</v>
      </c>
      <c r="B338" s="9">
        <f>5.2721 * CHOOSE(CONTROL!$C$32, $C$9, 100%, $E$9)</f>
        <v>5.2721</v>
      </c>
      <c r="C338" s="9">
        <f>5.2721 * CHOOSE(CONTROL!$C$32, $C$9, 100%, $E$9)</f>
        <v>5.2721</v>
      </c>
      <c r="D338" s="9">
        <f>5.2732 * CHOOSE(CONTROL!$C$32, $C$9, 100%, $E$9)</f>
        <v>5.2732000000000001</v>
      </c>
      <c r="E338" s="11">
        <f>6.6042 * CHOOSE(CONTROL!$C$32, $C$9, 100%, $E$9)</f>
        <v>6.6041999999999996</v>
      </c>
      <c r="F338" s="11">
        <f>6.6042 * CHOOSE(CONTROL!$C$32, $C$9, 100%, $E$9)</f>
        <v>6.6041999999999996</v>
      </c>
      <c r="G338" s="11">
        <f>6.6078 * CHOOSE(CONTROL!$C$32, $C$9, 100%, $E$9)</f>
        <v>6.6078000000000001</v>
      </c>
      <c r="H338" s="11">
        <f>10.8827 * CHOOSE(CONTROL!$C$32, $C$9, 100%, $E$9)</f>
        <v>10.8827</v>
      </c>
      <c r="I338" s="11">
        <f>10.8864 * CHOOSE(CONTROL!$C$32, $C$9, 100%, $E$9)</f>
        <v>10.8864</v>
      </c>
      <c r="J338" s="11">
        <f>10.8827 * CHOOSE(CONTROL!$C$32, $C$9, 100%, $E$9)</f>
        <v>10.8827</v>
      </c>
      <c r="K338" s="11">
        <f>10.8864 * CHOOSE(CONTROL!$C$32, $C$9, 100%, $E$9)</f>
        <v>10.8864</v>
      </c>
      <c r="L338" s="11">
        <f>6.6042 * CHOOSE(CONTROL!$C$32, $C$9, 100%, $E$9)</f>
        <v>6.6041999999999996</v>
      </c>
      <c r="M338" s="11">
        <f>6.6078 * CHOOSE(CONTROL!$C$32, $C$9, 100%, $E$9)</f>
        <v>6.6078000000000001</v>
      </c>
      <c r="N338" s="11">
        <f>6.6042 * CHOOSE(CONTROL!$C$32, $C$9, 100%, $E$9)</f>
        <v>6.6041999999999996</v>
      </c>
      <c r="O338" s="11">
        <f>6.6078 * CHOOSE(CONTROL!$C$32, $C$9, 100%, $E$9)</f>
        <v>6.6078000000000001</v>
      </c>
    </row>
    <row r="339" spans="1:15" ht="15" x14ac:dyDescent="0.2">
      <c r="A339" s="13">
        <v>51167</v>
      </c>
      <c r="B339" s="9">
        <f>5.2691 * CHOOSE(CONTROL!$C$32, $C$9, 100%, $E$9)</f>
        <v>5.2690999999999999</v>
      </c>
      <c r="C339" s="9">
        <f>5.2691 * CHOOSE(CONTROL!$C$32, $C$9, 100%, $E$9)</f>
        <v>5.2690999999999999</v>
      </c>
      <c r="D339" s="9">
        <f>5.2702 * CHOOSE(CONTROL!$C$32, $C$9, 100%, $E$9)</f>
        <v>5.2702</v>
      </c>
      <c r="E339" s="11">
        <f>6.487 * CHOOSE(CONTROL!$C$32, $C$9, 100%, $E$9)</f>
        <v>6.4870000000000001</v>
      </c>
      <c r="F339" s="11">
        <f>6.487 * CHOOSE(CONTROL!$C$32, $C$9, 100%, $E$9)</f>
        <v>6.4870000000000001</v>
      </c>
      <c r="G339" s="11">
        <f>6.4906 * CHOOSE(CONTROL!$C$32, $C$9, 100%, $E$9)</f>
        <v>6.4905999999999997</v>
      </c>
      <c r="H339" s="11">
        <f>10.9054 * CHOOSE(CONTROL!$C$32, $C$9, 100%, $E$9)</f>
        <v>10.9054</v>
      </c>
      <c r="I339" s="11">
        <f>10.909 * CHOOSE(CONTROL!$C$32, $C$9, 100%, $E$9)</f>
        <v>10.909000000000001</v>
      </c>
      <c r="J339" s="11">
        <f>10.9054 * CHOOSE(CONTROL!$C$32, $C$9, 100%, $E$9)</f>
        <v>10.9054</v>
      </c>
      <c r="K339" s="11">
        <f>10.909 * CHOOSE(CONTROL!$C$32, $C$9, 100%, $E$9)</f>
        <v>10.909000000000001</v>
      </c>
      <c r="L339" s="11">
        <f>6.487 * CHOOSE(CONTROL!$C$32, $C$9, 100%, $E$9)</f>
        <v>6.4870000000000001</v>
      </c>
      <c r="M339" s="11">
        <f>6.4906 * CHOOSE(CONTROL!$C$32, $C$9, 100%, $E$9)</f>
        <v>6.4905999999999997</v>
      </c>
      <c r="N339" s="11">
        <f>6.487 * CHOOSE(CONTROL!$C$32, $C$9, 100%, $E$9)</f>
        <v>6.4870000000000001</v>
      </c>
      <c r="O339" s="11">
        <f>6.4906 * CHOOSE(CONTROL!$C$32, $C$9, 100%, $E$9)</f>
        <v>6.4905999999999997</v>
      </c>
    </row>
    <row r="340" spans="1:15" ht="15" x14ac:dyDescent="0.2">
      <c r="A340" s="13">
        <v>51196</v>
      </c>
      <c r="B340" s="9">
        <f>5.266 * CHOOSE(CONTROL!$C$32, $C$9, 100%, $E$9)</f>
        <v>5.266</v>
      </c>
      <c r="C340" s="9">
        <f>5.266 * CHOOSE(CONTROL!$C$32, $C$9, 100%, $E$9)</f>
        <v>5.266</v>
      </c>
      <c r="D340" s="9">
        <f>5.2671 * CHOOSE(CONTROL!$C$32, $C$9, 100%, $E$9)</f>
        <v>5.2671000000000001</v>
      </c>
      <c r="E340" s="11">
        <f>6.5756 * CHOOSE(CONTROL!$C$32, $C$9, 100%, $E$9)</f>
        <v>6.5755999999999997</v>
      </c>
      <c r="F340" s="11">
        <f>6.5756 * CHOOSE(CONTROL!$C$32, $C$9, 100%, $E$9)</f>
        <v>6.5755999999999997</v>
      </c>
      <c r="G340" s="11">
        <f>6.5792 * CHOOSE(CONTROL!$C$32, $C$9, 100%, $E$9)</f>
        <v>6.5792000000000002</v>
      </c>
      <c r="H340" s="11">
        <f>10.9281 * CHOOSE(CONTROL!$C$32, $C$9, 100%, $E$9)</f>
        <v>10.928100000000001</v>
      </c>
      <c r="I340" s="11">
        <f>10.9317 * CHOOSE(CONTROL!$C$32, $C$9, 100%, $E$9)</f>
        <v>10.931699999999999</v>
      </c>
      <c r="J340" s="11">
        <f>10.9281 * CHOOSE(CONTROL!$C$32, $C$9, 100%, $E$9)</f>
        <v>10.928100000000001</v>
      </c>
      <c r="K340" s="11">
        <f>10.9317 * CHOOSE(CONTROL!$C$32, $C$9, 100%, $E$9)</f>
        <v>10.931699999999999</v>
      </c>
      <c r="L340" s="11">
        <f>6.5756 * CHOOSE(CONTROL!$C$32, $C$9, 100%, $E$9)</f>
        <v>6.5755999999999997</v>
      </c>
      <c r="M340" s="11">
        <f>6.5792 * CHOOSE(CONTROL!$C$32, $C$9, 100%, $E$9)</f>
        <v>6.5792000000000002</v>
      </c>
      <c r="N340" s="11">
        <f>6.5756 * CHOOSE(CONTROL!$C$32, $C$9, 100%, $E$9)</f>
        <v>6.5755999999999997</v>
      </c>
      <c r="O340" s="11">
        <f>6.5792 * CHOOSE(CONTROL!$C$32, $C$9, 100%, $E$9)</f>
        <v>6.5792000000000002</v>
      </c>
    </row>
    <row r="341" spans="1:15" ht="15" x14ac:dyDescent="0.2">
      <c r="A341" s="13">
        <v>51227</v>
      </c>
      <c r="B341" s="9">
        <f>5.2649 * CHOOSE(CONTROL!$C$32, $C$9, 100%, $E$9)</f>
        <v>5.2648999999999999</v>
      </c>
      <c r="C341" s="9">
        <f>5.2649 * CHOOSE(CONTROL!$C$32, $C$9, 100%, $E$9)</f>
        <v>5.2648999999999999</v>
      </c>
      <c r="D341" s="9">
        <f>5.266 * CHOOSE(CONTROL!$C$32, $C$9, 100%, $E$9)</f>
        <v>5.266</v>
      </c>
      <c r="E341" s="11">
        <f>6.6687 * CHOOSE(CONTROL!$C$32, $C$9, 100%, $E$9)</f>
        <v>6.6687000000000003</v>
      </c>
      <c r="F341" s="11">
        <f>6.6687 * CHOOSE(CONTROL!$C$32, $C$9, 100%, $E$9)</f>
        <v>6.6687000000000003</v>
      </c>
      <c r="G341" s="11">
        <f>6.6723 * CHOOSE(CONTROL!$C$32, $C$9, 100%, $E$9)</f>
        <v>6.6722999999999999</v>
      </c>
      <c r="H341" s="11">
        <f>10.9509 * CHOOSE(CONTROL!$C$32, $C$9, 100%, $E$9)</f>
        <v>10.950900000000001</v>
      </c>
      <c r="I341" s="11">
        <f>10.9545 * CHOOSE(CONTROL!$C$32, $C$9, 100%, $E$9)</f>
        <v>10.954499999999999</v>
      </c>
      <c r="J341" s="11">
        <f>10.9509 * CHOOSE(CONTROL!$C$32, $C$9, 100%, $E$9)</f>
        <v>10.950900000000001</v>
      </c>
      <c r="K341" s="11">
        <f>10.9545 * CHOOSE(CONTROL!$C$32, $C$9, 100%, $E$9)</f>
        <v>10.954499999999999</v>
      </c>
      <c r="L341" s="11">
        <f>6.6687 * CHOOSE(CONTROL!$C$32, $C$9, 100%, $E$9)</f>
        <v>6.6687000000000003</v>
      </c>
      <c r="M341" s="11">
        <f>6.6723 * CHOOSE(CONTROL!$C$32, $C$9, 100%, $E$9)</f>
        <v>6.6722999999999999</v>
      </c>
      <c r="N341" s="11">
        <f>6.6687 * CHOOSE(CONTROL!$C$32, $C$9, 100%, $E$9)</f>
        <v>6.6687000000000003</v>
      </c>
      <c r="O341" s="11">
        <f>6.6723 * CHOOSE(CONTROL!$C$32, $C$9, 100%, $E$9)</f>
        <v>6.6722999999999999</v>
      </c>
    </row>
    <row r="342" spans="1:15" ht="15" x14ac:dyDescent="0.2">
      <c r="A342" s="13">
        <v>51257</v>
      </c>
      <c r="B342" s="9">
        <f>5.2649 * CHOOSE(CONTROL!$C$32, $C$9, 100%, $E$9)</f>
        <v>5.2648999999999999</v>
      </c>
      <c r="C342" s="9">
        <f>5.2649 * CHOOSE(CONTROL!$C$32, $C$9, 100%, $E$9)</f>
        <v>5.2648999999999999</v>
      </c>
      <c r="D342" s="9">
        <f>5.2665 * CHOOSE(CONTROL!$C$32, $C$9, 100%, $E$9)</f>
        <v>5.2664999999999997</v>
      </c>
      <c r="E342" s="11">
        <f>6.7052 * CHOOSE(CONTROL!$C$32, $C$9, 100%, $E$9)</f>
        <v>6.7051999999999996</v>
      </c>
      <c r="F342" s="11">
        <f>6.7052 * CHOOSE(CONTROL!$C$32, $C$9, 100%, $E$9)</f>
        <v>6.7051999999999996</v>
      </c>
      <c r="G342" s="11">
        <f>6.7105 * CHOOSE(CONTROL!$C$32, $C$9, 100%, $E$9)</f>
        <v>6.7104999999999997</v>
      </c>
      <c r="H342" s="11">
        <f>10.9737 * CHOOSE(CONTROL!$C$32, $C$9, 100%, $E$9)</f>
        <v>10.973699999999999</v>
      </c>
      <c r="I342" s="11">
        <f>10.979 * CHOOSE(CONTROL!$C$32, $C$9, 100%, $E$9)</f>
        <v>10.978999999999999</v>
      </c>
      <c r="J342" s="11">
        <f>10.9737 * CHOOSE(CONTROL!$C$32, $C$9, 100%, $E$9)</f>
        <v>10.973699999999999</v>
      </c>
      <c r="K342" s="11">
        <f>10.979 * CHOOSE(CONTROL!$C$32, $C$9, 100%, $E$9)</f>
        <v>10.978999999999999</v>
      </c>
      <c r="L342" s="11">
        <f>6.7052 * CHOOSE(CONTROL!$C$32, $C$9, 100%, $E$9)</f>
        <v>6.7051999999999996</v>
      </c>
      <c r="M342" s="11">
        <f>6.7105 * CHOOSE(CONTROL!$C$32, $C$9, 100%, $E$9)</f>
        <v>6.7104999999999997</v>
      </c>
      <c r="N342" s="11">
        <f>6.7052 * CHOOSE(CONTROL!$C$32, $C$9, 100%, $E$9)</f>
        <v>6.7051999999999996</v>
      </c>
      <c r="O342" s="11">
        <f>6.7105 * CHOOSE(CONTROL!$C$32, $C$9, 100%, $E$9)</f>
        <v>6.7104999999999997</v>
      </c>
    </row>
    <row r="343" spans="1:15" ht="15" x14ac:dyDescent="0.2">
      <c r="A343" s="13">
        <v>51288</v>
      </c>
      <c r="B343" s="9">
        <f>5.271 * CHOOSE(CONTROL!$C$32, $C$9, 100%, $E$9)</f>
        <v>5.2709999999999999</v>
      </c>
      <c r="C343" s="9">
        <f>5.271 * CHOOSE(CONTROL!$C$32, $C$9, 100%, $E$9)</f>
        <v>5.2709999999999999</v>
      </c>
      <c r="D343" s="9">
        <f>5.2726 * CHOOSE(CONTROL!$C$32, $C$9, 100%, $E$9)</f>
        <v>5.2725999999999997</v>
      </c>
      <c r="E343" s="11">
        <f>6.673 * CHOOSE(CONTROL!$C$32, $C$9, 100%, $E$9)</f>
        <v>6.673</v>
      </c>
      <c r="F343" s="11">
        <f>6.673 * CHOOSE(CONTROL!$C$32, $C$9, 100%, $E$9)</f>
        <v>6.673</v>
      </c>
      <c r="G343" s="11">
        <f>6.6782 * CHOOSE(CONTROL!$C$32, $C$9, 100%, $E$9)</f>
        <v>6.6782000000000004</v>
      </c>
      <c r="H343" s="11">
        <f>10.9966 * CHOOSE(CONTROL!$C$32, $C$9, 100%, $E$9)</f>
        <v>10.996600000000001</v>
      </c>
      <c r="I343" s="11">
        <f>11.0019 * CHOOSE(CONTROL!$C$32, $C$9, 100%, $E$9)</f>
        <v>11.001899999999999</v>
      </c>
      <c r="J343" s="11">
        <f>10.9966 * CHOOSE(CONTROL!$C$32, $C$9, 100%, $E$9)</f>
        <v>10.996600000000001</v>
      </c>
      <c r="K343" s="11">
        <f>11.0019 * CHOOSE(CONTROL!$C$32, $C$9, 100%, $E$9)</f>
        <v>11.001899999999999</v>
      </c>
      <c r="L343" s="11">
        <f>6.673 * CHOOSE(CONTROL!$C$32, $C$9, 100%, $E$9)</f>
        <v>6.673</v>
      </c>
      <c r="M343" s="11">
        <f>6.6782 * CHOOSE(CONTROL!$C$32, $C$9, 100%, $E$9)</f>
        <v>6.6782000000000004</v>
      </c>
      <c r="N343" s="11">
        <f>6.673 * CHOOSE(CONTROL!$C$32, $C$9, 100%, $E$9)</f>
        <v>6.673</v>
      </c>
      <c r="O343" s="11">
        <f>6.6782 * CHOOSE(CONTROL!$C$32, $C$9, 100%, $E$9)</f>
        <v>6.6782000000000004</v>
      </c>
    </row>
    <row r="344" spans="1:15" ht="15" x14ac:dyDescent="0.2">
      <c r="A344" s="13">
        <v>51318</v>
      </c>
      <c r="B344" s="9">
        <f>5.345 * CHOOSE(CONTROL!$C$32, $C$9, 100%, $E$9)</f>
        <v>5.3449999999999998</v>
      </c>
      <c r="C344" s="9">
        <f>5.345 * CHOOSE(CONTROL!$C$32, $C$9, 100%, $E$9)</f>
        <v>5.3449999999999998</v>
      </c>
      <c r="D344" s="9">
        <f>5.3466 * CHOOSE(CONTROL!$C$32, $C$9, 100%, $E$9)</f>
        <v>5.3465999999999996</v>
      </c>
      <c r="E344" s="11">
        <f>6.6813 * CHOOSE(CONTROL!$C$32, $C$9, 100%, $E$9)</f>
        <v>6.6813000000000002</v>
      </c>
      <c r="F344" s="11">
        <f>6.6813 * CHOOSE(CONTROL!$C$32, $C$9, 100%, $E$9)</f>
        <v>6.6813000000000002</v>
      </c>
      <c r="G344" s="11">
        <f>6.6866 * CHOOSE(CONTROL!$C$32, $C$9, 100%, $E$9)</f>
        <v>6.6866000000000003</v>
      </c>
      <c r="H344" s="11">
        <f>11.0195 * CHOOSE(CONTROL!$C$32, $C$9, 100%, $E$9)</f>
        <v>11.019500000000001</v>
      </c>
      <c r="I344" s="11">
        <f>11.0248 * CHOOSE(CONTROL!$C$32, $C$9, 100%, $E$9)</f>
        <v>11.024800000000001</v>
      </c>
      <c r="J344" s="11">
        <f>11.0195 * CHOOSE(CONTROL!$C$32, $C$9, 100%, $E$9)</f>
        <v>11.019500000000001</v>
      </c>
      <c r="K344" s="11">
        <f>11.0248 * CHOOSE(CONTROL!$C$32, $C$9, 100%, $E$9)</f>
        <v>11.024800000000001</v>
      </c>
      <c r="L344" s="11">
        <f>6.6813 * CHOOSE(CONTROL!$C$32, $C$9, 100%, $E$9)</f>
        <v>6.6813000000000002</v>
      </c>
      <c r="M344" s="11">
        <f>6.6866 * CHOOSE(CONTROL!$C$32, $C$9, 100%, $E$9)</f>
        <v>6.6866000000000003</v>
      </c>
      <c r="N344" s="11">
        <f>6.6813 * CHOOSE(CONTROL!$C$32, $C$9, 100%, $E$9)</f>
        <v>6.6813000000000002</v>
      </c>
      <c r="O344" s="11">
        <f>6.6866 * CHOOSE(CONTROL!$C$32, $C$9, 100%, $E$9)</f>
        <v>6.6866000000000003</v>
      </c>
    </row>
    <row r="345" spans="1:15" ht="15" x14ac:dyDescent="0.2">
      <c r="A345" s="13">
        <v>51349</v>
      </c>
      <c r="B345" s="9">
        <f>5.3517 * CHOOSE(CONTROL!$C$32, $C$9, 100%, $E$9)</f>
        <v>5.3517000000000001</v>
      </c>
      <c r="C345" s="9">
        <f>5.3517 * CHOOSE(CONTROL!$C$32, $C$9, 100%, $E$9)</f>
        <v>5.3517000000000001</v>
      </c>
      <c r="D345" s="9">
        <f>5.3533 * CHOOSE(CONTROL!$C$32, $C$9, 100%, $E$9)</f>
        <v>5.3532999999999999</v>
      </c>
      <c r="E345" s="11">
        <f>6.5764 * CHOOSE(CONTROL!$C$32, $C$9, 100%, $E$9)</f>
        <v>6.5763999999999996</v>
      </c>
      <c r="F345" s="11">
        <f>6.5764 * CHOOSE(CONTROL!$C$32, $C$9, 100%, $E$9)</f>
        <v>6.5763999999999996</v>
      </c>
      <c r="G345" s="11">
        <f>6.5817 * CHOOSE(CONTROL!$C$32, $C$9, 100%, $E$9)</f>
        <v>6.5816999999999997</v>
      </c>
      <c r="H345" s="11">
        <f>11.0424 * CHOOSE(CONTROL!$C$32, $C$9, 100%, $E$9)</f>
        <v>11.042400000000001</v>
      </c>
      <c r="I345" s="11">
        <f>11.0477 * CHOOSE(CONTROL!$C$32, $C$9, 100%, $E$9)</f>
        <v>11.047700000000001</v>
      </c>
      <c r="J345" s="11">
        <f>11.0424 * CHOOSE(CONTROL!$C$32, $C$9, 100%, $E$9)</f>
        <v>11.042400000000001</v>
      </c>
      <c r="K345" s="11">
        <f>11.0477 * CHOOSE(CONTROL!$C$32, $C$9, 100%, $E$9)</f>
        <v>11.047700000000001</v>
      </c>
      <c r="L345" s="11">
        <f>6.5764 * CHOOSE(CONTROL!$C$32, $C$9, 100%, $E$9)</f>
        <v>6.5763999999999996</v>
      </c>
      <c r="M345" s="11">
        <f>6.5817 * CHOOSE(CONTROL!$C$32, $C$9, 100%, $E$9)</f>
        <v>6.5816999999999997</v>
      </c>
      <c r="N345" s="11">
        <f>6.5764 * CHOOSE(CONTROL!$C$32, $C$9, 100%, $E$9)</f>
        <v>6.5763999999999996</v>
      </c>
      <c r="O345" s="11">
        <f>6.5817 * CHOOSE(CONTROL!$C$32, $C$9, 100%, $E$9)</f>
        <v>6.5816999999999997</v>
      </c>
    </row>
    <row r="346" spans="1:15" ht="15" x14ac:dyDescent="0.2">
      <c r="A346" s="13">
        <v>51380</v>
      </c>
      <c r="B346" s="9">
        <f>5.3487 * CHOOSE(CONTROL!$C$32, $C$9, 100%, $E$9)</f>
        <v>5.3487</v>
      </c>
      <c r="C346" s="9">
        <f>5.3487 * CHOOSE(CONTROL!$C$32, $C$9, 100%, $E$9)</f>
        <v>5.3487</v>
      </c>
      <c r="D346" s="9">
        <f>5.3502 * CHOOSE(CONTROL!$C$32, $C$9, 100%, $E$9)</f>
        <v>5.3502000000000001</v>
      </c>
      <c r="E346" s="11">
        <f>6.5621 * CHOOSE(CONTROL!$C$32, $C$9, 100%, $E$9)</f>
        <v>6.5621</v>
      </c>
      <c r="F346" s="11">
        <f>6.5621 * CHOOSE(CONTROL!$C$32, $C$9, 100%, $E$9)</f>
        <v>6.5621</v>
      </c>
      <c r="G346" s="11">
        <f>6.5674 * CHOOSE(CONTROL!$C$32, $C$9, 100%, $E$9)</f>
        <v>6.5674000000000001</v>
      </c>
      <c r="H346" s="11">
        <f>11.0654 * CHOOSE(CONTROL!$C$32, $C$9, 100%, $E$9)</f>
        <v>11.0654</v>
      </c>
      <c r="I346" s="11">
        <f>11.0707 * CHOOSE(CONTROL!$C$32, $C$9, 100%, $E$9)</f>
        <v>11.0707</v>
      </c>
      <c r="J346" s="11">
        <f>11.0654 * CHOOSE(CONTROL!$C$32, $C$9, 100%, $E$9)</f>
        <v>11.0654</v>
      </c>
      <c r="K346" s="11">
        <f>11.0707 * CHOOSE(CONTROL!$C$32, $C$9, 100%, $E$9)</f>
        <v>11.0707</v>
      </c>
      <c r="L346" s="11">
        <f>6.5621 * CHOOSE(CONTROL!$C$32, $C$9, 100%, $E$9)</f>
        <v>6.5621</v>
      </c>
      <c r="M346" s="11">
        <f>6.5674 * CHOOSE(CONTROL!$C$32, $C$9, 100%, $E$9)</f>
        <v>6.5674000000000001</v>
      </c>
      <c r="N346" s="11">
        <f>6.5621 * CHOOSE(CONTROL!$C$32, $C$9, 100%, $E$9)</f>
        <v>6.5621</v>
      </c>
      <c r="O346" s="11">
        <f>6.5674 * CHOOSE(CONTROL!$C$32, $C$9, 100%, $E$9)</f>
        <v>6.5674000000000001</v>
      </c>
    </row>
    <row r="347" spans="1:15" ht="15" x14ac:dyDescent="0.2">
      <c r="A347" s="13">
        <v>51410</v>
      </c>
      <c r="B347" s="9">
        <f>5.3487 * CHOOSE(CONTROL!$C$32, $C$9, 100%, $E$9)</f>
        <v>5.3487</v>
      </c>
      <c r="C347" s="9">
        <f>5.3487 * CHOOSE(CONTROL!$C$32, $C$9, 100%, $E$9)</f>
        <v>5.3487</v>
      </c>
      <c r="D347" s="9">
        <f>5.3498 * CHOOSE(CONTROL!$C$32, $C$9, 100%, $E$9)</f>
        <v>5.3498000000000001</v>
      </c>
      <c r="E347" s="11">
        <f>6.5974 * CHOOSE(CONTROL!$C$32, $C$9, 100%, $E$9)</f>
        <v>6.5974000000000004</v>
      </c>
      <c r="F347" s="11">
        <f>6.5974 * CHOOSE(CONTROL!$C$32, $C$9, 100%, $E$9)</f>
        <v>6.5974000000000004</v>
      </c>
      <c r="G347" s="11">
        <f>6.601 * CHOOSE(CONTROL!$C$32, $C$9, 100%, $E$9)</f>
        <v>6.601</v>
      </c>
      <c r="H347" s="11">
        <f>11.0885 * CHOOSE(CONTROL!$C$32, $C$9, 100%, $E$9)</f>
        <v>11.0885</v>
      </c>
      <c r="I347" s="11">
        <f>11.0921 * CHOOSE(CONTROL!$C$32, $C$9, 100%, $E$9)</f>
        <v>11.0921</v>
      </c>
      <c r="J347" s="11">
        <f>11.0885 * CHOOSE(CONTROL!$C$32, $C$9, 100%, $E$9)</f>
        <v>11.0885</v>
      </c>
      <c r="K347" s="11">
        <f>11.0921 * CHOOSE(CONTROL!$C$32, $C$9, 100%, $E$9)</f>
        <v>11.0921</v>
      </c>
      <c r="L347" s="11">
        <f>6.5974 * CHOOSE(CONTROL!$C$32, $C$9, 100%, $E$9)</f>
        <v>6.5974000000000004</v>
      </c>
      <c r="M347" s="11">
        <f>6.601 * CHOOSE(CONTROL!$C$32, $C$9, 100%, $E$9)</f>
        <v>6.601</v>
      </c>
      <c r="N347" s="11">
        <f>6.5974 * CHOOSE(CONTROL!$C$32, $C$9, 100%, $E$9)</f>
        <v>6.5974000000000004</v>
      </c>
      <c r="O347" s="11">
        <f>6.601 * CHOOSE(CONTROL!$C$32, $C$9, 100%, $E$9)</f>
        <v>6.601</v>
      </c>
    </row>
    <row r="348" spans="1:15" ht="15" x14ac:dyDescent="0.2">
      <c r="A348" s="13">
        <v>51441</v>
      </c>
      <c r="B348" s="9">
        <f>5.3518 * CHOOSE(CONTROL!$C$32, $C$9, 100%, $E$9)</f>
        <v>5.3517999999999999</v>
      </c>
      <c r="C348" s="9">
        <f>5.3518 * CHOOSE(CONTROL!$C$32, $C$9, 100%, $E$9)</f>
        <v>5.3517999999999999</v>
      </c>
      <c r="D348" s="9">
        <f>5.3528 * CHOOSE(CONTROL!$C$32, $C$9, 100%, $E$9)</f>
        <v>5.3528000000000002</v>
      </c>
      <c r="E348" s="11">
        <f>6.6239 * CHOOSE(CONTROL!$C$32, $C$9, 100%, $E$9)</f>
        <v>6.6238999999999999</v>
      </c>
      <c r="F348" s="11">
        <f>6.6239 * CHOOSE(CONTROL!$C$32, $C$9, 100%, $E$9)</f>
        <v>6.6238999999999999</v>
      </c>
      <c r="G348" s="11">
        <f>6.6275 * CHOOSE(CONTROL!$C$32, $C$9, 100%, $E$9)</f>
        <v>6.6275000000000004</v>
      </c>
      <c r="H348" s="11">
        <f>11.1116 * CHOOSE(CONTROL!$C$32, $C$9, 100%, $E$9)</f>
        <v>11.111599999999999</v>
      </c>
      <c r="I348" s="11">
        <f>11.1152 * CHOOSE(CONTROL!$C$32, $C$9, 100%, $E$9)</f>
        <v>11.1152</v>
      </c>
      <c r="J348" s="11">
        <f>11.1116 * CHOOSE(CONTROL!$C$32, $C$9, 100%, $E$9)</f>
        <v>11.111599999999999</v>
      </c>
      <c r="K348" s="11">
        <f>11.1152 * CHOOSE(CONTROL!$C$32, $C$9, 100%, $E$9)</f>
        <v>11.1152</v>
      </c>
      <c r="L348" s="11">
        <f>6.6239 * CHOOSE(CONTROL!$C$32, $C$9, 100%, $E$9)</f>
        <v>6.6238999999999999</v>
      </c>
      <c r="M348" s="11">
        <f>6.6275 * CHOOSE(CONTROL!$C$32, $C$9, 100%, $E$9)</f>
        <v>6.6275000000000004</v>
      </c>
      <c r="N348" s="11">
        <f>6.6239 * CHOOSE(CONTROL!$C$32, $C$9, 100%, $E$9)</f>
        <v>6.6238999999999999</v>
      </c>
      <c r="O348" s="11">
        <f>6.6275 * CHOOSE(CONTROL!$C$32, $C$9, 100%, $E$9)</f>
        <v>6.6275000000000004</v>
      </c>
    </row>
    <row r="349" spans="1:15" ht="15" x14ac:dyDescent="0.2">
      <c r="A349" s="13">
        <v>51471</v>
      </c>
      <c r="B349" s="9">
        <f>5.3518 * CHOOSE(CONTROL!$C$32, $C$9, 100%, $E$9)</f>
        <v>5.3517999999999999</v>
      </c>
      <c r="C349" s="9">
        <f>5.3518 * CHOOSE(CONTROL!$C$32, $C$9, 100%, $E$9)</f>
        <v>5.3517999999999999</v>
      </c>
      <c r="D349" s="9">
        <f>5.3528 * CHOOSE(CONTROL!$C$32, $C$9, 100%, $E$9)</f>
        <v>5.3528000000000002</v>
      </c>
      <c r="E349" s="11">
        <f>6.563 * CHOOSE(CONTROL!$C$32, $C$9, 100%, $E$9)</f>
        <v>6.5629999999999997</v>
      </c>
      <c r="F349" s="11">
        <f>6.563 * CHOOSE(CONTROL!$C$32, $C$9, 100%, $E$9)</f>
        <v>6.5629999999999997</v>
      </c>
      <c r="G349" s="11">
        <f>6.5666 * CHOOSE(CONTROL!$C$32, $C$9, 100%, $E$9)</f>
        <v>6.5666000000000002</v>
      </c>
      <c r="H349" s="11">
        <f>11.1347 * CHOOSE(CONTROL!$C$32, $C$9, 100%, $E$9)</f>
        <v>11.1347</v>
      </c>
      <c r="I349" s="11">
        <f>11.1384 * CHOOSE(CONTROL!$C$32, $C$9, 100%, $E$9)</f>
        <v>11.138400000000001</v>
      </c>
      <c r="J349" s="11">
        <f>11.1347 * CHOOSE(CONTROL!$C$32, $C$9, 100%, $E$9)</f>
        <v>11.1347</v>
      </c>
      <c r="K349" s="11">
        <f>11.1384 * CHOOSE(CONTROL!$C$32, $C$9, 100%, $E$9)</f>
        <v>11.138400000000001</v>
      </c>
      <c r="L349" s="11">
        <f>6.563 * CHOOSE(CONTROL!$C$32, $C$9, 100%, $E$9)</f>
        <v>6.5629999999999997</v>
      </c>
      <c r="M349" s="11">
        <f>6.5666 * CHOOSE(CONTROL!$C$32, $C$9, 100%, $E$9)</f>
        <v>6.5666000000000002</v>
      </c>
      <c r="N349" s="11">
        <f>6.563 * CHOOSE(CONTROL!$C$32, $C$9, 100%, $E$9)</f>
        <v>6.5629999999999997</v>
      </c>
      <c r="O349" s="11">
        <f>6.5666 * CHOOSE(CONTROL!$C$32, $C$9, 100%, $E$9)</f>
        <v>6.5666000000000002</v>
      </c>
    </row>
    <row r="350" spans="1:15" ht="15" x14ac:dyDescent="0.2">
      <c r="A350" s="13">
        <v>51502</v>
      </c>
      <c r="B350" s="9">
        <f>5.3929 * CHOOSE(CONTROL!$C$32, $C$9, 100%, $E$9)</f>
        <v>5.3929</v>
      </c>
      <c r="C350" s="9">
        <f>5.3929 * CHOOSE(CONTROL!$C$32, $C$9, 100%, $E$9)</f>
        <v>5.3929</v>
      </c>
      <c r="D350" s="9">
        <f>5.3939 * CHOOSE(CONTROL!$C$32, $C$9, 100%, $E$9)</f>
        <v>5.3939000000000004</v>
      </c>
      <c r="E350" s="11">
        <f>6.6304 * CHOOSE(CONTROL!$C$32, $C$9, 100%, $E$9)</f>
        <v>6.6303999999999998</v>
      </c>
      <c r="F350" s="11">
        <f>6.6304 * CHOOSE(CONTROL!$C$32, $C$9, 100%, $E$9)</f>
        <v>6.6303999999999998</v>
      </c>
      <c r="G350" s="11">
        <f>6.6341 * CHOOSE(CONTROL!$C$32, $C$9, 100%, $E$9)</f>
        <v>6.6341000000000001</v>
      </c>
      <c r="H350" s="11">
        <f>11.1579 * CHOOSE(CONTROL!$C$32, $C$9, 100%, $E$9)</f>
        <v>11.1579</v>
      </c>
      <c r="I350" s="11">
        <f>11.1616 * CHOOSE(CONTROL!$C$32, $C$9, 100%, $E$9)</f>
        <v>11.1616</v>
      </c>
      <c r="J350" s="11">
        <f>11.1579 * CHOOSE(CONTROL!$C$32, $C$9, 100%, $E$9)</f>
        <v>11.1579</v>
      </c>
      <c r="K350" s="11">
        <f>11.1616 * CHOOSE(CONTROL!$C$32, $C$9, 100%, $E$9)</f>
        <v>11.1616</v>
      </c>
      <c r="L350" s="11">
        <f>6.6304 * CHOOSE(CONTROL!$C$32, $C$9, 100%, $E$9)</f>
        <v>6.6303999999999998</v>
      </c>
      <c r="M350" s="11">
        <f>6.6341 * CHOOSE(CONTROL!$C$32, $C$9, 100%, $E$9)</f>
        <v>6.6341000000000001</v>
      </c>
      <c r="N350" s="11">
        <f>6.6304 * CHOOSE(CONTROL!$C$32, $C$9, 100%, $E$9)</f>
        <v>6.6303999999999998</v>
      </c>
      <c r="O350" s="11">
        <f>6.6341 * CHOOSE(CONTROL!$C$32, $C$9, 100%, $E$9)</f>
        <v>6.6341000000000001</v>
      </c>
    </row>
    <row r="351" spans="1:15" ht="15" x14ac:dyDescent="0.2">
      <c r="A351" s="13">
        <v>51533</v>
      </c>
      <c r="B351" s="9">
        <f>5.3898 * CHOOSE(CONTROL!$C$32, $C$9, 100%, $E$9)</f>
        <v>5.3898000000000001</v>
      </c>
      <c r="C351" s="9">
        <f>5.3898 * CHOOSE(CONTROL!$C$32, $C$9, 100%, $E$9)</f>
        <v>5.3898000000000001</v>
      </c>
      <c r="D351" s="9">
        <f>5.3909 * CHOOSE(CONTROL!$C$32, $C$9, 100%, $E$9)</f>
        <v>5.3909000000000002</v>
      </c>
      <c r="E351" s="11">
        <f>6.5096 * CHOOSE(CONTROL!$C$32, $C$9, 100%, $E$9)</f>
        <v>6.5095999999999998</v>
      </c>
      <c r="F351" s="11">
        <f>6.5096 * CHOOSE(CONTROL!$C$32, $C$9, 100%, $E$9)</f>
        <v>6.5095999999999998</v>
      </c>
      <c r="G351" s="11">
        <f>6.5132 * CHOOSE(CONTROL!$C$32, $C$9, 100%, $E$9)</f>
        <v>6.5132000000000003</v>
      </c>
      <c r="H351" s="11">
        <f>11.1812 * CHOOSE(CONTROL!$C$32, $C$9, 100%, $E$9)</f>
        <v>11.1812</v>
      </c>
      <c r="I351" s="11">
        <f>11.1848 * CHOOSE(CONTROL!$C$32, $C$9, 100%, $E$9)</f>
        <v>11.184799999999999</v>
      </c>
      <c r="J351" s="11">
        <f>11.1812 * CHOOSE(CONTROL!$C$32, $C$9, 100%, $E$9)</f>
        <v>11.1812</v>
      </c>
      <c r="K351" s="11">
        <f>11.1848 * CHOOSE(CONTROL!$C$32, $C$9, 100%, $E$9)</f>
        <v>11.184799999999999</v>
      </c>
      <c r="L351" s="11">
        <f>6.5096 * CHOOSE(CONTROL!$C$32, $C$9, 100%, $E$9)</f>
        <v>6.5095999999999998</v>
      </c>
      <c r="M351" s="11">
        <f>6.5132 * CHOOSE(CONTROL!$C$32, $C$9, 100%, $E$9)</f>
        <v>6.5132000000000003</v>
      </c>
      <c r="N351" s="11">
        <f>6.5096 * CHOOSE(CONTROL!$C$32, $C$9, 100%, $E$9)</f>
        <v>6.5095999999999998</v>
      </c>
      <c r="O351" s="11">
        <f>6.5132 * CHOOSE(CONTROL!$C$32, $C$9, 100%, $E$9)</f>
        <v>6.5132000000000003</v>
      </c>
    </row>
    <row r="352" spans="1:15" ht="15" x14ac:dyDescent="0.2">
      <c r="A352" s="13">
        <v>51561</v>
      </c>
      <c r="B352" s="9">
        <f>5.3868 * CHOOSE(CONTROL!$C$32, $C$9, 100%, $E$9)</f>
        <v>5.3868</v>
      </c>
      <c r="C352" s="9">
        <f>5.3868 * CHOOSE(CONTROL!$C$32, $C$9, 100%, $E$9)</f>
        <v>5.3868</v>
      </c>
      <c r="D352" s="9">
        <f>5.3878 * CHOOSE(CONTROL!$C$32, $C$9, 100%, $E$9)</f>
        <v>5.3878000000000004</v>
      </c>
      <c r="E352" s="11">
        <f>6.6011 * CHOOSE(CONTROL!$C$32, $C$9, 100%, $E$9)</f>
        <v>6.6010999999999997</v>
      </c>
      <c r="F352" s="11">
        <f>6.6011 * CHOOSE(CONTROL!$C$32, $C$9, 100%, $E$9)</f>
        <v>6.6010999999999997</v>
      </c>
      <c r="G352" s="11">
        <f>6.6047 * CHOOSE(CONTROL!$C$32, $C$9, 100%, $E$9)</f>
        <v>6.6047000000000002</v>
      </c>
      <c r="H352" s="11">
        <f>11.2045 * CHOOSE(CONTROL!$C$32, $C$9, 100%, $E$9)</f>
        <v>11.204499999999999</v>
      </c>
      <c r="I352" s="11">
        <f>11.2081 * CHOOSE(CONTROL!$C$32, $C$9, 100%, $E$9)</f>
        <v>11.2081</v>
      </c>
      <c r="J352" s="11">
        <f>11.2045 * CHOOSE(CONTROL!$C$32, $C$9, 100%, $E$9)</f>
        <v>11.204499999999999</v>
      </c>
      <c r="K352" s="11">
        <f>11.2081 * CHOOSE(CONTROL!$C$32, $C$9, 100%, $E$9)</f>
        <v>11.2081</v>
      </c>
      <c r="L352" s="11">
        <f>6.6011 * CHOOSE(CONTROL!$C$32, $C$9, 100%, $E$9)</f>
        <v>6.6010999999999997</v>
      </c>
      <c r="M352" s="11">
        <f>6.6047 * CHOOSE(CONTROL!$C$32, $C$9, 100%, $E$9)</f>
        <v>6.6047000000000002</v>
      </c>
      <c r="N352" s="11">
        <f>6.6011 * CHOOSE(CONTROL!$C$32, $C$9, 100%, $E$9)</f>
        <v>6.6010999999999997</v>
      </c>
      <c r="O352" s="11">
        <f>6.6047 * CHOOSE(CONTROL!$C$32, $C$9, 100%, $E$9)</f>
        <v>6.6047000000000002</v>
      </c>
    </row>
    <row r="353" spans="1:15" ht="15" x14ac:dyDescent="0.2">
      <c r="A353" s="13">
        <v>51592</v>
      </c>
      <c r="B353" s="9">
        <f>5.3858 * CHOOSE(CONTROL!$C$32, $C$9, 100%, $E$9)</f>
        <v>5.3857999999999997</v>
      </c>
      <c r="C353" s="9">
        <f>5.3858 * CHOOSE(CONTROL!$C$32, $C$9, 100%, $E$9)</f>
        <v>5.3857999999999997</v>
      </c>
      <c r="D353" s="9">
        <f>5.3868 * CHOOSE(CONTROL!$C$32, $C$9, 100%, $E$9)</f>
        <v>5.3868</v>
      </c>
      <c r="E353" s="11">
        <f>6.6974 * CHOOSE(CONTROL!$C$32, $C$9, 100%, $E$9)</f>
        <v>6.6974</v>
      </c>
      <c r="F353" s="11">
        <f>6.6974 * CHOOSE(CONTROL!$C$32, $C$9, 100%, $E$9)</f>
        <v>6.6974</v>
      </c>
      <c r="G353" s="11">
        <f>6.701 * CHOOSE(CONTROL!$C$32, $C$9, 100%, $E$9)</f>
        <v>6.7009999999999996</v>
      </c>
      <c r="H353" s="11">
        <f>11.2278 * CHOOSE(CONTROL!$C$32, $C$9, 100%, $E$9)</f>
        <v>11.2278</v>
      </c>
      <c r="I353" s="11">
        <f>11.2314 * CHOOSE(CONTROL!$C$32, $C$9, 100%, $E$9)</f>
        <v>11.231400000000001</v>
      </c>
      <c r="J353" s="11">
        <f>11.2278 * CHOOSE(CONTROL!$C$32, $C$9, 100%, $E$9)</f>
        <v>11.2278</v>
      </c>
      <c r="K353" s="11">
        <f>11.2314 * CHOOSE(CONTROL!$C$32, $C$9, 100%, $E$9)</f>
        <v>11.231400000000001</v>
      </c>
      <c r="L353" s="11">
        <f>6.6974 * CHOOSE(CONTROL!$C$32, $C$9, 100%, $E$9)</f>
        <v>6.6974</v>
      </c>
      <c r="M353" s="11">
        <f>6.701 * CHOOSE(CONTROL!$C$32, $C$9, 100%, $E$9)</f>
        <v>6.7009999999999996</v>
      </c>
      <c r="N353" s="11">
        <f>6.6974 * CHOOSE(CONTROL!$C$32, $C$9, 100%, $E$9)</f>
        <v>6.6974</v>
      </c>
      <c r="O353" s="11">
        <f>6.701 * CHOOSE(CONTROL!$C$32, $C$9, 100%, $E$9)</f>
        <v>6.7009999999999996</v>
      </c>
    </row>
    <row r="354" spans="1:15" ht="15" x14ac:dyDescent="0.2">
      <c r="A354" s="13">
        <v>51622</v>
      </c>
      <c r="B354" s="9">
        <f>5.3858 * CHOOSE(CONTROL!$C$32, $C$9, 100%, $E$9)</f>
        <v>5.3857999999999997</v>
      </c>
      <c r="C354" s="9">
        <f>5.3858 * CHOOSE(CONTROL!$C$32, $C$9, 100%, $E$9)</f>
        <v>5.3857999999999997</v>
      </c>
      <c r="D354" s="9">
        <f>5.3873 * CHOOSE(CONTROL!$C$32, $C$9, 100%, $E$9)</f>
        <v>5.3872999999999998</v>
      </c>
      <c r="E354" s="11">
        <f>6.7351 * CHOOSE(CONTROL!$C$32, $C$9, 100%, $E$9)</f>
        <v>6.7351000000000001</v>
      </c>
      <c r="F354" s="11">
        <f>6.7351 * CHOOSE(CONTROL!$C$32, $C$9, 100%, $E$9)</f>
        <v>6.7351000000000001</v>
      </c>
      <c r="G354" s="11">
        <f>6.7404 * CHOOSE(CONTROL!$C$32, $C$9, 100%, $E$9)</f>
        <v>6.7404000000000002</v>
      </c>
      <c r="H354" s="11">
        <f>11.2512 * CHOOSE(CONTROL!$C$32, $C$9, 100%, $E$9)</f>
        <v>11.251200000000001</v>
      </c>
      <c r="I354" s="11">
        <f>11.2565 * CHOOSE(CONTROL!$C$32, $C$9, 100%, $E$9)</f>
        <v>11.256500000000001</v>
      </c>
      <c r="J354" s="11">
        <f>11.2512 * CHOOSE(CONTROL!$C$32, $C$9, 100%, $E$9)</f>
        <v>11.251200000000001</v>
      </c>
      <c r="K354" s="11">
        <f>11.2565 * CHOOSE(CONTROL!$C$32, $C$9, 100%, $E$9)</f>
        <v>11.256500000000001</v>
      </c>
      <c r="L354" s="11">
        <f>6.7351 * CHOOSE(CONTROL!$C$32, $C$9, 100%, $E$9)</f>
        <v>6.7351000000000001</v>
      </c>
      <c r="M354" s="11">
        <f>6.7404 * CHOOSE(CONTROL!$C$32, $C$9, 100%, $E$9)</f>
        <v>6.7404000000000002</v>
      </c>
      <c r="N354" s="11">
        <f>6.7351 * CHOOSE(CONTROL!$C$32, $C$9, 100%, $E$9)</f>
        <v>6.7351000000000001</v>
      </c>
      <c r="O354" s="11">
        <f>6.7404 * CHOOSE(CONTROL!$C$32, $C$9, 100%, $E$9)</f>
        <v>6.7404000000000002</v>
      </c>
    </row>
    <row r="355" spans="1:15" ht="15" x14ac:dyDescent="0.2">
      <c r="A355" s="13">
        <v>51653</v>
      </c>
      <c r="B355" s="9">
        <f>5.3918 * CHOOSE(CONTROL!$C$32, $C$9, 100%, $E$9)</f>
        <v>5.3917999999999999</v>
      </c>
      <c r="C355" s="9">
        <f>5.3918 * CHOOSE(CONTROL!$C$32, $C$9, 100%, $E$9)</f>
        <v>5.3917999999999999</v>
      </c>
      <c r="D355" s="9">
        <f>5.3934 * CHOOSE(CONTROL!$C$32, $C$9, 100%, $E$9)</f>
        <v>5.3933999999999997</v>
      </c>
      <c r="E355" s="11">
        <f>6.7016 * CHOOSE(CONTROL!$C$32, $C$9, 100%, $E$9)</f>
        <v>6.7016</v>
      </c>
      <c r="F355" s="11">
        <f>6.7016 * CHOOSE(CONTROL!$C$32, $C$9, 100%, $E$9)</f>
        <v>6.7016</v>
      </c>
      <c r="G355" s="11">
        <f>6.7069 * CHOOSE(CONTROL!$C$32, $C$9, 100%, $E$9)</f>
        <v>6.7069000000000001</v>
      </c>
      <c r="H355" s="11">
        <f>11.2747 * CHOOSE(CONTROL!$C$32, $C$9, 100%, $E$9)</f>
        <v>11.274699999999999</v>
      </c>
      <c r="I355" s="11">
        <f>11.28 * CHOOSE(CONTROL!$C$32, $C$9, 100%, $E$9)</f>
        <v>11.28</v>
      </c>
      <c r="J355" s="11">
        <f>11.2747 * CHOOSE(CONTROL!$C$32, $C$9, 100%, $E$9)</f>
        <v>11.274699999999999</v>
      </c>
      <c r="K355" s="11">
        <f>11.28 * CHOOSE(CONTROL!$C$32, $C$9, 100%, $E$9)</f>
        <v>11.28</v>
      </c>
      <c r="L355" s="11">
        <f>6.7016 * CHOOSE(CONTROL!$C$32, $C$9, 100%, $E$9)</f>
        <v>6.7016</v>
      </c>
      <c r="M355" s="11">
        <f>6.7069 * CHOOSE(CONTROL!$C$32, $C$9, 100%, $E$9)</f>
        <v>6.7069000000000001</v>
      </c>
      <c r="N355" s="11">
        <f>6.7016 * CHOOSE(CONTROL!$C$32, $C$9, 100%, $E$9)</f>
        <v>6.7016</v>
      </c>
      <c r="O355" s="11">
        <f>6.7069 * CHOOSE(CONTROL!$C$32, $C$9, 100%, $E$9)</f>
        <v>6.7069000000000001</v>
      </c>
    </row>
    <row r="356" spans="1:15" ht="15" x14ac:dyDescent="0.2">
      <c r="A356" s="13">
        <v>51683</v>
      </c>
      <c r="B356" s="9">
        <f>5.4648 * CHOOSE(CONTROL!$C$32, $C$9, 100%, $E$9)</f>
        <v>5.4648000000000003</v>
      </c>
      <c r="C356" s="9">
        <f>5.4648 * CHOOSE(CONTROL!$C$32, $C$9, 100%, $E$9)</f>
        <v>5.4648000000000003</v>
      </c>
      <c r="D356" s="9">
        <f>5.4664 * CHOOSE(CONTROL!$C$32, $C$9, 100%, $E$9)</f>
        <v>5.4664000000000001</v>
      </c>
      <c r="E356" s="11">
        <f>6.7253 * CHOOSE(CONTROL!$C$32, $C$9, 100%, $E$9)</f>
        <v>6.7252999999999998</v>
      </c>
      <c r="F356" s="11">
        <f>6.7253 * CHOOSE(CONTROL!$C$32, $C$9, 100%, $E$9)</f>
        <v>6.7252999999999998</v>
      </c>
      <c r="G356" s="11">
        <f>6.7306 * CHOOSE(CONTROL!$C$32, $C$9, 100%, $E$9)</f>
        <v>6.7305999999999999</v>
      </c>
      <c r="H356" s="11">
        <f>11.2981 * CHOOSE(CONTROL!$C$32, $C$9, 100%, $E$9)</f>
        <v>11.2981</v>
      </c>
      <c r="I356" s="11">
        <f>11.3034 * CHOOSE(CONTROL!$C$32, $C$9, 100%, $E$9)</f>
        <v>11.3034</v>
      </c>
      <c r="J356" s="11">
        <f>11.2981 * CHOOSE(CONTROL!$C$32, $C$9, 100%, $E$9)</f>
        <v>11.2981</v>
      </c>
      <c r="K356" s="11">
        <f>11.3034 * CHOOSE(CONTROL!$C$32, $C$9, 100%, $E$9)</f>
        <v>11.3034</v>
      </c>
      <c r="L356" s="11">
        <f>6.7253 * CHOOSE(CONTROL!$C$32, $C$9, 100%, $E$9)</f>
        <v>6.7252999999999998</v>
      </c>
      <c r="M356" s="11">
        <f>6.7306 * CHOOSE(CONTROL!$C$32, $C$9, 100%, $E$9)</f>
        <v>6.7305999999999999</v>
      </c>
      <c r="N356" s="11">
        <f>6.7253 * CHOOSE(CONTROL!$C$32, $C$9, 100%, $E$9)</f>
        <v>6.7252999999999998</v>
      </c>
      <c r="O356" s="11">
        <f>6.7306 * CHOOSE(CONTROL!$C$32, $C$9, 100%, $E$9)</f>
        <v>6.7305999999999999</v>
      </c>
    </row>
    <row r="357" spans="1:15" ht="15" x14ac:dyDescent="0.2">
      <c r="A357" s="13">
        <v>51714</v>
      </c>
      <c r="B357" s="9">
        <f>5.4715 * CHOOSE(CONTROL!$C$32, $C$9, 100%, $E$9)</f>
        <v>5.4714999999999998</v>
      </c>
      <c r="C357" s="9">
        <f>5.4715 * CHOOSE(CONTROL!$C$32, $C$9, 100%, $E$9)</f>
        <v>5.4714999999999998</v>
      </c>
      <c r="D357" s="9">
        <f>5.4731 * CHOOSE(CONTROL!$C$32, $C$9, 100%, $E$9)</f>
        <v>5.4730999999999996</v>
      </c>
      <c r="E357" s="11">
        <f>6.6169 * CHOOSE(CONTROL!$C$32, $C$9, 100%, $E$9)</f>
        <v>6.6169000000000002</v>
      </c>
      <c r="F357" s="11">
        <f>6.6169 * CHOOSE(CONTROL!$C$32, $C$9, 100%, $E$9)</f>
        <v>6.6169000000000002</v>
      </c>
      <c r="G357" s="11">
        <f>6.6222 * CHOOSE(CONTROL!$C$32, $C$9, 100%, $E$9)</f>
        <v>6.6222000000000003</v>
      </c>
      <c r="H357" s="11">
        <f>11.3217 * CHOOSE(CONTROL!$C$32, $C$9, 100%, $E$9)</f>
        <v>11.3217</v>
      </c>
      <c r="I357" s="11">
        <f>11.327 * CHOOSE(CONTROL!$C$32, $C$9, 100%, $E$9)</f>
        <v>11.327</v>
      </c>
      <c r="J357" s="11">
        <f>11.3217 * CHOOSE(CONTROL!$C$32, $C$9, 100%, $E$9)</f>
        <v>11.3217</v>
      </c>
      <c r="K357" s="11">
        <f>11.327 * CHOOSE(CONTROL!$C$32, $C$9, 100%, $E$9)</f>
        <v>11.327</v>
      </c>
      <c r="L357" s="11">
        <f>6.6169 * CHOOSE(CONTROL!$C$32, $C$9, 100%, $E$9)</f>
        <v>6.6169000000000002</v>
      </c>
      <c r="M357" s="11">
        <f>6.6222 * CHOOSE(CONTROL!$C$32, $C$9, 100%, $E$9)</f>
        <v>6.6222000000000003</v>
      </c>
      <c r="N357" s="11">
        <f>6.6169 * CHOOSE(CONTROL!$C$32, $C$9, 100%, $E$9)</f>
        <v>6.6169000000000002</v>
      </c>
      <c r="O357" s="11">
        <f>6.6222 * CHOOSE(CONTROL!$C$32, $C$9, 100%, $E$9)</f>
        <v>6.6222000000000003</v>
      </c>
    </row>
    <row r="358" spans="1:15" ht="15" x14ac:dyDescent="0.2">
      <c r="A358" s="13">
        <v>51745</v>
      </c>
      <c r="B358" s="9">
        <f>5.4685 * CHOOSE(CONTROL!$C$32, $C$9, 100%, $E$9)</f>
        <v>5.4684999999999997</v>
      </c>
      <c r="C358" s="9">
        <f>5.4685 * CHOOSE(CONTROL!$C$32, $C$9, 100%, $E$9)</f>
        <v>5.4684999999999997</v>
      </c>
      <c r="D358" s="9">
        <f>5.47 * CHOOSE(CONTROL!$C$32, $C$9, 100%, $E$9)</f>
        <v>5.47</v>
      </c>
      <c r="E358" s="11">
        <f>6.6022 * CHOOSE(CONTROL!$C$32, $C$9, 100%, $E$9)</f>
        <v>6.6021999999999998</v>
      </c>
      <c r="F358" s="11">
        <f>6.6022 * CHOOSE(CONTROL!$C$32, $C$9, 100%, $E$9)</f>
        <v>6.6021999999999998</v>
      </c>
      <c r="G358" s="11">
        <f>6.6075 * CHOOSE(CONTROL!$C$32, $C$9, 100%, $E$9)</f>
        <v>6.6074999999999999</v>
      </c>
      <c r="H358" s="11">
        <f>11.3453 * CHOOSE(CONTROL!$C$32, $C$9, 100%, $E$9)</f>
        <v>11.3453</v>
      </c>
      <c r="I358" s="11">
        <f>11.3506 * CHOOSE(CONTROL!$C$32, $C$9, 100%, $E$9)</f>
        <v>11.3506</v>
      </c>
      <c r="J358" s="11">
        <f>11.3453 * CHOOSE(CONTROL!$C$32, $C$9, 100%, $E$9)</f>
        <v>11.3453</v>
      </c>
      <c r="K358" s="11">
        <f>11.3506 * CHOOSE(CONTROL!$C$32, $C$9, 100%, $E$9)</f>
        <v>11.3506</v>
      </c>
      <c r="L358" s="11">
        <f>6.6022 * CHOOSE(CONTROL!$C$32, $C$9, 100%, $E$9)</f>
        <v>6.6021999999999998</v>
      </c>
      <c r="M358" s="11">
        <f>6.6075 * CHOOSE(CONTROL!$C$32, $C$9, 100%, $E$9)</f>
        <v>6.6074999999999999</v>
      </c>
      <c r="N358" s="11">
        <f>6.6022 * CHOOSE(CONTROL!$C$32, $C$9, 100%, $E$9)</f>
        <v>6.6021999999999998</v>
      </c>
      <c r="O358" s="11">
        <f>6.6075 * CHOOSE(CONTROL!$C$32, $C$9, 100%, $E$9)</f>
        <v>6.6074999999999999</v>
      </c>
    </row>
    <row r="359" spans="1:15" ht="15" x14ac:dyDescent="0.2">
      <c r="A359" s="13">
        <v>51775</v>
      </c>
      <c r="B359" s="9">
        <f>5.469 * CHOOSE(CONTROL!$C$32, $C$9, 100%, $E$9)</f>
        <v>5.4690000000000003</v>
      </c>
      <c r="C359" s="9">
        <f>5.469 * CHOOSE(CONTROL!$C$32, $C$9, 100%, $E$9)</f>
        <v>5.4690000000000003</v>
      </c>
      <c r="D359" s="9">
        <f>5.47 * CHOOSE(CONTROL!$C$32, $C$9, 100%, $E$9)</f>
        <v>5.47</v>
      </c>
      <c r="E359" s="11">
        <f>6.639 * CHOOSE(CONTROL!$C$32, $C$9, 100%, $E$9)</f>
        <v>6.6390000000000002</v>
      </c>
      <c r="F359" s="11">
        <f>6.639 * CHOOSE(CONTROL!$C$32, $C$9, 100%, $E$9)</f>
        <v>6.6390000000000002</v>
      </c>
      <c r="G359" s="11">
        <f>6.6427 * CHOOSE(CONTROL!$C$32, $C$9, 100%, $E$9)</f>
        <v>6.6426999999999996</v>
      </c>
      <c r="H359" s="11">
        <f>11.3689 * CHOOSE(CONTROL!$C$32, $C$9, 100%, $E$9)</f>
        <v>11.3689</v>
      </c>
      <c r="I359" s="11">
        <f>11.3725 * CHOOSE(CONTROL!$C$32, $C$9, 100%, $E$9)</f>
        <v>11.3725</v>
      </c>
      <c r="J359" s="11">
        <f>11.3689 * CHOOSE(CONTROL!$C$32, $C$9, 100%, $E$9)</f>
        <v>11.3689</v>
      </c>
      <c r="K359" s="11">
        <f>11.3725 * CHOOSE(CONTROL!$C$32, $C$9, 100%, $E$9)</f>
        <v>11.3725</v>
      </c>
      <c r="L359" s="11">
        <f>6.639 * CHOOSE(CONTROL!$C$32, $C$9, 100%, $E$9)</f>
        <v>6.6390000000000002</v>
      </c>
      <c r="M359" s="11">
        <f>6.6427 * CHOOSE(CONTROL!$C$32, $C$9, 100%, $E$9)</f>
        <v>6.6426999999999996</v>
      </c>
      <c r="N359" s="11">
        <f>6.639 * CHOOSE(CONTROL!$C$32, $C$9, 100%, $E$9)</f>
        <v>6.6390000000000002</v>
      </c>
      <c r="O359" s="11">
        <f>6.6427 * CHOOSE(CONTROL!$C$32, $C$9, 100%, $E$9)</f>
        <v>6.6426999999999996</v>
      </c>
    </row>
    <row r="360" spans="1:15" ht="15" x14ac:dyDescent="0.2">
      <c r="A360" s="13">
        <v>51806</v>
      </c>
      <c r="B360" s="9">
        <f>5.472 * CHOOSE(CONTROL!$C$32, $C$9, 100%, $E$9)</f>
        <v>5.4720000000000004</v>
      </c>
      <c r="C360" s="9">
        <f>5.472 * CHOOSE(CONTROL!$C$32, $C$9, 100%, $E$9)</f>
        <v>5.4720000000000004</v>
      </c>
      <c r="D360" s="9">
        <f>5.4731 * CHOOSE(CONTROL!$C$32, $C$9, 100%, $E$9)</f>
        <v>5.4730999999999996</v>
      </c>
      <c r="E360" s="11">
        <f>6.6663 * CHOOSE(CONTROL!$C$32, $C$9, 100%, $E$9)</f>
        <v>6.6662999999999997</v>
      </c>
      <c r="F360" s="11">
        <f>6.6663 * CHOOSE(CONTROL!$C$32, $C$9, 100%, $E$9)</f>
        <v>6.6662999999999997</v>
      </c>
      <c r="G360" s="11">
        <f>6.6699 * CHOOSE(CONTROL!$C$32, $C$9, 100%, $E$9)</f>
        <v>6.6699000000000002</v>
      </c>
      <c r="H360" s="11">
        <f>11.3926 * CHOOSE(CONTROL!$C$32, $C$9, 100%, $E$9)</f>
        <v>11.3926</v>
      </c>
      <c r="I360" s="11">
        <f>11.3962 * CHOOSE(CONTROL!$C$32, $C$9, 100%, $E$9)</f>
        <v>11.3962</v>
      </c>
      <c r="J360" s="11">
        <f>11.3926 * CHOOSE(CONTROL!$C$32, $C$9, 100%, $E$9)</f>
        <v>11.3926</v>
      </c>
      <c r="K360" s="11">
        <f>11.3962 * CHOOSE(CONTROL!$C$32, $C$9, 100%, $E$9)</f>
        <v>11.3962</v>
      </c>
      <c r="L360" s="11">
        <f>6.6663 * CHOOSE(CONTROL!$C$32, $C$9, 100%, $E$9)</f>
        <v>6.6662999999999997</v>
      </c>
      <c r="M360" s="11">
        <f>6.6699 * CHOOSE(CONTROL!$C$32, $C$9, 100%, $E$9)</f>
        <v>6.6699000000000002</v>
      </c>
      <c r="N360" s="11">
        <f>6.6663 * CHOOSE(CONTROL!$C$32, $C$9, 100%, $E$9)</f>
        <v>6.6662999999999997</v>
      </c>
      <c r="O360" s="11">
        <f>6.6699 * CHOOSE(CONTROL!$C$32, $C$9, 100%, $E$9)</f>
        <v>6.6699000000000002</v>
      </c>
    </row>
    <row r="361" spans="1:15" ht="15" x14ac:dyDescent="0.2">
      <c r="A361" s="13">
        <v>51836</v>
      </c>
      <c r="B361" s="9">
        <f>5.472 * CHOOSE(CONTROL!$C$32, $C$9, 100%, $E$9)</f>
        <v>5.4720000000000004</v>
      </c>
      <c r="C361" s="9">
        <f>5.472 * CHOOSE(CONTROL!$C$32, $C$9, 100%, $E$9)</f>
        <v>5.4720000000000004</v>
      </c>
      <c r="D361" s="9">
        <f>5.4731 * CHOOSE(CONTROL!$C$32, $C$9, 100%, $E$9)</f>
        <v>5.4730999999999996</v>
      </c>
      <c r="E361" s="11">
        <f>6.6035 * CHOOSE(CONTROL!$C$32, $C$9, 100%, $E$9)</f>
        <v>6.6035000000000004</v>
      </c>
      <c r="F361" s="11">
        <f>6.6035 * CHOOSE(CONTROL!$C$32, $C$9, 100%, $E$9)</f>
        <v>6.6035000000000004</v>
      </c>
      <c r="G361" s="11">
        <f>6.6071 * CHOOSE(CONTROL!$C$32, $C$9, 100%, $E$9)</f>
        <v>6.6071</v>
      </c>
      <c r="H361" s="11">
        <f>11.4163 * CHOOSE(CONTROL!$C$32, $C$9, 100%, $E$9)</f>
        <v>11.4163</v>
      </c>
      <c r="I361" s="11">
        <f>11.4199 * CHOOSE(CONTROL!$C$32, $C$9, 100%, $E$9)</f>
        <v>11.4199</v>
      </c>
      <c r="J361" s="11">
        <f>11.4163 * CHOOSE(CONTROL!$C$32, $C$9, 100%, $E$9)</f>
        <v>11.4163</v>
      </c>
      <c r="K361" s="11">
        <f>11.4199 * CHOOSE(CONTROL!$C$32, $C$9, 100%, $E$9)</f>
        <v>11.4199</v>
      </c>
      <c r="L361" s="11">
        <f>6.6035 * CHOOSE(CONTROL!$C$32, $C$9, 100%, $E$9)</f>
        <v>6.6035000000000004</v>
      </c>
      <c r="M361" s="11">
        <f>6.6071 * CHOOSE(CONTROL!$C$32, $C$9, 100%, $E$9)</f>
        <v>6.6071</v>
      </c>
      <c r="N361" s="11">
        <f>6.6035 * CHOOSE(CONTROL!$C$32, $C$9, 100%, $E$9)</f>
        <v>6.6035000000000004</v>
      </c>
      <c r="O361" s="11">
        <f>6.6071 * CHOOSE(CONTROL!$C$32, $C$9, 100%, $E$9)</f>
        <v>6.6071</v>
      </c>
    </row>
    <row r="362" spans="1:15" ht="15" x14ac:dyDescent="0.2">
      <c r="A362" s="13">
        <v>51867</v>
      </c>
      <c r="B362" s="9">
        <f>5.5145 * CHOOSE(CONTROL!$C$32, $C$9, 100%, $E$9)</f>
        <v>5.5145</v>
      </c>
      <c r="C362" s="9">
        <f>5.5145 * CHOOSE(CONTROL!$C$32, $C$9, 100%, $E$9)</f>
        <v>5.5145</v>
      </c>
      <c r="D362" s="9">
        <f>5.5156 * CHOOSE(CONTROL!$C$32, $C$9, 100%, $E$9)</f>
        <v>5.5156000000000001</v>
      </c>
      <c r="E362" s="11">
        <f>6.6708 * CHOOSE(CONTROL!$C$32, $C$9, 100%, $E$9)</f>
        <v>6.6707999999999998</v>
      </c>
      <c r="F362" s="11">
        <f>6.6708 * CHOOSE(CONTROL!$C$32, $C$9, 100%, $E$9)</f>
        <v>6.6707999999999998</v>
      </c>
      <c r="G362" s="11">
        <f>6.6744 * CHOOSE(CONTROL!$C$32, $C$9, 100%, $E$9)</f>
        <v>6.6744000000000003</v>
      </c>
      <c r="H362" s="11">
        <f>11.4401 * CHOOSE(CONTROL!$C$32, $C$9, 100%, $E$9)</f>
        <v>11.440099999999999</v>
      </c>
      <c r="I362" s="11">
        <f>11.4437 * CHOOSE(CONTROL!$C$32, $C$9, 100%, $E$9)</f>
        <v>11.4437</v>
      </c>
      <c r="J362" s="11">
        <f>11.4401 * CHOOSE(CONTROL!$C$32, $C$9, 100%, $E$9)</f>
        <v>11.440099999999999</v>
      </c>
      <c r="K362" s="11">
        <f>11.4437 * CHOOSE(CONTROL!$C$32, $C$9, 100%, $E$9)</f>
        <v>11.4437</v>
      </c>
      <c r="L362" s="11">
        <f>6.6708 * CHOOSE(CONTROL!$C$32, $C$9, 100%, $E$9)</f>
        <v>6.6707999999999998</v>
      </c>
      <c r="M362" s="11">
        <f>6.6744 * CHOOSE(CONTROL!$C$32, $C$9, 100%, $E$9)</f>
        <v>6.6744000000000003</v>
      </c>
      <c r="N362" s="11">
        <f>6.6708 * CHOOSE(CONTROL!$C$32, $C$9, 100%, $E$9)</f>
        <v>6.6707999999999998</v>
      </c>
      <c r="O362" s="11">
        <f>6.6744 * CHOOSE(CONTROL!$C$32, $C$9, 100%, $E$9)</f>
        <v>6.6744000000000003</v>
      </c>
    </row>
    <row r="363" spans="1:15" ht="15" x14ac:dyDescent="0.2">
      <c r="A363" s="13">
        <v>51898</v>
      </c>
      <c r="B363" s="9">
        <f>5.5115 * CHOOSE(CONTROL!$C$32, $C$9, 100%, $E$9)</f>
        <v>5.5114999999999998</v>
      </c>
      <c r="C363" s="9">
        <f>5.5115 * CHOOSE(CONTROL!$C$32, $C$9, 100%, $E$9)</f>
        <v>5.5114999999999998</v>
      </c>
      <c r="D363" s="9">
        <f>5.5125 * CHOOSE(CONTROL!$C$32, $C$9, 100%, $E$9)</f>
        <v>5.5125000000000002</v>
      </c>
      <c r="E363" s="11">
        <f>6.5461 * CHOOSE(CONTROL!$C$32, $C$9, 100%, $E$9)</f>
        <v>6.5461</v>
      </c>
      <c r="F363" s="11">
        <f>6.5461 * CHOOSE(CONTROL!$C$32, $C$9, 100%, $E$9)</f>
        <v>6.5461</v>
      </c>
      <c r="G363" s="11">
        <f>6.5497 * CHOOSE(CONTROL!$C$32, $C$9, 100%, $E$9)</f>
        <v>6.5496999999999996</v>
      </c>
      <c r="H363" s="11">
        <f>11.4639 * CHOOSE(CONTROL!$C$32, $C$9, 100%, $E$9)</f>
        <v>11.463900000000001</v>
      </c>
      <c r="I363" s="11">
        <f>11.4676 * CHOOSE(CONTROL!$C$32, $C$9, 100%, $E$9)</f>
        <v>11.467599999999999</v>
      </c>
      <c r="J363" s="11">
        <f>11.4639 * CHOOSE(CONTROL!$C$32, $C$9, 100%, $E$9)</f>
        <v>11.463900000000001</v>
      </c>
      <c r="K363" s="11">
        <f>11.4676 * CHOOSE(CONTROL!$C$32, $C$9, 100%, $E$9)</f>
        <v>11.467599999999999</v>
      </c>
      <c r="L363" s="11">
        <f>6.5461 * CHOOSE(CONTROL!$C$32, $C$9, 100%, $E$9)</f>
        <v>6.5461</v>
      </c>
      <c r="M363" s="11">
        <f>6.5497 * CHOOSE(CONTROL!$C$32, $C$9, 100%, $E$9)</f>
        <v>6.5496999999999996</v>
      </c>
      <c r="N363" s="11">
        <f>6.5461 * CHOOSE(CONTROL!$C$32, $C$9, 100%, $E$9)</f>
        <v>6.5461</v>
      </c>
      <c r="O363" s="11">
        <f>6.5497 * CHOOSE(CONTROL!$C$32, $C$9, 100%, $E$9)</f>
        <v>6.5496999999999996</v>
      </c>
    </row>
    <row r="364" spans="1:15" ht="15" x14ac:dyDescent="0.2">
      <c r="A364" s="13">
        <v>51926</v>
      </c>
      <c r="B364" s="9">
        <f>5.5084 * CHOOSE(CONTROL!$C$32, $C$9, 100%, $E$9)</f>
        <v>5.5084</v>
      </c>
      <c r="C364" s="9">
        <f>5.5084 * CHOOSE(CONTROL!$C$32, $C$9, 100%, $E$9)</f>
        <v>5.5084</v>
      </c>
      <c r="D364" s="9">
        <f>5.5095 * CHOOSE(CONTROL!$C$32, $C$9, 100%, $E$9)</f>
        <v>5.5095000000000001</v>
      </c>
      <c r="E364" s="11">
        <f>6.6406 * CHOOSE(CONTROL!$C$32, $C$9, 100%, $E$9)</f>
        <v>6.6406000000000001</v>
      </c>
      <c r="F364" s="11">
        <f>6.6406 * CHOOSE(CONTROL!$C$32, $C$9, 100%, $E$9)</f>
        <v>6.6406000000000001</v>
      </c>
      <c r="G364" s="11">
        <f>6.6442 * CHOOSE(CONTROL!$C$32, $C$9, 100%, $E$9)</f>
        <v>6.6441999999999997</v>
      </c>
      <c r="H364" s="11">
        <f>11.4878 * CHOOSE(CONTROL!$C$32, $C$9, 100%, $E$9)</f>
        <v>11.4878</v>
      </c>
      <c r="I364" s="11">
        <f>11.4914 * CHOOSE(CONTROL!$C$32, $C$9, 100%, $E$9)</f>
        <v>11.491400000000001</v>
      </c>
      <c r="J364" s="11">
        <f>11.4878 * CHOOSE(CONTROL!$C$32, $C$9, 100%, $E$9)</f>
        <v>11.4878</v>
      </c>
      <c r="K364" s="11">
        <f>11.4914 * CHOOSE(CONTROL!$C$32, $C$9, 100%, $E$9)</f>
        <v>11.491400000000001</v>
      </c>
      <c r="L364" s="11">
        <f>6.6406 * CHOOSE(CONTROL!$C$32, $C$9, 100%, $E$9)</f>
        <v>6.6406000000000001</v>
      </c>
      <c r="M364" s="11">
        <f>6.6442 * CHOOSE(CONTROL!$C$32, $C$9, 100%, $E$9)</f>
        <v>6.6441999999999997</v>
      </c>
      <c r="N364" s="11">
        <f>6.6406 * CHOOSE(CONTROL!$C$32, $C$9, 100%, $E$9)</f>
        <v>6.6406000000000001</v>
      </c>
      <c r="O364" s="11">
        <f>6.6442 * CHOOSE(CONTROL!$C$32, $C$9, 100%, $E$9)</f>
        <v>6.6441999999999997</v>
      </c>
    </row>
    <row r="365" spans="1:15" ht="15" x14ac:dyDescent="0.2">
      <c r="A365" s="13">
        <v>51957</v>
      </c>
      <c r="B365" s="9">
        <f>5.5075 * CHOOSE(CONTROL!$C$32, $C$9, 100%, $E$9)</f>
        <v>5.5075000000000003</v>
      </c>
      <c r="C365" s="9">
        <f>5.5075 * CHOOSE(CONTROL!$C$32, $C$9, 100%, $E$9)</f>
        <v>5.5075000000000003</v>
      </c>
      <c r="D365" s="9">
        <f>5.5086 * CHOOSE(CONTROL!$C$32, $C$9, 100%, $E$9)</f>
        <v>5.5086000000000004</v>
      </c>
      <c r="E365" s="11">
        <f>6.7402 * CHOOSE(CONTROL!$C$32, $C$9, 100%, $E$9)</f>
        <v>6.7401999999999997</v>
      </c>
      <c r="F365" s="11">
        <f>6.7402 * CHOOSE(CONTROL!$C$32, $C$9, 100%, $E$9)</f>
        <v>6.7401999999999997</v>
      </c>
      <c r="G365" s="11">
        <f>6.7438 * CHOOSE(CONTROL!$C$32, $C$9, 100%, $E$9)</f>
        <v>6.7438000000000002</v>
      </c>
      <c r="H365" s="11">
        <f>11.5118 * CHOOSE(CONTROL!$C$32, $C$9, 100%, $E$9)</f>
        <v>11.511799999999999</v>
      </c>
      <c r="I365" s="11">
        <f>11.5154 * CHOOSE(CONTROL!$C$32, $C$9, 100%, $E$9)</f>
        <v>11.5154</v>
      </c>
      <c r="J365" s="11">
        <f>11.5118 * CHOOSE(CONTROL!$C$32, $C$9, 100%, $E$9)</f>
        <v>11.511799999999999</v>
      </c>
      <c r="K365" s="11">
        <f>11.5154 * CHOOSE(CONTROL!$C$32, $C$9, 100%, $E$9)</f>
        <v>11.5154</v>
      </c>
      <c r="L365" s="11">
        <f>6.7402 * CHOOSE(CONTROL!$C$32, $C$9, 100%, $E$9)</f>
        <v>6.7401999999999997</v>
      </c>
      <c r="M365" s="11">
        <f>6.7438 * CHOOSE(CONTROL!$C$32, $C$9, 100%, $E$9)</f>
        <v>6.7438000000000002</v>
      </c>
      <c r="N365" s="11">
        <f>6.7402 * CHOOSE(CONTROL!$C$32, $C$9, 100%, $E$9)</f>
        <v>6.7401999999999997</v>
      </c>
      <c r="O365" s="11">
        <f>6.7438 * CHOOSE(CONTROL!$C$32, $C$9, 100%, $E$9)</f>
        <v>6.7438000000000002</v>
      </c>
    </row>
    <row r="366" spans="1:15" ht="15" x14ac:dyDescent="0.2">
      <c r="A366" s="13">
        <v>51987</v>
      </c>
      <c r="B366" s="9">
        <f>5.5075 * CHOOSE(CONTROL!$C$32, $C$9, 100%, $E$9)</f>
        <v>5.5075000000000003</v>
      </c>
      <c r="C366" s="9">
        <f>5.5075 * CHOOSE(CONTROL!$C$32, $C$9, 100%, $E$9)</f>
        <v>5.5075000000000003</v>
      </c>
      <c r="D366" s="9">
        <f>5.5091 * CHOOSE(CONTROL!$C$32, $C$9, 100%, $E$9)</f>
        <v>5.5091000000000001</v>
      </c>
      <c r="E366" s="11">
        <f>6.7791 * CHOOSE(CONTROL!$C$32, $C$9, 100%, $E$9)</f>
        <v>6.7790999999999997</v>
      </c>
      <c r="F366" s="11">
        <f>6.7791 * CHOOSE(CONTROL!$C$32, $C$9, 100%, $E$9)</f>
        <v>6.7790999999999997</v>
      </c>
      <c r="G366" s="11">
        <f>6.7844 * CHOOSE(CONTROL!$C$32, $C$9, 100%, $E$9)</f>
        <v>6.7843999999999998</v>
      </c>
      <c r="H366" s="11">
        <f>11.5357 * CHOOSE(CONTROL!$C$32, $C$9, 100%, $E$9)</f>
        <v>11.5357</v>
      </c>
      <c r="I366" s="11">
        <f>11.541 * CHOOSE(CONTROL!$C$32, $C$9, 100%, $E$9)</f>
        <v>11.541</v>
      </c>
      <c r="J366" s="11">
        <f>11.5357 * CHOOSE(CONTROL!$C$32, $C$9, 100%, $E$9)</f>
        <v>11.5357</v>
      </c>
      <c r="K366" s="11">
        <f>11.541 * CHOOSE(CONTROL!$C$32, $C$9, 100%, $E$9)</f>
        <v>11.541</v>
      </c>
      <c r="L366" s="11">
        <f>6.7791 * CHOOSE(CONTROL!$C$32, $C$9, 100%, $E$9)</f>
        <v>6.7790999999999997</v>
      </c>
      <c r="M366" s="11">
        <f>6.7844 * CHOOSE(CONTROL!$C$32, $C$9, 100%, $E$9)</f>
        <v>6.7843999999999998</v>
      </c>
      <c r="N366" s="11">
        <f>6.7791 * CHOOSE(CONTROL!$C$32, $C$9, 100%, $E$9)</f>
        <v>6.7790999999999997</v>
      </c>
      <c r="O366" s="11">
        <f>6.7844 * CHOOSE(CONTROL!$C$32, $C$9, 100%, $E$9)</f>
        <v>6.7843999999999998</v>
      </c>
    </row>
    <row r="367" spans="1:15" ht="15" x14ac:dyDescent="0.2">
      <c r="A367" s="13">
        <v>52018</v>
      </c>
      <c r="B367" s="9">
        <f>5.5136 * CHOOSE(CONTROL!$C$32, $C$9, 100%, $E$9)</f>
        <v>5.5136000000000003</v>
      </c>
      <c r="C367" s="9">
        <f>5.5136 * CHOOSE(CONTROL!$C$32, $C$9, 100%, $E$9)</f>
        <v>5.5136000000000003</v>
      </c>
      <c r="D367" s="9">
        <f>5.5152 * CHOOSE(CONTROL!$C$32, $C$9, 100%, $E$9)</f>
        <v>5.5152000000000001</v>
      </c>
      <c r="E367" s="11">
        <f>6.7444 * CHOOSE(CONTROL!$C$32, $C$9, 100%, $E$9)</f>
        <v>6.7443999999999997</v>
      </c>
      <c r="F367" s="11">
        <f>6.7444 * CHOOSE(CONTROL!$C$32, $C$9, 100%, $E$9)</f>
        <v>6.7443999999999997</v>
      </c>
      <c r="G367" s="11">
        <f>6.7497 * CHOOSE(CONTROL!$C$32, $C$9, 100%, $E$9)</f>
        <v>6.7496999999999998</v>
      </c>
      <c r="H367" s="11">
        <f>11.5598 * CHOOSE(CONTROL!$C$32, $C$9, 100%, $E$9)</f>
        <v>11.559799999999999</v>
      </c>
      <c r="I367" s="11">
        <f>11.5651 * CHOOSE(CONTROL!$C$32, $C$9, 100%, $E$9)</f>
        <v>11.565099999999999</v>
      </c>
      <c r="J367" s="11">
        <f>11.5598 * CHOOSE(CONTROL!$C$32, $C$9, 100%, $E$9)</f>
        <v>11.559799999999999</v>
      </c>
      <c r="K367" s="11">
        <f>11.5651 * CHOOSE(CONTROL!$C$32, $C$9, 100%, $E$9)</f>
        <v>11.565099999999999</v>
      </c>
      <c r="L367" s="11">
        <f>6.7444 * CHOOSE(CONTROL!$C$32, $C$9, 100%, $E$9)</f>
        <v>6.7443999999999997</v>
      </c>
      <c r="M367" s="11">
        <f>6.7497 * CHOOSE(CONTROL!$C$32, $C$9, 100%, $E$9)</f>
        <v>6.7496999999999998</v>
      </c>
      <c r="N367" s="11">
        <f>6.7444 * CHOOSE(CONTROL!$C$32, $C$9, 100%, $E$9)</f>
        <v>6.7443999999999997</v>
      </c>
      <c r="O367" s="11">
        <f>6.7497 * CHOOSE(CONTROL!$C$32, $C$9, 100%, $E$9)</f>
        <v>6.7496999999999998</v>
      </c>
    </row>
    <row r="368" spans="1:15" ht="15" x14ac:dyDescent="0.2">
      <c r="A368" s="13">
        <v>52048</v>
      </c>
      <c r="B368" s="9">
        <f>5.5892 * CHOOSE(CONTROL!$C$32, $C$9, 100%, $E$9)</f>
        <v>5.5891999999999999</v>
      </c>
      <c r="C368" s="9">
        <f>5.5892 * CHOOSE(CONTROL!$C$32, $C$9, 100%, $E$9)</f>
        <v>5.5891999999999999</v>
      </c>
      <c r="D368" s="9">
        <f>5.5907 * CHOOSE(CONTROL!$C$32, $C$9, 100%, $E$9)</f>
        <v>5.5907</v>
      </c>
      <c r="E368" s="11">
        <f>6.7633 * CHOOSE(CONTROL!$C$32, $C$9, 100%, $E$9)</f>
        <v>6.7633000000000001</v>
      </c>
      <c r="F368" s="11">
        <f>6.7633 * CHOOSE(CONTROL!$C$32, $C$9, 100%, $E$9)</f>
        <v>6.7633000000000001</v>
      </c>
      <c r="G368" s="11">
        <f>6.7686 * CHOOSE(CONTROL!$C$32, $C$9, 100%, $E$9)</f>
        <v>6.7686000000000002</v>
      </c>
      <c r="H368" s="11">
        <f>11.5839 * CHOOSE(CONTROL!$C$32, $C$9, 100%, $E$9)</f>
        <v>11.5839</v>
      </c>
      <c r="I368" s="11">
        <f>11.5892 * CHOOSE(CONTROL!$C$32, $C$9, 100%, $E$9)</f>
        <v>11.5892</v>
      </c>
      <c r="J368" s="11">
        <f>11.5839 * CHOOSE(CONTROL!$C$32, $C$9, 100%, $E$9)</f>
        <v>11.5839</v>
      </c>
      <c r="K368" s="11">
        <f>11.5892 * CHOOSE(CONTROL!$C$32, $C$9, 100%, $E$9)</f>
        <v>11.5892</v>
      </c>
      <c r="L368" s="11">
        <f>6.7633 * CHOOSE(CONTROL!$C$32, $C$9, 100%, $E$9)</f>
        <v>6.7633000000000001</v>
      </c>
      <c r="M368" s="11">
        <f>6.7686 * CHOOSE(CONTROL!$C$32, $C$9, 100%, $E$9)</f>
        <v>6.7686000000000002</v>
      </c>
      <c r="N368" s="11">
        <f>6.7633 * CHOOSE(CONTROL!$C$32, $C$9, 100%, $E$9)</f>
        <v>6.7633000000000001</v>
      </c>
      <c r="O368" s="11">
        <f>6.7686 * CHOOSE(CONTROL!$C$32, $C$9, 100%, $E$9)</f>
        <v>6.7686000000000002</v>
      </c>
    </row>
    <row r="369" spans="1:15" ht="15" x14ac:dyDescent="0.2">
      <c r="A369" s="13">
        <v>52079</v>
      </c>
      <c r="B369" s="9">
        <f>5.5958 * CHOOSE(CONTROL!$C$32, $C$9, 100%, $E$9)</f>
        <v>5.5957999999999997</v>
      </c>
      <c r="C369" s="9">
        <f>5.5958 * CHOOSE(CONTROL!$C$32, $C$9, 100%, $E$9)</f>
        <v>5.5957999999999997</v>
      </c>
      <c r="D369" s="9">
        <f>5.5974 * CHOOSE(CONTROL!$C$32, $C$9, 100%, $E$9)</f>
        <v>5.5974000000000004</v>
      </c>
      <c r="E369" s="11">
        <f>6.6512 * CHOOSE(CONTROL!$C$32, $C$9, 100%, $E$9)</f>
        <v>6.6512000000000002</v>
      </c>
      <c r="F369" s="11">
        <f>6.6512 * CHOOSE(CONTROL!$C$32, $C$9, 100%, $E$9)</f>
        <v>6.6512000000000002</v>
      </c>
      <c r="G369" s="11">
        <f>6.6565 * CHOOSE(CONTROL!$C$32, $C$9, 100%, $E$9)</f>
        <v>6.6565000000000003</v>
      </c>
      <c r="H369" s="11">
        <f>11.608 * CHOOSE(CONTROL!$C$32, $C$9, 100%, $E$9)</f>
        <v>11.608000000000001</v>
      </c>
      <c r="I369" s="11">
        <f>11.6133 * CHOOSE(CONTROL!$C$32, $C$9, 100%, $E$9)</f>
        <v>11.613300000000001</v>
      </c>
      <c r="J369" s="11">
        <f>11.608 * CHOOSE(CONTROL!$C$32, $C$9, 100%, $E$9)</f>
        <v>11.608000000000001</v>
      </c>
      <c r="K369" s="11">
        <f>11.6133 * CHOOSE(CONTROL!$C$32, $C$9, 100%, $E$9)</f>
        <v>11.613300000000001</v>
      </c>
      <c r="L369" s="11">
        <f>6.6512 * CHOOSE(CONTROL!$C$32, $C$9, 100%, $E$9)</f>
        <v>6.6512000000000002</v>
      </c>
      <c r="M369" s="11">
        <f>6.6565 * CHOOSE(CONTROL!$C$32, $C$9, 100%, $E$9)</f>
        <v>6.6565000000000003</v>
      </c>
      <c r="N369" s="11">
        <f>6.6512 * CHOOSE(CONTROL!$C$32, $C$9, 100%, $E$9)</f>
        <v>6.6512000000000002</v>
      </c>
      <c r="O369" s="11">
        <f>6.6565 * CHOOSE(CONTROL!$C$32, $C$9, 100%, $E$9)</f>
        <v>6.6565000000000003</v>
      </c>
    </row>
    <row r="370" spans="1:15" ht="15" x14ac:dyDescent="0.2">
      <c r="A370" s="13">
        <v>52110</v>
      </c>
      <c r="B370" s="9">
        <f>5.5928 * CHOOSE(CONTROL!$C$32, $C$9, 100%, $E$9)</f>
        <v>5.5928000000000004</v>
      </c>
      <c r="C370" s="9">
        <f>5.5928 * CHOOSE(CONTROL!$C$32, $C$9, 100%, $E$9)</f>
        <v>5.5928000000000004</v>
      </c>
      <c r="D370" s="9">
        <f>5.5944 * CHOOSE(CONTROL!$C$32, $C$9, 100%, $E$9)</f>
        <v>5.5944000000000003</v>
      </c>
      <c r="E370" s="11">
        <f>6.6361 * CHOOSE(CONTROL!$C$32, $C$9, 100%, $E$9)</f>
        <v>6.6360999999999999</v>
      </c>
      <c r="F370" s="11">
        <f>6.6361 * CHOOSE(CONTROL!$C$32, $C$9, 100%, $E$9)</f>
        <v>6.6360999999999999</v>
      </c>
      <c r="G370" s="11">
        <f>6.6414 * CHOOSE(CONTROL!$C$32, $C$9, 100%, $E$9)</f>
        <v>6.6414</v>
      </c>
      <c r="H370" s="11">
        <f>11.6322 * CHOOSE(CONTROL!$C$32, $C$9, 100%, $E$9)</f>
        <v>11.632199999999999</v>
      </c>
      <c r="I370" s="11">
        <f>11.6375 * CHOOSE(CONTROL!$C$32, $C$9, 100%, $E$9)</f>
        <v>11.637499999999999</v>
      </c>
      <c r="J370" s="11">
        <f>11.6322 * CHOOSE(CONTROL!$C$32, $C$9, 100%, $E$9)</f>
        <v>11.632199999999999</v>
      </c>
      <c r="K370" s="11">
        <f>11.6375 * CHOOSE(CONTROL!$C$32, $C$9, 100%, $E$9)</f>
        <v>11.637499999999999</v>
      </c>
      <c r="L370" s="11">
        <f>6.6361 * CHOOSE(CONTROL!$C$32, $C$9, 100%, $E$9)</f>
        <v>6.6360999999999999</v>
      </c>
      <c r="M370" s="11">
        <f>6.6414 * CHOOSE(CONTROL!$C$32, $C$9, 100%, $E$9)</f>
        <v>6.6414</v>
      </c>
      <c r="N370" s="11">
        <f>6.6361 * CHOOSE(CONTROL!$C$32, $C$9, 100%, $E$9)</f>
        <v>6.6360999999999999</v>
      </c>
      <c r="O370" s="11">
        <f>6.6414 * CHOOSE(CONTROL!$C$32, $C$9, 100%, $E$9)</f>
        <v>6.6414</v>
      </c>
    </row>
    <row r="371" spans="1:15" ht="15" x14ac:dyDescent="0.2">
      <c r="A371" s="13">
        <v>52140</v>
      </c>
      <c r="B371" s="9">
        <f>5.5938 * CHOOSE(CONTROL!$C$32, $C$9, 100%, $E$9)</f>
        <v>5.5937999999999999</v>
      </c>
      <c r="C371" s="9">
        <f>5.5938 * CHOOSE(CONTROL!$C$32, $C$9, 100%, $E$9)</f>
        <v>5.5937999999999999</v>
      </c>
      <c r="D371" s="9">
        <f>5.5949 * CHOOSE(CONTROL!$C$32, $C$9, 100%, $E$9)</f>
        <v>5.5949</v>
      </c>
      <c r="E371" s="11">
        <f>6.6746 * CHOOSE(CONTROL!$C$32, $C$9, 100%, $E$9)</f>
        <v>6.6745999999999999</v>
      </c>
      <c r="F371" s="11">
        <f>6.6746 * CHOOSE(CONTROL!$C$32, $C$9, 100%, $E$9)</f>
        <v>6.6745999999999999</v>
      </c>
      <c r="G371" s="11">
        <f>6.6782 * CHOOSE(CONTROL!$C$32, $C$9, 100%, $E$9)</f>
        <v>6.6782000000000004</v>
      </c>
      <c r="H371" s="11">
        <f>11.6564 * CHOOSE(CONTROL!$C$32, $C$9, 100%, $E$9)</f>
        <v>11.6564</v>
      </c>
      <c r="I371" s="11">
        <f>11.66 * CHOOSE(CONTROL!$C$32, $C$9, 100%, $E$9)</f>
        <v>11.66</v>
      </c>
      <c r="J371" s="11">
        <f>11.6564 * CHOOSE(CONTROL!$C$32, $C$9, 100%, $E$9)</f>
        <v>11.6564</v>
      </c>
      <c r="K371" s="11">
        <f>11.66 * CHOOSE(CONTROL!$C$32, $C$9, 100%, $E$9)</f>
        <v>11.66</v>
      </c>
      <c r="L371" s="11">
        <f>6.6746 * CHOOSE(CONTROL!$C$32, $C$9, 100%, $E$9)</f>
        <v>6.6745999999999999</v>
      </c>
      <c r="M371" s="11">
        <f>6.6782 * CHOOSE(CONTROL!$C$32, $C$9, 100%, $E$9)</f>
        <v>6.6782000000000004</v>
      </c>
      <c r="N371" s="11">
        <f>6.6746 * CHOOSE(CONTROL!$C$32, $C$9, 100%, $E$9)</f>
        <v>6.6745999999999999</v>
      </c>
      <c r="O371" s="11">
        <f>6.6782 * CHOOSE(CONTROL!$C$32, $C$9, 100%, $E$9)</f>
        <v>6.6782000000000004</v>
      </c>
    </row>
    <row r="372" spans="1:15" ht="15" x14ac:dyDescent="0.2">
      <c r="A372" s="13">
        <v>52171</v>
      </c>
      <c r="B372" s="9">
        <f>5.5968 * CHOOSE(CONTROL!$C$32, $C$9, 100%, $E$9)</f>
        <v>5.5968</v>
      </c>
      <c r="C372" s="9">
        <f>5.5968 * CHOOSE(CONTROL!$C$32, $C$9, 100%, $E$9)</f>
        <v>5.5968</v>
      </c>
      <c r="D372" s="9">
        <f>5.5979 * CHOOSE(CONTROL!$C$32, $C$9, 100%, $E$9)</f>
        <v>5.5979000000000001</v>
      </c>
      <c r="E372" s="11">
        <f>6.7026 * CHOOSE(CONTROL!$C$32, $C$9, 100%, $E$9)</f>
        <v>6.7026000000000003</v>
      </c>
      <c r="F372" s="11">
        <f>6.7026 * CHOOSE(CONTROL!$C$32, $C$9, 100%, $E$9)</f>
        <v>6.7026000000000003</v>
      </c>
      <c r="G372" s="11">
        <f>6.7063 * CHOOSE(CONTROL!$C$32, $C$9, 100%, $E$9)</f>
        <v>6.7062999999999997</v>
      </c>
      <c r="H372" s="11">
        <f>11.6807 * CHOOSE(CONTROL!$C$32, $C$9, 100%, $E$9)</f>
        <v>11.6807</v>
      </c>
      <c r="I372" s="11">
        <f>11.6843 * CHOOSE(CONTROL!$C$32, $C$9, 100%, $E$9)</f>
        <v>11.6843</v>
      </c>
      <c r="J372" s="11">
        <f>11.6807 * CHOOSE(CONTROL!$C$32, $C$9, 100%, $E$9)</f>
        <v>11.6807</v>
      </c>
      <c r="K372" s="11">
        <f>11.6843 * CHOOSE(CONTROL!$C$32, $C$9, 100%, $E$9)</f>
        <v>11.6843</v>
      </c>
      <c r="L372" s="11">
        <f>6.7026 * CHOOSE(CONTROL!$C$32, $C$9, 100%, $E$9)</f>
        <v>6.7026000000000003</v>
      </c>
      <c r="M372" s="11">
        <f>6.7063 * CHOOSE(CONTROL!$C$32, $C$9, 100%, $E$9)</f>
        <v>6.7062999999999997</v>
      </c>
      <c r="N372" s="11">
        <f>6.7026 * CHOOSE(CONTROL!$C$32, $C$9, 100%, $E$9)</f>
        <v>6.7026000000000003</v>
      </c>
      <c r="O372" s="11">
        <f>6.7063 * CHOOSE(CONTROL!$C$32, $C$9, 100%, $E$9)</f>
        <v>6.7062999999999997</v>
      </c>
    </row>
    <row r="373" spans="1:15" ht="15" x14ac:dyDescent="0.2">
      <c r="A373" s="13">
        <v>52201</v>
      </c>
      <c r="B373" s="9">
        <f>5.5968 * CHOOSE(CONTROL!$C$32, $C$9, 100%, $E$9)</f>
        <v>5.5968</v>
      </c>
      <c r="C373" s="9">
        <f>5.5968 * CHOOSE(CONTROL!$C$32, $C$9, 100%, $E$9)</f>
        <v>5.5968</v>
      </c>
      <c r="D373" s="9">
        <f>5.5979 * CHOOSE(CONTROL!$C$32, $C$9, 100%, $E$9)</f>
        <v>5.5979000000000001</v>
      </c>
      <c r="E373" s="11">
        <f>6.6378 * CHOOSE(CONTROL!$C$32, $C$9, 100%, $E$9)</f>
        <v>6.6378000000000004</v>
      </c>
      <c r="F373" s="11">
        <f>6.6378 * CHOOSE(CONTROL!$C$32, $C$9, 100%, $E$9)</f>
        <v>6.6378000000000004</v>
      </c>
      <c r="G373" s="11">
        <f>6.6414 * CHOOSE(CONTROL!$C$32, $C$9, 100%, $E$9)</f>
        <v>6.6414</v>
      </c>
      <c r="H373" s="11">
        <f>11.705 * CHOOSE(CONTROL!$C$32, $C$9, 100%, $E$9)</f>
        <v>11.705</v>
      </c>
      <c r="I373" s="11">
        <f>11.7086 * CHOOSE(CONTROL!$C$32, $C$9, 100%, $E$9)</f>
        <v>11.708600000000001</v>
      </c>
      <c r="J373" s="11">
        <f>11.705 * CHOOSE(CONTROL!$C$32, $C$9, 100%, $E$9)</f>
        <v>11.705</v>
      </c>
      <c r="K373" s="11">
        <f>11.7086 * CHOOSE(CONTROL!$C$32, $C$9, 100%, $E$9)</f>
        <v>11.708600000000001</v>
      </c>
      <c r="L373" s="11">
        <f>6.6378 * CHOOSE(CONTROL!$C$32, $C$9, 100%, $E$9)</f>
        <v>6.6378000000000004</v>
      </c>
      <c r="M373" s="11">
        <f>6.6414 * CHOOSE(CONTROL!$C$32, $C$9, 100%, $E$9)</f>
        <v>6.6414</v>
      </c>
      <c r="N373" s="11">
        <f>6.6378 * CHOOSE(CONTROL!$C$32, $C$9, 100%, $E$9)</f>
        <v>6.6378000000000004</v>
      </c>
      <c r="O373" s="11">
        <f>6.6414 * CHOOSE(CONTROL!$C$32, $C$9, 100%, $E$9)</f>
        <v>6.6414</v>
      </c>
    </row>
    <row r="374" spans="1:15" ht="15" x14ac:dyDescent="0.2">
      <c r="A374" s="13">
        <v>52232</v>
      </c>
      <c r="B374" s="9">
        <f>5.6399 * CHOOSE(CONTROL!$C$32, $C$9, 100%, $E$9)</f>
        <v>5.6398999999999999</v>
      </c>
      <c r="C374" s="9">
        <f>5.6399 * CHOOSE(CONTROL!$C$32, $C$9, 100%, $E$9)</f>
        <v>5.6398999999999999</v>
      </c>
      <c r="D374" s="9">
        <f>5.6409 * CHOOSE(CONTROL!$C$32, $C$9, 100%, $E$9)</f>
        <v>5.6409000000000002</v>
      </c>
      <c r="E374" s="11">
        <f>6.7096 * CHOOSE(CONTROL!$C$32, $C$9, 100%, $E$9)</f>
        <v>6.7096</v>
      </c>
      <c r="F374" s="11">
        <f>6.7096 * CHOOSE(CONTROL!$C$32, $C$9, 100%, $E$9)</f>
        <v>6.7096</v>
      </c>
      <c r="G374" s="11">
        <f>6.7132 * CHOOSE(CONTROL!$C$32, $C$9, 100%, $E$9)</f>
        <v>6.7131999999999996</v>
      </c>
      <c r="H374" s="11">
        <f>11.7294 * CHOOSE(CONTROL!$C$32, $C$9, 100%, $E$9)</f>
        <v>11.7294</v>
      </c>
      <c r="I374" s="11">
        <f>11.733 * CHOOSE(CONTROL!$C$32, $C$9, 100%, $E$9)</f>
        <v>11.733000000000001</v>
      </c>
      <c r="J374" s="11">
        <f>11.7294 * CHOOSE(CONTROL!$C$32, $C$9, 100%, $E$9)</f>
        <v>11.7294</v>
      </c>
      <c r="K374" s="11">
        <f>11.733 * CHOOSE(CONTROL!$C$32, $C$9, 100%, $E$9)</f>
        <v>11.733000000000001</v>
      </c>
      <c r="L374" s="11">
        <f>6.7096 * CHOOSE(CONTROL!$C$32, $C$9, 100%, $E$9)</f>
        <v>6.7096</v>
      </c>
      <c r="M374" s="11">
        <f>6.7132 * CHOOSE(CONTROL!$C$32, $C$9, 100%, $E$9)</f>
        <v>6.7131999999999996</v>
      </c>
      <c r="N374" s="11">
        <f>6.7096 * CHOOSE(CONTROL!$C$32, $C$9, 100%, $E$9)</f>
        <v>6.7096</v>
      </c>
      <c r="O374" s="11">
        <f>6.7132 * CHOOSE(CONTROL!$C$32, $C$9, 100%, $E$9)</f>
        <v>6.7131999999999996</v>
      </c>
    </row>
    <row r="375" spans="1:15" ht="15" x14ac:dyDescent="0.2">
      <c r="A375" s="13">
        <v>52263</v>
      </c>
      <c r="B375" s="9">
        <f>5.6368 * CHOOSE(CONTROL!$C$32, $C$9, 100%, $E$9)</f>
        <v>5.6368</v>
      </c>
      <c r="C375" s="9">
        <f>5.6368 * CHOOSE(CONTROL!$C$32, $C$9, 100%, $E$9)</f>
        <v>5.6368</v>
      </c>
      <c r="D375" s="9">
        <f>5.6379 * CHOOSE(CONTROL!$C$32, $C$9, 100%, $E$9)</f>
        <v>5.6379000000000001</v>
      </c>
      <c r="E375" s="11">
        <f>6.5809 * CHOOSE(CONTROL!$C$32, $C$9, 100%, $E$9)</f>
        <v>6.5808999999999997</v>
      </c>
      <c r="F375" s="11">
        <f>6.5809 * CHOOSE(CONTROL!$C$32, $C$9, 100%, $E$9)</f>
        <v>6.5808999999999997</v>
      </c>
      <c r="G375" s="11">
        <f>6.5845 * CHOOSE(CONTROL!$C$32, $C$9, 100%, $E$9)</f>
        <v>6.5845000000000002</v>
      </c>
      <c r="H375" s="11">
        <f>11.7539 * CHOOSE(CONTROL!$C$32, $C$9, 100%, $E$9)</f>
        <v>11.7539</v>
      </c>
      <c r="I375" s="11">
        <f>11.7575 * CHOOSE(CONTROL!$C$32, $C$9, 100%, $E$9)</f>
        <v>11.7575</v>
      </c>
      <c r="J375" s="11">
        <f>11.7539 * CHOOSE(CONTROL!$C$32, $C$9, 100%, $E$9)</f>
        <v>11.7539</v>
      </c>
      <c r="K375" s="11">
        <f>11.7575 * CHOOSE(CONTROL!$C$32, $C$9, 100%, $E$9)</f>
        <v>11.7575</v>
      </c>
      <c r="L375" s="11">
        <f>6.5809 * CHOOSE(CONTROL!$C$32, $C$9, 100%, $E$9)</f>
        <v>6.5808999999999997</v>
      </c>
      <c r="M375" s="11">
        <f>6.5845 * CHOOSE(CONTROL!$C$32, $C$9, 100%, $E$9)</f>
        <v>6.5845000000000002</v>
      </c>
      <c r="N375" s="11">
        <f>6.5809 * CHOOSE(CONTROL!$C$32, $C$9, 100%, $E$9)</f>
        <v>6.5808999999999997</v>
      </c>
      <c r="O375" s="11">
        <f>6.5845 * CHOOSE(CONTROL!$C$32, $C$9, 100%, $E$9)</f>
        <v>6.5845000000000002</v>
      </c>
    </row>
    <row r="376" spans="1:15" ht="15" x14ac:dyDescent="0.2">
      <c r="A376" s="13">
        <v>52291</v>
      </c>
      <c r="B376" s="9">
        <f>5.6338 * CHOOSE(CONTROL!$C$32, $C$9, 100%, $E$9)</f>
        <v>5.6337999999999999</v>
      </c>
      <c r="C376" s="9">
        <f>5.6338 * CHOOSE(CONTROL!$C$32, $C$9, 100%, $E$9)</f>
        <v>5.6337999999999999</v>
      </c>
      <c r="D376" s="9">
        <f>5.6349 * CHOOSE(CONTROL!$C$32, $C$9, 100%, $E$9)</f>
        <v>5.6349</v>
      </c>
      <c r="E376" s="11">
        <f>6.6786 * CHOOSE(CONTROL!$C$32, $C$9, 100%, $E$9)</f>
        <v>6.6786000000000003</v>
      </c>
      <c r="F376" s="11">
        <f>6.6786 * CHOOSE(CONTROL!$C$32, $C$9, 100%, $E$9)</f>
        <v>6.6786000000000003</v>
      </c>
      <c r="G376" s="11">
        <f>6.6822 * CHOOSE(CONTROL!$C$32, $C$9, 100%, $E$9)</f>
        <v>6.6821999999999999</v>
      </c>
      <c r="H376" s="11">
        <f>11.7783 * CHOOSE(CONTROL!$C$32, $C$9, 100%, $E$9)</f>
        <v>11.7783</v>
      </c>
      <c r="I376" s="11">
        <f>11.782 * CHOOSE(CONTROL!$C$32, $C$9, 100%, $E$9)</f>
        <v>11.782</v>
      </c>
      <c r="J376" s="11">
        <f>11.7783 * CHOOSE(CONTROL!$C$32, $C$9, 100%, $E$9)</f>
        <v>11.7783</v>
      </c>
      <c r="K376" s="11">
        <f>11.782 * CHOOSE(CONTROL!$C$32, $C$9, 100%, $E$9)</f>
        <v>11.782</v>
      </c>
      <c r="L376" s="11">
        <f>6.6786 * CHOOSE(CONTROL!$C$32, $C$9, 100%, $E$9)</f>
        <v>6.6786000000000003</v>
      </c>
      <c r="M376" s="11">
        <f>6.6822 * CHOOSE(CONTROL!$C$32, $C$9, 100%, $E$9)</f>
        <v>6.6821999999999999</v>
      </c>
      <c r="N376" s="11">
        <f>6.6786 * CHOOSE(CONTROL!$C$32, $C$9, 100%, $E$9)</f>
        <v>6.6786000000000003</v>
      </c>
      <c r="O376" s="11">
        <f>6.6822 * CHOOSE(CONTROL!$C$32, $C$9, 100%, $E$9)</f>
        <v>6.6821999999999999</v>
      </c>
    </row>
    <row r="377" spans="1:15" ht="15" x14ac:dyDescent="0.2">
      <c r="A377" s="13">
        <v>52322</v>
      </c>
      <c r="B377" s="9">
        <f>5.633 * CHOOSE(CONTROL!$C$32, $C$9, 100%, $E$9)</f>
        <v>5.633</v>
      </c>
      <c r="C377" s="9">
        <f>5.633 * CHOOSE(CONTROL!$C$32, $C$9, 100%, $E$9)</f>
        <v>5.633</v>
      </c>
      <c r="D377" s="9">
        <f>5.6341 * CHOOSE(CONTROL!$C$32, $C$9, 100%, $E$9)</f>
        <v>5.6341000000000001</v>
      </c>
      <c r="E377" s="11">
        <f>6.7815 * CHOOSE(CONTROL!$C$32, $C$9, 100%, $E$9)</f>
        <v>6.7815000000000003</v>
      </c>
      <c r="F377" s="11">
        <f>6.7815 * CHOOSE(CONTROL!$C$32, $C$9, 100%, $E$9)</f>
        <v>6.7815000000000003</v>
      </c>
      <c r="G377" s="11">
        <f>6.7852 * CHOOSE(CONTROL!$C$32, $C$9, 100%, $E$9)</f>
        <v>6.7851999999999997</v>
      </c>
      <c r="H377" s="11">
        <f>11.8029 * CHOOSE(CONTROL!$C$32, $C$9, 100%, $E$9)</f>
        <v>11.802899999999999</v>
      </c>
      <c r="I377" s="11">
        <f>11.8065 * CHOOSE(CONTROL!$C$32, $C$9, 100%, $E$9)</f>
        <v>11.8065</v>
      </c>
      <c r="J377" s="11">
        <f>11.8029 * CHOOSE(CONTROL!$C$32, $C$9, 100%, $E$9)</f>
        <v>11.802899999999999</v>
      </c>
      <c r="K377" s="11">
        <f>11.8065 * CHOOSE(CONTROL!$C$32, $C$9, 100%, $E$9)</f>
        <v>11.8065</v>
      </c>
      <c r="L377" s="11">
        <f>6.7815 * CHOOSE(CONTROL!$C$32, $C$9, 100%, $E$9)</f>
        <v>6.7815000000000003</v>
      </c>
      <c r="M377" s="11">
        <f>6.7852 * CHOOSE(CONTROL!$C$32, $C$9, 100%, $E$9)</f>
        <v>6.7851999999999997</v>
      </c>
      <c r="N377" s="11">
        <f>6.7815 * CHOOSE(CONTROL!$C$32, $C$9, 100%, $E$9)</f>
        <v>6.7815000000000003</v>
      </c>
      <c r="O377" s="11">
        <f>6.7852 * CHOOSE(CONTROL!$C$32, $C$9, 100%, $E$9)</f>
        <v>6.7851999999999997</v>
      </c>
    </row>
    <row r="378" spans="1:15" ht="15" x14ac:dyDescent="0.2">
      <c r="A378" s="13">
        <v>52352</v>
      </c>
      <c r="B378" s="9">
        <f>5.633 * CHOOSE(CONTROL!$C$32, $C$9, 100%, $E$9)</f>
        <v>5.633</v>
      </c>
      <c r="C378" s="9">
        <f>5.633 * CHOOSE(CONTROL!$C$32, $C$9, 100%, $E$9)</f>
        <v>5.633</v>
      </c>
      <c r="D378" s="9">
        <f>5.6346 * CHOOSE(CONTROL!$C$32, $C$9, 100%, $E$9)</f>
        <v>5.6345999999999998</v>
      </c>
      <c r="E378" s="11">
        <f>6.8217 * CHOOSE(CONTROL!$C$32, $C$9, 100%, $E$9)</f>
        <v>6.8216999999999999</v>
      </c>
      <c r="F378" s="11">
        <f>6.8217 * CHOOSE(CONTROL!$C$32, $C$9, 100%, $E$9)</f>
        <v>6.8216999999999999</v>
      </c>
      <c r="G378" s="11">
        <f>6.827 * CHOOSE(CONTROL!$C$32, $C$9, 100%, $E$9)</f>
        <v>6.827</v>
      </c>
      <c r="H378" s="11">
        <f>11.8275 * CHOOSE(CONTROL!$C$32, $C$9, 100%, $E$9)</f>
        <v>11.827500000000001</v>
      </c>
      <c r="I378" s="11">
        <f>11.8328 * CHOOSE(CONTROL!$C$32, $C$9, 100%, $E$9)</f>
        <v>11.832800000000001</v>
      </c>
      <c r="J378" s="11">
        <f>11.8275 * CHOOSE(CONTROL!$C$32, $C$9, 100%, $E$9)</f>
        <v>11.827500000000001</v>
      </c>
      <c r="K378" s="11">
        <f>11.8328 * CHOOSE(CONTROL!$C$32, $C$9, 100%, $E$9)</f>
        <v>11.832800000000001</v>
      </c>
      <c r="L378" s="11">
        <f>6.8217 * CHOOSE(CONTROL!$C$32, $C$9, 100%, $E$9)</f>
        <v>6.8216999999999999</v>
      </c>
      <c r="M378" s="11">
        <f>6.827 * CHOOSE(CONTROL!$C$32, $C$9, 100%, $E$9)</f>
        <v>6.827</v>
      </c>
      <c r="N378" s="11">
        <f>6.8217 * CHOOSE(CONTROL!$C$32, $C$9, 100%, $E$9)</f>
        <v>6.8216999999999999</v>
      </c>
      <c r="O378" s="11">
        <f>6.827 * CHOOSE(CONTROL!$C$32, $C$9, 100%, $E$9)</f>
        <v>6.827</v>
      </c>
    </row>
    <row r="379" spans="1:15" ht="15" x14ac:dyDescent="0.2">
      <c r="A379" s="13">
        <v>52383</v>
      </c>
      <c r="B379" s="9">
        <f>5.6391 * CHOOSE(CONTROL!$C$32, $C$9, 100%, $E$9)</f>
        <v>5.6391</v>
      </c>
      <c r="C379" s="9">
        <f>5.6391 * CHOOSE(CONTROL!$C$32, $C$9, 100%, $E$9)</f>
        <v>5.6391</v>
      </c>
      <c r="D379" s="9">
        <f>5.6407 * CHOOSE(CONTROL!$C$32, $C$9, 100%, $E$9)</f>
        <v>5.6406999999999998</v>
      </c>
      <c r="E379" s="11">
        <f>6.7858 * CHOOSE(CONTROL!$C$32, $C$9, 100%, $E$9)</f>
        <v>6.7858000000000001</v>
      </c>
      <c r="F379" s="11">
        <f>6.7858 * CHOOSE(CONTROL!$C$32, $C$9, 100%, $E$9)</f>
        <v>6.7858000000000001</v>
      </c>
      <c r="G379" s="11">
        <f>6.7911 * CHOOSE(CONTROL!$C$32, $C$9, 100%, $E$9)</f>
        <v>6.7911000000000001</v>
      </c>
      <c r="H379" s="11">
        <f>11.8521 * CHOOSE(CONTROL!$C$32, $C$9, 100%, $E$9)</f>
        <v>11.8521</v>
      </c>
      <c r="I379" s="11">
        <f>11.8574 * CHOOSE(CONTROL!$C$32, $C$9, 100%, $E$9)</f>
        <v>11.8574</v>
      </c>
      <c r="J379" s="11">
        <f>11.8521 * CHOOSE(CONTROL!$C$32, $C$9, 100%, $E$9)</f>
        <v>11.8521</v>
      </c>
      <c r="K379" s="11">
        <f>11.8574 * CHOOSE(CONTROL!$C$32, $C$9, 100%, $E$9)</f>
        <v>11.8574</v>
      </c>
      <c r="L379" s="11">
        <f>6.7858 * CHOOSE(CONTROL!$C$32, $C$9, 100%, $E$9)</f>
        <v>6.7858000000000001</v>
      </c>
      <c r="M379" s="11">
        <f>6.7911 * CHOOSE(CONTROL!$C$32, $C$9, 100%, $E$9)</f>
        <v>6.7911000000000001</v>
      </c>
      <c r="N379" s="11">
        <f>6.7858 * CHOOSE(CONTROL!$C$32, $C$9, 100%, $E$9)</f>
        <v>6.7858000000000001</v>
      </c>
      <c r="O379" s="11">
        <f>6.7911 * CHOOSE(CONTROL!$C$32, $C$9, 100%, $E$9)</f>
        <v>6.7911000000000001</v>
      </c>
    </row>
    <row r="380" spans="1:15" ht="15" x14ac:dyDescent="0.2">
      <c r="A380" s="13">
        <v>52413</v>
      </c>
      <c r="B380" s="9">
        <f>5.7154 * CHOOSE(CONTROL!$C$32, $C$9, 100%, $E$9)</f>
        <v>5.7153999999999998</v>
      </c>
      <c r="C380" s="9">
        <f>5.7154 * CHOOSE(CONTROL!$C$32, $C$9, 100%, $E$9)</f>
        <v>5.7153999999999998</v>
      </c>
      <c r="D380" s="9">
        <f>5.7169 * CHOOSE(CONTROL!$C$32, $C$9, 100%, $E$9)</f>
        <v>5.7168999999999999</v>
      </c>
      <c r="E380" s="11">
        <f>6.8109 * CHOOSE(CONTROL!$C$32, $C$9, 100%, $E$9)</f>
        <v>6.8109000000000002</v>
      </c>
      <c r="F380" s="11">
        <f>6.8109 * CHOOSE(CONTROL!$C$32, $C$9, 100%, $E$9)</f>
        <v>6.8109000000000002</v>
      </c>
      <c r="G380" s="11">
        <f>6.8162 * CHOOSE(CONTROL!$C$32, $C$9, 100%, $E$9)</f>
        <v>6.8162000000000003</v>
      </c>
      <c r="H380" s="11">
        <f>11.8768 * CHOOSE(CONTROL!$C$32, $C$9, 100%, $E$9)</f>
        <v>11.876799999999999</v>
      </c>
      <c r="I380" s="11">
        <f>11.8821 * CHOOSE(CONTROL!$C$32, $C$9, 100%, $E$9)</f>
        <v>11.882099999999999</v>
      </c>
      <c r="J380" s="11">
        <f>11.8768 * CHOOSE(CONTROL!$C$32, $C$9, 100%, $E$9)</f>
        <v>11.876799999999999</v>
      </c>
      <c r="K380" s="11">
        <f>11.8821 * CHOOSE(CONTROL!$C$32, $C$9, 100%, $E$9)</f>
        <v>11.882099999999999</v>
      </c>
      <c r="L380" s="11">
        <f>6.8109 * CHOOSE(CONTROL!$C$32, $C$9, 100%, $E$9)</f>
        <v>6.8109000000000002</v>
      </c>
      <c r="M380" s="11">
        <f>6.8162 * CHOOSE(CONTROL!$C$32, $C$9, 100%, $E$9)</f>
        <v>6.8162000000000003</v>
      </c>
      <c r="N380" s="11">
        <f>6.8109 * CHOOSE(CONTROL!$C$32, $C$9, 100%, $E$9)</f>
        <v>6.8109000000000002</v>
      </c>
      <c r="O380" s="11">
        <f>6.8162 * CHOOSE(CONTROL!$C$32, $C$9, 100%, $E$9)</f>
        <v>6.8162000000000003</v>
      </c>
    </row>
    <row r="381" spans="1:15" ht="15" x14ac:dyDescent="0.2">
      <c r="A381" s="13">
        <v>52444</v>
      </c>
      <c r="B381" s="9">
        <f>5.7221 * CHOOSE(CONTROL!$C$32, $C$9, 100%, $E$9)</f>
        <v>5.7221000000000002</v>
      </c>
      <c r="C381" s="9">
        <f>5.7221 * CHOOSE(CONTROL!$C$32, $C$9, 100%, $E$9)</f>
        <v>5.7221000000000002</v>
      </c>
      <c r="D381" s="9">
        <f>5.7236 * CHOOSE(CONTROL!$C$32, $C$9, 100%, $E$9)</f>
        <v>5.7236000000000002</v>
      </c>
      <c r="E381" s="11">
        <f>6.695 * CHOOSE(CONTROL!$C$32, $C$9, 100%, $E$9)</f>
        <v>6.6950000000000003</v>
      </c>
      <c r="F381" s="11">
        <f>6.695 * CHOOSE(CONTROL!$C$32, $C$9, 100%, $E$9)</f>
        <v>6.6950000000000003</v>
      </c>
      <c r="G381" s="11">
        <f>6.7003 * CHOOSE(CONTROL!$C$32, $C$9, 100%, $E$9)</f>
        <v>6.7003000000000004</v>
      </c>
      <c r="H381" s="11">
        <f>11.9015 * CHOOSE(CONTROL!$C$32, $C$9, 100%, $E$9)</f>
        <v>11.9015</v>
      </c>
      <c r="I381" s="11">
        <f>11.9068 * CHOOSE(CONTROL!$C$32, $C$9, 100%, $E$9)</f>
        <v>11.9068</v>
      </c>
      <c r="J381" s="11">
        <f>11.9015 * CHOOSE(CONTROL!$C$32, $C$9, 100%, $E$9)</f>
        <v>11.9015</v>
      </c>
      <c r="K381" s="11">
        <f>11.9068 * CHOOSE(CONTROL!$C$32, $C$9, 100%, $E$9)</f>
        <v>11.9068</v>
      </c>
      <c r="L381" s="11">
        <f>6.695 * CHOOSE(CONTROL!$C$32, $C$9, 100%, $E$9)</f>
        <v>6.6950000000000003</v>
      </c>
      <c r="M381" s="11">
        <f>6.7003 * CHOOSE(CONTROL!$C$32, $C$9, 100%, $E$9)</f>
        <v>6.7003000000000004</v>
      </c>
      <c r="N381" s="11">
        <f>6.695 * CHOOSE(CONTROL!$C$32, $C$9, 100%, $E$9)</f>
        <v>6.6950000000000003</v>
      </c>
      <c r="O381" s="11">
        <f>6.7003 * CHOOSE(CONTROL!$C$32, $C$9, 100%, $E$9)</f>
        <v>6.7003000000000004</v>
      </c>
    </row>
    <row r="382" spans="1:15" ht="15" x14ac:dyDescent="0.2">
      <c r="A382" s="13">
        <v>52475</v>
      </c>
      <c r="B382" s="9">
        <f>5.719 * CHOOSE(CONTROL!$C$32, $C$9, 100%, $E$9)</f>
        <v>5.7190000000000003</v>
      </c>
      <c r="C382" s="9">
        <f>5.719 * CHOOSE(CONTROL!$C$32, $C$9, 100%, $E$9)</f>
        <v>5.7190000000000003</v>
      </c>
      <c r="D382" s="9">
        <f>5.7206 * CHOOSE(CONTROL!$C$32, $C$9, 100%, $E$9)</f>
        <v>5.7206000000000001</v>
      </c>
      <c r="E382" s="11">
        <f>6.6795 * CHOOSE(CONTROL!$C$32, $C$9, 100%, $E$9)</f>
        <v>6.6795</v>
      </c>
      <c r="F382" s="11">
        <f>6.6795 * CHOOSE(CONTROL!$C$32, $C$9, 100%, $E$9)</f>
        <v>6.6795</v>
      </c>
      <c r="G382" s="11">
        <f>6.6848 * CHOOSE(CONTROL!$C$32, $C$9, 100%, $E$9)</f>
        <v>6.6848000000000001</v>
      </c>
      <c r="H382" s="11">
        <f>11.9263 * CHOOSE(CONTROL!$C$32, $C$9, 100%, $E$9)</f>
        <v>11.926299999999999</v>
      </c>
      <c r="I382" s="11">
        <f>11.9316 * CHOOSE(CONTROL!$C$32, $C$9, 100%, $E$9)</f>
        <v>11.9316</v>
      </c>
      <c r="J382" s="11">
        <f>11.9263 * CHOOSE(CONTROL!$C$32, $C$9, 100%, $E$9)</f>
        <v>11.926299999999999</v>
      </c>
      <c r="K382" s="11">
        <f>11.9316 * CHOOSE(CONTROL!$C$32, $C$9, 100%, $E$9)</f>
        <v>11.9316</v>
      </c>
      <c r="L382" s="11">
        <f>6.6795 * CHOOSE(CONTROL!$C$32, $C$9, 100%, $E$9)</f>
        <v>6.6795</v>
      </c>
      <c r="M382" s="11">
        <f>6.6848 * CHOOSE(CONTROL!$C$32, $C$9, 100%, $E$9)</f>
        <v>6.6848000000000001</v>
      </c>
      <c r="N382" s="11">
        <f>6.6795 * CHOOSE(CONTROL!$C$32, $C$9, 100%, $E$9)</f>
        <v>6.6795</v>
      </c>
      <c r="O382" s="11">
        <f>6.6848 * CHOOSE(CONTROL!$C$32, $C$9, 100%, $E$9)</f>
        <v>6.6848000000000001</v>
      </c>
    </row>
    <row r="383" spans="1:15" ht="15" x14ac:dyDescent="0.2">
      <c r="A383" s="13">
        <v>52505</v>
      </c>
      <c r="B383" s="9">
        <f>5.7205 * CHOOSE(CONTROL!$C$32, $C$9, 100%, $E$9)</f>
        <v>5.7205000000000004</v>
      </c>
      <c r="C383" s="9">
        <f>5.7205 * CHOOSE(CONTROL!$C$32, $C$9, 100%, $E$9)</f>
        <v>5.7205000000000004</v>
      </c>
      <c r="D383" s="9">
        <f>5.7215 * CHOOSE(CONTROL!$C$32, $C$9, 100%, $E$9)</f>
        <v>5.7214999999999998</v>
      </c>
      <c r="E383" s="11">
        <f>6.7197 * CHOOSE(CONTROL!$C$32, $C$9, 100%, $E$9)</f>
        <v>6.7196999999999996</v>
      </c>
      <c r="F383" s="11">
        <f>6.7197 * CHOOSE(CONTROL!$C$32, $C$9, 100%, $E$9)</f>
        <v>6.7196999999999996</v>
      </c>
      <c r="G383" s="11">
        <f>6.7233 * CHOOSE(CONTROL!$C$32, $C$9, 100%, $E$9)</f>
        <v>6.7233000000000001</v>
      </c>
      <c r="H383" s="11">
        <f>11.9512 * CHOOSE(CONTROL!$C$32, $C$9, 100%, $E$9)</f>
        <v>11.9512</v>
      </c>
      <c r="I383" s="11">
        <f>11.9548 * CHOOSE(CONTROL!$C$32, $C$9, 100%, $E$9)</f>
        <v>11.954800000000001</v>
      </c>
      <c r="J383" s="11">
        <f>11.9512 * CHOOSE(CONTROL!$C$32, $C$9, 100%, $E$9)</f>
        <v>11.9512</v>
      </c>
      <c r="K383" s="11">
        <f>11.9548 * CHOOSE(CONTROL!$C$32, $C$9, 100%, $E$9)</f>
        <v>11.954800000000001</v>
      </c>
      <c r="L383" s="11">
        <f>6.7197 * CHOOSE(CONTROL!$C$32, $C$9, 100%, $E$9)</f>
        <v>6.7196999999999996</v>
      </c>
      <c r="M383" s="11">
        <f>6.7233 * CHOOSE(CONTROL!$C$32, $C$9, 100%, $E$9)</f>
        <v>6.7233000000000001</v>
      </c>
      <c r="N383" s="11">
        <f>6.7197 * CHOOSE(CONTROL!$C$32, $C$9, 100%, $E$9)</f>
        <v>6.7196999999999996</v>
      </c>
      <c r="O383" s="11">
        <f>6.7233 * CHOOSE(CONTROL!$C$32, $C$9, 100%, $E$9)</f>
        <v>6.7233000000000001</v>
      </c>
    </row>
    <row r="384" spans="1:15" ht="15" x14ac:dyDescent="0.2">
      <c r="A384" s="13">
        <v>52536</v>
      </c>
      <c r="B384" s="9">
        <f>5.7235 * CHOOSE(CONTROL!$C$32, $C$9, 100%, $E$9)</f>
        <v>5.7234999999999996</v>
      </c>
      <c r="C384" s="9">
        <f>5.7235 * CHOOSE(CONTROL!$C$32, $C$9, 100%, $E$9)</f>
        <v>5.7234999999999996</v>
      </c>
      <c r="D384" s="9">
        <f>5.7246 * CHOOSE(CONTROL!$C$32, $C$9, 100%, $E$9)</f>
        <v>5.7245999999999997</v>
      </c>
      <c r="E384" s="11">
        <f>6.7486 * CHOOSE(CONTROL!$C$32, $C$9, 100%, $E$9)</f>
        <v>6.7485999999999997</v>
      </c>
      <c r="F384" s="11">
        <f>6.7486 * CHOOSE(CONTROL!$C$32, $C$9, 100%, $E$9)</f>
        <v>6.7485999999999997</v>
      </c>
      <c r="G384" s="11">
        <f>6.7522 * CHOOSE(CONTROL!$C$32, $C$9, 100%, $E$9)</f>
        <v>6.7522000000000002</v>
      </c>
      <c r="H384" s="11">
        <f>11.9761 * CHOOSE(CONTROL!$C$32, $C$9, 100%, $E$9)</f>
        <v>11.976100000000001</v>
      </c>
      <c r="I384" s="11">
        <f>11.9797 * CHOOSE(CONTROL!$C$32, $C$9, 100%, $E$9)</f>
        <v>11.979699999999999</v>
      </c>
      <c r="J384" s="11">
        <f>11.9761 * CHOOSE(CONTROL!$C$32, $C$9, 100%, $E$9)</f>
        <v>11.976100000000001</v>
      </c>
      <c r="K384" s="11">
        <f>11.9797 * CHOOSE(CONTROL!$C$32, $C$9, 100%, $E$9)</f>
        <v>11.979699999999999</v>
      </c>
      <c r="L384" s="11">
        <f>6.7486 * CHOOSE(CONTROL!$C$32, $C$9, 100%, $E$9)</f>
        <v>6.7485999999999997</v>
      </c>
      <c r="M384" s="11">
        <f>6.7522 * CHOOSE(CONTROL!$C$32, $C$9, 100%, $E$9)</f>
        <v>6.7522000000000002</v>
      </c>
      <c r="N384" s="11">
        <f>6.7486 * CHOOSE(CONTROL!$C$32, $C$9, 100%, $E$9)</f>
        <v>6.7485999999999997</v>
      </c>
      <c r="O384" s="11">
        <f>6.7522 * CHOOSE(CONTROL!$C$32, $C$9, 100%, $E$9)</f>
        <v>6.7522000000000002</v>
      </c>
    </row>
    <row r="385" spans="1:15" ht="15" x14ac:dyDescent="0.2">
      <c r="A385" s="13">
        <v>52566</v>
      </c>
      <c r="B385" s="9">
        <f>5.7235 * CHOOSE(CONTROL!$C$32, $C$9, 100%, $E$9)</f>
        <v>5.7234999999999996</v>
      </c>
      <c r="C385" s="9">
        <f>5.7235 * CHOOSE(CONTROL!$C$32, $C$9, 100%, $E$9)</f>
        <v>5.7234999999999996</v>
      </c>
      <c r="D385" s="9">
        <f>5.7246 * CHOOSE(CONTROL!$C$32, $C$9, 100%, $E$9)</f>
        <v>5.7245999999999997</v>
      </c>
      <c r="E385" s="11">
        <f>6.6816 * CHOOSE(CONTROL!$C$32, $C$9, 100%, $E$9)</f>
        <v>6.6816000000000004</v>
      </c>
      <c r="F385" s="11">
        <f>6.6816 * CHOOSE(CONTROL!$C$32, $C$9, 100%, $E$9)</f>
        <v>6.6816000000000004</v>
      </c>
      <c r="G385" s="11">
        <f>6.6852 * CHOOSE(CONTROL!$C$32, $C$9, 100%, $E$9)</f>
        <v>6.6852</v>
      </c>
      <c r="H385" s="11">
        <f>12.001 * CHOOSE(CONTROL!$C$32, $C$9, 100%, $E$9)</f>
        <v>12.000999999999999</v>
      </c>
      <c r="I385" s="11">
        <f>12.0046 * CHOOSE(CONTROL!$C$32, $C$9, 100%, $E$9)</f>
        <v>12.0046</v>
      </c>
      <c r="J385" s="11">
        <f>12.001 * CHOOSE(CONTROL!$C$32, $C$9, 100%, $E$9)</f>
        <v>12.000999999999999</v>
      </c>
      <c r="K385" s="11">
        <f>12.0046 * CHOOSE(CONTROL!$C$32, $C$9, 100%, $E$9)</f>
        <v>12.0046</v>
      </c>
      <c r="L385" s="11">
        <f>6.6816 * CHOOSE(CONTROL!$C$32, $C$9, 100%, $E$9)</f>
        <v>6.6816000000000004</v>
      </c>
      <c r="M385" s="11">
        <f>6.6852 * CHOOSE(CONTROL!$C$32, $C$9, 100%, $E$9)</f>
        <v>6.6852</v>
      </c>
      <c r="N385" s="11">
        <f>6.6816 * CHOOSE(CONTROL!$C$32, $C$9, 100%, $E$9)</f>
        <v>6.6816000000000004</v>
      </c>
      <c r="O385" s="11">
        <f>6.6852 * CHOOSE(CONTROL!$C$32, $C$9, 100%, $E$9)</f>
        <v>6.6852</v>
      </c>
    </row>
    <row r="386" spans="1:15" ht="15" x14ac:dyDescent="0.2">
      <c r="A386" s="13">
        <v>52597</v>
      </c>
      <c r="B386" s="9">
        <f>5.7676 * CHOOSE(CONTROL!$C$32, $C$9, 100%, $E$9)</f>
        <v>5.7675999999999998</v>
      </c>
      <c r="C386" s="9">
        <f>5.7676 * CHOOSE(CONTROL!$C$32, $C$9, 100%, $E$9)</f>
        <v>5.7675999999999998</v>
      </c>
      <c r="D386" s="9">
        <f>5.7686 * CHOOSE(CONTROL!$C$32, $C$9, 100%, $E$9)</f>
        <v>5.7686000000000002</v>
      </c>
      <c r="E386" s="11">
        <f>6.7573 * CHOOSE(CONTROL!$C$32, $C$9, 100%, $E$9)</f>
        <v>6.7572999999999999</v>
      </c>
      <c r="F386" s="11">
        <f>6.7573 * CHOOSE(CONTROL!$C$32, $C$9, 100%, $E$9)</f>
        <v>6.7572999999999999</v>
      </c>
      <c r="G386" s="11">
        <f>6.7609 * CHOOSE(CONTROL!$C$32, $C$9, 100%, $E$9)</f>
        <v>6.7609000000000004</v>
      </c>
      <c r="H386" s="11">
        <f>12.026 * CHOOSE(CONTROL!$C$32, $C$9, 100%, $E$9)</f>
        <v>12.026</v>
      </c>
      <c r="I386" s="11">
        <f>12.0297 * CHOOSE(CONTROL!$C$32, $C$9, 100%, $E$9)</f>
        <v>12.0297</v>
      </c>
      <c r="J386" s="11">
        <f>12.026 * CHOOSE(CONTROL!$C$32, $C$9, 100%, $E$9)</f>
        <v>12.026</v>
      </c>
      <c r="K386" s="11">
        <f>12.0297 * CHOOSE(CONTROL!$C$32, $C$9, 100%, $E$9)</f>
        <v>12.0297</v>
      </c>
      <c r="L386" s="11">
        <f>6.7573 * CHOOSE(CONTROL!$C$32, $C$9, 100%, $E$9)</f>
        <v>6.7572999999999999</v>
      </c>
      <c r="M386" s="11">
        <f>6.7609 * CHOOSE(CONTROL!$C$32, $C$9, 100%, $E$9)</f>
        <v>6.7609000000000004</v>
      </c>
      <c r="N386" s="11">
        <f>6.7573 * CHOOSE(CONTROL!$C$32, $C$9, 100%, $E$9)</f>
        <v>6.7572999999999999</v>
      </c>
      <c r="O386" s="11">
        <f>6.7609 * CHOOSE(CONTROL!$C$32, $C$9, 100%, $E$9)</f>
        <v>6.7609000000000004</v>
      </c>
    </row>
    <row r="387" spans="1:15" ht="15" x14ac:dyDescent="0.2">
      <c r="A387" s="13">
        <v>52628</v>
      </c>
      <c r="B387" s="9">
        <f>5.7645 * CHOOSE(CONTROL!$C$32, $C$9, 100%, $E$9)</f>
        <v>5.7645</v>
      </c>
      <c r="C387" s="9">
        <f>5.7645 * CHOOSE(CONTROL!$C$32, $C$9, 100%, $E$9)</f>
        <v>5.7645</v>
      </c>
      <c r="D387" s="9">
        <f>5.7656 * CHOOSE(CONTROL!$C$32, $C$9, 100%, $E$9)</f>
        <v>5.7656000000000001</v>
      </c>
      <c r="E387" s="11">
        <f>6.6244 * CHOOSE(CONTROL!$C$32, $C$9, 100%, $E$9)</f>
        <v>6.6243999999999996</v>
      </c>
      <c r="F387" s="11">
        <f>6.6244 * CHOOSE(CONTROL!$C$32, $C$9, 100%, $E$9)</f>
        <v>6.6243999999999996</v>
      </c>
      <c r="G387" s="11">
        <f>6.628 * CHOOSE(CONTROL!$C$32, $C$9, 100%, $E$9)</f>
        <v>6.6280000000000001</v>
      </c>
      <c r="H387" s="11">
        <f>12.0511 * CHOOSE(CONTROL!$C$32, $C$9, 100%, $E$9)</f>
        <v>12.0511</v>
      </c>
      <c r="I387" s="11">
        <f>12.0547 * CHOOSE(CONTROL!$C$32, $C$9, 100%, $E$9)</f>
        <v>12.0547</v>
      </c>
      <c r="J387" s="11">
        <f>12.0511 * CHOOSE(CONTROL!$C$32, $C$9, 100%, $E$9)</f>
        <v>12.0511</v>
      </c>
      <c r="K387" s="11">
        <f>12.0547 * CHOOSE(CONTROL!$C$32, $C$9, 100%, $E$9)</f>
        <v>12.0547</v>
      </c>
      <c r="L387" s="11">
        <f>6.6244 * CHOOSE(CONTROL!$C$32, $C$9, 100%, $E$9)</f>
        <v>6.6243999999999996</v>
      </c>
      <c r="M387" s="11">
        <f>6.628 * CHOOSE(CONTROL!$C$32, $C$9, 100%, $E$9)</f>
        <v>6.6280000000000001</v>
      </c>
      <c r="N387" s="11">
        <f>6.6244 * CHOOSE(CONTROL!$C$32, $C$9, 100%, $E$9)</f>
        <v>6.6243999999999996</v>
      </c>
      <c r="O387" s="11">
        <f>6.628 * CHOOSE(CONTROL!$C$32, $C$9, 100%, $E$9)</f>
        <v>6.6280000000000001</v>
      </c>
    </row>
    <row r="388" spans="1:15" ht="15" x14ac:dyDescent="0.2">
      <c r="A388" s="13">
        <v>52657</v>
      </c>
      <c r="B388" s="9">
        <f>5.7615 * CHOOSE(CONTROL!$C$32, $C$9, 100%, $E$9)</f>
        <v>5.7614999999999998</v>
      </c>
      <c r="C388" s="9">
        <f>5.7615 * CHOOSE(CONTROL!$C$32, $C$9, 100%, $E$9)</f>
        <v>5.7614999999999998</v>
      </c>
      <c r="D388" s="9">
        <f>5.7626 * CHOOSE(CONTROL!$C$32, $C$9, 100%, $E$9)</f>
        <v>5.7625999999999999</v>
      </c>
      <c r="E388" s="11">
        <f>6.7254 * CHOOSE(CONTROL!$C$32, $C$9, 100%, $E$9)</f>
        <v>6.7253999999999996</v>
      </c>
      <c r="F388" s="11">
        <f>6.7254 * CHOOSE(CONTROL!$C$32, $C$9, 100%, $E$9)</f>
        <v>6.7253999999999996</v>
      </c>
      <c r="G388" s="11">
        <f>6.729 * CHOOSE(CONTROL!$C$32, $C$9, 100%, $E$9)</f>
        <v>6.7290000000000001</v>
      </c>
      <c r="H388" s="11">
        <f>12.0762 * CHOOSE(CONTROL!$C$32, $C$9, 100%, $E$9)</f>
        <v>12.0762</v>
      </c>
      <c r="I388" s="11">
        <f>12.0798 * CHOOSE(CONTROL!$C$32, $C$9, 100%, $E$9)</f>
        <v>12.079800000000001</v>
      </c>
      <c r="J388" s="11">
        <f>12.0762 * CHOOSE(CONTROL!$C$32, $C$9, 100%, $E$9)</f>
        <v>12.0762</v>
      </c>
      <c r="K388" s="11">
        <f>12.0798 * CHOOSE(CONTROL!$C$32, $C$9, 100%, $E$9)</f>
        <v>12.079800000000001</v>
      </c>
      <c r="L388" s="11">
        <f>6.7254 * CHOOSE(CONTROL!$C$32, $C$9, 100%, $E$9)</f>
        <v>6.7253999999999996</v>
      </c>
      <c r="M388" s="11">
        <f>6.729 * CHOOSE(CONTROL!$C$32, $C$9, 100%, $E$9)</f>
        <v>6.7290000000000001</v>
      </c>
      <c r="N388" s="11">
        <f>6.7254 * CHOOSE(CONTROL!$C$32, $C$9, 100%, $E$9)</f>
        <v>6.7253999999999996</v>
      </c>
      <c r="O388" s="11">
        <f>6.729 * CHOOSE(CONTROL!$C$32, $C$9, 100%, $E$9)</f>
        <v>6.7290000000000001</v>
      </c>
    </row>
    <row r="389" spans="1:15" ht="15" x14ac:dyDescent="0.2">
      <c r="A389" s="13">
        <v>52688</v>
      </c>
      <c r="B389" s="9">
        <f>5.7608 * CHOOSE(CONTROL!$C$32, $C$9, 100%, $E$9)</f>
        <v>5.7607999999999997</v>
      </c>
      <c r="C389" s="9">
        <f>5.7608 * CHOOSE(CONTROL!$C$32, $C$9, 100%, $E$9)</f>
        <v>5.7607999999999997</v>
      </c>
      <c r="D389" s="9">
        <f>5.7619 * CHOOSE(CONTROL!$C$32, $C$9, 100%, $E$9)</f>
        <v>5.7618999999999998</v>
      </c>
      <c r="E389" s="11">
        <f>6.8318 * CHOOSE(CONTROL!$C$32, $C$9, 100%, $E$9)</f>
        <v>6.8318000000000003</v>
      </c>
      <c r="F389" s="11">
        <f>6.8318 * CHOOSE(CONTROL!$C$32, $C$9, 100%, $E$9)</f>
        <v>6.8318000000000003</v>
      </c>
      <c r="G389" s="11">
        <f>6.8354 * CHOOSE(CONTROL!$C$32, $C$9, 100%, $E$9)</f>
        <v>6.8353999999999999</v>
      </c>
      <c r="H389" s="11">
        <f>12.1014 * CHOOSE(CONTROL!$C$32, $C$9, 100%, $E$9)</f>
        <v>12.1014</v>
      </c>
      <c r="I389" s="11">
        <f>12.105 * CHOOSE(CONTROL!$C$32, $C$9, 100%, $E$9)</f>
        <v>12.105</v>
      </c>
      <c r="J389" s="11">
        <f>12.1014 * CHOOSE(CONTROL!$C$32, $C$9, 100%, $E$9)</f>
        <v>12.1014</v>
      </c>
      <c r="K389" s="11">
        <f>12.105 * CHOOSE(CONTROL!$C$32, $C$9, 100%, $E$9)</f>
        <v>12.105</v>
      </c>
      <c r="L389" s="11">
        <f>6.8318 * CHOOSE(CONTROL!$C$32, $C$9, 100%, $E$9)</f>
        <v>6.8318000000000003</v>
      </c>
      <c r="M389" s="11">
        <f>6.8354 * CHOOSE(CONTROL!$C$32, $C$9, 100%, $E$9)</f>
        <v>6.8353999999999999</v>
      </c>
      <c r="N389" s="11">
        <f>6.8318 * CHOOSE(CONTROL!$C$32, $C$9, 100%, $E$9)</f>
        <v>6.8318000000000003</v>
      </c>
      <c r="O389" s="11">
        <f>6.8354 * CHOOSE(CONTROL!$C$32, $C$9, 100%, $E$9)</f>
        <v>6.8353999999999999</v>
      </c>
    </row>
    <row r="390" spans="1:15" ht="15" x14ac:dyDescent="0.2">
      <c r="A390" s="13">
        <v>52718</v>
      </c>
      <c r="B390" s="9">
        <f>5.7608 * CHOOSE(CONTROL!$C$32, $C$9, 100%, $E$9)</f>
        <v>5.7607999999999997</v>
      </c>
      <c r="C390" s="9">
        <f>5.7608 * CHOOSE(CONTROL!$C$32, $C$9, 100%, $E$9)</f>
        <v>5.7607999999999997</v>
      </c>
      <c r="D390" s="9">
        <f>5.7624 * CHOOSE(CONTROL!$C$32, $C$9, 100%, $E$9)</f>
        <v>5.7624000000000004</v>
      </c>
      <c r="E390" s="11">
        <f>6.8733 * CHOOSE(CONTROL!$C$32, $C$9, 100%, $E$9)</f>
        <v>6.8733000000000004</v>
      </c>
      <c r="F390" s="11">
        <f>6.8733 * CHOOSE(CONTROL!$C$32, $C$9, 100%, $E$9)</f>
        <v>6.8733000000000004</v>
      </c>
      <c r="G390" s="11">
        <f>6.8786 * CHOOSE(CONTROL!$C$32, $C$9, 100%, $E$9)</f>
        <v>6.8785999999999996</v>
      </c>
      <c r="H390" s="11">
        <f>12.1266 * CHOOSE(CONTROL!$C$32, $C$9, 100%, $E$9)</f>
        <v>12.1266</v>
      </c>
      <c r="I390" s="11">
        <f>12.1319 * CHOOSE(CONTROL!$C$32, $C$9, 100%, $E$9)</f>
        <v>12.1319</v>
      </c>
      <c r="J390" s="11">
        <f>12.1266 * CHOOSE(CONTROL!$C$32, $C$9, 100%, $E$9)</f>
        <v>12.1266</v>
      </c>
      <c r="K390" s="11">
        <f>12.1319 * CHOOSE(CONTROL!$C$32, $C$9, 100%, $E$9)</f>
        <v>12.1319</v>
      </c>
      <c r="L390" s="11">
        <f>6.8733 * CHOOSE(CONTROL!$C$32, $C$9, 100%, $E$9)</f>
        <v>6.8733000000000004</v>
      </c>
      <c r="M390" s="11">
        <f>6.8786 * CHOOSE(CONTROL!$C$32, $C$9, 100%, $E$9)</f>
        <v>6.8785999999999996</v>
      </c>
      <c r="N390" s="11">
        <f>6.8733 * CHOOSE(CONTROL!$C$32, $C$9, 100%, $E$9)</f>
        <v>6.8733000000000004</v>
      </c>
      <c r="O390" s="11">
        <f>6.8786 * CHOOSE(CONTROL!$C$32, $C$9, 100%, $E$9)</f>
        <v>6.8785999999999996</v>
      </c>
    </row>
    <row r="391" spans="1:15" ht="15" x14ac:dyDescent="0.2">
      <c r="A391" s="13">
        <v>52749</v>
      </c>
      <c r="B391" s="9">
        <f>5.7669 * CHOOSE(CONTROL!$C$32, $C$9, 100%, $E$9)</f>
        <v>5.7668999999999997</v>
      </c>
      <c r="C391" s="9">
        <f>5.7669 * CHOOSE(CONTROL!$C$32, $C$9, 100%, $E$9)</f>
        <v>5.7668999999999997</v>
      </c>
      <c r="D391" s="9">
        <f>5.7685 * CHOOSE(CONTROL!$C$32, $C$9, 100%, $E$9)</f>
        <v>5.7685000000000004</v>
      </c>
      <c r="E391" s="11">
        <f>6.836 * CHOOSE(CONTROL!$C$32, $C$9, 100%, $E$9)</f>
        <v>6.8360000000000003</v>
      </c>
      <c r="F391" s="11">
        <f>6.836 * CHOOSE(CONTROL!$C$32, $C$9, 100%, $E$9)</f>
        <v>6.8360000000000003</v>
      </c>
      <c r="G391" s="11">
        <f>6.8413 * CHOOSE(CONTROL!$C$32, $C$9, 100%, $E$9)</f>
        <v>6.8413000000000004</v>
      </c>
      <c r="H391" s="11">
        <f>12.1518 * CHOOSE(CONTROL!$C$32, $C$9, 100%, $E$9)</f>
        <v>12.1518</v>
      </c>
      <c r="I391" s="11">
        <f>12.1571 * CHOOSE(CONTROL!$C$32, $C$9, 100%, $E$9)</f>
        <v>12.1571</v>
      </c>
      <c r="J391" s="11">
        <f>12.1518 * CHOOSE(CONTROL!$C$32, $C$9, 100%, $E$9)</f>
        <v>12.1518</v>
      </c>
      <c r="K391" s="11">
        <f>12.1571 * CHOOSE(CONTROL!$C$32, $C$9, 100%, $E$9)</f>
        <v>12.1571</v>
      </c>
      <c r="L391" s="11">
        <f>6.836 * CHOOSE(CONTROL!$C$32, $C$9, 100%, $E$9)</f>
        <v>6.8360000000000003</v>
      </c>
      <c r="M391" s="11">
        <f>6.8413 * CHOOSE(CONTROL!$C$32, $C$9, 100%, $E$9)</f>
        <v>6.8413000000000004</v>
      </c>
      <c r="N391" s="11">
        <f>6.836 * CHOOSE(CONTROL!$C$32, $C$9, 100%, $E$9)</f>
        <v>6.8360000000000003</v>
      </c>
      <c r="O391" s="11">
        <f>6.8413 * CHOOSE(CONTROL!$C$32, $C$9, 100%, $E$9)</f>
        <v>6.8413000000000004</v>
      </c>
    </row>
    <row r="392" spans="1:15" ht="15" x14ac:dyDescent="0.2">
      <c r="A392" s="13">
        <v>52779</v>
      </c>
      <c r="B392" s="9">
        <f>5.845 * CHOOSE(CONTROL!$C$32, $C$9, 100%, $E$9)</f>
        <v>5.8449999999999998</v>
      </c>
      <c r="C392" s="9">
        <f>5.845 * CHOOSE(CONTROL!$C$32, $C$9, 100%, $E$9)</f>
        <v>5.8449999999999998</v>
      </c>
      <c r="D392" s="9">
        <f>5.8465 * CHOOSE(CONTROL!$C$32, $C$9, 100%, $E$9)</f>
        <v>5.8464999999999998</v>
      </c>
      <c r="E392" s="11">
        <f>6.8655 * CHOOSE(CONTROL!$C$32, $C$9, 100%, $E$9)</f>
        <v>6.8654999999999999</v>
      </c>
      <c r="F392" s="11">
        <f>6.8655 * CHOOSE(CONTROL!$C$32, $C$9, 100%, $E$9)</f>
        <v>6.8654999999999999</v>
      </c>
      <c r="G392" s="11">
        <f>6.8708 * CHOOSE(CONTROL!$C$32, $C$9, 100%, $E$9)</f>
        <v>6.8708</v>
      </c>
      <c r="H392" s="11">
        <f>12.1771 * CHOOSE(CONTROL!$C$32, $C$9, 100%, $E$9)</f>
        <v>12.177099999999999</v>
      </c>
      <c r="I392" s="11">
        <f>12.1824 * CHOOSE(CONTROL!$C$32, $C$9, 100%, $E$9)</f>
        <v>12.182399999999999</v>
      </c>
      <c r="J392" s="11">
        <f>12.1771 * CHOOSE(CONTROL!$C$32, $C$9, 100%, $E$9)</f>
        <v>12.177099999999999</v>
      </c>
      <c r="K392" s="11">
        <f>12.1824 * CHOOSE(CONTROL!$C$32, $C$9, 100%, $E$9)</f>
        <v>12.182399999999999</v>
      </c>
      <c r="L392" s="11">
        <f>6.8655 * CHOOSE(CONTROL!$C$32, $C$9, 100%, $E$9)</f>
        <v>6.8654999999999999</v>
      </c>
      <c r="M392" s="11">
        <f>6.8708 * CHOOSE(CONTROL!$C$32, $C$9, 100%, $E$9)</f>
        <v>6.8708</v>
      </c>
      <c r="N392" s="11">
        <f>6.8655 * CHOOSE(CONTROL!$C$32, $C$9, 100%, $E$9)</f>
        <v>6.8654999999999999</v>
      </c>
      <c r="O392" s="11">
        <f>6.8708 * CHOOSE(CONTROL!$C$32, $C$9, 100%, $E$9)</f>
        <v>6.8708</v>
      </c>
    </row>
    <row r="393" spans="1:15" ht="15" x14ac:dyDescent="0.2">
      <c r="A393" s="13">
        <v>52810</v>
      </c>
      <c r="B393" s="9">
        <f>5.8516 * CHOOSE(CONTROL!$C$32, $C$9, 100%, $E$9)</f>
        <v>5.8516000000000004</v>
      </c>
      <c r="C393" s="9">
        <f>5.8516 * CHOOSE(CONTROL!$C$32, $C$9, 100%, $E$9)</f>
        <v>5.8516000000000004</v>
      </c>
      <c r="D393" s="9">
        <f>5.8532 * CHOOSE(CONTROL!$C$32, $C$9, 100%, $E$9)</f>
        <v>5.8532000000000002</v>
      </c>
      <c r="E393" s="11">
        <f>6.7456 * CHOOSE(CONTROL!$C$32, $C$9, 100%, $E$9)</f>
        <v>6.7455999999999996</v>
      </c>
      <c r="F393" s="11">
        <f>6.7456 * CHOOSE(CONTROL!$C$32, $C$9, 100%, $E$9)</f>
        <v>6.7455999999999996</v>
      </c>
      <c r="G393" s="11">
        <f>6.7509 * CHOOSE(CONTROL!$C$32, $C$9, 100%, $E$9)</f>
        <v>6.7508999999999997</v>
      </c>
      <c r="H393" s="11">
        <f>12.2025 * CHOOSE(CONTROL!$C$32, $C$9, 100%, $E$9)</f>
        <v>12.202500000000001</v>
      </c>
      <c r="I393" s="11">
        <f>12.2078 * CHOOSE(CONTROL!$C$32, $C$9, 100%, $E$9)</f>
        <v>12.207800000000001</v>
      </c>
      <c r="J393" s="11">
        <f>12.2025 * CHOOSE(CONTROL!$C$32, $C$9, 100%, $E$9)</f>
        <v>12.202500000000001</v>
      </c>
      <c r="K393" s="11">
        <f>12.2078 * CHOOSE(CONTROL!$C$32, $C$9, 100%, $E$9)</f>
        <v>12.207800000000001</v>
      </c>
      <c r="L393" s="11">
        <f>6.7456 * CHOOSE(CONTROL!$C$32, $C$9, 100%, $E$9)</f>
        <v>6.7455999999999996</v>
      </c>
      <c r="M393" s="11">
        <f>6.7509 * CHOOSE(CONTROL!$C$32, $C$9, 100%, $E$9)</f>
        <v>6.7508999999999997</v>
      </c>
      <c r="N393" s="11">
        <f>6.7456 * CHOOSE(CONTROL!$C$32, $C$9, 100%, $E$9)</f>
        <v>6.7455999999999996</v>
      </c>
      <c r="O393" s="11">
        <f>6.7509 * CHOOSE(CONTROL!$C$32, $C$9, 100%, $E$9)</f>
        <v>6.7508999999999997</v>
      </c>
    </row>
    <row r="394" spans="1:15" ht="15" x14ac:dyDescent="0.2">
      <c r="A394" s="13">
        <v>52841</v>
      </c>
      <c r="B394" s="9">
        <f>5.8486 * CHOOSE(CONTROL!$C$32, $C$9, 100%, $E$9)</f>
        <v>5.8486000000000002</v>
      </c>
      <c r="C394" s="9">
        <f>5.8486 * CHOOSE(CONTROL!$C$32, $C$9, 100%, $E$9)</f>
        <v>5.8486000000000002</v>
      </c>
      <c r="D394" s="9">
        <f>5.8502 * CHOOSE(CONTROL!$C$32, $C$9, 100%, $E$9)</f>
        <v>5.8502000000000001</v>
      </c>
      <c r="E394" s="11">
        <f>6.7297 * CHOOSE(CONTROL!$C$32, $C$9, 100%, $E$9)</f>
        <v>6.7297000000000002</v>
      </c>
      <c r="F394" s="11">
        <f>6.7297 * CHOOSE(CONTROL!$C$32, $C$9, 100%, $E$9)</f>
        <v>6.7297000000000002</v>
      </c>
      <c r="G394" s="11">
        <f>6.735 * CHOOSE(CONTROL!$C$32, $C$9, 100%, $E$9)</f>
        <v>6.7350000000000003</v>
      </c>
      <c r="H394" s="11">
        <f>12.2279 * CHOOSE(CONTROL!$C$32, $C$9, 100%, $E$9)</f>
        <v>12.2279</v>
      </c>
      <c r="I394" s="11">
        <f>12.2332 * CHOOSE(CONTROL!$C$32, $C$9, 100%, $E$9)</f>
        <v>12.2332</v>
      </c>
      <c r="J394" s="11">
        <f>12.2279 * CHOOSE(CONTROL!$C$32, $C$9, 100%, $E$9)</f>
        <v>12.2279</v>
      </c>
      <c r="K394" s="11">
        <f>12.2332 * CHOOSE(CONTROL!$C$32, $C$9, 100%, $E$9)</f>
        <v>12.2332</v>
      </c>
      <c r="L394" s="11">
        <f>6.7297 * CHOOSE(CONTROL!$C$32, $C$9, 100%, $E$9)</f>
        <v>6.7297000000000002</v>
      </c>
      <c r="M394" s="11">
        <f>6.735 * CHOOSE(CONTROL!$C$32, $C$9, 100%, $E$9)</f>
        <v>6.7350000000000003</v>
      </c>
      <c r="N394" s="11">
        <f>6.7297 * CHOOSE(CONTROL!$C$32, $C$9, 100%, $E$9)</f>
        <v>6.7297000000000002</v>
      </c>
      <c r="O394" s="11">
        <f>6.735 * CHOOSE(CONTROL!$C$32, $C$9, 100%, $E$9)</f>
        <v>6.7350000000000003</v>
      </c>
    </row>
    <row r="395" spans="1:15" ht="15" x14ac:dyDescent="0.2">
      <c r="A395" s="13">
        <v>52871</v>
      </c>
      <c r="B395" s="9">
        <f>5.8505 * CHOOSE(CONTROL!$C$32, $C$9, 100%, $E$9)</f>
        <v>5.8505000000000003</v>
      </c>
      <c r="C395" s="9">
        <f>5.8505 * CHOOSE(CONTROL!$C$32, $C$9, 100%, $E$9)</f>
        <v>5.8505000000000003</v>
      </c>
      <c r="D395" s="9">
        <f>5.8516 * CHOOSE(CONTROL!$C$32, $C$9, 100%, $E$9)</f>
        <v>5.8516000000000004</v>
      </c>
      <c r="E395" s="11">
        <f>6.7716 * CHOOSE(CONTROL!$C$32, $C$9, 100%, $E$9)</f>
        <v>6.7716000000000003</v>
      </c>
      <c r="F395" s="11">
        <f>6.7716 * CHOOSE(CONTROL!$C$32, $C$9, 100%, $E$9)</f>
        <v>6.7716000000000003</v>
      </c>
      <c r="G395" s="11">
        <f>6.7752 * CHOOSE(CONTROL!$C$32, $C$9, 100%, $E$9)</f>
        <v>6.7751999999999999</v>
      </c>
      <c r="H395" s="11">
        <f>12.2534 * CHOOSE(CONTROL!$C$32, $C$9, 100%, $E$9)</f>
        <v>12.253399999999999</v>
      </c>
      <c r="I395" s="11">
        <f>12.257 * CHOOSE(CONTROL!$C$32, $C$9, 100%, $E$9)</f>
        <v>12.257</v>
      </c>
      <c r="J395" s="11">
        <f>12.2534 * CHOOSE(CONTROL!$C$32, $C$9, 100%, $E$9)</f>
        <v>12.253399999999999</v>
      </c>
      <c r="K395" s="11">
        <f>12.257 * CHOOSE(CONTROL!$C$32, $C$9, 100%, $E$9)</f>
        <v>12.257</v>
      </c>
      <c r="L395" s="11">
        <f>6.7716 * CHOOSE(CONTROL!$C$32, $C$9, 100%, $E$9)</f>
        <v>6.7716000000000003</v>
      </c>
      <c r="M395" s="11">
        <f>6.7752 * CHOOSE(CONTROL!$C$32, $C$9, 100%, $E$9)</f>
        <v>6.7751999999999999</v>
      </c>
      <c r="N395" s="11">
        <f>6.7716 * CHOOSE(CONTROL!$C$32, $C$9, 100%, $E$9)</f>
        <v>6.7716000000000003</v>
      </c>
      <c r="O395" s="11">
        <f>6.7752 * CHOOSE(CONTROL!$C$32, $C$9, 100%, $E$9)</f>
        <v>6.7751999999999999</v>
      </c>
    </row>
    <row r="396" spans="1:15" ht="15" x14ac:dyDescent="0.2">
      <c r="A396" s="13">
        <v>52902</v>
      </c>
      <c r="B396" s="9">
        <f>5.8536 * CHOOSE(CONTROL!$C$32, $C$9, 100%, $E$9)</f>
        <v>5.8536000000000001</v>
      </c>
      <c r="C396" s="9">
        <f>5.8536 * CHOOSE(CONTROL!$C$32, $C$9, 100%, $E$9)</f>
        <v>5.8536000000000001</v>
      </c>
      <c r="D396" s="9">
        <f>5.8546 * CHOOSE(CONTROL!$C$32, $C$9, 100%, $E$9)</f>
        <v>5.8545999999999996</v>
      </c>
      <c r="E396" s="11">
        <f>6.8014 * CHOOSE(CONTROL!$C$32, $C$9, 100%, $E$9)</f>
        <v>6.8014000000000001</v>
      </c>
      <c r="F396" s="11">
        <f>6.8014 * CHOOSE(CONTROL!$C$32, $C$9, 100%, $E$9)</f>
        <v>6.8014000000000001</v>
      </c>
      <c r="G396" s="11">
        <f>6.805 * CHOOSE(CONTROL!$C$32, $C$9, 100%, $E$9)</f>
        <v>6.8049999999999997</v>
      </c>
      <c r="H396" s="11">
        <f>12.2789 * CHOOSE(CONTROL!$C$32, $C$9, 100%, $E$9)</f>
        <v>12.2789</v>
      </c>
      <c r="I396" s="11">
        <f>12.2826 * CHOOSE(CONTROL!$C$32, $C$9, 100%, $E$9)</f>
        <v>12.2826</v>
      </c>
      <c r="J396" s="11">
        <f>12.2789 * CHOOSE(CONTROL!$C$32, $C$9, 100%, $E$9)</f>
        <v>12.2789</v>
      </c>
      <c r="K396" s="11">
        <f>12.2826 * CHOOSE(CONTROL!$C$32, $C$9, 100%, $E$9)</f>
        <v>12.2826</v>
      </c>
      <c r="L396" s="11">
        <f>6.8014 * CHOOSE(CONTROL!$C$32, $C$9, 100%, $E$9)</f>
        <v>6.8014000000000001</v>
      </c>
      <c r="M396" s="11">
        <f>6.805 * CHOOSE(CONTROL!$C$32, $C$9, 100%, $E$9)</f>
        <v>6.8049999999999997</v>
      </c>
      <c r="N396" s="11">
        <f>6.8014 * CHOOSE(CONTROL!$C$32, $C$9, 100%, $E$9)</f>
        <v>6.8014000000000001</v>
      </c>
      <c r="O396" s="11">
        <f>6.805 * CHOOSE(CONTROL!$C$32, $C$9, 100%, $E$9)</f>
        <v>6.8049999999999997</v>
      </c>
    </row>
    <row r="397" spans="1:15" ht="15" x14ac:dyDescent="0.2">
      <c r="A397" s="13">
        <v>52932</v>
      </c>
      <c r="B397" s="9">
        <f>5.8536 * CHOOSE(CONTROL!$C$32, $C$9, 100%, $E$9)</f>
        <v>5.8536000000000001</v>
      </c>
      <c r="C397" s="9">
        <f>5.8536 * CHOOSE(CONTROL!$C$32, $C$9, 100%, $E$9)</f>
        <v>5.8536000000000001</v>
      </c>
      <c r="D397" s="9">
        <f>5.8546 * CHOOSE(CONTROL!$C$32, $C$9, 100%, $E$9)</f>
        <v>5.8545999999999996</v>
      </c>
      <c r="E397" s="11">
        <f>6.7322 * CHOOSE(CONTROL!$C$32, $C$9, 100%, $E$9)</f>
        <v>6.7321999999999997</v>
      </c>
      <c r="F397" s="11">
        <f>6.7322 * CHOOSE(CONTROL!$C$32, $C$9, 100%, $E$9)</f>
        <v>6.7321999999999997</v>
      </c>
      <c r="G397" s="11">
        <f>6.7358 * CHOOSE(CONTROL!$C$32, $C$9, 100%, $E$9)</f>
        <v>6.7358000000000002</v>
      </c>
      <c r="H397" s="11">
        <f>12.3045 * CHOOSE(CONTROL!$C$32, $C$9, 100%, $E$9)</f>
        <v>12.304500000000001</v>
      </c>
      <c r="I397" s="11">
        <f>12.3081 * CHOOSE(CONTROL!$C$32, $C$9, 100%, $E$9)</f>
        <v>12.3081</v>
      </c>
      <c r="J397" s="11">
        <f>12.3045 * CHOOSE(CONTROL!$C$32, $C$9, 100%, $E$9)</f>
        <v>12.304500000000001</v>
      </c>
      <c r="K397" s="11">
        <f>12.3081 * CHOOSE(CONTROL!$C$32, $C$9, 100%, $E$9)</f>
        <v>12.3081</v>
      </c>
      <c r="L397" s="11">
        <f>6.7322 * CHOOSE(CONTROL!$C$32, $C$9, 100%, $E$9)</f>
        <v>6.7321999999999997</v>
      </c>
      <c r="M397" s="11">
        <f>6.7358 * CHOOSE(CONTROL!$C$32, $C$9, 100%, $E$9)</f>
        <v>6.7358000000000002</v>
      </c>
      <c r="N397" s="11">
        <f>6.7322 * CHOOSE(CONTROL!$C$32, $C$9, 100%, $E$9)</f>
        <v>6.7321999999999997</v>
      </c>
      <c r="O397" s="11">
        <f>6.7358 * CHOOSE(CONTROL!$C$32, $C$9, 100%, $E$9)</f>
        <v>6.7358000000000002</v>
      </c>
    </row>
    <row r="398" spans="1:15" ht="15" x14ac:dyDescent="0.2">
      <c r="A398" s="13">
        <v>52963</v>
      </c>
      <c r="B398" s="9">
        <f>5.8984 * CHOOSE(CONTROL!$C$32, $C$9, 100%, $E$9)</f>
        <v>5.8983999999999996</v>
      </c>
      <c r="C398" s="9">
        <f>5.8984 * CHOOSE(CONTROL!$C$32, $C$9, 100%, $E$9)</f>
        <v>5.8983999999999996</v>
      </c>
      <c r="D398" s="9">
        <f>5.8995 * CHOOSE(CONTROL!$C$32, $C$9, 100%, $E$9)</f>
        <v>5.8994999999999997</v>
      </c>
      <c r="E398" s="11">
        <f>6.8151 * CHOOSE(CONTROL!$C$32, $C$9, 100%, $E$9)</f>
        <v>6.8151000000000002</v>
      </c>
      <c r="F398" s="11">
        <f>6.8151 * CHOOSE(CONTROL!$C$32, $C$9, 100%, $E$9)</f>
        <v>6.8151000000000002</v>
      </c>
      <c r="G398" s="11">
        <f>6.8187 * CHOOSE(CONTROL!$C$32, $C$9, 100%, $E$9)</f>
        <v>6.8186999999999998</v>
      </c>
      <c r="H398" s="11">
        <f>12.3302 * CHOOSE(CONTROL!$C$32, $C$9, 100%, $E$9)</f>
        <v>12.3302</v>
      </c>
      <c r="I398" s="11">
        <f>12.3338 * CHOOSE(CONTROL!$C$32, $C$9, 100%, $E$9)</f>
        <v>12.3338</v>
      </c>
      <c r="J398" s="11">
        <f>12.3302 * CHOOSE(CONTROL!$C$32, $C$9, 100%, $E$9)</f>
        <v>12.3302</v>
      </c>
      <c r="K398" s="11">
        <f>12.3338 * CHOOSE(CONTROL!$C$32, $C$9, 100%, $E$9)</f>
        <v>12.3338</v>
      </c>
      <c r="L398" s="11">
        <f>6.8151 * CHOOSE(CONTROL!$C$32, $C$9, 100%, $E$9)</f>
        <v>6.8151000000000002</v>
      </c>
      <c r="M398" s="11">
        <f>6.8187 * CHOOSE(CONTROL!$C$32, $C$9, 100%, $E$9)</f>
        <v>6.8186999999999998</v>
      </c>
      <c r="N398" s="11">
        <f>6.8151 * CHOOSE(CONTROL!$C$32, $C$9, 100%, $E$9)</f>
        <v>6.8151000000000002</v>
      </c>
      <c r="O398" s="11">
        <f>6.8187 * CHOOSE(CONTROL!$C$32, $C$9, 100%, $E$9)</f>
        <v>6.8186999999999998</v>
      </c>
    </row>
    <row r="399" spans="1:15" ht="15" x14ac:dyDescent="0.2">
      <c r="A399" s="13">
        <v>52994</v>
      </c>
      <c r="B399" s="9">
        <f>5.8954 * CHOOSE(CONTROL!$C$32, $C$9, 100%, $E$9)</f>
        <v>5.8954000000000004</v>
      </c>
      <c r="C399" s="9">
        <f>5.8954 * CHOOSE(CONTROL!$C$32, $C$9, 100%, $E$9)</f>
        <v>5.8954000000000004</v>
      </c>
      <c r="D399" s="9">
        <f>5.8965 * CHOOSE(CONTROL!$C$32, $C$9, 100%, $E$9)</f>
        <v>5.8964999999999996</v>
      </c>
      <c r="E399" s="11">
        <f>6.678 * CHOOSE(CONTROL!$C$32, $C$9, 100%, $E$9)</f>
        <v>6.6779999999999999</v>
      </c>
      <c r="F399" s="11">
        <f>6.678 * CHOOSE(CONTROL!$C$32, $C$9, 100%, $E$9)</f>
        <v>6.6779999999999999</v>
      </c>
      <c r="G399" s="11">
        <f>6.6816 * CHOOSE(CONTROL!$C$32, $C$9, 100%, $E$9)</f>
        <v>6.6816000000000004</v>
      </c>
      <c r="H399" s="11">
        <f>12.3558 * CHOOSE(CONTROL!$C$32, $C$9, 100%, $E$9)</f>
        <v>12.3558</v>
      </c>
      <c r="I399" s="11">
        <f>12.3595 * CHOOSE(CONTROL!$C$32, $C$9, 100%, $E$9)</f>
        <v>12.359500000000001</v>
      </c>
      <c r="J399" s="11">
        <f>12.3558 * CHOOSE(CONTROL!$C$32, $C$9, 100%, $E$9)</f>
        <v>12.3558</v>
      </c>
      <c r="K399" s="11">
        <f>12.3595 * CHOOSE(CONTROL!$C$32, $C$9, 100%, $E$9)</f>
        <v>12.359500000000001</v>
      </c>
      <c r="L399" s="11">
        <f>6.678 * CHOOSE(CONTROL!$C$32, $C$9, 100%, $E$9)</f>
        <v>6.6779999999999999</v>
      </c>
      <c r="M399" s="11">
        <f>6.6816 * CHOOSE(CONTROL!$C$32, $C$9, 100%, $E$9)</f>
        <v>6.6816000000000004</v>
      </c>
      <c r="N399" s="11">
        <f>6.678 * CHOOSE(CONTROL!$C$32, $C$9, 100%, $E$9)</f>
        <v>6.6779999999999999</v>
      </c>
      <c r="O399" s="11">
        <f>6.6816 * CHOOSE(CONTROL!$C$32, $C$9, 100%, $E$9)</f>
        <v>6.6816000000000004</v>
      </c>
    </row>
    <row r="400" spans="1:15" ht="15" x14ac:dyDescent="0.2">
      <c r="A400" s="13">
        <v>53022</v>
      </c>
      <c r="B400" s="9">
        <f>5.8924 * CHOOSE(CONTROL!$C$32, $C$9, 100%, $E$9)</f>
        <v>5.8924000000000003</v>
      </c>
      <c r="C400" s="9">
        <f>5.8924 * CHOOSE(CONTROL!$C$32, $C$9, 100%, $E$9)</f>
        <v>5.8924000000000003</v>
      </c>
      <c r="D400" s="9">
        <f>5.8934 * CHOOSE(CONTROL!$C$32, $C$9, 100%, $E$9)</f>
        <v>5.8933999999999997</v>
      </c>
      <c r="E400" s="11">
        <f>6.7823 * CHOOSE(CONTROL!$C$32, $C$9, 100%, $E$9)</f>
        <v>6.7823000000000002</v>
      </c>
      <c r="F400" s="11">
        <f>6.7823 * CHOOSE(CONTROL!$C$32, $C$9, 100%, $E$9)</f>
        <v>6.7823000000000002</v>
      </c>
      <c r="G400" s="11">
        <f>6.7859 * CHOOSE(CONTROL!$C$32, $C$9, 100%, $E$9)</f>
        <v>6.7858999999999998</v>
      </c>
      <c r="H400" s="11">
        <f>12.3816 * CHOOSE(CONTROL!$C$32, $C$9, 100%, $E$9)</f>
        <v>12.381600000000001</v>
      </c>
      <c r="I400" s="11">
        <f>12.3852 * CHOOSE(CONTROL!$C$32, $C$9, 100%, $E$9)</f>
        <v>12.385199999999999</v>
      </c>
      <c r="J400" s="11">
        <f>12.3816 * CHOOSE(CONTROL!$C$32, $C$9, 100%, $E$9)</f>
        <v>12.381600000000001</v>
      </c>
      <c r="K400" s="11">
        <f>12.3852 * CHOOSE(CONTROL!$C$32, $C$9, 100%, $E$9)</f>
        <v>12.385199999999999</v>
      </c>
      <c r="L400" s="11">
        <f>6.7823 * CHOOSE(CONTROL!$C$32, $C$9, 100%, $E$9)</f>
        <v>6.7823000000000002</v>
      </c>
      <c r="M400" s="11">
        <f>6.7859 * CHOOSE(CONTROL!$C$32, $C$9, 100%, $E$9)</f>
        <v>6.7858999999999998</v>
      </c>
      <c r="N400" s="11">
        <f>6.7823 * CHOOSE(CONTROL!$C$32, $C$9, 100%, $E$9)</f>
        <v>6.7823000000000002</v>
      </c>
      <c r="O400" s="11">
        <f>6.7859 * CHOOSE(CONTROL!$C$32, $C$9, 100%, $E$9)</f>
        <v>6.7858999999999998</v>
      </c>
    </row>
    <row r="401" spans="1:15" ht="15" x14ac:dyDescent="0.2">
      <c r="A401" s="13">
        <v>53053</v>
      </c>
      <c r="B401" s="9">
        <f>5.8918 * CHOOSE(CONTROL!$C$32, $C$9, 100%, $E$9)</f>
        <v>5.8917999999999999</v>
      </c>
      <c r="C401" s="9">
        <f>5.8918 * CHOOSE(CONTROL!$C$32, $C$9, 100%, $E$9)</f>
        <v>5.8917999999999999</v>
      </c>
      <c r="D401" s="9">
        <f>5.8929 * CHOOSE(CONTROL!$C$32, $C$9, 100%, $E$9)</f>
        <v>5.8929</v>
      </c>
      <c r="E401" s="11">
        <f>6.8923 * CHOOSE(CONTROL!$C$32, $C$9, 100%, $E$9)</f>
        <v>6.8922999999999996</v>
      </c>
      <c r="F401" s="11">
        <f>6.8923 * CHOOSE(CONTROL!$C$32, $C$9, 100%, $E$9)</f>
        <v>6.8922999999999996</v>
      </c>
      <c r="G401" s="11">
        <f>6.896 * CHOOSE(CONTROL!$C$32, $C$9, 100%, $E$9)</f>
        <v>6.8959999999999999</v>
      </c>
      <c r="H401" s="11">
        <f>12.4074 * CHOOSE(CONTROL!$C$32, $C$9, 100%, $E$9)</f>
        <v>12.407400000000001</v>
      </c>
      <c r="I401" s="11">
        <f>12.411 * CHOOSE(CONTROL!$C$32, $C$9, 100%, $E$9)</f>
        <v>12.411</v>
      </c>
      <c r="J401" s="11">
        <f>12.4074 * CHOOSE(CONTROL!$C$32, $C$9, 100%, $E$9)</f>
        <v>12.407400000000001</v>
      </c>
      <c r="K401" s="11">
        <f>12.411 * CHOOSE(CONTROL!$C$32, $C$9, 100%, $E$9)</f>
        <v>12.411</v>
      </c>
      <c r="L401" s="11">
        <f>6.8923 * CHOOSE(CONTROL!$C$32, $C$9, 100%, $E$9)</f>
        <v>6.8922999999999996</v>
      </c>
      <c r="M401" s="11">
        <f>6.896 * CHOOSE(CONTROL!$C$32, $C$9, 100%, $E$9)</f>
        <v>6.8959999999999999</v>
      </c>
      <c r="N401" s="11">
        <f>6.8923 * CHOOSE(CONTROL!$C$32, $C$9, 100%, $E$9)</f>
        <v>6.8922999999999996</v>
      </c>
      <c r="O401" s="11">
        <f>6.896 * CHOOSE(CONTROL!$C$32, $C$9, 100%, $E$9)</f>
        <v>6.8959999999999999</v>
      </c>
    </row>
    <row r="402" spans="1:15" ht="15" x14ac:dyDescent="0.2">
      <c r="A402" s="13">
        <v>53083</v>
      </c>
      <c r="B402" s="9">
        <f>5.8918 * CHOOSE(CONTROL!$C$32, $C$9, 100%, $E$9)</f>
        <v>5.8917999999999999</v>
      </c>
      <c r="C402" s="9">
        <f>5.8918 * CHOOSE(CONTROL!$C$32, $C$9, 100%, $E$9)</f>
        <v>5.8917999999999999</v>
      </c>
      <c r="D402" s="9">
        <f>5.8934 * CHOOSE(CONTROL!$C$32, $C$9, 100%, $E$9)</f>
        <v>5.8933999999999997</v>
      </c>
      <c r="E402" s="11">
        <f>6.9352 * CHOOSE(CONTROL!$C$32, $C$9, 100%, $E$9)</f>
        <v>6.9352</v>
      </c>
      <c r="F402" s="11">
        <f>6.9352 * CHOOSE(CONTROL!$C$32, $C$9, 100%, $E$9)</f>
        <v>6.9352</v>
      </c>
      <c r="G402" s="11">
        <f>6.9405 * CHOOSE(CONTROL!$C$32, $C$9, 100%, $E$9)</f>
        <v>6.9405000000000001</v>
      </c>
      <c r="H402" s="11">
        <f>12.4332 * CHOOSE(CONTROL!$C$32, $C$9, 100%, $E$9)</f>
        <v>12.433199999999999</v>
      </c>
      <c r="I402" s="11">
        <f>12.4385 * CHOOSE(CONTROL!$C$32, $C$9, 100%, $E$9)</f>
        <v>12.438499999999999</v>
      </c>
      <c r="J402" s="11">
        <f>12.4332 * CHOOSE(CONTROL!$C$32, $C$9, 100%, $E$9)</f>
        <v>12.433199999999999</v>
      </c>
      <c r="K402" s="11">
        <f>12.4385 * CHOOSE(CONTROL!$C$32, $C$9, 100%, $E$9)</f>
        <v>12.438499999999999</v>
      </c>
      <c r="L402" s="11">
        <f>6.9352 * CHOOSE(CONTROL!$C$32, $C$9, 100%, $E$9)</f>
        <v>6.9352</v>
      </c>
      <c r="M402" s="11">
        <f>6.9405 * CHOOSE(CONTROL!$C$32, $C$9, 100%, $E$9)</f>
        <v>6.9405000000000001</v>
      </c>
      <c r="N402" s="11">
        <f>6.9352 * CHOOSE(CONTROL!$C$32, $C$9, 100%, $E$9)</f>
        <v>6.9352</v>
      </c>
      <c r="O402" s="11">
        <f>6.9405 * CHOOSE(CONTROL!$C$32, $C$9, 100%, $E$9)</f>
        <v>6.9405000000000001</v>
      </c>
    </row>
    <row r="403" spans="1:15" ht="15" x14ac:dyDescent="0.2">
      <c r="A403" s="13">
        <v>53114</v>
      </c>
      <c r="B403" s="9">
        <f>5.8979 * CHOOSE(CONTROL!$C$32, $C$9, 100%, $E$9)</f>
        <v>5.8978999999999999</v>
      </c>
      <c r="C403" s="9">
        <f>5.8979 * CHOOSE(CONTROL!$C$32, $C$9, 100%, $E$9)</f>
        <v>5.8978999999999999</v>
      </c>
      <c r="D403" s="9">
        <f>5.8995 * CHOOSE(CONTROL!$C$32, $C$9, 100%, $E$9)</f>
        <v>5.8994999999999997</v>
      </c>
      <c r="E403" s="11">
        <f>6.8966 * CHOOSE(CONTROL!$C$32, $C$9, 100%, $E$9)</f>
        <v>6.8966000000000003</v>
      </c>
      <c r="F403" s="11">
        <f>6.8966 * CHOOSE(CONTROL!$C$32, $C$9, 100%, $E$9)</f>
        <v>6.8966000000000003</v>
      </c>
      <c r="G403" s="11">
        <f>6.9019 * CHOOSE(CONTROL!$C$32, $C$9, 100%, $E$9)</f>
        <v>6.9019000000000004</v>
      </c>
      <c r="H403" s="11">
        <f>12.4591 * CHOOSE(CONTROL!$C$32, $C$9, 100%, $E$9)</f>
        <v>12.459099999999999</v>
      </c>
      <c r="I403" s="11">
        <f>12.4644 * CHOOSE(CONTROL!$C$32, $C$9, 100%, $E$9)</f>
        <v>12.464399999999999</v>
      </c>
      <c r="J403" s="11">
        <f>12.4591 * CHOOSE(CONTROL!$C$32, $C$9, 100%, $E$9)</f>
        <v>12.459099999999999</v>
      </c>
      <c r="K403" s="11">
        <f>12.4644 * CHOOSE(CONTROL!$C$32, $C$9, 100%, $E$9)</f>
        <v>12.464399999999999</v>
      </c>
      <c r="L403" s="11">
        <f>6.8966 * CHOOSE(CONTROL!$C$32, $C$9, 100%, $E$9)</f>
        <v>6.8966000000000003</v>
      </c>
      <c r="M403" s="11">
        <f>6.9019 * CHOOSE(CONTROL!$C$32, $C$9, 100%, $E$9)</f>
        <v>6.9019000000000004</v>
      </c>
      <c r="N403" s="11">
        <f>6.8966 * CHOOSE(CONTROL!$C$32, $C$9, 100%, $E$9)</f>
        <v>6.8966000000000003</v>
      </c>
      <c r="O403" s="11">
        <f>6.9019 * CHOOSE(CONTROL!$C$32, $C$9, 100%, $E$9)</f>
        <v>6.9019000000000004</v>
      </c>
    </row>
    <row r="404" spans="1:15" ht="15" x14ac:dyDescent="0.2">
      <c r="A404" s="13">
        <v>53144</v>
      </c>
      <c r="B404" s="9">
        <f>5.9772 * CHOOSE(CONTROL!$C$32, $C$9, 100%, $E$9)</f>
        <v>5.9771999999999998</v>
      </c>
      <c r="C404" s="9">
        <f>5.9772 * CHOOSE(CONTROL!$C$32, $C$9, 100%, $E$9)</f>
        <v>5.9771999999999998</v>
      </c>
      <c r="D404" s="9">
        <f>5.9788 * CHOOSE(CONTROL!$C$32, $C$9, 100%, $E$9)</f>
        <v>5.9787999999999997</v>
      </c>
      <c r="E404" s="11">
        <f>6.9386 * CHOOSE(CONTROL!$C$32, $C$9, 100%, $E$9)</f>
        <v>6.9386000000000001</v>
      </c>
      <c r="F404" s="11">
        <f>6.9386 * CHOOSE(CONTROL!$C$32, $C$9, 100%, $E$9)</f>
        <v>6.9386000000000001</v>
      </c>
      <c r="G404" s="11">
        <f>6.9439 * CHOOSE(CONTROL!$C$32, $C$9, 100%, $E$9)</f>
        <v>6.9439000000000002</v>
      </c>
      <c r="H404" s="11">
        <f>12.4851 * CHOOSE(CONTROL!$C$32, $C$9, 100%, $E$9)</f>
        <v>12.485099999999999</v>
      </c>
      <c r="I404" s="11">
        <f>12.4904 * CHOOSE(CONTROL!$C$32, $C$9, 100%, $E$9)</f>
        <v>12.490399999999999</v>
      </c>
      <c r="J404" s="11">
        <f>12.4851 * CHOOSE(CONTROL!$C$32, $C$9, 100%, $E$9)</f>
        <v>12.485099999999999</v>
      </c>
      <c r="K404" s="11">
        <f>12.4904 * CHOOSE(CONTROL!$C$32, $C$9, 100%, $E$9)</f>
        <v>12.490399999999999</v>
      </c>
      <c r="L404" s="11">
        <f>6.9386 * CHOOSE(CONTROL!$C$32, $C$9, 100%, $E$9)</f>
        <v>6.9386000000000001</v>
      </c>
      <c r="M404" s="11">
        <f>6.9439 * CHOOSE(CONTROL!$C$32, $C$9, 100%, $E$9)</f>
        <v>6.9439000000000002</v>
      </c>
      <c r="N404" s="11">
        <f>6.9386 * CHOOSE(CONTROL!$C$32, $C$9, 100%, $E$9)</f>
        <v>6.9386000000000001</v>
      </c>
      <c r="O404" s="11">
        <f>6.9439 * CHOOSE(CONTROL!$C$32, $C$9, 100%, $E$9)</f>
        <v>6.9439000000000002</v>
      </c>
    </row>
    <row r="405" spans="1:15" ht="15" x14ac:dyDescent="0.2">
      <c r="A405" s="13">
        <v>53175</v>
      </c>
      <c r="B405" s="9">
        <f>5.9839 * CHOOSE(CONTROL!$C$32, $C$9, 100%, $E$9)</f>
        <v>5.9839000000000002</v>
      </c>
      <c r="C405" s="9">
        <f>5.9839 * CHOOSE(CONTROL!$C$32, $C$9, 100%, $E$9)</f>
        <v>5.9839000000000002</v>
      </c>
      <c r="D405" s="9">
        <f>5.9855 * CHOOSE(CONTROL!$C$32, $C$9, 100%, $E$9)</f>
        <v>5.9855</v>
      </c>
      <c r="E405" s="11">
        <f>6.8147 * CHOOSE(CONTROL!$C$32, $C$9, 100%, $E$9)</f>
        <v>6.8147000000000002</v>
      </c>
      <c r="F405" s="11">
        <f>6.8147 * CHOOSE(CONTROL!$C$32, $C$9, 100%, $E$9)</f>
        <v>6.8147000000000002</v>
      </c>
      <c r="G405" s="11">
        <f>6.82 * CHOOSE(CONTROL!$C$32, $C$9, 100%, $E$9)</f>
        <v>6.82</v>
      </c>
      <c r="H405" s="11">
        <f>12.5111 * CHOOSE(CONTROL!$C$32, $C$9, 100%, $E$9)</f>
        <v>12.511100000000001</v>
      </c>
      <c r="I405" s="11">
        <f>12.5164 * CHOOSE(CONTROL!$C$32, $C$9, 100%, $E$9)</f>
        <v>12.516400000000001</v>
      </c>
      <c r="J405" s="11">
        <f>12.5111 * CHOOSE(CONTROL!$C$32, $C$9, 100%, $E$9)</f>
        <v>12.511100000000001</v>
      </c>
      <c r="K405" s="11">
        <f>12.5164 * CHOOSE(CONTROL!$C$32, $C$9, 100%, $E$9)</f>
        <v>12.516400000000001</v>
      </c>
      <c r="L405" s="11">
        <f>6.8147 * CHOOSE(CONTROL!$C$32, $C$9, 100%, $E$9)</f>
        <v>6.8147000000000002</v>
      </c>
      <c r="M405" s="11">
        <f>6.82 * CHOOSE(CONTROL!$C$32, $C$9, 100%, $E$9)</f>
        <v>6.82</v>
      </c>
      <c r="N405" s="11">
        <f>6.8147 * CHOOSE(CONTROL!$C$32, $C$9, 100%, $E$9)</f>
        <v>6.8147000000000002</v>
      </c>
      <c r="O405" s="11">
        <f>6.82 * CHOOSE(CONTROL!$C$32, $C$9, 100%, $E$9)</f>
        <v>6.82</v>
      </c>
    </row>
    <row r="406" spans="1:15" ht="15" x14ac:dyDescent="0.2">
      <c r="A406" s="13">
        <v>53206</v>
      </c>
      <c r="B406" s="9">
        <f>5.9809 * CHOOSE(CONTROL!$C$32, $C$9, 100%, $E$9)</f>
        <v>5.9809000000000001</v>
      </c>
      <c r="C406" s="9">
        <f>5.9809 * CHOOSE(CONTROL!$C$32, $C$9, 100%, $E$9)</f>
        <v>5.9809000000000001</v>
      </c>
      <c r="D406" s="9">
        <f>5.9824 * CHOOSE(CONTROL!$C$32, $C$9, 100%, $E$9)</f>
        <v>5.9824000000000002</v>
      </c>
      <c r="E406" s="11">
        <f>6.7983 * CHOOSE(CONTROL!$C$32, $C$9, 100%, $E$9)</f>
        <v>6.7983000000000002</v>
      </c>
      <c r="F406" s="11">
        <f>6.7983 * CHOOSE(CONTROL!$C$32, $C$9, 100%, $E$9)</f>
        <v>6.7983000000000002</v>
      </c>
      <c r="G406" s="11">
        <f>6.8036 * CHOOSE(CONTROL!$C$32, $C$9, 100%, $E$9)</f>
        <v>6.8036000000000003</v>
      </c>
      <c r="H406" s="11">
        <f>12.5372 * CHOOSE(CONTROL!$C$32, $C$9, 100%, $E$9)</f>
        <v>12.5372</v>
      </c>
      <c r="I406" s="11">
        <f>12.5425 * CHOOSE(CONTROL!$C$32, $C$9, 100%, $E$9)</f>
        <v>12.5425</v>
      </c>
      <c r="J406" s="11">
        <f>12.5372 * CHOOSE(CONTROL!$C$32, $C$9, 100%, $E$9)</f>
        <v>12.5372</v>
      </c>
      <c r="K406" s="11">
        <f>12.5425 * CHOOSE(CONTROL!$C$32, $C$9, 100%, $E$9)</f>
        <v>12.5425</v>
      </c>
      <c r="L406" s="11">
        <f>6.7983 * CHOOSE(CONTROL!$C$32, $C$9, 100%, $E$9)</f>
        <v>6.7983000000000002</v>
      </c>
      <c r="M406" s="11">
        <f>6.8036 * CHOOSE(CONTROL!$C$32, $C$9, 100%, $E$9)</f>
        <v>6.8036000000000003</v>
      </c>
      <c r="N406" s="11">
        <f>6.7983 * CHOOSE(CONTROL!$C$32, $C$9, 100%, $E$9)</f>
        <v>6.7983000000000002</v>
      </c>
      <c r="O406" s="11">
        <f>6.8036 * CHOOSE(CONTROL!$C$32, $C$9, 100%, $E$9)</f>
        <v>6.8036000000000003</v>
      </c>
    </row>
    <row r="407" spans="1:15" ht="15" x14ac:dyDescent="0.2">
      <c r="A407" s="13">
        <v>53236</v>
      </c>
      <c r="B407" s="9">
        <f>5.9833 * CHOOSE(CONTROL!$C$32, $C$9, 100%, $E$9)</f>
        <v>5.9832999999999998</v>
      </c>
      <c r="C407" s="9">
        <f>5.9833 * CHOOSE(CONTROL!$C$32, $C$9, 100%, $E$9)</f>
        <v>5.9832999999999998</v>
      </c>
      <c r="D407" s="9">
        <f>5.9844 * CHOOSE(CONTROL!$C$32, $C$9, 100%, $E$9)</f>
        <v>5.9843999999999999</v>
      </c>
      <c r="E407" s="11">
        <f>6.842 * CHOOSE(CONTROL!$C$32, $C$9, 100%, $E$9)</f>
        <v>6.8419999999999996</v>
      </c>
      <c r="F407" s="11">
        <f>6.842 * CHOOSE(CONTROL!$C$32, $C$9, 100%, $E$9)</f>
        <v>6.8419999999999996</v>
      </c>
      <c r="G407" s="11">
        <f>6.8456 * CHOOSE(CONTROL!$C$32, $C$9, 100%, $E$9)</f>
        <v>6.8456000000000001</v>
      </c>
      <c r="H407" s="11">
        <f>12.5633 * CHOOSE(CONTROL!$C$32, $C$9, 100%, $E$9)</f>
        <v>12.5633</v>
      </c>
      <c r="I407" s="11">
        <f>12.5669 * CHOOSE(CONTROL!$C$32, $C$9, 100%, $E$9)</f>
        <v>12.5669</v>
      </c>
      <c r="J407" s="11">
        <f>12.5633 * CHOOSE(CONTROL!$C$32, $C$9, 100%, $E$9)</f>
        <v>12.5633</v>
      </c>
      <c r="K407" s="11">
        <f>12.5669 * CHOOSE(CONTROL!$C$32, $C$9, 100%, $E$9)</f>
        <v>12.5669</v>
      </c>
      <c r="L407" s="11">
        <f>6.842 * CHOOSE(CONTROL!$C$32, $C$9, 100%, $E$9)</f>
        <v>6.8419999999999996</v>
      </c>
      <c r="M407" s="11">
        <f>6.8456 * CHOOSE(CONTROL!$C$32, $C$9, 100%, $E$9)</f>
        <v>6.8456000000000001</v>
      </c>
      <c r="N407" s="11">
        <f>6.842 * CHOOSE(CONTROL!$C$32, $C$9, 100%, $E$9)</f>
        <v>6.8419999999999996</v>
      </c>
      <c r="O407" s="11">
        <f>6.8456 * CHOOSE(CONTROL!$C$32, $C$9, 100%, $E$9)</f>
        <v>6.8456000000000001</v>
      </c>
    </row>
    <row r="408" spans="1:15" ht="15" x14ac:dyDescent="0.2">
      <c r="A408" s="13">
        <v>53267</v>
      </c>
      <c r="B408" s="9">
        <f>5.9863 * CHOOSE(CONTROL!$C$32, $C$9, 100%, $E$9)</f>
        <v>5.9863</v>
      </c>
      <c r="C408" s="9">
        <f>5.9863 * CHOOSE(CONTROL!$C$32, $C$9, 100%, $E$9)</f>
        <v>5.9863</v>
      </c>
      <c r="D408" s="9">
        <f>5.9874 * CHOOSE(CONTROL!$C$32, $C$9, 100%, $E$9)</f>
        <v>5.9874000000000001</v>
      </c>
      <c r="E408" s="11">
        <f>6.8727 * CHOOSE(CONTROL!$C$32, $C$9, 100%, $E$9)</f>
        <v>6.8727</v>
      </c>
      <c r="F408" s="11">
        <f>6.8727 * CHOOSE(CONTROL!$C$32, $C$9, 100%, $E$9)</f>
        <v>6.8727</v>
      </c>
      <c r="G408" s="11">
        <f>6.8763 * CHOOSE(CONTROL!$C$32, $C$9, 100%, $E$9)</f>
        <v>6.8762999999999996</v>
      </c>
      <c r="H408" s="11">
        <f>12.5895 * CHOOSE(CONTROL!$C$32, $C$9, 100%, $E$9)</f>
        <v>12.589499999999999</v>
      </c>
      <c r="I408" s="11">
        <f>12.5931 * CHOOSE(CONTROL!$C$32, $C$9, 100%, $E$9)</f>
        <v>12.5931</v>
      </c>
      <c r="J408" s="11">
        <f>12.5895 * CHOOSE(CONTROL!$C$32, $C$9, 100%, $E$9)</f>
        <v>12.589499999999999</v>
      </c>
      <c r="K408" s="11">
        <f>12.5931 * CHOOSE(CONTROL!$C$32, $C$9, 100%, $E$9)</f>
        <v>12.5931</v>
      </c>
      <c r="L408" s="11">
        <f>6.8727 * CHOOSE(CONTROL!$C$32, $C$9, 100%, $E$9)</f>
        <v>6.8727</v>
      </c>
      <c r="M408" s="11">
        <f>6.8763 * CHOOSE(CONTROL!$C$32, $C$9, 100%, $E$9)</f>
        <v>6.8762999999999996</v>
      </c>
      <c r="N408" s="11">
        <f>6.8727 * CHOOSE(CONTROL!$C$32, $C$9, 100%, $E$9)</f>
        <v>6.8727</v>
      </c>
      <c r="O408" s="11">
        <f>6.8763 * CHOOSE(CONTROL!$C$32, $C$9, 100%, $E$9)</f>
        <v>6.8762999999999996</v>
      </c>
    </row>
    <row r="409" spans="1:15" ht="15" x14ac:dyDescent="0.2">
      <c r="A409" s="13">
        <v>53297</v>
      </c>
      <c r="B409" s="9">
        <f>5.9863 * CHOOSE(CONTROL!$C$32, $C$9, 100%, $E$9)</f>
        <v>5.9863</v>
      </c>
      <c r="C409" s="9">
        <f>5.9863 * CHOOSE(CONTROL!$C$32, $C$9, 100%, $E$9)</f>
        <v>5.9863</v>
      </c>
      <c r="D409" s="9">
        <f>5.9874 * CHOOSE(CONTROL!$C$32, $C$9, 100%, $E$9)</f>
        <v>5.9874000000000001</v>
      </c>
      <c r="E409" s="11">
        <f>6.8013 * CHOOSE(CONTROL!$C$32, $C$9, 100%, $E$9)</f>
        <v>6.8013000000000003</v>
      </c>
      <c r="F409" s="11">
        <f>6.8013 * CHOOSE(CONTROL!$C$32, $C$9, 100%, $E$9)</f>
        <v>6.8013000000000003</v>
      </c>
      <c r="G409" s="11">
        <f>6.8049 * CHOOSE(CONTROL!$C$32, $C$9, 100%, $E$9)</f>
        <v>6.8048999999999999</v>
      </c>
      <c r="H409" s="11">
        <f>12.6157 * CHOOSE(CONTROL!$C$32, $C$9, 100%, $E$9)</f>
        <v>12.6157</v>
      </c>
      <c r="I409" s="11">
        <f>12.6193 * CHOOSE(CONTROL!$C$32, $C$9, 100%, $E$9)</f>
        <v>12.619300000000001</v>
      </c>
      <c r="J409" s="11">
        <f>12.6157 * CHOOSE(CONTROL!$C$32, $C$9, 100%, $E$9)</f>
        <v>12.6157</v>
      </c>
      <c r="K409" s="11">
        <f>12.6193 * CHOOSE(CONTROL!$C$32, $C$9, 100%, $E$9)</f>
        <v>12.619300000000001</v>
      </c>
      <c r="L409" s="11">
        <f>6.8013 * CHOOSE(CONTROL!$C$32, $C$9, 100%, $E$9)</f>
        <v>6.8013000000000003</v>
      </c>
      <c r="M409" s="11">
        <f>6.8049 * CHOOSE(CONTROL!$C$32, $C$9, 100%, $E$9)</f>
        <v>6.8048999999999999</v>
      </c>
      <c r="N409" s="11">
        <f>6.8013 * CHOOSE(CONTROL!$C$32, $C$9, 100%, $E$9)</f>
        <v>6.8013000000000003</v>
      </c>
      <c r="O409" s="11">
        <f>6.8049 * CHOOSE(CONTROL!$C$32, $C$9, 100%, $E$9)</f>
        <v>6.8048999999999999</v>
      </c>
    </row>
    <row r="410" spans="1:15" ht="15" x14ac:dyDescent="0.2">
      <c r="A410" s="13">
        <v>53328</v>
      </c>
      <c r="B410" s="9">
        <f>6.0321 * CHOOSE(CONTROL!$C$32, $C$9, 100%, $E$9)</f>
        <v>6.0320999999999998</v>
      </c>
      <c r="C410" s="9">
        <f>6.0321 * CHOOSE(CONTROL!$C$32, $C$9, 100%, $E$9)</f>
        <v>6.0320999999999998</v>
      </c>
      <c r="D410" s="9">
        <f>6.0332 * CHOOSE(CONTROL!$C$32, $C$9, 100%, $E$9)</f>
        <v>6.0331999999999999</v>
      </c>
      <c r="E410" s="11">
        <f>6.8926 * CHOOSE(CONTROL!$C$32, $C$9, 100%, $E$9)</f>
        <v>6.8925999999999998</v>
      </c>
      <c r="F410" s="11">
        <f>6.8926 * CHOOSE(CONTROL!$C$32, $C$9, 100%, $E$9)</f>
        <v>6.8925999999999998</v>
      </c>
      <c r="G410" s="11">
        <f>6.8962 * CHOOSE(CONTROL!$C$32, $C$9, 100%, $E$9)</f>
        <v>6.8962000000000003</v>
      </c>
      <c r="H410" s="11">
        <f>12.642 * CHOOSE(CONTROL!$C$32, $C$9, 100%, $E$9)</f>
        <v>12.641999999999999</v>
      </c>
      <c r="I410" s="11">
        <f>12.6456 * CHOOSE(CONTROL!$C$32, $C$9, 100%, $E$9)</f>
        <v>12.6456</v>
      </c>
      <c r="J410" s="11">
        <f>12.642 * CHOOSE(CONTROL!$C$32, $C$9, 100%, $E$9)</f>
        <v>12.641999999999999</v>
      </c>
      <c r="K410" s="11">
        <f>12.6456 * CHOOSE(CONTROL!$C$32, $C$9, 100%, $E$9)</f>
        <v>12.6456</v>
      </c>
      <c r="L410" s="11">
        <f>6.8926 * CHOOSE(CONTROL!$C$32, $C$9, 100%, $E$9)</f>
        <v>6.8925999999999998</v>
      </c>
      <c r="M410" s="11">
        <f>6.8962 * CHOOSE(CONTROL!$C$32, $C$9, 100%, $E$9)</f>
        <v>6.8962000000000003</v>
      </c>
      <c r="N410" s="11">
        <f>6.8926 * CHOOSE(CONTROL!$C$32, $C$9, 100%, $E$9)</f>
        <v>6.8925999999999998</v>
      </c>
      <c r="O410" s="11">
        <f>6.8962 * CHOOSE(CONTROL!$C$32, $C$9, 100%, $E$9)</f>
        <v>6.8962000000000003</v>
      </c>
    </row>
    <row r="411" spans="1:15" ht="15" x14ac:dyDescent="0.2">
      <c r="A411" s="13">
        <v>53359</v>
      </c>
      <c r="B411" s="9">
        <f>6.0291 * CHOOSE(CONTROL!$C$32, $C$9, 100%, $E$9)</f>
        <v>6.0290999999999997</v>
      </c>
      <c r="C411" s="9">
        <f>6.0291 * CHOOSE(CONTROL!$C$32, $C$9, 100%, $E$9)</f>
        <v>6.0290999999999997</v>
      </c>
      <c r="D411" s="9">
        <f>6.0302 * CHOOSE(CONTROL!$C$32, $C$9, 100%, $E$9)</f>
        <v>6.0301999999999998</v>
      </c>
      <c r="E411" s="11">
        <f>6.7511 * CHOOSE(CONTROL!$C$32, $C$9, 100%, $E$9)</f>
        <v>6.7511000000000001</v>
      </c>
      <c r="F411" s="11">
        <f>6.7511 * CHOOSE(CONTROL!$C$32, $C$9, 100%, $E$9)</f>
        <v>6.7511000000000001</v>
      </c>
      <c r="G411" s="11">
        <f>6.7547 * CHOOSE(CONTROL!$C$32, $C$9, 100%, $E$9)</f>
        <v>6.7546999999999997</v>
      </c>
      <c r="H411" s="11">
        <f>12.6683 * CHOOSE(CONTROL!$C$32, $C$9, 100%, $E$9)</f>
        <v>12.6683</v>
      </c>
      <c r="I411" s="11">
        <f>12.6719 * CHOOSE(CONTROL!$C$32, $C$9, 100%, $E$9)</f>
        <v>12.671900000000001</v>
      </c>
      <c r="J411" s="11">
        <f>12.6683 * CHOOSE(CONTROL!$C$32, $C$9, 100%, $E$9)</f>
        <v>12.6683</v>
      </c>
      <c r="K411" s="11">
        <f>12.6719 * CHOOSE(CONTROL!$C$32, $C$9, 100%, $E$9)</f>
        <v>12.671900000000001</v>
      </c>
      <c r="L411" s="11">
        <f>6.7511 * CHOOSE(CONTROL!$C$32, $C$9, 100%, $E$9)</f>
        <v>6.7511000000000001</v>
      </c>
      <c r="M411" s="11">
        <f>6.7547 * CHOOSE(CONTROL!$C$32, $C$9, 100%, $E$9)</f>
        <v>6.7546999999999997</v>
      </c>
      <c r="N411" s="11">
        <f>6.7511 * CHOOSE(CONTROL!$C$32, $C$9, 100%, $E$9)</f>
        <v>6.7511000000000001</v>
      </c>
      <c r="O411" s="11">
        <f>6.7547 * CHOOSE(CONTROL!$C$32, $C$9, 100%, $E$9)</f>
        <v>6.7546999999999997</v>
      </c>
    </row>
    <row r="412" spans="1:15" ht="15" x14ac:dyDescent="0.2">
      <c r="A412" s="13">
        <v>53387</v>
      </c>
      <c r="B412" s="9">
        <f>6.0261 * CHOOSE(CONTROL!$C$32, $C$9, 100%, $E$9)</f>
        <v>6.0260999999999996</v>
      </c>
      <c r="C412" s="9">
        <f>6.0261 * CHOOSE(CONTROL!$C$32, $C$9, 100%, $E$9)</f>
        <v>6.0260999999999996</v>
      </c>
      <c r="D412" s="9">
        <f>6.0271 * CHOOSE(CONTROL!$C$32, $C$9, 100%, $E$9)</f>
        <v>6.0270999999999999</v>
      </c>
      <c r="E412" s="11">
        <f>6.8589 * CHOOSE(CONTROL!$C$32, $C$9, 100%, $E$9)</f>
        <v>6.8589000000000002</v>
      </c>
      <c r="F412" s="11">
        <f>6.8589 * CHOOSE(CONTROL!$C$32, $C$9, 100%, $E$9)</f>
        <v>6.8589000000000002</v>
      </c>
      <c r="G412" s="11">
        <f>6.8625 * CHOOSE(CONTROL!$C$32, $C$9, 100%, $E$9)</f>
        <v>6.8624999999999998</v>
      </c>
      <c r="H412" s="11">
        <f>12.6947 * CHOOSE(CONTROL!$C$32, $C$9, 100%, $E$9)</f>
        <v>12.694699999999999</v>
      </c>
      <c r="I412" s="11">
        <f>12.6983 * CHOOSE(CONTROL!$C$32, $C$9, 100%, $E$9)</f>
        <v>12.6983</v>
      </c>
      <c r="J412" s="11">
        <f>12.6947 * CHOOSE(CONTROL!$C$32, $C$9, 100%, $E$9)</f>
        <v>12.694699999999999</v>
      </c>
      <c r="K412" s="11">
        <f>12.6983 * CHOOSE(CONTROL!$C$32, $C$9, 100%, $E$9)</f>
        <v>12.6983</v>
      </c>
      <c r="L412" s="11">
        <f>6.8589 * CHOOSE(CONTROL!$C$32, $C$9, 100%, $E$9)</f>
        <v>6.8589000000000002</v>
      </c>
      <c r="M412" s="11">
        <f>6.8625 * CHOOSE(CONTROL!$C$32, $C$9, 100%, $E$9)</f>
        <v>6.8624999999999998</v>
      </c>
      <c r="N412" s="11">
        <f>6.8589 * CHOOSE(CONTROL!$C$32, $C$9, 100%, $E$9)</f>
        <v>6.8589000000000002</v>
      </c>
      <c r="O412" s="11">
        <f>6.8625 * CHOOSE(CONTROL!$C$32, $C$9, 100%, $E$9)</f>
        <v>6.8624999999999998</v>
      </c>
    </row>
    <row r="413" spans="1:15" ht="15" x14ac:dyDescent="0.2">
      <c r="A413" s="13">
        <v>53418</v>
      </c>
      <c r="B413" s="9">
        <f>6.0257 * CHOOSE(CONTROL!$C$32, $C$9, 100%, $E$9)</f>
        <v>6.0256999999999996</v>
      </c>
      <c r="C413" s="9">
        <f>6.0257 * CHOOSE(CONTROL!$C$32, $C$9, 100%, $E$9)</f>
        <v>6.0256999999999996</v>
      </c>
      <c r="D413" s="9">
        <f>6.0268 * CHOOSE(CONTROL!$C$32, $C$9, 100%, $E$9)</f>
        <v>6.0267999999999997</v>
      </c>
      <c r="E413" s="11">
        <f>6.9726 * CHOOSE(CONTROL!$C$32, $C$9, 100%, $E$9)</f>
        <v>6.9725999999999999</v>
      </c>
      <c r="F413" s="11">
        <f>6.9726 * CHOOSE(CONTROL!$C$32, $C$9, 100%, $E$9)</f>
        <v>6.9725999999999999</v>
      </c>
      <c r="G413" s="11">
        <f>6.9762 * CHOOSE(CONTROL!$C$32, $C$9, 100%, $E$9)</f>
        <v>6.9762000000000004</v>
      </c>
      <c r="H413" s="11">
        <f>12.7211 * CHOOSE(CONTROL!$C$32, $C$9, 100%, $E$9)</f>
        <v>12.7211</v>
      </c>
      <c r="I413" s="11">
        <f>12.7248 * CHOOSE(CONTROL!$C$32, $C$9, 100%, $E$9)</f>
        <v>12.7248</v>
      </c>
      <c r="J413" s="11">
        <f>12.7211 * CHOOSE(CONTROL!$C$32, $C$9, 100%, $E$9)</f>
        <v>12.7211</v>
      </c>
      <c r="K413" s="11">
        <f>12.7248 * CHOOSE(CONTROL!$C$32, $C$9, 100%, $E$9)</f>
        <v>12.7248</v>
      </c>
      <c r="L413" s="11">
        <f>6.9726 * CHOOSE(CONTROL!$C$32, $C$9, 100%, $E$9)</f>
        <v>6.9725999999999999</v>
      </c>
      <c r="M413" s="11">
        <f>6.9762 * CHOOSE(CONTROL!$C$32, $C$9, 100%, $E$9)</f>
        <v>6.9762000000000004</v>
      </c>
      <c r="N413" s="11">
        <f>6.9726 * CHOOSE(CONTROL!$C$32, $C$9, 100%, $E$9)</f>
        <v>6.9725999999999999</v>
      </c>
      <c r="O413" s="11">
        <f>6.9762 * CHOOSE(CONTROL!$C$32, $C$9, 100%, $E$9)</f>
        <v>6.9762000000000004</v>
      </c>
    </row>
    <row r="414" spans="1:15" ht="15" x14ac:dyDescent="0.2">
      <c r="A414" s="13">
        <v>53448</v>
      </c>
      <c r="B414" s="9">
        <f>6.0257 * CHOOSE(CONTROL!$C$32, $C$9, 100%, $E$9)</f>
        <v>6.0256999999999996</v>
      </c>
      <c r="C414" s="9">
        <f>6.0257 * CHOOSE(CONTROL!$C$32, $C$9, 100%, $E$9)</f>
        <v>6.0256999999999996</v>
      </c>
      <c r="D414" s="9">
        <f>6.0273 * CHOOSE(CONTROL!$C$32, $C$9, 100%, $E$9)</f>
        <v>6.0273000000000003</v>
      </c>
      <c r="E414" s="11">
        <f>7.0168 * CHOOSE(CONTROL!$C$32, $C$9, 100%, $E$9)</f>
        <v>7.0167999999999999</v>
      </c>
      <c r="F414" s="11">
        <f>7.0168 * CHOOSE(CONTROL!$C$32, $C$9, 100%, $E$9)</f>
        <v>7.0167999999999999</v>
      </c>
      <c r="G414" s="11">
        <f>7.0221 * CHOOSE(CONTROL!$C$32, $C$9, 100%, $E$9)</f>
        <v>7.0221</v>
      </c>
      <c r="H414" s="11">
        <f>12.7476 * CHOOSE(CONTROL!$C$32, $C$9, 100%, $E$9)</f>
        <v>12.7476</v>
      </c>
      <c r="I414" s="11">
        <f>12.7529 * CHOOSE(CONTROL!$C$32, $C$9, 100%, $E$9)</f>
        <v>12.7529</v>
      </c>
      <c r="J414" s="11">
        <f>12.7476 * CHOOSE(CONTROL!$C$32, $C$9, 100%, $E$9)</f>
        <v>12.7476</v>
      </c>
      <c r="K414" s="11">
        <f>12.7529 * CHOOSE(CONTROL!$C$32, $C$9, 100%, $E$9)</f>
        <v>12.7529</v>
      </c>
      <c r="L414" s="11">
        <f>7.0168 * CHOOSE(CONTROL!$C$32, $C$9, 100%, $E$9)</f>
        <v>7.0167999999999999</v>
      </c>
      <c r="M414" s="11">
        <f>7.0221 * CHOOSE(CONTROL!$C$32, $C$9, 100%, $E$9)</f>
        <v>7.0221</v>
      </c>
      <c r="N414" s="11">
        <f>7.0168 * CHOOSE(CONTROL!$C$32, $C$9, 100%, $E$9)</f>
        <v>7.0167999999999999</v>
      </c>
      <c r="O414" s="11">
        <f>7.0221 * CHOOSE(CONTROL!$C$32, $C$9, 100%, $E$9)</f>
        <v>7.0221</v>
      </c>
    </row>
    <row r="415" spans="1:15" ht="15" x14ac:dyDescent="0.2">
      <c r="A415" s="13">
        <v>53479</v>
      </c>
      <c r="B415" s="9">
        <f>6.0318 * CHOOSE(CONTROL!$C$32, $C$9, 100%, $E$9)</f>
        <v>6.0317999999999996</v>
      </c>
      <c r="C415" s="9">
        <f>6.0318 * CHOOSE(CONTROL!$C$32, $C$9, 100%, $E$9)</f>
        <v>6.0317999999999996</v>
      </c>
      <c r="D415" s="9">
        <f>6.0333 * CHOOSE(CONTROL!$C$32, $C$9, 100%, $E$9)</f>
        <v>6.0332999999999997</v>
      </c>
      <c r="E415" s="11">
        <f>6.9768 * CHOOSE(CONTROL!$C$32, $C$9, 100%, $E$9)</f>
        <v>6.9767999999999999</v>
      </c>
      <c r="F415" s="11">
        <f>6.9768 * CHOOSE(CONTROL!$C$32, $C$9, 100%, $E$9)</f>
        <v>6.9767999999999999</v>
      </c>
      <c r="G415" s="11">
        <f>6.9821 * CHOOSE(CONTROL!$C$32, $C$9, 100%, $E$9)</f>
        <v>6.9821</v>
      </c>
      <c r="H415" s="11">
        <f>12.7742 * CHOOSE(CONTROL!$C$32, $C$9, 100%, $E$9)</f>
        <v>12.7742</v>
      </c>
      <c r="I415" s="11">
        <f>12.7795 * CHOOSE(CONTROL!$C$32, $C$9, 100%, $E$9)</f>
        <v>12.779500000000001</v>
      </c>
      <c r="J415" s="11">
        <f>12.7742 * CHOOSE(CONTROL!$C$32, $C$9, 100%, $E$9)</f>
        <v>12.7742</v>
      </c>
      <c r="K415" s="11">
        <f>12.7795 * CHOOSE(CONTROL!$C$32, $C$9, 100%, $E$9)</f>
        <v>12.779500000000001</v>
      </c>
      <c r="L415" s="11">
        <f>6.9768 * CHOOSE(CONTROL!$C$32, $C$9, 100%, $E$9)</f>
        <v>6.9767999999999999</v>
      </c>
      <c r="M415" s="11">
        <f>6.9821 * CHOOSE(CONTROL!$C$32, $C$9, 100%, $E$9)</f>
        <v>6.9821</v>
      </c>
      <c r="N415" s="11">
        <f>6.9768 * CHOOSE(CONTROL!$C$32, $C$9, 100%, $E$9)</f>
        <v>6.9767999999999999</v>
      </c>
      <c r="O415" s="11">
        <f>6.9821 * CHOOSE(CONTROL!$C$32, $C$9, 100%, $E$9)</f>
        <v>6.9821</v>
      </c>
    </row>
    <row r="416" spans="1:15" ht="15" x14ac:dyDescent="0.2">
      <c r="A416" s="13">
        <v>53509</v>
      </c>
      <c r="B416" s="9">
        <f>6.1126 * CHOOSE(CONTROL!$C$32, $C$9, 100%, $E$9)</f>
        <v>6.1125999999999996</v>
      </c>
      <c r="C416" s="9">
        <f>6.1126 * CHOOSE(CONTROL!$C$32, $C$9, 100%, $E$9)</f>
        <v>6.1125999999999996</v>
      </c>
      <c r="D416" s="9">
        <f>6.1142 * CHOOSE(CONTROL!$C$32, $C$9, 100%, $E$9)</f>
        <v>6.1142000000000003</v>
      </c>
      <c r="E416" s="11">
        <f>7.0342 * CHOOSE(CONTROL!$C$32, $C$9, 100%, $E$9)</f>
        <v>7.0342000000000002</v>
      </c>
      <c r="F416" s="11">
        <f>7.0342 * CHOOSE(CONTROL!$C$32, $C$9, 100%, $E$9)</f>
        <v>7.0342000000000002</v>
      </c>
      <c r="G416" s="11">
        <f>7.0395 * CHOOSE(CONTROL!$C$32, $C$9, 100%, $E$9)</f>
        <v>7.0395000000000003</v>
      </c>
      <c r="H416" s="11">
        <f>12.8008 * CHOOSE(CONTROL!$C$32, $C$9, 100%, $E$9)</f>
        <v>12.800800000000001</v>
      </c>
      <c r="I416" s="11">
        <f>12.8061 * CHOOSE(CONTROL!$C$32, $C$9, 100%, $E$9)</f>
        <v>12.806100000000001</v>
      </c>
      <c r="J416" s="11">
        <f>12.8008 * CHOOSE(CONTROL!$C$32, $C$9, 100%, $E$9)</f>
        <v>12.800800000000001</v>
      </c>
      <c r="K416" s="11">
        <f>12.8061 * CHOOSE(CONTROL!$C$32, $C$9, 100%, $E$9)</f>
        <v>12.806100000000001</v>
      </c>
      <c r="L416" s="11">
        <f>7.0342 * CHOOSE(CONTROL!$C$32, $C$9, 100%, $E$9)</f>
        <v>7.0342000000000002</v>
      </c>
      <c r="M416" s="11">
        <f>7.0395 * CHOOSE(CONTROL!$C$32, $C$9, 100%, $E$9)</f>
        <v>7.0395000000000003</v>
      </c>
      <c r="N416" s="11">
        <f>7.0342 * CHOOSE(CONTROL!$C$32, $C$9, 100%, $E$9)</f>
        <v>7.0342000000000002</v>
      </c>
      <c r="O416" s="11">
        <f>7.0395 * CHOOSE(CONTROL!$C$32, $C$9, 100%, $E$9)</f>
        <v>7.0395000000000003</v>
      </c>
    </row>
    <row r="417" spans="1:15" ht="15" x14ac:dyDescent="0.2">
      <c r="A417" s="13">
        <v>53540</v>
      </c>
      <c r="B417" s="9">
        <f>6.1193 * CHOOSE(CONTROL!$C$32, $C$9, 100%, $E$9)</f>
        <v>6.1193</v>
      </c>
      <c r="C417" s="9">
        <f>6.1193 * CHOOSE(CONTROL!$C$32, $C$9, 100%, $E$9)</f>
        <v>6.1193</v>
      </c>
      <c r="D417" s="9">
        <f>6.1209 * CHOOSE(CONTROL!$C$32, $C$9, 100%, $E$9)</f>
        <v>6.1208999999999998</v>
      </c>
      <c r="E417" s="11">
        <f>6.9061 * CHOOSE(CONTROL!$C$32, $C$9, 100%, $E$9)</f>
        <v>6.9061000000000003</v>
      </c>
      <c r="F417" s="11">
        <f>6.9061 * CHOOSE(CONTROL!$C$32, $C$9, 100%, $E$9)</f>
        <v>6.9061000000000003</v>
      </c>
      <c r="G417" s="11">
        <f>6.9114 * CHOOSE(CONTROL!$C$32, $C$9, 100%, $E$9)</f>
        <v>6.9114000000000004</v>
      </c>
      <c r="H417" s="11">
        <f>12.8275 * CHOOSE(CONTROL!$C$32, $C$9, 100%, $E$9)</f>
        <v>12.827500000000001</v>
      </c>
      <c r="I417" s="11">
        <f>12.8328 * CHOOSE(CONTROL!$C$32, $C$9, 100%, $E$9)</f>
        <v>12.832800000000001</v>
      </c>
      <c r="J417" s="11">
        <f>12.8275 * CHOOSE(CONTROL!$C$32, $C$9, 100%, $E$9)</f>
        <v>12.827500000000001</v>
      </c>
      <c r="K417" s="11">
        <f>12.8328 * CHOOSE(CONTROL!$C$32, $C$9, 100%, $E$9)</f>
        <v>12.832800000000001</v>
      </c>
      <c r="L417" s="11">
        <f>6.9061 * CHOOSE(CONTROL!$C$32, $C$9, 100%, $E$9)</f>
        <v>6.9061000000000003</v>
      </c>
      <c r="M417" s="11">
        <f>6.9114 * CHOOSE(CONTROL!$C$32, $C$9, 100%, $E$9)</f>
        <v>6.9114000000000004</v>
      </c>
      <c r="N417" s="11">
        <f>6.9061 * CHOOSE(CONTROL!$C$32, $C$9, 100%, $E$9)</f>
        <v>6.9061000000000003</v>
      </c>
      <c r="O417" s="11">
        <f>6.9114 * CHOOSE(CONTROL!$C$32, $C$9, 100%, $E$9)</f>
        <v>6.9114000000000004</v>
      </c>
    </row>
    <row r="418" spans="1:15" ht="15" x14ac:dyDescent="0.2">
      <c r="A418" s="13">
        <v>53571</v>
      </c>
      <c r="B418" s="9">
        <f>6.1163 * CHOOSE(CONTROL!$C$32, $C$9, 100%, $E$9)</f>
        <v>6.1162999999999998</v>
      </c>
      <c r="C418" s="9">
        <f>6.1163 * CHOOSE(CONTROL!$C$32, $C$9, 100%, $E$9)</f>
        <v>6.1162999999999998</v>
      </c>
      <c r="D418" s="9">
        <f>6.1178 * CHOOSE(CONTROL!$C$32, $C$9, 100%, $E$9)</f>
        <v>6.1177999999999999</v>
      </c>
      <c r="E418" s="11">
        <f>6.8892 * CHOOSE(CONTROL!$C$32, $C$9, 100%, $E$9)</f>
        <v>6.8891999999999998</v>
      </c>
      <c r="F418" s="11">
        <f>6.8892 * CHOOSE(CONTROL!$C$32, $C$9, 100%, $E$9)</f>
        <v>6.8891999999999998</v>
      </c>
      <c r="G418" s="11">
        <f>6.8945 * CHOOSE(CONTROL!$C$32, $C$9, 100%, $E$9)</f>
        <v>6.8944999999999999</v>
      </c>
      <c r="H418" s="11">
        <f>12.8542 * CHOOSE(CONTROL!$C$32, $C$9, 100%, $E$9)</f>
        <v>12.854200000000001</v>
      </c>
      <c r="I418" s="11">
        <f>12.8595 * CHOOSE(CONTROL!$C$32, $C$9, 100%, $E$9)</f>
        <v>12.859500000000001</v>
      </c>
      <c r="J418" s="11">
        <f>12.8542 * CHOOSE(CONTROL!$C$32, $C$9, 100%, $E$9)</f>
        <v>12.854200000000001</v>
      </c>
      <c r="K418" s="11">
        <f>12.8595 * CHOOSE(CONTROL!$C$32, $C$9, 100%, $E$9)</f>
        <v>12.859500000000001</v>
      </c>
      <c r="L418" s="11">
        <f>6.8892 * CHOOSE(CONTROL!$C$32, $C$9, 100%, $E$9)</f>
        <v>6.8891999999999998</v>
      </c>
      <c r="M418" s="11">
        <f>6.8945 * CHOOSE(CONTROL!$C$32, $C$9, 100%, $E$9)</f>
        <v>6.8944999999999999</v>
      </c>
      <c r="N418" s="11">
        <f>6.8892 * CHOOSE(CONTROL!$C$32, $C$9, 100%, $E$9)</f>
        <v>6.8891999999999998</v>
      </c>
      <c r="O418" s="11">
        <f>6.8945 * CHOOSE(CONTROL!$C$32, $C$9, 100%, $E$9)</f>
        <v>6.8944999999999999</v>
      </c>
    </row>
    <row r="419" spans="1:15" ht="15" x14ac:dyDescent="0.2">
      <c r="A419" s="13">
        <v>53601</v>
      </c>
      <c r="B419" s="9">
        <f>6.1192 * CHOOSE(CONTROL!$C$32, $C$9, 100%, $E$9)</f>
        <v>6.1192000000000002</v>
      </c>
      <c r="C419" s="9">
        <f>6.1192 * CHOOSE(CONTROL!$C$32, $C$9, 100%, $E$9)</f>
        <v>6.1192000000000002</v>
      </c>
      <c r="D419" s="9">
        <f>6.1203 * CHOOSE(CONTROL!$C$32, $C$9, 100%, $E$9)</f>
        <v>6.1203000000000003</v>
      </c>
      <c r="E419" s="11">
        <f>6.9348 * CHOOSE(CONTROL!$C$32, $C$9, 100%, $E$9)</f>
        <v>6.9348000000000001</v>
      </c>
      <c r="F419" s="11">
        <f>6.9348 * CHOOSE(CONTROL!$C$32, $C$9, 100%, $E$9)</f>
        <v>6.9348000000000001</v>
      </c>
      <c r="G419" s="11">
        <f>6.9384 * CHOOSE(CONTROL!$C$32, $C$9, 100%, $E$9)</f>
        <v>6.9383999999999997</v>
      </c>
      <c r="H419" s="11">
        <f>12.881 * CHOOSE(CONTROL!$C$32, $C$9, 100%, $E$9)</f>
        <v>12.881</v>
      </c>
      <c r="I419" s="11">
        <f>12.8846 * CHOOSE(CONTROL!$C$32, $C$9, 100%, $E$9)</f>
        <v>12.884600000000001</v>
      </c>
      <c r="J419" s="11">
        <f>12.881 * CHOOSE(CONTROL!$C$32, $C$9, 100%, $E$9)</f>
        <v>12.881</v>
      </c>
      <c r="K419" s="11">
        <f>12.8846 * CHOOSE(CONTROL!$C$32, $C$9, 100%, $E$9)</f>
        <v>12.884600000000001</v>
      </c>
      <c r="L419" s="11">
        <f>6.9348 * CHOOSE(CONTROL!$C$32, $C$9, 100%, $E$9)</f>
        <v>6.9348000000000001</v>
      </c>
      <c r="M419" s="11">
        <f>6.9384 * CHOOSE(CONTROL!$C$32, $C$9, 100%, $E$9)</f>
        <v>6.9383999999999997</v>
      </c>
      <c r="N419" s="11">
        <f>6.9348 * CHOOSE(CONTROL!$C$32, $C$9, 100%, $E$9)</f>
        <v>6.9348000000000001</v>
      </c>
      <c r="O419" s="11">
        <f>6.9384 * CHOOSE(CONTROL!$C$32, $C$9, 100%, $E$9)</f>
        <v>6.9383999999999997</v>
      </c>
    </row>
    <row r="420" spans="1:15" ht="15" x14ac:dyDescent="0.2">
      <c r="A420" s="13">
        <v>53632</v>
      </c>
      <c r="B420" s="9">
        <f>6.1222 * CHOOSE(CONTROL!$C$32, $C$9, 100%, $E$9)</f>
        <v>6.1222000000000003</v>
      </c>
      <c r="C420" s="9">
        <f>6.1222 * CHOOSE(CONTROL!$C$32, $C$9, 100%, $E$9)</f>
        <v>6.1222000000000003</v>
      </c>
      <c r="D420" s="9">
        <f>6.1233 * CHOOSE(CONTROL!$C$32, $C$9, 100%, $E$9)</f>
        <v>6.1233000000000004</v>
      </c>
      <c r="E420" s="11">
        <f>6.9664 * CHOOSE(CONTROL!$C$32, $C$9, 100%, $E$9)</f>
        <v>6.9664000000000001</v>
      </c>
      <c r="F420" s="11">
        <f>6.9664 * CHOOSE(CONTROL!$C$32, $C$9, 100%, $E$9)</f>
        <v>6.9664000000000001</v>
      </c>
      <c r="G420" s="11">
        <f>6.97 * CHOOSE(CONTROL!$C$32, $C$9, 100%, $E$9)</f>
        <v>6.97</v>
      </c>
      <c r="H420" s="11">
        <f>12.9078 * CHOOSE(CONTROL!$C$32, $C$9, 100%, $E$9)</f>
        <v>12.9078</v>
      </c>
      <c r="I420" s="11">
        <f>12.9114 * CHOOSE(CONTROL!$C$32, $C$9, 100%, $E$9)</f>
        <v>12.9114</v>
      </c>
      <c r="J420" s="11">
        <f>12.9078 * CHOOSE(CONTROL!$C$32, $C$9, 100%, $E$9)</f>
        <v>12.9078</v>
      </c>
      <c r="K420" s="11">
        <f>12.9114 * CHOOSE(CONTROL!$C$32, $C$9, 100%, $E$9)</f>
        <v>12.9114</v>
      </c>
      <c r="L420" s="11">
        <f>6.9664 * CHOOSE(CONTROL!$C$32, $C$9, 100%, $E$9)</f>
        <v>6.9664000000000001</v>
      </c>
      <c r="M420" s="11">
        <f>6.97 * CHOOSE(CONTROL!$C$32, $C$9, 100%, $E$9)</f>
        <v>6.97</v>
      </c>
      <c r="N420" s="11">
        <f>6.9664 * CHOOSE(CONTROL!$C$32, $C$9, 100%, $E$9)</f>
        <v>6.9664000000000001</v>
      </c>
      <c r="O420" s="11">
        <f>6.97 * CHOOSE(CONTROL!$C$32, $C$9, 100%, $E$9)</f>
        <v>6.97</v>
      </c>
    </row>
    <row r="421" spans="1:15" ht="15" x14ac:dyDescent="0.2">
      <c r="A421" s="13">
        <v>53662</v>
      </c>
      <c r="B421" s="9">
        <f>6.1222 * CHOOSE(CONTROL!$C$32, $C$9, 100%, $E$9)</f>
        <v>6.1222000000000003</v>
      </c>
      <c r="C421" s="9">
        <f>6.1222 * CHOOSE(CONTROL!$C$32, $C$9, 100%, $E$9)</f>
        <v>6.1222000000000003</v>
      </c>
      <c r="D421" s="9">
        <f>6.1233 * CHOOSE(CONTROL!$C$32, $C$9, 100%, $E$9)</f>
        <v>6.1233000000000004</v>
      </c>
      <c r="E421" s="11">
        <f>6.8927 * CHOOSE(CONTROL!$C$32, $C$9, 100%, $E$9)</f>
        <v>6.8926999999999996</v>
      </c>
      <c r="F421" s="11">
        <f>6.8927 * CHOOSE(CONTROL!$C$32, $C$9, 100%, $E$9)</f>
        <v>6.8926999999999996</v>
      </c>
      <c r="G421" s="11">
        <f>6.8963 * CHOOSE(CONTROL!$C$32, $C$9, 100%, $E$9)</f>
        <v>6.8963000000000001</v>
      </c>
      <c r="H421" s="11">
        <f>12.9347 * CHOOSE(CONTROL!$C$32, $C$9, 100%, $E$9)</f>
        <v>12.934699999999999</v>
      </c>
      <c r="I421" s="11">
        <f>12.9383 * CHOOSE(CONTROL!$C$32, $C$9, 100%, $E$9)</f>
        <v>12.9383</v>
      </c>
      <c r="J421" s="11">
        <f>12.9347 * CHOOSE(CONTROL!$C$32, $C$9, 100%, $E$9)</f>
        <v>12.934699999999999</v>
      </c>
      <c r="K421" s="11">
        <f>12.9383 * CHOOSE(CONTROL!$C$32, $C$9, 100%, $E$9)</f>
        <v>12.9383</v>
      </c>
      <c r="L421" s="11">
        <f>6.8927 * CHOOSE(CONTROL!$C$32, $C$9, 100%, $E$9)</f>
        <v>6.8926999999999996</v>
      </c>
      <c r="M421" s="11">
        <f>6.8963 * CHOOSE(CONTROL!$C$32, $C$9, 100%, $E$9)</f>
        <v>6.8963000000000001</v>
      </c>
      <c r="N421" s="11">
        <f>6.8927 * CHOOSE(CONTROL!$C$32, $C$9, 100%, $E$9)</f>
        <v>6.8926999999999996</v>
      </c>
      <c r="O421" s="11">
        <f>6.8963 * CHOOSE(CONTROL!$C$32, $C$9, 100%, $E$9)</f>
        <v>6.8963000000000001</v>
      </c>
    </row>
    <row r="422" spans="1:15" ht="15" x14ac:dyDescent="0.2">
      <c r="A422" s="13">
        <v>53693</v>
      </c>
      <c r="B422" s="9">
        <f>6.169 * CHOOSE(CONTROL!$C$32, $C$9, 100%, $E$9)</f>
        <v>6.1689999999999996</v>
      </c>
      <c r="C422" s="9">
        <f>6.169 * CHOOSE(CONTROL!$C$32, $C$9, 100%, $E$9)</f>
        <v>6.1689999999999996</v>
      </c>
      <c r="D422" s="9">
        <f>6.17 * CHOOSE(CONTROL!$C$32, $C$9, 100%, $E$9)</f>
        <v>6.17</v>
      </c>
      <c r="E422" s="11">
        <f>6.9915 * CHOOSE(CONTROL!$C$32, $C$9, 100%, $E$9)</f>
        <v>6.9915000000000003</v>
      </c>
      <c r="F422" s="11">
        <f>6.9915 * CHOOSE(CONTROL!$C$32, $C$9, 100%, $E$9)</f>
        <v>6.9915000000000003</v>
      </c>
      <c r="G422" s="11">
        <f>6.9951 * CHOOSE(CONTROL!$C$32, $C$9, 100%, $E$9)</f>
        <v>6.9950999999999999</v>
      </c>
      <c r="H422" s="11">
        <f>12.9617 * CHOOSE(CONTROL!$C$32, $C$9, 100%, $E$9)</f>
        <v>12.9617</v>
      </c>
      <c r="I422" s="11">
        <f>12.9653 * CHOOSE(CONTROL!$C$32, $C$9, 100%, $E$9)</f>
        <v>12.965299999999999</v>
      </c>
      <c r="J422" s="11">
        <f>12.9617 * CHOOSE(CONTROL!$C$32, $C$9, 100%, $E$9)</f>
        <v>12.9617</v>
      </c>
      <c r="K422" s="11">
        <f>12.9653 * CHOOSE(CONTROL!$C$32, $C$9, 100%, $E$9)</f>
        <v>12.965299999999999</v>
      </c>
      <c r="L422" s="11">
        <f>6.9915 * CHOOSE(CONTROL!$C$32, $C$9, 100%, $E$9)</f>
        <v>6.9915000000000003</v>
      </c>
      <c r="M422" s="11">
        <f>6.9951 * CHOOSE(CONTROL!$C$32, $C$9, 100%, $E$9)</f>
        <v>6.9950999999999999</v>
      </c>
      <c r="N422" s="11">
        <f>6.9915 * CHOOSE(CONTROL!$C$32, $C$9, 100%, $E$9)</f>
        <v>6.9915000000000003</v>
      </c>
      <c r="O422" s="11">
        <f>6.9951 * CHOOSE(CONTROL!$C$32, $C$9, 100%, $E$9)</f>
        <v>6.9950999999999999</v>
      </c>
    </row>
    <row r="423" spans="1:15" ht="15" x14ac:dyDescent="0.2">
      <c r="A423" s="13">
        <v>53724</v>
      </c>
      <c r="B423" s="9">
        <f>6.1659 * CHOOSE(CONTROL!$C$32, $C$9, 100%, $E$9)</f>
        <v>6.1658999999999997</v>
      </c>
      <c r="C423" s="9">
        <f>6.1659 * CHOOSE(CONTROL!$C$32, $C$9, 100%, $E$9)</f>
        <v>6.1658999999999997</v>
      </c>
      <c r="D423" s="9">
        <f>6.167 * CHOOSE(CONTROL!$C$32, $C$9, 100%, $E$9)</f>
        <v>6.1669999999999998</v>
      </c>
      <c r="E423" s="11">
        <f>6.8455 * CHOOSE(CONTROL!$C$32, $C$9, 100%, $E$9)</f>
        <v>6.8455000000000004</v>
      </c>
      <c r="F423" s="11">
        <f>6.8455 * CHOOSE(CONTROL!$C$32, $C$9, 100%, $E$9)</f>
        <v>6.8455000000000004</v>
      </c>
      <c r="G423" s="11">
        <f>6.8491 * CHOOSE(CONTROL!$C$32, $C$9, 100%, $E$9)</f>
        <v>6.8491</v>
      </c>
      <c r="H423" s="11">
        <f>12.9887 * CHOOSE(CONTROL!$C$32, $C$9, 100%, $E$9)</f>
        <v>12.9887</v>
      </c>
      <c r="I423" s="11">
        <f>12.9923 * CHOOSE(CONTROL!$C$32, $C$9, 100%, $E$9)</f>
        <v>12.9923</v>
      </c>
      <c r="J423" s="11">
        <f>12.9887 * CHOOSE(CONTROL!$C$32, $C$9, 100%, $E$9)</f>
        <v>12.9887</v>
      </c>
      <c r="K423" s="11">
        <f>12.9923 * CHOOSE(CONTROL!$C$32, $C$9, 100%, $E$9)</f>
        <v>12.9923</v>
      </c>
      <c r="L423" s="11">
        <f>6.8455 * CHOOSE(CONTROL!$C$32, $C$9, 100%, $E$9)</f>
        <v>6.8455000000000004</v>
      </c>
      <c r="M423" s="11">
        <f>6.8491 * CHOOSE(CONTROL!$C$32, $C$9, 100%, $E$9)</f>
        <v>6.8491</v>
      </c>
      <c r="N423" s="11">
        <f>6.8455 * CHOOSE(CONTROL!$C$32, $C$9, 100%, $E$9)</f>
        <v>6.8455000000000004</v>
      </c>
      <c r="O423" s="11">
        <f>6.8491 * CHOOSE(CONTROL!$C$32, $C$9, 100%, $E$9)</f>
        <v>6.8491</v>
      </c>
    </row>
    <row r="424" spans="1:15" ht="15" x14ac:dyDescent="0.2">
      <c r="A424" s="13">
        <v>53752</v>
      </c>
      <c r="B424" s="9">
        <f>6.1629 * CHOOSE(CONTROL!$C$32, $C$9, 100%, $E$9)</f>
        <v>6.1628999999999996</v>
      </c>
      <c r="C424" s="9">
        <f>6.1629 * CHOOSE(CONTROL!$C$32, $C$9, 100%, $E$9)</f>
        <v>6.1628999999999996</v>
      </c>
      <c r="D424" s="9">
        <f>6.164 * CHOOSE(CONTROL!$C$32, $C$9, 100%, $E$9)</f>
        <v>6.1639999999999997</v>
      </c>
      <c r="E424" s="11">
        <f>6.9568 * CHOOSE(CONTROL!$C$32, $C$9, 100%, $E$9)</f>
        <v>6.9568000000000003</v>
      </c>
      <c r="F424" s="11">
        <f>6.9568 * CHOOSE(CONTROL!$C$32, $C$9, 100%, $E$9)</f>
        <v>6.9568000000000003</v>
      </c>
      <c r="G424" s="11">
        <f>6.9605 * CHOOSE(CONTROL!$C$32, $C$9, 100%, $E$9)</f>
        <v>6.9604999999999997</v>
      </c>
      <c r="H424" s="11">
        <f>13.0157 * CHOOSE(CONTROL!$C$32, $C$9, 100%, $E$9)</f>
        <v>13.015700000000001</v>
      </c>
      <c r="I424" s="11">
        <f>13.0193 * CHOOSE(CONTROL!$C$32, $C$9, 100%, $E$9)</f>
        <v>13.019299999999999</v>
      </c>
      <c r="J424" s="11">
        <f>13.0157 * CHOOSE(CONTROL!$C$32, $C$9, 100%, $E$9)</f>
        <v>13.015700000000001</v>
      </c>
      <c r="K424" s="11">
        <f>13.0193 * CHOOSE(CONTROL!$C$32, $C$9, 100%, $E$9)</f>
        <v>13.019299999999999</v>
      </c>
      <c r="L424" s="11">
        <f>6.9568 * CHOOSE(CONTROL!$C$32, $C$9, 100%, $E$9)</f>
        <v>6.9568000000000003</v>
      </c>
      <c r="M424" s="11">
        <f>6.9605 * CHOOSE(CONTROL!$C$32, $C$9, 100%, $E$9)</f>
        <v>6.9604999999999997</v>
      </c>
      <c r="N424" s="11">
        <f>6.9568 * CHOOSE(CONTROL!$C$32, $C$9, 100%, $E$9)</f>
        <v>6.9568000000000003</v>
      </c>
      <c r="O424" s="11">
        <f>6.9605 * CHOOSE(CONTROL!$C$32, $C$9, 100%, $E$9)</f>
        <v>6.9604999999999997</v>
      </c>
    </row>
    <row r="425" spans="1:15" ht="15" x14ac:dyDescent="0.2">
      <c r="A425" s="13">
        <v>53783</v>
      </c>
      <c r="B425" s="9">
        <f>6.1626 * CHOOSE(CONTROL!$C$32, $C$9, 100%, $E$9)</f>
        <v>6.1626000000000003</v>
      </c>
      <c r="C425" s="9">
        <f>6.1626 * CHOOSE(CONTROL!$C$32, $C$9, 100%, $E$9)</f>
        <v>6.1626000000000003</v>
      </c>
      <c r="D425" s="9">
        <f>6.1637 * CHOOSE(CONTROL!$C$32, $C$9, 100%, $E$9)</f>
        <v>6.1637000000000004</v>
      </c>
      <c r="E425" s="11">
        <f>7.0744 * CHOOSE(CONTROL!$C$32, $C$9, 100%, $E$9)</f>
        <v>7.0743999999999998</v>
      </c>
      <c r="F425" s="11">
        <f>7.0744 * CHOOSE(CONTROL!$C$32, $C$9, 100%, $E$9)</f>
        <v>7.0743999999999998</v>
      </c>
      <c r="G425" s="11">
        <f>7.078 * CHOOSE(CONTROL!$C$32, $C$9, 100%, $E$9)</f>
        <v>7.0780000000000003</v>
      </c>
      <c r="H425" s="11">
        <f>13.0428 * CHOOSE(CONTROL!$C$32, $C$9, 100%, $E$9)</f>
        <v>13.0428</v>
      </c>
      <c r="I425" s="11">
        <f>13.0465 * CHOOSE(CONTROL!$C$32, $C$9, 100%, $E$9)</f>
        <v>13.0465</v>
      </c>
      <c r="J425" s="11">
        <f>13.0428 * CHOOSE(CONTROL!$C$32, $C$9, 100%, $E$9)</f>
        <v>13.0428</v>
      </c>
      <c r="K425" s="11">
        <f>13.0465 * CHOOSE(CONTROL!$C$32, $C$9, 100%, $E$9)</f>
        <v>13.0465</v>
      </c>
      <c r="L425" s="11">
        <f>7.0744 * CHOOSE(CONTROL!$C$32, $C$9, 100%, $E$9)</f>
        <v>7.0743999999999998</v>
      </c>
      <c r="M425" s="11">
        <f>7.078 * CHOOSE(CONTROL!$C$32, $C$9, 100%, $E$9)</f>
        <v>7.0780000000000003</v>
      </c>
      <c r="N425" s="11">
        <f>7.0744 * CHOOSE(CONTROL!$C$32, $C$9, 100%, $E$9)</f>
        <v>7.0743999999999998</v>
      </c>
      <c r="O425" s="11">
        <f>7.078 * CHOOSE(CONTROL!$C$32, $C$9, 100%, $E$9)</f>
        <v>7.0780000000000003</v>
      </c>
    </row>
    <row r="426" spans="1:15" ht="15" x14ac:dyDescent="0.2">
      <c r="A426" s="13">
        <v>53813</v>
      </c>
      <c r="B426" s="9">
        <f>6.1626 * CHOOSE(CONTROL!$C$32, $C$9, 100%, $E$9)</f>
        <v>6.1626000000000003</v>
      </c>
      <c r="C426" s="9">
        <f>6.1626 * CHOOSE(CONTROL!$C$32, $C$9, 100%, $E$9)</f>
        <v>6.1626000000000003</v>
      </c>
      <c r="D426" s="9">
        <f>6.1642 * CHOOSE(CONTROL!$C$32, $C$9, 100%, $E$9)</f>
        <v>6.1642000000000001</v>
      </c>
      <c r="E426" s="11">
        <f>7.1201 * CHOOSE(CONTROL!$C$32, $C$9, 100%, $E$9)</f>
        <v>7.1200999999999999</v>
      </c>
      <c r="F426" s="11">
        <f>7.1201 * CHOOSE(CONTROL!$C$32, $C$9, 100%, $E$9)</f>
        <v>7.1200999999999999</v>
      </c>
      <c r="G426" s="11">
        <f>7.1254 * CHOOSE(CONTROL!$C$32, $C$9, 100%, $E$9)</f>
        <v>7.1254</v>
      </c>
      <c r="H426" s="11">
        <f>13.07 * CHOOSE(CONTROL!$C$32, $C$9, 100%, $E$9)</f>
        <v>13.07</v>
      </c>
      <c r="I426" s="11">
        <f>13.0753 * CHOOSE(CONTROL!$C$32, $C$9, 100%, $E$9)</f>
        <v>13.0753</v>
      </c>
      <c r="J426" s="11">
        <f>13.07 * CHOOSE(CONTROL!$C$32, $C$9, 100%, $E$9)</f>
        <v>13.07</v>
      </c>
      <c r="K426" s="11">
        <f>13.0753 * CHOOSE(CONTROL!$C$32, $C$9, 100%, $E$9)</f>
        <v>13.0753</v>
      </c>
      <c r="L426" s="11">
        <f>7.1201 * CHOOSE(CONTROL!$C$32, $C$9, 100%, $E$9)</f>
        <v>7.1200999999999999</v>
      </c>
      <c r="M426" s="11">
        <f>7.1254 * CHOOSE(CONTROL!$C$32, $C$9, 100%, $E$9)</f>
        <v>7.1254</v>
      </c>
      <c r="N426" s="11">
        <f>7.1201 * CHOOSE(CONTROL!$C$32, $C$9, 100%, $E$9)</f>
        <v>7.1200999999999999</v>
      </c>
      <c r="O426" s="11">
        <f>7.1254 * CHOOSE(CONTROL!$C$32, $C$9, 100%, $E$9)</f>
        <v>7.1254</v>
      </c>
    </row>
    <row r="427" spans="1:15" ht="15" x14ac:dyDescent="0.2">
      <c r="A427" s="13">
        <v>53844</v>
      </c>
      <c r="B427" s="9">
        <f>6.1687 * CHOOSE(CONTROL!$C$32, $C$9, 100%, $E$9)</f>
        <v>6.1687000000000003</v>
      </c>
      <c r="C427" s="9">
        <f>6.1687 * CHOOSE(CONTROL!$C$32, $C$9, 100%, $E$9)</f>
        <v>6.1687000000000003</v>
      </c>
      <c r="D427" s="9">
        <f>6.1703 * CHOOSE(CONTROL!$C$32, $C$9, 100%, $E$9)</f>
        <v>6.1703000000000001</v>
      </c>
      <c r="E427" s="11">
        <f>7.0787 * CHOOSE(CONTROL!$C$32, $C$9, 100%, $E$9)</f>
        <v>7.0787000000000004</v>
      </c>
      <c r="F427" s="11">
        <f>7.0787 * CHOOSE(CONTROL!$C$32, $C$9, 100%, $E$9)</f>
        <v>7.0787000000000004</v>
      </c>
      <c r="G427" s="11">
        <f>7.0839 * CHOOSE(CONTROL!$C$32, $C$9, 100%, $E$9)</f>
        <v>7.0838999999999999</v>
      </c>
      <c r="H427" s="11">
        <f>13.0972 * CHOOSE(CONTROL!$C$32, $C$9, 100%, $E$9)</f>
        <v>13.097200000000001</v>
      </c>
      <c r="I427" s="11">
        <f>13.1025 * CHOOSE(CONTROL!$C$32, $C$9, 100%, $E$9)</f>
        <v>13.102499999999999</v>
      </c>
      <c r="J427" s="11">
        <f>13.0972 * CHOOSE(CONTROL!$C$32, $C$9, 100%, $E$9)</f>
        <v>13.097200000000001</v>
      </c>
      <c r="K427" s="11">
        <f>13.1025 * CHOOSE(CONTROL!$C$32, $C$9, 100%, $E$9)</f>
        <v>13.102499999999999</v>
      </c>
      <c r="L427" s="11">
        <f>7.0787 * CHOOSE(CONTROL!$C$32, $C$9, 100%, $E$9)</f>
        <v>7.0787000000000004</v>
      </c>
      <c r="M427" s="11">
        <f>7.0839 * CHOOSE(CONTROL!$C$32, $C$9, 100%, $E$9)</f>
        <v>7.0838999999999999</v>
      </c>
      <c r="N427" s="11">
        <f>7.0787 * CHOOSE(CONTROL!$C$32, $C$9, 100%, $E$9)</f>
        <v>7.0787000000000004</v>
      </c>
      <c r="O427" s="11">
        <f>7.0839 * CHOOSE(CONTROL!$C$32, $C$9, 100%, $E$9)</f>
        <v>7.0838999999999999</v>
      </c>
    </row>
    <row r="428" spans="1:15" ht="15" x14ac:dyDescent="0.2">
      <c r="A428" s="13">
        <v>53874</v>
      </c>
      <c r="B428" s="9">
        <f>6.251 * CHOOSE(CONTROL!$C$32, $C$9, 100%, $E$9)</f>
        <v>6.2510000000000003</v>
      </c>
      <c r="C428" s="9">
        <f>6.251 * CHOOSE(CONTROL!$C$32, $C$9, 100%, $E$9)</f>
        <v>6.2510000000000003</v>
      </c>
      <c r="D428" s="9">
        <f>6.2526 * CHOOSE(CONTROL!$C$32, $C$9, 100%, $E$9)</f>
        <v>6.2526000000000002</v>
      </c>
      <c r="E428" s="11">
        <f>7.149 * CHOOSE(CONTROL!$C$32, $C$9, 100%, $E$9)</f>
        <v>7.149</v>
      </c>
      <c r="F428" s="11">
        <f>7.149 * CHOOSE(CONTROL!$C$32, $C$9, 100%, $E$9)</f>
        <v>7.149</v>
      </c>
      <c r="G428" s="11">
        <f>7.1543 * CHOOSE(CONTROL!$C$32, $C$9, 100%, $E$9)</f>
        <v>7.1543000000000001</v>
      </c>
      <c r="H428" s="11">
        <f>13.1245 * CHOOSE(CONTROL!$C$32, $C$9, 100%, $E$9)</f>
        <v>13.124499999999999</v>
      </c>
      <c r="I428" s="11">
        <f>13.1298 * CHOOSE(CONTROL!$C$32, $C$9, 100%, $E$9)</f>
        <v>13.129799999999999</v>
      </c>
      <c r="J428" s="11">
        <f>13.1245 * CHOOSE(CONTROL!$C$32, $C$9, 100%, $E$9)</f>
        <v>13.124499999999999</v>
      </c>
      <c r="K428" s="11">
        <f>13.1298 * CHOOSE(CONTROL!$C$32, $C$9, 100%, $E$9)</f>
        <v>13.129799999999999</v>
      </c>
      <c r="L428" s="11">
        <f>7.149 * CHOOSE(CONTROL!$C$32, $C$9, 100%, $E$9)</f>
        <v>7.149</v>
      </c>
      <c r="M428" s="11">
        <f>7.1543 * CHOOSE(CONTROL!$C$32, $C$9, 100%, $E$9)</f>
        <v>7.1543000000000001</v>
      </c>
      <c r="N428" s="11">
        <f>7.149 * CHOOSE(CONTROL!$C$32, $C$9, 100%, $E$9)</f>
        <v>7.149</v>
      </c>
      <c r="O428" s="11">
        <f>7.1543 * CHOOSE(CONTROL!$C$32, $C$9, 100%, $E$9)</f>
        <v>7.1543000000000001</v>
      </c>
    </row>
    <row r="429" spans="1:15" ht="15" x14ac:dyDescent="0.2">
      <c r="A429" s="13">
        <v>53905</v>
      </c>
      <c r="B429" s="9">
        <f>6.2577 * CHOOSE(CONTROL!$C$32, $C$9, 100%, $E$9)</f>
        <v>6.2576999999999998</v>
      </c>
      <c r="C429" s="9">
        <f>6.2577 * CHOOSE(CONTROL!$C$32, $C$9, 100%, $E$9)</f>
        <v>6.2576999999999998</v>
      </c>
      <c r="D429" s="9">
        <f>6.2593 * CHOOSE(CONTROL!$C$32, $C$9, 100%, $E$9)</f>
        <v>6.2592999999999996</v>
      </c>
      <c r="E429" s="11">
        <f>7.0166 * CHOOSE(CONTROL!$C$32, $C$9, 100%, $E$9)</f>
        <v>7.0166000000000004</v>
      </c>
      <c r="F429" s="11">
        <f>7.0166 * CHOOSE(CONTROL!$C$32, $C$9, 100%, $E$9)</f>
        <v>7.0166000000000004</v>
      </c>
      <c r="G429" s="11">
        <f>7.0219 * CHOOSE(CONTROL!$C$32, $C$9, 100%, $E$9)</f>
        <v>7.0218999999999996</v>
      </c>
      <c r="H429" s="11">
        <f>13.1519 * CHOOSE(CONTROL!$C$32, $C$9, 100%, $E$9)</f>
        <v>13.151899999999999</v>
      </c>
      <c r="I429" s="11">
        <f>13.1572 * CHOOSE(CONTROL!$C$32, $C$9, 100%, $E$9)</f>
        <v>13.1572</v>
      </c>
      <c r="J429" s="11">
        <f>13.1519 * CHOOSE(CONTROL!$C$32, $C$9, 100%, $E$9)</f>
        <v>13.151899999999999</v>
      </c>
      <c r="K429" s="11">
        <f>13.1572 * CHOOSE(CONTROL!$C$32, $C$9, 100%, $E$9)</f>
        <v>13.1572</v>
      </c>
      <c r="L429" s="11">
        <f>7.0166 * CHOOSE(CONTROL!$C$32, $C$9, 100%, $E$9)</f>
        <v>7.0166000000000004</v>
      </c>
      <c r="M429" s="11">
        <f>7.0219 * CHOOSE(CONTROL!$C$32, $C$9, 100%, $E$9)</f>
        <v>7.0218999999999996</v>
      </c>
      <c r="N429" s="11">
        <f>7.0166 * CHOOSE(CONTROL!$C$32, $C$9, 100%, $E$9)</f>
        <v>7.0166000000000004</v>
      </c>
      <c r="O429" s="11">
        <f>7.0219 * CHOOSE(CONTROL!$C$32, $C$9, 100%, $E$9)</f>
        <v>7.0218999999999996</v>
      </c>
    </row>
    <row r="430" spans="1:15" ht="15" x14ac:dyDescent="0.2">
      <c r="A430" s="13">
        <v>53936</v>
      </c>
      <c r="B430" s="9">
        <f>6.2547 * CHOOSE(CONTROL!$C$32, $C$9, 100%, $E$9)</f>
        <v>6.2546999999999997</v>
      </c>
      <c r="C430" s="9">
        <f>6.2547 * CHOOSE(CONTROL!$C$32, $C$9, 100%, $E$9)</f>
        <v>6.2546999999999997</v>
      </c>
      <c r="D430" s="9">
        <f>6.2562 * CHOOSE(CONTROL!$C$32, $C$9, 100%, $E$9)</f>
        <v>6.2561999999999998</v>
      </c>
      <c r="E430" s="11">
        <f>6.9993 * CHOOSE(CONTROL!$C$32, $C$9, 100%, $E$9)</f>
        <v>6.9992999999999999</v>
      </c>
      <c r="F430" s="11">
        <f>6.9993 * CHOOSE(CONTROL!$C$32, $C$9, 100%, $E$9)</f>
        <v>6.9992999999999999</v>
      </c>
      <c r="G430" s="11">
        <f>7.0045 * CHOOSE(CONTROL!$C$32, $C$9, 100%, $E$9)</f>
        <v>7.0045000000000002</v>
      </c>
      <c r="H430" s="11">
        <f>13.1793 * CHOOSE(CONTROL!$C$32, $C$9, 100%, $E$9)</f>
        <v>13.1793</v>
      </c>
      <c r="I430" s="11">
        <f>13.1846 * CHOOSE(CONTROL!$C$32, $C$9, 100%, $E$9)</f>
        <v>13.1846</v>
      </c>
      <c r="J430" s="11">
        <f>13.1793 * CHOOSE(CONTROL!$C$32, $C$9, 100%, $E$9)</f>
        <v>13.1793</v>
      </c>
      <c r="K430" s="11">
        <f>13.1846 * CHOOSE(CONTROL!$C$32, $C$9, 100%, $E$9)</f>
        <v>13.1846</v>
      </c>
      <c r="L430" s="11">
        <f>6.9993 * CHOOSE(CONTROL!$C$32, $C$9, 100%, $E$9)</f>
        <v>6.9992999999999999</v>
      </c>
      <c r="M430" s="11">
        <f>7.0045 * CHOOSE(CONTROL!$C$32, $C$9, 100%, $E$9)</f>
        <v>7.0045000000000002</v>
      </c>
      <c r="N430" s="11">
        <f>6.9993 * CHOOSE(CONTROL!$C$32, $C$9, 100%, $E$9)</f>
        <v>6.9992999999999999</v>
      </c>
      <c r="O430" s="11">
        <f>7.0045 * CHOOSE(CONTROL!$C$32, $C$9, 100%, $E$9)</f>
        <v>7.0045000000000002</v>
      </c>
    </row>
    <row r="431" spans="1:15" ht="15" x14ac:dyDescent="0.2">
      <c r="A431" s="13">
        <v>53966</v>
      </c>
      <c r="B431" s="9">
        <f>6.2581 * CHOOSE(CONTROL!$C$32, $C$9, 100%, $E$9)</f>
        <v>6.2580999999999998</v>
      </c>
      <c r="C431" s="9">
        <f>6.2581 * CHOOSE(CONTROL!$C$32, $C$9, 100%, $E$9)</f>
        <v>6.2580999999999998</v>
      </c>
      <c r="D431" s="9">
        <f>6.2592 * CHOOSE(CONTROL!$C$32, $C$9, 100%, $E$9)</f>
        <v>6.2591999999999999</v>
      </c>
      <c r="E431" s="11">
        <f>7.0467 * CHOOSE(CONTROL!$C$32, $C$9, 100%, $E$9)</f>
        <v>7.0467000000000004</v>
      </c>
      <c r="F431" s="11">
        <f>7.0467 * CHOOSE(CONTROL!$C$32, $C$9, 100%, $E$9)</f>
        <v>7.0467000000000004</v>
      </c>
      <c r="G431" s="11">
        <f>7.0504 * CHOOSE(CONTROL!$C$32, $C$9, 100%, $E$9)</f>
        <v>7.0503999999999998</v>
      </c>
      <c r="H431" s="11">
        <f>13.2067 * CHOOSE(CONTROL!$C$32, $C$9, 100%, $E$9)</f>
        <v>13.2067</v>
      </c>
      <c r="I431" s="11">
        <f>13.2103 * CHOOSE(CONTROL!$C$32, $C$9, 100%, $E$9)</f>
        <v>13.2103</v>
      </c>
      <c r="J431" s="11">
        <f>13.2067 * CHOOSE(CONTROL!$C$32, $C$9, 100%, $E$9)</f>
        <v>13.2067</v>
      </c>
      <c r="K431" s="11">
        <f>13.2103 * CHOOSE(CONTROL!$C$32, $C$9, 100%, $E$9)</f>
        <v>13.2103</v>
      </c>
      <c r="L431" s="11">
        <f>7.0467 * CHOOSE(CONTROL!$C$32, $C$9, 100%, $E$9)</f>
        <v>7.0467000000000004</v>
      </c>
      <c r="M431" s="11">
        <f>7.0504 * CHOOSE(CONTROL!$C$32, $C$9, 100%, $E$9)</f>
        <v>7.0503999999999998</v>
      </c>
      <c r="N431" s="11">
        <f>7.0467 * CHOOSE(CONTROL!$C$32, $C$9, 100%, $E$9)</f>
        <v>7.0467000000000004</v>
      </c>
      <c r="O431" s="11">
        <f>7.0504 * CHOOSE(CONTROL!$C$32, $C$9, 100%, $E$9)</f>
        <v>7.0503999999999998</v>
      </c>
    </row>
    <row r="432" spans="1:15" ht="15" x14ac:dyDescent="0.2">
      <c r="A432" s="13">
        <v>53997</v>
      </c>
      <c r="B432" s="9">
        <f>6.2611 * CHOOSE(CONTROL!$C$32, $C$9, 100%, $E$9)</f>
        <v>6.2610999999999999</v>
      </c>
      <c r="C432" s="9">
        <f>6.2611 * CHOOSE(CONTROL!$C$32, $C$9, 100%, $E$9)</f>
        <v>6.2610999999999999</v>
      </c>
      <c r="D432" s="9">
        <f>6.2622 * CHOOSE(CONTROL!$C$32, $C$9, 100%, $E$9)</f>
        <v>6.2622</v>
      </c>
      <c r="E432" s="11">
        <f>7.0793 * CHOOSE(CONTROL!$C$32, $C$9, 100%, $E$9)</f>
        <v>7.0792999999999999</v>
      </c>
      <c r="F432" s="11">
        <f>7.0793 * CHOOSE(CONTROL!$C$32, $C$9, 100%, $E$9)</f>
        <v>7.0792999999999999</v>
      </c>
      <c r="G432" s="11">
        <f>7.0829 * CHOOSE(CONTROL!$C$32, $C$9, 100%, $E$9)</f>
        <v>7.0829000000000004</v>
      </c>
      <c r="H432" s="11">
        <f>13.2342 * CHOOSE(CONTROL!$C$32, $C$9, 100%, $E$9)</f>
        <v>13.2342</v>
      </c>
      <c r="I432" s="11">
        <f>13.2379 * CHOOSE(CONTROL!$C$32, $C$9, 100%, $E$9)</f>
        <v>13.2379</v>
      </c>
      <c r="J432" s="11">
        <f>13.2342 * CHOOSE(CONTROL!$C$32, $C$9, 100%, $E$9)</f>
        <v>13.2342</v>
      </c>
      <c r="K432" s="11">
        <f>13.2379 * CHOOSE(CONTROL!$C$32, $C$9, 100%, $E$9)</f>
        <v>13.2379</v>
      </c>
      <c r="L432" s="11">
        <f>7.0793 * CHOOSE(CONTROL!$C$32, $C$9, 100%, $E$9)</f>
        <v>7.0792999999999999</v>
      </c>
      <c r="M432" s="11">
        <f>7.0829 * CHOOSE(CONTROL!$C$32, $C$9, 100%, $E$9)</f>
        <v>7.0829000000000004</v>
      </c>
      <c r="N432" s="11">
        <f>7.0793 * CHOOSE(CONTROL!$C$32, $C$9, 100%, $E$9)</f>
        <v>7.0792999999999999</v>
      </c>
      <c r="O432" s="11">
        <f>7.0829 * CHOOSE(CONTROL!$C$32, $C$9, 100%, $E$9)</f>
        <v>7.0829000000000004</v>
      </c>
    </row>
    <row r="433" spans="1:15" ht="15" x14ac:dyDescent="0.2">
      <c r="A433" s="13">
        <v>54027</v>
      </c>
      <c r="B433" s="9">
        <f>6.2611 * CHOOSE(CONTROL!$C$32, $C$9, 100%, $E$9)</f>
        <v>6.2610999999999999</v>
      </c>
      <c r="C433" s="9">
        <f>6.2611 * CHOOSE(CONTROL!$C$32, $C$9, 100%, $E$9)</f>
        <v>6.2610999999999999</v>
      </c>
      <c r="D433" s="9">
        <f>6.2622 * CHOOSE(CONTROL!$C$32, $C$9, 100%, $E$9)</f>
        <v>6.2622</v>
      </c>
      <c r="E433" s="11">
        <f>7.0032 * CHOOSE(CONTROL!$C$32, $C$9, 100%, $E$9)</f>
        <v>7.0031999999999996</v>
      </c>
      <c r="F433" s="11">
        <f>7.0032 * CHOOSE(CONTROL!$C$32, $C$9, 100%, $E$9)</f>
        <v>7.0031999999999996</v>
      </c>
      <c r="G433" s="11">
        <f>7.0068 * CHOOSE(CONTROL!$C$32, $C$9, 100%, $E$9)</f>
        <v>7.0068000000000001</v>
      </c>
      <c r="H433" s="11">
        <f>13.2618 * CHOOSE(CONTROL!$C$32, $C$9, 100%, $E$9)</f>
        <v>13.261799999999999</v>
      </c>
      <c r="I433" s="11">
        <f>13.2654 * CHOOSE(CONTROL!$C$32, $C$9, 100%, $E$9)</f>
        <v>13.2654</v>
      </c>
      <c r="J433" s="11">
        <f>13.2618 * CHOOSE(CONTROL!$C$32, $C$9, 100%, $E$9)</f>
        <v>13.261799999999999</v>
      </c>
      <c r="K433" s="11">
        <f>13.2654 * CHOOSE(CONTROL!$C$32, $C$9, 100%, $E$9)</f>
        <v>13.2654</v>
      </c>
      <c r="L433" s="11">
        <f>7.0032 * CHOOSE(CONTROL!$C$32, $C$9, 100%, $E$9)</f>
        <v>7.0031999999999996</v>
      </c>
      <c r="M433" s="11">
        <f>7.0068 * CHOOSE(CONTROL!$C$32, $C$9, 100%, $E$9)</f>
        <v>7.0068000000000001</v>
      </c>
      <c r="N433" s="11">
        <f>7.0032 * CHOOSE(CONTROL!$C$32, $C$9, 100%, $E$9)</f>
        <v>7.0031999999999996</v>
      </c>
      <c r="O433" s="11">
        <f>7.0068 * CHOOSE(CONTROL!$C$32, $C$9, 100%, $E$9)</f>
        <v>7.0068000000000001</v>
      </c>
    </row>
    <row r="434" spans="1:15" ht="15" x14ac:dyDescent="0.2">
      <c r="A434" s="13">
        <v>54058</v>
      </c>
      <c r="B434" s="9">
        <f>6.3089 * CHOOSE(CONTROL!$C$32, $C$9, 100%, $E$9)</f>
        <v>6.3089000000000004</v>
      </c>
      <c r="C434" s="9">
        <f>6.3089 * CHOOSE(CONTROL!$C$32, $C$9, 100%, $E$9)</f>
        <v>6.3089000000000004</v>
      </c>
      <c r="D434" s="9">
        <f>6.3099 * CHOOSE(CONTROL!$C$32, $C$9, 100%, $E$9)</f>
        <v>6.3098999999999998</v>
      </c>
      <c r="E434" s="11">
        <f>7.1107 * CHOOSE(CONTROL!$C$32, $C$9, 100%, $E$9)</f>
        <v>7.1106999999999996</v>
      </c>
      <c r="F434" s="11">
        <f>7.1107 * CHOOSE(CONTROL!$C$32, $C$9, 100%, $E$9)</f>
        <v>7.1106999999999996</v>
      </c>
      <c r="G434" s="11">
        <f>7.1143 * CHOOSE(CONTROL!$C$32, $C$9, 100%, $E$9)</f>
        <v>7.1143000000000001</v>
      </c>
      <c r="H434" s="11">
        <f>13.2894 * CHOOSE(CONTROL!$C$32, $C$9, 100%, $E$9)</f>
        <v>13.289400000000001</v>
      </c>
      <c r="I434" s="11">
        <f>13.2931 * CHOOSE(CONTROL!$C$32, $C$9, 100%, $E$9)</f>
        <v>13.293100000000001</v>
      </c>
      <c r="J434" s="11">
        <f>13.2894 * CHOOSE(CONTROL!$C$32, $C$9, 100%, $E$9)</f>
        <v>13.289400000000001</v>
      </c>
      <c r="K434" s="11">
        <f>13.2931 * CHOOSE(CONTROL!$C$32, $C$9, 100%, $E$9)</f>
        <v>13.293100000000001</v>
      </c>
      <c r="L434" s="11">
        <f>7.1107 * CHOOSE(CONTROL!$C$32, $C$9, 100%, $E$9)</f>
        <v>7.1106999999999996</v>
      </c>
      <c r="M434" s="11">
        <f>7.1143 * CHOOSE(CONTROL!$C$32, $C$9, 100%, $E$9)</f>
        <v>7.1143000000000001</v>
      </c>
      <c r="N434" s="11">
        <f>7.1107 * CHOOSE(CONTROL!$C$32, $C$9, 100%, $E$9)</f>
        <v>7.1106999999999996</v>
      </c>
      <c r="O434" s="11">
        <f>7.1143 * CHOOSE(CONTROL!$C$32, $C$9, 100%, $E$9)</f>
        <v>7.1143000000000001</v>
      </c>
    </row>
    <row r="435" spans="1:15" ht="15" x14ac:dyDescent="0.2">
      <c r="A435" s="13">
        <v>54089</v>
      </c>
      <c r="B435" s="9">
        <f>6.3058 * CHOOSE(CONTROL!$C$32, $C$9, 100%, $E$9)</f>
        <v>6.3057999999999996</v>
      </c>
      <c r="C435" s="9">
        <f>6.3058 * CHOOSE(CONTROL!$C$32, $C$9, 100%, $E$9)</f>
        <v>6.3057999999999996</v>
      </c>
      <c r="D435" s="9">
        <f>6.3069 * CHOOSE(CONTROL!$C$32, $C$9, 100%, $E$9)</f>
        <v>6.3068999999999997</v>
      </c>
      <c r="E435" s="11">
        <f>6.96 * CHOOSE(CONTROL!$C$32, $C$9, 100%, $E$9)</f>
        <v>6.96</v>
      </c>
      <c r="F435" s="11">
        <f>6.96 * CHOOSE(CONTROL!$C$32, $C$9, 100%, $E$9)</f>
        <v>6.96</v>
      </c>
      <c r="G435" s="11">
        <f>6.9636 * CHOOSE(CONTROL!$C$32, $C$9, 100%, $E$9)</f>
        <v>6.9635999999999996</v>
      </c>
      <c r="H435" s="11">
        <f>13.3171 * CHOOSE(CONTROL!$C$32, $C$9, 100%, $E$9)</f>
        <v>13.3171</v>
      </c>
      <c r="I435" s="11">
        <f>13.3207 * CHOOSE(CONTROL!$C$32, $C$9, 100%, $E$9)</f>
        <v>13.3207</v>
      </c>
      <c r="J435" s="11">
        <f>13.3171 * CHOOSE(CONTROL!$C$32, $C$9, 100%, $E$9)</f>
        <v>13.3171</v>
      </c>
      <c r="K435" s="11">
        <f>13.3207 * CHOOSE(CONTROL!$C$32, $C$9, 100%, $E$9)</f>
        <v>13.3207</v>
      </c>
      <c r="L435" s="11">
        <f>6.96 * CHOOSE(CONTROL!$C$32, $C$9, 100%, $E$9)</f>
        <v>6.96</v>
      </c>
      <c r="M435" s="11">
        <f>6.9636 * CHOOSE(CONTROL!$C$32, $C$9, 100%, $E$9)</f>
        <v>6.9635999999999996</v>
      </c>
      <c r="N435" s="11">
        <f>6.96 * CHOOSE(CONTROL!$C$32, $C$9, 100%, $E$9)</f>
        <v>6.96</v>
      </c>
      <c r="O435" s="11">
        <f>6.9636 * CHOOSE(CONTROL!$C$32, $C$9, 100%, $E$9)</f>
        <v>6.9635999999999996</v>
      </c>
    </row>
    <row r="436" spans="1:15" ht="15" x14ac:dyDescent="0.2">
      <c r="A436" s="13">
        <v>54118</v>
      </c>
      <c r="B436" s="9">
        <f>6.3028 * CHOOSE(CONTROL!$C$32, $C$9, 100%, $E$9)</f>
        <v>6.3028000000000004</v>
      </c>
      <c r="C436" s="9">
        <f>6.3028 * CHOOSE(CONTROL!$C$32, $C$9, 100%, $E$9)</f>
        <v>6.3028000000000004</v>
      </c>
      <c r="D436" s="9">
        <f>6.3038 * CHOOSE(CONTROL!$C$32, $C$9, 100%, $E$9)</f>
        <v>6.3037999999999998</v>
      </c>
      <c r="E436" s="11">
        <f>7.075 * CHOOSE(CONTROL!$C$32, $C$9, 100%, $E$9)</f>
        <v>7.0750000000000002</v>
      </c>
      <c r="F436" s="11">
        <f>7.075 * CHOOSE(CONTROL!$C$32, $C$9, 100%, $E$9)</f>
        <v>7.0750000000000002</v>
      </c>
      <c r="G436" s="11">
        <f>7.0786 * CHOOSE(CONTROL!$C$32, $C$9, 100%, $E$9)</f>
        <v>7.0785999999999998</v>
      </c>
      <c r="H436" s="11">
        <f>13.3449 * CHOOSE(CONTROL!$C$32, $C$9, 100%, $E$9)</f>
        <v>13.344900000000001</v>
      </c>
      <c r="I436" s="11">
        <f>13.3485 * CHOOSE(CONTROL!$C$32, $C$9, 100%, $E$9)</f>
        <v>13.3485</v>
      </c>
      <c r="J436" s="11">
        <f>13.3449 * CHOOSE(CONTROL!$C$32, $C$9, 100%, $E$9)</f>
        <v>13.344900000000001</v>
      </c>
      <c r="K436" s="11">
        <f>13.3485 * CHOOSE(CONTROL!$C$32, $C$9, 100%, $E$9)</f>
        <v>13.3485</v>
      </c>
      <c r="L436" s="11">
        <f>7.075 * CHOOSE(CONTROL!$C$32, $C$9, 100%, $E$9)</f>
        <v>7.0750000000000002</v>
      </c>
      <c r="M436" s="11">
        <f>7.0786 * CHOOSE(CONTROL!$C$32, $C$9, 100%, $E$9)</f>
        <v>7.0785999999999998</v>
      </c>
      <c r="N436" s="11">
        <f>7.075 * CHOOSE(CONTROL!$C$32, $C$9, 100%, $E$9)</f>
        <v>7.0750000000000002</v>
      </c>
      <c r="O436" s="11">
        <f>7.0786 * CHOOSE(CONTROL!$C$32, $C$9, 100%, $E$9)</f>
        <v>7.0785999999999998</v>
      </c>
    </row>
    <row r="437" spans="1:15" ht="15" x14ac:dyDescent="0.2">
      <c r="A437" s="13">
        <v>54149</v>
      </c>
      <c r="B437" s="9">
        <f>6.3027 * CHOOSE(CONTROL!$C$32, $C$9, 100%, $E$9)</f>
        <v>6.3026999999999997</v>
      </c>
      <c r="C437" s="9">
        <f>6.3027 * CHOOSE(CONTROL!$C$32, $C$9, 100%, $E$9)</f>
        <v>6.3026999999999997</v>
      </c>
      <c r="D437" s="9">
        <f>6.3037 * CHOOSE(CONTROL!$C$32, $C$9, 100%, $E$9)</f>
        <v>6.3037000000000001</v>
      </c>
      <c r="E437" s="11">
        <f>7.1965 * CHOOSE(CONTROL!$C$32, $C$9, 100%, $E$9)</f>
        <v>7.1965000000000003</v>
      </c>
      <c r="F437" s="11">
        <f>7.1965 * CHOOSE(CONTROL!$C$32, $C$9, 100%, $E$9)</f>
        <v>7.1965000000000003</v>
      </c>
      <c r="G437" s="11">
        <f>7.2001 * CHOOSE(CONTROL!$C$32, $C$9, 100%, $E$9)</f>
        <v>7.2000999999999999</v>
      </c>
      <c r="H437" s="11">
        <f>13.3727 * CHOOSE(CONTROL!$C$32, $C$9, 100%, $E$9)</f>
        <v>13.3727</v>
      </c>
      <c r="I437" s="11">
        <f>13.3763 * CHOOSE(CONTROL!$C$32, $C$9, 100%, $E$9)</f>
        <v>13.376300000000001</v>
      </c>
      <c r="J437" s="11">
        <f>13.3727 * CHOOSE(CONTROL!$C$32, $C$9, 100%, $E$9)</f>
        <v>13.3727</v>
      </c>
      <c r="K437" s="11">
        <f>13.3763 * CHOOSE(CONTROL!$C$32, $C$9, 100%, $E$9)</f>
        <v>13.376300000000001</v>
      </c>
      <c r="L437" s="11">
        <f>7.1965 * CHOOSE(CONTROL!$C$32, $C$9, 100%, $E$9)</f>
        <v>7.1965000000000003</v>
      </c>
      <c r="M437" s="11">
        <f>7.2001 * CHOOSE(CONTROL!$C$32, $C$9, 100%, $E$9)</f>
        <v>7.2000999999999999</v>
      </c>
      <c r="N437" s="11">
        <f>7.1965 * CHOOSE(CONTROL!$C$32, $C$9, 100%, $E$9)</f>
        <v>7.1965000000000003</v>
      </c>
      <c r="O437" s="11">
        <f>7.2001 * CHOOSE(CONTROL!$C$32, $C$9, 100%, $E$9)</f>
        <v>7.2000999999999999</v>
      </c>
    </row>
    <row r="438" spans="1:15" ht="15" x14ac:dyDescent="0.2">
      <c r="A438" s="13">
        <v>54179</v>
      </c>
      <c r="B438" s="9">
        <f>6.3027 * CHOOSE(CONTROL!$C$32, $C$9, 100%, $E$9)</f>
        <v>6.3026999999999997</v>
      </c>
      <c r="C438" s="9">
        <f>6.3027 * CHOOSE(CONTROL!$C$32, $C$9, 100%, $E$9)</f>
        <v>6.3026999999999997</v>
      </c>
      <c r="D438" s="9">
        <f>6.3042 * CHOOSE(CONTROL!$C$32, $C$9, 100%, $E$9)</f>
        <v>6.3041999999999998</v>
      </c>
      <c r="E438" s="11">
        <f>7.2437 * CHOOSE(CONTROL!$C$32, $C$9, 100%, $E$9)</f>
        <v>7.2436999999999996</v>
      </c>
      <c r="F438" s="11">
        <f>7.2437 * CHOOSE(CONTROL!$C$32, $C$9, 100%, $E$9)</f>
        <v>7.2436999999999996</v>
      </c>
      <c r="G438" s="11">
        <f>7.249 * CHOOSE(CONTROL!$C$32, $C$9, 100%, $E$9)</f>
        <v>7.2489999999999997</v>
      </c>
      <c r="H438" s="11">
        <f>13.4005 * CHOOSE(CONTROL!$C$32, $C$9, 100%, $E$9)</f>
        <v>13.400499999999999</v>
      </c>
      <c r="I438" s="11">
        <f>13.4058 * CHOOSE(CONTROL!$C$32, $C$9, 100%, $E$9)</f>
        <v>13.405799999999999</v>
      </c>
      <c r="J438" s="11">
        <f>13.4005 * CHOOSE(CONTROL!$C$32, $C$9, 100%, $E$9)</f>
        <v>13.400499999999999</v>
      </c>
      <c r="K438" s="11">
        <f>13.4058 * CHOOSE(CONTROL!$C$32, $C$9, 100%, $E$9)</f>
        <v>13.405799999999999</v>
      </c>
      <c r="L438" s="11">
        <f>7.2437 * CHOOSE(CONTROL!$C$32, $C$9, 100%, $E$9)</f>
        <v>7.2436999999999996</v>
      </c>
      <c r="M438" s="11">
        <f>7.249 * CHOOSE(CONTROL!$C$32, $C$9, 100%, $E$9)</f>
        <v>7.2489999999999997</v>
      </c>
      <c r="N438" s="11">
        <f>7.2437 * CHOOSE(CONTROL!$C$32, $C$9, 100%, $E$9)</f>
        <v>7.2436999999999996</v>
      </c>
      <c r="O438" s="11">
        <f>7.249 * CHOOSE(CONTROL!$C$32, $C$9, 100%, $E$9)</f>
        <v>7.2489999999999997</v>
      </c>
    </row>
    <row r="439" spans="1:15" ht="15" x14ac:dyDescent="0.2">
      <c r="A439" s="13">
        <v>54210</v>
      </c>
      <c r="B439" s="9">
        <f>6.3087 * CHOOSE(CONTROL!$C$32, $C$9, 100%, $E$9)</f>
        <v>6.3087</v>
      </c>
      <c r="C439" s="9">
        <f>6.3087 * CHOOSE(CONTROL!$C$32, $C$9, 100%, $E$9)</f>
        <v>6.3087</v>
      </c>
      <c r="D439" s="9">
        <f>6.3103 * CHOOSE(CONTROL!$C$32, $C$9, 100%, $E$9)</f>
        <v>6.3102999999999998</v>
      </c>
      <c r="E439" s="11">
        <f>7.2008 * CHOOSE(CONTROL!$C$32, $C$9, 100%, $E$9)</f>
        <v>7.2008000000000001</v>
      </c>
      <c r="F439" s="11">
        <f>7.2008 * CHOOSE(CONTROL!$C$32, $C$9, 100%, $E$9)</f>
        <v>7.2008000000000001</v>
      </c>
      <c r="G439" s="11">
        <f>7.206 * CHOOSE(CONTROL!$C$32, $C$9, 100%, $E$9)</f>
        <v>7.2060000000000004</v>
      </c>
      <c r="H439" s="11">
        <f>13.4285 * CHOOSE(CONTROL!$C$32, $C$9, 100%, $E$9)</f>
        <v>13.4285</v>
      </c>
      <c r="I439" s="11">
        <f>13.4337 * CHOOSE(CONTROL!$C$32, $C$9, 100%, $E$9)</f>
        <v>13.4337</v>
      </c>
      <c r="J439" s="11">
        <f>13.4285 * CHOOSE(CONTROL!$C$32, $C$9, 100%, $E$9)</f>
        <v>13.4285</v>
      </c>
      <c r="K439" s="11">
        <f>13.4337 * CHOOSE(CONTROL!$C$32, $C$9, 100%, $E$9)</f>
        <v>13.4337</v>
      </c>
      <c r="L439" s="11">
        <f>7.2008 * CHOOSE(CONTROL!$C$32, $C$9, 100%, $E$9)</f>
        <v>7.2008000000000001</v>
      </c>
      <c r="M439" s="11">
        <f>7.206 * CHOOSE(CONTROL!$C$32, $C$9, 100%, $E$9)</f>
        <v>7.2060000000000004</v>
      </c>
      <c r="N439" s="11">
        <f>7.2008 * CHOOSE(CONTROL!$C$32, $C$9, 100%, $E$9)</f>
        <v>7.2008000000000001</v>
      </c>
      <c r="O439" s="11">
        <f>7.206 * CHOOSE(CONTROL!$C$32, $C$9, 100%, $E$9)</f>
        <v>7.2060000000000004</v>
      </c>
    </row>
    <row r="440" spans="1:15" ht="15" x14ac:dyDescent="0.2">
      <c r="A440" s="13">
        <v>54240</v>
      </c>
      <c r="B440" s="9">
        <f>6.3926 * CHOOSE(CONTROL!$C$32, $C$9, 100%, $E$9)</f>
        <v>6.3925999999999998</v>
      </c>
      <c r="C440" s="9">
        <f>6.3926 * CHOOSE(CONTROL!$C$32, $C$9, 100%, $E$9)</f>
        <v>6.3925999999999998</v>
      </c>
      <c r="D440" s="9">
        <f>6.3942 * CHOOSE(CONTROL!$C$32, $C$9, 100%, $E$9)</f>
        <v>6.3941999999999997</v>
      </c>
      <c r="E440" s="11">
        <f>7.2866 * CHOOSE(CONTROL!$C$32, $C$9, 100%, $E$9)</f>
        <v>7.2866</v>
      </c>
      <c r="F440" s="11">
        <f>7.2866 * CHOOSE(CONTROL!$C$32, $C$9, 100%, $E$9)</f>
        <v>7.2866</v>
      </c>
      <c r="G440" s="11">
        <f>7.2919 * CHOOSE(CONTROL!$C$32, $C$9, 100%, $E$9)</f>
        <v>7.2919</v>
      </c>
      <c r="H440" s="11">
        <f>13.4564 * CHOOSE(CONTROL!$C$32, $C$9, 100%, $E$9)</f>
        <v>13.4564</v>
      </c>
      <c r="I440" s="11">
        <f>13.4617 * CHOOSE(CONTROL!$C$32, $C$9, 100%, $E$9)</f>
        <v>13.4617</v>
      </c>
      <c r="J440" s="11">
        <f>13.4564 * CHOOSE(CONTROL!$C$32, $C$9, 100%, $E$9)</f>
        <v>13.4564</v>
      </c>
      <c r="K440" s="11">
        <f>13.4617 * CHOOSE(CONTROL!$C$32, $C$9, 100%, $E$9)</f>
        <v>13.4617</v>
      </c>
      <c r="L440" s="11">
        <f>7.2866 * CHOOSE(CONTROL!$C$32, $C$9, 100%, $E$9)</f>
        <v>7.2866</v>
      </c>
      <c r="M440" s="11">
        <f>7.2919 * CHOOSE(CONTROL!$C$32, $C$9, 100%, $E$9)</f>
        <v>7.2919</v>
      </c>
      <c r="N440" s="11">
        <f>7.2866 * CHOOSE(CONTROL!$C$32, $C$9, 100%, $E$9)</f>
        <v>7.2866</v>
      </c>
      <c r="O440" s="11">
        <f>7.2919 * CHOOSE(CONTROL!$C$32, $C$9, 100%, $E$9)</f>
        <v>7.2919</v>
      </c>
    </row>
    <row r="441" spans="1:15" ht="15" x14ac:dyDescent="0.2">
      <c r="A441" s="13">
        <v>54271</v>
      </c>
      <c r="B441" s="9">
        <f>6.3993 * CHOOSE(CONTROL!$C$32, $C$9, 100%, $E$9)</f>
        <v>6.3993000000000002</v>
      </c>
      <c r="C441" s="9">
        <f>6.3993 * CHOOSE(CONTROL!$C$32, $C$9, 100%, $E$9)</f>
        <v>6.3993000000000002</v>
      </c>
      <c r="D441" s="9">
        <f>6.4009 * CHOOSE(CONTROL!$C$32, $C$9, 100%, $E$9)</f>
        <v>6.4009</v>
      </c>
      <c r="E441" s="11">
        <f>7.1497 * CHOOSE(CONTROL!$C$32, $C$9, 100%, $E$9)</f>
        <v>7.1497000000000002</v>
      </c>
      <c r="F441" s="11">
        <f>7.1497 * CHOOSE(CONTROL!$C$32, $C$9, 100%, $E$9)</f>
        <v>7.1497000000000002</v>
      </c>
      <c r="G441" s="11">
        <f>7.155 * CHOOSE(CONTROL!$C$32, $C$9, 100%, $E$9)</f>
        <v>7.1550000000000002</v>
      </c>
      <c r="H441" s="11">
        <f>13.4845 * CHOOSE(CONTROL!$C$32, $C$9, 100%, $E$9)</f>
        <v>13.484500000000001</v>
      </c>
      <c r="I441" s="11">
        <f>13.4898 * CHOOSE(CONTROL!$C$32, $C$9, 100%, $E$9)</f>
        <v>13.489800000000001</v>
      </c>
      <c r="J441" s="11">
        <f>13.4845 * CHOOSE(CONTROL!$C$32, $C$9, 100%, $E$9)</f>
        <v>13.484500000000001</v>
      </c>
      <c r="K441" s="11">
        <f>13.4898 * CHOOSE(CONTROL!$C$32, $C$9, 100%, $E$9)</f>
        <v>13.489800000000001</v>
      </c>
      <c r="L441" s="11">
        <f>7.1497 * CHOOSE(CONTROL!$C$32, $C$9, 100%, $E$9)</f>
        <v>7.1497000000000002</v>
      </c>
      <c r="M441" s="11">
        <f>7.155 * CHOOSE(CONTROL!$C$32, $C$9, 100%, $E$9)</f>
        <v>7.1550000000000002</v>
      </c>
      <c r="N441" s="11">
        <f>7.1497 * CHOOSE(CONTROL!$C$32, $C$9, 100%, $E$9)</f>
        <v>7.1497000000000002</v>
      </c>
      <c r="O441" s="11">
        <f>7.155 * CHOOSE(CONTROL!$C$32, $C$9, 100%, $E$9)</f>
        <v>7.1550000000000002</v>
      </c>
    </row>
    <row r="442" spans="1:15" ht="15" x14ac:dyDescent="0.2">
      <c r="A442" s="13">
        <v>54302</v>
      </c>
      <c r="B442" s="9">
        <f>6.3963 * CHOOSE(CONTROL!$C$32, $C$9, 100%, $E$9)</f>
        <v>6.3963000000000001</v>
      </c>
      <c r="C442" s="9">
        <f>6.3963 * CHOOSE(CONTROL!$C$32, $C$9, 100%, $E$9)</f>
        <v>6.3963000000000001</v>
      </c>
      <c r="D442" s="9">
        <f>6.3978 * CHOOSE(CONTROL!$C$32, $C$9, 100%, $E$9)</f>
        <v>6.3978000000000002</v>
      </c>
      <c r="E442" s="11">
        <f>7.1319 * CHOOSE(CONTROL!$C$32, $C$9, 100%, $E$9)</f>
        <v>7.1318999999999999</v>
      </c>
      <c r="F442" s="11">
        <f>7.1319 * CHOOSE(CONTROL!$C$32, $C$9, 100%, $E$9)</f>
        <v>7.1318999999999999</v>
      </c>
      <c r="G442" s="11">
        <f>7.1372 * CHOOSE(CONTROL!$C$32, $C$9, 100%, $E$9)</f>
        <v>7.1372</v>
      </c>
      <c r="H442" s="11">
        <f>13.5126 * CHOOSE(CONTROL!$C$32, $C$9, 100%, $E$9)</f>
        <v>13.512600000000001</v>
      </c>
      <c r="I442" s="11">
        <f>13.5178 * CHOOSE(CONTROL!$C$32, $C$9, 100%, $E$9)</f>
        <v>13.517799999999999</v>
      </c>
      <c r="J442" s="11">
        <f>13.5126 * CHOOSE(CONTROL!$C$32, $C$9, 100%, $E$9)</f>
        <v>13.512600000000001</v>
      </c>
      <c r="K442" s="11">
        <f>13.5178 * CHOOSE(CONTROL!$C$32, $C$9, 100%, $E$9)</f>
        <v>13.517799999999999</v>
      </c>
      <c r="L442" s="11">
        <f>7.1319 * CHOOSE(CONTROL!$C$32, $C$9, 100%, $E$9)</f>
        <v>7.1318999999999999</v>
      </c>
      <c r="M442" s="11">
        <f>7.1372 * CHOOSE(CONTROL!$C$32, $C$9, 100%, $E$9)</f>
        <v>7.1372</v>
      </c>
      <c r="N442" s="11">
        <f>7.1319 * CHOOSE(CONTROL!$C$32, $C$9, 100%, $E$9)</f>
        <v>7.1318999999999999</v>
      </c>
      <c r="O442" s="11">
        <f>7.1372 * CHOOSE(CONTROL!$C$32, $C$9, 100%, $E$9)</f>
        <v>7.1372</v>
      </c>
    </row>
    <row r="443" spans="1:15" ht="15" x14ac:dyDescent="0.2">
      <c r="A443" s="13">
        <v>54332</v>
      </c>
      <c r="B443" s="9">
        <f>6.4002 * CHOOSE(CONTROL!$C$32, $C$9, 100%, $E$9)</f>
        <v>6.4001999999999999</v>
      </c>
      <c r="C443" s="9">
        <f>6.4002 * CHOOSE(CONTROL!$C$32, $C$9, 100%, $E$9)</f>
        <v>6.4001999999999999</v>
      </c>
      <c r="D443" s="9">
        <f>6.4013 * CHOOSE(CONTROL!$C$32, $C$9, 100%, $E$9)</f>
        <v>6.4013</v>
      </c>
      <c r="E443" s="11">
        <f>7.1814 * CHOOSE(CONTROL!$C$32, $C$9, 100%, $E$9)</f>
        <v>7.1814</v>
      </c>
      <c r="F443" s="11">
        <f>7.1814 * CHOOSE(CONTROL!$C$32, $C$9, 100%, $E$9)</f>
        <v>7.1814</v>
      </c>
      <c r="G443" s="11">
        <f>7.185 * CHOOSE(CONTROL!$C$32, $C$9, 100%, $E$9)</f>
        <v>7.1849999999999996</v>
      </c>
      <c r="H443" s="11">
        <f>13.5407 * CHOOSE(CONTROL!$C$32, $C$9, 100%, $E$9)</f>
        <v>13.540699999999999</v>
      </c>
      <c r="I443" s="11">
        <f>13.5443 * CHOOSE(CONTROL!$C$32, $C$9, 100%, $E$9)</f>
        <v>13.5443</v>
      </c>
      <c r="J443" s="11">
        <f>13.5407 * CHOOSE(CONTROL!$C$32, $C$9, 100%, $E$9)</f>
        <v>13.540699999999999</v>
      </c>
      <c r="K443" s="11">
        <f>13.5443 * CHOOSE(CONTROL!$C$32, $C$9, 100%, $E$9)</f>
        <v>13.5443</v>
      </c>
      <c r="L443" s="11">
        <f>7.1814 * CHOOSE(CONTROL!$C$32, $C$9, 100%, $E$9)</f>
        <v>7.1814</v>
      </c>
      <c r="M443" s="11">
        <f>7.185 * CHOOSE(CONTROL!$C$32, $C$9, 100%, $E$9)</f>
        <v>7.1849999999999996</v>
      </c>
      <c r="N443" s="11">
        <f>7.1814 * CHOOSE(CONTROL!$C$32, $C$9, 100%, $E$9)</f>
        <v>7.1814</v>
      </c>
      <c r="O443" s="11">
        <f>7.185 * CHOOSE(CONTROL!$C$32, $C$9, 100%, $E$9)</f>
        <v>7.1849999999999996</v>
      </c>
    </row>
    <row r="444" spans="1:15" ht="15" x14ac:dyDescent="0.2">
      <c r="A444" s="13">
        <v>54363</v>
      </c>
      <c r="B444" s="9">
        <f>6.4033 * CHOOSE(CONTROL!$C$32, $C$9, 100%, $E$9)</f>
        <v>6.4032999999999998</v>
      </c>
      <c r="C444" s="9">
        <f>6.4033 * CHOOSE(CONTROL!$C$32, $C$9, 100%, $E$9)</f>
        <v>6.4032999999999998</v>
      </c>
      <c r="D444" s="9">
        <f>6.4043 * CHOOSE(CONTROL!$C$32, $C$9, 100%, $E$9)</f>
        <v>6.4043000000000001</v>
      </c>
      <c r="E444" s="11">
        <f>7.2149 * CHOOSE(CONTROL!$C$32, $C$9, 100%, $E$9)</f>
        <v>7.2149000000000001</v>
      </c>
      <c r="F444" s="11">
        <f>7.2149 * CHOOSE(CONTROL!$C$32, $C$9, 100%, $E$9)</f>
        <v>7.2149000000000001</v>
      </c>
      <c r="G444" s="11">
        <f>7.2185 * CHOOSE(CONTROL!$C$32, $C$9, 100%, $E$9)</f>
        <v>7.2184999999999997</v>
      </c>
      <c r="H444" s="11">
        <f>13.5689 * CHOOSE(CONTROL!$C$32, $C$9, 100%, $E$9)</f>
        <v>13.568899999999999</v>
      </c>
      <c r="I444" s="11">
        <f>13.5725 * CHOOSE(CONTROL!$C$32, $C$9, 100%, $E$9)</f>
        <v>13.5725</v>
      </c>
      <c r="J444" s="11">
        <f>13.5689 * CHOOSE(CONTROL!$C$32, $C$9, 100%, $E$9)</f>
        <v>13.568899999999999</v>
      </c>
      <c r="K444" s="11">
        <f>13.5725 * CHOOSE(CONTROL!$C$32, $C$9, 100%, $E$9)</f>
        <v>13.5725</v>
      </c>
      <c r="L444" s="11">
        <f>7.2149 * CHOOSE(CONTROL!$C$32, $C$9, 100%, $E$9)</f>
        <v>7.2149000000000001</v>
      </c>
      <c r="M444" s="11">
        <f>7.2185 * CHOOSE(CONTROL!$C$32, $C$9, 100%, $E$9)</f>
        <v>7.2184999999999997</v>
      </c>
      <c r="N444" s="11">
        <f>7.2149 * CHOOSE(CONTROL!$C$32, $C$9, 100%, $E$9)</f>
        <v>7.2149000000000001</v>
      </c>
      <c r="O444" s="11">
        <f>7.2185 * CHOOSE(CONTROL!$C$32, $C$9, 100%, $E$9)</f>
        <v>7.2184999999999997</v>
      </c>
    </row>
    <row r="445" spans="1:15" ht="15" x14ac:dyDescent="0.2">
      <c r="A445" s="13">
        <v>54393</v>
      </c>
      <c r="B445" s="9">
        <f>6.4033 * CHOOSE(CONTROL!$C$32, $C$9, 100%, $E$9)</f>
        <v>6.4032999999999998</v>
      </c>
      <c r="C445" s="9">
        <f>6.4033 * CHOOSE(CONTROL!$C$32, $C$9, 100%, $E$9)</f>
        <v>6.4032999999999998</v>
      </c>
      <c r="D445" s="9">
        <f>6.4043 * CHOOSE(CONTROL!$C$32, $C$9, 100%, $E$9)</f>
        <v>6.4043000000000001</v>
      </c>
      <c r="E445" s="11">
        <f>7.1363 * CHOOSE(CONTROL!$C$32, $C$9, 100%, $E$9)</f>
        <v>7.1363000000000003</v>
      </c>
      <c r="F445" s="11">
        <f>7.1363 * CHOOSE(CONTROL!$C$32, $C$9, 100%, $E$9)</f>
        <v>7.1363000000000003</v>
      </c>
      <c r="G445" s="11">
        <f>7.1399 * CHOOSE(CONTROL!$C$32, $C$9, 100%, $E$9)</f>
        <v>7.1398999999999999</v>
      </c>
      <c r="H445" s="11">
        <f>13.5972 * CHOOSE(CONTROL!$C$32, $C$9, 100%, $E$9)</f>
        <v>13.597200000000001</v>
      </c>
      <c r="I445" s="11">
        <f>13.6008 * CHOOSE(CONTROL!$C$32, $C$9, 100%, $E$9)</f>
        <v>13.6008</v>
      </c>
      <c r="J445" s="11">
        <f>13.5972 * CHOOSE(CONTROL!$C$32, $C$9, 100%, $E$9)</f>
        <v>13.597200000000001</v>
      </c>
      <c r="K445" s="11">
        <f>13.6008 * CHOOSE(CONTROL!$C$32, $C$9, 100%, $E$9)</f>
        <v>13.6008</v>
      </c>
      <c r="L445" s="11">
        <f>7.1363 * CHOOSE(CONTROL!$C$32, $C$9, 100%, $E$9)</f>
        <v>7.1363000000000003</v>
      </c>
      <c r="M445" s="11">
        <f>7.1399 * CHOOSE(CONTROL!$C$32, $C$9, 100%, $E$9)</f>
        <v>7.1398999999999999</v>
      </c>
      <c r="N445" s="11">
        <f>7.1363 * CHOOSE(CONTROL!$C$32, $C$9, 100%, $E$9)</f>
        <v>7.1363000000000003</v>
      </c>
      <c r="O445" s="11">
        <f>7.1399 * CHOOSE(CONTROL!$C$32, $C$9, 100%, $E$9)</f>
        <v>7.1398999999999999</v>
      </c>
    </row>
    <row r="446" spans="1:15" ht="15" x14ac:dyDescent="0.2">
      <c r="A446" s="13">
        <v>54424</v>
      </c>
      <c r="B446" s="9">
        <f>6.4519 * CHOOSE(CONTROL!$C$32, $C$9, 100%, $E$9)</f>
        <v>6.4519000000000002</v>
      </c>
      <c r="C446" s="9">
        <f>6.4519 * CHOOSE(CONTROL!$C$32, $C$9, 100%, $E$9)</f>
        <v>6.4519000000000002</v>
      </c>
      <c r="D446" s="9">
        <f>6.453 * CHOOSE(CONTROL!$C$32, $C$9, 100%, $E$9)</f>
        <v>6.4530000000000003</v>
      </c>
      <c r="E446" s="11">
        <f>7.2513 * CHOOSE(CONTROL!$C$32, $C$9, 100%, $E$9)</f>
        <v>7.2512999999999996</v>
      </c>
      <c r="F446" s="11">
        <f>7.2513 * CHOOSE(CONTROL!$C$32, $C$9, 100%, $E$9)</f>
        <v>7.2512999999999996</v>
      </c>
      <c r="G446" s="11">
        <f>7.2549 * CHOOSE(CONTROL!$C$32, $C$9, 100%, $E$9)</f>
        <v>7.2549000000000001</v>
      </c>
      <c r="H446" s="11">
        <f>13.6255 * CHOOSE(CONTROL!$C$32, $C$9, 100%, $E$9)</f>
        <v>13.625500000000001</v>
      </c>
      <c r="I446" s="11">
        <f>13.6291 * CHOOSE(CONTROL!$C$32, $C$9, 100%, $E$9)</f>
        <v>13.629099999999999</v>
      </c>
      <c r="J446" s="11">
        <f>13.6255 * CHOOSE(CONTROL!$C$32, $C$9, 100%, $E$9)</f>
        <v>13.625500000000001</v>
      </c>
      <c r="K446" s="11">
        <f>13.6291 * CHOOSE(CONTROL!$C$32, $C$9, 100%, $E$9)</f>
        <v>13.629099999999999</v>
      </c>
      <c r="L446" s="11">
        <f>7.2513 * CHOOSE(CONTROL!$C$32, $C$9, 100%, $E$9)</f>
        <v>7.2512999999999996</v>
      </c>
      <c r="M446" s="11">
        <f>7.2549 * CHOOSE(CONTROL!$C$32, $C$9, 100%, $E$9)</f>
        <v>7.2549000000000001</v>
      </c>
      <c r="N446" s="11">
        <f>7.2513 * CHOOSE(CONTROL!$C$32, $C$9, 100%, $E$9)</f>
        <v>7.2512999999999996</v>
      </c>
      <c r="O446" s="11">
        <f>7.2549 * CHOOSE(CONTROL!$C$32, $C$9, 100%, $E$9)</f>
        <v>7.2549000000000001</v>
      </c>
    </row>
    <row r="447" spans="1:15" ht="15" x14ac:dyDescent="0.2">
      <c r="A447" s="13">
        <v>54455</v>
      </c>
      <c r="B447" s="9">
        <f>6.4489 * CHOOSE(CONTROL!$C$32, $C$9, 100%, $E$9)</f>
        <v>6.4489000000000001</v>
      </c>
      <c r="C447" s="9">
        <f>6.4489 * CHOOSE(CONTROL!$C$32, $C$9, 100%, $E$9)</f>
        <v>6.4489000000000001</v>
      </c>
      <c r="D447" s="9">
        <f>6.45 * CHOOSE(CONTROL!$C$32, $C$9, 100%, $E$9)</f>
        <v>6.45</v>
      </c>
      <c r="E447" s="11">
        <f>7.0958 * CHOOSE(CONTROL!$C$32, $C$9, 100%, $E$9)</f>
        <v>7.0957999999999997</v>
      </c>
      <c r="F447" s="11">
        <f>7.0958 * CHOOSE(CONTROL!$C$32, $C$9, 100%, $E$9)</f>
        <v>7.0957999999999997</v>
      </c>
      <c r="G447" s="11">
        <f>7.0994 * CHOOSE(CONTROL!$C$32, $C$9, 100%, $E$9)</f>
        <v>7.0994000000000002</v>
      </c>
      <c r="H447" s="11">
        <f>13.6539 * CHOOSE(CONTROL!$C$32, $C$9, 100%, $E$9)</f>
        <v>13.6539</v>
      </c>
      <c r="I447" s="11">
        <f>13.6575 * CHOOSE(CONTROL!$C$32, $C$9, 100%, $E$9)</f>
        <v>13.657500000000001</v>
      </c>
      <c r="J447" s="11">
        <f>13.6539 * CHOOSE(CONTROL!$C$32, $C$9, 100%, $E$9)</f>
        <v>13.6539</v>
      </c>
      <c r="K447" s="11">
        <f>13.6575 * CHOOSE(CONTROL!$C$32, $C$9, 100%, $E$9)</f>
        <v>13.657500000000001</v>
      </c>
      <c r="L447" s="11">
        <f>7.0958 * CHOOSE(CONTROL!$C$32, $C$9, 100%, $E$9)</f>
        <v>7.0957999999999997</v>
      </c>
      <c r="M447" s="11">
        <f>7.0994 * CHOOSE(CONTROL!$C$32, $C$9, 100%, $E$9)</f>
        <v>7.0994000000000002</v>
      </c>
      <c r="N447" s="11">
        <f>7.0958 * CHOOSE(CONTROL!$C$32, $C$9, 100%, $E$9)</f>
        <v>7.0957999999999997</v>
      </c>
      <c r="O447" s="11">
        <f>7.0994 * CHOOSE(CONTROL!$C$32, $C$9, 100%, $E$9)</f>
        <v>7.0994000000000002</v>
      </c>
    </row>
    <row r="448" spans="1:15" ht="15" x14ac:dyDescent="0.2">
      <c r="A448" s="13">
        <v>54483</v>
      </c>
      <c r="B448" s="9">
        <f>6.4459 * CHOOSE(CONTROL!$C$32, $C$9, 100%, $E$9)</f>
        <v>6.4459</v>
      </c>
      <c r="C448" s="9">
        <f>6.4459 * CHOOSE(CONTROL!$C$32, $C$9, 100%, $E$9)</f>
        <v>6.4459</v>
      </c>
      <c r="D448" s="9">
        <f>6.4469 * CHOOSE(CONTROL!$C$32, $C$9, 100%, $E$9)</f>
        <v>6.4469000000000003</v>
      </c>
      <c r="E448" s="11">
        <f>7.2146 * CHOOSE(CONTROL!$C$32, $C$9, 100%, $E$9)</f>
        <v>7.2145999999999999</v>
      </c>
      <c r="F448" s="11">
        <f>7.2146 * CHOOSE(CONTROL!$C$32, $C$9, 100%, $E$9)</f>
        <v>7.2145999999999999</v>
      </c>
      <c r="G448" s="11">
        <f>7.2182 * CHOOSE(CONTROL!$C$32, $C$9, 100%, $E$9)</f>
        <v>7.2182000000000004</v>
      </c>
      <c r="H448" s="11">
        <f>13.6823 * CHOOSE(CONTROL!$C$32, $C$9, 100%, $E$9)</f>
        <v>13.6823</v>
      </c>
      <c r="I448" s="11">
        <f>13.686 * CHOOSE(CONTROL!$C$32, $C$9, 100%, $E$9)</f>
        <v>13.686</v>
      </c>
      <c r="J448" s="11">
        <f>13.6823 * CHOOSE(CONTROL!$C$32, $C$9, 100%, $E$9)</f>
        <v>13.6823</v>
      </c>
      <c r="K448" s="11">
        <f>13.686 * CHOOSE(CONTROL!$C$32, $C$9, 100%, $E$9)</f>
        <v>13.686</v>
      </c>
      <c r="L448" s="11">
        <f>7.2146 * CHOOSE(CONTROL!$C$32, $C$9, 100%, $E$9)</f>
        <v>7.2145999999999999</v>
      </c>
      <c r="M448" s="11">
        <f>7.2182 * CHOOSE(CONTROL!$C$32, $C$9, 100%, $E$9)</f>
        <v>7.2182000000000004</v>
      </c>
      <c r="N448" s="11">
        <f>7.2146 * CHOOSE(CONTROL!$C$32, $C$9, 100%, $E$9)</f>
        <v>7.2145999999999999</v>
      </c>
      <c r="O448" s="11">
        <f>7.2182 * CHOOSE(CONTROL!$C$32, $C$9, 100%, $E$9)</f>
        <v>7.2182000000000004</v>
      </c>
    </row>
    <row r="449" spans="1:15" ht="15" x14ac:dyDescent="0.2">
      <c r="A449" s="13">
        <v>54514</v>
      </c>
      <c r="B449" s="9">
        <f>6.4459 * CHOOSE(CONTROL!$C$32, $C$9, 100%, $E$9)</f>
        <v>6.4459</v>
      </c>
      <c r="C449" s="9">
        <f>6.4459 * CHOOSE(CONTROL!$C$32, $C$9, 100%, $E$9)</f>
        <v>6.4459</v>
      </c>
      <c r="D449" s="9">
        <f>6.447 * CHOOSE(CONTROL!$C$32, $C$9, 100%, $E$9)</f>
        <v>6.4470000000000001</v>
      </c>
      <c r="E449" s="11">
        <f>7.3402 * CHOOSE(CONTROL!$C$32, $C$9, 100%, $E$9)</f>
        <v>7.3402000000000003</v>
      </c>
      <c r="F449" s="11">
        <f>7.3402 * CHOOSE(CONTROL!$C$32, $C$9, 100%, $E$9)</f>
        <v>7.3402000000000003</v>
      </c>
      <c r="G449" s="11">
        <f>7.3438 * CHOOSE(CONTROL!$C$32, $C$9, 100%, $E$9)</f>
        <v>7.3437999999999999</v>
      </c>
      <c r="H449" s="11">
        <f>13.7108 * CHOOSE(CONTROL!$C$32, $C$9, 100%, $E$9)</f>
        <v>13.710800000000001</v>
      </c>
      <c r="I449" s="11">
        <f>13.7145 * CHOOSE(CONTROL!$C$32, $C$9, 100%, $E$9)</f>
        <v>13.714499999999999</v>
      </c>
      <c r="J449" s="11">
        <f>13.7108 * CHOOSE(CONTROL!$C$32, $C$9, 100%, $E$9)</f>
        <v>13.710800000000001</v>
      </c>
      <c r="K449" s="11">
        <f>13.7145 * CHOOSE(CONTROL!$C$32, $C$9, 100%, $E$9)</f>
        <v>13.714499999999999</v>
      </c>
      <c r="L449" s="11">
        <f>7.3402 * CHOOSE(CONTROL!$C$32, $C$9, 100%, $E$9)</f>
        <v>7.3402000000000003</v>
      </c>
      <c r="M449" s="11">
        <f>7.3438 * CHOOSE(CONTROL!$C$32, $C$9, 100%, $E$9)</f>
        <v>7.3437999999999999</v>
      </c>
      <c r="N449" s="11">
        <f>7.3402 * CHOOSE(CONTROL!$C$32, $C$9, 100%, $E$9)</f>
        <v>7.3402000000000003</v>
      </c>
      <c r="O449" s="11">
        <f>7.3438 * CHOOSE(CONTROL!$C$32, $C$9, 100%, $E$9)</f>
        <v>7.3437999999999999</v>
      </c>
    </row>
    <row r="450" spans="1:15" ht="15" x14ac:dyDescent="0.2">
      <c r="A450" s="13">
        <v>54544</v>
      </c>
      <c r="B450" s="9">
        <f>6.4459 * CHOOSE(CONTROL!$C$32, $C$9, 100%, $E$9)</f>
        <v>6.4459</v>
      </c>
      <c r="C450" s="9">
        <f>6.4459 * CHOOSE(CONTROL!$C$32, $C$9, 100%, $E$9)</f>
        <v>6.4459</v>
      </c>
      <c r="D450" s="9">
        <f>6.4475 * CHOOSE(CONTROL!$C$32, $C$9, 100%, $E$9)</f>
        <v>6.4474999999999998</v>
      </c>
      <c r="E450" s="11">
        <f>7.3889 * CHOOSE(CONTROL!$C$32, $C$9, 100%, $E$9)</f>
        <v>7.3888999999999996</v>
      </c>
      <c r="F450" s="11">
        <f>7.3889 * CHOOSE(CONTROL!$C$32, $C$9, 100%, $E$9)</f>
        <v>7.3888999999999996</v>
      </c>
      <c r="G450" s="11">
        <f>7.3942 * CHOOSE(CONTROL!$C$32, $C$9, 100%, $E$9)</f>
        <v>7.3941999999999997</v>
      </c>
      <c r="H450" s="11">
        <f>13.7394 * CHOOSE(CONTROL!$C$32, $C$9, 100%, $E$9)</f>
        <v>13.7394</v>
      </c>
      <c r="I450" s="11">
        <f>13.7447 * CHOOSE(CONTROL!$C$32, $C$9, 100%, $E$9)</f>
        <v>13.7447</v>
      </c>
      <c r="J450" s="11">
        <f>13.7394 * CHOOSE(CONTROL!$C$32, $C$9, 100%, $E$9)</f>
        <v>13.7394</v>
      </c>
      <c r="K450" s="11">
        <f>13.7447 * CHOOSE(CONTROL!$C$32, $C$9, 100%, $E$9)</f>
        <v>13.7447</v>
      </c>
      <c r="L450" s="11">
        <f>7.3889 * CHOOSE(CONTROL!$C$32, $C$9, 100%, $E$9)</f>
        <v>7.3888999999999996</v>
      </c>
      <c r="M450" s="11">
        <f>7.3942 * CHOOSE(CONTROL!$C$32, $C$9, 100%, $E$9)</f>
        <v>7.3941999999999997</v>
      </c>
      <c r="N450" s="11">
        <f>7.3889 * CHOOSE(CONTROL!$C$32, $C$9, 100%, $E$9)</f>
        <v>7.3888999999999996</v>
      </c>
      <c r="O450" s="11">
        <f>7.3942 * CHOOSE(CONTROL!$C$32, $C$9, 100%, $E$9)</f>
        <v>7.3941999999999997</v>
      </c>
    </row>
    <row r="451" spans="1:15" ht="15" x14ac:dyDescent="0.2">
      <c r="A451" s="13">
        <v>54575</v>
      </c>
      <c r="B451" s="9">
        <f>6.452 * CHOOSE(CONTROL!$C$32, $C$9, 100%, $E$9)</f>
        <v>6.452</v>
      </c>
      <c r="C451" s="9">
        <f>6.452 * CHOOSE(CONTROL!$C$32, $C$9, 100%, $E$9)</f>
        <v>6.452</v>
      </c>
      <c r="D451" s="9">
        <f>6.4535 * CHOOSE(CONTROL!$C$32, $C$9, 100%, $E$9)</f>
        <v>6.4535</v>
      </c>
      <c r="E451" s="11">
        <f>7.3444 * CHOOSE(CONTROL!$C$32, $C$9, 100%, $E$9)</f>
        <v>7.3444000000000003</v>
      </c>
      <c r="F451" s="11">
        <f>7.3444 * CHOOSE(CONTROL!$C$32, $C$9, 100%, $E$9)</f>
        <v>7.3444000000000003</v>
      </c>
      <c r="G451" s="11">
        <f>7.3497 * CHOOSE(CONTROL!$C$32, $C$9, 100%, $E$9)</f>
        <v>7.3497000000000003</v>
      </c>
      <c r="H451" s="11">
        <f>13.768 * CHOOSE(CONTROL!$C$32, $C$9, 100%, $E$9)</f>
        <v>13.768000000000001</v>
      </c>
      <c r="I451" s="11">
        <f>13.7733 * CHOOSE(CONTROL!$C$32, $C$9, 100%, $E$9)</f>
        <v>13.773300000000001</v>
      </c>
      <c r="J451" s="11">
        <f>13.768 * CHOOSE(CONTROL!$C$32, $C$9, 100%, $E$9)</f>
        <v>13.768000000000001</v>
      </c>
      <c r="K451" s="11">
        <f>13.7733 * CHOOSE(CONTROL!$C$32, $C$9, 100%, $E$9)</f>
        <v>13.773300000000001</v>
      </c>
      <c r="L451" s="11">
        <f>7.3444 * CHOOSE(CONTROL!$C$32, $C$9, 100%, $E$9)</f>
        <v>7.3444000000000003</v>
      </c>
      <c r="M451" s="11">
        <f>7.3497 * CHOOSE(CONTROL!$C$32, $C$9, 100%, $E$9)</f>
        <v>7.3497000000000003</v>
      </c>
      <c r="N451" s="11">
        <f>7.3444 * CHOOSE(CONTROL!$C$32, $C$9, 100%, $E$9)</f>
        <v>7.3444000000000003</v>
      </c>
      <c r="O451" s="11">
        <f>7.3497 * CHOOSE(CONTROL!$C$32, $C$9, 100%, $E$9)</f>
        <v>7.3497000000000003</v>
      </c>
    </row>
    <row r="452" spans="1:15" ht="15" x14ac:dyDescent="0.2">
      <c r="A452" s="13">
        <v>54605</v>
      </c>
      <c r="B452" s="9">
        <f>6.5374 * CHOOSE(CONTROL!$C$32, $C$9, 100%, $E$9)</f>
        <v>6.5373999999999999</v>
      </c>
      <c r="C452" s="9">
        <f>6.5374 * CHOOSE(CONTROL!$C$32, $C$9, 100%, $E$9)</f>
        <v>6.5373999999999999</v>
      </c>
      <c r="D452" s="9">
        <f>6.539 * CHOOSE(CONTROL!$C$32, $C$9, 100%, $E$9)</f>
        <v>6.5389999999999997</v>
      </c>
      <c r="E452" s="11">
        <f>7.4428 * CHOOSE(CONTROL!$C$32, $C$9, 100%, $E$9)</f>
        <v>7.4428000000000001</v>
      </c>
      <c r="F452" s="11">
        <f>7.4428 * CHOOSE(CONTROL!$C$32, $C$9, 100%, $E$9)</f>
        <v>7.4428000000000001</v>
      </c>
      <c r="G452" s="11">
        <f>7.448 * CHOOSE(CONTROL!$C$32, $C$9, 100%, $E$9)</f>
        <v>7.4480000000000004</v>
      </c>
      <c r="H452" s="11">
        <f>13.7967 * CHOOSE(CONTROL!$C$32, $C$9, 100%, $E$9)</f>
        <v>13.7967</v>
      </c>
      <c r="I452" s="11">
        <f>13.802 * CHOOSE(CONTROL!$C$32, $C$9, 100%, $E$9)</f>
        <v>13.802</v>
      </c>
      <c r="J452" s="11">
        <f>13.7967 * CHOOSE(CONTROL!$C$32, $C$9, 100%, $E$9)</f>
        <v>13.7967</v>
      </c>
      <c r="K452" s="11">
        <f>13.802 * CHOOSE(CONTROL!$C$32, $C$9, 100%, $E$9)</f>
        <v>13.802</v>
      </c>
      <c r="L452" s="11">
        <f>7.4428 * CHOOSE(CONTROL!$C$32, $C$9, 100%, $E$9)</f>
        <v>7.4428000000000001</v>
      </c>
      <c r="M452" s="11">
        <f>7.448 * CHOOSE(CONTROL!$C$32, $C$9, 100%, $E$9)</f>
        <v>7.4480000000000004</v>
      </c>
      <c r="N452" s="11">
        <f>7.4428 * CHOOSE(CONTROL!$C$32, $C$9, 100%, $E$9)</f>
        <v>7.4428000000000001</v>
      </c>
      <c r="O452" s="11">
        <f>7.448 * CHOOSE(CONTROL!$C$32, $C$9, 100%, $E$9)</f>
        <v>7.4480000000000004</v>
      </c>
    </row>
    <row r="453" spans="1:15" ht="15" x14ac:dyDescent="0.2">
      <c r="A453" s="13">
        <v>54636</v>
      </c>
      <c r="B453" s="9">
        <f>6.5441 * CHOOSE(CONTROL!$C$32, $C$9, 100%, $E$9)</f>
        <v>6.5441000000000003</v>
      </c>
      <c r="C453" s="9">
        <f>6.5441 * CHOOSE(CONTROL!$C$32, $C$9, 100%, $E$9)</f>
        <v>6.5441000000000003</v>
      </c>
      <c r="D453" s="9">
        <f>6.5457 * CHOOSE(CONTROL!$C$32, $C$9, 100%, $E$9)</f>
        <v>6.5457000000000001</v>
      </c>
      <c r="E453" s="11">
        <f>7.3013 * CHOOSE(CONTROL!$C$32, $C$9, 100%, $E$9)</f>
        <v>7.3013000000000003</v>
      </c>
      <c r="F453" s="11">
        <f>7.3013 * CHOOSE(CONTROL!$C$32, $C$9, 100%, $E$9)</f>
        <v>7.3013000000000003</v>
      </c>
      <c r="G453" s="11">
        <f>7.3066 * CHOOSE(CONTROL!$C$32, $C$9, 100%, $E$9)</f>
        <v>7.3066000000000004</v>
      </c>
      <c r="H453" s="11">
        <f>13.8255 * CHOOSE(CONTROL!$C$32, $C$9, 100%, $E$9)</f>
        <v>13.8255</v>
      </c>
      <c r="I453" s="11">
        <f>13.8308 * CHOOSE(CONTROL!$C$32, $C$9, 100%, $E$9)</f>
        <v>13.8308</v>
      </c>
      <c r="J453" s="11">
        <f>13.8255 * CHOOSE(CONTROL!$C$32, $C$9, 100%, $E$9)</f>
        <v>13.8255</v>
      </c>
      <c r="K453" s="11">
        <f>13.8308 * CHOOSE(CONTROL!$C$32, $C$9, 100%, $E$9)</f>
        <v>13.8308</v>
      </c>
      <c r="L453" s="11">
        <f>7.3013 * CHOOSE(CONTROL!$C$32, $C$9, 100%, $E$9)</f>
        <v>7.3013000000000003</v>
      </c>
      <c r="M453" s="11">
        <f>7.3066 * CHOOSE(CONTROL!$C$32, $C$9, 100%, $E$9)</f>
        <v>7.3066000000000004</v>
      </c>
      <c r="N453" s="11">
        <f>7.3013 * CHOOSE(CONTROL!$C$32, $C$9, 100%, $E$9)</f>
        <v>7.3013000000000003</v>
      </c>
      <c r="O453" s="11">
        <f>7.3066 * CHOOSE(CONTROL!$C$32, $C$9, 100%, $E$9)</f>
        <v>7.3066000000000004</v>
      </c>
    </row>
    <row r="454" spans="1:15" ht="15" x14ac:dyDescent="0.2">
      <c r="A454" s="13">
        <v>54667</v>
      </c>
      <c r="B454" s="9">
        <f>6.541 * CHOOSE(CONTROL!$C$32, $C$9, 100%, $E$9)</f>
        <v>6.5410000000000004</v>
      </c>
      <c r="C454" s="9">
        <f>6.541 * CHOOSE(CONTROL!$C$32, $C$9, 100%, $E$9)</f>
        <v>6.5410000000000004</v>
      </c>
      <c r="D454" s="9">
        <f>6.5426 * CHOOSE(CONTROL!$C$32, $C$9, 100%, $E$9)</f>
        <v>6.5426000000000002</v>
      </c>
      <c r="E454" s="11">
        <f>7.283 * CHOOSE(CONTROL!$C$32, $C$9, 100%, $E$9)</f>
        <v>7.2830000000000004</v>
      </c>
      <c r="F454" s="11">
        <f>7.283 * CHOOSE(CONTROL!$C$32, $C$9, 100%, $E$9)</f>
        <v>7.2830000000000004</v>
      </c>
      <c r="G454" s="11">
        <f>7.2883 * CHOOSE(CONTROL!$C$32, $C$9, 100%, $E$9)</f>
        <v>7.2882999999999996</v>
      </c>
      <c r="H454" s="11">
        <f>13.8543 * CHOOSE(CONTROL!$C$32, $C$9, 100%, $E$9)</f>
        <v>13.8543</v>
      </c>
      <c r="I454" s="11">
        <f>13.8596 * CHOOSE(CONTROL!$C$32, $C$9, 100%, $E$9)</f>
        <v>13.8596</v>
      </c>
      <c r="J454" s="11">
        <f>13.8543 * CHOOSE(CONTROL!$C$32, $C$9, 100%, $E$9)</f>
        <v>13.8543</v>
      </c>
      <c r="K454" s="11">
        <f>13.8596 * CHOOSE(CONTROL!$C$32, $C$9, 100%, $E$9)</f>
        <v>13.8596</v>
      </c>
      <c r="L454" s="11">
        <f>7.283 * CHOOSE(CONTROL!$C$32, $C$9, 100%, $E$9)</f>
        <v>7.2830000000000004</v>
      </c>
      <c r="M454" s="11">
        <f>7.2883 * CHOOSE(CONTROL!$C$32, $C$9, 100%, $E$9)</f>
        <v>7.2882999999999996</v>
      </c>
      <c r="N454" s="11">
        <f>7.283 * CHOOSE(CONTROL!$C$32, $C$9, 100%, $E$9)</f>
        <v>7.2830000000000004</v>
      </c>
      <c r="O454" s="11">
        <f>7.2883 * CHOOSE(CONTROL!$C$32, $C$9, 100%, $E$9)</f>
        <v>7.2882999999999996</v>
      </c>
    </row>
    <row r="455" spans="1:15" ht="15" x14ac:dyDescent="0.2">
      <c r="A455" s="13">
        <v>54697</v>
      </c>
      <c r="B455" s="9">
        <f>6.5456 * CHOOSE(CONTROL!$C$32, $C$9, 100%, $E$9)</f>
        <v>6.5456000000000003</v>
      </c>
      <c r="C455" s="9">
        <f>6.5456 * CHOOSE(CONTROL!$C$32, $C$9, 100%, $E$9)</f>
        <v>6.5456000000000003</v>
      </c>
      <c r="D455" s="9">
        <f>6.5466 * CHOOSE(CONTROL!$C$32, $C$9, 100%, $E$9)</f>
        <v>6.5465999999999998</v>
      </c>
      <c r="E455" s="11">
        <f>7.3345 * CHOOSE(CONTROL!$C$32, $C$9, 100%, $E$9)</f>
        <v>7.3345000000000002</v>
      </c>
      <c r="F455" s="11">
        <f>7.3345 * CHOOSE(CONTROL!$C$32, $C$9, 100%, $E$9)</f>
        <v>7.3345000000000002</v>
      </c>
      <c r="G455" s="11">
        <f>7.3381 * CHOOSE(CONTROL!$C$32, $C$9, 100%, $E$9)</f>
        <v>7.3380999999999998</v>
      </c>
      <c r="H455" s="11">
        <f>13.8831 * CHOOSE(CONTROL!$C$32, $C$9, 100%, $E$9)</f>
        <v>13.883100000000001</v>
      </c>
      <c r="I455" s="11">
        <f>13.8867 * CHOOSE(CONTROL!$C$32, $C$9, 100%, $E$9)</f>
        <v>13.886699999999999</v>
      </c>
      <c r="J455" s="11">
        <f>13.8831 * CHOOSE(CONTROL!$C$32, $C$9, 100%, $E$9)</f>
        <v>13.883100000000001</v>
      </c>
      <c r="K455" s="11">
        <f>13.8867 * CHOOSE(CONTROL!$C$32, $C$9, 100%, $E$9)</f>
        <v>13.886699999999999</v>
      </c>
      <c r="L455" s="11">
        <f>7.3345 * CHOOSE(CONTROL!$C$32, $C$9, 100%, $E$9)</f>
        <v>7.3345000000000002</v>
      </c>
      <c r="M455" s="11">
        <f>7.3381 * CHOOSE(CONTROL!$C$32, $C$9, 100%, $E$9)</f>
        <v>7.3380999999999998</v>
      </c>
      <c r="N455" s="11">
        <f>7.3345 * CHOOSE(CONTROL!$C$32, $C$9, 100%, $E$9)</f>
        <v>7.3345000000000002</v>
      </c>
      <c r="O455" s="11">
        <f>7.3381 * CHOOSE(CONTROL!$C$32, $C$9, 100%, $E$9)</f>
        <v>7.3380999999999998</v>
      </c>
    </row>
    <row r="456" spans="1:15" ht="15" x14ac:dyDescent="0.2">
      <c r="A456" s="13">
        <v>54728</v>
      </c>
      <c r="B456" s="9">
        <f>6.5486 * CHOOSE(CONTROL!$C$32, $C$9, 100%, $E$9)</f>
        <v>6.5486000000000004</v>
      </c>
      <c r="C456" s="9">
        <f>6.5486 * CHOOSE(CONTROL!$C$32, $C$9, 100%, $E$9)</f>
        <v>6.5486000000000004</v>
      </c>
      <c r="D456" s="9">
        <f>6.5497 * CHOOSE(CONTROL!$C$32, $C$9, 100%, $E$9)</f>
        <v>6.5496999999999996</v>
      </c>
      <c r="E456" s="11">
        <f>7.3691 * CHOOSE(CONTROL!$C$32, $C$9, 100%, $E$9)</f>
        <v>7.3691000000000004</v>
      </c>
      <c r="F456" s="11">
        <f>7.3691 * CHOOSE(CONTROL!$C$32, $C$9, 100%, $E$9)</f>
        <v>7.3691000000000004</v>
      </c>
      <c r="G456" s="11">
        <f>7.3727 * CHOOSE(CONTROL!$C$32, $C$9, 100%, $E$9)</f>
        <v>7.3727</v>
      </c>
      <c r="H456" s="11">
        <f>13.9121 * CHOOSE(CONTROL!$C$32, $C$9, 100%, $E$9)</f>
        <v>13.912100000000001</v>
      </c>
      <c r="I456" s="11">
        <f>13.9157 * CHOOSE(CONTROL!$C$32, $C$9, 100%, $E$9)</f>
        <v>13.915699999999999</v>
      </c>
      <c r="J456" s="11">
        <f>13.9121 * CHOOSE(CONTROL!$C$32, $C$9, 100%, $E$9)</f>
        <v>13.912100000000001</v>
      </c>
      <c r="K456" s="11">
        <f>13.9157 * CHOOSE(CONTROL!$C$32, $C$9, 100%, $E$9)</f>
        <v>13.915699999999999</v>
      </c>
      <c r="L456" s="11">
        <f>7.3691 * CHOOSE(CONTROL!$C$32, $C$9, 100%, $E$9)</f>
        <v>7.3691000000000004</v>
      </c>
      <c r="M456" s="11">
        <f>7.3727 * CHOOSE(CONTROL!$C$32, $C$9, 100%, $E$9)</f>
        <v>7.3727</v>
      </c>
      <c r="N456" s="11">
        <f>7.3691 * CHOOSE(CONTROL!$C$32, $C$9, 100%, $E$9)</f>
        <v>7.3691000000000004</v>
      </c>
      <c r="O456" s="11">
        <f>7.3727 * CHOOSE(CONTROL!$C$32, $C$9, 100%, $E$9)</f>
        <v>7.3727</v>
      </c>
    </row>
    <row r="457" spans="1:15" ht="15" x14ac:dyDescent="0.2">
      <c r="A457" s="13">
        <v>54758</v>
      </c>
      <c r="B457" s="9">
        <f>6.5486 * CHOOSE(CONTROL!$C$32, $C$9, 100%, $E$9)</f>
        <v>6.5486000000000004</v>
      </c>
      <c r="C457" s="9">
        <f>6.5486 * CHOOSE(CONTROL!$C$32, $C$9, 100%, $E$9)</f>
        <v>6.5486000000000004</v>
      </c>
      <c r="D457" s="9">
        <f>6.5497 * CHOOSE(CONTROL!$C$32, $C$9, 100%, $E$9)</f>
        <v>6.5496999999999996</v>
      </c>
      <c r="E457" s="11">
        <f>7.2879 * CHOOSE(CONTROL!$C$32, $C$9, 100%, $E$9)</f>
        <v>7.2878999999999996</v>
      </c>
      <c r="F457" s="11">
        <f>7.2879 * CHOOSE(CONTROL!$C$32, $C$9, 100%, $E$9)</f>
        <v>7.2878999999999996</v>
      </c>
      <c r="G457" s="11">
        <f>7.2915 * CHOOSE(CONTROL!$C$32, $C$9, 100%, $E$9)</f>
        <v>7.2915000000000001</v>
      </c>
      <c r="H457" s="11">
        <f>13.941 * CHOOSE(CONTROL!$C$32, $C$9, 100%, $E$9)</f>
        <v>13.941000000000001</v>
      </c>
      <c r="I457" s="11">
        <f>13.9447 * CHOOSE(CONTROL!$C$32, $C$9, 100%, $E$9)</f>
        <v>13.944699999999999</v>
      </c>
      <c r="J457" s="11">
        <f>13.941 * CHOOSE(CONTROL!$C$32, $C$9, 100%, $E$9)</f>
        <v>13.941000000000001</v>
      </c>
      <c r="K457" s="11">
        <f>13.9447 * CHOOSE(CONTROL!$C$32, $C$9, 100%, $E$9)</f>
        <v>13.944699999999999</v>
      </c>
      <c r="L457" s="11">
        <f>7.2879 * CHOOSE(CONTROL!$C$32, $C$9, 100%, $E$9)</f>
        <v>7.2878999999999996</v>
      </c>
      <c r="M457" s="11">
        <f>7.2915 * CHOOSE(CONTROL!$C$32, $C$9, 100%, $E$9)</f>
        <v>7.2915000000000001</v>
      </c>
      <c r="N457" s="11">
        <f>7.2879 * CHOOSE(CONTROL!$C$32, $C$9, 100%, $E$9)</f>
        <v>7.2878999999999996</v>
      </c>
      <c r="O457" s="11">
        <f>7.2915 * CHOOSE(CONTROL!$C$32, $C$9, 100%, $E$9)</f>
        <v>7.2915000000000001</v>
      </c>
    </row>
    <row r="458" spans="1:15" ht="15" x14ac:dyDescent="0.2">
      <c r="A458" s="13">
        <v>54789</v>
      </c>
      <c r="B458" s="9">
        <f>6.5983 * CHOOSE(CONTROL!$C$32, $C$9, 100%, $E$9)</f>
        <v>6.5983000000000001</v>
      </c>
      <c r="C458" s="9">
        <f>6.5983 * CHOOSE(CONTROL!$C$32, $C$9, 100%, $E$9)</f>
        <v>6.5983000000000001</v>
      </c>
      <c r="D458" s="9">
        <f>6.5993 * CHOOSE(CONTROL!$C$32, $C$9, 100%, $E$9)</f>
        <v>6.5993000000000004</v>
      </c>
      <c r="E458" s="11">
        <f>7.4077 * CHOOSE(CONTROL!$C$32, $C$9, 100%, $E$9)</f>
        <v>7.4077000000000002</v>
      </c>
      <c r="F458" s="11">
        <f>7.4077 * CHOOSE(CONTROL!$C$32, $C$9, 100%, $E$9)</f>
        <v>7.4077000000000002</v>
      </c>
      <c r="G458" s="11">
        <f>7.4113 * CHOOSE(CONTROL!$C$32, $C$9, 100%, $E$9)</f>
        <v>7.4112999999999998</v>
      </c>
      <c r="H458" s="11">
        <f>13.9701 * CHOOSE(CONTROL!$C$32, $C$9, 100%, $E$9)</f>
        <v>13.9701</v>
      </c>
      <c r="I458" s="11">
        <f>13.9737 * CHOOSE(CONTROL!$C$32, $C$9, 100%, $E$9)</f>
        <v>13.973699999999999</v>
      </c>
      <c r="J458" s="11">
        <f>13.9701 * CHOOSE(CONTROL!$C$32, $C$9, 100%, $E$9)</f>
        <v>13.9701</v>
      </c>
      <c r="K458" s="11">
        <f>13.9737 * CHOOSE(CONTROL!$C$32, $C$9, 100%, $E$9)</f>
        <v>13.973699999999999</v>
      </c>
      <c r="L458" s="11">
        <f>7.4077 * CHOOSE(CONTROL!$C$32, $C$9, 100%, $E$9)</f>
        <v>7.4077000000000002</v>
      </c>
      <c r="M458" s="11">
        <f>7.4113 * CHOOSE(CONTROL!$C$32, $C$9, 100%, $E$9)</f>
        <v>7.4112999999999998</v>
      </c>
      <c r="N458" s="11">
        <f>7.4077 * CHOOSE(CONTROL!$C$32, $C$9, 100%, $E$9)</f>
        <v>7.4077000000000002</v>
      </c>
      <c r="O458" s="11">
        <f>7.4113 * CHOOSE(CONTROL!$C$32, $C$9, 100%, $E$9)</f>
        <v>7.4112999999999998</v>
      </c>
    </row>
    <row r="459" spans="1:15" ht="15" x14ac:dyDescent="0.2">
      <c r="A459" s="13">
        <v>54820</v>
      </c>
      <c r="B459" s="9">
        <f>6.5952 * CHOOSE(CONTROL!$C$32, $C$9, 100%, $E$9)</f>
        <v>6.5952000000000002</v>
      </c>
      <c r="C459" s="9">
        <f>6.5952 * CHOOSE(CONTROL!$C$32, $C$9, 100%, $E$9)</f>
        <v>6.5952000000000002</v>
      </c>
      <c r="D459" s="9">
        <f>6.5963 * CHOOSE(CONTROL!$C$32, $C$9, 100%, $E$9)</f>
        <v>6.5963000000000003</v>
      </c>
      <c r="E459" s="11">
        <f>7.2472 * CHOOSE(CONTROL!$C$32, $C$9, 100%, $E$9)</f>
        <v>7.2472000000000003</v>
      </c>
      <c r="F459" s="11">
        <f>7.2472 * CHOOSE(CONTROL!$C$32, $C$9, 100%, $E$9)</f>
        <v>7.2472000000000003</v>
      </c>
      <c r="G459" s="11">
        <f>7.2508 * CHOOSE(CONTROL!$C$32, $C$9, 100%, $E$9)</f>
        <v>7.2507999999999999</v>
      </c>
      <c r="H459" s="11">
        <f>13.9992 * CHOOSE(CONTROL!$C$32, $C$9, 100%, $E$9)</f>
        <v>13.9992</v>
      </c>
      <c r="I459" s="11">
        <f>14.0028 * CHOOSE(CONTROL!$C$32, $C$9, 100%, $E$9)</f>
        <v>14.002800000000001</v>
      </c>
      <c r="J459" s="11">
        <f>13.9992 * CHOOSE(CONTROL!$C$32, $C$9, 100%, $E$9)</f>
        <v>13.9992</v>
      </c>
      <c r="K459" s="11">
        <f>14.0028 * CHOOSE(CONTROL!$C$32, $C$9, 100%, $E$9)</f>
        <v>14.002800000000001</v>
      </c>
      <c r="L459" s="11">
        <f>7.2472 * CHOOSE(CONTROL!$C$32, $C$9, 100%, $E$9)</f>
        <v>7.2472000000000003</v>
      </c>
      <c r="M459" s="11">
        <f>7.2508 * CHOOSE(CONTROL!$C$32, $C$9, 100%, $E$9)</f>
        <v>7.2507999999999999</v>
      </c>
      <c r="N459" s="11">
        <f>7.2472 * CHOOSE(CONTROL!$C$32, $C$9, 100%, $E$9)</f>
        <v>7.2472000000000003</v>
      </c>
      <c r="O459" s="11">
        <f>7.2508 * CHOOSE(CONTROL!$C$32, $C$9, 100%, $E$9)</f>
        <v>7.2507999999999999</v>
      </c>
    </row>
    <row r="460" spans="1:15" ht="15" x14ac:dyDescent="0.2">
      <c r="A460" s="13">
        <v>54848</v>
      </c>
      <c r="B460" s="9">
        <f>6.5922 * CHOOSE(CONTROL!$C$32, $C$9, 100%, $E$9)</f>
        <v>6.5922000000000001</v>
      </c>
      <c r="C460" s="9">
        <f>6.5922 * CHOOSE(CONTROL!$C$32, $C$9, 100%, $E$9)</f>
        <v>6.5922000000000001</v>
      </c>
      <c r="D460" s="9">
        <f>6.5933 * CHOOSE(CONTROL!$C$32, $C$9, 100%, $E$9)</f>
        <v>6.5933000000000002</v>
      </c>
      <c r="E460" s="11">
        <f>7.3699 * CHOOSE(CONTROL!$C$32, $C$9, 100%, $E$9)</f>
        <v>7.3699000000000003</v>
      </c>
      <c r="F460" s="11">
        <f>7.3699 * CHOOSE(CONTROL!$C$32, $C$9, 100%, $E$9)</f>
        <v>7.3699000000000003</v>
      </c>
      <c r="G460" s="11">
        <f>7.3735 * CHOOSE(CONTROL!$C$32, $C$9, 100%, $E$9)</f>
        <v>7.3734999999999999</v>
      </c>
      <c r="H460" s="11">
        <f>14.0283 * CHOOSE(CONTROL!$C$32, $C$9, 100%, $E$9)</f>
        <v>14.0283</v>
      </c>
      <c r="I460" s="11">
        <f>14.032 * CHOOSE(CONTROL!$C$32, $C$9, 100%, $E$9)</f>
        <v>14.032</v>
      </c>
      <c r="J460" s="11">
        <f>14.0283 * CHOOSE(CONTROL!$C$32, $C$9, 100%, $E$9)</f>
        <v>14.0283</v>
      </c>
      <c r="K460" s="11">
        <f>14.032 * CHOOSE(CONTROL!$C$32, $C$9, 100%, $E$9)</f>
        <v>14.032</v>
      </c>
      <c r="L460" s="11">
        <f>7.3699 * CHOOSE(CONTROL!$C$32, $C$9, 100%, $E$9)</f>
        <v>7.3699000000000003</v>
      </c>
      <c r="M460" s="11">
        <f>7.3735 * CHOOSE(CONTROL!$C$32, $C$9, 100%, $E$9)</f>
        <v>7.3734999999999999</v>
      </c>
      <c r="N460" s="11">
        <f>7.3699 * CHOOSE(CONTROL!$C$32, $C$9, 100%, $E$9)</f>
        <v>7.3699000000000003</v>
      </c>
      <c r="O460" s="11">
        <f>7.3735 * CHOOSE(CONTROL!$C$32, $C$9, 100%, $E$9)</f>
        <v>7.3734999999999999</v>
      </c>
    </row>
    <row r="461" spans="1:15" ht="15" x14ac:dyDescent="0.2">
      <c r="A461" s="13">
        <v>54879</v>
      </c>
      <c r="B461" s="9">
        <f>6.5923 * CHOOSE(CONTROL!$C$32, $C$9, 100%, $E$9)</f>
        <v>6.5922999999999998</v>
      </c>
      <c r="C461" s="9">
        <f>6.5923 * CHOOSE(CONTROL!$C$32, $C$9, 100%, $E$9)</f>
        <v>6.5922999999999998</v>
      </c>
      <c r="D461" s="9">
        <f>6.5934 * CHOOSE(CONTROL!$C$32, $C$9, 100%, $E$9)</f>
        <v>6.5933999999999999</v>
      </c>
      <c r="E461" s="11">
        <f>7.4998 * CHOOSE(CONTROL!$C$32, $C$9, 100%, $E$9)</f>
        <v>7.4997999999999996</v>
      </c>
      <c r="F461" s="11">
        <f>7.4998 * CHOOSE(CONTROL!$C$32, $C$9, 100%, $E$9)</f>
        <v>7.4997999999999996</v>
      </c>
      <c r="G461" s="11">
        <f>7.5034 * CHOOSE(CONTROL!$C$32, $C$9, 100%, $E$9)</f>
        <v>7.5034000000000001</v>
      </c>
      <c r="H461" s="11">
        <f>14.0576 * CHOOSE(CONTROL!$C$32, $C$9, 100%, $E$9)</f>
        <v>14.057600000000001</v>
      </c>
      <c r="I461" s="11">
        <f>14.0612 * CHOOSE(CONTROL!$C$32, $C$9, 100%, $E$9)</f>
        <v>14.061199999999999</v>
      </c>
      <c r="J461" s="11">
        <f>14.0576 * CHOOSE(CONTROL!$C$32, $C$9, 100%, $E$9)</f>
        <v>14.057600000000001</v>
      </c>
      <c r="K461" s="11">
        <f>14.0612 * CHOOSE(CONTROL!$C$32, $C$9, 100%, $E$9)</f>
        <v>14.061199999999999</v>
      </c>
      <c r="L461" s="11">
        <f>7.4998 * CHOOSE(CONTROL!$C$32, $C$9, 100%, $E$9)</f>
        <v>7.4997999999999996</v>
      </c>
      <c r="M461" s="11">
        <f>7.5034 * CHOOSE(CONTROL!$C$32, $C$9, 100%, $E$9)</f>
        <v>7.5034000000000001</v>
      </c>
      <c r="N461" s="11">
        <f>7.4998 * CHOOSE(CONTROL!$C$32, $C$9, 100%, $E$9)</f>
        <v>7.4997999999999996</v>
      </c>
      <c r="O461" s="11">
        <f>7.5034 * CHOOSE(CONTROL!$C$32, $C$9, 100%, $E$9)</f>
        <v>7.5034000000000001</v>
      </c>
    </row>
    <row r="462" spans="1:15" ht="15" x14ac:dyDescent="0.2">
      <c r="A462" s="13">
        <v>54909</v>
      </c>
      <c r="B462" s="9">
        <f>6.5923 * CHOOSE(CONTROL!$C$32, $C$9, 100%, $E$9)</f>
        <v>6.5922999999999998</v>
      </c>
      <c r="C462" s="9">
        <f>6.5923 * CHOOSE(CONTROL!$C$32, $C$9, 100%, $E$9)</f>
        <v>6.5922999999999998</v>
      </c>
      <c r="D462" s="9">
        <f>6.5939 * CHOOSE(CONTROL!$C$32, $C$9, 100%, $E$9)</f>
        <v>6.5938999999999997</v>
      </c>
      <c r="E462" s="11">
        <f>7.55 * CHOOSE(CONTROL!$C$32, $C$9, 100%, $E$9)</f>
        <v>7.55</v>
      </c>
      <c r="F462" s="11">
        <f>7.55 * CHOOSE(CONTROL!$C$32, $C$9, 100%, $E$9)</f>
        <v>7.55</v>
      </c>
      <c r="G462" s="11">
        <f>7.5553 * CHOOSE(CONTROL!$C$32, $C$9, 100%, $E$9)</f>
        <v>7.5552999999999999</v>
      </c>
      <c r="H462" s="11">
        <f>14.0869 * CHOOSE(CONTROL!$C$32, $C$9, 100%, $E$9)</f>
        <v>14.0869</v>
      </c>
      <c r="I462" s="11">
        <f>14.0922 * CHOOSE(CONTROL!$C$32, $C$9, 100%, $E$9)</f>
        <v>14.0922</v>
      </c>
      <c r="J462" s="11">
        <f>14.0869 * CHOOSE(CONTROL!$C$32, $C$9, 100%, $E$9)</f>
        <v>14.0869</v>
      </c>
      <c r="K462" s="11">
        <f>14.0922 * CHOOSE(CONTROL!$C$32, $C$9, 100%, $E$9)</f>
        <v>14.0922</v>
      </c>
      <c r="L462" s="11">
        <f>7.55 * CHOOSE(CONTROL!$C$32, $C$9, 100%, $E$9)</f>
        <v>7.55</v>
      </c>
      <c r="M462" s="11">
        <f>7.5553 * CHOOSE(CONTROL!$C$32, $C$9, 100%, $E$9)</f>
        <v>7.5552999999999999</v>
      </c>
      <c r="N462" s="11">
        <f>7.55 * CHOOSE(CONTROL!$C$32, $C$9, 100%, $E$9)</f>
        <v>7.55</v>
      </c>
      <c r="O462" s="11">
        <f>7.5553 * CHOOSE(CONTROL!$C$32, $C$9, 100%, $E$9)</f>
        <v>7.5552999999999999</v>
      </c>
    </row>
    <row r="463" spans="1:15" ht="15" x14ac:dyDescent="0.2">
      <c r="A463" s="13">
        <v>54940</v>
      </c>
      <c r="B463" s="9">
        <f>6.5984 * CHOOSE(CONTROL!$C$32, $C$9, 100%, $E$9)</f>
        <v>6.5983999999999998</v>
      </c>
      <c r="C463" s="9">
        <f>6.5984 * CHOOSE(CONTROL!$C$32, $C$9, 100%, $E$9)</f>
        <v>6.5983999999999998</v>
      </c>
      <c r="D463" s="9">
        <f>6.6 * CHOOSE(CONTROL!$C$32, $C$9, 100%, $E$9)</f>
        <v>6.6</v>
      </c>
      <c r="E463" s="11">
        <f>7.504 * CHOOSE(CONTROL!$C$32, $C$9, 100%, $E$9)</f>
        <v>7.5039999999999996</v>
      </c>
      <c r="F463" s="11">
        <f>7.504 * CHOOSE(CONTROL!$C$32, $C$9, 100%, $E$9)</f>
        <v>7.5039999999999996</v>
      </c>
      <c r="G463" s="11">
        <f>7.5093 * CHOOSE(CONTROL!$C$32, $C$9, 100%, $E$9)</f>
        <v>7.5092999999999996</v>
      </c>
      <c r="H463" s="11">
        <f>14.1162 * CHOOSE(CONTROL!$C$32, $C$9, 100%, $E$9)</f>
        <v>14.116199999999999</v>
      </c>
      <c r="I463" s="11">
        <f>14.1215 * CHOOSE(CONTROL!$C$32, $C$9, 100%, $E$9)</f>
        <v>14.121499999999999</v>
      </c>
      <c r="J463" s="11">
        <f>14.1162 * CHOOSE(CONTROL!$C$32, $C$9, 100%, $E$9)</f>
        <v>14.116199999999999</v>
      </c>
      <c r="K463" s="11">
        <f>14.1215 * CHOOSE(CONTROL!$C$32, $C$9, 100%, $E$9)</f>
        <v>14.121499999999999</v>
      </c>
      <c r="L463" s="11">
        <f>7.504 * CHOOSE(CONTROL!$C$32, $C$9, 100%, $E$9)</f>
        <v>7.5039999999999996</v>
      </c>
      <c r="M463" s="11">
        <f>7.5093 * CHOOSE(CONTROL!$C$32, $C$9, 100%, $E$9)</f>
        <v>7.5092999999999996</v>
      </c>
      <c r="N463" s="11">
        <f>7.504 * CHOOSE(CONTROL!$C$32, $C$9, 100%, $E$9)</f>
        <v>7.5039999999999996</v>
      </c>
      <c r="O463" s="11">
        <f>7.5093 * CHOOSE(CONTROL!$C$32, $C$9, 100%, $E$9)</f>
        <v>7.5092999999999996</v>
      </c>
    </row>
    <row r="464" spans="1:15" ht="15" x14ac:dyDescent="0.2">
      <c r="A464" s="13">
        <v>54970</v>
      </c>
      <c r="B464" s="9">
        <f>6.6855 * CHOOSE(CONTROL!$C$32, $C$9, 100%, $E$9)</f>
        <v>6.6855000000000002</v>
      </c>
      <c r="C464" s="9">
        <f>6.6855 * CHOOSE(CONTROL!$C$32, $C$9, 100%, $E$9)</f>
        <v>6.6855000000000002</v>
      </c>
      <c r="D464" s="9">
        <f>6.6871 * CHOOSE(CONTROL!$C$32, $C$9, 100%, $E$9)</f>
        <v>6.6871</v>
      </c>
      <c r="E464" s="11">
        <f>7.6081 * CHOOSE(CONTROL!$C$32, $C$9, 100%, $E$9)</f>
        <v>7.6081000000000003</v>
      </c>
      <c r="F464" s="11">
        <f>7.6081 * CHOOSE(CONTROL!$C$32, $C$9, 100%, $E$9)</f>
        <v>7.6081000000000003</v>
      </c>
      <c r="G464" s="11">
        <f>7.6134 * CHOOSE(CONTROL!$C$32, $C$9, 100%, $E$9)</f>
        <v>7.6134000000000004</v>
      </c>
      <c r="H464" s="11">
        <f>14.1456 * CHOOSE(CONTROL!$C$32, $C$9, 100%, $E$9)</f>
        <v>14.1456</v>
      </c>
      <c r="I464" s="11">
        <f>14.1509 * CHOOSE(CONTROL!$C$32, $C$9, 100%, $E$9)</f>
        <v>14.1509</v>
      </c>
      <c r="J464" s="11">
        <f>14.1456 * CHOOSE(CONTROL!$C$32, $C$9, 100%, $E$9)</f>
        <v>14.1456</v>
      </c>
      <c r="K464" s="11">
        <f>14.1509 * CHOOSE(CONTROL!$C$32, $C$9, 100%, $E$9)</f>
        <v>14.1509</v>
      </c>
      <c r="L464" s="11">
        <f>7.6081 * CHOOSE(CONTROL!$C$32, $C$9, 100%, $E$9)</f>
        <v>7.6081000000000003</v>
      </c>
      <c r="M464" s="11">
        <f>7.6134 * CHOOSE(CONTROL!$C$32, $C$9, 100%, $E$9)</f>
        <v>7.6134000000000004</v>
      </c>
      <c r="N464" s="11">
        <f>7.6081 * CHOOSE(CONTROL!$C$32, $C$9, 100%, $E$9)</f>
        <v>7.6081000000000003</v>
      </c>
      <c r="O464" s="11">
        <f>7.6134 * CHOOSE(CONTROL!$C$32, $C$9, 100%, $E$9)</f>
        <v>7.6134000000000004</v>
      </c>
    </row>
    <row r="465" spans="1:15" ht="15" x14ac:dyDescent="0.2">
      <c r="A465" s="13">
        <v>55001</v>
      </c>
      <c r="B465" s="9">
        <f>6.6922 * CHOOSE(CONTROL!$C$32, $C$9, 100%, $E$9)</f>
        <v>6.6921999999999997</v>
      </c>
      <c r="C465" s="9">
        <f>6.6922 * CHOOSE(CONTROL!$C$32, $C$9, 100%, $E$9)</f>
        <v>6.6921999999999997</v>
      </c>
      <c r="D465" s="9">
        <f>6.6937 * CHOOSE(CONTROL!$C$32, $C$9, 100%, $E$9)</f>
        <v>6.6936999999999998</v>
      </c>
      <c r="E465" s="11">
        <f>7.4619 * CHOOSE(CONTROL!$C$32, $C$9, 100%, $E$9)</f>
        <v>7.4619</v>
      </c>
      <c r="F465" s="11">
        <f>7.4619 * CHOOSE(CONTROL!$C$32, $C$9, 100%, $E$9)</f>
        <v>7.4619</v>
      </c>
      <c r="G465" s="11">
        <f>7.4672 * CHOOSE(CONTROL!$C$32, $C$9, 100%, $E$9)</f>
        <v>7.4672000000000001</v>
      </c>
      <c r="H465" s="11">
        <f>14.1751 * CHOOSE(CONTROL!$C$32, $C$9, 100%, $E$9)</f>
        <v>14.1751</v>
      </c>
      <c r="I465" s="11">
        <f>14.1804 * CHOOSE(CONTROL!$C$32, $C$9, 100%, $E$9)</f>
        <v>14.180400000000001</v>
      </c>
      <c r="J465" s="11">
        <f>14.1751 * CHOOSE(CONTROL!$C$32, $C$9, 100%, $E$9)</f>
        <v>14.1751</v>
      </c>
      <c r="K465" s="11">
        <f>14.1804 * CHOOSE(CONTROL!$C$32, $C$9, 100%, $E$9)</f>
        <v>14.180400000000001</v>
      </c>
      <c r="L465" s="11">
        <f>7.4619 * CHOOSE(CONTROL!$C$32, $C$9, 100%, $E$9)</f>
        <v>7.4619</v>
      </c>
      <c r="M465" s="11">
        <f>7.4672 * CHOOSE(CONTROL!$C$32, $C$9, 100%, $E$9)</f>
        <v>7.4672000000000001</v>
      </c>
      <c r="N465" s="11">
        <f>7.4619 * CHOOSE(CONTROL!$C$32, $C$9, 100%, $E$9)</f>
        <v>7.4619</v>
      </c>
      <c r="O465" s="11">
        <f>7.4672 * CHOOSE(CONTROL!$C$32, $C$9, 100%, $E$9)</f>
        <v>7.4672000000000001</v>
      </c>
    </row>
    <row r="466" spans="1:15" ht="15" x14ac:dyDescent="0.2">
      <c r="A466" s="13">
        <v>55032</v>
      </c>
      <c r="B466" s="9">
        <f>6.6891 * CHOOSE(CONTROL!$C$32, $C$9, 100%, $E$9)</f>
        <v>6.6890999999999998</v>
      </c>
      <c r="C466" s="9">
        <f>6.6891 * CHOOSE(CONTROL!$C$32, $C$9, 100%, $E$9)</f>
        <v>6.6890999999999998</v>
      </c>
      <c r="D466" s="9">
        <f>6.6907 * CHOOSE(CONTROL!$C$32, $C$9, 100%, $E$9)</f>
        <v>6.6906999999999996</v>
      </c>
      <c r="E466" s="11">
        <f>7.443 * CHOOSE(CONTROL!$C$32, $C$9, 100%, $E$9)</f>
        <v>7.4429999999999996</v>
      </c>
      <c r="F466" s="11">
        <f>7.443 * CHOOSE(CONTROL!$C$32, $C$9, 100%, $E$9)</f>
        <v>7.4429999999999996</v>
      </c>
      <c r="G466" s="11">
        <f>7.4483 * CHOOSE(CONTROL!$C$32, $C$9, 100%, $E$9)</f>
        <v>7.4482999999999997</v>
      </c>
      <c r="H466" s="11">
        <f>14.2046 * CHOOSE(CONTROL!$C$32, $C$9, 100%, $E$9)</f>
        <v>14.204599999999999</v>
      </c>
      <c r="I466" s="11">
        <f>14.2099 * CHOOSE(CONTROL!$C$32, $C$9, 100%, $E$9)</f>
        <v>14.209899999999999</v>
      </c>
      <c r="J466" s="11">
        <f>14.2046 * CHOOSE(CONTROL!$C$32, $C$9, 100%, $E$9)</f>
        <v>14.204599999999999</v>
      </c>
      <c r="K466" s="11">
        <f>14.2099 * CHOOSE(CONTROL!$C$32, $C$9, 100%, $E$9)</f>
        <v>14.209899999999999</v>
      </c>
      <c r="L466" s="11">
        <f>7.443 * CHOOSE(CONTROL!$C$32, $C$9, 100%, $E$9)</f>
        <v>7.4429999999999996</v>
      </c>
      <c r="M466" s="11">
        <f>7.4483 * CHOOSE(CONTROL!$C$32, $C$9, 100%, $E$9)</f>
        <v>7.4482999999999997</v>
      </c>
      <c r="N466" s="11">
        <f>7.443 * CHOOSE(CONTROL!$C$32, $C$9, 100%, $E$9)</f>
        <v>7.4429999999999996</v>
      </c>
      <c r="O466" s="11">
        <f>7.4483 * CHOOSE(CONTROL!$C$32, $C$9, 100%, $E$9)</f>
        <v>7.4482999999999997</v>
      </c>
    </row>
    <row r="467" spans="1:15" ht="15" x14ac:dyDescent="0.2">
      <c r="A467" s="13">
        <v>55062</v>
      </c>
      <c r="B467" s="9">
        <f>6.6942 * CHOOSE(CONTROL!$C$32, $C$9, 100%, $E$9)</f>
        <v>6.6942000000000004</v>
      </c>
      <c r="C467" s="9">
        <f>6.6942 * CHOOSE(CONTROL!$C$32, $C$9, 100%, $E$9)</f>
        <v>6.6942000000000004</v>
      </c>
      <c r="D467" s="9">
        <f>6.6953 * CHOOSE(CONTROL!$C$32, $C$9, 100%, $E$9)</f>
        <v>6.6952999999999996</v>
      </c>
      <c r="E467" s="11">
        <f>7.4966 * CHOOSE(CONTROL!$C$32, $C$9, 100%, $E$9)</f>
        <v>7.4965999999999999</v>
      </c>
      <c r="F467" s="11">
        <f>7.4966 * CHOOSE(CONTROL!$C$32, $C$9, 100%, $E$9)</f>
        <v>7.4965999999999999</v>
      </c>
      <c r="G467" s="11">
        <f>7.5002 * CHOOSE(CONTROL!$C$32, $C$9, 100%, $E$9)</f>
        <v>7.5002000000000004</v>
      </c>
      <c r="H467" s="11">
        <f>14.2342 * CHOOSE(CONTROL!$C$32, $C$9, 100%, $E$9)</f>
        <v>14.2342</v>
      </c>
      <c r="I467" s="11">
        <f>14.2378 * CHOOSE(CONTROL!$C$32, $C$9, 100%, $E$9)</f>
        <v>14.2378</v>
      </c>
      <c r="J467" s="11">
        <f>14.2342 * CHOOSE(CONTROL!$C$32, $C$9, 100%, $E$9)</f>
        <v>14.2342</v>
      </c>
      <c r="K467" s="11">
        <f>14.2378 * CHOOSE(CONTROL!$C$32, $C$9, 100%, $E$9)</f>
        <v>14.2378</v>
      </c>
      <c r="L467" s="11">
        <f>7.4966 * CHOOSE(CONTROL!$C$32, $C$9, 100%, $E$9)</f>
        <v>7.4965999999999999</v>
      </c>
      <c r="M467" s="11">
        <f>7.5002 * CHOOSE(CONTROL!$C$32, $C$9, 100%, $E$9)</f>
        <v>7.5002000000000004</v>
      </c>
      <c r="N467" s="11">
        <f>7.4966 * CHOOSE(CONTROL!$C$32, $C$9, 100%, $E$9)</f>
        <v>7.4965999999999999</v>
      </c>
      <c r="O467" s="11">
        <f>7.5002 * CHOOSE(CONTROL!$C$32, $C$9, 100%, $E$9)</f>
        <v>7.5002000000000004</v>
      </c>
    </row>
    <row r="468" spans="1:15" ht="15" x14ac:dyDescent="0.2">
      <c r="A468" s="13">
        <v>55093</v>
      </c>
      <c r="B468" s="9">
        <f>6.6972 * CHOOSE(CONTROL!$C$32, $C$9, 100%, $E$9)</f>
        <v>6.6971999999999996</v>
      </c>
      <c r="C468" s="9">
        <f>6.6972 * CHOOSE(CONTROL!$C$32, $C$9, 100%, $E$9)</f>
        <v>6.6971999999999996</v>
      </c>
      <c r="D468" s="9">
        <f>6.6983 * CHOOSE(CONTROL!$C$32, $C$9, 100%, $E$9)</f>
        <v>6.6982999999999997</v>
      </c>
      <c r="E468" s="11">
        <f>7.5323 * CHOOSE(CONTROL!$C$32, $C$9, 100%, $E$9)</f>
        <v>7.5323000000000002</v>
      </c>
      <c r="F468" s="11">
        <f>7.5323 * CHOOSE(CONTROL!$C$32, $C$9, 100%, $E$9)</f>
        <v>7.5323000000000002</v>
      </c>
      <c r="G468" s="11">
        <f>7.5359 * CHOOSE(CONTROL!$C$32, $C$9, 100%, $E$9)</f>
        <v>7.5358999999999998</v>
      </c>
      <c r="H468" s="11">
        <f>14.2639 * CHOOSE(CONTROL!$C$32, $C$9, 100%, $E$9)</f>
        <v>14.2639</v>
      </c>
      <c r="I468" s="11">
        <f>14.2675 * CHOOSE(CONTROL!$C$32, $C$9, 100%, $E$9)</f>
        <v>14.2675</v>
      </c>
      <c r="J468" s="11">
        <f>14.2639 * CHOOSE(CONTROL!$C$32, $C$9, 100%, $E$9)</f>
        <v>14.2639</v>
      </c>
      <c r="K468" s="11">
        <f>14.2675 * CHOOSE(CONTROL!$C$32, $C$9, 100%, $E$9)</f>
        <v>14.2675</v>
      </c>
      <c r="L468" s="11">
        <f>7.5323 * CHOOSE(CONTROL!$C$32, $C$9, 100%, $E$9)</f>
        <v>7.5323000000000002</v>
      </c>
      <c r="M468" s="11">
        <f>7.5359 * CHOOSE(CONTROL!$C$32, $C$9, 100%, $E$9)</f>
        <v>7.5358999999999998</v>
      </c>
      <c r="N468" s="11">
        <f>7.5323 * CHOOSE(CONTROL!$C$32, $C$9, 100%, $E$9)</f>
        <v>7.5323000000000002</v>
      </c>
      <c r="O468" s="11">
        <f>7.5359 * CHOOSE(CONTROL!$C$32, $C$9, 100%, $E$9)</f>
        <v>7.5358999999999998</v>
      </c>
    </row>
    <row r="469" spans="1:15" ht="15" x14ac:dyDescent="0.2">
      <c r="A469" s="13">
        <v>55123</v>
      </c>
      <c r="B469" s="9">
        <f>6.6972 * CHOOSE(CONTROL!$C$32, $C$9, 100%, $E$9)</f>
        <v>6.6971999999999996</v>
      </c>
      <c r="C469" s="9">
        <f>6.6972 * CHOOSE(CONTROL!$C$32, $C$9, 100%, $E$9)</f>
        <v>6.6971999999999996</v>
      </c>
      <c r="D469" s="9">
        <f>6.6983 * CHOOSE(CONTROL!$C$32, $C$9, 100%, $E$9)</f>
        <v>6.6982999999999997</v>
      </c>
      <c r="E469" s="11">
        <f>7.4485 * CHOOSE(CONTROL!$C$32, $C$9, 100%, $E$9)</f>
        <v>7.4485000000000001</v>
      </c>
      <c r="F469" s="11">
        <f>7.4485 * CHOOSE(CONTROL!$C$32, $C$9, 100%, $E$9)</f>
        <v>7.4485000000000001</v>
      </c>
      <c r="G469" s="11">
        <f>7.4521 * CHOOSE(CONTROL!$C$32, $C$9, 100%, $E$9)</f>
        <v>7.4520999999999997</v>
      </c>
      <c r="H469" s="11">
        <f>14.2936 * CHOOSE(CONTROL!$C$32, $C$9, 100%, $E$9)</f>
        <v>14.2936</v>
      </c>
      <c r="I469" s="11">
        <f>14.2972 * CHOOSE(CONTROL!$C$32, $C$9, 100%, $E$9)</f>
        <v>14.2972</v>
      </c>
      <c r="J469" s="11">
        <f>14.2936 * CHOOSE(CONTROL!$C$32, $C$9, 100%, $E$9)</f>
        <v>14.2936</v>
      </c>
      <c r="K469" s="11">
        <f>14.2972 * CHOOSE(CONTROL!$C$32, $C$9, 100%, $E$9)</f>
        <v>14.2972</v>
      </c>
      <c r="L469" s="11">
        <f>7.4485 * CHOOSE(CONTROL!$C$32, $C$9, 100%, $E$9)</f>
        <v>7.4485000000000001</v>
      </c>
      <c r="M469" s="11">
        <f>7.4521 * CHOOSE(CONTROL!$C$32, $C$9, 100%, $E$9)</f>
        <v>7.4520999999999997</v>
      </c>
      <c r="N469" s="11">
        <f>7.4485 * CHOOSE(CONTROL!$C$32, $C$9, 100%, $E$9)</f>
        <v>7.4485000000000001</v>
      </c>
      <c r="O469" s="11">
        <f>7.4521 * CHOOSE(CONTROL!$C$32, $C$9, 100%, $E$9)</f>
        <v>7.4520999999999997</v>
      </c>
    </row>
    <row r="470" spans="1:15" ht="15" x14ac:dyDescent="0.2">
      <c r="A470" s="13">
        <v>55154</v>
      </c>
      <c r="B470" s="9">
        <f>6.7479 * CHOOSE(CONTROL!$C$32, $C$9, 100%, $E$9)</f>
        <v>6.7478999999999996</v>
      </c>
      <c r="C470" s="9">
        <f>6.7479 * CHOOSE(CONTROL!$C$32, $C$9, 100%, $E$9)</f>
        <v>6.7478999999999996</v>
      </c>
      <c r="D470" s="9">
        <f>6.749 * CHOOSE(CONTROL!$C$32, $C$9, 100%, $E$9)</f>
        <v>6.7489999999999997</v>
      </c>
      <c r="E470" s="11">
        <f>7.571 * CHOOSE(CONTROL!$C$32, $C$9, 100%, $E$9)</f>
        <v>7.5709999999999997</v>
      </c>
      <c r="F470" s="11">
        <f>7.571 * CHOOSE(CONTROL!$C$32, $C$9, 100%, $E$9)</f>
        <v>7.5709999999999997</v>
      </c>
      <c r="G470" s="11">
        <f>7.5746 * CHOOSE(CONTROL!$C$32, $C$9, 100%, $E$9)</f>
        <v>7.5746000000000002</v>
      </c>
      <c r="H470" s="11">
        <f>14.3234 * CHOOSE(CONTROL!$C$32, $C$9, 100%, $E$9)</f>
        <v>14.323399999999999</v>
      </c>
      <c r="I470" s="11">
        <f>14.327 * CHOOSE(CONTROL!$C$32, $C$9, 100%, $E$9)</f>
        <v>14.327</v>
      </c>
      <c r="J470" s="11">
        <f>14.3234 * CHOOSE(CONTROL!$C$32, $C$9, 100%, $E$9)</f>
        <v>14.323399999999999</v>
      </c>
      <c r="K470" s="11">
        <f>14.327 * CHOOSE(CONTROL!$C$32, $C$9, 100%, $E$9)</f>
        <v>14.327</v>
      </c>
      <c r="L470" s="11">
        <f>7.571 * CHOOSE(CONTROL!$C$32, $C$9, 100%, $E$9)</f>
        <v>7.5709999999999997</v>
      </c>
      <c r="M470" s="11">
        <f>7.5746 * CHOOSE(CONTROL!$C$32, $C$9, 100%, $E$9)</f>
        <v>7.5746000000000002</v>
      </c>
      <c r="N470" s="11">
        <f>7.571 * CHOOSE(CONTROL!$C$32, $C$9, 100%, $E$9)</f>
        <v>7.5709999999999997</v>
      </c>
      <c r="O470" s="11">
        <f>7.5746 * CHOOSE(CONTROL!$C$32, $C$9, 100%, $E$9)</f>
        <v>7.5746000000000002</v>
      </c>
    </row>
    <row r="471" spans="1:15" ht="15" x14ac:dyDescent="0.2">
      <c r="A471" s="13">
        <v>55185</v>
      </c>
      <c r="B471" s="9">
        <f>6.7449 * CHOOSE(CONTROL!$C$32, $C$9, 100%, $E$9)</f>
        <v>6.7449000000000003</v>
      </c>
      <c r="C471" s="9">
        <f>6.7449 * CHOOSE(CONTROL!$C$32, $C$9, 100%, $E$9)</f>
        <v>6.7449000000000003</v>
      </c>
      <c r="D471" s="9">
        <f>6.746 * CHOOSE(CONTROL!$C$32, $C$9, 100%, $E$9)</f>
        <v>6.7460000000000004</v>
      </c>
      <c r="E471" s="11">
        <f>7.4053 * CHOOSE(CONTROL!$C$32, $C$9, 100%, $E$9)</f>
        <v>7.4053000000000004</v>
      </c>
      <c r="F471" s="11">
        <f>7.4053 * CHOOSE(CONTROL!$C$32, $C$9, 100%, $E$9)</f>
        <v>7.4053000000000004</v>
      </c>
      <c r="G471" s="11">
        <f>7.409 * CHOOSE(CONTROL!$C$32, $C$9, 100%, $E$9)</f>
        <v>7.4089999999999998</v>
      </c>
      <c r="H471" s="11">
        <f>14.3532 * CHOOSE(CONTROL!$C$32, $C$9, 100%, $E$9)</f>
        <v>14.353199999999999</v>
      </c>
      <c r="I471" s="11">
        <f>14.3568 * CHOOSE(CONTROL!$C$32, $C$9, 100%, $E$9)</f>
        <v>14.3568</v>
      </c>
      <c r="J471" s="11">
        <f>14.3532 * CHOOSE(CONTROL!$C$32, $C$9, 100%, $E$9)</f>
        <v>14.353199999999999</v>
      </c>
      <c r="K471" s="11">
        <f>14.3568 * CHOOSE(CONTROL!$C$32, $C$9, 100%, $E$9)</f>
        <v>14.3568</v>
      </c>
      <c r="L471" s="11">
        <f>7.4053 * CHOOSE(CONTROL!$C$32, $C$9, 100%, $E$9)</f>
        <v>7.4053000000000004</v>
      </c>
      <c r="M471" s="11">
        <f>7.409 * CHOOSE(CONTROL!$C$32, $C$9, 100%, $E$9)</f>
        <v>7.4089999999999998</v>
      </c>
      <c r="N471" s="11">
        <f>7.4053 * CHOOSE(CONTROL!$C$32, $C$9, 100%, $E$9)</f>
        <v>7.4053000000000004</v>
      </c>
      <c r="O471" s="11">
        <f>7.409 * CHOOSE(CONTROL!$C$32, $C$9, 100%, $E$9)</f>
        <v>7.4089999999999998</v>
      </c>
    </row>
    <row r="472" spans="1:15" ht="15" x14ac:dyDescent="0.2">
      <c r="A472" s="13">
        <v>55213</v>
      </c>
      <c r="B472" s="9">
        <f>6.7418 * CHOOSE(CONTROL!$C$32, $C$9, 100%, $E$9)</f>
        <v>6.7417999999999996</v>
      </c>
      <c r="C472" s="9">
        <f>6.7418 * CHOOSE(CONTROL!$C$32, $C$9, 100%, $E$9)</f>
        <v>6.7417999999999996</v>
      </c>
      <c r="D472" s="9">
        <f>6.7429 * CHOOSE(CONTROL!$C$32, $C$9, 100%, $E$9)</f>
        <v>6.7428999999999997</v>
      </c>
      <c r="E472" s="11">
        <f>7.5321 * CHOOSE(CONTROL!$C$32, $C$9, 100%, $E$9)</f>
        <v>7.5320999999999998</v>
      </c>
      <c r="F472" s="11">
        <f>7.5321 * CHOOSE(CONTROL!$C$32, $C$9, 100%, $E$9)</f>
        <v>7.5320999999999998</v>
      </c>
      <c r="G472" s="11">
        <f>7.5357 * CHOOSE(CONTROL!$C$32, $C$9, 100%, $E$9)</f>
        <v>7.5357000000000003</v>
      </c>
      <c r="H472" s="11">
        <f>14.3831 * CHOOSE(CONTROL!$C$32, $C$9, 100%, $E$9)</f>
        <v>14.383100000000001</v>
      </c>
      <c r="I472" s="11">
        <f>14.3867 * CHOOSE(CONTROL!$C$32, $C$9, 100%, $E$9)</f>
        <v>14.386699999999999</v>
      </c>
      <c r="J472" s="11">
        <f>14.3831 * CHOOSE(CONTROL!$C$32, $C$9, 100%, $E$9)</f>
        <v>14.383100000000001</v>
      </c>
      <c r="K472" s="11">
        <f>14.3867 * CHOOSE(CONTROL!$C$32, $C$9, 100%, $E$9)</f>
        <v>14.386699999999999</v>
      </c>
      <c r="L472" s="11">
        <f>7.5321 * CHOOSE(CONTROL!$C$32, $C$9, 100%, $E$9)</f>
        <v>7.5320999999999998</v>
      </c>
      <c r="M472" s="11">
        <f>7.5357 * CHOOSE(CONTROL!$C$32, $C$9, 100%, $E$9)</f>
        <v>7.5357000000000003</v>
      </c>
      <c r="N472" s="11">
        <f>7.5321 * CHOOSE(CONTROL!$C$32, $C$9, 100%, $E$9)</f>
        <v>7.5320999999999998</v>
      </c>
      <c r="O472" s="11">
        <f>7.5357 * CHOOSE(CONTROL!$C$32, $C$9, 100%, $E$9)</f>
        <v>7.5357000000000003</v>
      </c>
    </row>
    <row r="473" spans="1:15" ht="15" x14ac:dyDescent="0.2">
      <c r="A473" s="13">
        <v>55244</v>
      </c>
      <c r="B473" s="9">
        <f>6.7421 * CHOOSE(CONTROL!$C$32, $C$9, 100%, $E$9)</f>
        <v>6.7420999999999998</v>
      </c>
      <c r="C473" s="9">
        <f>6.7421 * CHOOSE(CONTROL!$C$32, $C$9, 100%, $E$9)</f>
        <v>6.7420999999999998</v>
      </c>
      <c r="D473" s="9">
        <f>6.7432 * CHOOSE(CONTROL!$C$32, $C$9, 100%, $E$9)</f>
        <v>6.7431999999999999</v>
      </c>
      <c r="E473" s="11">
        <f>7.6663 * CHOOSE(CONTROL!$C$32, $C$9, 100%, $E$9)</f>
        <v>7.6662999999999997</v>
      </c>
      <c r="F473" s="11">
        <f>7.6663 * CHOOSE(CONTROL!$C$32, $C$9, 100%, $E$9)</f>
        <v>7.6662999999999997</v>
      </c>
      <c r="G473" s="11">
        <f>7.6699 * CHOOSE(CONTROL!$C$32, $C$9, 100%, $E$9)</f>
        <v>7.6699000000000002</v>
      </c>
      <c r="H473" s="11">
        <f>14.4131 * CHOOSE(CONTROL!$C$32, $C$9, 100%, $E$9)</f>
        <v>14.4131</v>
      </c>
      <c r="I473" s="11">
        <f>14.4167 * CHOOSE(CONTROL!$C$32, $C$9, 100%, $E$9)</f>
        <v>14.416700000000001</v>
      </c>
      <c r="J473" s="11">
        <f>14.4131 * CHOOSE(CONTROL!$C$32, $C$9, 100%, $E$9)</f>
        <v>14.4131</v>
      </c>
      <c r="K473" s="11">
        <f>14.4167 * CHOOSE(CONTROL!$C$32, $C$9, 100%, $E$9)</f>
        <v>14.416700000000001</v>
      </c>
      <c r="L473" s="11">
        <f>7.6663 * CHOOSE(CONTROL!$C$32, $C$9, 100%, $E$9)</f>
        <v>7.6662999999999997</v>
      </c>
      <c r="M473" s="11">
        <f>7.6699 * CHOOSE(CONTROL!$C$32, $C$9, 100%, $E$9)</f>
        <v>7.6699000000000002</v>
      </c>
      <c r="N473" s="11">
        <f>7.6663 * CHOOSE(CONTROL!$C$32, $C$9, 100%, $E$9)</f>
        <v>7.6662999999999997</v>
      </c>
      <c r="O473" s="11">
        <f>7.6699 * CHOOSE(CONTROL!$C$32, $C$9, 100%, $E$9)</f>
        <v>7.6699000000000002</v>
      </c>
    </row>
    <row r="474" spans="1:15" ht="15" x14ac:dyDescent="0.2">
      <c r="A474" s="13">
        <v>55274</v>
      </c>
      <c r="B474" s="9">
        <f>6.7421 * CHOOSE(CONTROL!$C$32, $C$9, 100%, $E$9)</f>
        <v>6.7420999999999998</v>
      </c>
      <c r="C474" s="9">
        <f>6.7421 * CHOOSE(CONTROL!$C$32, $C$9, 100%, $E$9)</f>
        <v>6.7420999999999998</v>
      </c>
      <c r="D474" s="9">
        <f>6.7437 * CHOOSE(CONTROL!$C$32, $C$9, 100%, $E$9)</f>
        <v>6.7436999999999996</v>
      </c>
      <c r="E474" s="11">
        <f>7.7182 * CHOOSE(CONTROL!$C$32, $C$9, 100%, $E$9)</f>
        <v>7.7182000000000004</v>
      </c>
      <c r="F474" s="11">
        <f>7.7182 * CHOOSE(CONTROL!$C$32, $C$9, 100%, $E$9)</f>
        <v>7.7182000000000004</v>
      </c>
      <c r="G474" s="11">
        <f>7.7235 * CHOOSE(CONTROL!$C$32, $C$9, 100%, $E$9)</f>
        <v>7.7234999999999996</v>
      </c>
      <c r="H474" s="11">
        <f>14.4431 * CHOOSE(CONTROL!$C$32, $C$9, 100%, $E$9)</f>
        <v>14.443099999999999</v>
      </c>
      <c r="I474" s="11">
        <f>14.4484 * CHOOSE(CONTROL!$C$32, $C$9, 100%, $E$9)</f>
        <v>14.448399999999999</v>
      </c>
      <c r="J474" s="11">
        <f>14.4431 * CHOOSE(CONTROL!$C$32, $C$9, 100%, $E$9)</f>
        <v>14.443099999999999</v>
      </c>
      <c r="K474" s="11">
        <f>14.4484 * CHOOSE(CONTROL!$C$32, $C$9, 100%, $E$9)</f>
        <v>14.448399999999999</v>
      </c>
      <c r="L474" s="11">
        <f>7.7182 * CHOOSE(CONTROL!$C$32, $C$9, 100%, $E$9)</f>
        <v>7.7182000000000004</v>
      </c>
      <c r="M474" s="11">
        <f>7.7235 * CHOOSE(CONTROL!$C$32, $C$9, 100%, $E$9)</f>
        <v>7.7234999999999996</v>
      </c>
      <c r="N474" s="11">
        <f>7.7182 * CHOOSE(CONTROL!$C$32, $C$9, 100%, $E$9)</f>
        <v>7.7182000000000004</v>
      </c>
      <c r="O474" s="11">
        <f>7.7235 * CHOOSE(CONTROL!$C$32, $C$9, 100%, $E$9)</f>
        <v>7.7234999999999996</v>
      </c>
    </row>
    <row r="475" spans="1:15" ht="15" x14ac:dyDescent="0.2">
      <c r="A475" s="13">
        <v>55305</v>
      </c>
      <c r="B475" s="9">
        <f>6.7482 * CHOOSE(CONTROL!$C$32, $C$9, 100%, $E$9)</f>
        <v>6.7481999999999998</v>
      </c>
      <c r="C475" s="9">
        <f>6.7482 * CHOOSE(CONTROL!$C$32, $C$9, 100%, $E$9)</f>
        <v>6.7481999999999998</v>
      </c>
      <c r="D475" s="9">
        <f>6.7498 * CHOOSE(CONTROL!$C$32, $C$9, 100%, $E$9)</f>
        <v>6.7497999999999996</v>
      </c>
      <c r="E475" s="11">
        <f>7.6706 * CHOOSE(CONTROL!$C$32, $C$9, 100%, $E$9)</f>
        <v>7.6706000000000003</v>
      </c>
      <c r="F475" s="11">
        <f>7.6706 * CHOOSE(CONTROL!$C$32, $C$9, 100%, $E$9)</f>
        <v>7.6706000000000003</v>
      </c>
      <c r="G475" s="11">
        <f>7.6759 * CHOOSE(CONTROL!$C$32, $C$9, 100%, $E$9)</f>
        <v>7.6759000000000004</v>
      </c>
      <c r="H475" s="11">
        <f>14.4732 * CHOOSE(CONTROL!$C$32, $C$9, 100%, $E$9)</f>
        <v>14.4732</v>
      </c>
      <c r="I475" s="11">
        <f>14.4785 * CHOOSE(CONTROL!$C$32, $C$9, 100%, $E$9)</f>
        <v>14.4785</v>
      </c>
      <c r="J475" s="11">
        <f>14.4732 * CHOOSE(CONTROL!$C$32, $C$9, 100%, $E$9)</f>
        <v>14.4732</v>
      </c>
      <c r="K475" s="11">
        <f>14.4785 * CHOOSE(CONTROL!$C$32, $C$9, 100%, $E$9)</f>
        <v>14.4785</v>
      </c>
      <c r="L475" s="11">
        <f>7.6706 * CHOOSE(CONTROL!$C$32, $C$9, 100%, $E$9)</f>
        <v>7.6706000000000003</v>
      </c>
      <c r="M475" s="11">
        <f>7.6759 * CHOOSE(CONTROL!$C$32, $C$9, 100%, $E$9)</f>
        <v>7.6759000000000004</v>
      </c>
      <c r="N475" s="11">
        <f>7.6706 * CHOOSE(CONTROL!$C$32, $C$9, 100%, $E$9)</f>
        <v>7.6706000000000003</v>
      </c>
      <c r="O475" s="11">
        <f>7.6759 * CHOOSE(CONTROL!$C$32, $C$9, 100%, $E$9)</f>
        <v>7.6759000000000004</v>
      </c>
    </row>
    <row r="476" spans="1:15" ht="15" x14ac:dyDescent="0.2">
      <c r="A476" s="13">
        <v>55335</v>
      </c>
      <c r="B476" s="9">
        <f>6.8369 * CHOOSE(CONTROL!$C$32, $C$9, 100%, $E$9)</f>
        <v>6.8369</v>
      </c>
      <c r="C476" s="9">
        <f>6.8369 * CHOOSE(CONTROL!$C$32, $C$9, 100%, $E$9)</f>
        <v>6.8369</v>
      </c>
      <c r="D476" s="9">
        <f>6.8385 * CHOOSE(CONTROL!$C$32, $C$9, 100%, $E$9)</f>
        <v>6.8384999999999998</v>
      </c>
      <c r="E476" s="11">
        <f>7.7751 * CHOOSE(CONTROL!$C$32, $C$9, 100%, $E$9)</f>
        <v>7.7751000000000001</v>
      </c>
      <c r="F476" s="11">
        <f>7.7751 * CHOOSE(CONTROL!$C$32, $C$9, 100%, $E$9)</f>
        <v>7.7751000000000001</v>
      </c>
      <c r="G476" s="11">
        <f>7.7804 * CHOOSE(CONTROL!$C$32, $C$9, 100%, $E$9)</f>
        <v>7.7804000000000002</v>
      </c>
      <c r="H476" s="11">
        <f>14.5033 * CHOOSE(CONTROL!$C$32, $C$9, 100%, $E$9)</f>
        <v>14.503299999999999</v>
      </c>
      <c r="I476" s="11">
        <f>14.5086 * CHOOSE(CONTROL!$C$32, $C$9, 100%, $E$9)</f>
        <v>14.508599999999999</v>
      </c>
      <c r="J476" s="11">
        <f>14.5033 * CHOOSE(CONTROL!$C$32, $C$9, 100%, $E$9)</f>
        <v>14.503299999999999</v>
      </c>
      <c r="K476" s="11">
        <f>14.5086 * CHOOSE(CONTROL!$C$32, $C$9, 100%, $E$9)</f>
        <v>14.508599999999999</v>
      </c>
      <c r="L476" s="11">
        <f>7.7751 * CHOOSE(CONTROL!$C$32, $C$9, 100%, $E$9)</f>
        <v>7.7751000000000001</v>
      </c>
      <c r="M476" s="11">
        <f>7.7804 * CHOOSE(CONTROL!$C$32, $C$9, 100%, $E$9)</f>
        <v>7.7804000000000002</v>
      </c>
      <c r="N476" s="11">
        <f>7.7751 * CHOOSE(CONTROL!$C$32, $C$9, 100%, $E$9)</f>
        <v>7.7751000000000001</v>
      </c>
      <c r="O476" s="11">
        <f>7.7804 * CHOOSE(CONTROL!$C$32, $C$9, 100%, $E$9)</f>
        <v>7.7804000000000002</v>
      </c>
    </row>
    <row r="477" spans="1:15" ht="15" x14ac:dyDescent="0.2">
      <c r="A477" s="13">
        <v>55366</v>
      </c>
      <c r="B477" s="9">
        <f>6.8436 * CHOOSE(CONTROL!$C$32, $C$9, 100%, $E$9)</f>
        <v>6.8436000000000003</v>
      </c>
      <c r="C477" s="9">
        <f>6.8436 * CHOOSE(CONTROL!$C$32, $C$9, 100%, $E$9)</f>
        <v>6.8436000000000003</v>
      </c>
      <c r="D477" s="9">
        <f>6.8452 * CHOOSE(CONTROL!$C$32, $C$9, 100%, $E$9)</f>
        <v>6.8452000000000002</v>
      </c>
      <c r="E477" s="11">
        <f>7.6241 * CHOOSE(CONTROL!$C$32, $C$9, 100%, $E$9)</f>
        <v>7.6241000000000003</v>
      </c>
      <c r="F477" s="11">
        <f>7.6241 * CHOOSE(CONTROL!$C$32, $C$9, 100%, $E$9)</f>
        <v>7.6241000000000003</v>
      </c>
      <c r="G477" s="11">
        <f>7.6294 * CHOOSE(CONTROL!$C$32, $C$9, 100%, $E$9)</f>
        <v>7.6294000000000004</v>
      </c>
      <c r="H477" s="11">
        <f>14.5336 * CHOOSE(CONTROL!$C$32, $C$9, 100%, $E$9)</f>
        <v>14.5336</v>
      </c>
      <c r="I477" s="11">
        <f>14.5388 * CHOOSE(CONTROL!$C$32, $C$9, 100%, $E$9)</f>
        <v>14.5388</v>
      </c>
      <c r="J477" s="11">
        <f>14.5336 * CHOOSE(CONTROL!$C$32, $C$9, 100%, $E$9)</f>
        <v>14.5336</v>
      </c>
      <c r="K477" s="11">
        <f>14.5388 * CHOOSE(CONTROL!$C$32, $C$9, 100%, $E$9)</f>
        <v>14.5388</v>
      </c>
      <c r="L477" s="11">
        <f>7.6241 * CHOOSE(CONTROL!$C$32, $C$9, 100%, $E$9)</f>
        <v>7.6241000000000003</v>
      </c>
      <c r="M477" s="11">
        <f>7.6294 * CHOOSE(CONTROL!$C$32, $C$9, 100%, $E$9)</f>
        <v>7.6294000000000004</v>
      </c>
      <c r="N477" s="11">
        <f>7.6241 * CHOOSE(CONTROL!$C$32, $C$9, 100%, $E$9)</f>
        <v>7.6241000000000003</v>
      </c>
      <c r="O477" s="11">
        <f>7.6294 * CHOOSE(CONTROL!$C$32, $C$9, 100%, $E$9)</f>
        <v>7.6294000000000004</v>
      </c>
    </row>
    <row r="478" spans="1:15" ht="15" x14ac:dyDescent="0.2">
      <c r="A478" s="13">
        <v>55397</v>
      </c>
      <c r="B478" s="9">
        <f>6.8406 * CHOOSE(CONTROL!$C$32, $C$9, 100%, $E$9)</f>
        <v>6.8406000000000002</v>
      </c>
      <c r="C478" s="9">
        <f>6.8406 * CHOOSE(CONTROL!$C$32, $C$9, 100%, $E$9)</f>
        <v>6.8406000000000002</v>
      </c>
      <c r="D478" s="9">
        <f>6.8422 * CHOOSE(CONTROL!$C$32, $C$9, 100%, $E$9)</f>
        <v>6.8422000000000001</v>
      </c>
      <c r="E478" s="11">
        <f>7.6046 * CHOOSE(CONTROL!$C$32, $C$9, 100%, $E$9)</f>
        <v>7.6045999999999996</v>
      </c>
      <c r="F478" s="11">
        <f>7.6046 * CHOOSE(CONTROL!$C$32, $C$9, 100%, $E$9)</f>
        <v>7.6045999999999996</v>
      </c>
      <c r="G478" s="11">
        <f>7.6099 * CHOOSE(CONTROL!$C$32, $C$9, 100%, $E$9)</f>
        <v>7.6098999999999997</v>
      </c>
      <c r="H478" s="11">
        <f>14.5638 * CHOOSE(CONTROL!$C$32, $C$9, 100%, $E$9)</f>
        <v>14.563800000000001</v>
      </c>
      <c r="I478" s="11">
        <f>14.5691 * CHOOSE(CONTROL!$C$32, $C$9, 100%, $E$9)</f>
        <v>14.569100000000001</v>
      </c>
      <c r="J478" s="11">
        <f>14.5638 * CHOOSE(CONTROL!$C$32, $C$9, 100%, $E$9)</f>
        <v>14.563800000000001</v>
      </c>
      <c r="K478" s="11">
        <f>14.5691 * CHOOSE(CONTROL!$C$32, $C$9, 100%, $E$9)</f>
        <v>14.569100000000001</v>
      </c>
      <c r="L478" s="11">
        <f>7.6046 * CHOOSE(CONTROL!$C$32, $C$9, 100%, $E$9)</f>
        <v>7.6045999999999996</v>
      </c>
      <c r="M478" s="11">
        <f>7.6099 * CHOOSE(CONTROL!$C$32, $C$9, 100%, $E$9)</f>
        <v>7.6098999999999997</v>
      </c>
      <c r="N478" s="11">
        <f>7.6046 * CHOOSE(CONTROL!$C$32, $C$9, 100%, $E$9)</f>
        <v>7.6045999999999996</v>
      </c>
      <c r="O478" s="11">
        <f>7.6099 * CHOOSE(CONTROL!$C$32, $C$9, 100%, $E$9)</f>
        <v>7.6098999999999997</v>
      </c>
    </row>
    <row r="479" spans="1:15" ht="15" x14ac:dyDescent="0.2">
      <c r="A479" s="13">
        <v>55427</v>
      </c>
      <c r="B479" s="9">
        <f>6.8462 * CHOOSE(CONTROL!$C$32, $C$9, 100%, $E$9)</f>
        <v>6.8461999999999996</v>
      </c>
      <c r="C479" s="9">
        <f>6.8462 * CHOOSE(CONTROL!$C$32, $C$9, 100%, $E$9)</f>
        <v>6.8461999999999996</v>
      </c>
      <c r="D479" s="9">
        <f>6.8473 * CHOOSE(CONTROL!$C$32, $C$9, 100%, $E$9)</f>
        <v>6.8472999999999997</v>
      </c>
      <c r="E479" s="11">
        <f>7.6604 * CHOOSE(CONTROL!$C$32, $C$9, 100%, $E$9)</f>
        <v>7.6604000000000001</v>
      </c>
      <c r="F479" s="11">
        <f>7.6604 * CHOOSE(CONTROL!$C$32, $C$9, 100%, $E$9)</f>
        <v>7.6604000000000001</v>
      </c>
      <c r="G479" s="11">
        <f>7.6641 * CHOOSE(CONTROL!$C$32, $C$9, 100%, $E$9)</f>
        <v>7.6641000000000004</v>
      </c>
      <c r="H479" s="11">
        <f>14.5942 * CHOOSE(CONTROL!$C$32, $C$9, 100%, $E$9)</f>
        <v>14.594200000000001</v>
      </c>
      <c r="I479" s="11">
        <f>14.5978 * CHOOSE(CONTROL!$C$32, $C$9, 100%, $E$9)</f>
        <v>14.597799999999999</v>
      </c>
      <c r="J479" s="11">
        <f>14.5942 * CHOOSE(CONTROL!$C$32, $C$9, 100%, $E$9)</f>
        <v>14.594200000000001</v>
      </c>
      <c r="K479" s="11">
        <f>14.5978 * CHOOSE(CONTROL!$C$32, $C$9, 100%, $E$9)</f>
        <v>14.597799999999999</v>
      </c>
      <c r="L479" s="11">
        <f>7.6604 * CHOOSE(CONTROL!$C$32, $C$9, 100%, $E$9)</f>
        <v>7.6604000000000001</v>
      </c>
      <c r="M479" s="11">
        <f>7.6641 * CHOOSE(CONTROL!$C$32, $C$9, 100%, $E$9)</f>
        <v>7.6641000000000004</v>
      </c>
      <c r="N479" s="11">
        <f>7.6604 * CHOOSE(CONTROL!$C$32, $C$9, 100%, $E$9)</f>
        <v>7.6604000000000001</v>
      </c>
      <c r="O479" s="11">
        <f>7.6641 * CHOOSE(CONTROL!$C$32, $C$9, 100%, $E$9)</f>
        <v>7.6641000000000004</v>
      </c>
    </row>
    <row r="480" spans="1:15" ht="15" x14ac:dyDescent="0.2">
      <c r="A480" s="13">
        <v>55458</v>
      </c>
      <c r="B480" s="9">
        <f>6.8492 * CHOOSE(CONTROL!$C$32, $C$9, 100%, $E$9)</f>
        <v>6.8491999999999997</v>
      </c>
      <c r="C480" s="9">
        <f>6.8492 * CHOOSE(CONTROL!$C$32, $C$9, 100%, $E$9)</f>
        <v>6.8491999999999997</v>
      </c>
      <c r="D480" s="9">
        <f>6.8503 * CHOOSE(CONTROL!$C$32, $C$9, 100%, $E$9)</f>
        <v>6.8502999999999998</v>
      </c>
      <c r="E480" s="11">
        <f>7.6972 * CHOOSE(CONTROL!$C$32, $C$9, 100%, $E$9)</f>
        <v>7.6971999999999996</v>
      </c>
      <c r="F480" s="11">
        <f>7.6972 * CHOOSE(CONTROL!$C$32, $C$9, 100%, $E$9)</f>
        <v>7.6971999999999996</v>
      </c>
      <c r="G480" s="11">
        <f>7.7008 * CHOOSE(CONTROL!$C$32, $C$9, 100%, $E$9)</f>
        <v>7.7008000000000001</v>
      </c>
      <c r="H480" s="11">
        <f>14.6246 * CHOOSE(CONTROL!$C$32, $C$9, 100%, $E$9)</f>
        <v>14.624599999999999</v>
      </c>
      <c r="I480" s="11">
        <f>14.6282 * CHOOSE(CONTROL!$C$32, $C$9, 100%, $E$9)</f>
        <v>14.6282</v>
      </c>
      <c r="J480" s="11">
        <f>14.6246 * CHOOSE(CONTROL!$C$32, $C$9, 100%, $E$9)</f>
        <v>14.624599999999999</v>
      </c>
      <c r="K480" s="11">
        <f>14.6282 * CHOOSE(CONTROL!$C$32, $C$9, 100%, $E$9)</f>
        <v>14.6282</v>
      </c>
      <c r="L480" s="11">
        <f>7.6972 * CHOOSE(CONTROL!$C$32, $C$9, 100%, $E$9)</f>
        <v>7.6971999999999996</v>
      </c>
      <c r="M480" s="11">
        <f>7.7008 * CHOOSE(CONTROL!$C$32, $C$9, 100%, $E$9)</f>
        <v>7.7008000000000001</v>
      </c>
      <c r="N480" s="11">
        <f>7.6972 * CHOOSE(CONTROL!$C$32, $C$9, 100%, $E$9)</f>
        <v>7.6971999999999996</v>
      </c>
      <c r="O480" s="11">
        <f>7.7008 * CHOOSE(CONTROL!$C$32, $C$9, 100%, $E$9)</f>
        <v>7.7008000000000001</v>
      </c>
    </row>
    <row r="481" spans="1:15" ht="15" x14ac:dyDescent="0.2">
      <c r="A481" s="13">
        <v>55488</v>
      </c>
      <c r="B481" s="9">
        <f>6.8492 * CHOOSE(CONTROL!$C$32, $C$9, 100%, $E$9)</f>
        <v>6.8491999999999997</v>
      </c>
      <c r="C481" s="9">
        <f>6.8492 * CHOOSE(CONTROL!$C$32, $C$9, 100%, $E$9)</f>
        <v>6.8491999999999997</v>
      </c>
      <c r="D481" s="9">
        <f>6.8503 * CHOOSE(CONTROL!$C$32, $C$9, 100%, $E$9)</f>
        <v>6.8502999999999998</v>
      </c>
      <c r="E481" s="11">
        <f>7.6106 * CHOOSE(CONTROL!$C$32, $C$9, 100%, $E$9)</f>
        <v>7.6105999999999998</v>
      </c>
      <c r="F481" s="11">
        <f>7.6106 * CHOOSE(CONTROL!$C$32, $C$9, 100%, $E$9)</f>
        <v>7.6105999999999998</v>
      </c>
      <c r="G481" s="11">
        <f>7.6143 * CHOOSE(CONTROL!$C$32, $C$9, 100%, $E$9)</f>
        <v>7.6143000000000001</v>
      </c>
      <c r="H481" s="11">
        <f>14.655 * CHOOSE(CONTROL!$C$32, $C$9, 100%, $E$9)</f>
        <v>14.654999999999999</v>
      </c>
      <c r="I481" s="11">
        <f>14.6587 * CHOOSE(CONTROL!$C$32, $C$9, 100%, $E$9)</f>
        <v>14.6587</v>
      </c>
      <c r="J481" s="11">
        <f>14.655 * CHOOSE(CONTROL!$C$32, $C$9, 100%, $E$9)</f>
        <v>14.654999999999999</v>
      </c>
      <c r="K481" s="11">
        <f>14.6587 * CHOOSE(CONTROL!$C$32, $C$9, 100%, $E$9)</f>
        <v>14.6587</v>
      </c>
      <c r="L481" s="11">
        <f>7.6106 * CHOOSE(CONTROL!$C$32, $C$9, 100%, $E$9)</f>
        <v>7.6105999999999998</v>
      </c>
      <c r="M481" s="11">
        <f>7.6143 * CHOOSE(CONTROL!$C$32, $C$9, 100%, $E$9)</f>
        <v>7.6143000000000001</v>
      </c>
      <c r="N481" s="11">
        <f>7.6106 * CHOOSE(CONTROL!$C$32, $C$9, 100%, $E$9)</f>
        <v>7.6105999999999998</v>
      </c>
      <c r="O481" s="11">
        <f>7.6143 * CHOOSE(CONTROL!$C$32, $C$9, 100%, $E$9)</f>
        <v>7.6143000000000001</v>
      </c>
    </row>
    <row r="482" spans="1:15" ht="15" x14ac:dyDescent="0.2">
      <c r="A482" s="13">
        <v>55519</v>
      </c>
      <c r="B482" s="9">
        <f>6.901 * CHOOSE(CONTROL!$C$32, $C$9, 100%, $E$9)</f>
        <v>6.9009999999999998</v>
      </c>
      <c r="C482" s="9">
        <f>6.901 * CHOOSE(CONTROL!$C$32, $C$9, 100%, $E$9)</f>
        <v>6.9009999999999998</v>
      </c>
      <c r="D482" s="9">
        <f>6.9021 * CHOOSE(CONTROL!$C$32, $C$9, 100%, $E$9)</f>
        <v>6.9020999999999999</v>
      </c>
      <c r="E482" s="11">
        <f>7.7372 * CHOOSE(CONTROL!$C$32, $C$9, 100%, $E$9)</f>
        <v>7.7371999999999996</v>
      </c>
      <c r="F482" s="11">
        <f>7.7372 * CHOOSE(CONTROL!$C$32, $C$9, 100%, $E$9)</f>
        <v>7.7371999999999996</v>
      </c>
      <c r="G482" s="11">
        <f>7.7408 * CHOOSE(CONTROL!$C$32, $C$9, 100%, $E$9)</f>
        <v>7.7408000000000001</v>
      </c>
      <c r="H482" s="11">
        <f>14.6856 * CHOOSE(CONTROL!$C$32, $C$9, 100%, $E$9)</f>
        <v>14.685600000000001</v>
      </c>
      <c r="I482" s="11">
        <f>14.6892 * CHOOSE(CONTROL!$C$32, $C$9, 100%, $E$9)</f>
        <v>14.6892</v>
      </c>
      <c r="J482" s="11">
        <f>14.6856 * CHOOSE(CONTROL!$C$32, $C$9, 100%, $E$9)</f>
        <v>14.685600000000001</v>
      </c>
      <c r="K482" s="11">
        <f>14.6892 * CHOOSE(CONTROL!$C$32, $C$9, 100%, $E$9)</f>
        <v>14.6892</v>
      </c>
      <c r="L482" s="11">
        <f>7.7372 * CHOOSE(CONTROL!$C$32, $C$9, 100%, $E$9)</f>
        <v>7.7371999999999996</v>
      </c>
      <c r="M482" s="11">
        <f>7.7408 * CHOOSE(CONTROL!$C$32, $C$9, 100%, $E$9)</f>
        <v>7.7408000000000001</v>
      </c>
      <c r="N482" s="11">
        <f>7.7372 * CHOOSE(CONTROL!$C$32, $C$9, 100%, $E$9)</f>
        <v>7.7371999999999996</v>
      </c>
      <c r="O482" s="11">
        <f>7.7408 * CHOOSE(CONTROL!$C$32, $C$9, 100%, $E$9)</f>
        <v>7.7408000000000001</v>
      </c>
    </row>
    <row r="483" spans="1:15" ht="15" x14ac:dyDescent="0.2">
      <c r="A483" s="13">
        <v>55550</v>
      </c>
      <c r="B483" s="9">
        <f>6.8979 * CHOOSE(CONTROL!$C$32, $C$9, 100%, $E$9)</f>
        <v>6.8978999999999999</v>
      </c>
      <c r="C483" s="9">
        <f>6.8979 * CHOOSE(CONTROL!$C$32, $C$9, 100%, $E$9)</f>
        <v>6.8978999999999999</v>
      </c>
      <c r="D483" s="9">
        <f>6.899 * CHOOSE(CONTROL!$C$32, $C$9, 100%, $E$9)</f>
        <v>6.899</v>
      </c>
      <c r="E483" s="11">
        <f>7.5663 * CHOOSE(CONTROL!$C$32, $C$9, 100%, $E$9)</f>
        <v>7.5663</v>
      </c>
      <c r="F483" s="11">
        <f>7.5663 * CHOOSE(CONTROL!$C$32, $C$9, 100%, $E$9)</f>
        <v>7.5663</v>
      </c>
      <c r="G483" s="11">
        <f>7.5699 * CHOOSE(CONTROL!$C$32, $C$9, 100%, $E$9)</f>
        <v>7.5698999999999996</v>
      </c>
      <c r="H483" s="11">
        <f>14.7162 * CHOOSE(CONTROL!$C$32, $C$9, 100%, $E$9)</f>
        <v>14.716200000000001</v>
      </c>
      <c r="I483" s="11">
        <f>14.7198 * CHOOSE(CONTROL!$C$32, $C$9, 100%, $E$9)</f>
        <v>14.719799999999999</v>
      </c>
      <c r="J483" s="11">
        <f>14.7162 * CHOOSE(CONTROL!$C$32, $C$9, 100%, $E$9)</f>
        <v>14.716200000000001</v>
      </c>
      <c r="K483" s="11">
        <f>14.7198 * CHOOSE(CONTROL!$C$32, $C$9, 100%, $E$9)</f>
        <v>14.719799999999999</v>
      </c>
      <c r="L483" s="11">
        <f>7.5663 * CHOOSE(CONTROL!$C$32, $C$9, 100%, $E$9)</f>
        <v>7.5663</v>
      </c>
      <c r="M483" s="11">
        <f>7.5699 * CHOOSE(CONTROL!$C$32, $C$9, 100%, $E$9)</f>
        <v>7.5698999999999996</v>
      </c>
      <c r="N483" s="11">
        <f>7.5663 * CHOOSE(CONTROL!$C$32, $C$9, 100%, $E$9)</f>
        <v>7.5663</v>
      </c>
      <c r="O483" s="11">
        <f>7.5699 * CHOOSE(CONTROL!$C$32, $C$9, 100%, $E$9)</f>
        <v>7.5698999999999996</v>
      </c>
    </row>
    <row r="484" spans="1:15" ht="15" x14ac:dyDescent="0.2">
      <c r="A484" s="13">
        <v>55579</v>
      </c>
      <c r="B484" s="9">
        <f>6.8949 * CHOOSE(CONTROL!$C$32, $C$9, 100%, $E$9)</f>
        <v>6.8948999999999998</v>
      </c>
      <c r="C484" s="9">
        <f>6.8949 * CHOOSE(CONTROL!$C$32, $C$9, 100%, $E$9)</f>
        <v>6.8948999999999998</v>
      </c>
      <c r="D484" s="9">
        <f>6.896 * CHOOSE(CONTROL!$C$32, $C$9, 100%, $E$9)</f>
        <v>6.8959999999999999</v>
      </c>
      <c r="E484" s="11">
        <f>7.6972 * CHOOSE(CONTROL!$C$32, $C$9, 100%, $E$9)</f>
        <v>7.6971999999999996</v>
      </c>
      <c r="F484" s="11">
        <f>7.6972 * CHOOSE(CONTROL!$C$32, $C$9, 100%, $E$9)</f>
        <v>7.6971999999999996</v>
      </c>
      <c r="G484" s="11">
        <f>7.7008 * CHOOSE(CONTROL!$C$32, $C$9, 100%, $E$9)</f>
        <v>7.7008000000000001</v>
      </c>
      <c r="H484" s="11">
        <f>14.7468 * CHOOSE(CONTROL!$C$32, $C$9, 100%, $E$9)</f>
        <v>14.7468</v>
      </c>
      <c r="I484" s="11">
        <f>14.7504 * CHOOSE(CONTROL!$C$32, $C$9, 100%, $E$9)</f>
        <v>14.750400000000001</v>
      </c>
      <c r="J484" s="11">
        <f>14.7468 * CHOOSE(CONTROL!$C$32, $C$9, 100%, $E$9)</f>
        <v>14.7468</v>
      </c>
      <c r="K484" s="11">
        <f>14.7504 * CHOOSE(CONTROL!$C$32, $C$9, 100%, $E$9)</f>
        <v>14.750400000000001</v>
      </c>
      <c r="L484" s="11">
        <f>7.6972 * CHOOSE(CONTROL!$C$32, $C$9, 100%, $E$9)</f>
        <v>7.6971999999999996</v>
      </c>
      <c r="M484" s="11">
        <f>7.7008 * CHOOSE(CONTROL!$C$32, $C$9, 100%, $E$9)</f>
        <v>7.7008000000000001</v>
      </c>
      <c r="N484" s="11">
        <f>7.6972 * CHOOSE(CONTROL!$C$32, $C$9, 100%, $E$9)</f>
        <v>7.6971999999999996</v>
      </c>
      <c r="O484" s="11">
        <f>7.7008 * CHOOSE(CONTROL!$C$32, $C$9, 100%, $E$9)</f>
        <v>7.7008000000000001</v>
      </c>
    </row>
    <row r="485" spans="1:15" ht="15" x14ac:dyDescent="0.2">
      <c r="A485" s="13">
        <v>55610</v>
      </c>
      <c r="B485" s="9">
        <f>6.8953 * CHOOSE(CONTROL!$C$32, $C$9, 100%, $E$9)</f>
        <v>6.8952999999999998</v>
      </c>
      <c r="C485" s="9">
        <f>6.8953 * CHOOSE(CONTROL!$C$32, $C$9, 100%, $E$9)</f>
        <v>6.8952999999999998</v>
      </c>
      <c r="D485" s="9">
        <f>6.8964 * CHOOSE(CONTROL!$C$32, $C$9, 100%, $E$9)</f>
        <v>6.8963999999999999</v>
      </c>
      <c r="E485" s="11">
        <f>7.8359 * CHOOSE(CONTROL!$C$32, $C$9, 100%, $E$9)</f>
        <v>7.8358999999999996</v>
      </c>
      <c r="F485" s="11">
        <f>7.8359 * CHOOSE(CONTROL!$C$32, $C$9, 100%, $E$9)</f>
        <v>7.8358999999999996</v>
      </c>
      <c r="G485" s="11">
        <f>7.8395 * CHOOSE(CONTROL!$C$32, $C$9, 100%, $E$9)</f>
        <v>7.8395000000000001</v>
      </c>
      <c r="H485" s="11">
        <f>14.7776 * CHOOSE(CONTROL!$C$32, $C$9, 100%, $E$9)</f>
        <v>14.7776</v>
      </c>
      <c r="I485" s="11">
        <f>14.7812 * CHOOSE(CONTROL!$C$32, $C$9, 100%, $E$9)</f>
        <v>14.7812</v>
      </c>
      <c r="J485" s="11">
        <f>14.7776 * CHOOSE(CONTROL!$C$32, $C$9, 100%, $E$9)</f>
        <v>14.7776</v>
      </c>
      <c r="K485" s="11">
        <f>14.7812 * CHOOSE(CONTROL!$C$32, $C$9, 100%, $E$9)</f>
        <v>14.7812</v>
      </c>
      <c r="L485" s="11">
        <f>7.8359 * CHOOSE(CONTROL!$C$32, $C$9, 100%, $E$9)</f>
        <v>7.8358999999999996</v>
      </c>
      <c r="M485" s="11">
        <f>7.8395 * CHOOSE(CONTROL!$C$32, $C$9, 100%, $E$9)</f>
        <v>7.8395000000000001</v>
      </c>
      <c r="N485" s="11">
        <f>7.8359 * CHOOSE(CONTROL!$C$32, $C$9, 100%, $E$9)</f>
        <v>7.8358999999999996</v>
      </c>
      <c r="O485" s="11">
        <f>7.8395 * CHOOSE(CONTROL!$C$32, $C$9, 100%, $E$9)</f>
        <v>7.8395000000000001</v>
      </c>
    </row>
    <row r="486" spans="1:15" ht="15" x14ac:dyDescent="0.2">
      <c r="A486" s="13">
        <v>55640</v>
      </c>
      <c r="B486" s="9">
        <f>6.8953 * CHOOSE(CONTROL!$C$32, $C$9, 100%, $E$9)</f>
        <v>6.8952999999999998</v>
      </c>
      <c r="C486" s="9">
        <f>6.8953 * CHOOSE(CONTROL!$C$32, $C$9, 100%, $E$9)</f>
        <v>6.8952999999999998</v>
      </c>
      <c r="D486" s="9">
        <f>6.8969 * CHOOSE(CONTROL!$C$32, $C$9, 100%, $E$9)</f>
        <v>6.8968999999999996</v>
      </c>
      <c r="E486" s="11">
        <f>7.8895 * CHOOSE(CONTROL!$C$32, $C$9, 100%, $E$9)</f>
        <v>7.8895</v>
      </c>
      <c r="F486" s="11">
        <f>7.8895 * CHOOSE(CONTROL!$C$32, $C$9, 100%, $E$9)</f>
        <v>7.8895</v>
      </c>
      <c r="G486" s="11">
        <f>7.8948 * CHOOSE(CONTROL!$C$32, $C$9, 100%, $E$9)</f>
        <v>7.8948</v>
      </c>
      <c r="H486" s="11">
        <f>14.8083 * CHOOSE(CONTROL!$C$32, $C$9, 100%, $E$9)</f>
        <v>14.808299999999999</v>
      </c>
      <c r="I486" s="11">
        <f>14.8136 * CHOOSE(CONTROL!$C$32, $C$9, 100%, $E$9)</f>
        <v>14.813599999999999</v>
      </c>
      <c r="J486" s="11">
        <f>14.8083 * CHOOSE(CONTROL!$C$32, $C$9, 100%, $E$9)</f>
        <v>14.808299999999999</v>
      </c>
      <c r="K486" s="11">
        <f>14.8136 * CHOOSE(CONTROL!$C$32, $C$9, 100%, $E$9)</f>
        <v>14.813599999999999</v>
      </c>
      <c r="L486" s="11">
        <f>7.8895 * CHOOSE(CONTROL!$C$32, $C$9, 100%, $E$9)</f>
        <v>7.8895</v>
      </c>
      <c r="M486" s="11">
        <f>7.8948 * CHOOSE(CONTROL!$C$32, $C$9, 100%, $E$9)</f>
        <v>7.8948</v>
      </c>
      <c r="N486" s="11">
        <f>7.8895 * CHOOSE(CONTROL!$C$32, $C$9, 100%, $E$9)</f>
        <v>7.8895</v>
      </c>
      <c r="O486" s="11">
        <f>7.8948 * CHOOSE(CONTROL!$C$32, $C$9, 100%, $E$9)</f>
        <v>7.8948</v>
      </c>
    </row>
    <row r="487" spans="1:15" ht="15" x14ac:dyDescent="0.2">
      <c r="A487" s="13">
        <v>55671</v>
      </c>
      <c r="B487" s="9">
        <f>6.9014 * CHOOSE(CONTROL!$C$32, $C$9, 100%, $E$9)</f>
        <v>6.9013999999999998</v>
      </c>
      <c r="C487" s="9">
        <f>6.9014 * CHOOSE(CONTROL!$C$32, $C$9, 100%, $E$9)</f>
        <v>6.9013999999999998</v>
      </c>
      <c r="D487" s="9">
        <f>6.903 * CHOOSE(CONTROL!$C$32, $C$9, 100%, $E$9)</f>
        <v>6.9029999999999996</v>
      </c>
      <c r="E487" s="11">
        <f>7.8402 * CHOOSE(CONTROL!$C$32, $C$9, 100%, $E$9)</f>
        <v>7.8402000000000003</v>
      </c>
      <c r="F487" s="11">
        <f>7.8402 * CHOOSE(CONTROL!$C$32, $C$9, 100%, $E$9)</f>
        <v>7.8402000000000003</v>
      </c>
      <c r="G487" s="11">
        <f>7.8455 * CHOOSE(CONTROL!$C$32, $C$9, 100%, $E$9)</f>
        <v>7.8455000000000004</v>
      </c>
      <c r="H487" s="11">
        <f>14.8392 * CHOOSE(CONTROL!$C$32, $C$9, 100%, $E$9)</f>
        <v>14.8392</v>
      </c>
      <c r="I487" s="11">
        <f>14.8445 * CHOOSE(CONTROL!$C$32, $C$9, 100%, $E$9)</f>
        <v>14.8445</v>
      </c>
      <c r="J487" s="11">
        <f>14.8392 * CHOOSE(CONTROL!$C$32, $C$9, 100%, $E$9)</f>
        <v>14.8392</v>
      </c>
      <c r="K487" s="11">
        <f>14.8445 * CHOOSE(CONTROL!$C$32, $C$9, 100%, $E$9)</f>
        <v>14.8445</v>
      </c>
      <c r="L487" s="11">
        <f>7.8402 * CHOOSE(CONTROL!$C$32, $C$9, 100%, $E$9)</f>
        <v>7.8402000000000003</v>
      </c>
      <c r="M487" s="11">
        <f>7.8455 * CHOOSE(CONTROL!$C$32, $C$9, 100%, $E$9)</f>
        <v>7.8455000000000004</v>
      </c>
      <c r="N487" s="11">
        <f>7.8402 * CHOOSE(CONTROL!$C$32, $C$9, 100%, $E$9)</f>
        <v>7.8402000000000003</v>
      </c>
      <c r="O487" s="11">
        <f>7.8455 * CHOOSE(CONTROL!$C$32, $C$9, 100%, $E$9)</f>
        <v>7.8455000000000004</v>
      </c>
    </row>
    <row r="488" spans="1:15" ht="15" x14ac:dyDescent="0.2">
      <c r="A488" s="13">
        <v>55701</v>
      </c>
      <c r="B488" s="9">
        <f>6.9918 * CHOOSE(CONTROL!$C$32, $C$9, 100%, $E$9)</f>
        <v>6.9917999999999996</v>
      </c>
      <c r="C488" s="9">
        <f>6.9918 * CHOOSE(CONTROL!$C$32, $C$9, 100%, $E$9)</f>
        <v>6.9917999999999996</v>
      </c>
      <c r="D488" s="9">
        <f>6.9934 * CHOOSE(CONTROL!$C$32, $C$9, 100%, $E$9)</f>
        <v>6.9934000000000003</v>
      </c>
      <c r="E488" s="11">
        <f>7.9482 * CHOOSE(CONTROL!$C$32, $C$9, 100%, $E$9)</f>
        <v>7.9481999999999999</v>
      </c>
      <c r="F488" s="11">
        <f>7.9482 * CHOOSE(CONTROL!$C$32, $C$9, 100%, $E$9)</f>
        <v>7.9481999999999999</v>
      </c>
      <c r="G488" s="11">
        <f>7.9535 * CHOOSE(CONTROL!$C$32, $C$9, 100%, $E$9)</f>
        <v>7.9535</v>
      </c>
      <c r="H488" s="11">
        <f>14.8701 * CHOOSE(CONTROL!$C$32, $C$9, 100%, $E$9)</f>
        <v>14.870100000000001</v>
      </c>
      <c r="I488" s="11">
        <f>14.8754 * CHOOSE(CONTROL!$C$32, $C$9, 100%, $E$9)</f>
        <v>14.875400000000001</v>
      </c>
      <c r="J488" s="11">
        <f>14.8701 * CHOOSE(CONTROL!$C$32, $C$9, 100%, $E$9)</f>
        <v>14.870100000000001</v>
      </c>
      <c r="K488" s="11">
        <f>14.8754 * CHOOSE(CONTROL!$C$32, $C$9, 100%, $E$9)</f>
        <v>14.875400000000001</v>
      </c>
      <c r="L488" s="11">
        <f>7.9482 * CHOOSE(CONTROL!$C$32, $C$9, 100%, $E$9)</f>
        <v>7.9481999999999999</v>
      </c>
      <c r="M488" s="11">
        <f>7.9535 * CHOOSE(CONTROL!$C$32, $C$9, 100%, $E$9)</f>
        <v>7.9535</v>
      </c>
      <c r="N488" s="11">
        <f>7.9482 * CHOOSE(CONTROL!$C$32, $C$9, 100%, $E$9)</f>
        <v>7.9481999999999999</v>
      </c>
      <c r="O488" s="11">
        <f>7.9535 * CHOOSE(CONTROL!$C$32, $C$9, 100%, $E$9)</f>
        <v>7.9535</v>
      </c>
    </row>
    <row r="489" spans="1:15" ht="15" x14ac:dyDescent="0.2">
      <c r="A489" s="13">
        <v>55732</v>
      </c>
      <c r="B489" s="9">
        <f>6.9985 * CHOOSE(CONTROL!$C$32, $C$9, 100%, $E$9)</f>
        <v>6.9984999999999999</v>
      </c>
      <c r="C489" s="9">
        <f>6.9985 * CHOOSE(CONTROL!$C$32, $C$9, 100%, $E$9)</f>
        <v>6.9984999999999999</v>
      </c>
      <c r="D489" s="9">
        <f>7.0001 * CHOOSE(CONTROL!$C$32, $C$9, 100%, $E$9)</f>
        <v>7.0000999999999998</v>
      </c>
      <c r="E489" s="11">
        <f>7.7921 * CHOOSE(CONTROL!$C$32, $C$9, 100%, $E$9)</f>
        <v>7.7920999999999996</v>
      </c>
      <c r="F489" s="11">
        <f>7.7921 * CHOOSE(CONTROL!$C$32, $C$9, 100%, $E$9)</f>
        <v>7.7920999999999996</v>
      </c>
      <c r="G489" s="11">
        <f>7.7974 * CHOOSE(CONTROL!$C$32, $C$9, 100%, $E$9)</f>
        <v>7.7973999999999997</v>
      </c>
      <c r="H489" s="11">
        <f>14.9011 * CHOOSE(CONTROL!$C$32, $C$9, 100%, $E$9)</f>
        <v>14.9011</v>
      </c>
      <c r="I489" s="11">
        <f>14.9064 * CHOOSE(CONTROL!$C$32, $C$9, 100%, $E$9)</f>
        <v>14.9064</v>
      </c>
      <c r="J489" s="11">
        <f>14.9011 * CHOOSE(CONTROL!$C$32, $C$9, 100%, $E$9)</f>
        <v>14.9011</v>
      </c>
      <c r="K489" s="11">
        <f>14.9064 * CHOOSE(CONTROL!$C$32, $C$9, 100%, $E$9)</f>
        <v>14.9064</v>
      </c>
      <c r="L489" s="11">
        <f>7.7921 * CHOOSE(CONTROL!$C$32, $C$9, 100%, $E$9)</f>
        <v>7.7920999999999996</v>
      </c>
      <c r="M489" s="11">
        <f>7.7974 * CHOOSE(CONTROL!$C$32, $C$9, 100%, $E$9)</f>
        <v>7.7973999999999997</v>
      </c>
      <c r="N489" s="11">
        <f>7.7921 * CHOOSE(CONTROL!$C$32, $C$9, 100%, $E$9)</f>
        <v>7.7920999999999996</v>
      </c>
      <c r="O489" s="11">
        <f>7.7974 * CHOOSE(CONTROL!$C$32, $C$9, 100%, $E$9)</f>
        <v>7.7973999999999997</v>
      </c>
    </row>
    <row r="490" spans="1:15" ht="15" x14ac:dyDescent="0.2">
      <c r="A490" s="13">
        <v>55763</v>
      </c>
      <c r="B490" s="9">
        <f>6.9955 * CHOOSE(CONTROL!$C$32, $C$9, 100%, $E$9)</f>
        <v>6.9954999999999998</v>
      </c>
      <c r="C490" s="9">
        <f>6.9955 * CHOOSE(CONTROL!$C$32, $C$9, 100%, $E$9)</f>
        <v>6.9954999999999998</v>
      </c>
      <c r="D490" s="9">
        <f>6.997 * CHOOSE(CONTROL!$C$32, $C$9, 100%, $E$9)</f>
        <v>6.9969999999999999</v>
      </c>
      <c r="E490" s="11">
        <f>7.7721 * CHOOSE(CONTROL!$C$32, $C$9, 100%, $E$9)</f>
        <v>7.7721</v>
      </c>
      <c r="F490" s="11">
        <f>7.7721 * CHOOSE(CONTROL!$C$32, $C$9, 100%, $E$9)</f>
        <v>7.7721</v>
      </c>
      <c r="G490" s="11">
        <f>7.7774 * CHOOSE(CONTROL!$C$32, $C$9, 100%, $E$9)</f>
        <v>7.7774000000000001</v>
      </c>
      <c r="H490" s="11">
        <f>14.9321 * CHOOSE(CONTROL!$C$32, $C$9, 100%, $E$9)</f>
        <v>14.9321</v>
      </c>
      <c r="I490" s="11">
        <f>14.9374 * CHOOSE(CONTROL!$C$32, $C$9, 100%, $E$9)</f>
        <v>14.9374</v>
      </c>
      <c r="J490" s="11">
        <f>14.9321 * CHOOSE(CONTROL!$C$32, $C$9, 100%, $E$9)</f>
        <v>14.9321</v>
      </c>
      <c r="K490" s="11">
        <f>14.9374 * CHOOSE(CONTROL!$C$32, $C$9, 100%, $E$9)</f>
        <v>14.9374</v>
      </c>
      <c r="L490" s="11">
        <f>7.7721 * CHOOSE(CONTROL!$C$32, $C$9, 100%, $E$9)</f>
        <v>7.7721</v>
      </c>
      <c r="M490" s="11">
        <f>7.7774 * CHOOSE(CONTROL!$C$32, $C$9, 100%, $E$9)</f>
        <v>7.7774000000000001</v>
      </c>
      <c r="N490" s="11">
        <f>7.7721 * CHOOSE(CONTROL!$C$32, $C$9, 100%, $E$9)</f>
        <v>7.7721</v>
      </c>
      <c r="O490" s="11">
        <f>7.7774 * CHOOSE(CONTROL!$C$32, $C$9, 100%, $E$9)</f>
        <v>7.7774000000000001</v>
      </c>
    </row>
    <row r="491" spans="1:15" ht="15" x14ac:dyDescent="0.2">
      <c r="A491" s="13">
        <v>55793</v>
      </c>
      <c r="B491" s="9">
        <f>7.0017 * CHOOSE(CONTROL!$C$32, $C$9, 100%, $E$9)</f>
        <v>7.0016999999999996</v>
      </c>
      <c r="C491" s="9">
        <f>7.0017 * CHOOSE(CONTROL!$C$32, $C$9, 100%, $E$9)</f>
        <v>7.0016999999999996</v>
      </c>
      <c r="D491" s="9">
        <f>7.0027 * CHOOSE(CONTROL!$C$32, $C$9, 100%, $E$9)</f>
        <v>7.0026999999999999</v>
      </c>
      <c r="E491" s="11">
        <f>7.8302 * CHOOSE(CONTROL!$C$32, $C$9, 100%, $E$9)</f>
        <v>7.8301999999999996</v>
      </c>
      <c r="F491" s="11">
        <f>7.8302 * CHOOSE(CONTROL!$C$32, $C$9, 100%, $E$9)</f>
        <v>7.8301999999999996</v>
      </c>
      <c r="G491" s="11">
        <f>7.8338 * CHOOSE(CONTROL!$C$32, $C$9, 100%, $E$9)</f>
        <v>7.8338000000000001</v>
      </c>
      <c r="H491" s="11">
        <f>14.9632 * CHOOSE(CONTROL!$C$32, $C$9, 100%, $E$9)</f>
        <v>14.963200000000001</v>
      </c>
      <c r="I491" s="11">
        <f>14.9669 * CHOOSE(CONTROL!$C$32, $C$9, 100%, $E$9)</f>
        <v>14.966900000000001</v>
      </c>
      <c r="J491" s="11">
        <f>14.9632 * CHOOSE(CONTROL!$C$32, $C$9, 100%, $E$9)</f>
        <v>14.963200000000001</v>
      </c>
      <c r="K491" s="11">
        <f>14.9669 * CHOOSE(CONTROL!$C$32, $C$9, 100%, $E$9)</f>
        <v>14.966900000000001</v>
      </c>
      <c r="L491" s="11">
        <f>7.8302 * CHOOSE(CONTROL!$C$32, $C$9, 100%, $E$9)</f>
        <v>7.8301999999999996</v>
      </c>
      <c r="M491" s="11">
        <f>7.8338 * CHOOSE(CONTROL!$C$32, $C$9, 100%, $E$9)</f>
        <v>7.8338000000000001</v>
      </c>
      <c r="N491" s="11">
        <f>7.8302 * CHOOSE(CONTROL!$C$32, $C$9, 100%, $E$9)</f>
        <v>7.8301999999999996</v>
      </c>
      <c r="O491" s="11">
        <f>7.8338 * CHOOSE(CONTROL!$C$32, $C$9, 100%, $E$9)</f>
        <v>7.8338000000000001</v>
      </c>
    </row>
    <row r="492" spans="1:15" ht="15" x14ac:dyDescent="0.2">
      <c r="A492" s="13">
        <v>55824</v>
      </c>
      <c r="B492" s="9">
        <f>7.0047 * CHOOSE(CONTROL!$C$32, $C$9, 100%, $E$9)</f>
        <v>7.0046999999999997</v>
      </c>
      <c r="C492" s="9">
        <f>7.0047 * CHOOSE(CONTROL!$C$32, $C$9, 100%, $E$9)</f>
        <v>7.0046999999999997</v>
      </c>
      <c r="D492" s="9">
        <f>7.0058 * CHOOSE(CONTROL!$C$32, $C$9, 100%, $E$9)</f>
        <v>7.0057999999999998</v>
      </c>
      <c r="E492" s="11">
        <f>7.868 * CHOOSE(CONTROL!$C$32, $C$9, 100%, $E$9)</f>
        <v>7.8680000000000003</v>
      </c>
      <c r="F492" s="11">
        <f>7.868 * CHOOSE(CONTROL!$C$32, $C$9, 100%, $E$9)</f>
        <v>7.8680000000000003</v>
      </c>
      <c r="G492" s="11">
        <f>7.8716 * CHOOSE(CONTROL!$C$32, $C$9, 100%, $E$9)</f>
        <v>7.8715999999999999</v>
      </c>
      <c r="H492" s="11">
        <f>14.9944 * CHOOSE(CONTROL!$C$32, $C$9, 100%, $E$9)</f>
        <v>14.994400000000001</v>
      </c>
      <c r="I492" s="11">
        <f>14.998 * CHOOSE(CONTROL!$C$32, $C$9, 100%, $E$9)</f>
        <v>14.997999999999999</v>
      </c>
      <c r="J492" s="11">
        <f>14.9944 * CHOOSE(CONTROL!$C$32, $C$9, 100%, $E$9)</f>
        <v>14.994400000000001</v>
      </c>
      <c r="K492" s="11">
        <f>14.998 * CHOOSE(CONTROL!$C$32, $C$9, 100%, $E$9)</f>
        <v>14.997999999999999</v>
      </c>
      <c r="L492" s="11">
        <f>7.868 * CHOOSE(CONTROL!$C$32, $C$9, 100%, $E$9)</f>
        <v>7.8680000000000003</v>
      </c>
      <c r="M492" s="11">
        <f>7.8716 * CHOOSE(CONTROL!$C$32, $C$9, 100%, $E$9)</f>
        <v>7.8715999999999999</v>
      </c>
      <c r="N492" s="11">
        <f>7.868 * CHOOSE(CONTROL!$C$32, $C$9, 100%, $E$9)</f>
        <v>7.8680000000000003</v>
      </c>
      <c r="O492" s="11">
        <f>7.8716 * CHOOSE(CONTROL!$C$32, $C$9, 100%, $E$9)</f>
        <v>7.8715999999999999</v>
      </c>
    </row>
    <row r="493" spans="1:15" ht="15" x14ac:dyDescent="0.2">
      <c r="A493" s="13">
        <v>55854</v>
      </c>
      <c r="B493" s="9">
        <f>7.0047 * CHOOSE(CONTROL!$C$32, $C$9, 100%, $E$9)</f>
        <v>7.0046999999999997</v>
      </c>
      <c r="C493" s="9">
        <f>7.0047 * CHOOSE(CONTROL!$C$32, $C$9, 100%, $E$9)</f>
        <v>7.0046999999999997</v>
      </c>
      <c r="D493" s="9">
        <f>7.0058 * CHOOSE(CONTROL!$C$32, $C$9, 100%, $E$9)</f>
        <v>7.0057999999999998</v>
      </c>
      <c r="E493" s="11">
        <f>7.7787 * CHOOSE(CONTROL!$C$32, $C$9, 100%, $E$9)</f>
        <v>7.7786999999999997</v>
      </c>
      <c r="F493" s="11">
        <f>7.7787 * CHOOSE(CONTROL!$C$32, $C$9, 100%, $E$9)</f>
        <v>7.7786999999999997</v>
      </c>
      <c r="G493" s="11">
        <f>7.7823 * CHOOSE(CONTROL!$C$32, $C$9, 100%, $E$9)</f>
        <v>7.7823000000000002</v>
      </c>
      <c r="H493" s="11">
        <f>15.0256 * CHOOSE(CONTROL!$C$32, $C$9, 100%, $E$9)</f>
        <v>15.025600000000001</v>
      </c>
      <c r="I493" s="11">
        <f>15.0293 * CHOOSE(CONTROL!$C$32, $C$9, 100%, $E$9)</f>
        <v>15.029299999999999</v>
      </c>
      <c r="J493" s="11">
        <f>15.0256 * CHOOSE(CONTROL!$C$32, $C$9, 100%, $E$9)</f>
        <v>15.025600000000001</v>
      </c>
      <c r="K493" s="11">
        <f>15.0293 * CHOOSE(CONTROL!$C$32, $C$9, 100%, $E$9)</f>
        <v>15.029299999999999</v>
      </c>
      <c r="L493" s="11">
        <f>7.7787 * CHOOSE(CONTROL!$C$32, $C$9, 100%, $E$9)</f>
        <v>7.7786999999999997</v>
      </c>
      <c r="M493" s="11">
        <f>7.7823 * CHOOSE(CONTROL!$C$32, $C$9, 100%, $E$9)</f>
        <v>7.7823000000000002</v>
      </c>
      <c r="N493" s="11">
        <f>7.7787 * CHOOSE(CONTROL!$C$32, $C$9, 100%, $E$9)</f>
        <v>7.7786999999999997</v>
      </c>
      <c r="O493" s="11">
        <f>7.7823 * CHOOSE(CONTROL!$C$32, $C$9, 100%, $E$9)</f>
        <v>7.7823000000000002</v>
      </c>
    </row>
    <row r="494" spans="1:15" ht="15" x14ac:dyDescent="0.2">
      <c r="A494" s="13">
        <v>55885</v>
      </c>
      <c r="B494" s="9">
        <f>7.0575 * CHOOSE(CONTROL!$C$32, $C$9, 100%, $E$9)</f>
        <v>7.0575000000000001</v>
      </c>
      <c r="C494" s="9">
        <f>7.0575 * CHOOSE(CONTROL!$C$32, $C$9, 100%, $E$9)</f>
        <v>7.0575000000000001</v>
      </c>
      <c r="D494" s="9">
        <f>7.0586 * CHOOSE(CONTROL!$C$32, $C$9, 100%, $E$9)</f>
        <v>7.0586000000000002</v>
      </c>
      <c r="E494" s="11">
        <f>7.9087 * CHOOSE(CONTROL!$C$32, $C$9, 100%, $E$9)</f>
        <v>7.9086999999999996</v>
      </c>
      <c r="F494" s="11">
        <f>7.9087 * CHOOSE(CONTROL!$C$32, $C$9, 100%, $E$9)</f>
        <v>7.9086999999999996</v>
      </c>
      <c r="G494" s="11">
        <f>7.9124 * CHOOSE(CONTROL!$C$32, $C$9, 100%, $E$9)</f>
        <v>7.9123999999999999</v>
      </c>
      <c r="H494" s="11">
        <f>15.057 * CHOOSE(CONTROL!$C$32, $C$9, 100%, $E$9)</f>
        <v>15.057</v>
      </c>
      <c r="I494" s="11">
        <f>15.0606 * CHOOSE(CONTROL!$C$32, $C$9, 100%, $E$9)</f>
        <v>15.060600000000001</v>
      </c>
      <c r="J494" s="11">
        <f>15.057 * CHOOSE(CONTROL!$C$32, $C$9, 100%, $E$9)</f>
        <v>15.057</v>
      </c>
      <c r="K494" s="11">
        <f>15.0606 * CHOOSE(CONTROL!$C$32, $C$9, 100%, $E$9)</f>
        <v>15.060600000000001</v>
      </c>
      <c r="L494" s="11">
        <f>7.9087 * CHOOSE(CONTROL!$C$32, $C$9, 100%, $E$9)</f>
        <v>7.9086999999999996</v>
      </c>
      <c r="M494" s="11">
        <f>7.9124 * CHOOSE(CONTROL!$C$32, $C$9, 100%, $E$9)</f>
        <v>7.9123999999999999</v>
      </c>
      <c r="N494" s="11">
        <f>7.9087 * CHOOSE(CONTROL!$C$32, $C$9, 100%, $E$9)</f>
        <v>7.9086999999999996</v>
      </c>
      <c r="O494" s="11">
        <f>7.9124 * CHOOSE(CONTROL!$C$32, $C$9, 100%, $E$9)</f>
        <v>7.9123999999999999</v>
      </c>
    </row>
    <row r="495" spans="1:15" ht="15" x14ac:dyDescent="0.2">
      <c r="A495" s="13">
        <v>55916</v>
      </c>
      <c r="B495" s="9">
        <f>7.0545 * CHOOSE(CONTROL!$C$32, $C$9, 100%, $E$9)</f>
        <v>7.0545</v>
      </c>
      <c r="C495" s="9">
        <f>7.0545 * CHOOSE(CONTROL!$C$32, $C$9, 100%, $E$9)</f>
        <v>7.0545</v>
      </c>
      <c r="D495" s="9">
        <f>7.0555 * CHOOSE(CONTROL!$C$32, $C$9, 100%, $E$9)</f>
        <v>7.0555000000000003</v>
      </c>
      <c r="E495" s="11">
        <f>7.7323 * CHOOSE(CONTROL!$C$32, $C$9, 100%, $E$9)</f>
        <v>7.7323000000000004</v>
      </c>
      <c r="F495" s="11">
        <f>7.7323 * CHOOSE(CONTROL!$C$32, $C$9, 100%, $E$9)</f>
        <v>7.7323000000000004</v>
      </c>
      <c r="G495" s="11">
        <f>7.7359 * CHOOSE(CONTROL!$C$32, $C$9, 100%, $E$9)</f>
        <v>7.7359</v>
      </c>
      <c r="H495" s="11">
        <f>15.0883 * CHOOSE(CONTROL!$C$32, $C$9, 100%, $E$9)</f>
        <v>15.0883</v>
      </c>
      <c r="I495" s="11">
        <f>15.0919 * CHOOSE(CONTROL!$C$32, $C$9, 100%, $E$9)</f>
        <v>15.091900000000001</v>
      </c>
      <c r="J495" s="11">
        <f>15.0883 * CHOOSE(CONTROL!$C$32, $C$9, 100%, $E$9)</f>
        <v>15.0883</v>
      </c>
      <c r="K495" s="11">
        <f>15.0919 * CHOOSE(CONTROL!$C$32, $C$9, 100%, $E$9)</f>
        <v>15.091900000000001</v>
      </c>
      <c r="L495" s="11">
        <f>7.7323 * CHOOSE(CONTROL!$C$32, $C$9, 100%, $E$9)</f>
        <v>7.7323000000000004</v>
      </c>
      <c r="M495" s="11">
        <f>7.7359 * CHOOSE(CONTROL!$C$32, $C$9, 100%, $E$9)</f>
        <v>7.7359</v>
      </c>
      <c r="N495" s="11">
        <f>7.7323 * CHOOSE(CONTROL!$C$32, $C$9, 100%, $E$9)</f>
        <v>7.7323000000000004</v>
      </c>
      <c r="O495" s="11">
        <f>7.7359 * CHOOSE(CONTROL!$C$32, $C$9, 100%, $E$9)</f>
        <v>7.7359</v>
      </c>
    </row>
    <row r="496" spans="1:15" ht="15" x14ac:dyDescent="0.2">
      <c r="A496" s="13">
        <v>55944</v>
      </c>
      <c r="B496" s="9">
        <f>7.0514 * CHOOSE(CONTROL!$C$32, $C$9, 100%, $E$9)</f>
        <v>7.0514000000000001</v>
      </c>
      <c r="C496" s="9">
        <f>7.0514 * CHOOSE(CONTROL!$C$32, $C$9, 100%, $E$9)</f>
        <v>7.0514000000000001</v>
      </c>
      <c r="D496" s="9">
        <f>7.0525 * CHOOSE(CONTROL!$C$32, $C$9, 100%, $E$9)</f>
        <v>7.0525000000000002</v>
      </c>
      <c r="E496" s="11">
        <f>7.8676 * CHOOSE(CONTROL!$C$32, $C$9, 100%, $E$9)</f>
        <v>7.8676000000000004</v>
      </c>
      <c r="F496" s="11">
        <f>7.8676 * CHOOSE(CONTROL!$C$32, $C$9, 100%, $E$9)</f>
        <v>7.8676000000000004</v>
      </c>
      <c r="G496" s="11">
        <f>7.8712 * CHOOSE(CONTROL!$C$32, $C$9, 100%, $E$9)</f>
        <v>7.8712</v>
      </c>
      <c r="H496" s="11">
        <f>15.1198 * CHOOSE(CONTROL!$C$32, $C$9, 100%, $E$9)</f>
        <v>15.1198</v>
      </c>
      <c r="I496" s="11">
        <f>15.1234 * CHOOSE(CONTROL!$C$32, $C$9, 100%, $E$9)</f>
        <v>15.1234</v>
      </c>
      <c r="J496" s="11">
        <f>15.1198 * CHOOSE(CONTROL!$C$32, $C$9, 100%, $E$9)</f>
        <v>15.1198</v>
      </c>
      <c r="K496" s="11">
        <f>15.1234 * CHOOSE(CONTROL!$C$32, $C$9, 100%, $E$9)</f>
        <v>15.1234</v>
      </c>
      <c r="L496" s="11">
        <f>7.8676 * CHOOSE(CONTROL!$C$32, $C$9, 100%, $E$9)</f>
        <v>7.8676000000000004</v>
      </c>
      <c r="M496" s="11">
        <f>7.8712 * CHOOSE(CONTROL!$C$32, $C$9, 100%, $E$9)</f>
        <v>7.8712</v>
      </c>
      <c r="N496" s="11">
        <f>7.8676 * CHOOSE(CONTROL!$C$32, $C$9, 100%, $E$9)</f>
        <v>7.8676000000000004</v>
      </c>
      <c r="O496" s="11">
        <f>7.8712 * CHOOSE(CONTROL!$C$32, $C$9, 100%, $E$9)</f>
        <v>7.8712</v>
      </c>
    </row>
    <row r="497" spans="1:15" ht="15" x14ac:dyDescent="0.2">
      <c r="A497" s="13">
        <v>55975</v>
      </c>
      <c r="B497" s="9">
        <f>7.052 * CHOOSE(CONTROL!$C$32, $C$9, 100%, $E$9)</f>
        <v>7.0519999999999996</v>
      </c>
      <c r="C497" s="9">
        <f>7.052 * CHOOSE(CONTROL!$C$32, $C$9, 100%, $E$9)</f>
        <v>7.0519999999999996</v>
      </c>
      <c r="D497" s="9">
        <f>7.0531 * CHOOSE(CONTROL!$C$32, $C$9, 100%, $E$9)</f>
        <v>7.0530999999999997</v>
      </c>
      <c r="E497" s="11">
        <f>8.011 * CHOOSE(CONTROL!$C$32, $C$9, 100%, $E$9)</f>
        <v>8.0109999999999992</v>
      </c>
      <c r="F497" s="11">
        <f>8.011 * CHOOSE(CONTROL!$C$32, $C$9, 100%, $E$9)</f>
        <v>8.0109999999999992</v>
      </c>
      <c r="G497" s="11">
        <f>8.0146 * CHOOSE(CONTROL!$C$32, $C$9, 100%, $E$9)</f>
        <v>8.0145999999999997</v>
      </c>
      <c r="H497" s="11">
        <f>15.1513 * CHOOSE(CONTROL!$C$32, $C$9, 100%, $E$9)</f>
        <v>15.151300000000001</v>
      </c>
      <c r="I497" s="11">
        <f>15.1549 * CHOOSE(CONTROL!$C$32, $C$9, 100%, $E$9)</f>
        <v>15.1549</v>
      </c>
      <c r="J497" s="11">
        <f>15.1513 * CHOOSE(CONTROL!$C$32, $C$9, 100%, $E$9)</f>
        <v>15.151300000000001</v>
      </c>
      <c r="K497" s="11">
        <f>15.1549 * CHOOSE(CONTROL!$C$32, $C$9, 100%, $E$9)</f>
        <v>15.1549</v>
      </c>
      <c r="L497" s="11">
        <f>8.011 * CHOOSE(CONTROL!$C$32, $C$9, 100%, $E$9)</f>
        <v>8.0109999999999992</v>
      </c>
      <c r="M497" s="11">
        <f>8.0146 * CHOOSE(CONTROL!$C$32, $C$9, 100%, $E$9)</f>
        <v>8.0145999999999997</v>
      </c>
      <c r="N497" s="11">
        <f>8.011 * CHOOSE(CONTROL!$C$32, $C$9, 100%, $E$9)</f>
        <v>8.0109999999999992</v>
      </c>
      <c r="O497" s="11">
        <f>8.0146 * CHOOSE(CONTROL!$C$32, $C$9, 100%, $E$9)</f>
        <v>8.0145999999999997</v>
      </c>
    </row>
    <row r="498" spans="1:15" ht="15" x14ac:dyDescent="0.2">
      <c r="A498" s="13">
        <v>56005</v>
      </c>
      <c r="B498" s="9">
        <f>7.052 * CHOOSE(CONTROL!$C$32, $C$9, 100%, $E$9)</f>
        <v>7.0519999999999996</v>
      </c>
      <c r="C498" s="9">
        <f>7.052 * CHOOSE(CONTROL!$C$32, $C$9, 100%, $E$9)</f>
        <v>7.0519999999999996</v>
      </c>
      <c r="D498" s="9">
        <f>7.0536 * CHOOSE(CONTROL!$C$32, $C$9, 100%, $E$9)</f>
        <v>7.0536000000000003</v>
      </c>
      <c r="E498" s="11">
        <f>8.0663 * CHOOSE(CONTROL!$C$32, $C$9, 100%, $E$9)</f>
        <v>8.0663</v>
      </c>
      <c r="F498" s="11">
        <f>8.0663 * CHOOSE(CONTROL!$C$32, $C$9, 100%, $E$9)</f>
        <v>8.0663</v>
      </c>
      <c r="G498" s="11">
        <f>8.0716 * CHOOSE(CONTROL!$C$32, $C$9, 100%, $E$9)</f>
        <v>8.0716000000000001</v>
      </c>
      <c r="H498" s="11">
        <f>15.1828 * CHOOSE(CONTROL!$C$32, $C$9, 100%, $E$9)</f>
        <v>15.1828</v>
      </c>
      <c r="I498" s="11">
        <f>15.1881 * CHOOSE(CONTROL!$C$32, $C$9, 100%, $E$9)</f>
        <v>15.1881</v>
      </c>
      <c r="J498" s="11">
        <f>15.1828 * CHOOSE(CONTROL!$C$32, $C$9, 100%, $E$9)</f>
        <v>15.1828</v>
      </c>
      <c r="K498" s="11">
        <f>15.1881 * CHOOSE(CONTROL!$C$32, $C$9, 100%, $E$9)</f>
        <v>15.1881</v>
      </c>
      <c r="L498" s="11">
        <f>8.0663 * CHOOSE(CONTROL!$C$32, $C$9, 100%, $E$9)</f>
        <v>8.0663</v>
      </c>
      <c r="M498" s="11">
        <f>8.0716 * CHOOSE(CONTROL!$C$32, $C$9, 100%, $E$9)</f>
        <v>8.0716000000000001</v>
      </c>
      <c r="N498" s="11">
        <f>8.0663 * CHOOSE(CONTROL!$C$32, $C$9, 100%, $E$9)</f>
        <v>8.0663</v>
      </c>
      <c r="O498" s="11">
        <f>8.0716 * CHOOSE(CONTROL!$C$32, $C$9, 100%, $E$9)</f>
        <v>8.0716000000000001</v>
      </c>
    </row>
    <row r="499" spans="1:15" ht="15" x14ac:dyDescent="0.2">
      <c r="A499" s="13">
        <v>56036</v>
      </c>
      <c r="B499" s="9">
        <f>7.0581 * CHOOSE(CONTROL!$C$32, $C$9, 100%, $E$9)</f>
        <v>7.0580999999999996</v>
      </c>
      <c r="C499" s="9">
        <f>7.0581 * CHOOSE(CONTROL!$C$32, $C$9, 100%, $E$9)</f>
        <v>7.0580999999999996</v>
      </c>
      <c r="D499" s="9">
        <f>7.0597 * CHOOSE(CONTROL!$C$32, $C$9, 100%, $E$9)</f>
        <v>7.0597000000000003</v>
      </c>
      <c r="E499" s="11">
        <f>8.0152 * CHOOSE(CONTROL!$C$32, $C$9, 100%, $E$9)</f>
        <v>8.0152000000000001</v>
      </c>
      <c r="F499" s="11">
        <f>8.0152 * CHOOSE(CONTROL!$C$32, $C$9, 100%, $E$9)</f>
        <v>8.0152000000000001</v>
      </c>
      <c r="G499" s="11">
        <f>8.0205 * CHOOSE(CONTROL!$C$32, $C$9, 100%, $E$9)</f>
        <v>8.0205000000000002</v>
      </c>
      <c r="H499" s="11">
        <f>15.2145 * CHOOSE(CONTROL!$C$32, $C$9, 100%, $E$9)</f>
        <v>15.214499999999999</v>
      </c>
      <c r="I499" s="11">
        <f>15.2197 * CHOOSE(CONTROL!$C$32, $C$9, 100%, $E$9)</f>
        <v>15.2197</v>
      </c>
      <c r="J499" s="11">
        <f>15.2145 * CHOOSE(CONTROL!$C$32, $C$9, 100%, $E$9)</f>
        <v>15.214499999999999</v>
      </c>
      <c r="K499" s="11">
        <f>15.2197 * CHOOSE(CONTROL!$C$32, $C$9, 100%, $E$9)</f>
        <v>15.2197</v>
      </c>
      <c r="L499" s="11">
        <f>8.0152 * CHOOSE(CONTROL!$C$32, $C$9, 100%, $E$9)</f>
        <v>8.0152000000000001</v>
      </c>
      <c r="M499" s="11">
        <f>8.0205 * CHOOSE(CONTROL!$C$32, $C$9, 100%, $E$9)</f>
        <v>8.0205000000000002</v>
      </c>
      <c r="N499" s="11">
        <f>8.0152 * CHOOSE(CONTROL!$C$32, $C$9, 100%, $E$9)</f>
        <v>8.0152000000000001</v>
      </c>
      <c r="O499" s="11">
        <f>8.0205 * CHOOSE(CONTROL!$C$32, $C$9, 100%, $E$9)</f>
        <v>8.0205000000000002</v>
      </c>
    </row>
    <row r="500" spans="1:15" ht="15" x14ac:dyDescent="0.2">
      <c r="A500" s="13">
        <v>56066</v>
      </c>
      <c r="B500" s="9">
        <f>7.1502 * CHOOSE(CONTROL!$C$32, $C$9, 100%, $E$9)</f>
        <v>7.1501999999999999</v>
      </c>
      <c r="C500" s="9">
        <f>7.1502 * CHOOSE(CONTROL!$C$32, $C$9, 100%, $E$9)</f>
        <v>7.1501999999999999</v>
      </c>
      <c r="D500" s="9">
        <f>7.1518 * CHOOSE(CONTROL!$C$32, $C$9, 100%, $E$9)</f>
        <v>7.1517999999999997</v>
      </c>
      <c r="E500" s="11">
        <f>8.1252 * CHOOSE(CONTROL!$C$32, $C$9, 100%, $E$9)</f>
        <v>8.1251999999999995</v>
      </c>
      <c r="F500" s="11">
        <f>8.1252 * CHOOSE(CONTROL!$C$32, $C$9, 100%, $E$9)</f>
        <v>8.1251999999999995</v>
      </c>
      <c r="G500" s="11">
        <f>8.1305 * CHOOSE(CONTROL!$C$32, $C$9, 100%, $E$9)</f>
        <v>8.1304999999999996</v>
      </c>
      <c r="H500" s="11">
        <f>15.2461 * CHOOSE(CONTROL!$C$32, $C$9, 100%, $E$9)</f>
        <v>15.2461</v>
      </c>
      <c r="I500" s="11">
        <f>15.2514 * CHOOSE(CONTROL!$C$32, $C$9, 100%, $E$9)</f>
        <v>15.2514</v>
      </c>
      <c r="J500" s="11">
        <f>15.2461 * CHOOSE(CONTROL!$C$32, $C$9, 100%, $E$9)</f>
        <v>15.2461</v>
      </c>
      <c r="K500" s="11">
        <f>15.2514 * CHOOSE(CONTROL!$C$32, $C$9, 100%, $E$9)</f>
        <v>15.2514</v>
      </c>
      <c r="L500" s="11">
        <f>8.1252 * CHOOSE(CONTROL!$C$32, $C$9, 100%, $E$9)</f>
        <v>8.1251999999999995</v>
      </c>
      <c r="M500" s="11">
        <f>8.1305 * CHOOSE(CONTROL!$C$32, $C$9, 100%, $E$9)</f>
        <v>8.1304999999999996</v>
      </c>
      <c r="N500" s="11">
        <f>8.1252 * CHOOSE(CONTROL!$C$32, $C$9, 100%, $E$9)</f>
        <v>8.1251999999999995</v>
      </c>
      <c r="O500" s="11">
        <f>8.1305 * CHOOSE(CONTROL!$C$32, $C$9, 100%, $E$9)</f>
        <v>8.1304999999999996</v>
      </c>
    </row>
    <row r="501" spans="1:15" ht="15" x14ac:dyDescent="0.2">
      <c r="A501" s="13">
        <v>56097</v>
      </c>
      <c r="B501" s="9">
        <f>7.1569 * CHOOSE(CONTROL!$C$32, $C$9, 100%, $E$9)</f>
        <v>7.1569000000000003</v>
      </c>
      <c r="C501" s="9">
        <f>7.1569 * CHOOSE(CONTROL!$C$32, $C$9, 100%, $E$9)</f>
        <v>7.1569000000000003</v>
      </c>
      <c r="D501" s="9">
        <f>7.1585 * CHOOSE(CONTROL!$C$32, $C$9, 100%, $E$9)</f>
        <v>7.1585000000000001</v>
      </c>
      <c r="E501" s="11">
        <f>7.9639 * CHOOSE(CONTROL!$C$32, $C$9, 100%, $E$9)</f>
        <v>7.9638999999999998</v>
      </c>
      <c r="F501" s="11">
        <f>7.9639 * CHOOSE(CONTROL!$C$32, $C$9, 100%, $E$9)</f>
        <v>7.9638999999999998</v>
      </c>
      <c r="G501" s="11">
        <f>7.9692 * CHOOSE(CONTROL!$C$32, $C$9, 100%, $E$9)</f>
        <v>7.9691999999999998</v>
      </c>
      <c r="H501" s="11">
        <f>15.2779 * CHOOSE(CONTROL!$C$32, $C$9, 100%, $E$9)</f>
        <v>15.277900000000001</v>
      </c>
      <c r="I501" s="11">
        <f>15.2832 * CHOOSE(CONTROL!$C$32, $C$9, 100%, $E$9)</f>
        <v>15.283200000000001</v>
      </c>
      <c r="J501" s="11">
        <f>15.2779 * CHOOSE(CONTROL!$C$32, $C$9, 100%, $E$9)</f>
        <v>15.277900000000001</v>
      </c>
      <c r="K501" s="11">
        <f>15.2832 * CHOOSE(CONTROL!$C$32, $C$9, 100%, $E$9)</f>
        <v>15.283200000000001</v>
      </c>
      <c r="L501" s="11">
        <f>7.9639 * CHOOSE(CONTROL!$C$32, $C$9, 100%, $E$9)</f>
        <v>7.9638999999999998</v>
      </c>
      <c r="M501" s="11">
        <f>7.9692 * CHOOSE(CONTROL!$C$32, $C$9, 100%, $E$9)</f>
        <v>7.9691999999999998</v>
      </c>
      <c r="N501" s="11">
        <f>7.9639 * CHOOSE(CONTROL!$C$32, $C$9, 100%, $E$9)</f>
        <v>7.9638999999999998</v>
      </c>
      <c r="O501" s="11">
        <f>7.9692 * CHOOSE(CONTROL!$C$32, $C$9, 100%, $E$9)</f>
        <v>7.9691999999999998</v>
      </c>
    </row>
    <row r="502" spans="1:15" ht="15" x14ac:dyDescent="0.2">
      <c r="A502" s="13">
        <v>56128</v>
      </c>
      <c r="B502" s="9">
        <f>7.1539 * CHOOSE(CONTROL!$C$32, $C$9, 100%, $E$9)</f>
        <v>7.1539000000000001</v>
      </c>
      <c r="C502" s="9">
        <f>7.1539 * CHOOSE(CONTROL!$C$32, $C$9, 100%, $E$9)</f>
        <v>7.1539000000000001</v>
      </c>
      <c r="D502" s="9">
        <f>7.1554 * CHOOSE(CONTROL!$C$32, $C$9, 100%, $E$9)</f>
        <v>7.1554000000000002</v>
      </c>
      <c r="E502" s="11">
        <f>7.9433 * CHOOSE(CONTROL!$C$32, $C$9, 100%, $E$9)</f>
        <v>7.9432999999999998</v>
      </c>
      <c r="F502" s="11">
        <f>7.9433 * CHOOSE(CONTROL!$C$32, $C$9, 100%, $E$9)</f>
        <v>7.9432999999999998</v>
      </c>
      <c r="G502" s="11">
        <f>7.9486 * CHOOSE(CONTROL!$C$32, $C$9, 100%, $E$9)</f>
        <v>7.9485999999999999</v>
      </c>
      <c r="H502" s="11">
        <f>15.3097 * CHOOSE(CONTROL!$C$32, $C$9, 100%, $E$9)</f>
        <v>15.309699999999999</v>
      </c>
      <c r="I502" s="11">
        <f>15.315 * CHOOSE(CONTROL!$C$32, $C$9, 100%, $E$9)</f>
        <v>15.315</v>
      </c>
      <c r="J502" s="11">
        <f>15.3097 * CHOOSE(CONTROL!$C$32, $C$9, 100%, $E$9)</f>
        <v>15.309699999999999</v>
      </c>
      <c r="K502" s="11">
        <f>15.315 * CHOOSE(CONTROL!$C$32, $C$9, 100%, $E$9)</f>
        <v>15.315</v>
      </c>
      <c r="L502" s="11">
        <f>7.9433 * CHOOSE(CONTROL!$C$32, $C$9, 100%, $E$9)</f>
        <v>7.9432999999999998</v>
      </c>
      <c r="M502" s="11">
        <f>7.9486 * CHOOSE(CONTROL!$C$32, $C$9, 100%, $E$9)</f>
        <v>7.9485999999999999</v>
      </c>
      <c r="N502" s="11">
        <f>7.9433 * CHOOSE(CONTROL!$C$32, $C$9, 100%, $E$9)</f>
        <v>7.9432999999999998</v>
      </c>
      <c r="O502" s="11">
        <f>7.9486 * CHOOSE(CONTROL!$C$32, $C$9, 100%, $E$9)</f>
        <v>7.9485999999999999</v>
      </c>
    </row>
    <row r="503" spans="1:15" ht="15" x14ac:dyDescent="0.2">
      <c r="A503" s="13">
        <v>56158</v>
      </c>
      <c r="B503" s="9">
        <f>7.1607 * CHOOSE(CONTROL!$C$32, $C$9, 100%, $E$9)</f>
        <v>7.1607000000000003</v>
      </c>
      <c r="C503" s="9">
        <f>7.1607 * CHOOSE(CONTROL!$C$32, $C$9, 100%, $E$9)</f>
        <v>7.1607000000000003</v>
      </c>
      <c r="D503" s="9">
        <f>7.1617 * CHOOSE(CONTROL!$C$32, $C$9, 100%, $E$9)</f>
        <v>7.1616999999999997</v>
      </c>
      <c r="E503" s="11">
        <f>8.0037 * CHOOSE(CONTROL!$C$32, $C$9, 100%, $E$9)</f>
        <v>8.0037000000000003</v>
      </c>
      <c r="F503" s="11">
        <f>8.0037 * CHOOSE(CONTROL!$C$32, $C$9, 100%, $E$9)</f>
        <v>8.0037000000000003</v>
      </c>
      <c r="G503" s="11">
        <f>8.0073 * CHOOSE(CONTROL!$C$32, $C$9, 100%, $E$9)</f>
        <v>8.0073000000000008</v>
      </c>
      <c r="H503" s="11">
        <f>15.3416 * CHOOSE(CONTROL!$C$32, $C$9, 100%, $E$9)</f>
        <v>15.3416</v>
      </c>
      <c r="I503" s="11">
        <f>15.3453 * CHOOSE(CONTROL!$C$32, $C$9, 100%, $E$9)</f>
        <v>15.3453</v>
      </c>
      <c r="J503" s="11">
        <f>15.3416 * CHOOSE(CONTROL!$C$32, $C$9, 100%, $E$9)</f>
        <v>15.3416</v>
      </c>
      <c r="K503" s="11">
        <f>15.3453 * CHOOSE(CONTROL!$C$32, $C$9, 100%, $E$9)</f>
        <v>15.3453</v>
      </c>
      <c r="L503" s="11">
        <f>8.0037 * CHOOSE(CONTROL!$C$32, $C$9, 100%, $E$9)</f>
        <v>8.0037000000000003</v>
      </c>
      <c r="M503" s="11">
        <f>8.0073 * CHOOSE(CONTROL!$C$32, $C$9, 100%, $E$9)</f>
        <v>8.0073000000000008</v>
      </c>
      <c r="N503" s="11">
        <f>8.0037 * CHOOSE(CONTROL!$C$32, $C$9, 100%, $E$9)</f>
        <v>8.0037000000000003</v>
      </c>
      <c r="O503" s="11">
        <f>8.0073 * CHOOSE(CONTROL!$C$32, $C$9, 100%, $E$9)</f>
        <v>8.0073000000000008</v>
      </c>
    </row>
    <row r="504" spans="1:15" ht="15" x14ac:dyDescent="0.2">
      <c r="A504" s="13">
        <v>56189</v>
      </c>
      <c r="B504" s="9">
        <f>7.1637 * CHOOSE(CONTROL!$C$32, $C$9, 100%, $E$9)</f>
        <v>7.1637000000000004</v>
      </c>
      <c r="C504" s="9">
        <f>7.1637 * CHOOSE(CONTROL!$C$32, $C$9, 100%, $E$9)</f>
        <v>7.1637000000000004</v>
      </c>
      <c r="D504" s="9">
        <f>7.1648 * CHOOSE(CONTROL!$C$32, $C$9, 100%, $E$9)</f>
        <v>7.1647999999999996</v>
      </c>
      <c r="E504" s="11">
        <f>8.0427 * CHOOSE(CONTROL!$C$32, $C$9, 100%, $E$9)</f>
        <v>8.0427</v>
      </c>
      <c r="F504" s="11">
        <f>8.0427 * CHOOSE(CONTROL!$C$32, $C$9, 100%, $E$9)</f>
        <v>8.0427</v>
      </c>
      <c r="G504" s="11">
        <f>8.0463 * CHOOSE(CONTROL!$C$32, $C$9, 100%, $E$9)</f>
        <v>8.0463000000000005</v>
      </c>
      <c r="H504" s="11">
        <f>15.3736 * CHOOSE(CONTROL!$C$32, $C$9, 100%, $E$9)</f>
        <v>15.3736</v>
      </c>
      <c r="I504" s="11">
        <f>15.3772 * CHOOSE(CONTROL!$C$32, $C$9, 100%, $E$9)</f>
        <v>15.3772</v>
      </c>
      <c r="J504" s="11">
        <f>15.3736 * CHOOSE(CONTROL!$C$32, $C$9, 100%, $E$9)</f>
        <v>15.3736</v>
      </c>
      <c r="K504" s="11">
        <f>15.3772 * CHOOSE(CONTROL!$C$32, $C$9, 100%, $E$9)</f>
        <v>15.3772</v>
      </c>
      <c r="L504" s="11">
        <f>8.0427 * CHOOSE(CONTROL!$C$32, $C$9, 100%, $E$9)</f>
        <v>8.0427</v>
      </c>
      <c r="M504" s="11">
        <f>8.0463 * CHOOSE(CONTROL!$C$32, $C$9, 100%, $E$9)</f>
        <v>8.0463000000000005</v>
      </c>
      <c r="N504" s="11">
        <f>8.0427 * CHOOSE(CONTROL!$C$32, $C$9, 100%, $E$9)</f>
        <v>8.0427</v>
      </c>
      <c r="O504" s="11">
        <f>8.0463 * CHOOSE(CONTROL!$C$32, $C$9, 100%, $E$9)</f>
        <v>8.0463000000000005</v>
      </c>
    </row>
    <row r="505" spans="1:15" ht="15" x14ac:dyDescent="0.2">
      <c r="A505" s="13">
        <v>56219</v>
      </c>
      <c r="B505" s="9">
        <f>7.1637 * CHOOSE(CONTROL!$C$32, $C$9, 100%, $E$9)</f>
        <v>7.1637000000000004</v>
      </c>
      <c r="C505" s="9">
        <f>7.1637 * CHOOSE(CONTROL!$C$32, $C$9, 100%, $E$9)</f>
        <v>7.1637000000000004</v>
      </c>
      <c r="D505" s="9">
        <f>7.1648 * CHOOSE(CONTROL!$C$32, $C$9, 100%, $E$9)</f>
        <v>7.1647999999999996</v>
      </c>
      <c r="E505" s="11">
        <f>7.9504 * CHOOSE(CONTROL!$C$32, $C$9, 100%, $E$9)</f>
        <v>7.9504000000000001</v>
      </c>
      <c r="F505" s="11">
        <f>7.9504 * CHOOSE(CONTROL!$C$32, $C$9, 100%, $E$9)</f>
        <v>7.9504000000000001</v>
      </c>
      <c r="G505" s="11">
        <f>7.9541 * CHOOSE(CONTROL!$C$32, $C$9, 100%, $E$9)</f>
        <v>7.9541000000000004</v>
      </c>
      <c r="H505" s="11">
        <f>15.4056 * CHOOSE(CONTROL!$C$32, $C$9, 100%, $E$9)</f>
        <v>15.4056</v>
      </c>
      <c r="I505" s="11">
        <f>15.4092 * CHOOSE(CONTROL!$C$32, $C$9, 100%, $E$9)</f>
        <v>15.4092</v>
      </c>
      <c r="J505" s="11">
        <f>15.4056 * CHOOSE(CONTROL!$C$32, $C$9, 100%, $E$9)</f>
        <v>15.4056</v>
      </c>
      <c r="K505" s="11">
        <f>15.4092 * CHOOSE(CONTROL!$C$32, $C$9, 100%, $E$9)</f>
        <v>15.4092</v>
      </c>
      <c r="L505" s="11">
        <f>7.9504 * CHOOSE(CONTROL!$C$32, $C$9, 100%, $E$9)</f>
        <v>7.9504000000000001</v>
      </c>
      <c r="M505" s="11">
        <f>7.9541 * CHOOSE(CONTROL!$C$32, $C$9, 100%, $E$9)</f>
        <v>7.9541000000000004</v>
      </c>
      <c r="N505" s="11">
        <f>7.9504 * CHOOSE(CONTROL!$C$32, $C$9, 100%, $E$9)</f>
        <v>7.9504000000000001</v>
      </c>
      <c r="O505" s="11">
        <f>7.9541 * CHOOSE(CONTROL!$C$32, $C$9, 100%, $E$9)</f>
        <v>7.9541000000000004</v>
      </c>
    </row>
    <row r="506" spans="1:15" ht="15" x14ac:dyDescent="0.2">
      <c r="A506" s="13">
        <v>56250</v>
      </c>
      <c r="B506" s="9">
        <f>7.2176 * CHOOSE(CONTROL!$C$32, $C$9, 100%, $E$9)</f>
        <v>7.2176</v>
      </c>
      <c r="C506" s="9">
        <f>7.2176 * CHOOSE(CONTROL!$C$32, $C$9, 100%, $E$9)</f>
        <v>7.2176</v>
      </c>
      <c r="D506" s="9">
        <f>7.2187 * CHOOSE(CONTROL!$C$32, $C$9, 100%, $E$9)</f>
        <v>7.2187000000000001</v>
      </c>
      <c r="E506" s="11">
        <f>8.0845 * CHOOSE(CONTROL!$C$32, $C$9, 100%, $E$9)</f>
        <v>8.0845000000000002</v>
      </c>
      <c r="F506" s="11">
        <f>8.0845 * CHOOSE(CONTROL!$C$32, $C$9, 100%, $E$9)</f>
        <v>8.0845000000000002</v>
      </c>
      <c r="G506" s="11">
        <f>8.0881 * CHOOSE(CONTROL!$C$32, $C$9, 100%, $E$9)</f>
        <v>8.0881000000000007</v>
      </c>
      <c r="H506" s="11">
        <f>15.4377 * CHOOSE(CONTROL!$C$32, $C$9, 100%, $E$9)</f>
        <v>15.4377</v>
      </c>
      <c r="I506" s="11">
        <f>15.4413 * CHOOSE(CONTROL!$C$32, $C$9, 100%, $E$9)</f>
        <v>15.4413</v>
      </c>
      <c r="J506" s="11">
        <f>15.4377 * CHOOSE(CONTROL!$C$32, $C$9, 100%, $E$9)</f>
        <v>15.4377</v>
      </c>
      <c r="K506" s="11">
        <f>15.4413 * CHOOSE(CONTROL!$C$32, $C$9, 100%, $E$9)</f>
        <v>15.4413</v>
      </c>
      <c r="L506" s="11">
        <f>8.0845 * CHOOSE(CONTROL!$C$32, $C$9, 100%, $E$9)</f>
        <v>8.0845000000000002</v>
      </c>
      <c r="M506" s="11">
        <f>8.0881 * CHOOSE(CONTROL!$C$32, $C$9, 100%, $E$9)</f>
        <v>8.0881000000000007</v>
      </c>
      <c r="N506" s="11">
        <f>8.0845 * CHOOSE(CONTROL!$C$32, $C$9, 100%, $E$9)</f>
        <v>8.0845000000000002</v>
      </c>
      <c r="O506" s="11">
        <f>8.0881 * CHOOSE(CONTROL!$C$32, $C$9, 100%, $E$9)</f>
        <v>8.0881000000000007</v>
      </c>
    </row>
    <row r="507" spans="1:15" ht="15" x14ac:dyDescent="0.2">
      <c r="A507" s="13">
        <v>56281</v>
      </c>
      <c r="B507" s="9">
        <f>7.2146 * CHOOSE(CONTROL!$C$32, $C$9, 100%, $E$9)</f>
        <v>7.2145999999999999</v>
      </c>
      <c r="C507" s="9">
        <f>7.2146 * CHOOSE(CONTROL!$C$32, $C$9, 100%, $E$9)</f>
        <v>7.2145999999999999</v>
      </c>
      <c r="D507" s="9">
        <f>7.2156 * CHOOSE(CONTROL!$C$32, $C$9, 100%, $E$9)</f>
        <v>7.2156000000000002</v>
      </c>
      <c r="E507" s="11">
        <f>7.9024 * CHOOSE(CONTROL!$C$32, $C$9, 100%, $E$9)</f>
        <v>7.9024000000000001</v>
      </c>
      <c r="F507" s="11">
        <f>7.9024 * CHOOSE(CONTROL!$C$32, $C$9, 100%, $E$9)</f>
        <v>7.9024000000000001</v>
      </c>
      <c r="G507" s="11">
        <f>7.906 * CHOOSE(CONTROL!$C$32, $C$9, 100%, $E$9)</f>
        <v>7.9059999999999997</v>
      </c>
      <c r="H507" s="11">
        <f>15.4699 * CHOOSE(CONTROL!$C$32, $C$9, 100%, $E$9)</f>
        <v>15.469900000000001</v>
      </c>
      <c r="I507" s="11">
        <f>15.4735 * CHOOSE(CONTROL!$C$32, $C$9, 100%, $E$9)</f>
        <v>15.4735</v>
      </c>
      <c r="J507" s="11">
        <f>15.4699 * CHOOSE(CONTROL!$C$32, $C$9, 100%, $E$9)</f>
        <v>15.469900000000001</v>
      </c>
      <c r="K507" s="11">
        <f>15.4735 * CHOOSE(CONTROL!$C$32, $C$9, 100%, $E$9)</f>
        <v>15.4735</v>
      </c>
      <c r="L507" s="11">
        <f>7.9024 * CHOOSE(CONTROL!$C$32, $C$9, 100%, $E$9)</f>
        <v>7.9024000000000001</v>
      </c>
      <c r="M507" s="11">
        <f>7.906 * CHOOSE(CONTROL!$C$32, $C$9, 100%, $E$9)</f>
        <v>7.9059999999999997</v>
      </c>
      <c r="N507" s="11">
        <f>7.9024 * CHOOSE(CONTROL!$C$32, $C$9, 100%, $E$9)</f>
        <v>7.9024000000000001</v>
      </c>
      <c r="O507" s="11">
        <f>7.906 * CHOOSE(CONTROL!$C$32, $C$9, 100%, $E$9)</f>
        <v>7.9059999999999997</v>
      </c>
    </row>
    <row r="508" spans="1:15" ht="15" x14ac:dyDescent="0.2">
      <c r="A508" s="13">
        <v>56309</v>
      </c>
      <c r="B508" s="9">
        <f>7.2115 * CHOOSE(CONTROL!$C$32, $C$9, 100%, $E$9)</f>
        <v>7.2115</v>
      </c>
      <c r="C508" s="9">
        <f>7.2115 * CHOOSE(CONTROL!$C$32, $C$9, 100%, $E$9)</f>
        <v>7.2115</v>
      </c>
      <c r="D508" s="9">
        <f>7.2126 * CHOOSE(CONTROL!$C$32, $C$9, 100%, $E$9)</f>
        <v>7.2126000000000001</v>
      </c>
      <c r="E508" s="11">
        <f>8.0422 * CHOOSE(CONTROL!$C$32, $C$9, 100%, $E$9)</f>
        <v>8.0421999999999993</v>
      </c>
      <c r="F508" s="11">
        <f>8.0422 * CHOOSE(CONTROL!$C$32, $C$9, 100%, $E$9)</f>
        <v>8.0421999999999993</v>
      </c>
      <c r="G508" s="11">
        <f>8.0458 * CHOOSE(CONTROL!$C$32, $C$9, 100%, $E$9)</f>
        <v>8.0457999999999998</v>
      </c>
      <c r="H508" s="11">
        <f>15.5021 * CHOOSE(CONTROL!$C$32, $C$9, 100%, $E$9)</f>
        <v>15.5021</v>
      </c>
      <c r="I508" s="11">
        <f>15.5057 * CHOOSE(CONTROL!$C$32, $C$9, 100%, $E$9)</f>
        <v>15.505699999999999</v>
      </c>
      <c r="J508" s="11">
        <f>15.5021 * CHOOSE(CONTROL!$C$32, $C$9, 100%, $E$9)</f>
        <v>15.5021</v>
      </c>
      <c r="K508" s="11">
        <f>15.5057 * CHOOSE(CONTROL!$C$32, $C$9, 100%, $E$9)</f>
        <v>15.505699999999999</v>
      </c>
      <c r="L508" s="11">
        <f>8.0422 * CHOOSE(CONTROL!$C$32, $C$9, 100%, $E$9)</f>
        <v>8.0421999999999993</v>
      </c>
      <c r="M508" s="11">
        <f>8.0458 * CHOOSE(CONTROL!$C$32, $C$9, 100%, $E$9)</f>
        <v>8.0457999999999998</v>
      </c>
      <c r="N508" s="11">
        <f>8.0422 * CHOOSE(CONTROL!$C$32, $C$9, 100%, $E$9)</f>
        <v>8.0421999999999993</v>
      </c>
      <c r="O508" s="11">
        <f>8.0458 * CHOOSE(CONTROL!$C$32, $C$9, 100%, $E$9)</f>
        <v>8.0457999999999998</v>
      </c>
    </row>
    <row r="509" spans="1:15" ht="15" x14ac:dyDescent="0.2">
      <c r="A509" s="13">
        <v>56340</v>
      </c>
      <c r="B509" s="9">
        <f>7.2123 * CHOOSE(CONTROL!$C$32, $C$9, 100%, $E$9)</f>
        <v>7.2122999999999999</v>
      </c>
      <c r="C509" s="9">
        <f>7.2123 * CHOOSE(CONTROL!$C$32, $C$9, 100%, $E$9)</f>
        <v>7.2122999999999999</v>
      </c>
      <c r="D509" s="9">
        <f>7.2134 * CHOOSE(CONTROL!$C$32, $C$9, 100%, $E$9)</f>
        <v>7.2134</v>
      </c>
      <c r="E509" s="11">
        <f>8.1903 * CHOOSE(CONTROL!$C$32, $C$9, 100%, $E$9)</f>
        <v>8.1903000000000006</v>
      </c>
      <c r="F509" s="11">
        <f>8.1903 * CHOOSE(CONTROL!$C$32, $C$9, 100%, $E$9)</f>
        <v>8.1903000000000006</v>
      </c>
      <c r="G509" s="11">
        <f>8.1939 * CHOOSE(CONTROL!$C$32, $C$9, 100%, $E$9)</f>
        <v>8.1938999999999993</v>
      </c>
      <c r="H509" s="11">
        <f>15.5344 * CHOOSE(CONTROL!$C$32, $C$9, 100%, $E$9)</f>
        <v>15.5344</v>
      </c>
      <c r="I509" s="11">
        <f>15.538 * CHOOSE(CONTROL!$C$32, $C$9, 100%, $E$9)</f>
        <v>15.538</v>
      </c>
      <c r="J509" s="11">
        <f>15.5344 * CHOOSE(CONTROL!$C$32, $C$9, 100%, $E$9)</f>
        <v>15.5344</v>
      </c>
      <c r="K509" s="11">
        <f>15.538 * CHOOSE(CONTROL!$C$32, $C$9, 100%, $E$9)</f>
        <v>15.538</v>
      </c>
      <c r="L509" s="11">
        <f>8.1903 * CHOOSE(CONTROL!$C$32, $C$9, 100%, $E$9)</f>
        <v>8.1903000000000006</v>
      </c>
      <c r="M509" s="11">
        <f>8.1939 * CHOOSE(CONTROL!$C$32, $C$9, 100%, $E$9)</f>
        <v>8.1938999999999993</v>
      </c>
      <c r="N509" s="11">
        <f>8.1903 * CHOOSE(CONTROL!$C$32, $C$9, 100%, $E$9)</f>
        <v>8.1903000000000006</v>
      </c>
      <c r="O509" s="11">
        <f>8.1939 * CHOOSE(CONTROL!$C$32, $C$9, 100%, $E$9)</f>
        <v>8.1938999999999993</v>
      </c>
    </row>
    <row r="510" spans="1:15" ht="15" x14ac:dyDescent="0.2">
      <c r="A510" s="13">
        <v>56370</v>
      </c>
      <c r="B510" s="9">
        <f>7.2123 * CHOOSE(CONTROL!$C$32, $C$9, 100%, $E$9)</f>
        <v>7.2122999999999999</v>
      </c>
      <c r="C510" s="9">
        <f>7.2123 * CHOOSE(CONTROL!$C$32, $C$9, 100%, $E$9)</f>
        <v>7.2122999999999999</v>
      </c>
      <c r="D510" s="9">
        <f>7.2139 * CHOOSE(CONTROL!$C$32, $C$9, 100%, $E$9)</f>
        <v>7.2138999999999998</v>
      </c>
      <c r="E510" s="11">
        <f>8.2474 * CHOOSE(CONTROL!$C$32, $C$9, 100%, $E$9)</f>
        <v>8.2474000000000007</v>
      </c>
      <c r="F510" s="11">
        <f>8.2474 * CHOOSE(CONTROL!$C$32, $C$9, 100%, $E$9)</f>
        <v>8.2474000000000007</v>
      </c>
      <c r="G510" s="11">
        <f>8.2527 * CHOOSE(CONTROL!$C$32, $C$9, 100%, $E$9)</f>
        <v>8.2527000000000008</v>
      </c>
      <c r="H510" s="11">
        <f>15.5668 * CHOOSE(CONTROL!$C$32, $C$9, 100%, $E$9)</f>
        <v>15.566800000000001</v>
      </c>
      <c r="I510" s="11">
        <f>15.5721 * CHOOSE(CONTROL!$C$32, $C$9, 100%, $E$9)</f>
        <v>15.572100000000001</v>
      </c>
      <c r="J510" s="11">
        <f>15.5668 * CHOOSE(CONTROL!$C$32, $C$9, 100%, $E$9)</f>
        <v>15.566800000000001</v>
      </c>
      <c r="K510" s="11">
        <f>15.5721 * CHOOSE(CONTROL!$C$32, $C$9, 100%, $E$9)</f>
        <v>15.572100000000001</v>
      </c>
      <c r="L510" s="11">
        <f>8.2474 * CHOOSE(CONTROL!$C$32, $C$9, 100%, $E$9)</f>
        <v>8.2474000000000007</v>
      </c>
      <c r="M510" s="11">
        <f>8.2527 * CHOOSE(CONTROL!$C$32, $C$9, 100%, $E$9)</f>
        <v>8.2527000000000008</v>
      </c>
      <c r="N510" s="11">
        <f>8.2474 * CHOOSE(CONTROL!$C$32, $C$9, 100%, $E$9)</f>
        <v>8.2474000000000007</v>
      </c>
      <c r="O510" s="11">
        <f>8.2527 * CHOOSE(CONTROL!$C$32, $C$9, 100%, $E$9)</f>
        <v>8.2527000000000008</v>
      </c>
    </row>
    <row r="511" spans="1:15" ht="15" x14ac:dyDescent="0.2">
      <c r="A511" s="13">
        <v>56401</v>
      </c>
      <c r="B511" s="9">
        <f>7.2184 * CHOOSE(CONTROL!$C$32, $C$9, 100%, $E$9)</f>
        <v>7.2183999999999999</v>
      </c>
      <c r="C511" s="9">
        <f>7.2184 * CHOOSE(CONTROL!$C$32, $C$9, 100%, $E$9)</f>
        <v>7.2183999999999999</v>
      </c>
      <c r="D511" s="9">
        <f>7.2199 * CHOOSE(CONTROL!$C$32, $C$9, 100%, $E$9)</f>
        <v>7.2199</v>
      </c>
      <c r="E511" s="11">
        <f>8.1945 * CHOOSE(CONTROL!$C$32, $C$9, 100%, $E$9)</f>
        <v>8.1944999999999997</v>
      </c>
      <c r="F511" s="11">
        <f>8.1945 * CHOOSE(CONTROL!$C$32, $C$9, 100%, $E$9)</f>
        <v>8.1944999999999997</v>
      </c>
      <c r="G511" s="11">
        <f>8.1998 * CHOOSE(CONTROL!$C$32, $C$9, 100%, $E$9)</f>
        <v>8.1997999999999998</v>
      </c>
      <c r="H511" s="11">
        <f>15.5992 * CHOOSE(CONTROL!$C$32, $C$9, 100%, $E$9)</f>
        <v>15.5992</v>
      </c>
      <c r="I511" s="11">
        <f>15.6045 * CHOOSE(CONTROL!$C$32, $C$9, 100%, $E$9)</f>
        <v>15.6045</v>
      </c>
      <c r="J511" s="11">
        <f>15.5992 * CHOOSE(CONTROL!$C$32, $C$9, 100%, $E$9)</f>
        <v>15.5992</v>
      </c>
      <c r="K511" s="11">
        <f>15.6045 * CHOOSE(CONTROL!$C$32, $C$9, 100%, $E$9)</f>
        <v>15.6045</v>
      </c>
      <c r="L511" s="11">
        <f>8.1945 * CHOOSE(CONTROL!$C$32, $C$9, 100%, $E$9)</f>
        <v>8.1944999999999997</v>
      </c>
      <c r="M511" s="11">
        <f>8.1998 * CHOOSE(CONTROL!$C$32, $C$9, 100%, $E$9)</f>
        <v>8.1997999999999998</v>
      </c>
      <c r="N511" s="11">
        <f>8.1945 * CHOOSE(CONTROL!$C$32, $C$9, 100%, $E$9)</f>
        <v>8.1944999999999997</v>
      </c>
      <c r="O511" s="11">
        <f>8.1998 * CHOOSE(CONTROL!$C$32, $C$9, 100%, $E$9)</f>
        <v>8.1997999999999998</v>
      </c>
    </row>
    <row r="512" spans="1:15" ht="15" x14ac:dyDescent="0.2">
      <c r="A512" s="13">
        <v>56431</v>
      </c>
      <c r="B512" s="9">
        <f>7.3122 * CHOOSE(CONTROL!$C$32, $C$9, 100%, $E$9)</f>
        <v>7.3121999999999998</v>
      </c>
      <c r="C512" s="9">
        <f>7.3122 * CHOOSE(CONTROL!$C$32, $C$9, 100%, $E$9)</f>
        <v>7.3121999999999998</v>
      </c>
      <c r="D512" s="9">
        <f>7.3138 * CHOOSE(CONTROL!$C$32, $C$9, 100%, $E$9)</f>
        <v>7.3137999999999996</v>
      </c>
      <c r="E512" s="11">
        <f>8.3075 * CHOOSE(CONTROL!$C$32, $C$9, 100%, $E$9)</f>
        <v>8.3074999999999992</v>
      </c>
      <c r="F512" s="11">
        <f>8.3075 * CHOOSE(CONTROL!$C$32, $C$9, 100%, $E$9)</f>
        <v>8.3074999999999992</v>
      </c>
      <c r="G512" s="11">
        <f>8.3128 * CHOOSE(CONTROL!$C$32, $C$9, 100%, $E$9)</f>
        <v>8.3127999999999993</v>
      </c>
      <c r="H512" s="11">
        <f>15.6317 * CHOOSE(CONTROL!$C$32, $C$9, 100%, $E$9)</f>
        <v>15.6317</v>
      </c>
      <c r="I512" s="11">
        <f>15.637 * CHOOSE(CONTROL!$C$32, $C$9, 100%, $E$9)</f>
        <v>15.637</v>
      </c>
      <c r="J512" s="11">
        <f>15.6317 * CHOOSE(CONTROL!$C$32, $C$9, 100%, $E$9)</f>
        <v>15.6317</v>
      </c>
      <c r="K512" s="11">
        <f>15.637 * CHOOSE(CONTROL!$C$32, $C$9, 100%, $E$9)</f>
        <v>15.637</v>
      </c>
      <c r="L512" s="11">
        <f>8.3075 * CHOOSE(CONTROL!$C$32, $C$9, 100%, $E$9)</f>
        <v>8.3074999999999992</v>
      </c>
      <c r="M512" s="11">
        <f>8.3128 * CHOOSE(CONTROL!$C$32, $C$9, 100%, $E$9)</f>
        <v>8.3127999999999993</v>
      </c>
      <c r="N512" s="11">
        <f>8.3075 * CHOOSE(CONTROL!$C$32, $C$9, 100%, $E$9)</f>
        <v>8.3074999999999992</v>
      </c>
      <c r="O512" s="11">
        <f>8.3128 * CHOOSE(CONTROL!$C$32, $C$9, 100%, $E$9)</f>
        <v>8.3127999999999993</v>
      </c>
    </row>
    <row r="513" spans="1:15" ht="15" x14ac:dyDescent="0.2">
      <c r="A513" s="13">
        <v>56462</v>
      </c>
      <c r="B513" s="9">
        <f>7.3189 * CHOOSE(CONTROL!$C$32, $C$9, 100%, $E$9)</f>
        <v>7.3189000000000002</v>
      </c>
      <c r="C513" s="9">
        <f>7.3189 * CHOOSE(CONTROL!$C$32, $C$9, 100%, $E$9)</f>
        <v>7.3189000000000002</v>
      </c>
      <c r="D513" s="9">
        <f>7.3205 * CHOOSE(CONTROL!$C$32, $C$9, 100%, $E$9)</f>
        <v>7.3205</v>
      </c>
      <c r="E513" s="11">
        <f>8.1407 * CHOOSE(CONTROL!$C$32, $C$9, 100%, $E$9)</f>
        <v>8.1407000000000007</v>
      </c>
      <c r="F513" s="11">
        <f>8.1407 * CHOOSE(CONTROL!$C$32, $C$9, 100%, $E$9)</f>
        <v>8.1407000000000007</v>
      </c>
      <c r="G513" s="11">
        <f>8.146 * CHOOSE(CONTROL!$C$32, $C$9, 100%, $E$9)</f>
        <v>8.1460000000000008</v>
      </c>
      <c r="H513" s="11">
        <f>15.6643 * CHOOSE(CONTROL!$C$32, $C$9, 100%, $E$9)</f>
        <v>15.664300000000001</v>
      </c>
      <c r="I513" s="11">
        <f>15.6696 * CHOOSE(CONTROL!$C$32, $C$9, 100%, $E$9)</f>
        <v>15.669600000000001</v>
      </c>
      <c r="J513" s="11">
        <f>15.6643 * CHOOSE(CONTROL!$C$32, $C$9, 100%, $E$9)</f>
        <v>15.664300000000001</v>
      </c>
      <c r="K513" s="11">
        <f>15.6696 * CHOOSE(CONTROL!$C$32, $C$9, 100%, $E$9)</f>
        <v>15.669600000000001</v>
      </c>
      <c r="L513" s="11">
        <f>8.1407 * CHOOSE(CONTROL!$C$32, $C$9, 100%, $E$9)</f>
        <v>8.1407000000000007</v>
      </c>
      <c r="M513" s="11">
        <f>8.146 * CHOOSE(CONTROL!$C$32, $C$9, 100%, $E$9)</f>
        <v>8.1460000000000008</v>
      </c>
      <c r="N513" s="11">
        <f>8.1407 * CHOOSE(CONTROL!$C$32, $C$9, 100%, $E$9)</f>
        <v>8.1407000000000007</v>
      </c>
      <c r="O513" s="11">
        <f>8.146 * CHOOSE(CONTROL!$C$32, $C$9, 100%, $E$9)</f>
        <v>8.1460000000000008</v>
      </c>
    </row>
    <row r="514" spans="1:15" ht="15" x14ac:dyDescent="0.2">
      <c r="A514" s="13">
        <v>56493</v>
      </c>
      <c r="B514" s="9">
        <f>7.3159 * CHOOSE(CONTROL!$C$32, $C$9, 100%, $E$9)</f>
        <v>7.3159000000000001</v>
      </c>
      <c r="C514" s="9">
        <f>7.3159 * CHOOSE(CONTROL!$C$32, $C$9, 100%, $E$9)</f>
        <v>7.3159000000000001</v>
      </c>
      <c r="D514" s="9">
        <f>7.3174 * CHOOSE(CONTROL!$C$32, $C$9, 100%, $E$9)</f>
        <v>7.3174000000000001</v>
      </c>
      <c r="E514" s="11">
        <f>8.1196 * CHOOSE(CONTROL!$C$32, $C$9, 100%, $E$9)</f>
        <v>8.1196000000000002</v>
      </c>
      <c r="F514" s="11">
        <f>8.1196 * CHOOSE(CONTROL!$C$32, $C$9, 100%, $E$9)</f>
        <v>8.1196000000000002</v>
      </c>
      <c r="G514" s="11">
        <f>8.1249 * CHOOSE(CONTROL!$C$32, $C$9, 100%, $E$9)</f>
        <v>8.1249000000000002</v>
      </c>
      <c r="H514" s="11">
        <f>15.6969 * CHOOSE(CONTROL!$C$32, $C$9, 100%, $E$9)</f>
        <v>15.696899999999999</v>
      </c>
      <c r="I514" s="11">
        <f>15.7022 * CHOOSE(CONTROL!$C$32, $C$9, 100%, $E$9)</f>
        <v>15.702199999999999</v>
      </c>
      <c r="J514" s="11">
        <f>15.6969 * CHOOSE(CONTROL!$C$32, $C$9, 100%, $E$9)</f>
        <v>15.696899999999999</v>
      </c>
      <c r="K514" s="11">
        <f>15.7022 * CHOOSE(CONTROL!$C$32, $C$9, 100%, $E$9)</f>
        <v>15.702199999999999</v>
      </c>
      <c r="L514" s="11">
        <f>8.1196 * CHOOSE(CONTROL!$C$32, $C$9, 100%, $E$9)</f>
        <v>8.1196000000000002</v>
      </c>
      <c r="M514" s="11">
        <f>8.1249 * CHOOSE(CONTROL!$C$32, $C$9, 100%, $E$9)</f>
        <v>8.1249000000000002</v>
      </c>
      <c r="N514" s="11">
        <f>8.1196 * CHOOSE(CONTROL!$C$32, $C$9, 100%, $E$9)</f>
        <v>8.1196000000000002</v>
      </c>
      <c r="O514" s="11">
        <f>8.1249 * CHOOSE(CONTROL!$C$32, $C$9, 100%, $E$9)</f>
        <v>8.1249000000000002</v>
      </c>
    </row>
    <row r="515" spans="1:15" ht="15" x14ac:dyDescent="0.2">
      <c r="A515" s="13">
        <v>56523</v>
      </c>
      <c r="B515" s="9">
        <f>7.3233 * CHOOSE(CONTROL!$C$32, $C$9, 100%, $E$9)</f>
        <v>7.3232999999999997</v>
      </c>
      <c r="C515" s="9">
        <f>7.3233 * CHOOSE(CONTROL!$C$32, $C$9, 100%, $E$9)</f>
        <v>7.3232999999999997</v>
      </c>
      <c r="D515" s="9">
        <f>7.3243 * CHOOSE(CONTROL!$C$32, $C$9, 100%, $E$9)</f>
        <v>7.3243</v>
      </c>
      <c r="E515" s="11">
        <f>8.1823 * CHOOSE(CONTROL!$C$32, $C$9, 100%, $E$9)</f>
        <v>8.1822999999999997</v>
      </c>
      <c r="F515" s="11">
        <f>8.1823 * CHOOSE(CONTROL!$C$32, $C$9, 100%, $E$9)</f>
        <v>8.1822999999999997</v>
      </c>
      <c r="G515" s="11">
        <f>8.186 * CHOOSE(CONTROL!$C$32, $C$9, 100%, $E$9)</f>
        <v>8.1859999999999999</v>
      </c>
      <c r="H515" s="11">
        <f>15.7296 * CHOOSE(CONTROL!$C$32, $C$9, 100%, $E$9)</f>
        <v>15.7296</v>
      </c>
      <c r="I515" s="11">
        <f>15.7332 * CHOOSE(CONTROL!$C$32, $C$9, 100%, $E$9)</f>
        <v>15.7332</v>
      </c>
      <c r="J515" s="11">
        <f>15.7296 * CHOOSE(CONTROL!$C$32, $C$9, 100%, $E$9)</f>
        <v>15.7296</v>
      </c>
      <c r="K515" s="11">
        <f>15.7332 * CHOOSE(CONTROL!$C$32, $C$9, 100%, $E$9)</f>
        <v>15.7332</v>
      </c>
      <c r="L515" s="11">
        <f>8.1823 * CHOOSE(CONTROL!$C$32, $C$9, 100%, $E$9)</f>
        <v>8.1822999999999997</v>
      </c>
      <c r="M515" s="11">
        <f>8.186 * CHOOSE(CONTROL!$C$32, $C$9, 100%, $E$9)</f>
        <v>8.1859999999999999</v>
      </c>
      <c r="N515" s="11">
        <f>8.1823 * CHOOSE(CONTROL!$C$32, $C$9, 100%, $E$9)</f>
        <v>8.1822999999999997</v>
      </c>
      <c r="O515" s="11">
        <f>8.186 * CHOOSE(CONTROL!$C$32, $C$9, 100%, $E$9)</f>
        <v>8.1859999999999999</v>
      </c>
    </row>
    <row r="516" spans="1:15" ht="15" x14ac:dyDescent="0.2">
      <c r="A516" s="13">
        <v>56554</v>
      </c>
      <c r="B516" s="9">
        <f>7.3263 * CHOOSE(CONTROL!$C$32, $C$9, 100%, $E$9)</f>
        <v>7.3262999999999998</v>
      </c>
      <c r="C516" s="9">
        <f>7.3263 * CHOOSE(CONTROL!$C$32, $C$9, 100%, $E$9)</f>
        <v>7.3262999999999998</v>
      </c>
      <c r="D516" s="9">
        <f>7.3274 * CHOOSE(CONTROL!$C$32, $C$9, 100%, $E$9)</f>
        <v>7.3273999999999999</v>
      </c>
      <c r="E516" s="11">
        <f>8.2226 * CHOOSE(CONTROL!$C$32, $C$9, 100%, $E$9)</f>
        <v>8.2225999999999999</v>
      </c>
      <c r="F516" s="11">
        <f>8.2226 * CHOOSE(CONTROL!$C$32, $C$9, 100%, $E$9)</f>
        <v>8.2225999999999999</v>
      </c>
      <c r="G516" s="11">
        <f>8.2262 * CHOOSE(CONTROL!$C$32, $C$9, 100%, $E$9)</f>
        <v>8.2262000000000004</v>
      </c>
      <c r="H516" s="11">
        <f>15.7624 * CHOOSE(CONTROL!$C$32, $C$9, 100%, $E$9)</f>
        <v>15.7624</v>
      </c>
      <c r="I516" s="11">
        <f>15.766 * CHOOSE(CONTROL!$C$32, $C$9, 100%, $E$9)</f>
        <v>15.766</v>
      </c>
      <c r="J516" s="11">
        <f>15.7624 * CHOOSE(CONTROL!$C$32, $C$9, 100%, $E$9)</f>
        <v>15.7624</v>
      </c>
      <c r="K516" s="11">
        <f>15.766 * CHOOSE(CONTROL!$C$32, $C$9, 100%, $E$9)</f>
        <v>15.766</v>
      </c>
      <c r="L516" s="11">
        <f>8.2226 * CHOOSE(CONTROL!$C$32, $C$9, 100%, $E$9)</f>
        <v>8.2225999999999999</v>
      </c>
      <c r="M516" s="11">
        <f>8.2262 * CHOOSE(CONTROL!$C$32, $C$9, 100%, $E$9)</f>
        <v>8.2262000000000004</v>
      </c>
      <c r="N516" s="11">
        <f>8.2226 * CHOOSE(CONTROL!$C$32, $C$9, 100%, $E$9)</f>
        <v>8.2225999999999999</v>
      </c>
      <c r="O516" s="11">
        <f>8.2262 * CHOOSE(CONTROL!$C$32, $C$9, 100%, $E$9)</f>
        <v>8.2262000000000004</v>
      </c>
    </row>
    <row r="517" spans="1:15" ht="15" x14ac:dyDescent="0.2">
      <c r="A517" s="13">
        <v>56584</v>
      </c>
      <c r="B517" s="9">
        <f>7.3263 * CHOOSE(CONTROL!$C$32, $C$9, 100%, $E$9)</f>
        <v>7.3262999999999998</v>
      </c>
      <c r="C517" s="9">
        <f>7.3263 * CHOOSE(CONTROL!$C$32, $C$9, 100%, $E$9)</f>
        <v>7.3262999999999998</v>
      </c>
      <c r="D517" s="9">
        <f>7.3274 * CHOOSE(CONTROL!$C$32, $C$9, 100%, $E$9)</f>
        <v>7.3273999999999999</v>
      </c>
      <c r="E517" s="11">
        <f>8.1273 * CHOOSE(CONTROL!$C$32, $C$9, 100%, $E$9)</f>
        <v>8.1273</v>
      </c>
      <c r="F517" s="11">
        <f>8.1273 * CHOOSE(CONTROL!$C$32, $C$9, 100%, $E$9)</f>
        <v>8.1273</v>
      </c>
      <c r="G517" s="11">
        <f>8.1309 * CHOOSE(CONTROL!$C$32, $C$9, 100%, $E$9)</f>
        <v>8.1309000000000005</v>
      </c>
      <c r="H517" s="11">
        <f>15.7952 * CHOOSE(CONTROL!$C$32, $C$9, 100%, $E$9)</f>
        <v>15.795199999999999</v>
      </c>
      <c r="I517" s="11">
        <f>15.7988 * CHOOSE(CONTROL!$C$32, $C$9, 100%, $E$9)</f>
        <v>15.7988</v>
      </c>
      <c r="J517" s="11">
        <f>15.7952 * CHOOSE(CONTROL!$C$32, $C$9, 100%, $E$9)</f>
        <v>15.795199999999999</v>
      </c>
      <c r="K517" s="11">
        <f>15.7988 * CHOOSE(CONTROL!$C$32, $C$9, 100%, $E$9)</f>
        <v>15.7988</v>
      </c>
      <c r="L517" s="11">
        <f>8.1273 * CHOOSE(CONTROL!$C$32, $C$9, 100%, $E$9)</f>
        <v>8.1273</v>
      </c>
      <c r="M517" s="11">
        <f>8.1309 * CHOOSE(CONTROL!$C$32, $C$9, 100%, $E$9)</f>
        <v>8.1309000000000005</v>
      </c>
      <c r="N517" s="11">
        <f>8.1273 * CHOOSE(CONTROL!$C$32, $C$9, 100%, $E$9)</f>
        <v>8.1273</v>
      </c>
      <c r="O517" s="11">
        <f>8.1309 * CHOOSE(CONTROL!$C$32, $C$9, 100%, $E$9)</f>
        <v>8.1309000000000005</v>
      </c>
    </row>
    <row r="518" spans="1:15" ht="15" x14ac:dyDescent="0.2">
      <c r="A518" s="13">
        <v>56615</v>
      </c>
      <c r="B518" s="9">
        <f>7.3813 * CHOOSE(CONTROL!$C$32, $C$9, 100%, $E$9)</f>
        <v>7.3813000000000004</v>
      </c>
      <c r="C518" s="9">
        <f>7.3813 * CHOOSE(CONTROL!$C$32, $C$9, 100%, $E$9)</f>
        <v>7.3813000000000004</v>
      </c>
      <c r="D518" s="9">
        <f>7.3824 * CHOOSE(CONTROL!$C$32, $C$9, 100%, $E$9)</f>
        <v>7.3823999999999996</v>
      </c>
      <c r="E518" s="11">
        <f>8.2653 * CHOOSE(CONTROL!$C$32, $C$9, 100%, $E$9)</f>
        <v>8.2652999999999999</v>
      </c>
      <c r="F518" s="11">
        <f>8.2653 * CHOOSE(CONTROL!$C$32, $C$9, 100%, $E$9)</f>
        <v>8.2652999999999999</v>
      </c>
      <c r="G518" s="11">
        <f>8.2689 * CHOOSE(CONTROL!$C$32, $C$9, 100%, $E$9)</f>
        <v>8.2689000000000004</v>
      </c>
      <c r="H518" s="11">
        <f>15.8281 * CHOOSE(CONTROL!$C$32, $C$9, 100%, $E$9)</f>
        <v>15.828099999999999</v>
      </c>
      <c r="I518" s="11">
        <f>15.8317 * CHOOSE(CONTROL!$C$32, $C$9, 100%, $E$9)</f>
        <v>15.8317</v>
      </c>
      <c r="J518" s="11">
        <f>15.8281 * CHOOSE(CONTROL!$C$32, $C$9, 100%, $E$9)</f>
        <v>15.828099999999999</v>
      </c>
      <c r="K518" s="11">
        <f>15.8317 * CHOOSE(CONTROL!$C$32, $C$9, 100%, $E$9)</f>
        <v>15.8317</v>
      </c>
      <c r="L518" s="11">
        <f>8.2653 * CHOOSE(CONTROL!$C$32, $C$9, 100%, $E$9)</f>
        <v>8.2652999999999999</v>
      </c>
      <c r="M518" s="11">
        <f>8.2689 * CHOOSE(CONTROL!$C$32, $C$9, 100%, $E$9)</f>
        <v>8.2689000000000004</v>
      </c>
      <c r="N518" s="11">
        <f>8.2653 * CHOOSE(CONTROL!$C$32, $C$9, 100%, $E$9)</f>
        <v>8.2652999999999999</v>
      </c>
      <c r="O518" s="11">
        <f>8.2689 * CHOOSE(CONTROL!$C$32, $C$9, 100%, $E$9)</f>
        <v>8.2689000000000004</v>
      </c>
    </row>
    <row r="519" spans="1:15" ht="15" x14ac:dyDescent="0.2">
      <c r="A519" s="13">
        <v>56646</v>
      </c>
      <c r="B519" s="9">
        <f>7.3783 * CHOOSE(CONTROL!$C$32, $C$9, 100%, $E$9)</f>
        <v>7.3783000000000003</v>
      </c>
      <c r="C519" s="9">
        <f>7.3783 * CHOOSE(CONTROL!$C$32, $C$9, 100%, $E$9)</f>
        <v>7.3783000000000003</v>
      </c>
      <c r="D519" s="9">
        <f>7.3794 * CHOOSE(CONTROL!$C$32, $C$9, 100%, $E$9)</f>
        <v>7.3794000000000004</v>
      </c>
      <c r="E519" s="11">
        <f>8.0773 * CHOOSE(CONTROL!$C$32, $C$9, 100%, $E$9)</f>
        <v>8.0772999999999993</v>
      </c>
      <c r="F519" s="11">
        <f>8.0773 * CHOOSE(CONTROL!$C$32, $C$9, 100%, $E$9)</f>
        <v>8.0772999999999993</v>
      </c>
      <c r="G519" s="11">
        <f>8.0809 * CHOOSE(CONTROL!$C$32, $C$9, 100%, $E$9)</f>
        <v>8.0808999999999997</v>
      </c>
      <c r="H519" s="11">
        <f>15.8611 * CHOOSE(CONTROL!$C$32, $C$9, 100%, $E$9)</f>
        <v>15.8611</v>
      </c>
      <c r="I519" s="11">
        <f>15.8647 * CHOOSE(CONTROL!$C$32, $C$9, 100%, $E$9)</f>
        <v>15.864699999999999</v>
      </c>
      <c r="J519" s="11">
        <f>15.8611 * CHOOSE(CONTROL!$C$32, $C$9, 100%, $E$9)</f>
        <v>15.8611</v>
      </c>
      <c r="K519" s="11">
        <f>15.8647 * CHOOSE(CONTROL!$C$32, $C$9, 100%, $E$9)</f>
        <v>15.864699999999999</v>
      </c>
      <c r="L519" s="11">
        <f>8.0773 * CHOOSE(CONTROL!$C$32, $C$9, 100%, $E$9)</f>
        <v>8.0772999999999993</v>
      </c>
      <c r="M519" s="11">
        <f>8.0809 * CHOOSE(CONTROL!$C$32, $C$9, 100%, $E$9)</f>
        <v>8.0808999999999997</v>
      </c>
      <c r="N519" s="11">
        <f>8.0773 * CHOOSE(CONTROL!$C$32, $C$9, 100%, $E$9)</f>
        <v>8.0772999999999993</v>
      </c>
      <c r="O519" s="11">
        <f>8.0809 * CHOOSE(CONTROL!$C$32, $C$9, 100%, $E$9)</f>
        <v>8.0808999999999997</v>
      </c>
    </row>
    <row r="520" spans="1:15" ht="15" x14ac:dyDescent="0.2">
      <c r="A520" s="13">
        <v>56674</v>
      </c>
      <c r="B520" s="9">
        <f>7.3752 * CHOOSE(CONTROL!$C$32, $C$9, 100%, $E$9)</f>
        <v>7.3752000000000004</v>
      </c>
      <c r="C520" s="9">
        <f>7.3752 * CHOOSE(CONTROL!$C$32, $C$9, 100%, $E$9)</f>
        <v>7.3752000000000004</v>
      </c>
      <c r="D520" s="9">
        <f>7.3763 * CHOOSE(CONTROL!$C$32, $C$9, 100%, $E$9)</f>
        <v>7.3762999999999996</v>
      </c>
      <c r="E520" s="11">
        <f>8.2217 * CHOOSE(CONTROL!$C$32, $C$9, 100%, $E$9)</f>
        <v>8.2217000000000002</v>
      </c>
      <c r="F520" s="11">
        <f>8.2217 * CHOOSE(CONTROL!$C$32, $C$9, 100%, $E$9)</f>
        <v>8.2217000000000002</v>
      </c>
      <c r="G520" s="11">
        <f>8.2253 * CHOOSE(CONTROL!$C$32, $C$9, 100%, $E$9)</f>
        <v>8.2253000000000007</v>
      </c>
      <c r="H520" s="11">
        <f>15.8941 * CHOOSE(CONTROL!$C$32, $C$9, 100%, $E$9)</f>
        <v>15.8941</v>
      </c>
      <c r="I520" s="11">
        <f>15.8978 * CHOOSE(CONTROL!$C$32, $C$9, 100%, $E$9)</f>
        <v>15.8978</v>
      </c>
      <c r="J520" s="11">
        <f>15.8941 * CHOOSE(CONTROL!$C$32, $C$9, 100%, $E$9)</f>
        <v>15.8941</v>
      </c>
      <c r="K520" s="11">
        <f>15.8978 * CHOOSE(CONTROL!$C$32, $C$9, 100%, $E$9)</f>
        <v>15.8978</v>
      </c>
      <c r="L520" s="11">
        <f>8.2217 * CHOOSE(CONTROL!$C$32, $C$9, 100%, $E$9)</f>
        <v>8.2217000000000002</v>
      </c>
      <c r="M520" s="11">
        <f>8.2253 * CHOOSE(CONTROL!$C$32, $C$9, 100%, $E$9)</f>
        <v>8.2253000000000007</v>
      </c>
      <c r="N520" s="11">
        <f>8.2217 * CHOOSE(CONTROL!$C$32, $C$9, 100%, $E$9)</f>
        <v>8.2217000000000002</v>
      </c>
      <c r="O520" s="11">
        <f>8.2253 * CHOOSE(CONTROL!$C$32, $C$9, 100%, $E$9)</f>
        <v>8.2253000000000007</v>
      </c>
    </row>
    <row r="521" spans="1:15" ht="15" x14ac:dyDescent="0.2">
      <c r="A521" s="13">
        <v>56705</v>
      </c>
      <c r="B521" s="9">
        <f>7.3762 * CHOOSE(CONTROL!$C$32, $C$9, 100%, $E$9)</f>
        <v>7.3761999999999999</v>
      </c>
      <c r="C521" s="9">
        <f>7.3762 * CHOOSE(CONTROL!$C$32, $C$9, 100%, $E$9)</f>
        <v>7.3761999999999999</v>
      </c>
      <c r="D521" s="9">
        <f>7.3772 * CHOOSE(CONTROL!$C$32, $C$9, 100%, $E$9)</f>
        <v>7.3772000000000002</v>
      </c>
      <c r="E521" s="11">
        <f>8.3748 * CHOOSE(CONTROL!$C$32, $C$9, 100%, $E$9)</f>
        <v>8.3748000000000005</v>
      </c>
      <c r="F521" s="11">
        <f>8.3748 * CHOOSE(CONTROL!$C$32, $C$9, 100%, $E$9)</f>
        <v>8.3748000000000005</v>
      </c>
      <c r="G521" s="11">
        <f>8.3784 * CHOOSE(CONTROL!$C$32, $C$9, 100%, $E$9)</f>
        <v>8.3783999999999992</v>
      </c>
      <c r="H521" s="11">
        <f>15.9272 * CHOOSE(CONTROL!$C$32, $C$9, 100%, $E$9)</f>
        <v>15.927199999999999</v>
      </c>
      <c r="I521" s="11">
        <f>15.9309 * CHOOSE(CONTROL!$C$32, $C$9, 100%, $E$9)</f>
        <v>15.930899999999999</v>
      </c>
      <c r="J521" s="11">
        <f>15.9272 * CHOOSE(CONTROL!$C$32, $C$9, 100%, $E$9)</f>
        <v>15.927199999999999</v>
      </c>
      <c r="K521" s="11">
        <f>15.9309 * CHOOSE(CONTROL!$C$32, $C$9, 100%, $E$9)</f>
        <v>15.930899999999999</v>
      </c>
      <c r="L521" s="11">
        <f>8.3748 * CHOOSE(CONTROL!$C$32, $C$9, 100%, $E$9)</f>
        <v>8.3748000000000005</v>
      </c>
      <c r="M521" s="11">
        <f>8.3784 * CHOOSE(CONTROL!$C$32, $C$9, 100%, $E$9)</f>
        <v>8.3783999999999992</v>
      </c>
      <c r="N521" s="11">
        <f>8.3748 * CHOOSE(CONTROL!$C$32, $C$9, 100%, $E$9)</f>
        <v>8.3748000000000005</v>
      </c>
      <c r="O521" s="11">
        <f>8.3784 * CHOOSE(CONTROL!$C$32, $C$9, 100%, $E$9)</f>
        <v>8.3783999999999992</v>
      </c>
    </row>
    <row r="522" spans="1:15" ht="15" x14ac:dyDescent="0.2">
      <c r="A522" s="13">
        <v>56735</v>
      </c>
      <c r="B522" s="9">
        <f>7.3762 * CHOOSE(CONTROL!$C$32, $C$9, 100%, $E$9)</f>
        <v>7.3761999999999999</v>
      </c>
      <c r="C522" s="9">
        <f>7.3762 * CHOOSE(CONTROL!$C$32, $C$9, 100%, $E$9)</f>
        <v>7.3761999999999999</v>
      </c>
      <c r="D522" s="9">
        <f>7.3777 * CHOOSE(CONTROL!$C$32, $C$9, 100%, $E$9)</f>
        <v>7.3776999999999999</v>
      </c>
      <c r="E522" s="11">
        <f>8.4338 * CHOOSE(CONTROL!$C$32, $C$9, 100%, $E$9)</f>
        <v>8.4337999999999997</v>
      </c>
      <c r="F522" s="11">
        <f>8.4338 * CHOOSE(CONTROL!$C$32, $C$9, 100%, $E$9)</f>
        <v>8.4337999999999997</v>
      </c>
      <c r="G522" s="11">
        <f>8.4391 * CHOOSE(CONTROL!$C$32, $C$9, 100%, $E$9)</f>
        <v>8.4390999999999998</v>
      </c>
      <c r="H522" s="11">
        <f>15.9604 * CHOOSE(CONTROL!$C$32, $C$9, 100%, $E$9)</f>
        <v>15.9604</v>
      </c>
      <c r="I522" s="11">
        <f>15.9657 * CHOOSE(CONTROL!$C$32, $C$9, 100%, $E$9)</f>
        <v>15.9657</v>
      </c>
      <c r="J522" s="11">
        <f>15.9604 * CHOOSE(CONTROL!$C$32, $C$9, 100%, $E$9)</f>
        <v>15.9604</v>
      </c>
      <c r="K522" s="11">
        <f>15.9657 * CHOOSE(CONTROL!$C$32, $C$9, 100%, $E$9)</f>
        <v>15.9657</v>
      </c>
      <c r="L522" s="11">
        <f>8.4338 * CHOOSE(CONTROL!$C$32, $C$9, 100%, $E$9)</f>
        <v>8.4337999999999997</v>
      </c>
      <c r="M522" s="11">
        <f>8.4391 * CHOOSE(CONTROL!$C$32, $C$9, 100%, $E$9)</f>
        <v>8.4390999999999998</v>
      </c>
      <c r="N522" s="11">
        <f>8.4338 * CHOOSE(CONTROL!$C$32, $C$9, 100%, $E$9)</f>
        <v>8.4337999999999997</v>
      </c>
      <c r="O522" s="11">
        <f>8.4391 * CHOOSE(CONTROL!$C$32, $C$9, 100%, $E$9)</f>
        <v>8.4390999999999998</v>
      </c>
    </row>
    <row r="523" spans="1:15" ht="15" x14ac:dyDescent="0.2">
      <c r="A523" s="13">
        <v>56766</v>
      </c>
      <c r="B523" s="9">
        <f>7.3822 * CHOOSE(CONTROL!$C$32, $C$9, 100%, $E$9)</f>
        <v>7.3822000000000001</v>
      </c>
      <c r="C523" s="9">
        <f>7.3822 * CHOOSE(CONTROL!$C$32, $C$9, 100%, $E$9)</f>
        <v>7.3822000000000001</v>
      </c>
      <c r="D523" s="9">
        <f>7.3838 * CHOOSE(CONTROL!$C$32, $C$9, 100%, $E$9)</f>
        <v>7.3837999999999999</v>
      </c>
      <c r="E523" s="11">
        <f>8.379 * CHOOSE(CONTROL!$C$32, $C$9, 100%, $E$9)</f>
        <v>8.3789999999999996</v>
      </c>
      <c r="F523" s="11">
        <f>8.379 * CHOOSE(CONTROL!$C$32, $C$9, 100%, $E$9)</f>
        <v>8.3789999999999996</v>
      </c>
      <c r="G523" s="11">
        <f>8.3843 * CHOOSE(CONTROL!$C$32, $C$9, 100%, $E$9)</f>
        <v>8.3842999999999996</v>
      </c>
      <c r="H523" s="11">
        <f>15.9937 * CHOOSE(CONTROL!$C$32, $C$9, 100%, $E$9)</f>
        <v>15.9937</v>
      </c>
      <c r="I523" s="11">
        <f>15.999 * CHOOSE(CONTROL!$C$32, $C$9, 100%, $E$9)</f>
        <v>15.999000000000001</v>
      </c>
      <c r="J523" s="11">
        <f>15.9937 * CHOOSE(CONTROL!$C$32, $C$9, 100%, $E$9)</f>
        <v>15.9937</v>
      </c>
      <c r="K523" s="11">
        <f>15.999 * CHOOSE(CONTROL!$C$32, $C$9, 100%, $E$9)</f>
        <v>15.999000000000001</v>
      </c>
      <c r="L523" s="11">
        <f>8.379 * CHOOSE(CONTROL!$C$32, $C$9, 100%, $E$9)</f>
        <v>8.3789999999999996</v>
      </c>
      <c r="M523" s="11">
        <f>8.3843 * CHOOSE(CONTROL!$C$32, $C$9, 100%, $E$9)</f>
        <v>8.3842999999999996</v>
      </c>
      <c r="N523" s="11">
        <f>8.379 * CHOOSE(CONTROL!$C$32, $C$9, 100%, $E$9)</f>
        <v>8.3789999999999996</v>
      </c>
      <c r="O523" s="11">
        <f>8.3843 * CHOOSE(CONTROL!$C$32, $C$9, 100%, $E$9)</f>
        <v>8.3842999999999996</v>
      </c>
    </row>
    <row r="524" spans="1:15" ht="15" x14ac:dyDescent="0.2">
      <c r="A524" s="13">
        <v>56796</v>
      </c>
      <c r="B524" s="9">
        <f>7.4779 * CHOOSE(CONTROL!$C$32, $C$9, 100%, $E$9)</f>
        <v>7.4779</v>
      </c>
      <c r="C524" s="9">
        <f>7.4779 * CHOOSE(CONTROL!$C$32, $C$9, 100%, $E$9)</f>
        <v>7.4779</v>
      </c>
      <c r="D524" s="9">
        <f>7.4795 * CHOOSE(CONTROL!$C$32, $C$9, 100%, $E$9)</f>
        <v>7.4794999999999998</v>
      </c>
      <c r="E524" s="11">
        <f>8.4945 * CHOOSE(CONTROL!$C$32, $C$9, 100%, $E$9)</f>
        <v>8.4945000000000004</v>
      </c>
      <c r="F524" s="11">
        <f>8.4945 * CHOOSE(CONTROL!$C$32, $C$9, 100%, $E$9)</f>
        <v>8.4945000000000004</v>
      </c>
      <c r="G524" s="11">
        <f>8.4998 * CHOOSE(CONTROL!$C$32, $C$9, 100%, $E$9)</f>
        <v>8.4998000000000005</v>
      </c>
      <c r="H524" s="11">
        <f>16.027 * CHOOSE(CONTROL!$C$32, $C$9, 100%, $E$9)</f>
        <v>16.027000000000001</v>
      </c>
      <c r="I524" s="11">
        <f>16.0323 * CHOOSE(CONTROL!$C$32, $C$9, 100%, $E$9)</f>
        <v>16.032299999999999</v>
      </c>
      <c r="J524" s="11">
        <f>16.027 * CHOOSE(CONTROL!$C$32, $C$9, 100%, $E$9)</f>
        <v>16.027000000000001</v>
      </c>
      <c r="K524" s="11">
        <f>16.0323 * CHOOSE(CONTROL!$C$32, $C$9, 100%, $E$9)</f>
        <v>16.032299999999999</v>
      </c>
      <c r="L524" s="11">
        <f>8.4945 * CHOOSE(CONTROL!$C$32, $C$9, 100%, $E$9)</f>
        <v>8.4945000000000004</v>
      </c>
      <c r="M524" s="11">
        <f>8.4998 * CHOOSE(CONTROL!$C$32, $C$9, 100%, $E$9)</f>
        <v>8.4998000000000005</v>
      </c>
      <c r="N524" s="11">
        <f>8.4945 * CHOOSE(CONTROL!$C$32, $C$9, 100%, $E$9)</f>
        <v>8.4945000000000004</v>
      </c>
      <c r="O524" s="11">
        <f>8.4998 * CHOOSE(CONTROL!$C$32, $C$9, 100%, $E$9)</f>
        <v>8.4998000000000005</v>
      </c>
    </row>
    <row r="525" spans="1:15" ht="15" x14ac:dyDescent="0.2">
      <c r="A525" s="13">
        <v>56827</v>
      </c>
      <c r="B525" s="9">
        <f>7.4846 * CHOOSE(CONTROL!$C$32, $C$9, 100%, $E$9)</f>
        <v>7.4846000000000004</v>
      </c>
      <c r="C525" s="9">
        <f>7.4846 * CHOOSE(CONTROL!$C$32, $C$9, 100%, $E$9)</f>
        <v>7.4846000000000004</v>
      </c>
      <c r="D525" s="9">
        <f>7.4862 * CHOOSE(CONTROL!$C$32, $C$9, 100%, $E$9)</f>
        <v>7.4862000000000002</v>
      </c>
      <c r="E525" s="11">
        <f>8.3222 * CHOOSE(CONTROL!$C$32, $C$9, 100%, $E$9)</f>
        <v>8.3222000000000005</v>
      </c>
      <c r="F525" s="11">
        <f>8.3222 * CHOOSE(CONTROL!$C$32, $C$9, 100%, $E$9)</f>
        <v>8.3222000000000005</v>
      </c>
      <c r="G525" s="11">
        <f>8.3275 * CHOOSE(CONTROL!$C$32, $C$9, 100%, $E$9)</f>
        <v>8.3275000000000006</v>
      </c>
      <c r="H525" s="11">
        <f>16.0604 * CHOOSE(CONTROL!$C$32, $C$9, 100%, $E$9)</f>
        <v>16.060400000000001</v>
      </c>
      <c r="I525" s="11">
        <f>16.0657 * CHOOSE(CONTROL!$C$32, $C$9, 100%, $E$9)</f>
        <v>16.0657</v>
      </c>
      <c r="J525" s="11">
        <f>16.0604 * CHOOSE(CONTROL!$C$32, $C$9, 100%, $E$9)</f>
        <v>16.060400000000001</v>
      </c>
      <c r="K525" s="11">
        <f>16.0657 * CHOOSE(CONTROL!$C$32, $C$9, 100%, $E$9)</f>
        <v>16.0657</v>
      </c>
      <c r="L525" s="11">
        <f>8.3222 * CHOOSE(CONTROL!$C$32, $C$9, 100%, $E$9)</f>
        <v>8.3222000000000005</v>
      </c>
      <c r="M525" s="11">
        <f>8.3275 * CHOOSE(CONTROL!$C$32, $C$9, 100%, $E$9)</f>
        <v>8.3275000000000006</v>
      </c>
      <c r="N525" s="11">
        <f>8.3222 * CHOOSE(CONTROL!$C$32, $C$9, 100%, $E$9)</f>
        <v>8.3222000000000005</v>
      </c>
      <c r="O525" s="11">
        <f>8.3275 * CHOOSE(CONTROL!$C$32, $C$9, 100%, $E$9)</f>
        <v>8.3275000000000006</v>
      </c>
    </row>
    <row r="526" spans="1:15" ht="15" x14ac:dyDescent="0.2">
      <c r="A526" s="13">
        <v>56858</v>
      </c>
      <c r="B526" s="9">
        <f>7.4816 * CHOOSE(CONTROL!$C$32, $C$9, 100%, $E$9)</f>
        <v>7.4816000000000003</v>
      </c>
      <c r="C526" s="9">
        <f>7.4816 * CHOOSE(CONTROL!$C$32, $C$9, 100%, $E$9)</f>
        <v>7.4816000000000003</v>
      </c>
      <c r="D526" s="9">
        <f>7.4831 * CHOOSE(CONTROL!$C$32, $C$9, 100%, $E$9)</f>
        <v>7.4831000000000003</v>
      </c>
      <c r="E526" s="11">
        <f>8.3004 * CHOOSE(CONTROL!$C$32, $C$9, 100%, $E$9)</f>
        <v>8.3003999999999998</v>
      </c>
      <c r="F526" s="11">
        <f>8.3004 * CHOOSE(CONTROL!$C$32, $C$9, 100%, $E$9)</f>
        <v>8.3003999999999998</v>
      </c>
      <c r="G526" s="11">
        <f>8.3057 * CHOOSE(CONTROL!$C$32, $C$9, 100%, $E$9)</f>
        <v>8.3056999999999999</v>
      </c>
      <c r="H526" s="11">
        <f>16.0938 * CHOOSE(CONTROL!$C$32, $C$9, 100%, $E$9)</f>
        <v>16.093800000000002</v>
      </c>
      <c r="I526" s="11">
        <f>16.0991 * CHOOSE(CONTROL!$C$32, $C$9, 100%, $E$9)</f>
        <v>16.0991</v>
      </c>
      <c r="J526" s="11">
        <f>16.0938 * CHOOSE(CONTROL!$C$32, $C$9, 100%, $E$9)</f>
        <v>16.093800000000002</v>
      </c>
      <c r="K526" s="11">
        <f>16.0991 * CHOOSE(CONTROL!$C$32, $C$9, 100%, $E$9)</f>
        <v>16.0991</v>
      </c>
      <c r="L526" s="11">
        <f>8.3004 * CHOOSE(CONTROL!$C$32, $C$9, 100%, $E$9)</f>
        <v>8.3003999999999998</v>
      </c>
      <c r="M526" s="11">
        <f>8.3057 * CHOOSE(CONTROL!$C$32, $C$9, 100%, $E$9)</f>
        <v>8.3056999999999999</v>
      </c>
      <c r="N526" s="11">
        <f>8.3004 * CHOOSE(CONTROL!$C$32, $C$9, 100%, $E$9)</f>
        <v>8.3003999999999998</v>
      </c>
      <c r="O526" s="11">
        <f>8.3057 * CHOOSE(CONTROL!$C$32, $C$9, 100%, $E$9)</f>
        <v>8.3056999999999999</v>
      </c>
    </row>
    <row r="527" spans="1:15" ht="15" x14ac:dyDescent="0.2">
      <c r="A527" s="13">
        <v>56888</v>
      </c>
      <c r="B527" s="9">
        <f>7.4896 * CHOOSE(CONTROL!$C$32, $C$9, 100%, $E$9)</f>
        <v>7.4896000000000003</v>
      </c>
      <c r="C527" s="9">
        <f>7.4896 * CHOOSE(CONTROL!$C$32, $C$9, 100%, $E$9)</f>
        <v>7.4896000000000003</v>
      </c>
      <c r="D527" s="9">
        <f>7.4906 * CHOOSE(CONTROL!$C$32, $C$9, 100%, $E$9)</f>
        <v>7.4905999999999997</v>
      </c>
      <c r="E527" s="11">
        <f>8.3656 * CHOOSE(CONTROL!$C$32, $C$9, 100%, $E$9)</f>
        <v>8.3656000000000006</v>
      </c>
      <c r="F527" s="11">
        <f>8.3656 * CHOOSE(CONTROL!$C$32, $C$9, 100%, $E$9)</f>
        <v>8.3656000000000006</v>
      </c>
      <c r="G527" s="11">
        <f>8.3692 * CHOOSE(CONTROL!$C$32, $C$9, 100%, $E$9)</f>
        <v>8.3691999999999993</v>
      </c>
      <c r="H527" s="11">
        <f>16.1274 * CHOOSE(CONTROL!$C$32, $C$9, 100%, $E$9)</f>
        <v>16.127400000000002</v>
      </c>
      <c r="I527" s="11">
        <f>16.131 * CHOOSE(CONTROL!$C$32, $C$9, 100%, $E$9)</f>
        <v>16.131</v>
      </c>
      <c r="J527" s="11">
        <f>16.1274 * CHOOSE(CONTROL!$C$32, $C$9, 100%, $E$9)</f>
        <v>16.127400000000002</v>
      </c>
      <c r="K527" s="11">
        <f>16.131 * CHOOSE(CONTROL!$C$32, $C$9, 100%, $E$9)</f>
        <v>16.131</v>
      </c>
      <c r="L527" s="11">
        <f>8.3656 * CHOOSE(CONTROL!$C$32, $C$9, 100%, $E$9)</f>
        <v>8.3656000000000006</v>
      </c>
      <c r="M527" s="11">
        <f>8.3692 * CHOOSE(CONTROL!$C$32, $C$9, 100%, $E$9)</f>
        <v>8.3691999999999993</v>
      </c>
      <c r="N527" s="11">
        <f>8.3656 * CHOOSE(CONTROL!$C$32, $C$9, 100%, $E$9)</f>
        <v>8.3656000000000006</v>
      </c>
      <c r="O527" s="11">
        <f>8.3692 * CHOOSE(CONTROL!$C$32, $C$9, 100%, $E$9)</f>
        <v>8.3691999999999993</v>
      </c>
    </row>
    <row r="528" spans="1:15" ht="15" x14ac:dyDescent="0.2">
      <c r="A528" s="13">
        <v>56919</v>
      </c>
      <c r="B528" s="9">
        <f>7.4926 * CHOOSE(CONTROL!$C$32, $C$9, 100%, $E$9)</f>
        <v>7.4926000000000004</v>
      </c>
      <c r="C528" s="9">
        <f>7.4926 * CHOOSE(CONTROL!$C$32, $C$9, 100%, $E$9)</f>
        <v>7.4926000000000004</v>
      </c>
      <c r="D528" s="9">
        <f>7.4937 * CHOOSE(CONTROL!$C$32, $C$9, 100%, $E$9)</f>
        <v>7.4936999999999996</v>
      </c>
      <c r="E528" s="11">
        <f>8.4071 * CHOOSE(CONTROL!$C$32, $C$9, 100%, $E$9)</f>
        <v>8.4070999999999998</v>
      </c>
      <c r="F528" s="11">
        <f>8.4071 * CHOOSE(CONTROL!$C$32, $C$9, 100%, $E$9)</f>
        <v>8.4070999999999998</v>
      </c>
      <c r="G528" s="11">
        <f>8.4107 * CHOOSE(CONTROL!$C$32, $C$9, 100%, $E$9)</f>
        <v>8.4107000000000003</v>
      </c>
      <c r="H528" s="11">
        <f>16.161 * CHOOSE(CONTROL!$C$32, $C$9, 100%, $E$9)</f>
        <v>16.161000000000001</v>
      </c>
      <c r="I528" s="11">
        <f>16.1646 * CHOOSE(CONTROL!$C$32, $C$9, 100%, $E$9)</f>
        <v>16.1646</v>
      </c>
      <c r="J528" s="11">
        <f>16.161 * CHOOSE(CONTROL!$C$32, $C$9, 100%, $E$9)</f>
        <v>16.161000000000001</v>
      </c>
      <c r="K528" s="11">
        <f>16.1646 * CHOOSE(CONTROL!$C$32, $C$9, 100%, $E$9)</f>
        <v>16.1646</v>
      </c>
      <c r="L528" s="11">
        <f>8.4071 * CHOOSE(CONTROL!$C$32, $C$9, 100%, $E$9)</f>
        <v>8.4070999999999998</v>
      </c>
      <c r="M528" s="11">
        <f>8.4107 * CHOOSE(CONTROL!$C$32, $C$9, 100%, $E$9)</f>
        <v>8.4107000000000003</v>
      </c>
      <c r="N528" s="11">
        <f>8.4071 * CHOOSE(CONTROL!$C$32, $C$9, 100%, $E$9)</f>
        <v>8.4070999999999998</v>
      </c>
      <c r="O528" s="11">
        <f>8.4107 * CHOOSE(CONTROL!$C$32, $C$9, 100%, $E$9)</f>
        <v>8.4107000000000003</v>
      </c>
    </row>
    <row r="529" spans="1:15" ht="15" x14ac:dyDescent="0.2">
      <c r="A529" s="13">
        <v>56949</v>
      </c>
      <c r="B529" s="9">
        <f>7.4926 * CHOOSE(CONTROL!$C$32, $C$9, 100%, $E$9)</f>
        <v>7.4926000000000004</v>
      </c>
      <c r="C529" s="9">
        <f>7.4926 * CHOOSE(CONTROL!$C$32, $C$9, 100%, $E$9)</f>
        <v>7.4926000000000004</v>
      </c>
      <c r="D529" s="9">
        <f>7.4937 * CHOOSE(CONTROL!$C$32, $C$9, 100%, $E$9)</f>
        <v>7.4936999999999996</v>
      </c>
      <c r="E529" s="11">
        <f>8.3087 * CHOOSE(CONTROL!$C$32, $C$9, 100%, $E$9)</f>
        <v>8.3087</v>
      </c>
      <c r="F529" s="11">
        <f>8.3087 * CHOOSE(CONTROL!$C$32, $C$9, 100%, $E$9)</f>
        <v>8.3087</v>
      </c>
      <c r="G529" s="11">
        <f>8.3124 * CHOOSE(CONTROL!$C$32, $C$9, 100%, $E$9)</f>
        <v>8.3124000000000002</v>
      </c>
      <c r="H529" s="11">
        <f>16.1946 * CHOOSE(CONTROL!$C$32, $C$9, 100%, $E$9)</f>
        <v>16.194600000000001</v>
      </c>
      <c r="I529" s="11">
        <f>16.1983 * CHOOSE(CONTROL!$C$32, $C$9, 100%, $E$9)</f>
        <v>16.1983</v>
      </c>
      <c r="J529" s="11">
        <f>16.1946 * CHOOSE(CONTROL!$C$32, $C$9, 100%, $E$9)</f>
        <v>16.194600000000001</v>
      </c>
      <c r="K529" s="11">
        <f>16.1983 * CHOOSE(CONTROL!$C$32, $C$9, 100%, $E$9)</f>
        <v>16.1983</v>
      </c>
      <c r="L529" s="11">
        <f>8.3087 * CHOOSE(CONTROL!$C$32, $C$9, 100%, $E$9)</f>
        <v>8.3087</v>
      </c>
      <c r="M529" s="11">
        <f>8.3124 * CHOOSE(CONTROL!$C$32, $C$9, 100%, $E$9)</f>
        <v>8.3124000000000002</v>
      </c>
      <c r="N529" s="11">
        <f>8.3087 * CHOOSE(CONTROL!$C$32, $C$9, 100%, $E$9)</f>
        <v>8.3087</v>
      </c>
      <c r="O529" s="11">
        <f>8.3124 * CHOOSE(CONTROL!$C$32, $C$9, 100%, $E$9)</f>
        <v>8.3124000000000002</v>
      </c>
    </row>
    <row r="530" spans="1:15" ht="15" x14ac:dyDescent="0.2">
      <c r="A530" s="13">
        <v>56980</v>
      </c>
      <c r="B530" s="9">
        <f>7.5488 * CHOOSE(CONTROL!$C$32, $C$9, 100%, $E$9)</f>
        <v>7.5488</v>
      </c>
      <c r="C530" s="9">
        <f>7.5488 * CHOOSE(CONTROL!$C$32, $C$9, 100%, $E$9)</f>
        <v>7.5488</v>
      </c>
      <c r="D530" s="9">
        <f>7.5498 * CHOOSE(CONTROL!$C$32, $C$9, 100%, $E$9)</f>
        <v>7.5498000000000003</v>
      </c>
      <c r="E530" s="11">
        <f>8.4508 * CHOOSE(CONTROL!$C$32, $C$9, 100%, $E$9)</f>
        <v>8.4507999999999992</v>
      </c>
      <c r="F530" s="11">
        <f>8.4508 * CHOOSE(CONTROL!$C$32, $C$9, 100%, $E$9)</f>
        <v>8.4507999999999992</v>
      </c>
      <c r="G530" s="11">
        <f>8.4544 * CHOOSE(CONTROL!$C$32, $C$9, 100%, $E$9)</f>
        <v>8.4543999999999997</v>
      </c>
      <c r="H530" s="11">
        <f>16.2284 * CHOOSE(CONTROL!$C$32, $C$9, 100%, $E$9)</f>
        <v>16.228400000000001</v>
      </c>
      <c r="I530" s="11">
        <f>16.232 * CHOOSE(CONTROL!$C$32, $C$9, 100%, $E$9)</f>
        <v>16.231999999999999</v>
      </c>
      <c r="J530" s="11">
        <f>16.2284 * CHOOSE(CONTROL!$C$32, $C$9, 100%, $E$9)</f>
        <v>16.228400000000001</v>
      </c>
      <c r="K530" s="11">
        <f>16.232 * CHOOSE(CONTROL!$C$32, $C$9, 100%, $E$9)</f>
        <v>16.231999999999999</v>
      </c>
      <c r="L530" s="11">
        <f>8.4508 * CHOOSE(CONTROL!$C$32, $C$9, 100%, $E$9)</f>
        <v>8.4507999999999992</v>
      </c>
      <c r="M530" s="11">
        <f>8.4544 * CHOOSE(CONTROL!$C$32, $C$9, 100%, $E$9)</f>
        <v>8.4543999999999997</v>
      </c>
      <c r="N530" s="11">
        <f>8.4508 * CHOOSE(CONTROL!$C$32, $C$9, 100%, $E$9)</f>
        <v>8.4507999999999992</v>
      </c>
      <c r="O530" s="11">
        <f>8.4544 * CHOOSE(CONTROL!$C$32, $C$9, 100%, $E$9)</f>
        <v>8.4543999999999997</v>
      </c>
    </row>
    <row r="531" spans="1:15" ht="15" x14ac:dyDescent="0.2">
      <c r="A531" s="13">
        <v>57011</v>
      </c>
      <c r="B531" s="9">
        <f>7.5457 * CHOOSE(CONTROL!$C$32, $C$9, 100%, $E$9)</f>
        <v>7.5457000000000001</v>
      </c>
      <c r="C531" s="9">
        <f>7.5457 * CHOOSE(CONTROL!$C$32, $C$9, 100%, $E$9)</f>
        <v>7.5457000000000001</v>
      </c>
      <c r="D531" s="9">
        <f>7.5468 * CHOOSE(CONTROL!$C$32, $C$9, 100%, $E$9)</f>
        <v>7.5468000000000002</v>
      </c>
      <c r="E531" s="11">
        <f>8.2568 * CHOOSE(CONTROL!$C$32, $C$9, 100%, $E$9)</f>
        <v>8.2568000000000001</v>
      </c>
      <c r="F531" s="11">
        <f>8.2568 * CHOOSE(CONTROL!$C$32, $C$9, 100%, $E$9)</f>
        <v>8.2568000000000001</v>
      </c>
      <c r="G531" s="11">
        <f>8.2604 * CHOOSE(CONTROL!$C$32, $C$9, 100%, $E$9)</f>
        <v>8.2604000000000006</v>
      </c>
      <c r="H531" s="11">
        <f>16.2622 * CHOOSE(CONTROL!$C$32, $C$9, 100%, $E$9)</f>
        <v>16.2622</v>
      </c>
      <c r="I531" s="11">
        <f>16.2658 * CHOOSE(CONTROL!$C$32, $C$9, 100%, $E$9)</f>
        <v>16.265799999999999</v>
      </c>
      <c r="J531" s="11">
        <f>16.2622 * CHOOSE(CONTROL!$C$32, $C$9, 100%, $E$9)</f>
        <v>16.2622</v>
      </c>
      <c r="K531" s="11">
        <f>16.2658 * CHOOSE(CONTROL!$C$32, $C$9, 100%, $E$9)</f>
        <v>16.265799999999999</v>
      </c>
      <c r="L531" s="11">
        <f>8.2568 * CHOOSE(CONTROL!$C$32, $C$9, 100%, $E$9)</f>
        <v>8.2568000000000001</v>
      </c>
      <c r="M531" s="11">
        <f>8.2604 * CHOOSE(CONTROL!$C$32, $C$9, 100%, $E$9)</f>
        <v>8.2604000000000006</v>
      </c>
      <c r="N531" s="11">
        <f>8.2568 * CHOOSE(CONTROL!$C$32, $C$9, 100%, $E$9)</f>
        <v>8.2568000000000001</v>
      </c>
      <c r="O531" s="11">
        <f>8.2604 * CHOOSE(CONTROL!$C$32, $C$9, 100%, $E$9)</f>
        <v>8.2604000000000006</v>
      </c>
    </row>
    <row r="532" spans="1:15" ht="15" x14ac:dyDescent="0.2">
      <c r="A532" s="13">
        <v>57040</v>
      </c>
      <c r="B532" s="9">
        <f>7.5427 * CHOOSE(CONTROL!$C$32, $C$9, 100%, $E$9)</f>
        <v>7.5427</v>
      </c>
      <c r="C532" s="9">
        <f>7.5427 * CHOOSE(CONTROL!$C$32, $C$9, 100%, $E$9)</f>
        <v>7.5427</v>
      </c>
      <c r="D532" s="9">
        <f>7.5438 * CHOOSE(CONTROL!$C$32, $C$9, 100%, $E$9)</f>
        <v>7.5438000000000001</v>
      </c>
      <c r="E532" s="11">
        <f>8.406 * CHOOSE(CONTROL!$C$32, $C$9, 100%, $E$9)</f>
        <v>8.4060000000000006</v>
      </c>
      <c r="F532" s="11">
        <f>8.406 * CHOOSE(CONTROL!$C$32, $C$9, 100%, $E$9)</f>
        <v>8.4060000000000006</v>
      </c>
      <c r="G532" s="11">
        <f>8.4096 * CHOOSE(CONTROL!$C$32, $C$9, 100%, $E$9)</f>
        <v>8.4095999999999993</v>
      </c>
      <c r="H532" s="11">
        <f>16.2961 * CHOOSE(CONTROL!$C$32, $C$9, 100%, $E$9)</f>
        <v>16.296099999999999</v>
      </c>
      <c r="I532" s="11">
        <f>16.2997 * CHOOSE(CONTROL!$C$32, $C$9, 100%, $E$9)</f>
        <v>16.299700000000001</v>
      </c>
      <c r="J532" s="11">
        <f>16.2961 * CHOOSE(CONTROL!$C$32, $C$9, 100%, $E$9)</f>
        <v>16.296099999999999</v>
      </c>
      <c r="K532" s="11">
        <f>16.2997 * CHOOSE(CONTROL!$C$32, $C$9, 100%, $E$9)</f>
        <v>16.299700000000001</v>
      </c>
      <c r="L532" s="11">
        <f>8.406 * CHOOSE(CONTROL!$C$32, $C$9, 100%, $E$9)</f>
        <v>8.4060000000000006</v>
      </c>
      <c r="M532" s="11">
        <f>8.4096 * CHOOSE(CONTROL!$C$32, $C$9, 100%, $E$9)</f>
        <v>8.4095999999999993</v>
      </c>
      <c r="N532" s="11">
        <f>8.406 * CHOOSE(CONTROL!$C$32, $C$9, 100%, $E$9)</f>
        <v>8.4060000000000006</v>
      </c>
      <c r="O532" s="11">
        <f>8.4096 * CHOOSE(CONTROL!$C$32, $C$9, 100%, $E$9)</f>
        <v>8.4095999999999993</v>
      </c>
    </row>
    <row r="533" spans="1:15" ht="15" x14ac:dyDescent="0.2">
      <c r="A533" s="13">
        <v>57071</v>
      </c>
      <c r="B533" s="9">
        <f>7.5438 * CHOOSE(CONTROL!$C$32, $C$9, 100%, $E$9)</f>
        <v>7.5438000000000001</v>
      </c>
      <c r="C533" s="9">
        <f>7.5438 * CHOOSE(CONTROL!$C$32, $C$9, 100%, $E$9)</f>
        <v>7.5438000000000001</v>
      </c>
      <c r="D533" s="9">
        <f>7.5448 * CHOOSE(CONTROL!$C$32, $C$9, 100%, $E$9)</f>
        <v>7.5448000000000004</v>
      </c>
      <c r="E533" s="11">
        <f>8.5642 * CHOOSE(CONTROL!$C$32, $C$9, 100%, $E$9)</f>
        <v>8.5641999999999996</v>
      </c>
      <c r="F533" s="11">
        <f>8.5642 * CHOOSE(CONTROL!$C$32, $C$9, 100%, $E$9)</f>
        <v>8.5641999999999996</v>
      </c>
      <c r="G533" s="11">
        <f>8.5678 * CHOOSE(CONTROL!$C$32, $C$9, 100%, $E$9)</f>
        <v>8.5678000000000001</v>
      </c>
      <c r="H533" s="11">
        <f>16.33 * CHOOSE(CONTROL!$C$32, $C$9, 100%, $E$9)</f>
        <v>16.329999999999998</v>
      </c>
      <c r="I533" s="11">
        <f>16.3336 * CHOOSE(CONTROL!$C$32, $C$9, 100%, $E$9)</f>
        <v>16.333600000000001</v>
      </c>
      <c r="J533" s="11">
        <f>16.33 * CHOOSE(CONTROL!$C$32, $C$9, 100%, $E$9)</f>
        <v>16.329999999999998</v>
      </c>
      <c r="K533" s="11">
        <f>16.3336 * CHOOSE(CONTROL!$C$32, $C$9, 100%, $E$9)</f>
        <v>16.333600000000001</v>
      </c>
      <c r="L533" s="11">
        <f>8.5642 * CHOOSE(CONTROL!$C$32, $C$9, 100%, $E$9)</f>
        <v>8.5641999999999996</v>
      </c>
      <c r="M533" s="11">
        <f>8.5678 * CHOOSE(CONTROL!$C$32, $C$9, 100%, $E$9)</f>
        <v>8.5678000000000001</v>
      </c>
      <c r="N533" s="11">
        <f>8.5642 * CHOOSE(CONTROL!$C$32, $C$9, 100%, $E$9)</f>
        <v>8.5641999999999996</v>
      </c>
      <c r="O533" s="11">
        <f>8.5678 * CHOOSE(CONTROL!$C$32, $C$9, 100%, $E$9)</f>
        <v>8.5678000000000001</v>
      </c>
    </row>
    <row r="534" spans="1:15" ht="15" x14ac:dyDescent="0.2">
      <c r="A534" s="13">
        <v>57101</v>
      </c>
      <c r="B534" s="9">
        <f>7.5438 * CHOOSE(CONTROL!$C$32, $C$9, 100%, $E$9)</f>
        <v>7.5438000000000001</v>
      </c>
      <c r="C534" s="9">
        <f>7.5438 * CHOOSE(CONTROL!$C$32, $C$9, 100%, $E$9)</f>
        <v>7.5438000000000001</v>
      </c>
      <c r="D534" s="9">
        <f>7.5454 * CHOOSE(CONTROL!$C$32, $C$9, 100%, $E$9)</f>
        <v>7.5453999999999999</v>
      </c>
      <c r="E534" s="11">
        <f>8.6251 * CHOOSE(CONTROL!$C$32, $C$9, 100%, $E$9)</f>
        <v>8.6250999999999998</v>
      </c>
      <c r="F534" s="11">
        <f>8.6251 * CHOOSE(CONTROL!$C$32, $C$9, 100%, $E$9)</f>
        <v>8.6250999999999998</v>
      </c>
      <c r="G534" s="11">
        <f>8.6304 * CHOOSE(CONTROL!$C$32, $C$9, 100%, $E$9)</f>
        <v>8.6303999999999998</v>
      </c>
      <c r="H534" s="11">
        <f>16.364 * CHOOSE(CONTROL!$C$32, $C$9, 100%, $E$9)</f>
        <v>16.364000000000001</v>
      </c>
      <c r="I534" s="11">
        <f>16.3693 * CHOOSE(CONTROL!$C$32, $C$9, 100%, $E$9)</f>
        <v>16.369299999999999</v>
      </c>
      <c r="J534" s="11">
        <f>16.364 * CHOOSE(CONTROL!$C$32, $C$9, 100%, $E$9)</f>
        <v>16.364000000000001</v>
      </c>
      <c r="K534" s="11">
        <f>16.3693 * CHOOSE(CONTROL!$C$32, $C$9, 100%, $E$9)</f>
        <v>16.369299999999999</v>
      </c>
      <c r="L534" s="11">
        <f>8.6251 * CHOOSE(CONTROL!$C$32, $C$9, 100%, $E$9)</f>
        <v>8.6250999999999998</v>
      </c>
      <c r="M534" s="11">
        <f>8.6304 * CHOOSE(CONTROL!$C$32, $C$9, 100%, $E$9)</f>
        <v>8.6303999999999998</v>
      </c>
      <c r="N534" s="11">
        <f>8.6251 * CHOOSE(CONTROL!$C$32, $C$9, 100%, $E$9)</f>
        <v>8.6250999999999998</v>
      </c>
      <c r="O534" s="11">
        <f>8.6304 * CHOOSE(CONTROL!$C$32, $C$9, 100%, $E$9)</f>
        <v>8.6303999999999998</v>
      </c>
    </row>
    <row r="535" spans="1:15" ht="15" x14ac:dyDescent="0.2">
      <c r="A535" s="13">
        <v>57132</v>
      </c>
      <c r="B535" s="9">
        <f>7.5499 * CHOOSE(CONTROL!$C$32, $C$9, 100%, $E$9)</f>
        <v>7.5499000000000001</v>
      </c>
      <c r="C535" s="9">
        <f>7.5499 * CHOOSE(CONTROL!$C$32, $C$9, 100%, $E$9)</f>
        <v>7.5499000000000001</v>
      </c>
      <c r="D535" s="9">
        <f>7.5514 * CHOOSE(CONTROL!$C$32, $C$9, 100%, $E$9)</f>
        <v>7.5514000000000001</v>
      </c>
      <c r="E535" s="11">
        <f>8.5684 * CHOOSE(CONTROL!$C$32, $C$9, 100%, $E$9)</f>
        <v>8.5684000000000005</v>
      </c>
      <c r="F535" s="11">
        <f>8.5684 * CHOOSE(CONTROL!$C$32, $C$9, 100%, $E$9)</f>
        <v>8.5684000000000005</v>
      </c>
      <c r="G535" s="11">
        <f>8.5737 * CHOOSE(CONTROL!$C$32, $C$9, 100%, $E$9)</f>
        <v>8.5737000000000005</v>
      </c>
      <c r="H535" s="11">
        <f>16.3981 * CHOOSE(CONTROL!$C$32, $C$9, 100%, $E$9)</f>
        <v>16.398099999999999</v>
      </c>
      <c r="I535" s="11">
        <f>16.4034 * CHOOSE(CONTROL!$C$32, $C$9, 100%, $E$9)</f>
        <v>16.403400000000001</v>
      </c>
      <c r="J535" s="11">
        <f>16.3981 * CHOOSE(CONTROL!$C$32, $C$9, 100%, $E$9)</f>
        <v>16.398099999999999</v>
      </c>
      <c r="K535" s="11">
        <f>16.4034 * CHOOSE(CONTROL!$C$32, $C$9, 100%, $E$9)</f>
        <v>16.403400000000001</v>
      </c>
      <c r="L535" s="11">
        <f>8.5684 * CHOOSE(CONTROL!$C$32, $C$9, 100%, $E$9)</f>
        <v>8.5684000000000005</v>
      </c>
      <c r="M535" s="11">
        <f>8.5737 * CHOOSE(CONTROL!$C$32, $C$9, 100%, $E$9)</f>
        <v>8.5737000000000005</v>
      </c>
      <c r="N535" s="11">
        <f>8.5684 * CHOOSE(CONTROL!$C$32, $C$9, 100%, $E$9)</f>
        <v>8.5684000000000005</v>
      </c>
      <c r="O535" s="11">
        <f>8.5737 * CHOOSE(CONTROL!$C$32, $C$9, 100%, $E$9)</f>
        <v>8.5737000000000005</v>
      </c>
    </row>
    <row r="536" spans="1:15" ht="15" x14ac:dyDescent="0.2">
      <c r="A536" s="13">
        <v>57162</v>
      </c>
      <c r="B536" s="9">
        <f>7.6474 * CHOOSE(CONTROL!$C$32, $C$9, 100%, $E$9)</f>
        <v>7.6474000000000002</v>
      </c>
      <c r="C536" s="9">
        <f>7.6474 * CHOOSE(CONTROL!$C$32, $C$9, 100%, $E$9)</f>
        <v>7.6474000000000002</v>
      </c>
      <c r="D536" s="9">
        <f>7.6489 * CHOOSE(CONTROL!$C$32, $C$9, 100%, $E$9)</f>
        <v>7.6489000000000003</v>
      </c>
      <c r="E536" s="11">
        <f>8.6867 * CHOOSE(CONTROL!$C$32, $C$9, 100%, $E$9)</f>
        <v>8.6867000000000001</v>
      </c>
      <c r="F536" s="11">
        <f>8.6867 * CHOOSE(CONTROL!$C$32, $C$9, 100%, $E$9)</f>
        <v>8.6867000000000001</v>
      </c>
      <c r="G536" s="11">
        <f>8.692 * CHOOSE(CONTROL!$C$32, $C$9, 100%, $E$9)</f>
        <v>8.6920000000000002</v>
      </c>
      <c r="H536" s="11">
        <f>16.4323 * CHOOSE(CONTROL!$C$32, $C$9, 100%, $E$9)</f>
        <v>16.432300000000001</v>
      </c>
      <c r="I536" s="11">
        <f>16.4376 * CHOOSE(CONTROL!$C$32, $C$9, 100%, $E$9)</f>
        <v>16.4376</v>
      </c>
      <c r="J536" s="11">
        <f>16.4323 * CHOOSE(CONTROL!$C$32, $C$9, 100%, $E$9)</f>
        <v>16.432300000000001</v>
      </c>
      <c r="K536" s="11">
        <f>16.4376 * CHOOSE(CONTROL!$C$32, $C$9, 100%, $E$9)</f>
        <v>16.4376</v>
      </c>
      <c r="L536" s="11">
        <f>8.6867 * CHOOSE(CONTROL!$C$32, $C$9, 100%, $E$9)</f>
        <v>8.6867000000000001</v>
      </c>
      <c r="M536" s="11">
        <f>8.692 * CHOOSE(CONTROL!$C$32, $C$9, 100%, $E$9)</f>
        <v>8.6920000000000002</v>
      </c>
      <c r="N536" s="11">
        <f>8.6867 * CHOOSE(CONTROL!$C$32, $C$9, 100%, $E$9)</f>
        <v>8.6867000000000001</v>
      </c>
      <c r="O536" s="11">
        <f>8.692 * CHOOSE(CONTROL!$C$32, $C$9, 100%, $E$9)</f>
        <v>8.6920000000000002</v>
      </c>
    </row>
    <row r="537" spans="1:15" ht="15" x14ac:dyDescent="0.2">
      <c r="A537" s="13">
        <v>57193</v>
      </c>
      <c r="B537" s="9">
        <f>7.654 * CHOOSE(CONTROL!$C$32, $C$9, 100%, $E$9)</f>
        <v>7.6539999999999999</v>
      </c>
      <c r="C537" s="9">
        <f>7.654 * CHOOSE(CONTROL!$C$32, $C$9, 100%, $E$9)</f>
        <v>7.6539999999999999</v>
      </c>
      <c r="D537" s="9">
        <f>7.6556 * CHOOSE(CONTROL!$C$32, $C$9, 100%, $E$9)</f>
        <v>7.6555999999999997</v>
      </c>
      <c r="E537" s="11">
        <f>8.5087 * CHOOSE(CONTROL!$C$32, $C$9, 100%, $E$9)</f>
        <v>8.5086999999999993</v>
      </c>
      <c r="F537" s="11">
        <f>8.5087 * CHOOSE(CONTROL!$C$32, $C$9, 100%, $E$9)</f>
        <v>8.5086999999999993</v>
      </c>
      <c r="G537" s="11">
        <f>8.5139 * CHOOSE(CONTROL!$C$32, $C$9, 100%, $E$9)</f>
        <v>8.5138999999999996</v>
      </c>
      <c r="H537" s="11">
        <f>16.4665 * CHOOSE(CONTROL!$C$32, $C$9, 100%, $E$9)</f>
        <v>16.4665</v>
      </c>
      <c r="I537" s="11">
        <f>16.4718 * CHOOSE(CONTROL!$C$32, $C$9, 100%, $E$9)</f>
        <v>16.471800000000002</v>
      </c>
      <c r="J537" s="11">
        <f>16.4665 * CHOOSE(CONTROL!$C$32, $C$9, 100%, $E$9)</f>
        <v>16.4665</v>
      </c>
      <c r="K537" s="11">
        <f>16.4718 * CHOOSE(CONTROL!$C$32, $C$9, 100%, $E$9)</f>
        <v>16.471800000000002</v>
      </c>
      <c r="L537" s="11">
        <f>8.5087 * CHOOSE(CONTROL!$C$32, $C$9, 100%, $E$9)</f>
        <v>8.5086999999999993</v>
      </c>
      <c r="M537" s="11">
        <f>8.5139 * CHOOSE(CONTROL!$C$32, $C$9, 100%, $E$9)</f>
        <v>8.5138999999999996</v>
      </c>
      <c r="N537" s="11">
        <f>8.5087 * CHOOSE(CONTROL!$C$32, $C$9, 100%, $E$9)</f>
        <v>8.5086999999999993</v>
      </c>
      <c r="O537" s="11">
        <f>8.5139 * CHOOSE(CONTROL!$C$32, $C$9, 100%, $E$9)</f>
        <v>8.5138999999999996</v>
      </c>
    </row>
    <row r="538" spans="1:15" ht="15" x14ac:dyDescent="0.2">
      <c r="A538" s="13">
        <v>57224</v>
      </c>
      <c r="B538" s="9">
        <f>7.651 * CHOOSE(CONTROL!$C$32, $C$9, 100%, $E$9)</f>
        <v>7.6509999999999998</v>
      </c>
      <c r="C538" s="9">
        <f>7.651 * CHOOSE(CONTROL!$C$32, $C$9, 100%, $E$9)</f>
        <v>7.6509999999999998</v>
      </c>
      <c r="D538" s="9">
        <f>7.6526 * CHOOSE(CONTROL!$C$32, $C$9, 100%, $E$9)</f>
        <v>7.6525999999999996</v>
      </c>
      <c r="E538" s="11">
        <f>8.4862 * CHOOSE(CONTROL!$C$32, $C$9, 100%, $E$9)</f>
        <v>8.4862000000000002</v>
      </c>
      <c r="F538" s="11">
        <f>8.4862 * CHOOSE(CONTROL!$C$32, $C$9, 100%, $E$9)</f>
        <v>8.4862000000000002</v>
      </c>
      <c r="G538" s="11">
        <f>8.4915 * CHOOSE(CONTROL!$C$32, $C$9, 100%, $E$9)</f>
        <v>8.4915000000000003</v>
      </c>
      <c r="H538" s="11">
        <f>16.5008 * CHOOSE(CONTROL!$C$32, $C$9, 100%, $E$9)</f>
        <v>16.500800000000002</v>
      </c>
      <c r="I538" s="11">
        <f>16.5061 * CHOOSE(CONTROL!$C$32, $C$9, 100%, $E$9)</f>
        <v>16.5061</v>
      </c>
      <c r="J538" s="11">
        <f>16.5008 * CHOOSE(CONTROL!$C$32, $C$9, 100%, $E$9)</f>
        <v>16.500800000000002</v>
      </c>
      <c r="K538" s="11">
        <f>16.5061 * CHOOSE(CONTROL!$C$32, $C$9, 100%, $E$9)</f>
        <v>16.5061</v>
      </c>
      <c r="L538" s="11">
        <f>8.4862 * CHOOSE(CONTROL!$C$32, $C$9, 100%, $E$9)</f>
        <v>8.4862000000000002</v>
      </c>
      <c r="M538" s="11">
        <f>8.4915 * CHOOSE(CONTROL!$C$32, $C$9, 100%, $E$9)</f>
        <v>8.4915000000000003</v>
      </c>
      <c r="N538" s="11">
        <f>8.4862 * CHOOSE(CONTROL!$C$32, $C$9, 100%, $E$9)</f>
        <v>8.4862000000000002</v>
      </c>
      <c r="O538" s="11">
        <f>8.4915 * CHOOSE(CONTROL!$C$32, $C$9, 100%, $E$9)</f>
        <v>8.4915000000000003</v>
      </c>
    </row>
    <row r="539" spans="1:15" ht="15" x14ac:dyDescent="0.2">
      <c r="A539" s="13">
        <v>57254</v>
      </c>
      <c r="B539" s="9">
        <f>7.6597 * CHOOSE(CONTROL!$C$32, $C$9, 100%, $E$9)</f>
        <v>7.6597</v>
      </c>
      <c r="C539" s="9">
        <f>7.6597 * CHOOSE(CONTROL!$C$32, $C$9, 100%, $E$9)</f>
        <v>7.6597</v>
      </c>
      <c r="D539" s="9">
        <f>7.6607 * CHOOSE(CONTROL!$C$32, $C$9, 100%, $E$9)</f>
        <v>7.6607000000000003</v>
      </c>
      <c r="E539" s="11">
        <f>8.554 * CHOOSE(CONTROL!$C$32, $C$9, 100%, $E$9)</f>
        <v>8.5540000000000003</v>
      </c>
      <c r="F539" s="11">
        <f>8.554 * CHOOSE(CONTROL!$C$32, $C$9, 100%, $E$9)</f>
        <v>8.5540000000000003</v>
      </c>
      <c r="G539" s="11">
        <f>8.5577 * CHOOSE(CONTROL!$C$32, $C$9, 100%, $E$9)</f>
        <v>8.5577000000000005</v>
      </c>
      <c r="H539" s="11">
        <f>16.5352 * CHOOSE(CONTROL!$C$32, $C$9, 100%, $E$9)</f>
        <v>16.5352</v>
      </c>
      <c r="I539" s="11">
        <f>16.5388 * CHOOSE(CONTROL!$C$32, $C$9, 100%, $E$9)</f>
        <v>16.538799999999998</v>
      </c>
      <c r="J539" s="11">
        <f>16.5352 * CHOOSE(CONTROL!$C$32, $C$9, 100%, $E$9)</f>
        <v>16.5352</v>
      </c>
      <c r="K539" s="11">
        <f>16.5388 * CHOOSE(CONTROL!$C$32, $C$9, 100%, $E$9)</f>
        <v>16.538799999999998</v>
      </c>
      <c r="L539" s="11">
        <f>8.554 * CHOOSE(CONTROL!$C$32, $C$9, 100%, $E$9)</f>
        <v>8.5540000000000003</v>
      </c>
      <c r="M539" s="11">
        <f>8.5577 * CHOOSE(CONTROL!$C$32, $C$9, 100%, $E$9)</f>
        <v>8.5577000000000005</v>
      </c>
      <c r="N539" s="11">
        <f>8.554 * CHOOSE(CONTROL!$C$32, $C$9, 100%, $E$9)</f>
        <v>8.5540000000000003</v>
      </c>
      <c r="O539" s="11">
        <f>8.5577 * CHOOSE(CONTROL!$C$32, $C$9, 100%, $E$9)</f>
        <v>8.5577000000000005</v>
      </c>
    </row>
    <row r="540" spans="1:15" ht="15" x14ac:dyDescent="0.2">
      <c r="A540" s="13">
        <v>57285</v>
      </c>
      <c r="B540" s="9">
        <f>7.6627 * CHOOSE(CONTROL!$C$32, $C$9, 100%, $E$9)</f>
        <v>7.6627000000000001</v>
      </c>
      <c r="C540" s="9">
        <f>7.6627 * CHOOSE(CONTROL!$C$32, $C$9, 100%, $E$9)</f>
        <v>7.6627000000000001</v>
      </c>
      <c r="D540" s="9">
        <f>7.6638 * CHOOSE(CONTROL!$C$32, $C$9, 100%, $E$9)</f>
        <v>7.6638000000000002</v>
      </c>
      <c r="E540" s="11">
        <f>8.5968 * CHOOSE(CONTROL!$C$32, $C$9, 100%, $E$9)</f>
        <v>8.5968</v>
      </c>
      <c r="F540" s="11">
        <f>8.5968 * CHOOSE(CONTROL!$C$32, $C$9, 100%, $E$9)</f>
        <v>8.5968</v>
      </c>
      <c r="G540" s="11">
        <f>8.6004 * CHOOSE(CONTROL!$C$32, $C$9, 100%, $E$9)</f>
        <v>8.6004000000000005</v>
      </c>
      <c r="H540" s="11">
        <f>16.5697 * CHOOSE(CONTROL!$C$32, $C$9, 100%, $E$9)</f>
        <v>16.569700000000001</v>
      </c>
      <c r="I540" s="11">
        <f>16.5733 * CHOOSE(CONTROL!$C$32, $C$9, 100%, $E$9)</f>
        <v>16.5733</v>
      </c>
      <c r="J540" s="11">
        <f>16.5697 * CHOOSE(CONTROL!$C$32, $C$9, 100%, $E$9)</f>
        <v>16.569700000000001</v>
      </c>
      <c r="K540" s="11">
        <f>16.5733 * CHOOSE(CONTROL!$C$32, $C$9, 100%, $E$9)</f>
        <v>16.5733</v>
      </c>
      <c r="L540" s="11">
        <f>8.5968 * CHOOSE(CONTROL!$C$32, $C$9, 100%, $E$9)</f>
        <v>8.5968</v>
      </c>
      <c r="M540" s="11">
        <f>8.6004 * CHOOSE(CONTROL!$C$32, $C$9, 100%, $E$9)</f>
        <v>8.6004000000000005</v>
      </c>
      <c r="N540" s="11">
        <f>8.5968 * CHOOSE(CONTROL!$C$32, $C$9, 100%, $E$9)</f>
        <v>8.5968</v>
      </c>
      <c r="O540" s="11">
        <f>8.6004 * CHOOSE(CONTROL!$C$32, $C$9, 100%, $E$9)</f>
        <v>8.6004000000000005</v>
      </c>
    </row>
    <row r="541" spans="1:15" ht="15" x14ac:dyDescent="0.2">
      <c r="A541" s="13">
        <v>57315</v>
      </c>
      <c r="B541" s="9">
        <f>7.6627 * CHOOSE(CONTROL!$C$32, $C$9, 100%, $E$9)</f>
        <v>7.6627000000000001</v>
      </c>
      <c r="C541" s="9">
        <f>7.6627 * CHOOSE(CONTROL!$C$32, $C$9, 100%, $E$9)</f>
        <v>7.6627000000000001</v>
      </c>
      <c r="D541" s="9">
        <f>7.6638 * CHOOSE(CONTROL!$C$32, $C$9, 100%, $E$9)</f>
        <v>7.6638000000000002</v>
      </c>
      <c r="E541" s="11">
        <f>8.4952 * CHOOSE(CONTROL!$C$32, $C$9, 100%, $E$9)</f>
        <v>8.4952000000000005</v>
      </c>
      <c r="F541" s="11">
        <f>8.4952 * CHOOSE(CONTROL!$C$32, $C$9, 100%, $E$9)</f>
        <v>8.4952000000000005</v>
      </c>
      <c r="G541" s="11">
        <f>8.4989 * CHOOSE(CONTROL!$C$32, $C$9, 100%, $E$9)</f>
        <v>8.4989000000000008</v>
      </c>
      <c r="H541" s="11">
        <f>16.6042 * CHOOSE(CONTROL!$C$32, $C$9, 100%, $E$9)</f>
        <v>16.604199999999999</v>
      </c>
      <c r="I541" s="11">
        <f>16.6078 * CHOOSE(CONTROL!$C$32, $C$9, 100%, $E$9)</f>
        <v>16.607800000000001</v>
      </c>
      <c r="J541" s="11">
        <f>16.6042 * CHOOSE(CONTROL!$C$32, $C$9, 100%, $E$9)</f>
        <v>16.604199999999999</v>
      </c>
      <c r="K541" s="11">
        <f>16.6078 * CHOOSE(CONTROL!$C$32, $C$9, 100%, $E$9)</f>
        <v>16.607800000000001</v>
      </c>
      <c r="L541" s="11">
        <f>8.4952 * CHOOSE(CONTROL!$C$32, $C$9, 100%, $E$9)</f>
        <v>8.4952000000000005</v>
      </c>
      <c r="M541" s="11">
        <f>8.4989 * CHOOSE(CONTROL!$C$32, $C$9, 100%, $E$9)</f>
        <v>8.4989000000000008</v>
      </c>
      <c r="N541" s="11">
        <f>8.4952 * CHOOSE(CONTROL!$C$32, $C$9, 100%, $E$9)</f>
        <v>8.4952000000000005</v>
      </c>
      <c r="O541" s="11">
        <f>8.4989 * CHOOSE(CONTROL!$C$32, $C$9, 100%, $E$9)</f>
        <v>8.4989000000000008</v>
      </c>
    </row>
    <row r="542" spans="1:15" ht="15" x14ac:dyDescent="0.2">
      <c r="A542" s="13">
        <v>57346</v>
      </c>
      <c r="B542" s="9">
        <f>7.72 * CHOOSE(CONTROL!$C$32, $C$9, 100%, $E$9)</f>
        <v>7.72</v>
      </c>
      <c r="C542" s="9">
        <f>7.72 * CHOOSE(CONTROL!$C$32, $C$9, 100%, $E$9)</f>
        <v>7.72</v>
      </c>
      <c r="D542" s="9">
        <f>7.7211 * CHOOSE(CONTROL!$C$32, $C$9, 100%, $E$9)</f>
        <v>7.7210999999999999</v>
      </c>
      <c r="E542" s="11">
        <f>8.6415 * CHOOSE(CONTROL!$C$32, $C$9, 100%, $E$9)</f>
        <v>8.6415000000000006</v>
      </c>
      <c r="F542" s="11">
        <f>8.6415 * CHOOSE(CONTROL!$C$32, $C$9, 100%, $E$9)</f>
        <v>8.6415000000000006</v>
      </c>
      <c r="G542" s="11">
        <f>8.6451 * CHOOSE(CONTROL!$C$32, $C$9, 100%, $E$9)</f>
        <v>8.6450999999999993</v>
      </c>
      <c r="H542" s="11">
        <f>16.6388 * CHOOSE(CONTROL!$C$32, $C$9, 100%, $E$9)</f>
        <v>16.6388</v>
      </c>
      <c r="I542" s="11">
        <f>16.6424 * CHOOSE(CONTROL!$C$32, $C$9, 100%, $E$9)</f>
        <v>16.642399999999999</v>
      </c>
      <c r="J542" s="11">
        <f>16.6388 * CHOOSE(CONTROL!$C$32, $C$9, 100%, $E$9)</f>
        <v>16.6388</v>
      </c>
      <c r="K542" s="11">
        <f>16.6424 * CHOOSE(CONTROL!$C$32, $C$9, 100%, $E$9)</f>
        <v>16.642399999999999</v>
      </c>
      <c r="L542" s="11">
        <f>8.6415 * CHOOSE(CONTROL!$C$32, $C$9, 100%, $E$9)</f>
        <v>8.6415000000000006</v>
      </c>
      <c r="M542" s="11">
        <f>8.6451 * CHOOSE(CONTROL!$C$32, $C$9, 100%, $E$9)</f>
        <v>8.6450999999999993</v>
      </c>
      <c r="N542" s="11">
        <f>8.6415 * CHOOSE(CONTROL!$C$32, $C$9, 100%, $E$9)</f>
        <v>8.6415000000000006</v>
      </c>
      <c r="O542" s="11">
        <f>8.6451 * CHOOSE(CONTROL!$C$32, $C$9, 100%, $E$9)</f>
        <v>8.6450999999999993</v>
      </c>
    </row>
    <row r="543" spans="1:15" ht="15" x14ac:dyDescent="0.2">
      <c r="A543" s="13">
        <v>57377</v>
      </c>
      <c r="B543" s="9">
        <f>7.717 * CHOOSE(CONTROL!$C$32, $C$9, 100%, $E$9)</f>
        <v>7.7169999999999996</v>
      </c>
      <c r="C543" s="9">
        <f>7.717 * CHOOSE(CONTROL!$C$32, $C$9, 100%, $E$9)</f>
        <v>7.7169999999999996</v>
      </c>
      <c r="D543" s="9">
        <f>7.7181 * CHOOSE(CONTROL!$C$32, $C$9, 100%, $E$9)</f>
        <v>7.7180999999999997</v>
      </c>
      <c r="E543" s="11">
        <f>8.4413 * CHOOSE(CONTROL!$C$32, $C$9, 100%, $E$9)</f>
        <v>8.4413</v>
      </c>
      <c r="F543" s="11">
        <f>8.4413 * CHOOSE(CONTROL!$C$32, $C$9, 100%, $E$9)</f>
        <v>8.4413</v>
      </c>
      <c r="G543" s="11">
        <f>8.4449 * CHOOSE(CONTROL!$C$32, $C$9, 100%, $E$9)</f>
        <v>8.4449000000000005</v>
      </c>
      <c r="H543" s="11">
        <f>16.6734 * CHOOSE(CONTROL!$C$32, $C$9, 100%, $E$9)</f>
        <v>16.673400000000001</v>
      </c>
      <c r="I543" s="11">
        <f>16.6771 * CHOOSE(CONTROL!$C$32, $C$9, 100%, $E$9)</f>
        <v>16.677099999999999</v>
      </c>
      <c r="J543" s="11">
        <f>16.6734 * CHOOSE(CONTROL!$C$32, $C$9, 100%, $E$9)</f>
        <v>16.673400000000001</v>
      </c>
      <c r="K543" s="11">
        <f>16.6771 * CHOOSE(CONTROL!$C$32, $C$9, 100%, $E$9)</f>
        <v>16.677099999999999</v>
      </c>
      <c r="L543" s="11">
        <f>8.4413 * CHOOSE(CONTROL!$C$32, $C$9, 100%, $E$9)</f>
        <v>8.4413</v>
      </c>
      <c r="M543" s="11">
        <f>8.4449 * CHOOSE(CONTROL!$C$32, $C$9, 100%, $E$9)</f>
        <v>8.4449000000000005</v>
      </c>
      <c r="N543" s="11">
        <f>8.4413 * CHOOSE(CONTROL!$C$32, $C$9, 100%, $E$9)</f>
        <v>8.4413</v>
      </c>
      <c r="O543" s="11">
        <f>8.4449 * CHOOSE(CONTROL!$C$32, $C$9, 100%, $E$9)</f>
        <v>8.4449000000000005</v>
      </c>
    </row>
    <row r="544" spans="1:15" ht="15" x14ac:dyDescent="0.2">
      <c r="A544" s="13">
        <v>57405</v>
      </c>
      <c r="B544" s="9">
        <f>7.7139 * CHOOSE(CONTROL!$C$32, $C$9, 100%, $E$9)</f>
        <v>7.7138999999999998</v>
      </c>
      <c r="C544" s="9">
        <f>7.7139 * CHOOSE(CONTROL!$C$32, $C$9, 100%, $E$9)</f>
        <v>7.7138999999999998</v>
      </c>
      <c r="D544" s="9">
        <f>7.715 * CHOOSE(CONTROL!$C$32, $C$9, 100%, $E$9)</f>
        <v>7.7149999999999999</v>
      </c>
      <c r="E544" s="11">
        <f>8.5954 * CHOOSE(CONTROL!$C$32, $C$9, 100%, $E$9)</f>
        <v>8.5953999999999997</v>
      </c>
      <c r="F544" s="11">
        <f>8.5954 * CHOOSE(CONTROL!$C$32, $C$9, 100%, $E$9)</f>
        <v>8.5953999999999997</v>
      </c>
      <c r="G544" s="11">
        <f>8.599 * CHOOSE(CONTROL!$C$32, $C$9, 100%, $E$9)</f>
        <v>8.5990000000000002</v>
      </c>
      <c r="H544" s="11">
        <f>16.7082 * CHOOSE(CONTROL!$C$32, $C$9, 100%, $E$9)</f>
        <v>16.708200000000001</v>
      </c>
      <c r="I544" s="11">
        <f>16.7118 * CHOOSE(CONTROL!$C$32, $C$9, 100%, $E$9)</f>
        <v>16.7118</v>
      </c>
      <c r="J544" s="11">
        <f>16.7082 * CHOOSE(CONTROL!$C$32, $C$9, 100%, $E$9)</f>
        <v>16.708200000000001</v>
      </c>
      <c r="K544" s="11">
        <f>16.7118 * CHOOSE(CONTROL!$C$32, $C$9, 100%, $E$9)</f>
        <v>16.7118</v>
      </c>
      <c r="L544" s="11">
        <f>8.5954 * CHOOSE(CONTROL!$C$32, $C$9, 100%, $E$9)</f>
        <v>8.5953999999999997</v>
      </c>
      <c r="M544" s="11">
        <f>8.599 * CHOOSE(CONTROL!$C$32, $C$9, 100%, $E$9)</f>
        <v>8.5990000000000002</v>
      </c>
      <c r="N544" s="11">
        <f>8.5954 * CHOOSE(CONTROL!$C$32, $C$9, 100%, $E$9)</f>
        <v>8.5953999999999997</v>
      </c>
      <c r="O544" s="11">
        <f>8.599 * CHOOSE(CONTROL!$C$32, $C$9, 100%, $E$9)</f>
        <v>8.5990000000000002</v>
      </c>
    </row>
    <row r="545" spans="1:15" ht="15" x14ac:dyDescent="0.2">
      <c r="A545" s="13">
        <v>57436</v>
      </c>
      <c r="B545" s="9">
        <f>7.7152 * CHOOSE(CONTROL!$C$32, $C$9, 100%, $E$9)</f>
        <v>7.7152000000000003</v>
      </c>
      <c r="C545" s="9">
        <f>7.7152 * CHOOSE(CONTROL!$C$32, $C$9, 100%, $E$9)</f>
        <v>7.7152000000000003</v>
      </c>
      <c r="D545" s="9">
        <f>7.7163 * CHOOSE(CONTROL!$C$32, $C$9, 100%, $E$9)</f>
        <v>7.7163000000000004</v>
      </c>
      <c r="E545" s="11">
        <f>8.7588 * CHOOSE(CONTROL!$C$32, $C$9, 100%, $E$9)</f>
        <v>8.7588000000000008</v>
      </c>
      <c r="F545" s="11">
        <f>8.7588 * CHOOSE(CONTROL!$C$32, $C$9, 100%, $E$9)</f>
        <v>8.7588000000000008</v>
      </c>
      <c r="G545" s="11">
        <f>8.7625 * CHOOSE(CONTROL!$C$32, $C$9, 100%, $E$9)</f>
        <v>8.7624999999999993</v>
      </c>
      <c r="H545" s="11">
        <f>16.743 * CHOOSE(CONTROL!$C$32, $C$9, 100%, $E$9)</f>
        <v>16.742999999999999</v>
      </c>
      <c r="I545" s="11">
        <f>16.7466 * CHOOSE(CONTROL!$C$32, $C$9, 100%, $E$9)</f>
        <v>16.746600000000001</v>
      </c>
      <c r="J545" s="11">
        <f>16.743 * CHOOSE(CONTROL!$C$32, $C$9, 100%, $E$9)</f>
        <v>16.742999999999999</v>
      </c>
      <c r="K545" s="11">
        <f>16.7466 * CHOOSE(CONTROL!$C$32, $C$9, 100%, $E$9)</f>
        <v>16.746600000000001</v>
      </c>
      <c r="L545" s="11">
        <f>8.7588 * CHOOSE(CONTROL!$C$32, $C$9, 100%, $E$9)</f>
        <v>8.7588000000000008</v>
      </c>
      <c r="M545" s="11">
        <f>8.7625 * CHOOSE(CONTROL!$C$32, $C$9, 100%, $E$9)</f>
        <v>8.7624999999999993</v>
      </c>
      <c r="N545" s="11">
        <f>8.7588 * CHOOSE(CONTROL!$C$32, $C$9, 100%, $E$9)</f>
        <v>8.7588000000000008</v>
      </c>
      <c r="O545" s="11">
        <f>8.7625 * CHOOSE(CONTROL!$C$32, $C$9, 100%, $E$9)</f>
        <v>8.7624999999999993</v>
      </c>
    </row>
    <row r="546" spans="1:15" ht="15" x14ac:dyDescent="0.2">
      <c r="A546" s="13">
        <v>57466</v>
      </c>
      <c r="B546" s="9">
        <f>7.7152 * CHOOSE(CONTROL!$C$32, $C$9, 100%, $E$9)</f>
        <v>7.7152000000000003</v>
      </c>
      <c r="C546" s="9">
        <f>7.7152 * CHOOSE(CONTROL!$C$32, $C$9, 100%, $E$9)</f>
        <v>7.7152000000000003</v>
      </c>
      <c r="D546" s="9">
        <f>7.7168 * CHOOSE(CONTROL!$C$32, $C$9, 100%, $E$9)</f>
        <v>7.7168000000000001</v>
      </c>
      <c r="E546" s="11">
        <f>8.8217 * CHOOSE(CONTROL!$C$32, $C$9, 100%, $E$9)</f>
        <v>8.8216999999999999</v>
      </c>
      <c r="F546" s="11">
        <f>8.8217 * CHOOSE(CONTROL!$C$32, $C$9, 100%, $E$9)</f>
        <v>8.8216999999999999</v>
      </c>
      <c r="G546" s="11">
        <f>8.827 * CHOOSE(CONTROL!$C$32, $C$9, 100%, $E$9)</f>
        <v>8.827</v>
      </c>
      <c r="H546" s="11">
        <f>16.7779 * CHOOSE(CONTROL!$C$32, $C$9, 100%, $E$9)</f>
        <v>16.777899999999999</v>
      </c>
      <c r="I546" s="11">
        <f>16.7832 * CHOOSE(CONTROL!$C$32, $C$9, 100%, $E$9)</f>
        <v>16.783200000000001</v>
      </c>
      <c r="J546" s="11">
        <f>16.7779 * CHOOSE(CONTROL!$C$32, $C$9, 100%, $E$9)</f>
        <v>16.777899999999999</v>
      </c>
      <c r="K546" s="11">
        <f>16.7832 * CHOOSE(CONTROL!$C$32, $C$9, 100%, $E$9)</f>
        <v>16.783200000000001</v>
      </c>
      <c r="L546" s="11">
        <f>8.8217 * CHOOSE(CONTROL!$C$32, $C$9, 100%, $E$9)</f>
        <v>8.8216999999999999</v>
      </c>
      <c r="M546" s="11">
        <f>8.827 * CHOOSE(CONTROL!$C$32, $C$9, 100%, $E$9)</f>
        <v>8.827</v>
      </c>
      <c r="N546" s="11">
        <f>8.8217 * CHOOSE(CONTROL!$C$32, $C$9, 100%, $E$9)</f>
        <v>8.8216999999999999</v>
      </c>
      <c r="O546" s="11">
        <f>8.827 * CHOOSE(CONTROL!$C$32, $C$9, 100%, $E$9)</f>
        <v>8.827</v>
      </c>
    </row>
    <row r="547" spans="1:15" ht="15" x14ac:dyDescent="0.2">
      <c r="A547" s="13">
        <v>57497</v>
      </c>
      <c r="B547" s="9">
        <f>7.7213 * CHOOSE(CONTROL!$C$32, $C$9, 100%, $E$9)</f>
        <v>7.7213000000000003</v>
      </c>
      <c r="C547" s="9">
        <f>7.7213 * CHOOSE(CONTROL!$C$32, $C$9, 100%, $E$9)</f>
        <v>7.7213000000000003</v>
      </c>
      <c r="D547" s="9">
        <f>7.7228 * CHOOSE(CONTROL!$C$32, $C$9, 100%, $E$9)</f>
        <v>7.7228000000000003</v>
      </c>
      <c r="E547" s="11">
        <f>8.7631 * CHOOSE(CONTROL!$C$32, $C$9, 100%, $E$9)</f>
        <v>8.7630999999999997</v>
      </c>
      <c r="F547" s="11">
        <f>8.7631 * CHOOSE(CONTROL!$C$32, $C$9, 100%, $E$9)</f>
        <v>8.7630999999999997</v>
      </c>
      <c r="G547" s="11">
        <f>8.7684 * CHOOSE(CONTROL!$C$32, $C$9, 100%, $E$9)</f>
        <v>8.7683999999999997</v>
      </c>
      <c r="H547" s="11">
        <f>16.8128 * CHOOSE(CONTROL!$C$32, $C$9, 100%, $E$9)</f>
        <v>16.812799999999999</v>
      </c>
      <c r="I547" s="11">
        <f>16.8181 * CHOOSE(CONTROL!$C$32, $C$9, 100%, $E$9)</f>
        <v>16.818100000000001</v>
      </c>
      <c r="J547" s="11">
        <f>16.8128 * CHOOSE(CONTROL!$C$32, $C$9, 100%, $E$9)</f>
        <v>16.812799999999999</v>
      </c>
      <c r="K547" s="11">
        <f>16.8181 * CHOOSE(CONTROL!$C$32, $C$9, 100%, $E$9)</f>
        <v>16.818100000000001</v>
      </c>
      <c r="L547" s="11">
        <f>8.7631 * CHOOSE(CONTROL!$C$32, $C$9, 100%, $E$9)</f>
        <v>8.7630999999999997</v>
      </c>
      <c r="M547" s="11">
        <f>8.7684 * CHOOSE(CONTROL!$C$32, $C$9, 100%, $E$9)</f>
        <v>8.7683999999999997</v>
      </c>
      <c r="N547" s="11">
        <f>8.7631 * CHOOSE(CONTROL!$C$32, $C$9, 100%, $E$9)</f>
        <v>8.7630999999999997</v>
      </c>
      <c r="O547" s="11">
        <f>8.7684 * CHOOSE(CONTROL!$C$32, $C$9, 100%, $E$9)</f>
        <v>8.7683999999999997</v>
      </c>
    </row>
    <row r="548" spans="1:15" ht="15" x14ac:dyDescent="0.2">
      <c r="A548" s="13">
        <v>57527</v>
      </c>
      <c r="B548" s="9">
        <f>7.8207 * CHOOSE(CONTROL!$C$32, $C$9, 100%, $E$9)</f>
        <v>7.8207000000000004</v>
      </c>
      <c r="C548" s="9">
        <f>7.8207 * CHOOSE(CONTROL!$C$32, $C$9, 100%, $E$9)</f>
        <v>7.8207000000000004</v>
      </c>
      <c r="D548" s="9">
        <f>7.8222 * CHOOSE(CONTROL!$C$32, $C$9, 100%, $E$9)</f>
        <v>7.8221999999999996</v>
      </c>
      <c r="E548" s="11">
        <f>8.8842 * CHOOSE(CONTROL!$C$32, $C$9, 100%, $E$9)</f>
        <v>8.8841999999999999</v>
      </c>
      <c r="F548" s="11">
        <f>8.8842 * CHOOSE(CONTROL!$C$32, $C$9, 100%, $E$9)</f>
        <v>8.8841999999999999</v>
      </c>
      <c r="G548" s="11">
        <f>8.8895 * CHOOSE(CONTROL!$C$32, $C$9, 100%, $E$9)</f>
        <v>8.8895</v>
      </c>
      <c r="H548" s="11">
        <f>16.8478 * CHOOSE(CONTROL!$C$32, $C$9, 100%, $E$9)</f>
        <v>16.847799999999999</v>
      </c>
      <c r="I548" s="11">
        <f>16.8531 * CHOOSE(CONTROL!$C$32, $C$9, 100%, $E$9)</f>
        <v>16.853100000000001</v>
      </c>
      <c r="J548" s="11">
        <f>16.8478 * CHOOSE(CONTROL!$C$32, $C$9, 100%, $E$9)</f>
        <v>16.847799999999999</v>
      </c>
      <c r="K548" s="11">
        <f>16.8531 * CHOOSE(CONTROL!$C$32, $C$9, 100%, $E$9)</f>
        <v>16.853100000000001</v>
      </c>
      <c r="L548" s="11">
        <f>8.8842 * CHOOSE(CONTROL!$C$32, $C$9, 100%, $E$9)</f>
        <v>8.8841999999999999</v>
      </c>
      <c r="M548" s="11">
        <f>8.8895 * CHOOSE(CONTROL!$C$32, $C$9, 100%, $E$9)</f>
        <v>8.8895</v>
      </c>
      <c r="N548" s="11">
        <f>8.8842 * CHOOSE(CONTROL!$C$32, $C$9, 100%, $E$9)</f>
        <v>8.8841999999999999</v>
      </c>
      <c r="O548" s="11">
        <f>8.8895 * CHOOSE(CONTROL!$C$32, $C$9, 100%, $E$9)</f>
        <v>8.8895</v>
      </c>
    </row>
    <row r="549" spans="1:15" ht="15" x14ac:dyDescent="0.2">
      <c r="A549" s="13">
        <v>57558</v>
      </c>
      <c r="B549" s="9">
        <f>7.8273 * CHOOSE(CONTROL!$C$32, $C$9, 100%, $E$9)</f>
        <v>7.8273000000000001</v>
      </c>
      <c r="C549" s="9">
        <f>7.8273 * CHOOSE(CONTROL!$C$32, $C$9, 100%, $E$9)</f>
        <v>7.8273000000000001</v>
      </c>
      <c r="D549" s="9">
        <f>7.8289 * CHOOSE(CONTROL!$C$32, $C$9, 100%, $E$9)</f>
        <v>7.8289</v>
      </c>
      <c r="E549" s="11">
        <f>8.7002 * CHOOSE(CONTROL!$C$32, $C$9, 100%, $E$9)</f>
        <v>8.7002000000000006</v>
      </c>
      <c r="F549" s="11">
        <f>8.7002 * CHOOSE(CONTROL!$C$32, $C$9, 100%, $E$9)</f>
        <v>8.7002000000000006</v>
      </c>
      <c r="G549" s="11">
        <f>8.7055 * CHOOSE(CONTROL!$C$32, $C$9, 100%, $E$9)</f>
        <v>8.7055000000000007</v>
      </c>
      <c r="H549" s="11">
        <f>16.8829 * CHOOSE(CONTROL!$C$32, $C$9, 100%, $E$9)</f>
        <v>16.882899999999999</v>
      </c>
      <c r="I549" s="11">
        <f>16.8882 * CHOOSE(CONTROL!$C$32, $C$9, 100%, $E$9)</f>
        <v>16.888200000000001</v>
      </c>
      <c r="J549" s="11">
        <f>16.8829 * CHOOSE(CONTROL!$C$32, $C$9, 100%, $E$9)</f>
        <v>16.882899999999999</v>
      </c>
      <c r="K549" s="11">
        <f>16.8882 * CHOOSE(CONTROL!$C$32, $C$9, 100%, $E$9)</f>
        <v>16.888200000000001</v>
      </c>
      <c r="L549" s="11">
        <f>8.7002 * CHOOSE(CONTROL!$C$32, $C$9, 100%, $E$9)</f>
        <v>8.7002000000000006</v>
      </c>
      <c r="M549" s="11">
        <f>8.7055 * CHOOSE(CONTROL!$C$32, $C$9, 100%, $E$9)</f>
        <v>8.7055000000000007</v>
      </c>
      <c r="N549" s="11">
        <f>8.7002 * CHOOSE(CONTROL!$C$32, $C$9, 100%, $E$9)</f>
        <v>8.7002000000000006</v>
      </c>
      <c r="O549" s="11">
        <f>8.7055 * CHOOSE(CONTROL!$C$32, $C$9, 100%, $E$9)</f>
        <v>8.7055000000000007</v>
      </c>
    </row>
    <row r="550" spans="1:15" ht="15" x14ac:dyDescent="0.2">
      <c r="A550" s="13">
        <v>57589</v>
      </c>
      <c r="B550" s="9">
        <f>7.8243 * CHOOSE(CONTROL!$C$32, $C$9, 100%, $E$9)</f>
        <v>7.8243</v>
      </c>
      <c r="C550" s="9">
        <f>7.8243 * CHOOSE(CONTROL!$C$32, $C$9, 100%, $E$9)</f>
        <v>7.8243</v>
      </c>
      <c r="D550" s="9">
        <f>7.8259 * CHOOSE(CONTROL!$C$32, $C$9, 100%, $E$9)</f>
        <v>7.8258999999999999</v>
      </c>
      <c r="E550" s="11">
        <f>8.6771 * CHOOSE(CONTROL!$C$32, $C$9, 100%, $E$9)</f>
        <v>8.6770999999999994</v>
      </c>
      <c r="F550" s="11">
        <f>8.6771 * CHOOSE(CONTROL!$C$32, $C$9, 100%, $E$9)</f>
        <v>8.6770999999999994</v>
      </c>
      <c r="G550" s="11">
        <f>8.6824 * CHOOSE(CONTROL!$C$32, $C$9, 100%, $E$9)</f>
        <v>8.6823999999999995</v>
      </c>
      <c r="H550" s="11">
        <f>16.9181 * CHOOSE(CONTROL!$C$32, $C$9, 100%, $E$9)</f>
        <v>16.918099999999999</v>
      </c>
      <c r="I550" s="11">
        <f>16.9234 * CHOOSE(CONTROL!$C$32, $C$9, 100%, $E$9)</f>
        <v>16.923400000000001</v>
      </c>
      <c r="J550" s="11">
        <f>16.9181 * CHOOSE(CONTROL!$C$32, $C$9, 100%, $E$9)</f>
        <v>16.918099999999999</v>
      </c>
      <c r="K550" s="11">
        <f>16.9234 * CHOOSE(CONTROL!$C$32, $C$9, 100%, $E$9)</f>
        <v>16.923400000000001</v>
      </c>
      <c r="L550" s="11">
        <f>8.6771 * CHOOSE(CONTROL!$C$32, $C$9, 100%, $E$9)</f>
        <v>8.6770999999999994</v>
      </c>
      <c r="M550" s="11">
        <f>8.6824 * CHOOSE(CONTROL!$C$32, $C$9, 100%, $E$9)</f>
        <v>8.6823999999999995</v>
      </c>
      <c r="N550" s="11">
        <f>8.6771 * CHOOSE(CONTROL!$C$32, $C$9, 100%, $E$9)</f>
        <v>8.6770999999999994</v>
      </c>
      <c r="O550" s="11">
        <f>8.6824 * CHOOSE(CONTROL!$C$32, $C$9, 100%, $E$9)</f>
        <v>8.6823999999999995</v>
      </c>
    </row>
    <row r="551" spans="1:15" ht="15" x14ac:dyDescent="0.2">
      <c r="A551" s="13">
        <v>57619</v>
      </c>
      <c r="B551" s="9">
        <f>7.8336 * CHOOSE(CONTROL!$C$32, $C$9, 100%, $E$9)</f>
        <v>7.8335999999999997</v>
      </c>
      <c r="C551" s="9">
        <f>7.8336 * CHOOSE(CONTROL!$C$32, $C$9, 100%, $E$9)</f>
        <v>7.8335999999999997</v>
      </c>
      <c r="D551" s="9">
        <f>7.8347 * CHOOSE(CONTROL!$C$32, $C$9, 100%, $E$9)</f>
        <v>7.8346999999999998</v>
      </c>
      <c r="E551" s="11">
        <f>8.7475 * CHOOSE(CONTROL!$C$32, $C$9, 100%, $E$9)</f>
        <v>8.7475000000000005</v>
      </c>
      <c r="F551" s="11">
        <f>8.7475 * CHOOSE(CONTROL!$C$32, $C$9, 100%, $E$9)</f>
        <v>8.7475000000000005</v>
      </c>
      <c r="G551" s="11">
        <f>8.7511 * CHOOSE(CONTROL!$C$32, $C$9, 100%, $E$9)</f>
        <v>8.7510999999999992</v>
      </c>
      <c r="H551" s="11">
        <f>16.9534 * CHOOSE(CONTROL!$C$32, $C$9, 100%, $E$9)</f>
        <v>16.953399999999998</v>
      </c>
      <c r="I551" s="11">
        <f>16.957 * CHOOSE(CONTROL!$C$32, $C$9, 100%, $E$9)</f>
        <v>16.957000000000001</v>
      </c>
      <c r="J551" s="11">
        <f>16.9534 * CHOOSE(CONTROL!$C$32, $C$9, 100%, $E$9)</f>
        <v>16.953399999999998</v>
      </c>
      <c r="K551" s="11">
        <f>16.957 * CHOOSE(CONTROL!$C$32, $C$9, 100%, $E$9)</f>
        <v>16.957000000000001</v>
      </c>
      <c r="L551" s="11">
        <f>8.7475 * CHOOSE(CONTROL!$C$32, $C$9, 100%, $E$9)</f>
        <v>8.7475000000000005</v>
      </c>
      <c r="M551" s="11">
        <f>8.7511 * CHOOSE(CONTROL!$C$32, $C$9, 100%, $E$9)</f>
        <v>8.7510999999999992</v>
      </c>
      <c r="N551" s="11">
        <f>8.7475 * CHOOSE(CONTROL!$C$32, $C$9, 100%, $E$9)</f>
        <v>8.7475000000000005</v>
      </c>
      <c r="O551" s="11">
        <f>8.7511 * CHOOSE(CONTROL!$C$32, $C$9, 100%, $E$9)</f>
        <v>8.7510999999999992</v>
      </c>
    </row>
    <row r="552" spans="1:15" ht="15" x14ac:dyDescent="0.2">
      <c r="A552" s="13">
        <v>57650</v>
      </c>
      <c r="B552" s="9">
        <f>7.8366 * CHOOSE(CONTROL!$C$32, $C$9, 100%, $E$9)</f>
        <v>7.8365999999999998</v>
      </c>
      <c r="C552" s="9">
        <f>7.8366 * CHOOSE(CONTROL!$C$32, $C$9, 100%, $E$9)</f>
        <v>7.8365999999999998</v>
      </c>
      <c r="D552" s="9">
        <f>7.8377 * CHOOSE(CONTROL!$C$32, $C$9, 100%, $E$9)</f>
        <v>7.8376999999999999</v>
      </c>
      <c r="E552" s="11">
        <f>8.7916 * CHOOSE(CONTROL!$C$32, $C$9, 100%, $E$9)</f>
        <v>8.7916000000000007</v>
      </c>
      <c r="F552" s="11">
        <f>8.7916 * CHOOSE(CONTROL!$C$32, $C$9, 100%, $E$9)</f>
        <v>8.7916000000000007</v>
      </c>
      <c r="G552" s="11">
        <f>8.7952 * CHOOSE(CONTROL!$C$32, $C$9, 100%, $E$9)</f>
        <v>8.7951999999999995</v>
      </c>
      <c r="H552" s="11">
        <f>16.9887 * CHOOSE(CONTROL!$C$32, $C$9, 100%, $E$9)</f>
        <v>16.988700000000001</v>
      </c>
      <c r="I552" s="11">
        <f>16.9923 * CHOOSE(CONTROL!$C$32, $C$9, 100%, $E$9)</f>
        <v>16.9923</v>
      </c>
      <c r="J552" s="11">
        <f>16.9887 * CHOOSE(CONTROL!$C$32, $C$9, 100%, $E$9)</f>
        <v>16.988700000000001</v>
      </c>
      <c r="K552" s="11">
        <f>16.9923 * CHOOSE(CONTROL!$C$32, $C$9, 100%, $E$9)</f>
        <v>16.9923</v>
      </c>
      <c r="L552" s="11">
        <f>8.7916 * CHOOSE(CONTROL!$C$32, $C$9, 100%, $E$9)</f>
        <v>8.7916000000000007</v>
      </c>
      <c r="M552" s="11">
        <f>8.7952 * CHOOSE(CONTROL!$C$32, $C$9, 100%, $E$9)</f>
        <v>8.7951999999999995</v>
      </c>
      <c r="N552" s="11">
        <f>8.7916 * CHOOSE(CONTROL!$C$32, $C$9, 100%, $E$9)</f>
        <v>8.7916000000000007</v>
      </c>
      <c r="O552" s="11">
        <f>8.7952 * CHOOSE(CONTROL!$C$32, $C$9, 100%, $E$9)</f>
        <v>8.7951999999999995</v>
      </c>
    </row>
    <row r="553" spans="1:15" ht="15" x14ac:dyDescent="0.2">
      <c r="A553" s="13">
        <v>57680</v>
      </c>
      <c r="B553" s="9">
        <f>7.8366 * CHOOSE(CONTROL!$C$32, $C$9, 100%, $E$9)</f>
        <v>7.8365999999999998</v>
      </c>
      <c r="C553" s="9">
        <f>7.8366 * CHOOSE(CONTROL!$C$32, $C$9, 100%, $E$9)</f>
        <v>7.8365999999999998</v>
      </c>
      <c r="D553" s="9">
        <f>7.8377 * CHOOSE(CONTROL!$C$32, $C$9, 100%, $E$9)</f>
        <v>7.8376999999999999</v>
      </c>
      <c r="E553" s="11">
        <f>8.6867 * CHOOSE(CONTROL!$C$32, $C$9, 100%, $E$9)</f>
        <v>8.6867000000000001</v>
      </c>
      <c r="F553" s="11">
        <f>8.6867 * CHOOSE(CONTROL!$C$32, $C$9, 100%, $E$9)</f>
        <v>8.6867000000000001</v>
      </c>
      <c r="G553" s="11">
        <f>8.6904 * CHOOSE(CONTROL!$C$32, $C$9, 100%, $E$9)</f>
        <v>8.6904000000000003</v>
      </c>
      <c r="H553" s="11">
        <f>17.0241 * CHOOSE(CONTROL!$C$32, $C$9, 100%, $E$9)</f>
        <v>17.024100000000001</v>
      </c>
      <c r="I553" s="11">
        <f>17.0277 * CHOOSE(CONTROL!$C$32, $C$9, 100%, $E$9)</f>
        <v>17.027699999999999</v>
      </c>
      <c r="J553" s="11">
        <f>17.0241 * CHOOSE(CONTROL!$C$32, $C$9, 100%, $E$9)</f>
        <v>17.024100000000001</v>
      </c>
      <c r="K553" s="11">
        <f>17.0277 * CHOOSE(CONTROL!$C$32, $C$9, 100%, $E$9)</f>
        <v>17.027699999999999</v>
      </c>
      <c r="L553" s="11">
        <f>8.6867 * CHOOSE(CONTROL!$C$32, $C$9, 100%, $E$9)</f>
        <v>8.6867000000000001</v>
      </c>
      <c r="M553" s="11">
        <f>8.6904 * CHOOSE(CONTROL!$C$32, $C$9, 100%, $E$9)</f>
        <v>8.6904000000000003</v>
      </c>
      <c r="N553" s="11">
        <f>8.6867 * CHOOSE(CONTROL!$C$32, $C$9, 100%, $E$9)</f>
        <v>8.6867000000000001</v>
      </c>
      <c r="O553" s="11">
        <f>8.6904 * CHOOSE(CONTROL!$C$32, $C$9, 100%, $E$9)</f>
        <v>8.6904000000000003</v>
      </c>
    </row>
    <row r="554" spans="1:15" ht="15" x14ac:dyDescent="0.2">
      <c r="A554" s="13">
        <v>57711</v>
      </c>
      <c r="B554" s="9">
        <f>7.8952 * CHOOSE(CONTROL!$C$32, $C$9, 100%, $E$9)</f>
        <v>7.8952</v>
      </c>
      <c r="C554" s="9">
        <f>7.8952 * CHOOSE(CONTROL!$C$32, $C$9, 100%, $E$9)</f>
        <v>7.8952</v>
      </c>
      <c r="D554" s="9">
        <f>7.8962 * CHOOSE(CONTROL!$C$32, $C$9, 100%, $E$9)</f>
        <v>7.8962000000000003</v>
      </c>
      <c r="E554" s="11">
        <f>8.8374 * CHOOSE(CONTROL!$C$32, $C$9, 100%, $E$9)</f>
        <v>8.8374000000000006</v>
      </c>
      <c r="F554" s="11">
        <f>8.8374 * CHOOSE(CONTROL!$C$32, $C$9, 100%, $E$9)</f>
        <v>8.8374000000000006</v>
      </c>
      <c r="G554" s="11">
        <f>8.841 * CHOOSE(CONTROL!$C$32, $C$9, 100%, $E$9)</f>
        <v>8.8409999999999993</v>
      </c>
      <c r="H554" s="11">
        <f>17.0595 * CHOOSE(CONTROL!$C$32, $C$9, 100%, $E$9)</f>
        <v>17.0595</v>
      </c>
      <c r="I554" s="11">
        <f>17.0632 * CHOOSE(CONTROL!$C$32, $C$9, 100%, $E$9)</f>
        <v>17.063199999999998</v>
      </c>
      <c r="J554" s="11">
        <f>17.0595 * CHOOSE(CONTROL!$C$32, $C$9, 100%, $E$9)</f>
        <v>17.0595</v>
      </c>
      <c r="K554" s="11">
        <f>17.0632 * CHOOSE(CONTROL!$C$32, $C$9, 100%, $E$9)</f>
        <v>17.063199999999998</v>
      </c>
      <c r="L554" s="11">
        <f>8.8374 * CHOOSE(CONTROL!$C$32, $C$9, 100%, $E$9)</f>
        <v>8.8374000000000006</v>
      </c>
      <c r="M554" s="11">
        <f>8.841 * CHOOSE(CONTROL!$C$32, $C$9, 100%, $E$9)</f>
        <v>8.8409999999999993</v>
      </c>
      <c r="N554" s="11">
        <f>8.8374 * CHOOSE(CONTROL!$C$32, $C$9, 100%, $E$9)</f>
        <v>8.8374000000000006</v>
      </c>
      <c r="O554" s="11">
        <f>8.841 * CHOOSE(CONTROL!$C$32, $C$9, 100%, $E$9)</f>
        <v>8.8409999999999993</v>
      </c>
    </row>
    <row r="555" spans="1:15" ht="15" x14ac:dyDescent="0.2">
      <c r="A555" s="13">
        <v>57742</v>
      </c>
      <c r="B555" s="9">
        <f>7.8921 * CHOOSE(CONTROL!$C$32, $C$9, 100%, $E$9)</f>
        <v>7.8921000000000001</v>
      </c>
      <c r="C555" s="9">
        <f>7.8921 * CHOOSE(CONTROL!$C$32, $C$9, 100%, $E$9)</f>
        <v>7.8921000000000001</v>
      </c>
      <c r="D555" s="9">
        <f>7.8932 * CHOOSE(CONTROL!$C$32, $C$9, 100%, $E$9)</f>
        <v>7.8932000000000002</v>
      </c>
      <c r="E555" s="11">
        <f>8.6307 * CHOOSE(CONTROL!$C$32, $C$9, 100%, $E$9)</f>
        <v>8.6306999999999992</v>
      </c>
      <c r="F555" s="11">
        <f>8.6307 * CHOOSE(CONTROL!$C$32, $C$9, 100%, $E$9)</f>
        <v>8.6306999999999992</v>
      </c>
      <c r="G555" s="11">
        <f>8.6344 * CHOOSE(CONTROL!$C$32, $C$9, 100%, $E$9)</f>
        <v>8.6343999999999994</v>
      </c>
      <c r="H555" s="11">
        <f>17.0951 * CHOOSE(CONTROL!$C$32, $C$9, 100%, $E$9)</f>
        <v>17.095099999999999</v>
      </c>
      <c r="I555" s="11">
        <f>17.0987 * CHOOSE(CONTROL!$C$32, $C$9, 100%, $E$9)</f>
        <v>17.098700000000001</v>
      </c>
      <c r="J555" s="11">
        <f>17.0951 * CHOOSE(CONTROL!$C$32, $C$9, 100%, $E$9)</f>
        <v>17.095099999999999</v>
      </c>
      <c r="K555" s="11">
        <f>17.0987 * CHOOSE(CONTROL!$C$32, $C$9, 100%, $E$9)</f>
        <v>17.098700000000001</v>
      </c>
      <c r="L555" s="11">
        <f>8.6307 * CHOOSE(CONTROL!$C$32, $C$9, 100%, $E$9)</f>
        <v>8.6306999999999992</v>
      </c>
      <c r="M555" s="11">
        <f>8.6344 * CHOOSE(CONTROL!$C$32, $C$9, 100%, $E$9)</f>
        <v>8.6343999999999994</v>
      </c>
      <c r="N555" s="11">
        <f>8.6307 * CHOOSE(CONTROL!$C$32, $C$9, 100%, $E$9)</f>
        <v>8.6306999999999992</v>
      </c>
      <c r="O555" s="11">
        <f>8.6344 * CHOOSE(CONTROL!$C$32, $C$9, 100%, $E$9)</f>
        <v>8.6343999999999994</v>
      </c>
    </row>
    <row r="556" spans="1:15" ht="15" x14ac:dyDescent="0.2">
      <c r="A556" s="13">
        <v>57770</v>
      </c>
      <c r="B556" s="9">
        <f>7.8891 * CHOOSE(CONTROL!$C$32, $C$9, 100%, $E$9)</f>
        <v>7.8891</v>
      </c>
      <c r="C556" s="9">
        <f>7.8891 * CHOOSE(CONTROL!$C$32, $C$9, 100%, $E$9)</f>
        <v>7.8891</v>
      </c>
      <c r="D556" s="9">
        <f>7.8902 * CHOOSE(CONTROL!$C$32, $C$9, 100%, $E$9)</f>
        <v>7.8902000000000001</v>
      </c>
      <c r="E556" s="11">
        <f>8.7899 * CHOOSE(CONTROL!$C$32, $C$9, 100%, $E$9)</f>
        <v>8.7898999999999994</v>
      </c>
      <c r="F556" s="11">
        <f>8.7899 * CHOOSE(CONTROL!$C$32, $C$9, 100%, $E$9)</f>
        <v>8.7898999999999994</v>
      </c>
      <c r="G556" s="11">
        <f>8.7935 * CHOOSE(CONTROL!$C$32, $C$9, 100%, $E$9)</f>
        <v>8.7934999999999999</v>
      </c>
      <c r="H556" s="11">
        <f>17.1307 * CHOOSE(CONTROL!$C$32, $C$9, 100%, $E$9)</f>
        <v>17.130700000000001</v>
      </c>
      <c r="I556" s="11">
        <f>17.1343 * CHOOSE(CONTROL!$C$32, $C$9, 100%, $E$9)</f>
        <v>17.1343</v>
      </c>
      <c r="J556" s="11">
        <f>17.1307 * CHOOSE(CONTROL!$C$32, $C$9, 100%, $E$9)</f>
        <v>17.130700000000001</v>
      </c>
      <c r="K556" s="11">
        <f>17.1343 * CHOOSE(CONTROL!$C$32, $C$9, 100%, $E$9)</f>
        <v>17.1343</v>
      </c>
      <c r="L556" s="11">
        <f>8.7899 * CHOOSE(CONTROL!$C$32, $C$9, 100%, $E$9)</f>
        <v>8.7898999999999994</v>
      </c>
      <c r="M556" s="11">
        <f>8.7935 * CHOOSE(CONTROL!$C$32, $C$9, 100%, $E$9)</f>
        <v>8.7934999999999999</v>
      </c>
      <c r="N556" s="11">
        <f>8.7899 * CHOOSE(CONTROL!$C$32, $C$9, 100%, $E$9)</f>
        <v>8.7898999999999994</v>
      </c>
      <c r="O556" s="11">
        <f>8.7935 * CHOOSE(CONTROL!$C$32, $C$9, 100%, $E$9)</f>
        <v>8.7934999999999999</v>
      </c>
    </row>
    <row r="557" spans="1:15" ht="15" x14ac:dyDescent="0.2">
      <c r="A557" s="13">
        <v>57801</v>
      </c>
      <c r="B557" s="9">
        <f>7.8905 * CHOOSE(CONTROL!$C$32, $C$9, 100%, $E$9)</f>
        <v>7.8905000000000003</v>
      </c>
      <c r="C557" s="9">
        <f>7.8905 * CHOOSE(CONTROL!$C$32, $C$9, 100%, $E$9)</f>
        <v>7.8905000000000003</v>
      </c>
      <c r="D557" s="9">
        <f>7.8916 * CHOOSE(CONTROL!$C$32, $C$9, 100%, $E$9)</f>
        <v>7.8916000000000004</v>
      </c>
      <c r="E557" s="11">
        <f>8.9588 * CHOOSE(CONTROL!$C$32, $C$9, 100%, $E$9)</f>
        <v>8.9588000000000001</v>
      </c>
      <c r="F557" s="11">
        <f>8.9588 * CHOOSE(CONTROL!$C$32, $C$9, 100%, $E$9)</f>
        <v>8.9588000000000001</v>
      </c>
      <c r="G557" s="11">
        <f>8.9624 * CHOOSE(CONTROL!$C$32, $C$9, 100%, $E$9)</f>
        <v>8.9624000000000006</v>
      </c>
      <c r="H557" s="11">
        <f>17.1664 * CHOOSE(CONTROL!$C$32, $C$9, 100%, $E$9)</f>
        <v>17.166399999999999</v>
      </c>
      <c r="I557" s="11">
        <f>17.17 * CHOOSE(CONTROL!$C$32, $C$9, 100%, $E$9)</f>
        <v>17.170000000000002</v>
      </c>
      <c r="J557" s="11">
        <f>17.1664 * CHOOSE(CONTROL!$C$32, $C$9, 100%, $E$9)</f>
        <v>17.166399999999999</v>
      </c>
      <c r="K557" s="11">
        <f>17.17 * CHOOSE(CONTROL!$C$32, $C$9, 100%, $E$9)</f>
        <v>17.170000000000002</v>
      </c>
      <c r="L557" s="11">
        <f>8.9588 * CHOOSE(CONTROL!$C$32, $C$9, 100%, $E$9)</f>
        <v>8.9588000000000001</v>
      </c>
      <c r="M557" s="11">
        <f>8.9624 * CHOOSE(CONTROL!$C$32, $C$9, 100%, $E$9)</f>
        <v>8.9624000000000006</v>
      </c>
      <c r="N557" s="11">
        <f>8.9588 * CHOOSE(CONTROL!$C$32, $C$9, 100%, $E$9)</f>
        <v>8.9588000000000001</v>
      </c>
      <c r="O557" s="11">
        <f>8.9624 * CHOOSE(CONTROL!$C$32, $C$9, 100%, $E$9)</f>
        <v>8.9624000000000006</v>
      </c>
    </row>
    <row r="558" spans="1:15" ht="15" x14ac:dyDescent="0.2">
      <c r="A558" s="13">
        <v>57831</v>
      </c>
      <c r="B558" s="9">
        <f>7.8905 * CHOOSE(CONTROL!$C$32, $C$9, 100%, $E$9)</f>
        <v>7.8905000000000003</v>
      </c>
      <c r="C558" s="9">
        <f>7.8905 * CHOOSE(CONTROL!$C$32, $C$9, 100%, $E$9)</f>
        <v>7.8905000000000003</v>
      </c>
      <c r="D558" s="9">
        <f>7.8921 * CHOOSE(CONTROL!$C$32, $C$9, 100%, $E$9)</f>
        <v>7.8921000000000001</v>
      </c>
      <c r="E558" s="11">
        <f>9.0237 * CHOOSE(CONTROL!$C$32, $C$9, 100%, $E$9)</f>
        <v>9.0236999999999998</v>
      </c>
      <c r="F558" s="11">
        <f>9.0237 * CHOOSE(CONTROL!$C$32, $C$9, 100%, $E$9)</f>
        <v>9.0236999999999998</v>
      </c>
      <c r="G558" s="11">
        <f>9.029 * CHOOSE(CONTROL!$C$32, $C$9, 100%, $E$9)</f>
        <v>9.0289999999999999</v>
      </c>
      <c r="H558" s="11">
        <f>17.2022 * CHOOSE(CONTROL!$C$32, $C$9, 100%, $E$9)</f>
        <v>17.202200000000001</v>
      </c>
      <c r="I558" s="11">
        <f>17.2074 * CHOOSE(CONTROL!$C$32, $C$9, 100%, $E$9)</f>
        <v>17.2074</v>
      </c>
      <c r="J558" s="11">
        <f>17.2022 * CHOOSE(CONTROL!$C$32, $C$9, 100%, $E$9)</f>
        <v>17.202200000000001</v>
      </c>
      <c r="K558" s="11">
        <f>17.2074 * CHOOSE(CONTROL!$C$32, $C$9, 100%, $E$9)</f>
        <v>17.2074</v>
      </c>
      <c r="L558" s="11">
        <f>9.0237 * CHOOSE(CONTROL!$C$32, $C$9, 100%, $E$9)</f>
        <v>9.0236999999999998</v>
      </c>
      <c r="M558" s="11">
        <f>9.029 * CHOOSE(CONTROL!$C$32, $C$9, 100%, $E$9)</f>
        <v>9.0289999999999999</v>
      </c>
      <c r="N558" s="11">
        <f>9.0237 * CHOOSE(CONTROL!$C$32, $C$9, 100%, $E$9)</f>
        <v>9.0236999999999998</v>
      </c>
      <c r="O558" s="11">
        <f>9.029 * CHOOSE(CONTROL!$C$32, $C$9, 100%, $E$9)</f>
        <v>9.0289999999999999</v>
      </c>
    </row>
    <row r="559" spans="1:15" ht="15" x14ac:dyDescent="0.2">
      <c r="A559" s="13">
        <v>57862</v>
      </c>
      <c r="B559" s="9">
        <f>7.8966 * CHOOSE(CONTROL!$C$32, $C$9, 100%, $E$9)</f>
        <v>7.8966000000000003</v>
      </c>
      <c r="C559" s="9">
        <f>7.8966 * CHOOSE(CONTROL!$C$32, $C$9, 100%, $E$9)</f>
        <v>7.8966000000000003</v>
      </c>
      <c r="D559" s="9">
        <f>7.8982 * CHOOSE(CONTROL!$C$32, $C$9, 100%, $E$9)</f>
        <v>7.8982000000000001</v>
      </c>
      <c r="E559" s="11">
        <f>8.963 * CHOOSE(CONTROL!$C$32, $C$9, 100%, $E$9)</f>
        <v>8.9629999999999992</v>
      </c>
      <c r="F559" s="11">
        <f>8.963 * CHOOSE(CONTROL!$C$32, $C$9, 100%, $E$9)</f>
        <v>8.9629999999999992</v>
      </c>
      <c r="G559" s="11">
        <f>8.9683 * CHOOSE(CONTROL!$C$32, $C$9, 100%, $E$9)</f>
        <v>8.9682999999999993</v>
      </c>
      <c r="H559" s="11">
        <f>17.238 * CHOOSE(CONTROL!$C$32, $C$9, 100%, $E$9)</f>
        <v>17.238</v>
      </c>
      <c r="I559" s="11">
        <f>17.2433 * CHOOSE(CONTROL!$C$32, $C$9, 100%, $E$9)</f>
        <v>17.243300000000001</v>
      </c>
      <c r="J559" s="11">
        <f>17.238 * CHOOSE(CONTROL!$C$32, $C$9, 100%, $E$9)</f>
        <v>17.238</v>
      </c>
      <c r="K559" s="11">
        <f>17.2433 * CHOOSE(CONTROL!$C$32, $C$9, 100%, $E$9)</f>
        <v>17.243300000000001</v>
      </c>
      <c r="L559" s="11">
        <f>8.963 * CHOOSE(CONTROL!$C$32, $C$9, 100%, $E$9)</f>
        <v>8.9629999999999992</v>
      </c>
      <c r="M559" s="11">
        <f>8.9683 * CHOOSE(CONTROL!$C$32, $C$9, 100%, $E$9)</f>
        <v>8.9682999999999993</v>
      </c>
      <c r="N559" s="11">
        <f>8.963 * CHOOSE(CONTROL!$C$32, $C$9, 100%, $E$9)</f>
        <v>8.9629999999999992</v>
      </c>
      <c r="O559" s="11">
        <f>8.9683 * CHOOSE(CONTROL!$C$32, $C$9, 100%, $E$9)</f>
        <v>8.9682999999999993</v>
      </c>
    </row>
    <row r="560" spans="1:15" ht="15" x14ac:dyDescent="0.2">
      <c r="A560" s="13">
        <v>57892</v>
      </c>
      <c r="B560" s="9">
        <f>7.9979 * CHOOSE(CONTROL!$C$32, $C$9, 100%, $E$9)</f>
        <v>7.9978999999999996</v>
      </c>
      <c r="C560" s="9">
        <f>7.9979 * CHOOSE(CONTROL!$C$32, $C$9, 100%, $E$9)</f>
        <v>7.9978999999999996</v>
      </c>
      <c r="D560" s="9">
        <f>7.9995 * CHOOSE(CONTROL!$C$32, $C$9, 100%, $E$9)</f>
        <v>7.9995000000000003</v>
      </c>
      <c r="E560" s="11">
        <f>9.0871 * CHOOSE(CONTROL!$C$32, $C$9, 100%, $E$9)</f>
        <v>9.0870999999999995</v>
      </c>
      <c r="F560" s="11">
        <f>9.0871 * CHOOSE(CONTROL!$C$32, $C$9, 100%, $E$9)</f>
        <v>9.0870999999999995</v>
      </c>
      <c r="G560" s="11">
        <f>9.0924 * CHOOSE(CONTROL!$C$32, $C$9, 100%, $E$9)</f>
        <v>9.0923999999999996</v>
      </c>
      <c r="H560" s="11">
        <f>17.2739 * CHOOSE(CONTROL!$C$32, $C$9, 100%, $E$9)</f>
        <v>17.273900000000001</v>
      </c>
      <c r="I560" s="11">
        <f>17.2792 * CHOOSE(CONTROL!$C$32, $C$9, 100%, $E$9)</f>
        <v>17.279199999999999</v>
      </c>
      <c r="J560" s="11">
        <f>17.2739 * CHOOSE(CONTROL!$C$32, $C$9, 100%, $E$9)</f>
        <v>17.273900000000001</v>
      </c>
      <c r="K560" s="11">
        <f>17.2792 * CHOOSE(CONTROL!$C$32, $C$9, 100%, $E$9)</f>
        <v>17.279199999999999</v>
      </c>
      <c r="L560" s="11">
        <f>9.0871 * CHOOSE(CONTROL!$C$32, $C$9, 100%, $E$9)</f>
        <v>9.0870999999999995</v>
      </c>
      <c r="M560" s="11">
        <f>9.0924 * CHOOSE(CONTROL!$C$32, $C$9, 100%, $E$9)</f>
        <v>9.0923999999999996</v>
      </c>
      <c r="N560" s="11">
        <f>9.0871 * CHOOSE(CONTROL!$C$32, $C$9, 100%, $E$9)</f>
        <v>9.0870999999999995</v>
      </c>
      <c r="O560" s="11">
        <f>9.0924 * CHOOSE(CONTROL!$C$32, $C$9, 100%, $E$9)</f>
        <v>9.0923999999999996</v>
      </c>
    </row>
    <row r="561" spans="1:15" ht="15" x14ac:dyDescent="0.2">
      <c r="A561" s="13">
        <v>57923</v>
      </c>
      <c r="B561" s="9">
        <f>8.0046 * CHOOSE(CONTROL!$C$32, $C$9, 100%, $E$9)</f>
        <v>8.0045999999999999</v>
      </c>
      <c r="C561" s="9">
        <f>8.0046 * CHOOSE(CONTROL!$C$32, $C$9, 100%, $E$9)</f>
        <v>8.0045999999999999</v>
      </c>
      <c r="D561" s="9">
        <f>8.0062 * CHOOSE(CONTROL!$C$32, $C$9, 100%, $E$9)</f>
        <v>8.0061999999999998</v>
      </c>
      <c r="E561" s="11">
        <f>8.897 * CHOOSE(CONTROL!$C$32, $C$9, 100%, $E$9)</f>
        <v>8.8970000000000002</v>
      </c>
      <c r="F561" s="11">
        <f>8.897 * CHOOSE(CONTROL!$C$32, $C$9, 100%, $E$9)</f>
        <v>8.8970000000000002</v>
      </c>
      <c r="G561" s="11">
        <f>8.9022 * CHOOSE(CONTROL!$C$32, $C$9, 100%, $E$9)</f>
        <v>8.9022000000000006</v>
      </c>
      <c r="H561" s="11">
        <f>17.3099 * CHOOSE(CONTROL!$C$32, $C$9, 100%, $E$9)</f>
        <v>17.309899999999999</v>
      </c>
      <c r="I561" s="11">
        <f>17.3152 * CHOOSE(CONTROL!$C$32, $C$9, 100%, $E$9)</f>
        <v>17.315200000000001</v>
      </c>
      <c r="J561" s="11">
        <f>17.3099 * CHOOSE(CONTROL!$C$32, $C$9, 100%, $E$9)</f>
        <v>17.309899999999999</v>
      </c>
      <c r="K561" s="11">
        <f>17.3152 * CHOOSE(CONTROL!$C$32, $C$9, 100%, $E$9)</f>
        <v>17.315200000000001</v>
      </c>
      <c r="L561" s="11">
        <f>8.897 * CHOOSE(CONTROL!$C$32, $C$9, 100%, $E$9)</f>
        <v>8.8970000000000002</v>
      </c>
      <c r="M561" s="11">
        <f>8.9022 * CHOOSE(CONTROL!$C$32, $C$9, 100%, $E$9)</f>
        <v>8.9022000000000006</v>
      </c>
      <c r="N561" s="11">
        <f>8.897 * CHOOSE(CONTROL!$C$32, $C$9, 100%, $E$9)</f>
        <v>8.8970000000000002</v>
      </c>
      <c r="O561" s="11">
        <f>8.9022 * CHOOSE(CONTROL!$C$32, $C$9, 100%, $E$9)</f>
        <v>8.9022000000000006</v>
      </c>
    </row>
    <row r="562" spans="1:15" ht="15" x14ac:dyDescent="0.2">
      <c r="A562" s="13">
        <v>57954</v>
      </c>
      <c r="B562" s="9">
        <f>8.0015 * CHOOSE(CONTROL!$C$32, $C$9, 100%, $E$9)</f>
        <v>8.0015000000000001</v>
      </c>
      <c r="C562" s="9">
        <f>8.0015 * CHOOSE(CONTROL!$C$32, $C$9, 100%, $E$9)</f>
        <v>8.0015000000000001</v>
      </c>
      <c r="D562" s="9">
        <f>8.0031 * CHOOSE(CONTROL!$C$32, $C$9, 100%, $E$9)</f>
        <v>8.0030999999999999</v>
      </c>
      <c r="E562" s="11">
        <f>8.8732 * CHOOSE(CONTROL!$C$32, $C$9, 100%, $E$9)</f>
        <v>8.8732000000000006</v>
      </c>
      <c r="F562" s="11">
        <f>8.8732 * CHOOSE(CONTROL!$C$32, $C$9, 100%, $E$9)</f>
        <v>8.8732000000000006</v>
      </c>
      <c r="G562" s="11">
        <f>8.8785 * CHOOSE(CONTROL!$C$32, $C$9, 100%, $E$9)</f>
        <v>8.8785000000000007</v>
      </c>
      <c r="H562" s="11">
        <f>17.346 * CHOOSE(CONTROL!$C$32, $C$9, 100%, $E$9)</f>
        <v>17.346</v>
      </c>
      <c r="I562" s="11">
        <f>17.3512 * CHOOSE(CONTROL!$C$32, $C$9, 100%, $E$9)</f>
        <v>17.351199999999999</v>
      </c>
      <c r="J562" s="11">
        <f>17.346 * CHOOSE(CONTROL!$C$32, $C$9, 100%, $E$9)</f>
        <v>17.346</v>
      </c>
      <c r="K562" s="11">
        <f>17.3512 * CHOOSE(CONTROL!$C$32, $C$9, 100%, $E$9)</f>
        <v>17.351199999999999</v>
      </c>
      <c r="L562" s="11">
        <f>8.8732 * CHOOSE(CONTROL!$C$32, $C$9, 100%, $E$9)</f>
        <v>8.8732000000000006</v>
      </c>
      <c r="M562" s="11">
        <f>8.8785 * CHOOSE(CONTROL!$C$32, $C$9, 100%, $E$9)</f>
        <v>8.8785000000000007</v>
      </c>
      <c r="N562" s="11">
        <f>8.8732 * CHOOSE(CONTROL!$C$32, $C$9, 100%, $E$9)</f>
        <v>8.8732000000000006</v>
      </c>
      <c r="O562" s="11">
        <f>8.8785 * CHOOSE(CONTROL!$C$32, $C$9, 100%, $E$9)</f>
        <v>8.8785000000000007</v>
      </c>
    </row>
    <row r="563" spans="1:15" ht="15" x14ac:dyDescent="0.2">
      <c r="A563" s="13">
        <v>57984</v>
      </c>
      <c r="B563" s="9">
        <f>8.0115 * CHOOSE(CONTROL!$C$32, $C$9, 100%, $E$9)</f>
        <v>8.0114999999999998</v>
      </c>
      <c r="C563" s="9">
        <f>8.0115 * CHOOSE(CONTROL!$C$32, $C$9, 100%, $E$9)</f>
        <v>8.0114999999999998</v>
      </c>
      <c r="D563" s="9">
        <f>8.0126 * CHOOSE(CONTROL!$C$32, $C$9, 100%, $E$9)</f>
        <v>8.0126000000000008</v>
      </c>
      <c r="E563" s="11">
        <f>8.9464 * CHOOSE(CONTROL!$C$32, $C$9, 100%, $E$9)</f>
        <v>8.9464000000000006</v>
      </c>
      <c r="F563" s="11">
        <f>8.9464 * CHOOSE(CONTROL!$C$32, $C$9, 100%, $E$9)</f>
        <v>8.9464000000000006</v>
      </c>
      <c r="G563" s="11">
        <f>8.95 * CHOOSE(CONTROL!$C$32, $C$9, 100%, $E$9)</f>
        <v>8.9499999999999993</v>
      </c>
      <c r="H563" s="11">
        <f>17.3821 * CHOOSE(CONTROL!$C$32, $C$9, 100%, $E$9)</f>
        <v>17.382100000000001</v>
      </c>
      <c r="I563" s="11">
        <f>17.3857 * CHOOSE(CONTROL!$C$32, $C$9, 100%, $E$9)</f>
        <v>17.3857</v>
      </c>
      <c r="J563" s="11">
        <f>17.3821 * CHOOSE(CONTROL!$C$32, $C$9, 100%, $E$9)</f>
        <v>17.382100000000001</v>
      </c>
      <c r="K563" s="11">
        <f>17.3857 * CHOOSE(CONTROL!$C$32, $C$9, 100%, $E$9)</f>
        <v>17.3857</v>
      </c>
      <c r="L563" s="11">
        <f>8.9464 * CHOOSE(CONTROL!$C$32, $C$9, 100%, $E$9)</f>
        <v>8.9464000000000006</v>
      </c>
      <c r="M563" s="11">
        <f>8.95 * CHOOSE(CONTROL!$C$32, $C$9, 100%, $E$9)</f>
        <v>8.9499999999999993</v>
      </c>
      <c r="N563" s="11">
        <f>8.9464 * CHOOSE(CONTROL!$C$32, $C$9, 100%, $E$9)</f>
        <v>8.9464000000000006</v>
      </c>
      <c r="O563" s="11">
        <f>8.95 * CHOOSE(CONTROL!$C$32, $C$9, 100%, $E$9)</f>
        <v>8.9499999999999993</v>
      </c>
    </row>
    <row r="564" spans="1:15" ht="15" x14ac:dyDescent="0.2">
      <c r="A564" s="13">
        <v>58015</v>
      </c>
      <c r="B564" s="9">
        <f>8.0145 * CHOOSE(CONTROL!$C$32, $C$9, 100%, $E$9)</f>
        <v>8.0145</v>
      </c>
      <c r="C564" s="9">
        <f>8.0145 * CHOOSE(CONTROL!$C$32, $C$9, 100%, $E$9)</f>
        <v>8.0145</v>
      </c>
      <c r="D564" s="9">
        <f>8.0156 * CHOOSE(CONTROL!$C$32, $C$9, 100%, $E$9)</f>
        <v>8.0155999999999992</v>
      </c>
      <c r="E564" s="11">
        <f>8.9918 * CHOOSE(CONTROL!$C$32, $C$9, 100%, $E$9)</f>
        <v>8.9917999999999996</v>
      </c>
      <c r="F564" s="11">
        <f>8.9918 * CHOOSE(CONTROL!$C$32, $C$9, 100%, $E$9)</f>
        <v>8.9917999999999996</v>
      </c>
      <c r="G564" s="11">
        <f>8.9954 * CHOOSE(CONTROL!$C$32, $C$9, 100%, $E$9)</f>
        <v>8.9954000000000001</v>
      </c>
      <c r="H564" s="11">
        <f>17.4183 * CHOOSE(CONTROL!$C$32, $C$9, 100%, $E$9)</f>
        <v>17.418299999999999</v>
      </c>
      <c r="I564" s="11">
        <f>17.4219 * CHOOSE(CONTROL!$C$32, $C$9, 100%, $E$9)</f>
        <v>17.421900000000001</v>
      </c>
      <c r="J564" s="11">
        <f>17.4183 * CHOOSE(CONTROL!$C$32, $C$9, 100%, $E$9)</f>
        <v>17.418299999999999</v>
      </c>
      <c r="K564" s="11">
        <f>17.4219 * CHOOSE(CONTROL!$C$32, $C$9, 100%, $E$9)</f>
        <v>17.421900000000001</v>
      </c>
      <c r="L564" s="11">
        <f>8.9918 * CHOOSE(CONTROL!$C$32, $C$9, 100%, $E$9)</f>
        <v>8.9917999999999996</v>
      </c>
      <c r="M564" s="11">
        <f>8.9954 * CHOOSE(CONTROL!$C$32, $C$9, 100%, $E$9)</f>
        <v>8.9954000000000001</v>
      </c>
      <c r="N564" s="11">
        <f>8.9918 * CHOOSE(CONTROL!$C$32, $C$9, 100%, $E$9)</f>
        <v>8.9917999999999996</v>
      </c>
      <c r="O564" s="11">
        <f>8.9954 * CHOOSE(CONTROL!$C$32, $C$9, 100%, $E$9)</f>
        <v>8.9954000000000001</v>
      </c>
    </row>
    <row r="565" spans="1:15" ht="15" x14ac:dyDescent="0.2">
      <c r="A565" s="13">
        <v>58045</v>
      </c>
      <c r="B565" s="9">
        <f>8.0145 * CHOOSE(CONTROL!$C$32, $C$9, 100%, $E$9)</f>
        <v>8.0145</v>
      </c>
      <c r="C565" s="9">
        <f>8.0145 * CHOOSE(CONTROL!$C$32, $C$9, 100%, $E$9)</f>
        <v>8.0145</v>
      </c>
      <c r="D565" s="9">
        <f>8.0156 * CHOOSE(CONTROL!$C$32, $C$9, 100%, $E$9)</f>
        <v>8.0155999999999992</v>
      </c>
      <c r="E565" s="11">
        <f>8.8835 * CHOOSE(CONTROL!$C$32, $C$9, 100%, $E$9)</f>
        <v>8.8834999999999997</v>
      </c>
      <c r="F565" s="11">
        <f>8.8835 * CHOOSE(CONTROL!$C$32, $C$9, 100%, $E$9)</f>
        <v>8.8834999999999997</v>
      </c>
      <c r="G565" s="11">
        <f>8.8872 * CHOOSE(CONTROL!$C$32, $C$9, 100%, $E$9)</f>
        <v>8.8872</v>
      </c>
      <c r="H565" s="11">
        <f>17.4546 * CHOOSE(CONTROL!$C$32, $C$9, 100%, $E$9)</f>
        <v>17.454599999999999</v>
      </c>
      <c r="I565" s="11">
        <f>17.4582 * CHOOSE(CONTROL!$C$32, $C$9, 100%, $E$9)</f>
        <v>17.458200000000001</v>
      </c>
      <c r="J565" s="11">
        <f>17.4546 * CHOOSE(CONTROL!$C$32, $C$9, 100%, $E$9)</f>
        <v>17.454599999999999</v>
      </c>
      <c r="K565" s="11">
        <f>17.4582 * CHOOSE(CONTROL!$C$32, $C$9, 100%, $E$9)</f>
        <v>17.458200000000001</v>
      </c>
      <c r="L565" s="11">
        <f>8.8835 * CHOOSE(CONTROL!$C$32, $C$9, 100%, $E$9)</f>
        <v>8.8834999999999997</v>
      </c>
      <c r="M565" s="11">
        <f>8.8872 * CHOOSE(CONTROL!$C$32, $C$9, 100%, $E$9)</f>
        <v>8.8872</v>
      </c>
      <c r="N565" s="11">
        <f>8.8835 * CHOOSE(CONTROL!$C$32, $C$9, 100%, $E$9)</f>
        <v>8.8834999999999997</v>
      </c>
      <c r="O565" s="11">
        <f>8.8872 * CHOOSE(CONTROL!$C$32, $C$9, 100%, $E$9)</f>
        <v>8.8872</v>
      </c>
    </row>
    <row r="566" spans="1:15" ht="15" x14ac:dyDescent="0.2">
      <c r="A566" s="13">
        <v>58076</v>
      </c>
      <c r="B566" s="9">
        <f>8.0743 * CHOOSE(CONTROL!$C$32, $C$9, 100%, $E$9)</f>
        <v>8.0742999999999991</v>
      </c>
      <c r="C566" s="9">
        <f>8.0743 * CHOOSE(CONTROL!$C$32, $C$9, 100%, $E$9)</f>
        <v>8.0742999999999991</v>
      </c>
      <c r="D566" s="9">
        <f>8.0754 * CHOOSE(CONTROL!$C$32, $C$9, 100%, $E$9)</f>
        <v>8.0754000000000001</v>
      </c>
      <c r="E566" s="11">
        <f>9.0387 * CHOOSE(CONTROL!$C$32, $C$9, 100%, $E$9)</f>
        <v>9.0387000000000004</v>
      </c>
      <c r="F566" s="11">
        <f>9.0387 * CHOOSE(CONTROL!$C$32, $C$9, 100%, $E$9)</f>
        <v>9.0387000000000004</v>
      </c>
      <c r="G566" s="11">
        <f>9.0423 * CHOOSE(CONTROL!$C$32, $C$9, 100%, $E$9)</f>
        <v>9.0422999999999991</v>
      </c>
      <c r="H566" s="11">
        <f>17.491 * CHOOSE(CONTROL!$C$32, $C$9, 100%, $E$9)</f>
        <v>17.491</v>
      </c>
      <c r="I566" s="11">
        <f>17.4946 * CHOOSE(CONTROL!$C$32, $C$9, 100%, $E$9)</f>
        <v>17.494599999999998</v>
      </c>
      <c r="J566" s="11">
        <f>17.491 * CHOOSE(CONTROL!$C$32, $C$9, 100%, $E$9)</f>
        <v>17.491</v>
      </c>
      <c r="K566" s="11">
        <f>17.4946 * CHOOSE(CONTROL!$C$32, $C$9, 100%, $E$9)</f>
        <v>17.494599999999998</v>
      </c>
      <c r="L566" s="11">
        <f>9.0387 * CHOOSE(CONTROL!$C$32, $C$9, 100%, $E$9)</f>
        <v>9.0387000000000004</v>
      </c>
      <c r="M566" s="11">
        <f>9.0423 * CHOOSE(CONTROL!$C$32, $C$9, 100%, $E$9)</f>
        <v>9.0422999999999991</v>
      </c>
      <c r="N566" s="11">
        <f>9.0387 * CHOOSE(CONTROL!$C$32, $C$9, 100%, $E$9)</f>
        <v>9.0387000000000004</v>
      </c>
      <c r="O566" s="11">
        <f>9.0423 * CHOOSE(CONTROL!$C$32, $C$9, 100%, $E$9)</f>
        <v>9.0422999999999991</v>
      </c>
    </row>
    <row r="567" spans="1:15" ht="15" x14ac:dyDescent="0.2">
      <c r="A567" s="13">
        <v>58107</v>
      </c>
      <c r="B567" s="9">
        <f>8.0713 * CHOOSE(CONTROL!$C$32, $C$9, 100%, $E$9)</f>
        <v>8.0713000000000008</v>
      </c>
      <c r="C567" s="9">
        <f>8.0713 * CHOOSE(CONTROL!$C$32, $C$9, 100%, $E$9)</f>
        <v>8.0713000000000008</v>
      </c>
      <c r="D567" s="9">
        <f>8.0723 * CHOOSE(CONTROL!$C$32, $C$9, 100%, $E$9)</f>
        <v>8.0723000000000003</v>
      </c>
      <c r="E567" s="11">
        <f>8.8254 * CHOOSE(CONTROL!$C$32, $C$9, 100%, $E$9)</f>
        <v>8.8254000000000001</v>
      </c>
      <c r="F567" s="11">
        <f>8.8254 * CHOOSE(CONTROL!$C$32, $C$9, 100%, $E$9)</f>
        <v>8.8254000000000001</v>
      </c>
      <c r="G567" s="11">
        <f>8.829 * CHOOSE(CONTROL!$C$32, $C$9, 100%, $E$9)</f>
        <v>8.8290000000000006</v>
      </c>
      <c r="H567" s="11">
        <f>17.5274 * CHOOSE(CONTROL!$C$32, $C$9, 100%, $E$9)</f>
        <v>17.5274</v>
      </c>
      <c r="I567" s="11">
        <f>17.531 * CHOOSE(CONTROL!$C$32, $C$9, 100%, $E$9)</f>
        <v>17.530999999999999</v>
      </c>
      <c r="J567" s="11">
        <f>17.5274 * CHOOSE(CONTROL!$C$32, $C$9, 100%, $E$9)</f>
        <v>17.5274</v>
      </c>
      <c r="K567" s="11">
        <f>17.531 * CHOOSE(CONTROL!$C$32, $C$9, 100%, $E$9)</f>
        <v>17.530999999999999</v>
      </c>
      <c r="L567" s="11">
        <f>8.8254 * CHOOSE(CONTROL!$C$32, $C$9, 100%, $E$9)</f>
        <v>8.8254000000000001</v>
      </c>
      <c r="M567" s="11">
        <f>8.829 * CHOOSE(CONTROL!$C$32, $C$9, 100%, $E$9)</f>
        <v>8.8290000000000006</v>
      </c>
      <c r="N567" s="11">
        <f>8.8254 * CHOOSE(CONTROL!$C$32, $C$9, 100%, $E$9)</f>
        <v>8.8254000000000001</v>
      </c>
      <c r="O567" s="11">
        <f>8.829 * CHOOSE(CONTROL!$C$32, $C$9, 100%, $E$9)</f>
        <v>8.8290000000000006</v>
      </c>
    </row>
    <row r="568" spans="1:15" ht="15" x14ac:dyDescent="0.2">
      <c r="A568" s="13">
        <v>58135</v>
      </c>
      <c r="B568" s="9">
        <f>8.0682 * CHOOSE(CONTROL!$C$32, $C$9, 100%, $E$9)</f>
        <v>8.0681999999999992</v>
      </c>
      <c r="C568" s="9">
        <f>8.0682 * CHOOSE(CONTROL!$C$32, $C$9, 100%, $E$9)</f>
        <v>8.0681999999999992</v>
      </c>
      <c r="D568" s="9">
        <f>8.0693 * CHOOSE(CONTROL!$C$32, $C$9, 100%, $E$9)</f>
        <v>8.0693000000000001</v>
      </c>
      <c r="E568" s="11">
        <f>8.9897 * CHOOSE(CONTROL!$C$32, $C$9, 100%, $E$9)</f>
        <v>8.9896999999999991</v>
      </c>
      <c r="F568" s="11">
        <f>8.9897 * CHOOSE(CONTROL!$C$32, $C$9, 100%, $E$9)</f>
        <v>8.9896999999999991</v>
      </c>
      <c r="G568" s="11">
        <f>8.9934 * CHOOSE(CONTROL!$C$32, $C$9, 100%, $E$9)</f>
        <v>8.9933999999999994</v>
      </c>
      <c r="H568" s="11">
        <f>17.5639 * CHOOSE(CONTROL!$C$32, $C$9, 100%, $E$9)</f>
        <v>17.5639</v>
      </c>
      <c r="I568" s="11">
        <f>17.5675 * CHOOSE(CONTROL!$C$32, $C$9, 100%, $E$9)</f>
        <v>17.567499999999999</v>
      </c>
      <c r="J568" s="11">
        <f>17.5639 * CHOOSE(CONTROL!$C$32, $C$9, 100%, $E$9)</f>
        <v>17.5639</v>
      </c>
      <c r="K568" s="11">
        <f>17.5675 * CHOOSE(CONTROL!$C$32, $C$9, 100%, $E$9)</f>
        <v>17.567499999999999</v>
      </c>
      <c r="L568" s="11">
        <f>8.9897 * CHOOSE(CONTROL!$C$32, $C$9, 100%, $E$9)</f>
        <v>8.9896999999999991</v>
      </c>
      <c r="M568" s="11">
        <f>8.9934 * CHOOSE(CONTROL!$C$32, $C$9, 100%, $E$9)</f>
        <v>8.9933999999999994</v>
      </c>
      <c r="N568" s="11">
        <f>8.9897 * CHOOSE(CONTROL!$C$32, $C$9, 100%, $E$9)</f>
        <v>8.9896999999999991</v>
      </c>
      <c r="O568" s="11">
        <f>8.9934 * CHOOSE(CONTROL!$C$32, $C$9, 100%, $E$9)</f>
        <v>8.9933999999999994</v>
      </c>
    </row>
    <row r="569" spans="1:15" ht="15" x14ac:dyDescent="0.2">
      <c r="A569" s="13">
        <v>58166</v>
      </c>
      <c r="B569" s="9">
        <f>8.0698 * CHOOSE(CONTROL!$C$32, $C$9, 100%, $E$9)</f>
        <v>8.0698000000000008</v>
      </c>
      <c r="C569" s="9">
        <f>8.0698 * CHOOSE(CONTROL!$C$32, $C$9, 100%, $E$9)</f>
        <v>8.0698000000000008</v>
      </c>
      <c r="D569" s="9">
        <f>8.0709 * CHOOSE(CONTROL!$C$32, $C$9, 100%, $E$9)</f>
        <v>8.0709</v>
      </c>
      <c r="E569" s="11">
        <f>9.1643 * CHOOSE(CONTROL!$C$32, $C$9, 100%, $E$9)</f>
        <v>9.1643000000000008</v>
      </c>
      <c r="F569" s="11">
        <f>9.1643 * CHOOSE(CONTROL!$C$32, $C$9, 100%, $E$9)</f>
        <v>9.1643000000000008</v>
      </c>
      <c r="G569" s="11">
        <f>9.1679 * CHOOSE(CONTROL!$C$32, $C$9, 100%, $E$9)</f>
        <v>9.1678999999999995</v>
      </c>
      <c r="H569" s="11">
        <f>17.6005 * CHOOSE(CONTROL!$C$32, $C$9, 100%, $E$9)</f>
        <v>17.6005</v>
      </c>
      <c r="I569" s="11">
        <f>17.6041 * CHOOSE(CONTROL!$C$32, $C$9, 100%, $E$9)</f>
        <v>17.604099999999999</v>
      </c>
      <c r="J569" s="11">
        <f>17.6005 * CHOOSE(CONTROL!$C$32, $C$9, 100%, $E$9)</f>
        <v>17.6005</v>
      </c>
      <c r="K569" s="11">
        <f>17.6041 * CHOOSE(CONTROL!$C$32, $C$9, 100%, $E$9)</f>
        <v>17.604099999999999</v>
      </c>
      <c r="L569" s="11">
        <f>9.1643 * CHOOSE(CONTROL!$C$32, $C$9, 100%, $E$9)</f>
        <v>9.1643000000000008</v>
      </c>
      <c r="M569" s="11">
        <f>9.1679 * CHOOSE(CONTROL!$C$32, $C$9, 100%, $E$9)</f>
        <v>9.1678999999999995</v>
      </c>
      <c r="N569" s="11">
        <f>9.1643 * CHOOSE(CONTROL!$C$32, $C$9, 100%, $E$9)</f>
        <v>9.1643000000000008</v>
      </c>
      <c r="O569" s="11">
        <f>9.1679 * CHOOSE(CONTROL!$C$32, $C$9, 100%, $E$9)</f>
        <v>9.1678999999999995</v>
      </c>
    </row>
    <row r="570" spans="1:15" ht="15" x14ac:dyDescent="0.2">
      <c r="A570" s="13">
        <v>58196</v>
      </c>
      <c r="B570" s="9">
        <f>8.0698 * CHOOSE(CONTROL!$C$32, $C$9, 100%, $E$9)</f>
        <v>8.0698000000000008</v>
      </c>
      <c r="C570" s="9">
        <f>8.0698 * CHOOSE(CONTROL!$C$32, $C$9, 100%, $E$9)</f>
        <v>8.0698000000000008</v>
      </c>
      <c r="D570" s="9">
        <f>8.0714 * CHOOSE(CONTROL!$C$32, $C$9, 100%, $E$9)</f>
        <v>8.0714000000000006</v>
      </c>
      <c r="E570" s="11">
        <f>9.2313 * CHOOSE(CONTROL!$C$32, $C$9, 100%, $E$9)</f>
        <v>9.2312999999999992</v>
      </c>
      <c r="F570" s="11">
        <f>9.2313 * CHOOSE(CONTROL!$C$32, $C$9, 100%, $E$9)</f>
        <v>9.2312999999999992</v>
      </c>
      <c r="G570" s="11">
        <f>9.2366 * CHOOSE(CONTROL!$C$32, $C$9, 100%, $E$9)</f>
        <v>9.2365999999999993</v>
      </c>
      <c r="H570" s="11">
        <f>17.6372 * CHOOSE(CONTROL!$C$32, $C$9, 100%, $E$9)</f>
        <v>17.6372</v>
      </c>
      <c r="I570" s="11">
        <f>17.6425 * CHOOSE(CONTROL!$C$32, $C$9, 100%, $E$9)</f>
        <v>17.642499999999998</v>
      </c>
      <c r="J570" s="11">
        <f>17.6372 * CHOOSE(CONTROL!$C$32, $C$9, 100%, $E$9)</f>
        <v>17.6372</v>
      </c>
      <c r="K570" s="11">
        <f>17.6425 * CHOOSE(CONTROL!$C$32, $C$9, 100%, $E$9)</f>
        <v>17.642499999999998</v>
      </c>
      <c r="L570" s="11">
        <f>9.2313 * CHOOSE(CONTROL!$C$32, $C$9, 100%, $E$9)</f>
        <v>9.2312999999999992</v>
      </c>
      <c r="M570" s="11">
        <f>9.2366 * CHOOSE(CONTROL!$C$32, $C$9, 100%, $E$9)</f>
        <v>9.2365999999999993</v>
      </c>
      <c r="N570" s="11">
        <f>9.2313 * CHOOSE(CONTROL!$C$32, $C$9, 100%, $E$9)</f>
        <v>9.2312999999999992</v>
      </c>
      <c r="O570" s="11">
        <f>9.2366 * CHOOSE(CONTROL!$C$32, $C$9, 100%, $E$9)</f>
        <v>9.2365999999999993</v>
      </c>
    </row>
    <row r="571" spans="1:15" ht="15" x14ac:dyDescent="0.2">
      <c r="A571" s="13">
        <v>58227</v>
      </c>
      <c r="B571" s="9">
        <f>8.0759 * CHOOSE(CONTROL!$C$32, $C$9, 100%, $E$9)</f>
        <v>8.0759000000000007</v>
      </c>
      <c r="C571" s="9">
        <f>8.0759 * CHOOSE(CONTROL!$C$32, $C$9, 100%, $E$9)</f>
        <v>8.0759000000000007</v>
      </c>
      <c r="D571" s="9">
        <f>8.0775 * CHOOSE(CONTROL!$C$32, $C$9, 100%, $E$9)</f>
        <v>8.0775000000000006</v>
      </c>
      <c r="E571" s="11">
        <f>9.1685 * CHOOSE(CONTROL!$C$32, $C$9, 100%, $E$9)</f>
        <v>9.1684999999999999</v>
      </c>
      <c r="F571" s="11">
        <f>9.1685 * CHOOSE(CONTROL!$C$32, $C$9, 100%, $E$9)</f>
        <v>9.1684999999999999</v>
      </c>
      <c r="G571" s="11">
        <f>9.1738 * CHOOSE(CONTROL!$C$32, $C$9, 100%, $E$9)</f>
        <v>9.1738</v>
      </c>
      <c r="H571" s="11">
        <f>17.6739 * CHOOSE(CONTROL!$C$32, $C$9, 100%, $E$9)</f>
        <v>17.6739</v>
      </c>
      <c r="I571" s="11">
        <f>17.6792 * CHOOSE(CONTROL!$C$32, $C$9, 100%, $E$9)</f>
        <v>17.679200000000002</v>
      </c>
      <c r="J571" s="11">
        <f>17.6739 * CHOOSE(CONTROL!$C$32, $C$9, 100%, $E$9)</f>
        <v>17.6739</v>
      </c>
      <c r="K571" s="11">
        <f>17.6792 * CHOOSE(CONTROL!$C$32, $C$9, 100%, $E$9)</f>
        <v>17.679200000000002</v>
      </c>
      <c r="L571" s="11">
        <f>9.1685 * CHOOSE(CONTROL!$C$32, $C$9, 100%, $E$9)</f>
        <v>9.1684999999999999</v>
      </c>
      <c r="M571" s="11">
        <f>9.1738 * CHOOSE(CONTROL!$C$32, $C$9, 100%, $E$9)</f>
        <v>9.1738</v>
      </c>
      <c r="N571" s="11">
        <f>9.1685 * CHOOSE(CONTROL!$C$32, $C$9, 100%, $E$9)</f>
        <v>9.1684999999999999</v>
      </c>
      <c r="O571" s="11">
        <f>9.1738 * CHOOSE(CONTROL!$C$32, $C$9, 100%, $E$9)</f>
        <v>9.1738</v>
      </c>
    </row>
    <row r="572" spans="1:15" ht="15" x14ac:dyDescent="0.2">
      <c r="A572" s="13">
        <v>58257</v>
      </c>
      <c r="B572" s="9">
        <f>8.1792 * CHOOSE(CONTROL!$C$32, $C$9, 100%, $E$9)</f>
        <v>8.1791999999999998</v>
      </c>
      <c r="C572" s="9">
        <f>8.1792 * CHOOSE(CONTROL!$C$32, $C$9, 100%, $E$9)</f>
        <v>8.1791999999999998</v>
      </c>
      <c r="D572" s="9">
        <f>8.1807 * CHOOSE(CONTROL!$C$32, $C$9, 100%, $E$9)</f>
        <v>8.1806999999999999</v>
      </c>
      <c r="E572" s="11">
        <f>9.2956 * CHOOSE(CONTROL!$C$32, $C$9, 100%, $E$9)</f>
        <v>9.2956000000000003</v>
      </c>
      <c r="F572" s="11">
        <f>9.2956 * CHOOSE(CONTROL!$C$32, $C$9, 100%, $E$9)</f>
        <v>9.2956000000000003</v>
      </c>
      <c r="G572" s="11">
        <f>9.3009 * CHOOSE(CONTROL!$C$32, $C$9, 100%, $E$9)</f>
        <v>9.3009000000000004</v>
      </c>
      <c r="H572" s="11">
        <f>17.7107 * CHOOSE(CONTROL!$C$32, $C$9, 100%, $E$9)</f>
        <v>17.710699999999999</v>
      </c>
      <c r="I572" s="11">
        <f>17.716 * CHOOSE(CONTROL!$C$32, $C$9, 100%, $E$9)</f>
        <v>17.716000000000001</v>
      </c>
      <c r="J572" s="11">
        <f>17.7107 * CHOOSE(CONTROL!$C$32, $C$9, 100%, $E$9)</f>
        <v>17.710699999999999</v>
      </c>
      <c r="K572" s="11">
        <f>17.716 * CHOOSE(CONTROL!$C$32, $C$9, 100%, $E$9)</f>
        <v>17.716000000000001</v>
      </c>
      <c r="L572" s="11">
        <f>9.2956 * CHOOSE(CONTROL!$C$32, $C$9, 100%, $E$9)</f>
        <v>9.2956000000000003</v>
      </c>
      <c r="M572" s="11">
        <f>9.3009 * CHOOSE(CONTROL!$C$32, $C$9, 100%, $E$9)</f>
        <v>9.3009000000000004</v>
      </c>
      <c r="N572" s="11">
        <f>9.2956 * CHOOSE(CONTROL!$C$32, $C$9, 100%, $E$9)</f>
        <v>9.2956000000000003</v>
      </c>
      <c r="O572" s="11">
        <f>9.3009 * CHOOSE(CONTROL!$C$32, $C$9, 100%, $E$9)</f>
        <v>9.3009000000000004</v>
      </c>
    </row>
    <row r="573" spans="1:15" ht="15" x14ac:dyDescent="0.2">
      <c r="A573" s="13">
        <v>58288</v>
      </c>
      <c r="B573" s="9">
        <f>8.1858 * CHOOSE(CONTROL!$C$32, $C$9, 100%, $E$9)</f>
        <v>8.1858000000000004</v>
      </c>
      <c r="C573" s="9">
        <f>8.1858 * CHOOSE(CONTROL!$C$32, $C$9, 100%, $E$9)</f>
        <v>8.1858000000000004</v>
      </c>
      <c r="D573" s="9">
        <f>8.1874 * CHOOSE(CONTROL!$C$32, $C$9, 100%, $E$9)</f>
        <v>8.1874000000000002</v>
      </c>
      <c r="E573" s="11">
        <f>9.0991 * CHOOSE(CONTROL!$C$32, $C$9, 100%, $E$9)</f>
        <v>9.0991</v>
      </c>
      <c r="F573" s="11">
        <f>9.0991 * CHOOSE(CONTROL!$C$32, $C$9, 100%, $E$9)</f>
        <v>9.0991</v>
      </c>
      <c r="G573" s="11">
        <f>9.1044 * CHOOSE(CONTROL!$C$32, $C$9, 100%, $E$9)</f>
        <v>9.1044</v>
      </c>
      <c r="H573" s="11">
        <f>17.7476 * CHOOSE(CONTROL!$C$32, $C$9, 100%, $E$9)</f>
        <v>17.747599999999998</v>
      </c>
      <c r="I573" s="11">
        <f>17.7529 * CHOOSE(CONTROL!$C$32, $C$9, 100%, $E$9)</f>
        <v>17.7529</v>
      </c>
      <c r="J573" s="11">
        <f>17.7476 * CHOOSE(CONTROL!$C$32, $C$9, 100%, $E$9)</f>
        <v>17.747599999999998</v>
      </c>
      <c r="K573" s="11">
        <f>17.7529 * CHOOSE(CONTROL!$C$32, $C$9, 100%, $E$9)</f>
        <v>17.7529</v>
      </c>
      <c r="L573" s="11">
        <f>9.0991 * CHOOSE(CONTROL!$C$32, $C$9, 100%, $E$9)</f>
        <v>9.0991</v>
      </c>
      <c r="M573" s="11">
        <f>9.1044 * CHOOSE(CONTROL!$C$32, $C$9, 100%, $E$9)</f>
        <v>9.1044</v>
      </c>
      <c r="N573" s="11">
        <f>9.0991 * CHOOSE(CONTROL!$C$32, $C$9, 100%, $E$9)</f>
        <v>9.0991</v>
      </c>
      <c r="O573" s="11">
        <f>9.1044 * CHOOSE(CONTROL!$C$32, $C$9, 100%, $E$9)</f>
        <v>9.1044</v>
      </c>
    </row>
    <row r="574" spans="1:15" ht="15" x14ac:dyDescent="0.2">
      <c r="A574" s="13">
        <v>58319</v>
      </c>
      <c r="B574" s="9">
        <f>8.1828 * CHOOSE(CONTROL!$C$32, $C$9, 100%, $E$9)</f>
        <v>8.1828000000000003</v>
      </c>
      <c r="C574" s="9">
        <f>8.1828 * CHOOSE(CONTROL!$C$32, $C$9, 100%, $E$9)</f>
        <v>8.1828000000000003</v>
      </c>
      <c r="D574" s="9">
        <f>8.1844 * CHOOSE(CONTROL!$C$32, $C$9, 100%, $E$9)</f>
        <v>8.1844000000000001</v>
      </c>
      <c r="E574" s="11">
        <f>9.0746 * CHOOSE(CONTROL!$C$32, $C$9, 100%, $E$9)</f>
        <v>9.0746000000000002</v>
      </c>
      <c r="F574" s="11">
        <f>9.0746 * CHOOSE(CONTROL!$C$32, $C$9, 100%, $E$9)</f>
        <v>9.0746000000000002</v>
      </c>
      <c r="G574" s="11">
        <f>9.0799 * CHOOSE(CONTROL!$C$32, $C$9, 100%, $E$9)</f>
        <v>9.0799000000000003</v>
      </c>
      <c r="H574" s="11">
        <f>17.7846 * CHOOSE(CONTROL!$C$32, $C$9, 100%, $E$9)</f>
        <v>17.784600000000001</v>
      </c>
      <c r="I574" s="11">
        <f>17.7899 * CHOOSE(CONTROL!$C$32, $C$9, 100%, $E$9)</f>
        <v>17.789899999999999</v>
      </c>
      <c r="J574" s="11">
        <f>17.7846 * CHOOSE(CONTROL!$C$32, $C$9, 100%, $E$9)</f>
        <v>17.784600000000001</v>
      </c>
      <c r="K574" s="11">
        <f>17.7899 * CHOOSE(CONTROL!$C$32, $C$9, 100%, $E$9)</f>
        <v>17.789899999999999</v>
      </c>
      <c r="L574" s="11">
        <f>9.0746 * CHOOSE(CONTROL!$C$32, $C$9, 100%, $E$9)</f>
        <v>9.0746000000000002</v>
      </c>
      <c r="M574" s="11">
        <f>9.0799 * CHOOSE(CONTROL!$C$32, $C$9, 100%, $E$9)</f>
        <v>9.0799000000000003</v>
      </c>
      <c r="N574" s="11">
        <f>9.0746 * CHOOSE(CONTROL!$C$32, $C$9, 100%, $E$9)</f>
        <v>9.0746000000000002</v>
      </c>
      <c r="O574" s="11">
        <f>9.0799 * CHOOSE(CONTROL!$C$32, $C$9, 100%, $E$9)</f>
        <v>9.0799000000000003</v>
      </c>
    </row>
    <row r="575" spans="1:15" ht="15" x14ac:dyDescent="0.2">
      <c r="A575" s="13">
        <v>58349</v>
      </c>
      <c r="B575" s="9">
        <f>8.1934 * CHOOSE(CONTROL!$C$32, $C$9, 100%, $E$9)</f>
        <v>8.1934000000000005</v>
      </c>
      <c r="C575" s="9">
        <f>8.1934 * CHOOSE(CONTROL!$C$32, $C$9, 100%, $E$9)</f>
        <v>8.1934000000000005</v>
      </c>
      <c r="D575" s="9">
        <f>8.1945 * CHOOSE(CONTROL!$C$32, $C$9, 100%, $E$9)</f>
        <v>8.1944999999999997</v>
      </c>
      <c r="E575" s="11">
        <f>9.1506 * CHOOSE(CONTROL!$C$32, $C$9, 100%, $E$9)</f>
        <v>9.1506000000000007</v>
      </c>
      <c r="F575" s="11">
        <f>9.1506 * CHOOSE(CONTROL!$C$32, $C$9, 100%, $E$9)</f>
        <v>9.1506000000000007</v>
      </c>
      <c r="G575" s="11">
        <f>9.1542 * CHOOSE(CONTROL!$C$32, $C$9, 100%, $E$9)</f>
        <v>9.1541999999999994</v>
      </c>
      <c r="H575" s="11">
        <f>17.8217 * CHOOSE(CONTROL!$C$32, $C$9, 100%, $E$9)</f>
        <v>17.8217</v>
      </c>
      <c r="I575" s="11">
        <f>17.8253 * CHOOSE(CONTROL!$C$32, $C$9, 100%, $E$9)</f>
        <v>17.825299999999999</v>
      </c>
      <c r="J575" s="11">
        <f>17.8217 * CHOOSE(CONTROL!$C$32, $C$9, 100%, $E$9)</f>
        <v>17.8217</v>
      </c>
      <c r="K575" s="11">
        <f>17.8253 * CHOOSE(CONTROL!$C$32, $C$9, 100%, $E$9)</f>
        <v>17.825299999999999</v>
      </c>
      <c r="L575" s="11">
        <f>9.1506 * CHOOSE(CONTROL!$C$32, $C$9, 100%, $E$9)</f>
        <v>9.1506000000000007</v>
      </c>
      <c r="M575" s="11">
        <f>9.1542 * CHOOSE(CONTROL!$C$32, $C$9, 100%, $E$9)</f>
        <v>9.1541999999999994</v>
      </c>
      <c r="N575" s="11">
        <f>9.1506 * CHOOSE(CONTROL!$C$32, $C$9, 100%, $E$9)</f>
        <v>9.1506000000000007</v>
      </c>
      <c r="O575" s="11">
        <f>9.1542 * CHOOSE(CONTROL!$C$32, $C$9, 100%, $E$9)</f>
        <v>9.1541999999999994</v>
      </c>
    </row>
    <row r="576" spans="1:15" ht="15" x14ac:dyDescent="0.2">
      <c r="A576" s="13">
        <v>58380</v>
      </c>
      <c r="B576" s="9">
        <f>8.1965 * CHOOSE(CONTROL!$C$32, $C$9, 100%, $E$9)</f>
        <v>8.1965000000000003</v>
      </c>
      <c r="C576" s="9">
        <f>8.1965 * CHOOSE(CONTROL!$C$32, $C$9, 100%, $E$9)</f>
        <v>8.1965000000000003</v>
      </c>
      <c r="D576" s="9">
        <f>8.1976 * CHOOSE(CONTROL!$C$32, $C$9, 100%, $E$9)</f>
        <v>8.1975999999999996</v>
      </c>
      <c r="E576" s="11">
        <f>9.1974 * CHOOSE(CONTROL!$C$32, $C$9, 100%, $E$9)</f>
        <v>9.1974</v>
      </c>
      <c r="F576" s="11">
        <f>9.1974 * CHOOSE(CONTROL!$C$32, $C$9, 100%, $E$9)</f>
        <v>9.1974</v>
      </c>
      <c r="G576" s="11">
        <f>9.2011 * CHOOSE(CONTROL!$C$32, $C$9, 100%, $E$9)</f>
        <v>9.2011000000000003</v>
      </c>
      <c r="H576" s="11">
        <f>17.8588 * CHOOSE(CONTROL!$C$32, $C$9, 100%, $E$9)</f>
        <v>17.858799999999999</v>
      </c>
      <c r="I576" s="11">
        <f>17.8624 * CHOOSE(CONTROL!$C$32, $C$9, 100%, $E$9)</f>
        <v>17.862400000000001</v>
      </c>
      <c r="J576" s="11">
        <f>17.8588 * CHOOSE(CONTROL!$C$32, $C$9, 100%, $E$9)</f>
        <v>17.858799999999999</v>
      </c>
      <c r="K576" s="11">
        <f>17.8624 * CHOOSE(CONTROL!$C$32, $C$9, 100%, $E$9)</f>
        <v>17.862400000000001</v>
      </c>
      <c r="L576" s="11">
        <f>9.1974 * CHOOSE(CONTROL!$C$32, $C$9, 100%, $E$9)</f>
        <v>9.1974</v>
      </c>
      <c r="M576" s="11">
        <f>9.2011 * CHOOSE(CONTROL!$C$32, $C$9, 100%, $E$9)</f>
        <v>9.2011000000000003</v>
      </c>
      <c r="N576" s="11">
        <f>9.1974 * CHOOSE(CONTROL!$C$32, $C$9, 100%, $E$9)</f>
        <v>9.1974</v>
      </c>
      <c r="O576" s="11">
        <f>9.2011 * CHOOSE(CONTROL!$C$32, $C$9, 100%, $E$9)</f>
        <v>9.2011000000000003</v>
      </c>
    </row>
    <row r="577" spans="1:15" ht="15" x14ac:dyDescent="0.2">
      <c r="A577" s="13">
        <v>58410</v>
      </c>
      <c r="B577" s="9">
        <f>8.1965 * CHOOSE(CONTROL!$C$32, $C$9, 100%, $E$9)</f>
        <v>8.1965000000000003</v>
      </c>
      <c r="C577" s="9">
        <f>8.1965 * CHOOSE(CONTROL!$C$32, $C$9, 100%, $E$9)</f>
        <v>8.1965000000000003</v>
      </c>
      <c r="D577" s="9">
        <f>8.1976 * CHOOSE(CONTROL!$C$32, $C$9, 100%, $E$9)</f>
        <v>8.1975999999999996</v>
      </c>
      <c r="E577" s="11">
        <f>9.0857 * CHOOSE(CONTROL!$C$32, $C$9, 100%, $E$9)</f>
        <v>9.0856999999999992</v>
      </c>
      <c r="F577" s="11">
        <f>9.0857 * CHOOSE(CONTROL!$C$32, $C$9, 100%, $E$9)</f>
        <v>9.0856999999999992</v>
      </c>
      <c r="G577" s="11">
        <f>9.0893 * CHOOSE(CONTROL!$C$32, $C$9, 100%, $E$9)</f>
        <v>9.0892999999999997</v>
      </c>
      <c r="H577" s="11">
        <f>17.896 * CHOOSE(CONTROL!$C$32, $C$9, 100%, $E$9)</f>
        <v>17.896000000000001</v>
      </c>
      <c r="I577" s="11">
        <f>17.8996 * CHOOSE(CONTROL!$C$32, $C$9, 100%, $E$9)</f>
        <v>17.8996</v>
      </c>
      <c r="J577" s="11">
        <f>17.896 * CHOOSE(CONTROL!$C$32, $C$9, 100%, $E$9)</f>
        <v>17.896000000000001</v>
      </c>
      <c r="K577" s="11">
        <f>17.8996 * CHOOSE(CONTROL!$C$32, $C$9, 100%, $E$9)</f>
        <v>17.8996</v>
      </c>
      <c r="L577" s="11">
        <f>9.0857 * CHOOSE(CONTROL!$C$32, $C$9, 100%, $E$9)</f>
        <v>9.0856999999999992</v>
      </c>
      <c r="M577" s="11">
        <f>9.0893 * CHOOSE(CONTROL!$C$32, $C$9, 100%, $E$9)</f>
        <v>9.0892999999999997</v>
      </c>
      <c r="N577" s="11">
        <f>9.0857 * CHOOSE(CONTROL!$C$32, $C$9, 100%, $E$9)</f>
        <v>9.0856999999999992</v>
      </c>
      <c r="O577" s="11">
        <f>9.0893 * CHOOSE(CONTROL!$C$32, $C$9, 100%, $E$9)</f>
        <v>9.0892999999999997</v>
      </c>
    </row>
    <row r="578" spans="1:15" ht="15" x14ac:dyDescent="0.2">
      <c r="A578" s="13">
        <v>58441</v>
      </c>
      <c r="B578" s="9">
        <f>8.2575 * CHOOSE(CONTROL!$C$32, $C$9, 100%, $E$9)</f>
        <v>8.2575000000000003</v>
      </c>
      <c r="C578" s="9">
        <f>8.2575 * CHOOSE(CONTROL!$C$32, $C$9, 100%, $E$9)</f>
        <v>8.2575000000000003</v>
      </c>
      <c r="D578" s="9">
        <f>8.2586 * CHOOSE(CONTROL!$C$32, $C$9, 100%, $E$9)</f>
        <v>8.2585999999999995</v>
      </c>
      <c r="E578" s="11">
        <f>9.2455 * CHOOSE(CONTROL!$C$32, $C$9, 100%, $E$9)</f>
        <v>9.2454999999999998</v>
      </c>
      <c r="F578" s="11">
        <f>9.2455 * CHOOSE(CONTROL!$C$32, $C$9, 100%, $E$9)</f>
        <v>9.2454999999999998</v>
      </c>
      <c r="G578" s="11">
        <f>9.2491 * CHOOSE(CONTROL!$C$32, $C$9, 100%, $E$9)</f>
        <v>9.2491000000000003</v>
      </c>
      <c r="H578" s="11">
        <f>17.9333 * CHOOSE(CONTROL!$C$32, $C$9, 100%, $E$9)</f>
        <v>17.933299999999999</v>
      </c>
      <c r="I578" s="11">
        <f>17.9369 * CHOOSE(CONTROL!$C$32, $C$9, 100%, $E$9)</f>
        <v>17.936900000000001</v>
      </c>
      <c r="J578" s="11">
        <f>17.9333 * CHOOSE(CONTROL!$C$32, $C$9, 100%, $E$9)</f>
        <v>17.933299999999999</v>
      </c>
      <c r="K578" s="11">
        <f>17.9369 * CHOOSE(CONTROL!$C$32, $C$9, 100%, $E$9)</f>
        <v>17.936900000000001</v>
      </c>
      <c r="L578" s="11">
        <f>9.2455 * CHOOSE(CONTROL!$C$32, $C$9, 100%, $E$9)</f>
        <v>9.2454999999999998</v>
      </c>
      <c r="M578" s="11">
        <f>9.2491 * CHOOSE(CONTROL!$C$32, $C$9, 100%, $E$9)</f>
        <v>9.2491000000000003</v>
      </c>
      <c r="N578" s="11">
        <f>9.2455 * CHOOSE(CONTROL!$C$32, $C$9, 100%, $E$9)</f>
        <v>9.2454999999999998</v>
      </c>
      <c r="O578" s="11">
        <f>9.2491 * CHOOSE(CONTROL!$C$32, $C$9, 100%, $E$9)</f>
        <v>9.2491000000000003</v>
      </c>
    </row>
    <row r="579" spans="1:15" ht="15" x14ac:dyDescent="0.2">
      <c r="A579" s="13">
        <v>58472</v>
      </c>
      <c r="B579" s="9">
        <f>8.2544 * CHOOSE(CONTROL!$C$32, $C$9, 100%, $E$9)</f>
        <v>8.2544000000000004</v>
      </c>
      <c r="C579" s="9">
        <f>8.2544 * CHOOSE(CONTROL!$C$32, $C$9, 100%, $E$9)</f>
        <v>8.2544000000000004</v>
      </c>
      <c r="D579" s="9">
        <f>8.2555 * CHOOSE(CONTROL!$C$32, $C$9, 100%, $E$9)</f>
        <v>8.2554999999999996</v>
      </c>
      <c r="E579" s="11">
        <f>9.0253 * CHOOSE(CONTROL!$C$32, $C$9, 100%, $E$9)</f>
        <v>9.0252999999999997</v>
      </c>
      <c r="F579" s="11">
        <f>9.0253 * CHOOSE(CONTROL!$C$32, $C$9, 100%, $E$9)</f>
        <v>9.0252999999999997</v>
      </c>
      <c r="G579" s="11">
        <f>9.0289 * CHOOSE(CONTROL!$C$32, $C$9, 100%, $E$9)</f>
        <v>9.0289000000000001</v>
      </c>
      <c r="H579" s="11">
        <f>17.9706 * CHOOSE(CONTROL!$C$32, $C$9, 100%, $E$9)</f>
        <v>17.970600000000001</v>
      </c>
      <c r="I579" s="11">
        <f>17.9743 * CHOOSE(CONTROL!$C$32, $C$9, 100%, $E$9)</f>
        <v>17.974299999999999</v>
      </c>
      <c r="J579" s="11">
        <f>17.9706 * CHOOSE(CONTROL!$C$32, $C$9, 100%, $E$9)</f>
        <v>17.970600000000001</v>
      </c>
      <c r="K579" s="11">
        <f>17.9743 * CHOOSE(CONTROL!$C$32, $C$9, 100%, $E$9)</f>
        <v>17.974299999999999</v>
      </c>
      <c r="L579" s="11">
        <f>9.0253 * CHOOSE(CONTROL!$C$32, $C$9, 100%, $E$9)</f>
        <v>9.0252999999999997</v>
      </c>
      <c r="M579" s="11">
        <f>9.0289 * CHOOSE(CONTROL!$C$32, $C$9, 100%, $E$9)</f>
        <v>9.0289000000000001</v>
      </c>
      <c r="N579" s="11">
        <f>9.0253 * CHOOSE(CONTROL!$C$32, $C$9, 100%, $E$9)</f>
        <v>9.0252999999999997</v>
      </c>
      <c r="O579" s="11">
        <f>9.0289 * CHOOSE(CONTROL!$C$32, $C$9, 100%, $E$9)</f>
        <v>9.0289000000000001</v>
      </c>
    </row>
    <row r="580" spans="1:15" ht="15" x14ac:dyDescent="0.2">
      <c r="A580" s="13">
        <v>58501</v>
      </c>
      <c r="B580" s="9">
        <f>8.2514 * CHOOSE(CONTROL!$C$32, $C$9, 100%, $E$9)</f>
        <v>8.2514000000000003</v>
      </c>
      <c r="C580" s="9">
        <f>8.2514 * CHOOSE(CONTROL!$C$32, $C$9, 100%, $E$9)</f>
        <v>8.2514000000000003</v>
      </c>
      <c r="D580" s="9">
        <f>8.2525 * CHOOSE(CONTROL!$C$32, $C$9, 100%, $E$9)</f>
        <v>8.2524999999999995</v>
      </c>
      <c r="E580" s="11">
        <f>9.1951 * CHOOSE(CONTROL!$C$32, $C$9, 100%, $E$9)</f>
        <v>9.1951000000000001</v>
      </c>
      <c r="F580" s="11">
        <f>9.1951 * CHOOSE(CONTROL!$C$32, $C$9, 100%, $E$9)</f>
        <v>9.1951000000000001</v>
      </c>
      <c r="G580" s="11">
        <f>9.1987 * CHOOSE(CONTROL!$C$32, $C$9, 100%, $E$9)</f>
        <v>9.1987000000000005</v>
      </c>
      <c r="H580" s="11">
        <f>18.0081 * CHOOSE(CONTROL!$C$32, $C$9, 100%, $E$9)</f>
        <v>18.008099999999999</v>
      </c>
      <c r="I580" s="11">
        <f>18.0117 * CHOOSE(CONTROL!$C$32, $C$9, 100%, $E$9)</f>
        <v>18.011700000000001</v>
      </c>
      <c r="J580" s="11">
        <f>18.0081 * CHOOSE(CONTROL!$C$32, $C$9, 100%, $E$9)</f>
        <v>18.008099999999999</v>
      </c>
      <c r="K580" s="11">
        <f>18.0117 * CHOOSE(CONTROL!$C$32, $C$9, 100%, $E$9)</f>
        <v>18.011700000000001</v>
      </c>
      <c r="L580" s="11">
        <f>9.1951 * CHOOSE(CONTROL!$C$32, $C$9, 100%, $E$9)</f>
        <v>9.1951000000000001</v>
      </c>
      <c r="M580" s="11">
        <f>9.1987 * CHOOSE(CONTROL!$C$32, $C$9, 100%, $E$9)</f>
        <v>9.1987000000000005</v>
      </c>
      <c r="N580" s="11">
        <f>9.1951 * CHOOSE(CONTROL!$C$32, $C$9, 100%, $E$9)</f>
        <v>9.1951000000000001</v>
      </c>
      <c r="O580" s="11">
        <f>9.1987 * CHOOSE(CONTROL!$C$32, $C$9, 100%, $E$9)</f>
        <v>9.1987000000000005</v>
      </c>
    </row>
    <row r="581" spans="1:15" ht="15" x14ac:dyDescent="0.2">
      <c r="A581" s="13">
        <v>58532</v>
      </c>
      <c r="B581" s="9">
        <f>8.2532 * CHOOSE(CONTROL!$C$32, $C$9, 100%, $E$9)</f>
        <v>8.2531999999999996</v>
      </c>
      <c r="C581" s="9">
        <f>8.2532 * CHOOSE(CONTROL!$C$32, $C$9, 100%, $E$9)</f>
        <v>8.2531999999999996</v>
      </c>
      <c r="D581" s="9">
        <f>8.2542 * CHOOSE(CONTROL!$C$32, $C$9, 100%, $E$9)</f>
        <v>8.2542000000000009</v>
      </c>
      <c r="E581" s="11">
        <f>9.3755 * CHOOSE(CONTROL!$C$32, $C$9, 100%, $E$9)</f>
        <v>9.3755000000000006</v>
      </c>
      <c r="F581" s="11">
        <f>9.3755 * CHOOSE(CONTROL!$C$32, $C$9, 100%, $E$9)</f>
        <v>9.3755000000000006</v>
      </c>
      <c r="G581" s="11">
        <f>9.3791 * CHOOSE(CONTROL!$C$32, $C$9, 100%, $E$9)</f>
        <v>9.3790999999999993</v>
      </c>
      <c r="H581" s="11">
        <f>18.0456 * CHOOSE(CONTROL!$C$32, $C$9, 100%, $E$9)</f>
        <v>18.0456</v>
      </c>
      <c r="I581" s="11">
        <f>18.0492 * CHOOSE(CONTROL!$C$32, $C$9, 100%, $E$9)</f>
        <v>18.049199999999999</v>
      </c>
      <c r="J581" s="11">
        <f>18.0456 * CHOOSE(CONTROL!$C$32, $C$9, 100%, $E$9)</f>
        <v>18.0456</v>
      </c>
      <c r="K581" s="11">
        <f>18.0492 * CHOOSE(CONTROL!$C$32, $C$9, 100%, $E$9)</f>
        <v>18.049199999999999</v>
      </c>
      <c r="L581" s="11">
        <f>9.3755 * CHOOSE(CONTROL!$C$32, $C$9, 100%, $E$9)</f>
        <v>9.3755000000000006</v>
      </c>
      <c r="M581" s="11">
        <f>9.3791 * CHOOSE(CONTROL!$C$32, $C$9, 100%, $E$9)</f>
        <v>9.3790999999999993</v>
      </c>
      <c r="N581" s="11">
        <f>9.3755 * CHOOSE(CONTROL!$C$32, $C$9, 100%, $E$9)</f>
        <v>9.3755000000000006</v>
      </c>
      <c r="O581" s="11">
        <f>9.3791 * CHOOSE(CONTROL!$C$32, $C$9, 100%, $E$9)</f>
        <v>9.3790999999999993</v>
      </c>
    </row>
    <row r="582" spans="1:15" ht="15" x14ac:dyDescent="0.2">
      <c r="A582" s="13">
        <v>58562</v>
      </c>
      <c r="B582" s="9">
        <f>8.2532 * CHOOSE(CONTROL!$C$32, $C$9, 100%, $E$9)</f>
        <v>8.2531999999999996</v>
      </c>
      <c r="C582" s="9">
        <f>8.2532 * CHOOSE(CONTROL!$C$32, $C$9, 100%, $E$9)</f>
        <v>8.2531999999999996</v>
      </c>
      <c r="D582" s="9">
        <f>8.2548 * CHOOSE(CONTROL!$C$32, $C$9, 100%, $E$9)</f>
        <v>8.2547999999999995</v>
      </c>
      <c r="E582" s="11">
        <f>9.4447 * CHOOSE(CONTROL!$C$32, $C$9, 100%, $E$9)</f>
        <v>9.4446999999999992</v>
      </c>
      <c r="F582" s="11">
        <f>9.4447 * CHOOSE(CONTROL!$C$32, $C$9, 100%, $E$9)</f>
        <v>9.4446999999999992</v>
      </c>
      <c r="G582" s="11">
        <f>9.45 * CHOOSE(CONTROL!$C$32, $C$9, 100%, $E$9)</f>
        <v>9.4499999999999993</v>
      </c>
      <c r="H582" s="11">
        <f>18.0832 * CHOOSE(CONTROL!$C$32, $C$9, 100%, $E$9)</f>
        <v>18.083200000000001</v>
      </c>
      <c r="I582" s="11">
        <f>18.0885 * CHOOSE(CONTROL!$C$32, $C$9, 100%, $E$9)</f>
        <v>18.0885</v>
      </c>
      <c r="J582" s="11">
        <f>18.0832 * CHOOSE(CONTROL!$C$32, $C$9, 100%, $E$9)</f>
        <v>18.083200000000001</v>
      </c>
      <c r="K582" s="11">
        <f>18.0885 * CHOOSE(CONTROL!$C$32, $C$9, 100%, $E$9)</f>
        <v>18.0885</v>
      </c>
      <c r="L582" s="11">
        <f>9.4447 * CHOOSE(CONTROL!$C$32, $C$9, 100%, $E$9)</f>
        <v>9.4446999999999992</v>
      </c>
      <c r="M582" s="11">
        <f>9.45 * CHOOSE(CONTROL!$C$32, $C$9, 100%, $E$9)</f>
        <v>9.4499999999999993</v>
      </c>
      <c r="N582" s="11">
        <f>9.4447 * CHOOSE(CONTROL!$C$32, $C$9, 100%, $E$9)</f>
        <v>9.4446999999999992</v>
      </c>
      <c r="O582" s="11">
        <f>9.45 * CHOOSE(CONTROL!$C$32, $C$9, 100%, $E$9)</f>
        <v>9.4499999999999993</v>
      </c>
    </row>
    <row r="583" spans="1:15" ht="15" x14ac:dyDescent="0.2">
      <c r="A583" s="13">
        <v>58593</v>
      </c>
      <c r="B583" s="9">
        <f>8.2593 * CHOOSE(CONTROL!$C$32, $C$9, 100%, $E$9)</f>
        <v>8.2592999999999996</v>
      </c>
      <c r="C583" s="9">
        <f>8.2593 * CHOOSE(CONTROL!$C$32, $C$9, 100%, $E$9)</f>
        <v>8.2592999999999996</v>
      </c>
      <c r="D583" s="9">
        <f>8.2608 * CHOOSE(CONTROL!$C$32, $C$9, 100%, $E$9)</f>
        <v>8.2607999999999997</v>
      </c>
      <c r="E583" s="11">
        <f>9.3797 * CHOOSE(CONTROL!$C$32, $C$9, 100%, $E$9)</f>
        <v>9.3796999999999997</v>
      </c>
      <c r="F583" s="11">
        <f>9.3797 * CHOOSE(CONTROL!$C$32, $C$9, 100%, $E$9)</f>
        <v>9.3796999999999997</v>
      </c>
      <c r="G583" s="11">
        <f>9.385 * CHOOSE(CONTROL!$C$32, $C$9, 100%, $E$9)</f>
        <v>9.3849999999999998</v>
      </c>
      <c r="H583" s="11">
        <f>18.1209 * CHOOSE(CONTROL!$C$32, $C$9, 100%, $E$9)</f>
        <v>18.120899999999999</v>
      </c>
      <c r="I583" s="11">
        <f>18.1262 * CHOOSE(CONTROL!$C$32, $C$9, 100%, $E$9)</f>
        <v>18.126200000000001</v>
      </c>
      <c r="J583" s="11">
        <f>18.1209 * CHOOSE(CONTROL!$C$32, $C$9, 100%, $E$9)</f>
        <v>18.120899999999999</v>
      </c>
      <c r="K583" s="11">
        <f>18.1262 * CHOOSE(CONTROL!$C$32, $C$9, 100%, $E$9)</f>
        <v>18.126200000000001</v>
      </c>
      <c r="L583" s="11">
        <f>9.3797 * CHOOSE(CONTROL!$C$32, $C$9, 100%, $E$9)</f>
        <v>9.3796999999999997</v>
      </c>
      <c r="M583" s="11">
        <f>9.385 * CHOOSE(CONTROL!$C$32, $C$9, 100%, $E$9)</f>
        <v>9.3849999999999998</v>
      </c>
      <c r="N583" s="11">
        <f>9.3797 * CHOOSE(CONTROL!$C$32, $C$9, 100%, $E$9)</f>
        <v>9.3796999999999997</v>
      </c>
      <c r="O583" s="11">
        <f>9.385 * CHOOSE(CONTROL!$C$32, $C$9, 100%, $E$9)</f>
        <v>9.3849999999999998</v>
      </c>
    </row>
    <row r="584" spans="1:15" ht="15" x14ac:dyDescent="0.2">
      <c r="A584" s="13">
        <v>58623</v>
      </c>
      <c r="B584" s="9">
        <f>8.3645 * CHOOSE(CONTROL!$C$32, $C$9, 100%, $E$9)</f>
        <v>8.3644999999999996</v>
      </c>
      <c r="C584" s="9">
        <f>8.3645 * CHOOSE(CONTROL!$C$32, $C$9, 100%, $E$9)</f>
        <v>8.3644999999999996</v>
      </c>
      <c r="D584" s="9">
        <f>8.3661 * CHOOSE(CONTROL!$C$32, $C$9, 100%, $E$9)</f>
        <v>8.3660999999999994</v>
      </c>
      <c r="E584" s="11">
        <f>9.5099 * CHOOSE(CONTROL!$C$32, $C$9, 100%, $E$9)</f>
        <v>9.5099</v>
      </c>
      <c r="F584" s="11">
        <f>9.5099 * CHOOSE(CONTROL!$C$32, $C$9, 100%, $E$9)</f>
        <v>9.5099</v>
      </c>
      <c r="G584" s="11">
        <f>9.5151 * CHOOSE(CONTROL!$C$32, $C$9, 100%, $E$9)</f>
        <v>9.5151000000000003</v>
      </c>
      <c r="H584" s="11">
        <f>18.1586 * CHOOSE(CONTROL!$C$32, $C$9, 100%, $E$9)</f>
        <v>18.1586</v>
      </c>
      <c r="I584" s="11">
        <f>18.1639 * CHOOSE(CONTROL!$C$32, $C$9, 100%, $E$9)</f>
        <v>18.163900000000002</v>
      </c>
      <c r="J584" s="11">
        <f>18.1586 * CHOOSE(CONTROL!$C$32, $C$9, 100%, $E$9)</f>
        <v>18.1586</v>
      </c>
      <c r="K584" s="11">
        <f>18.1639 * CHOOSE(CONTROL!$C$32, $C$9, 100%, $E$9)</f>
        <v>18.163900000000002</v>
      </c>
      <c r="L584" s="11">
        <f>9.5099 * CHOOSE(CONTROL!$C$32, $C$9, 100%, $E$9)</f>
        <v>9.5099</v>
      </c>
      <c r="M584" s="11">
        <f>9.5151 * CHOOSE(CONTROL!$C$32, $C$9, 100%, $E$9)</f>
        <v>9.5151000000000003</v>
      </c>
      <c r="N584" s="11">
        <f>9.5099 * CHOOSE(CONTROL!$C$32, $C$9, 100%, $E$9)</f>
        <v>9.5099</v>
      </c>
      <c r="O584" s="11">
        <f>9.5151 * CHOOSE(CONTROL!$C$32, $C$9, 100%, $E$9)</f>
        <v>9.5151000000000003</v>
      </c>
    </row>
    <row r="585" spans="1:15" ht="15" x14ac:dyDescent="0.2">
      <c r="A585" s="13">
        <v>58654</v>
      </c>
      <c r="B585" s="9">
        <f>8.3712 * CHOOSE(CONTROL!$C$32, $C$9, 100%, $E$9)</f>
        <v>8.3712</v>
      </c>
      <c r="C585" s="9">
        <f>8.3712 * CHOOSE(CONTROL!$C$32, $C$9, 100%, $E$9)</f>
        <v>8.3712</v>
      </c>
      <c r="D585" s="9">
        <f>8.3728 * CHOOSE(CONTROL!$C$32, $C$9, 100%, $E$9)</f>
        <v>8.3727999999999998</v>
      </c>
      <c r="E585" s="11">
        <f>9.3068 * CHOOSE(CONTROL!$C$32, $C$9, 100%, $E$9)</f>
        <v>9.3068000000000008</v>
      </c>
      <c r="F585" s="11">
        <f>9.3068 * CHOOSE(CONTROL!$C$32, $C$9, 100%, $E$9)</f>
        <v>9.3068000000000008</v>
      </c>
      <c r="G585" s="11">
        <f>9.3121 * CHOOSE(CONTROL!$C$32, $C$9, 100%, $E$9)</f>
        <v>9.3120999999999992</v>
      </c>
      <c r="H585" s="11">
        <f>18.1964 * CHOOSE(CONTROL!$C$32, $C$9, 100%, $E$9)</f>
        <v>18.196400000000001</v>
      </c>
      <c r="I585" s="11">
        <f>18.2017 * CHOOSE(CONTROL!$C$32, $C$9, 100%, $E$9)</f>
        <v>18.201699999999999</v>
      </c>
      <c r="J585" s="11">
        <f>18.1964 * CHOOSE(CONTROL!$C$32, $C$9, 100%, $E$9)</f>
        <v>18.196400000000001</v>
      </c>
      <c r="K585" s="11">
        <f>18.2017 * CHOOSE(CONTROL!$C$32, $C$9, 100%, $E$9)</f>
        <v>18.201699999999999</v>
      </c>
      <c r="L585" s="11">
        <f>9.3068 * CHOOSE(CONTROL!$C$32, $C$9, 100%, $E$9)</f>
        <v>9.3068000000000008</v>
      </c>
      <c r="M585" s="11">
        <f>9.3121 * CHOOSE(CONTROL!$C$32, $C$9, 100%, $E$9)</f>
        <v>9.3120999999999992</v>
      </c>
      <c r="N585" s="11">
        <f>9.3068 * CHOOSE(CONTROL!$C$32, $C$9, 100%, $E$9)</f>
        <v>9.3068000000000008</v>
      </c>
      <c r="O585" s="11">
        <f>9.3121 * CHOOSE(CONTROL!$C$32, $C$9, 100%, $E$9)</f>
        <v>9.3120999999999992</v>
      </c>
    </row>
    <row r="586" spans="1:15" ht="15" x14ac:dyDescent="0.2">
      <c r="A586" s="13">
        <v>58685</v>
      </c>
      <c r="B586" s="9">
        <f>8.3682 * CHOOSE(CONTROL!$C$32, $C$9, 100%, $E$9)</f>
        <v>8.3681999999999999</v>
      </c>
      <c r="C586" s="9">
        <f>8.3682 * CHOOSE(CONTROL!$C$32, $C$9, 100%, $E$9)</f>
        <v>8.3681999999999999</v>
      </c>
      <c r="D586" s="9">
        <f>8.3698 * CHOOSE(CONTROL!$C$32, $C$9, 100%, $E$9)</f>
        <v>8.3697999999999997</v>
      </c>
      <c r="E586" s="11">
        <f>9.2816 * CHOOSE(CONTROL!$C$32, $C$9, 100%, $E$9)</f>
        <v>9.2815999999999992</v>
      </c>
      <c r="F586" s="11">
        <f>9.2816 * CHOOSE(CONTROL!$C$32, $C$9, 100%, $E$9)</f>
        <v>9.2815999999999992</v>
      </c>
      <c r="G586" s="11">
        <f>9.2869 * CHOOSE(CONTROL!$C$32, $C$9, 100%, $E$9)</f>
        <v>9.2868999999999993</v>
      </c>
      <c r="H586" s="11">
        <f>18.2343 * CHOOSE(CONTROL!$C$32, $C$9, 100%, $E$9)</f>
        <v>18.234300000000001</v>
      </c>
      <c r="I586" s="11">
        <f>18.2396 * CHOOSE(CONTROL!$C$32, $C$9, 100%, $E$9)</f>
        <v>18.239599999999999</v>
      </c>
      <c r="J586" s="11">
        <f>18.2343 * CHOOSE(CONTROL!$C$32, $C$9, 100%, $E$9)</f>
        <v>18.234300000000001</v>
      </c>
      <c r="K586" s="11">
        <f>18.2396 * CHOOSE(CONTROL!$C$32, $C$9, 100%, $E$9)</f>
        <v>18.239599999999999</v>
      </c>
      <c r="L586" s="11">
        <f>9.2816 * CHOOSE(CONTROL!$C$32, $C$9, 100%, $E$9)</f>
        <v>9.2815999999999992</v>
      </c>
      <c r="M586" s="11">
        <f>9.2869 * CHOOSE(CONTROL!$C$32, $C$9, 100%, $E$9)</f>
        <v>9.2868999999999993</v>
      </c>
      <c r="N586" s="11">
        <f>9.2816 * CHOOSE(CONTROL!$C$32, $C$9, 100%, $E$9)</f>
        <v>9.2815999999999992</v>
      </c>
      <c r="O586" s="11">
        <f>9.2869 * CHOOSE(CONTROL!$C$32, $C$9, 100%, $E$9)</f>
        <v>9.2868999999999993</v>
      </c>
    </row>
    <row r="587" spans="1:15" ht="15" x14ac:dyDescent="0.2">
      <c r="A587" s="13">
        <v>58715</v>
      </c>
      <c r="B587" s="9">
        <f>8.3795 * CHOOSE(CONTROL!$C$32, $C$9, 100%, $E$9)</f>
        <v>8.3795000000000002</v>
      </c>
      <c r="C587" s="9">
        <f>8.3795 * CHOOSE(CONTROL!$C$32, $C$9, 100%, $E$9)</f>
        <v>8.3795000000000002</v>
      </c>
      <c r="D587" s="9">
        <f>8.3806 * CHOOSE(CONTROL!$C$32, $C$9, 100%, $E$9)</f>
        <v>8.3805999999999994</v>
      </c>
      <c r="E587" s="11">
        <f>9.3605 * CHOOSE(CONTROL!$C$32, $C$9, 100%, $E$9)</f>
        <v>9.3605</v>
      </c>
      <c r="F587" s="11">
        <f>9.3605 * CHOOSE(CONTROL!$C$32, $C$9, 100%, $E$9)</f>
        <v>9.3605</v>
      </c>
      <c r="G587" s="11">
        <f>9.3641 * CHOOSE(CONTROL!$C$32, $C$9, 100%, $E$9)</f>
        <v>9.3641000000000005</v>
      </c>
      <c r="H587" s="11">
        <f>18.2723 * CHOOSE(CONTROL!$C$32, $C$9, 100%, $E$9)</f>
        <v>18.272300000000001</v>
      </c>
      <c r="I587" s="11">
        <f>18.276 * CHOOSE(CONTROL!$C$32, $C$9, 100%, $E$9)</f>
        <v>18.276</v>
      </c>
      <c r="J587" s="11">
        <f>18.2723 * CHOOSE(CONTROL!$C$32, $C$9, 100%, $E$9)</f>
        <v>18.272300000000001</v>
      </c>
      <c r="K587" s="11">
        <f>18.276 * CHOOSE(CONTROL!$C$32, $C$9, 100%, $E$9)</f>
        <v>18.276</v>
      </c>
      <c r="L587" s="11">
        <f>9.3605 * CHOOSE(CONTROL!$C$32, $C$9, 100%, $E$9)</f>
        <v>9.3605</v>
      </c>
      <c r="M587" s="11">
        <f>9.3641 * CHOOSE(CONTROL!$C$32, $C$9, 100%, $E$9)</f>
        <v>9.3641000000000005</v>
      </c>
      <c r="N587" s="11">
        <f>9.3605 * CHOOSE(CONTROL!$C$32, $C$9, 100%, $E$9)</f>
        <v>9.3605</v>
      </c>
      <c r="O587" s="11">
        <f>9.3641 * CHOOSE(CONTROL!$C$32, $C$9, 100%, $E$9)</f>
        <v>9.3641000000000005</v>
      </c>
    </row>
    <row r="588" spans="1:15" ht="15" x14ac:dyDescent="0.2">
      <c r="A588" s="13">
        <v>58746</v>
      </c>
      <c r="B588" s="9">
        <f>8.3826 * CHOOSE(CONTROL!$C$32, $C$9, 100%, $E$9)</f>
        <v>8.3826000000000001</v>
      </c>
      <c r="C588" s="9">
        <f>8.3826 * CHOOSE(CONTROL!$C$32, $C$9, 100%, $E$9)</f>
        <v>8.3826000000000001</v>
      </c>
      <c r="D588" s="9">
        <f>8.3836 * CHOOSE(CONTROL!$C$32, $C$9, 100%, $E$9)</f>
        <v>8.3835999999999995</v>
      </c>
      <c r="E588" s="11">
        <f>9.4088 * CHOOSE(CONTROL!$C$32, $C$9, 100%, $E$9)</f>
        <v>9.4087999999999994</v>
      </c>
      <c r="F588" s="11">
        <f>9.4088 * CHOOSE(CONTROL!$C$32, $C$9, 100%, $E$9)</f>
        <v>9.4087999999999994</v>
      </c>
      <c r="G588" s="11">
        <f>9.4124 * CHOOSE(CONTROL!$C$32, $C$9, 100%, $E$9)</f>
        <v>9.4123999999999999</v>
      </c>
      <c r="H588" s="11">
        <f>18.3104 * CHOOSE(CONTROL!$C$32, $C$9, 100%, $E$9)</f>
        <v>18.310400000000001</v>
      </c>
      <c r="I588" s="11">
        <f>18.314 * CHOOSE(CONTROL!$C$32, $C$9, 100%, $E$9)</f>
        <v>18.314</v>
      </c>
      <c r="J588" s="11">
        <f>18.3104 * CHOOSE(CONTROL!$C$32, $C$9, 100%, $E$9)</f>
        <v>18.310400000000001</v>
      </c>
      <c r="K588" s="11">
        <f>18.314 * CHOOSE(CONTROL!$C$32, $C$9, 100%, $E$9)</f>
        <v>18.314</v>
      </c>
      <c r="L588" s="11">
        <f>9.4088 * CHOOSE(CONTROL!$C$32, $C$9, 100%, $E$9)</f>
        <v>9.4087999999999994</v>
      </c>
      <c r="M588" s="11">
        <f>9.4124 * CHOOSE(CONTROL!$C$32, $C$9, 100%, $E$9)</f>
        <v>9.4123999999999999</v>
      </c>
      <c r="N588" s="11">
        <f>9.4088 * CHOOSE(CONTROL!$C$32, $C$9, 100%, $E$9)</f>
        <v>9.4087999999999994</v>
      </c>
      <c r="O588" s="11">
        <f>9.4124 * CHOOSE(CONTROL!$C$32, $C$9, 100%, $E$9)</f>
        <v>9.4123999999999999</v>
      </c>
    </row>
    <row r="589" spans="1:15" ht="15" x14ac:dyDescent="0.2">
      <c r="A589" s="13">
        <v>58776</v>
      </c>
      <c r="B589" s="9">
        <f>8.3826 * CHOOSE(CONTROL!$C$32, $C$9, 100%, $E$9)</f>
        <v>8.3826000000000001</v>
      </c>
      <c r="C589" s="9">
        <f>8.3826 * CHOOSE(CONTROL!$C$32, $C$9, 100%, $E$9)</f>
        <v>8.3826000000000001</v>
      </c>
      <c r="D589" s="9">
        <f>8.3836 * CHOOSE(CONTROL!$C$32, $C$9, 100%, $E$9)</f>
        <v>8.3835999999999995</v>
      </c>
      <c r="E589" s="11">
        <f>9.2934 * CHOOSE(CONTROL!$C$32, $C$9, 100%, $E$9)</f>
        <v>9.2934000000000001</v>
      </c>
      <c r="F589" s="11">
        <f>9.2934 * CHOOSE(CONTROL!$C$32, $C$9, 100%, $E$9)</f>
        <v>9.2934000000000001</v>
      </c>
      <c r="G589" s="11">
        <f>9.297 * CHOOSE(CONTROL!$C$32, $C$9, 100%, $E$9)</f>
        <v>9.2970000000000006</v>
      </c>
      <c r="H589" s="11">
        <f>18.3486 * CHOOSE(CONTROL!$C$32, $C$9, 100%, $E$9)</f>
        <v>18.348600000000001</v>
      </c>
      <c r="I589" s="11">
        <f>18.3522 * CHOOSE(CONTROL!$C$32, $C$9, 100%, $E$9)</f>
        <v>18.3522</v>
      </c>
      <c r="J589" s="11">
        <f>18.3486 * CHOOSE(CONTROL!$C$32, $C$9, 100%, $E$9)</f>
        <v>18.348600000000001</v>
      </c>
      <c r="K589" s="11">
        <f>18.3522 * CHOOSE(CONTROL!$C$32, $C$9, 100%, $E$9)</f>
        <v>18.3522</v>
      </c>
      <c r="L589" s="11">
        <f>9.2934 * CHOOSE(CONTROL!$C$32, $C$9, 100%, $E$9)</f>
        <v>9.2934000000000001</v>
      </c>
      <c r="M589" s="11">
        <f>9.297 * CHOOSE(CONTROL!$C$32, $C$9, 100%, $E$9)</f>
        <v>9.2970000000000006</v>
      </c>
      <c r="N589" s="11">
        <f>9.2934 * CHOOSE(CONTROL!$C$32, $C$9, 100%, $E$9)</f>
        <v>9.2934000000000001</v>
      </c>
      <c r="O589" s="11">
        <f>9.297 * CHOOSE(CONTROL!$C$32, $C$9, 100%, $E$9)</f>
        <v>9.2970000000000006</v>
      </c>
    </row>
    <row r="590" spans="1:15" ht="15" x14ac:dyDescent="0.2">
      <c r="A590" s="13">
        <v>58807</v>
      </c>
      <c r="B590" s="9">
        <f>8.4448 * CHOOSE(CONTROL!$C$32, $C$9, 100%, $E$9)</f>
        <v>8.4448000000000008</v>
      </c>
      <c r="C590" s="9">
        <f>8.4448 * CHOOSE(CONTROL!$C$32, $C$9, 100%, $E$9)</f>
        <v>8.4448000000000008</v>
      </c>
      <c r="D590" s="9">
        <f>8.4459 * CHOOSE(CONTROL!$C$32, $C$9, 100%, $E$9)</f>
        <v>8.4459</v>
      </c>
      <c r="E590" s="11">
        <f>9.458 * CHOOSE(CONTROL!$C$32, $C$9, 100%, $E$9)</f>
        <v>9.4580000000000002</v>
      </c>
      <c r="F590" s="11">
        <f>9.458 * CHOOSE(CONTROL!$C$32, $C$9, 100%, $E$9)</f>
        <v>9.4580000000000002</v>
      </c>
      <c r="G590" s="11">
        <f>9.4616 * CHOOSE(CONTROL!$C$32, $C$9, 100%, $E$9)</f>
        <v>9.4616000000000007</v>
      </c>
      <c r="H590" s="11">
        <f>18.3868 * CHOOSE(CONTROL!$C$32, $C$9, 100%, $E$9)</f>
        <v>18.386800000000001</v>
      </c>
      <c r="I590" s="11">
        <f>18.3904 * CHOOSE(CONTROL!$C$32, $C$9, 100%, $E$9)</f>
        <v>18.3904</v>
      </c>
      <c r="J590" s="11">
        <f>18.3868 * CHOOSE(CONTROL!$C$32, $C$9, 100%, $E$9)</f>
        <v>18.386800000000001</v>
      </c>
      <c r="K590" s="11">
        <f>18.3904 * CHOOSE(CONTROL!$C$32, $C$9, 100%, $E$9)</f>
        <v>18.3904</v>
      </c>
      <c r="L590" s="11">
        <f>9.458 * CHOOSE(CONTROL!$C$32, $C$9, 100%, $E$9)</f>
        <v>9.4580000000000002</v>
      </c>
      <c r="M590" s="11">
        <f>9.4616 * CHOOSE(CONTROL!$C$32, $C$9, 100%, $E$9)</f>
        <v>9.4616000000000007</v>
      </c>
      <c r="N590" s="11">
        <f>9.458 * CHOOSE(CONTROL!$C$32, $C$9, 100%, $E$9)</f>
        <v>9.4580000000000002</v>
      </c>
      <c r="O590" s="11">
        <f>9.4616 * CHOOSE(CONTROL!$C$32, $C$9, 100%, $E$9)</f>
        <v>9.4616000000000007</v>
      </c>
    </row>
    <row r="591" spans="1:15" ht="15" x14ac:dyDescent="0.2">
      <c r="A591" s="13">
        <v>58838</v>
      </c>
      <c r="B591" s="9">
        <f>8.4418 * CHOOSE(CONTROL!$C$32, $C$9, 100%, $E$9)</f>
        <v>8.4418000000000006</v>
      </c>
      <c r="C591" s="9">
        <f>8.4418 * CHOOSE(CONTROL!$C$32, $C$9, 100%, $E$9)</f>
        <v>8.4418000000000006</v>
      </c>
      <c r="D591" s="9">
        <f>8.4429 * CHOOSE(CONTROL!$C$32, $C$9, 100%, $E$9)</f>
        <v>8.4428999999999998</v>
      </c>
      <c r="E591" s="11">
        <f>9.2307 * CHOOSE(CONTROL!$C$32, $C$9, 100%, $E$9)</f>
        <v>9.2307000000000006</v>
      </c>
      <c r="F591" s="11">
        <f>9.2307 * CHOOSE(CONTROL!$C$32, $C$9, 100%, $E$9)</f>
        <v>9.2307000000000006</v>
      </c>
      <c r="G591" s="11">
        <f>9.2343 * CHOOSE(CONTROL!$C$32, $C$9, 100%, $E$9)</f>
        <v>9.2342999999999993</v>
      </c>
      <c r="H591" s="11">
        <f>18.4251 * CHOOSE(CONTROL!$C$32, $C$9, 100%, $E$9)</f>
        <v>18.4251</v>
      </c>
      <c r="I591" s="11">
        <f>18.4287 * CHOOSE(CONTROL!$C$32, $C$9, 100%, $E$9)</f>
        <v>18.428699999999999</v>
      </c>
      <c r="J591" s="11">
        <f>18.4251 * CHOOSE(CONTROL!$C$32, $C$9, 100%, $E$9)</f>
        <v>18.4251</v>
      </c>
      <c r="K591" s="11">
        <f>18.4287 * CHOOSE(CONTROL!$C$32, $C$9, 100%, $E$9)</f>
        <v>18.428699999999999</v>
      </c>
      <c r="L591" s="11">
        <f>9.2307 * CHOOSE(CONTROL!$C$32, $C$9, 100%, $E$9)</f>
        <v>9.2307000000000006</v>
      </c>
      <c r="M591" s="11">
        <f>9.2343 * CHOOSE(CONTROL!$C$32, $C$9, 100%, $E$9)</f>
        <v>9.2342999999999993</v>
      </c>
      <c r="N591" s="11">
        <f>9.2307 * CHOOSE(CONTROL!$C$32, $C$9, 100%, $E$9)</f>
        <v>9.2307000000000006</v>
      </c>
      <c r="O591" s="11">
        <f>9.2343 * CHOOSE(CONTROL!$C$32, $C$9, 100%, $E$9)</f>
        <v>9.2342999999999993</v>
      </c>
    </row>
    <row r="592" spans="1:15" ht="15" x14ac:dyDescent="0.2">
      <c r="A592" s="13">
        <v>58866</v>
      </c>
      <c r="B592" s="9">
        <f>8.4388 * CHOOSE(CONTROL!$C$32, $C$9, 100%, $E$9)</f>
        <v>8.4388000000000005</v>
      </c>
      <c r="C592" s="9">
        <f>8.4388 * CHOOSE(CONTROL!$C$32, $C$9, 100%, $E$9)</f>
        <v>8.4388000000000005</v>
      </c>
      <c r="D592" s="9">
        <f>8.4398 * CHOOSE(CONTROL!$C$32, $C$9, 100%, $E$9)</f>
        <v>8.4398</v>
      </c>
      <c r="E592" s="11">
        <f>9.4061 * CHOOSE(CONTROL!$C$32, $C$9, 100%, $E$9)</f>
        <v>9.4061000000000003</v>
      </c>
      <c r="F592" s="11">
        <f>9.4061 * CHOOSE(CONTROL!$C$32, $C$9, 100%, $E$9)</f>
        <v>9.4061000000000003</v>
      </c>
      <c r="G592" s="11">
        <f>9.4097 * CHOOSE(CONTROL!$C$32, $C$9, 100%, $E$9)</f>
        <v>9.4097000000000008</v>
      </c>
      <c r="H592" s="11">
        <f>18.4635 * CHOOSE(CONTROL!$C$32, $C$9, 100%, $E$9)</f>
        <v>18.4635</v>
      </c>
      <c r="I592" s="11">
        <f>18.4671 * CHOOSE(CONTROL!$C$32, $C$9, 100%, $E$9)</f>
        <v>18.467099999999999</v>
      </c>
      <c r="J592" s="11">
        <f>18.4635 * CHOOSE(CONTROL!$C$32, $C$9, 100%, $E$9)</f>
        <v>18.4635</v>
      </c>
      <c r="K592" s="11">
        <f>18.4671 * CHOOSE(CONTROL!$C$32, $C$9, 100%, $E$9)</f>
        <v>18.467099999999999</v>
      </c>
      <c r="L592" s="11">
        <f>9.4061 * CHOOSE(CONTROL!$C$32, $C$9, 100%, $E$9)</f>
        <v>9.4061000000000003</v>
      </c>
      <c r="M592" s="11">
        <f>9.4097 * CHOOSE(CONTROL!$C$32, $C$9, 100%, $E$9)</f>
        <v>9.4097000000000008</v>
      </c>
      <c r="N592" s="11">
        <f>9.4061 * CHOOSE(CONTROL!$C$32, $C$9, 100%, $E$9)</f>
        <v>9.4061000000000003</v>
      </c>
      <c r="O592" s="11">
        <f>9.4097 * CHOOSE(CONTROL!$C$32, $C$9, 100%, $E$9)</f>
        <v>9.4097000000000008</v>
      </c>
    </row>
    <row r="593" spans="1:15" ht="15" x14ac:dyDescent="0.2">
      <c r="A593" s="13">
        <v>58897</v>
      </c>
      <c r="B593" s="9">
        <f>8.4407 * CHOOSE(CONTROL!$C$32, $C$9, 100%, $E$9)</f>
        <v>8.4406999999999996</v>
      </c>
      <c r="C593" s="9">
        <f>8.4407 * CHOOSE(CONTROL!$C$32, $C$9, 100%, $E$9)</f>
        <v>8.4406999999999996</v>
      </c>
      <c r="D593" s="9">
        <f>8.4418 * CHOOSE(CONTROL!$C$32, $C$9, 100%, $E$9)</f>
        <v>8.4418000000000006</v>
      </c>
      <c r="E593" s="11">
        <f>9.5925 * CHOOSE(CONTROL!$C$32, $C$9, 100%, $E$9)</f>
        <v>9.5924999999999994</v>
      </c>
      <c r="F593" s="11">
        <f>9.5925 * CHOOSE(CONTROL!$C$32, $C$9, 100%, $E$9)</f>
        <v>9.5924999999999994</v>
      </c>
      <c r="G593" s="11">
        <f>9.5961 * CHOOSE(CONTROL!$C$32, $C$9, 100%, $E$9)</f>
        <v>9.5960999999999999</v>
      </c>
      <c r="H593" s="11">
        <f>18.5019 * CHOOSE(CONTROL!$C$32, $C$9, 100%, $E$9)</f>
        <v>18.501899999999999</v>
      </c>
      <c r="I593" s="11">
        <f>18.5056 * CHOOSE(CONTROL!$C$32, $C$9, 100%, $E$9)</f>
        <v>18.505600000000001</v>
      </c>
      <c r="J593" s="11">
        <f>18.5019 * CHOOSE(CONTROL!$C$32, $C$9, 100%, $E$9)</f>
        <v>18.501899999999999</v>
      </c>
      <c r="K593" s="11">
        <f>18.5056 * CHOOSE(CONTROL!$C$32, $C$9, 100%, $E$9)</f>
        <v>18.505600000000001</v>
      </c>
      <c r="L593" s="11">
        <f>9.5925 * CHOOSE(CONTROL!$C$32, $C$9, 100%, $E$9)</f>
        <v>9.5924999999999994</v>
      </c>
      <c r="M593" s="11">
        <f>9.5961 * CHOOSE(CONTROL!$C$32, $C$9, 100%, $E$9)</f>
        <v>9.5960999999999999</v>
      </c>
      <c r="N593" s="11">
        <f>9.5925 * CHOOSE(CONTROL!$C$32, $C$9, 100%, $E$9)</f>
        <v>9.5924999999999994</v>
      </c>
      <c r="O593" s="11">
        <f>9.5961 * CHOOSE(CONTROL!$C$32, $C$9, 100%, $E$9)</f>
        <v>9.5960999999999999</v>
      </c>
    </row>
    <row r="594" spans="1:15" ht="15" x14ac:dyDescent="0.2">
      <c r="A594" s="13">
        <v>58927</v>
      </c>
      <c r="B594" s="9">
        <f>8.4407 * CHOOSE(CONTROL!$C$32, $C$9, 100%, $E$9)</f>
        <v>8.4406999999999996</v>
      </c>
      <c r="C594" s="9">
        <f>8.4407 * CHOOSE(CONTROL!$C$32, $C$9, 100%, $E$9)</f>
        <v>8.4406999999999996</v>
      </c>
      <c r="D594" s="9">
        <f>8.4423 * CHOOSE(CONTROL!$C$32, $C$9, 100%, $E$9)</f>
        <v>8.4422999999999995</v>
      </c>
      <c r="E594" s="11">
        <f>9.6639 * CHOOSE(CONTROL!$C$32, $C$9, 100%, $E$9)</f>
        <v>9.6638999999999999</v>
      </c>
      <c r="F594" s="11">
        <f>9.6639 * CHOOSE(CONTROL!$C$32, $C$9, 100%, $E$9)</f>
        <v>9.6638999999999999</v>
      </c>
      <c r="G594" s="11">
        <f>9.6692 * CHOOSE(CONTROL!$C$32, $C$9, 100%, $E$9)</f>
        <v>9.6692</v>
      </c>
      <c r="H594" s="11">
        <f>18.5405 * CHOOSE(CONTROL!$C$32, $C$9, 100%, $E$9)</f>
        <v>18.540500000000002</v>
      </c>
      <c r="I594" s="11">
        <f>18.5458 * CHOOSE(CONTROL!$C$32, $C$9, 100%, $E$9)</f>
        <v>18.5458</v>
      </c>
      <c r="J594" s="11">
        <f>18.5405 * CHOOSE(CONTROL!$C$32, $C$9, 100%, $E$9)</f>
        <v>18.540500000000002</v>
      </c>
      <c r="K594" s="11">
        <f>18.5458 * CHOOSE(CONTROL!$C$32, $C$9, 100%, $E$9)</f>
        <v>18.5458</v>
      </c>
      <c r="L594" s="11">
        <f>9.6639 * CHOOSE(CONTROL!$C$32, $C$9, 100%, $E$9)</f>
        <v>9.6638999999999999</v>
      </c>
      <c r="M594" s="11">
        <f>9.6692 * CHOOSE(CONTROL!$C$32, $C$9, 100%, $E$9)</f>
        <v>9.6692</v>
      </c>
      <c r="N594" s="11">
        <f>9.6639 * CHOOSE(CONTROL!$C$32, $C$9, 100%, $E$9)</f>
        <v>9.6638999999999999</v>
      </c>
      <c r="O594" s="11">
        <f>9.6692 * CHOOSE(CONTROL!$C$32, $C$9, 100%, $E$9)</f>
        <v>9.6692</v>
      </c>
    </row>
    <row r="595" spans="1:15" ht="15" x14ac:dyDescent="0.2">
      <c r="A595" s="13">
        <v>58958</v>
      </c>
      <c r="B595" s="9">
        <f>8.4468 * CHOOSE(CONTROL!$C$32, $C$9, 100%, $E$9)</f>
        <v>8.4467999999999996</v>
      </c>
      <c r="C595" s="9">
        <f>8.4468 * CHOOSE(CONTROL!$C$32, $C$9, 100%, $E$9)</f>
        <v>8.4467999999999996</v>
      </c>
      <c r="D595" s="9">
        <f>8.4484 * CHOOSE(CONTROL!$C$32, $C$9, 100%, $E$9)</f>
        <v>8.4483999999999995</v>
      </c>
      <c r="E595" s="11">
        <f>9.5967 * CHOOSE(CONTROL!$C$32, $C$9, 100%, $E$9)</f>
        <v>9.5967000000000002</v>
      </c>
      <c r="F595" s="11">
        <f>9.5967 * CHOOSE(CONTROL!$C$32, $C$9, 100%, $E$9)</f>
        <v>9.5967000000000002</v>
      </c>
      <c r="G595" s="11">
        <f>9.602 * CHOOSE(CONTROL!$C$32, $C$9, 100%, $E$9)</f>
        <v>9.6020000000000003</v>
      </c>
      <c r="H595" s="11">
        <f>18.5791 * CHOOSE(CONTROL!$C$32, $C$9, 100%, $E$9)</f>
        <v>18.5791</v>
      </c>
      <c r="I595" s="11">
        <f>18.5844 * CHOOSE(CONTROL!$C$32, $C$9, 100%, $E$9)</f>
        <v>18.584399999999999</v>
      </c>
      <c r="J595" s="11">
        <f>18.5791 * CHOOSE(CONTROL!$C$32, $C$9, 100%, $E$9)</f>
        <v>18.5791</v>
      </c>
      <c r="K595" s="11">
        <f>18.5844 * CHOOSE(CONTROL!$C$32, $C$9, 100%, $E$9)</f>
        <v>18.584399999999999</v>
      </c>
      <c r="L595" s="11">
        <f>9.5967 * CHOOSE(CONTROL!$C$32, $C$9, 100%, $E$9)</f>
        <v>9.5967000000000002</v>
      </c>
      <c r="M595" s="11">
        <f>9.602 * CHOOSE(CONTROL!$C$32, $C$9, 100%, $E$9)</f>
        <v>9.6020000000000003</v>
      </c>
      <c r="N595" s="11">
        <f>9.5967 * CHOOSE(CONTROL!$C$32, $C$9, 100%, $E$9)</f>
        <v>9.5967000000000002</v>
      </c>
      <c r="O595" s="11">
        <f>9.602 * CHOOSE(CONTROL!$C$32, $C$9, 100%, $E$9)</f>
        <v>9.6020000000000003</v>
      </c>
    </row>
    <row r="596" spans="1:15" ht="15" x14ac:dyDescent="0.2">
      <c r="A596" s="13">
        <v>58988</v>
      </c>
      <c r="B596" s="9">
        <f>8.5541 * CHOOSE(CONTROL!$C$32, $C$9, 100%, $E$9)</f>
        <v>8.5541</v>
      </c>
      <c r="C596" s="9">
        <f>8.5541 * CHOOSE(CONTROL!$C$32, $C$9, 100%, $E$9)</f>
        <v>8.5541</v>
      </c>
      <c r="D596" s="9">
        <f>8.5557 * CHOOSE(CONTROL!$C$32, $C$9, 100%, $E$9)</f>
        <v>8.5556999999999999</v>
      </c>
      <c r="E596" s="11">
        <f>9.73 * CHOOSE(CONTROL!$C$32, $C$9, 100%, $E$9)</f>
        <v>9.73</v>
      </c>
      <c r="F596" s="11">
        <f>9.73 * CHOOSE(CONTROL!$C$32, $C$9, 100%, $E$9)</f>
        <v>9.73</v>
      </c>
      <c r="G596" s="11">
        <f>9.7353 * CHOOSE(CONTROL!$C$32, $C$9, 100%, $E$9)</f>
        <v>9.7353000000000005</v>
      </c>
      <c r="H596" s="11">
        <f>18.6178 * CHOOSE(CONTROL!$C$32, $C$9, 100%, $E$9)</f>
        <v>18.617799999999999</v>
      </c>
      <c r="I596" s="11">
        <f>18.6231 * CHOOSE(CONTROL!$C$32, $C$9, 100%, $E$9)</f>
        <v>18.623100000000001</v>
      </c>
      <c r="J596" s="11">
        <f>18.6178 * CHOOSE(CONTROL!$C$32, $C$9, 100%, $E$9)</f>
        <v>18.617799999999999</v>
      </c>
      <c r="K596" s="11">
        <f>18.6231 * CHOOSE(CONTROL!$C$32, $C$9, 100%, $E$9)</f>
        <v>18.623100000000001</v>
      </c>
      <c r="L596" s="11">
        <f>9.73 * CHOOSE(CONTROL!$C$32, $C$9, 100%, $E$9)</f>
        <v>9.73</v>
      </c>
      <c r="M596" s="11">
        <f>9.7353 * CHOOSE(CONTROL!$C$32, $C$9, 100%, $E$9)</f>
        <v>9.7353000000000005</v>
      </c>
      <c r="N596" s="11">
        <f>9.73 * CHOOSE(CONTROL!$C$32, $C$9, 100%, $E$9)</f>
        <v>9.73</v>
      </c>
      <c r="O596" s="11">
        <f>9.7353 * CHOOSE(CONTROL!$C$32, $C$9, 100%, $E$9)</f>
        <v>9.7353000000000005</v>
      </c>
    </row>
    <row r="597" spans="1:15" ht="15" x14ac:dyDescent="0.2">
      <c r="A597" s="13">
        <v>59019</v>
      </c>
      <c r="B597" s="9">
        <f>8.5608 * CHOOSE(CONTROL!$C$32, $C$9, 100%, $E$9)</f>
        <v>8.5608000000000004</v>
      </c>
      <c r="C597" s="9">
        <f>8.5608 * CHOOSE(CONTROL!$C$32, $C$9, 100%, $E$9)</f>
        <v>8.5608000000000004</v>
      </c>
      <c r="D597" s="9">
        <f>8.5624 * CHOOSE(CONTROL!$C$32, $C$9, 100%, $E$9)</f>
        <v>8.5624000000000002</v>
      </c>
      <c r="E597" s="11">
        <f>9.5203 * CHOOSE(CONTROL!$C$32, $C$9, 100%, $E$9)</f>
        <v>9.5203000000000007</v>
      </c>
      <c r="F597" s="11">
        <f>9.5203 * CHOOSE(CONTROL!$C$32, $C$9, 100%, $E$9)</f>
        <v>9.5203000000000007</v>
      </c>
      <c r="G597" s="11">
        <f>9.5256 * CHOOSE(CONTROL!$C$32, $C$9, 100%, $E$9)</f>
        <v>9.5256000000000007</v>
      </c>
      <c r="H597" s="11">
        <f>18.6566 * CHOOSE(CONTROL!$C$32, $C$9, 100%, $E$9)</f>
        <v>18.656600000000001</v>
      </c>
      <c r="I597" s="11">
        <f>18.6619 * CHOOSE(CONTROL!$C$32, $C$9, 100%, $E$9)</f>
        <v>18.661899999999999</v>
      </c>
      <c r="J597" s="11">
        <f>18.6566 * CHOOSE(CONTROL!$C$32, $C$9, 100%, $E$9)</f>
        <v>18.656600000000001</v>
      </c>
      <c r="K597" s="11">
        <f>18.6619 * CHOOSE(CONTROL!$C$32, $C$9, 100%, $E$9)</f>
        <v>18.661899999999999</v>
      </c>
      <c r="L597" s="11">
        <f>9.5203 * CHOOSE(CONTROL!$C$32, $C$9, 100%, $E$9)</f>
        <v>9.5203000000000007</v>
      </c>
      <c r="M597" s="11">
        <f>9.5256 * CHOOSE(CONTROL!$C$32, $C$9, 100%, $E$9)</f>
        <v>9.5256000000000007</v>
      </c>
      <c r="N597" s="11">
        <f>9.5203 * CHOOSE(CONTROL!$C$32, $C$9, 100%, $E$9)</f>
        <v>9.5203000000000007</v>
      </c>
      <c r="O597" s="11">
        <f>9.5256 * CHOOSE(CONTROL!$C$32, $C$9, 100%, $E$9)</f>
        <v>9.5256000000000007</v>
      </c>
    </row>
    <row r="598" spans="1:15" ht="15" x14ac:dyDescent="0.2">
      <c r="A598" s="13">
        <v>59050</v>
      </c>
      <c r="B598" s="9">
        <f>8.5578 * CHOOSE(CONTROL!$C$32, $C$9, 100%, $E$9)</f>
        <v>8.5578000000000003</v>
      </c>
      <c r="C598" s="9">
        <f>8.5578 * CHOOSE(CONTROL!$C$32, $C$9, 100%, $E$9)</f>
        <v>8.5578000000000003</v>
      </c>
      <c r="D598" s="9">
        <f>8.5594 * CHOOSE(CONTROL!$C$32, $C$9, 100%, $E$9)</f>
        <v>8.5594000000000001</v>
      </c>
      <c r="E598" s="11">
        <f>9.4943 * CHOOSE(CONTROL!$C$32, $C$9, 100%, $E$9)</f>
        <v>9.4943000000000008</v>
      </c>
      <c r="F598" s="11">
        <f>9.4943 * CHOOSE(CONTROL!$C$32, $C$9, 100%, $E$9)</f>
        <v>9.4943000000000008</v>
      </c>
      <c r="G598" s="11">
        <f>9.4996 * CHOOSE(CONTROL!$C$32, $C$9, 100%, $E$9)</f>
        <v>9.4995999999999992</v>
      </c>
      <c r="H598" s="11">
        <f>18.6955 * CHOOSE(CONTROL!$C$32, $C$9, 100%, $E$9)</f>
        <v>18.695499999999999</v>
      </c>
      <c r="I598" s="11">
        <f>18.7008 * CHOOSE(CONTROL!$C$32, $C$9, 100%, $E$9)</f>
        <v>18.700800000000001</v>
      </c>
      <c r="J598" s="11">
        <f>18.6955 * CHOOSE(CONTROL!$C$32, $C$9, 100%, $E$9)</f>
        <v>18.695499999999999</v>
      </c>
      <c r="K598" s="11">
        <f>18.7008 * CHOOSE(CONTROL!$C$32, $C$9, 100%, $E$9)</f>
        <v>18.700800000000001</v>
      </c>
      <c r="L598" s="11">
        <f>9.4943 * CHOOSE(CONTROL!$C$32, $C$9, 100%, $E$9)</f>
        <v>9.4943000000000008</v>
      </c>
      <c r="M598" s="11">
        <f>9.4996 * CHOOSE(CONTROL!$C$32, $C$9, 100%, $E$9)</f>
        <v>9.4995999999999992</v>
      </c>
      <c r="N598" s="11">
        <f>9.4943 * CHOOSE(CONTROL!$C$32, $C$9, 100%, $E$9)</f>
        <v>9.4943000000000008</v>
      </c>
      <c r="O598" s="11">
        <f>9.4996 * CHOOSE(CONTROL!$C$32, $C$9, 100%, $E$9)</f>
        <v>9.4995999999999992</v>
      </c>
    </row>
    <row r="599" spans="1:15" ht="15" x14ac:dyDescent="0.2">
      <c r="A599" s="13">
        <v>59080</v>
      </c>
      <c r="B599" s="9">
        <f>8.5698 * CHOOSE(CONTROL!$C$32, $C$9, 100%, $E$9)</f>
        <v>8.5698000000000008</v>
      </c>
      <c r="C599" s="9">
        <f>8.5698 * CHOOSE(CONTROL!$C$32, $C$9, 100%, $E$9)</f>
        <v>8.5698000000000008</v>
      </c>
      <c r="D599" s="9">
        <f>8.5709 * CHOOSE(CONTROL!$C$32, $C$9, 100%, $E$9)</f>
        <v>8.5709</v>
      </c>
      <c r="E599" s="11">
        <f>9.5762 * CHOOSE(CONTROL!$C$32, $C$9, 100%, $E$9)</f>
        <v>9.5762</v>
      </c>
      <c r="F599" s="11">
        <f>9.5762 * CHOOSE(CONTROL!$C$32, $C$9, 100%, $E$9)</f>
        <v>9.5762</v>
      </c>
      <c r="G599" s="11">
        <f>9.5798 * CHOOSE(CONTROL!$C$32, $C$9, 100%, $E$9)</f>
        <v>9.5798000000000005</v>
      </c>
      <c r="H599" s="11">
        <f>18.7344 * CHOOSE(CONTROL!$C$32, $C$9, 100%, $E$9)</f>
        <v>18.734400000000001</v>
      </c>
      <c r="I599" s="11">
        <f>18.738 * CHOOSE(CONTROL!$C$32, $C$9, 100%, $E$9)</f>
        <v>18.738</v>
      </c>
      <c r="J599" s="11">
        <f>18.7344 * CHOOSE(CONTROL!$C$32, $C$9, 100%, $E$9)</f>
        <v>18.734400000000001</v>
      </c>
      <c r="K599" s="11">
        <f>18.738 * CHOOSE(CONTROL!$C$32, $C$9, 100%, $E$9)</f>
        <v>18.738</v>
      </c>
      <c r="L599" s="11">
        <f>9.5762 * CHOOSE(CONTROL!$C$32, $C$9, 100%, $E$9)</f>
        <v>9.5762</v>
      </c>
      <c r="M599" s="11">
        <f>9.5798 * CHOOSE(CONTROL!$C$32, $C$9, 100%, $E$9)</f>
        <v>9.5798000000000005</v>
      </c>
      <c r="N599" s="11">
        <f>9.5762 * CHOOSE(CONTROL!$C$32, $C$9, 100%, $E$9)</f>
        <v>9.5762</v>
      </c>
      <c r="O599" s="11">
        <f>9.5798 * CHOOSE(CONTROL!$C$32, $C$9, 100%, $E$9)</f>
        <v>9.5798000000000005</v>
      </c>
    </row>
    <row r="600" spans="1:15" ht="15" x14ac:dyDescent="0.2">
      <c r="A600" s="13">
        <v>59111</v>
      </c>
      <c r="B600" s="9">
        <f>8.5729 * CHOOSE(CONTROL!$C$32, $C$9, 100%, $E$9)</f>
        <v>8.5729000000000006</v>
      </c>
      <c r="C600" s="9">
        <f>8.5729 * CHOOSE(CONTROL!$C$32, $C$9, 100%, $E$9)</f>
        <v>8.5729000000000006</v>
      </c>
      <c r="D600" s="9">
        <f>8.5739 * CHOOSE(CONTROL!$C$32, $C$9, 100%, $E$9)</f>
        <v>8.5739000000000001</v>
      </c>
      <c r="E600" s="11">
        <f>9.626 * CHOOSE(CONTROL!$C$32, $C$9, 100%, $E$9)</f>
        <v>9.6259999999999994</v>
      </c>
      <c r="F600" s="11">
        <f>9.626 * CHOOSE(CONTROL!$C$32, $C$9, 100%, $E$9)</f>
        <v>9.6259999999999994</v>
      </c>
      <c r="G600" s="11">
        <f>9.6296 * CHOOSE(CONTROL!$C$32, $C$9, 100%, $E$9)</f>
        <v>9.6295999999999999</v>
      </c>
      <c r="H600" s="11">
        <f>18.7734 * CHOOSE(CONTROL!$C$32, $C$9, 100%, $E$9)</f>
        <v>18.773399999999999</v>
      </c>
      <c r="I600" s="11">
        <f>18.7771 * CHOOSE(CONTROL!$C$32, $C$9, 100%, $E$9)</f>
        <v>18.777100000000001</v>
      </c>
      <c r="J600" s="11">
        <f>18.7734 * CHOOSE(CONTROL!$C$32, $C$9, 100%, $E$9)</f>
        <v>18.773399999999999</v>
      </c>
      <c r="K600" s="11">
        <f>18.7771 * CHOOSE(CONTROL!$C$32, $C$9, 100%, $E$9)</f>
        <v>18.777100000000001</v>
      </c>
      <c r="L600" s="11">
        <f>9.626 * CHOOSE(CONTROL!$C$32, $C$9, 100%, $E$9)</f>
        <v>9.6259999999999994</v>
      </c>
      <c r="M600" s="11">
        <f>9.6296 * CHOOSE(CONTROL!$C$32, $C$9, 100%, $E$9)</f>
        <v>9.6295999999999999</v>
      </c>
      <c r="N600" s="11">
        <f>9.626 * CHOOSE(CONTROL!$C$32, $C$9, 100%, $E$9)</f>
        <v>9.6259999999999994</v>
      </c>
      <c r="O600" s="11">
        <f>9.6296 * CHOOSE(CONTROL!$C$32, $C$9, 100%, $E$9)</f>
        <v>9.6295999999999999</v>
      </c>
    </row>
    <row r="601" spans="1:15" ht="15" x14ac:dyDescent="0.2">
      <c r="A601" s="13">
        <v>59141</v>
      </c>
      <c r="B601" s="9">
        <f>8.5729 * CHOOSE(CONTROL!$C$32, $C$9, 100%, $E$9)</f>
        <v>8.5729000000000006</v>
      </c>
      <c r="C601" s="9">
        <f>8.5729 * CHOOSE(CONTROL!$C$32, $C$9, 100%, $E$9)</f>
        <v>8.5729000000000006</v>
      </c>
      <c r="D601" s="9">
        <f>8.5739 * CHOOSE(CONTROL!$C$32, $C$9, 100%, $E$9)</f>
        <v>8.5739000000000001</v>
      </c>
      <c r="E601" s="11">
        <f>9.5068 * CHOOSE(CONTROL!$C$32, $C$9, 100%, $E$9)</f>
        <v>9.5068000000000001</v>
      </c>
      <c r="F601" s="11">
        <f>9.5068 * CHOOSE(CONTROL!$C$32, $C$9, 100%, $E$9)</f>
        <v>9.5068000000000001</v>
      </c>
      <c r="G601" s="11">
        <f>9.5105 * CHOOSE(CONTROL!$C$32, $C$9, 100%, $E$9)</f>
        <v>9.5105000000000004</v>
      </c>
      <c r="H601" s="11">
        <f>18.8126 * CHOOSE(CONTROL!$C$32, $C$9, 100%, $E$9)</f>
        <v>18.8126</v>
      </c>
      <c r="I601" s="11">
        <f>18.8162 * CHOOSE(CONTROL!$C$32, $C$9, 100%, $E$9)</f>
        <v>18.816199999999998</v>
      </c>
      <c r="J601" s="11">
        <f>18.8126 * CHOOSE(CONTROL!$C$32, $C$9, 100%, $E$9)</f>
        <v>18.8126</v>
      </c>
      <c r="K601" s="11">
        <f>18.8162 * CHOOSE(CONTROL!$C$32, $C$9, 100%, $E$9)</f>
        <v>18.816199999999998</v>
      </c>
      <c r="L601" s="11">
        <f>9.5068 * CHOOSE(CONTROL!$C$32, $C$9, 100%, $E$9)</f>
        <v>9.5068000000000001</v>
      </c>
      <c r="M601" s="11">
        <f>9.5105 * CHOOSE(CONTROL!$C$32, $C$9, 100%, $E$9)</f>
        <v>9.5105000000000004</v>
      </c>
      <c r="N601" s="11">
        <f>9.5068 * CHOOSE(CONTROL!$C$32, $C$9, 100%, $E$9)</f>
        <v>9.5068000000000001</v>
      </c>
      <c r="O601" s="11">
        <f>9.5105 * CHOOSE(CONTROL!$C$32, $C$9, 100%, $E$9)</f>
        <v>9.5105000000000004</v>
      </c>
    </row>
    <row r="602" spans="1:15" ht="15" x14ac:dyDescent="0.2">
      <c r="A602" s="13">
        <v>59172</v>
      </c>
      <c r="B602" s="9">
        <f>8.6322 * CHOOSE(CONTROL!$C$32, $C$9, 100%, $E$9)</f>
        <v>8.6321999999999992</v>
      </c>
      <c r="C602" s="9">
        <f>8.6322 * CHOOSE(CONTROL!$C$32, $C$9, 100%, $E$9)</f>
        <v>8.6321999999999992</v>
      </c>
      <c r="D602" s="9">
        <f>8.6333 * CHOOSE(CONTROL!$C$32, $C$9, 100%, $E$9)</f>
        <v>8.6333000000000002</v>
      </c>
      <c r="E602" s="11">
        <f>9.6705 * CHOOSE(CONTROL!$C$32, $C$9, 100%, $E$9)</f>
        <v>9.6705000000000005</v>
      </c>
      <c r="F602" s="11">
        <f>9.6705 * CHOOSE(CONTROL!$C$32, $C$9, 100%, $E$9)</f>
        <v>9.6705000000000005</v>
      </c>
      <c r="G602" s="11">
        <f>9.6741 * CHOOSE(CONTROL!$C$32, $C$9, 100%, $E$9)</f>
        <v>9.6740999999999993</v>
      </c>
      <c r="H602" s="11">
        <f>18.8403 * CHOOSE(CONTROL!$C$32, $C$9, 100%, $E$9)</f>
        <v>18.840299999999999</v>
      </c>
      <c r="I602" s="11">
        <f>18.8439 * CHOOSE(CONTROL!$C$32, $C$9, 100%, $E$9)</f>
        <v>18.843900000000001</v>
      </c>
      <c r="J602" s="11">
        <f>18.8403 * CHOOSE(CONTROL!$C$32, $C$9, 100%, $E$9)</f>
        <v>18.840299999999999</v>
      </c>
      <c r="K602" s="11">
        <f>18.8439 * CHOOSE(CONTROL!$C$32, $C$9, 100%, $E$9)</f>
        <v>18.843900000000001</v>
      </c>
      <c r="L602" s="11">
        <f>9.6705 * CHOOSE(CONTROL!$C$32, $C$9, 100%, $E$9)</f>
        <v>9.6705000000000005</v>
      </c>
      <c r="M602" s="11">
        <f>9.6741 * CHOOSE(CONTROL!$C$32, $C$9, 100%, $E$9)</f>
        <v>9.6740999999999993</v>
      </c>
      <c r="N602" s="11">
        <f>9.6705 * CHOOSE(CONTROL!$C$32, $C$9, 100%, $E$9)</f>
        <v>9.6705000000000005</v>
      </c>
      <c r="O602" s="11">
        <f>9.6741 * CHOOSE(CONTROL!$C$32, $C$9, 100%, $E$9)</f>
        <v>9.6740999999999993</v>
      </c>
    </row>
    <row r="603" spans="1:15" ht="15" x14ac:dyDescent="0.2">
      <c r="A603" s="13">
        <v>59203</v>
      </c>
      <c r="B603" s="9">
        <f>8.6292 * CHOOSE(CONTROL!$C$32, $C$9, 100%, $E$9)</f>
        <v>8.6292000000000009</v>
      </c>
      <c r="C603" s="9">
        <f>8.6292 * CHOOSE(CONTROL!$C$32, $C$9, 100%, $E$9)</f>
        <v>8.6292000000000009</v>
      </c>
      <c r="D603" s="9">
        <f>8.6302 * CHOOSE(CONTROL!$C$32, $C$9, 100%, $E$9)</f>
        <v>8.6302000000000003</v>
      </c>
      <c r="E603" s="11">
        <f>9.4361 * CHOOSE(CONTROL!$C$32, $C$9, 100%, $E$9)</f>
        <v>9.4360999999999997</v>
      </c>
      <c r="F603" s="11">
        <f>9.4361 * CHOOSE(CONTROL!$C$32, $C$9, 100%, $E$9)</f>
        <v>9.4360999999999997</v>
      </c>
      <c r="G603" s="11">
        <f>9.4398 * CHOOSE(CONTROL!$C$32, $C$9, 100%, $E$9)</f>
        <v>9.4398</v>
      </c>
      <c r="H603" s="11">
        <f>18.8795 * CHOOSE(CONTROL!$C$32, $C$9, 100%, $E$9)</f>
        <v>18.8795</v>
      </c>
      <c r="I603" s="11">
        <f>18.8831 * CHOOSE(CONTROL!$C$32, $C$9, 100%, $E$9)</f>
        <v>18.883099999999999</v>
      </c>
      <c r="J603" s="11">
        <f>18.8795 * CHOOSE(CONTROL!$C$32, $C$9, 100%, $E$9)</f>
        <v>18.8795</v>
      </c>
      <c r="K603" s="11">
        <f>18.8831 * CHOOSE(CONTROL!$C$32, $C$9, 100%, $E$9)</f>
        <v>18.883099999999999</v>
      </c>
      <c r="L603" s="11">
        <f>9.4361 * CHOOSE(CONTROL!$C$32, $C$9, 100%, $E$9)</f>
        <v>9.4360999999999997</v>
      </c>
      <c r="M603" s="11">
        <f>9.4398 * CHOOSE(CONTROL!$C$32, $C$9, 100%, $E$9)</f>
        <v>9.4398</v>
      </c>
      <c r="N603" s="11">
        <f>9.4361 * CHOOSE(CONTROL!$C$32, $C$9, 100%, $E$9)</f>
        <v>9.4360999999999997</v>
      </c>
      <c r="O603" s="11">
        <f>9.4398 * CHOOSE(CONTROL!$C$32, $C$9, 100%, $E$9)</f>
        <v>9.4398</v>
      </c>
    </row>
    <row r="604" spans="1:15" ht="15" x14ac:dyDescent="0.2">
      <c r="A604" s="13">
        <v>59231</v>
      </c>
      <c r="B604" s="9">
        <f>8.6261 * CHOOSE(CONTROL!$C$32, $C$9, 100%, $E$9)</f>
        <v>8.6260999999999992</v>
      </c>
      <c r="C604" s="9">
        <f>8.6261 * CHOOSE(CONTROL!$C$32, $C$9, 100%, $E$9)</f>
        <v>8.6260999999999992</v>
      </c>
      <c r="D604" s="9">
        <f>8.6272 * CHOOSE(CONTROL!$C$32, $C$9, 100%, $E$9)</f>
        <v>8.6272000000000002</v>
      </c>
      <c r="E604" s="11">
        <f>9.6171 * CHOOSE(CONTROL!$C$32, $C$9, 100%, $E$9)</f>
        <v>9.6171000000000006</v>
      </c>
      <c r="F604" s="11">
        <f>9.6171 * CHOOSE(CONTROL!$C$32, $C$9, 100%, $E$9)</f>
        <v>9.6171000000000006</v>
      </c>
      <c r="G604" s="11">
        <f>9.6207 * CHOOSE(CONTROL!$C$32, $C$9, 100%, $E$9)</f>
        <v>9.6206999999999994</v>
      </c>
      <c r="H604" s="11">
        <f>18.9189 * CHOOSE(CONTROL!$C$32, $C$9, 100%, $E$9)</f>
        <v>18.918900000000001</v>
      </c>
      <c r="I604" s="11">
        <f>18.9225 * CHOOSE(CONTROL!$C$32, $C$9, 100%, $E$9)</f>
        <v>18.922499999999999</v>
      </c>
      <c r="J604" s="11">
        <f>18.9189 * CHOOSE(CONTROL!$C$32, $C$9, 100%, $E$9)</f>
        <v>18.918900000000001</v>
      </c>
      <c r="K604" s="11">
        <f>18.9225 * CHOOSE(CONTROL!$C$32, $C$9, 100%, $E$9)</f>
        <v>18.922499999999999</v>
      </c>
      <c r="L604" s="11">
        <f>9.6171 * CHOOSE(CONTROL!$C$32, $C$9, 100%, $E$9)</f>
        <v>9.6171000000000006</v>
      </c>
      <c r="M604" s="11">
        <f>9.6207 * CHOOSE(CONTROL!$C$32, $C$9, 100%, $E$9)</f>
        <v>9.6206999999999994</v>
      </c>
      <c r="N604" s="11">
        <f>9.6171 * CHOOSE(CONTROL!$C$32, $C$9, 100%, $E$9)</f>
        <v>9.6171000000000006</v>
      </c>
      <c r="O604" s="11">
        <f>9.6207 * CHOOSE(CONTROL!$C$32, $C$9, 100%, $E$9)</f>
        <v>9.6206999999999994</v>
      </c>
    </row>
    <row r="605" spans="1:15" ht="15" x14ac:dyDescent="0.2">
      <c r="A605" s="13">
        <v>59262</v>
      </c>
      <c r="B605" s="9">
        <f>8.6283 * CHOOSE(CONTROL!$C$32, $C$9, 100%, $E$9)</f>
        <v>8.6282999999999994</v>
      </c>
      <c r="C605" s="9">
        <f>8.6283 * CHOOSE(CONTROL!$C$32, $C$9, 100%, $E$9)</f>
        <v>8.6282999999999994</v>
      </c>
      <c r="D605" s="9">
        <f>8.6293 * CHOOSE(CONTROL!$C$32, $C$9, 100%, $E$9)</f>
        <v>8.6293000000000006</v>
      </c>
      <c r="E605" s="11">
        <f>9.8095 * CHOOSE(CONTROL!$C$32, $C$9, 100%, $E$9)</f>
        <v>9.8094999999999999</v>
      </c>
      <c r="F605" s="11">
        <f>9.8095 * CHOOSE(CONTROL!$C$32, $C$9, 100%, $E$9)</f>
        <v>9.8094999999999999</v>
      </c>
      <c r="G605" s="11">
        <f>9.8131 * CHOOSE(CONTROL!$C$32, $C$9, 100%, $E$9)</f>
        <v>9.8131000000000004</v>
      </c>
      <c r="H605" s="11">
        <f>18.9583 * CHOOSE(CONTROL!$C$32, $C$9, 100%, $E$9)</f>
        <v>18.958300000000001</v>
      </c>
      <c r="I605" s="11">
        <f>18.9619 * CHOOSE(CONTROL!$C$32, $C$9, 100%, $E$9)</f>
        <v>18.9619</v>
      </c>
      <c r="J605" s="11">
        <f>18.9583 * CHOOSE(CONTROL!$C$32, $C$9, 100%, $E$9)</f>
        <v>18.958300000000001</v>
      </c>
      <c r="K605" s="11">
        <f>18.9619 * CHOOSE(CONTROL!$C$32, $C$9, 100%, $E$9)</f>
        <v>18.9619</v>
      </c>
      <c r="L605" s="11">
        <f>9.8095 * CHOOSE(CONTROL!$C$32, $C$9, 100%, $E$9)</f>
        <v>9.8094999999999999</v>
      </c>
      <c r="M605" s="11">
        <f>9.8131 * CHOOSE(CONTROL!$C$32, $C$9, 100%, $E$9)</f>
        <v>9.8131000000000004</v>
      </c>
      <c r="N605" s="11">
        <f>9.8095 * CHOOSE(CONTROL!$C$32, $C$9, 100%, $E$9)</f>
        <v>9.8094999999999999</v>
      </c>
      <c r="O605" s="11">
        <f>9.8131 * CHOOSE(CONTROL!$C$32, $C$9, 100%, $E$9)</f>
        <v>9.8131000000000004</v>
      </c>
    </row>
    <row r="606" spans="1:15" ht="15" x14ac:dyDescent="0.2">
      <c r="A606" s="13">
        <v>59292</v>
      </c>
      <c r="B606" s="9">
        <f>8.6283 * CHOOSE(CONTROL!$C$32, $C$9, 100%, $E$9)</f>
        <v>8.6282999999999994</v>
      </c>
      <c r="C606" s="9">
        <f>8.6283 * CHOOSE(CONTROL!$C$32, $C$9, 100%, $E$9)</f>
        <v>8.6282999999999994</v>
      </c>
      <c r="D606" s="9">
        <f>8.6298 * CHOOSE(CONTROL!$C$32, $C$9, 100%, $E$9)</f>
        <v>8.6297999999999995</v>
      </c>
      <c r="E606" s="11">
        <f>9.8832 * CHOOSE(CONTROL!$C$32, $C$9, 100%, $E$9)</f>
        <v>9.8832000000000004</v>
      </c>
      <c r="F606" s="11">
        <f>9.8832 * CHOOSE(CONTROL!$C$32, $C$9, 100%, $E$9)</f>
        <v>9.8832000000000004</v>
      </c>
      <c r="G606" s="11">
        <f>9.8885 * CHOOSE(CONTROL!$C$32, $C$9, 100%, $E$9)</f>
        <v>9.8885000000000005</v>
      </c>
      <c r="H606" s="11">
        <f>18.9978 * CHOOSE(CONTROL!$C$32, $C$9, 100%, $E$9)</f>
        <v>18.997800000000002</v>
      </c>
      <c r="I606" s="11">
        <f>19.0031 * CHOOSE(CONTROL!$C$32, $C$9, 100%, $E$9)</f>
        <v>19.0031</v>
      </c>
      <c r="J606" s="11">
        <f>18.9978 * CHOOSE(CONTROL!$C$32, $C$9, 100%, $E$9)</f>
        <v>18.997800000000002</v>
      </c>
      <c r="K606" s="11">
        <f>19.0031 * CHOOSE(CONTROL!$C$32, $C$9, 100%, $E$9)</f>
        <v>19.0031</v>
      </c>
      <c r="L606" s="11">
        <f>9.8832 * CHOOSE(CONTROL!$C$32, $C$9, 100%, $E$9)</f>
        <v>9.8832000000000004</v>
      </c>
      <c r="M606" s="11">
        <f>9.8885 * CHOOSE(CONTROL!$C$32, $C$9, 100%, $E$9)</f>
        <v>9.8885000000000005</v>
      </c>
      <c r="N606" s="11">
        <f>9.8832 * CHOOSE(CONTROL!$C$32, $C$9, 100%, $E$9)</f>
        <v>9.8832000000000004</v>
      </c>
      <c r="O606" s="11">
        <f>9.8885 * CHOOSE(CONTROL!$C$32, $C$9, 100%, $E$9)</f>
        <v>9.8885000000000005</v>
      </c>
    </row>
    <row r="607" spans="1:15" ht="15" x14ac:dyDescent="0.2">
      <c r="A607" s="13">
        <v>59323</v>
      </c>
      <c r="B607" s="9">
        <f>8.6343 * CHOOSE(CONTROL!$C$32, $C$9, 100%, $E$9)</f>
        <v>8.6342999999999996</v>
      </c>
      <c r="C607" s="9">
        <f>8.6343 * CHOOSE(CONTROL!$C$32, $C$9, 100%, $E$9)</f>
        <v>8.6342999999999996</v>
      </c>
      <c r="D607" s="9">
        <f>8.6359 * CHOOSE(CONTROL!$C$32, $C$9, 100%, $E$9)</f>
        <v>8.6358999999999995</v>
      </c>
      <c r="E607" s="11">
        <f>9.8137 * CHOOSE(CONTROL!$C$32, $C$9, 100%, $E$9)</f>
        <v>9.8137000000000008</v>
      </c>
      <c r="F607" s="11">
        <f>9.8137 * CHOOSE(CONTROL!$C$32, $C$9, 100%, $E$9)</f>
        <v>9.8137000000000008</v>
      </c>
      <c r="G607" s="11">
        <f>9.819 * CHOOSE(CONTROL!$C$32, $C$9, 100%, $E$9)</f>
        <v>9.8190000000000008</v>
      </c>
      <c r="H607" s="11">
        <f>19.0374 * CHOOSE(CONTROL!$C$32, $C$9, 100%, $E$9)</f>
        <v>19.037400000000002</v>
      </c>
      <c r="I607" s="11">
        <f>19.0426 * CHOOSE(CONTROL!$C$32, $C$9, 100%, $E$9)</f>
        <v>19.0426</v>
      </c>
      <c r="J607" s="11">
        <f>19.0374 * CHOOSE(CONTROL!$C$32, $C$9, 100%, $E$9)</f>
        <v>19.037400000000002</v>
      </c>
      <c r="K607" s="11">
        <f>19.0426 * CHOOSE(CONTROL!$C$32, $C$9, 100%, $E$9)</f>
        <v>19.0426</v>
      </c>
      <c r="L607" s="11">
        <f>9.8137 * CHOOSE(CONTROL!$C$32, $C$9, 100%, $E$9)</f>
        <v>9.8137000000000008</v>
      </c>
      <c r="M607" s="11">
        <f>9.819 * CHOOSE(CONTROL!$C$32, $C$9, 100%, $E$9)</f>
        <v>9.8190000000000008</v>
      </c>
      <c r="N607" s="11">
        <f>9.8137 * CHOOSE(CONTROL!$C$32, $C$9, 100%, $E$9)</f>
        <v>9.8137000000000008</v>
      </c>
      <c r="O607" s="11">
        <f>9.819 * CHOOSE(CONTROL!$C$32, $C$9, 100%, $E$9)</f>
        <v>9.8190000000000008</v>
      </c>
    </row>
    <row r="608" spans="1:15" ht="15" x14ac:dyDescent="0.2">
      <c r="A608" s="13">
        <v>59353</v>
      </c>
      <c r="B608" s="9">
        <f>8.7437 * CHOOSE(CONTROL!$C$32, $C$9, 100%, $E$9)</f>
        <v>8.7437000000000005</v>
      </c>
      <c r="C608" s="9">
        <f>8.7437 * CHOOSE(CONTROL!$C$32, $C$9, 100%, $E$9)</f>
        <v>8.7437000000000005</v>
      </c>
      <c r="D608" s="9">
        <f>8.7453 * CHOOSE(CONTROL!$C$32, $C$9, 100%, $E$9)</f>
        <v>8.7453000000000003</v>
      </c>
      <c r="E608" s="11">
        <f>9.9502 * CHOOSE(CONTROL!$C$32, $C$9, 100%, $E$9)</f>
        <v>9.9502000000000006</v>
      </c>
      <c r="F608" s="11">
        <f>9.9502 * CHOOSE(CONTROL!$C$32, $C$9, 100%, $E$9)</f>
        <v>9.9502000000000006</v>
      </c>
      <c r="G608" s="11">
        <f>9.9555 * CHOOSE(CONTROL!$C$32, $C$9, 100%, $E$9)</f>
        <v>9.9555000000000007</v>
      </c>
      <c r="H608" s="11">
        <f>19.077 * CHOOSE(CONTROL!$C$32, $C$9, 100%, $E$9)</f>
        <v>19.077000000000002</v>
      </c>
      <c r="I608" s="11">
        <f>19.0823 * CHOOSE(CONTROL!$C$32, $C$9, 100%, $E$9)</f>
        <v>19.0823</v>
      </c>
      <c r="J608" s="11">
        <f>19.077 * CHOOSE(CONTROL!$C$32, $C$9, 100%, $E$9)</f>
        <v>19.077000000000002</v>
      </c>
      <c r="K608" s="11">
        <f>19.0823 * CHOOSE(CONTROL!$C$32, $C$9, 100%, $E$9)</f>
        <v>19.0823</v>
      </c>
      <c r="L608" s="11">
        <f>9.9502 * CHOOSE(CONTROL!$C$32, $C$9, 100%, $E$9)</f>
        <v>9.9502000000000006</v>
      </c>
      <c r="M608" s="11">
        <f>9.9555 * CHOOSE(CONTROL!$C$32, $C$9, 100%, $E$9)</f>
        <v>9.9555000000000007</v>
      </c>
      <c r="N608" s="11">
        <f>9.9502 * CHOOSE(CONTROL!$C$32, $C$9, 100%, $E$9)</f>
        <v>9.9502000000000006</v>
      </c>
      <c r="O608" s="11">
        <f>9.9555 * CHOOSE(CONTROL!$C$32, $C$9, 100%, $E$9)</f>
        <v>9.9555000000000007</v>
      </c>
    </row>
    <row r="609" spans="1:15" ht="15" x14ac:dyDescent="0.2">
      <c r="A609" s="13">
        <v>59384</v>
      </c>
      <c r="B609" s="9">
        <f>8.7504 * CHOOSE(CONTROL!$C$32, $C$9, 100%, $E$9)</f>
        <v>8.7504000000000008</v>
      </c>
      <c r="C609" s="9">
        <f>8.7504 * CHOOSE(CONTROL!$C$32, $C$9, 100%, $E$9)</f>
        <v>8.7504000000000008</v>
      </c>
      <c r="D609" s="9">
        <f>8.752 * CHOOSE(CONTROL!$C$32, $C$9, 100%, $E$9)</f>
        <v>8.7520000000000007</v>
      </c>
      <c r="E609" s="11">
        <f>9.7337 * CHOOSE(CONTROL!$C$32, $C$9, 100%, $E$9)</f>
        <v>9.7337000000000007</v>
      </c>
      <c r="F609" s="11">
        <f>9.7337 * CHOOSE(CONTROL!$C$32, $C$9, 100%, $E$9)</f>
        <v>9.7337000000000007</v>
      </c>
      <c r="G609" s="11">
        <f>9.739 * CHOOSE(CONTROL!$C$32, $C$9, 100%, $E$9)</f>
        <v>9.7390000000000008</v>
      </c>
      <c r="H609" s="11">
        <f>19.1168 * CHOOSE(CONTROL!$C$32, $C$9, 100%, $E$9)</f>
        <v>19.116800000000001</v>
      </c>
      <c r="I609" s="11">
        <f>19.1221 * CHOOSE(CONTROL!$C$32, $C$9, 100%, $E$9)</f>
        <v>19.1221</v>
      </c>
      <c r="J609" s="11">
        <f>19.1168 * CHOOSE(CONTROL!$C$32, $C$9, 100%, $E$9)</f>
        <v>19.116800000000001</v>
      </c>
      <c r="K609" s="11">
        <f>19.1221 * CHOOSE(CONTROL!$C$32, $C$9, 100%, $E$9)</f>
        <v>19.1221</v>
      </c>
      <c r="L609" s="11">
        <f>9.7337 * CHOOSE(CONTROL!$C$32, $C$9, 100%, $E$9)</f>
        <v>9.7337000000000007</v>
      </c>
      <c r="M609" s="11">
        <f>9.739 * CHOOSE(CONTROL!$C$32, $C$9, 100%, $E$9)</f>
        <v>9.7390000000000008</v>
      </c>
      <c r="N609" s="11">
        <f>9.7337 * CHOOSE(CONTROL!$C$32, $C$9, 100%, $E$9)</f>
        <v>9.7337000000000007</v>
      </c>
      <c r="O609" s="11">
        <f>9.739 * CHOOSE(CONTROL!$C$32, $C$9, 100%, $E$9)</f>
        <v>9.7390000000000008</v>
      </c>
    </row>
    <row r="610" spans="1:15" ht="15" x14ac:dyDescent="0.2">
      <c r="A610" s="13">
        <v>59415</v>
      </c>
      <c r="B610" s="9">
        <f>8.7474 * CHOOSE(CONTROL!$C$32, $C$9, 100%, $E$9)</f>
        <v>8.7474000000000007</v>
      </c>
      <c r="C610" s="9">
        <f>8.7474 * CHOOSE(CONTROL!$C$32, $C$9, 100%, $E$9)</f>
        <v>8.7474000000000007</v>
      </c>
      <c r="D610" s="9">
        <f>8.749 * CHOOSE(CONTROL!$C$32, $C$9, 100%, $E$9)</f>
        <v>8.7490000000000006</v>
      </c>
      <c r="E610" s="11">
        <f>9.707 * CHOOSE(CONTROL!$C$32, $C$9, 100%, $E$9)</f>
        <v>9.7070000000000007</v>
      </c>
      <c r="F610" s="11">
        <f>9.707 * CHOOSE(CONTROL!$C$32, $C$9, 100%, $E$9)</f>
        <v>9.7070000000000007</v>
      </c>
      <c r="G610" s="11">
        <f>9.7123 * CHOOSE(CONTROL!$C$32, $C$9, 100%, $E$9)</f>
        <v>9.7123000000000008</v>
      </c>
      <c r="H610" s="11">
        <f>19.1566 * CHOOSE(CONTROL!$C$32, $C$9, 100%, $E$9)</f>
        <v>19.156600000000001</v>
      </c>
      <c r="I610" s="11">
        <f>19.1619 * CHOOSE(CONTROL!$C$32, $C$9, 100%, $E$9)</f>
        <v>19.161899999999999</v>
      </c>
      <c r="J610" s="11">
        <f>19.1566 * CHOOSE(CONTROL!$C$32, $C$9, 100%, $E$9)</f>
        <v>19.156600000000001</v>
      </c>
      <c r="K610" s="11">
        <f>19.1619 * CHOOSE(CONTROL!$C$32, $C$9, 100%, $E$9)</f>
        <v>19.161899999999999</v>
      </c>
      <c r="L610" s="11">
        <f>9.707 * CHOOSE(CONTROL!$C$32, $C$9, 100%, $E$9)</f>
        <v>9.7070000000000007</v>
      </c>
      <c r="M610" s="11">
        <f>9.7123 * CHOOSE(CONTROL!$C$32, $C$9, 100%, $E$9)</f>
        <v>9.7123000000000008</v>
      </c>
      <c r="N610" s="11">
        <f>9.707 * CHOOSE(CONTROL!$C$32, $C$9, 100%, $E$9)</f>
        <v>9.7070000000000007</v>
      </c>
      <c r="O610" s="11">
        <f>9.7123 * CHOOSE(CONTROL!$C$32, $C$9, 100%, $E$9)</f>
        <v>9.7123000000000008</v>
      </c>
    </row>
    <row r="611" spans="1:15" ht="15" x14ac:dyDescent="0.2">
      <c r="A611" s="13">
        <v>59445</v>
      </c>
      <c r="B611" s="9">
        <f>8.7601 * CHOOSE(CONTROL!$C$32, $C$9, 100%, $E$9)</f>
        <v>8.7600999999999996</v>
      </c>
      <c r="C611" s="9">
        <f>8.7601 * CHOOSE(CONTROL!$C$32, $C$9, 100%, $E$9)</f>
        <v>8.7600999999999996</v>
      </c>
      <c r="D611" s="9">
        <f>8.7612 * CHOOSE(CONTROL!$C$32, $C$9, 100%, $E$9)</f>
        <v>8.7612000000000005</v>
      </c>
      <c r="E611" s="11">
        <f>9.7919 * CHOOSE(CONTROL!$C$32, $C$9, 100%, $E$9)</f>
        <v>9.7919</v>
      </c>
      <c r="F611" s="11">
        <f>9.7919 * CHOOSE(CONTROL!$C$32, $C$9, 100%, $E$9)</f>
        <v>9.7919</v>
      </c>
      <c r="G611" s="11">
        <f>9.7955 * CHOOSE(CONTROL!$C$32, $C$9, 100%, $E$9)</f>
        <v>9.7955000000000005</v>
      </c>
      <c r="H611" s="11">
        <f>19.1965 * CHOOSE(CONTROL!$C$32, $C$9, 100%, $E$9)</f>
        <v>19.1965</v>
      </c>
      <c r="I611" s="11">
        <f>19.2001 * CHOOSE(CONTROL!$C$32, $C$9, 100%, $E$9)</f>
        <v>19.200099999999999</v>
      </c>
      <c r="J611" s="11">
        <f>19.1965 * CHOOSE(CONTROL!$C$32, $C$9, 100%, $E$9)</f>
        <v>19.1965</v>
      </c>
      <c r="K611" s="11">
        <f>19.2001 * CHOOSE(CONTROL!$C$32, $C$9, 100%, $E$9)</f>
        <v>19.200099999999999</v>
      </c>
      <c r="L611" s="11">
        <f>9.7919 * CHOOSE(CONTROL!$C$32, $C$9, 100%, $E$9)</f>
        <v>9.7919</v>
      </c>
      <c r="M611" s="11">
        <f>9.7955 * CHOOSE(CONTROL!$C$32, $C$9, 100%, $E$9)</f>
        <v>9.7955000000000005</v>
      </c>
      <c r="N611" s="11">
        <f>9.7919 * CHOOSE(CONTROL!$C$32, $C$9, 100%, $E$9)</f>
        <v>9.7919</v>
      </c>
      <c r="O611" s="11">
        <f>9.7955 * CHOOSE(CONTROL!$C$32, $C$9, 100%, $E$9)</f>
        <v>9.7955000000000005</v>
      </c>
    </row>
    <row r="612" spans="1:15" ht="15" x14ac:dyDescent="0.2">
      <c r="A612" s="13">
        <v>59476</v>
      </c>
      <c r="B612" s="9">
        <f>8.7632 * CHOOSE(CONTROL!$C$32, $C$9, 100%, $E$9)</f>
        <v>8.7631999999999994</v>
      </c>
      <c r="C612" s="9">
        <f>8.7632 * CHOOSE(CONTROL!$C$32, $C$9, 100%, $E$9)</f>
        <v>8.7631999999999994</v>
      </c>
      <c r="D612" s="9">
        <f>8.7643 * CHOOSE(CONTROL!$C$32, $C$9, 100%, $E$9)</f>
        <v>8.7643000000000004</v>
      </c>
      <c r="E612" s="11">
        <f>9.8432 * CHOOSE(CONTROL!$C$32, $C$9, 100%, $E$9)</f>
        <v>9.8431999999999995</v>
      </c>
      <c r="F612" s="11">
        <f>9.8432 * CHOOSE(CONTROL!$C$32, $C$9, 100%, $E$9)</f>
        <v>9.8431999999999995</v>
      </c>
      <c r="G612" s="11">
        <f>9.8468 * CHOOSE(CONTROL!$C$32, $C$9, 100%, $E$9)</f>
        <v>9.8468</v>
      </c>
      <c r="H612" s="11">
        <f>19.2365 * CHOOSE(CONTROL!$C$32, $C$9, 100%, $E$9)</f>
        <v>19.236499999999999</v>
      </c>
      <c r="I612" s="11">
        <f>19.2401 * CHOOSE(CONTROL!$C$32, $C$9, 100%, $E$9)</f>
        <v>19.240100000000002</v>
      </c>
      <c r="J612" s="11">
        <f>19.2365 * CHOOSE(CONTROL!$C$32, $C$9, 100%, $E$9)</f>
        <v>19.236499999999999</v>
      </c>
      <c r="K612" s="11">
        <f>19.2401 * CHOOSE(CONTROL!$C$32, $C$9, 100%, $E$9)</f>
        <v>19.240100000000002</v>
      </c>
      <c r="L612" s="11">
        <f>9.8432 * CHOOSE(CONTROL!$C$32, $C$9, 100%, $E$9)</f>
        <v>9.8431999999999995</v>
      </c>
      <c r="M612" s="11">
        <f>9.8468 * CHOOSE(CONTROL!$C$32, $C$9, 100%, $E$9)</f>
        <v>9.8468</v>
      </c>
      <c r="N612" s="11">
        <f>9.8432 * CHOOSE(CONTROL!$C$32, $C$9, 100%, $E$9)</f>
        <v>9.8431999999999995</v>
      </c>
      <c r="O612" s="11">
        <f>9.8468 * CHOOSE(CONTROL!$C$32, $C$9, 100%, $E$9)</f>
        <v>9.8468</v>
      </c>
    </row>
    <row r="613" spans="1:15" ht="15" x14ac:dyDescent="0.2">
      <c r="A613" s="13">
        <v>59506</v>
      </c>
      <c r="B613" s="9">
        <f>8.7632 * CHOOSE(CONTROL!$C$32, $C$9, 100%, $E$9)</f>
        <v>8.7631999999999994</v>
      </c>
      <c r="C613" s="9">
        <f>8.7632 * CHOOSE(CONTROL!$C$32, $C$9, 100%, $E$9)</f>
        <v>8.7631999999999994</v>
      </c>
      <c r="D613" s="9">
        <f>8.7643 * CHOOSE(CONTROL!$C$32, $C$9, 100%, $E$9)</f>
        <v>8.7643000000000004</v>
      </c>
      <c r="E613" s="11">
        <f>9.7203 * CHOOSE(CONTROL!$C$32, $C$9, 100%, $E$9)</f>
        <v>9.7202999999999999</v>
      </c>
      <c r="F613" s="11">
        <f>9.7203 * CHOOSE(CONTROL!$C$32, $C$9, 100%, $E$9)</f>
        <v>9.7202999999999999</v>
      </c>
      <c r="G613" s="11">
        <f>9.7239 * CHOOSE(CONTROL!$C$32, $C$9, 100%, $E$9)</f>
        <v>9.7239000000000004</v>
      </c>
      <c r="H613" s="11">
        <f>19.2766 * CHOOSE(CONTROL!$C$32, $C$9, 100%, $E$9)</f>
        <v>19.276599999999998</v>
      </c>
      <c r="I613" s="11">
        <f>19.2802 * CHOOSE(CONTROL!$C$32, $C$9, 100%, $E$9)</f>
        <v>19.280200000000001</v>
      </c>
      <c r="J613" s="11">
        <f>19.2766 * CHOOSE(CONTROL!$C$32, $C$9, 100%, $E$9)</f>
        <v>19.276599999999998</v>
      </c>
      <c r="K613" s="11">
        <f>19.2802 * CHOOSE(CONTROL!$C$32, $C$9, 100%, $E$9)</f>
        <v>19.280200000000001</v>
      </c>
      <c r="L613" s="11">
        <f>9.7203 * CHOOSE(CONTROL!$C$32, $C$9, 100%, $E$9)</f>
        <v>9.7202999999999999</v>
      </c>
      <c r="M613" s="11">
        <f>9.7239 * CHOOSE(CONTROL!$C$32, $C$9, 100%, $E$9)</f>
        <v>9.7239000000000004</v>
      </c>
      <c r="N613" s="11">
        <f>9.7203 * CHOOSE(CONTROL!$C$32, $C$9, 100%, $E$9)</f>
        <v>9.7202999999999999</v>
      </c>
      <c r="O613" s="11">
        <f>9.7239 * CHOOSE(CONTROL!$C$32, $C$9, 100%, $E$9)</f>
        <v>9.7239000000000004</v>
      </c>
    </row>
    <row r="614" spans="1:15" ht="15" x14ac:dyDescent="0.2">
      <c r="A614" s="13">
        <v>59537</v>
      </c>
      <c r="B614" s="9">
        <f>8.8196 * CHOOSE(CONTROL!$C$32, $C$9, 100%, $E$9)</f>
        <v>8.8195999999999994</v>
      </c>
      <c r="C614" s="9">
        <f>8.8196 * CHOOSE(CONTROL!$C$32, $C$9, 100%, $E$9)</f>
        <v>8.8195999999999994</v>
      </c>
      <c r="D614" s="9">
        <f>8.8206 * CHOOSE(CONTROL!$C$32, $C$9, 100%, $E$9)</f>
        <v>8.8206000000000007</v>
      </c>
      <c r="E614" s="11">
        <f>9.883 * CHOOSE(CONTROL!$C$32, $C$9, 100%, $E$9)</f>
        <v>9.8829999999999991</v>
      </c>
      <c r="F614" s="11">
        <f>9.883 * CHOOSE(CONTROL!$C$32, $C$9, 100%, $E$9)</f>
        <v>9.8829999999999991</v>
      </c>
      <c r="G614" s="11">
        <f>9.8866 * CHOOSE(CONTROL!$C$32, $C$9, 100%, $E$9)</f>
        <v>9.8865999999999996</v>
      </c>
      <c r="H614" s="11">
        <f>19.2938 * CHOOSE(CONTROL!$C$32, $C$9, 100%, $E$9)</f>
        <v>19.293800000000001</v>
      </c>
      <c r="I614" s="11">
        <f>19.2974 * CHOOSE(CONTROL!$C$32, $C$9, 100%, $E$9)</f>
        <v>19.2974</v>
      </c>
      <c r="J614" s="11">
        <f>19.2938 * CHOOSE(CONTROL!$C$32, $C$9, 100%, $E$9)</f>
        <v>19.293800000000001</v>
      </c>
      <c r="K614" s="11">
        <f>19.2974 * CHOOSE(CONTROL!$C$32, $C$9, 100%, $E$9)</f>
        <v>19.2974</v>
      </c>
      <c r="L614" s="11">
        <f>9.883 * CHOOSE(CONTROL!$C$32, $C$9, 100%, $E$9)</f>
        <v>9.8829999999999991</v>
      </c>
      <c r="M614" s="11">
        <f>9.8866 * CHOOSE(CONTROL!$C$32, $C$9, 100%, $E$9)</f>
        <v>9.8865999999999996</v>
      </c>
      <c r="N614" s="11">
        <f>9.883 * CHOOSE(CONTROL!$C$32, $C$9, 100%, $E$9)</f>
        <v>9.8829999999999991</v>
      </c>
      <c r="O614" s="11">
        <f>9.8866 * CHOOSE(CONTROL!$C$32, $C$9, 100%, $E$9)</f>
        <v>9.8865999999999996</v>
      </c>
    </row>
    <row r="615" spans="1:15" ht="15" x14ac:dyDescent="0.2">
      <c r="A615" s="13">
        <v>59568</v>
      </c>
      <c r="B615" s="9">
        <f>8.8165 * CHOOSE(CONTROL!$C$32, $C$9, 100%, $E$9)</f>
        <v>8.8164999999999996</v>
      </c>
      <c r="C615" s="9">
        <f>8.8165 * CHOOSE(CONTROL!$C$32, $C$9, 100%, $E$9)</f>
        <v>8.8164999999999996</v>
      </c>
      <c r="D615" s="9">
        <f>8.8176 * CHOOSE(CONTROL!$C$32, $C$9, 100%, $E$9)</f>
        <v>8.8176000000000005</v>
      </c>
      <c r="E615" s="11">
        <f>9.6416 * CHOOSE(CONTROL!$C$32, $C$9, 100%, $E$9)</f>
        <v>9.6416000000000004</v>
      </c>
      <c r="F615" s="11">
        <f>9.6416 * CHOOSE(CONTROL!$C$32, $C$9, 100%, $E$9)</f>
        <v>9.6416000000000004</v>
      </c>
      <c r="G615" s="11">
        <f>9.6452 * CHOOSE(CONTROL!$C$32, $C$9, 100%, $E$9)</f>
        <v>9.6452000000000009</v>
      </c>
      <c r="H615" s="11">
        <f>19.334 * CHOOSE(CONTROL!$C$32, $C$9, 100%, $E$9)</f>
        <v>19.334</v>
      </c>
      <c r="I615" s="11">
        <f>19.3376 * CHOOSE(CONTROL!$C$32, $C$9, 100%, $E$9)</f>
        <v>19.337599999999998</v>
      </c>
      <c r="J615" s="11">
        <f>19.334 * CHOOSE(CONTROL!$C$32, $C$9, 100%, $E$9)</f>
        <v>19.334</v>
      </c>
      <c r="K615" s="11">
        <f>19.3376 * CHOOSE(CONTROL!$C$32, $C$9, 100%, $E$9)</f>
        <v>19.337599999999998</v>
      </c>
      <c r="L615" s="11">
        <f>9.6416 * CHOOSE(CONTROL!$C$32, $C$9, 100%, $E$9)</f>
        <v>9.6416000000000004</v>
      </c>
      <c r="M615" s="11">
        <f>9.6452 * CHOOSE(CONTROL!$C$32, $C$9, 100%, $E$9)</f>
        <v>9.6452000000000009</v>
      </c>
      <c r="N615" s="11">
        <f>9.6416 * CHOOSE(CONTROL!$C$32, $C$9, 100%, $E$9)</f>
        <v>9.6416000000000004</v>
      </c>
      <c r="O615" s="11">
        <f>9.6452 * CHOOSE(CONTROL!$C$32, $C$9, 100%, $E$9)</f>
        <v>9.6452000000000009</v>
      </c>
    </row>
    <row r="616" spans="1:15" ht="15" x14ac:dyDescent="0.2">
      <c r="A616" s="13">
        <v>59596</v>
      </c>
      <c r="B616" s="9">
        <f>8.8135 * CHOOSE(CONTROL!$C$32, $C$9, 100%, $E$9)</f>
        <v>8.8134999999999994</v>
      </c>
      <c r="C616" s="9">
        <f>8.8135 * CHOOSE(CONTROL!$C$32, $C$9, 100%, $E$9)</f>
        <v>8.8134999999999994</v>
      </c>
      <c r="D616" s="9">
        <f>8.8146 * CHOOSE(CONTROL!$C$32, $C$9, 100%, $E$9)</f>
        <v>8.8146000000000004</v>
      </c>
      <c r="E616" s="11">
        <f>9.8281 * CHOOSE(CONTROL!$C$32, $C$9, 100%, $E$9)</f>
        <v>9.8280999999999992</v>
      </c>
      <c r="F616" s="11">
        <f>9.8281 * CHOOSE(CONTROL!$C$32, $C$9, 100%, $E$9)</f>
        <v>9.8280999999999992</v>
      </c>
      <c r="G616" s="11">
        <f>9.8317 * CHOOSE(CONTROL!$C$32, $C$9, 100%, $E$9)</f>
        <v>9.8316999999999997</v>
      </c>
      <c r="H616" s="11">
        <f>19.3743 * CHOOSE(CONTROL!$C$32, $C$9, 100%, $E$9)</f>
        <v>19.374300000000002</v>
      </c>
      <c r="I616" s="11">
        <f>19.3779 * CHOOSE(CONTROL!$C$32, $C$9, 100%, $E$9)</f>
        <v>19.3779</v>
      </c>
      <c r="J616" s="11">
        <f>19.3743 * CHOOSE(CONTROL!$C$32, $C$9, 100%, $E$9)</f>
        <v>19.374300000000002</v>
      </c>
      <c r="K616" s="11">
        <f>19.3779 * CHOOSE(CONTROL!$C$32, $C$9, 100%, $E$9)</f>
        <v>19.3779</v>
      </c>
      <c r="L616" s="11">
        <f>9.8281 * CHOOSE(CONTROL!$C$32, $C$9, 100%, $E$9)</f>
        <v>9.8280999999999992</v>
      </c>
      <c r="M616" s="11">
        <f>9.8317 * CHOOSE(CONTROL!$C$32, $C$9, 100%, $E$9)</f>
        <v>9.8316999999999997</v>
      </c>
      <c r="N616" s="11">
        <f>9.8281 * CHOOSE(CONTROL!$C$32, $C$9, 100%, $E$9)</f>
        <v>9.8280999999999992</v>
      </c>
      <c r="O616" s="11">
        <f>9.8317 * CHOOSE(CONTROL!$C$32, $C$9, 100%, $E$9)</f>
        <v>9.8316999999999997</v>
      </c>
    </row>
    <row r="617" spans="1:15" ht="15" x14ac:dyDescent="0.2">
      <c r="A617" s="13">
        <v>59627</v>
      </c>
      <c r="B617" s="9">
        <f>8.8158 * CHOOSE(CONTROL!$C$32, $C$9, 100%, $E$9)</f>
        <v>8.8157999999999994</v>
      </c>
      <c r="C617" s="9">
        <f>8.8158 * CHOOSE(CONTROL!$C$32, $C$9, 100%, $E$9)</f>
        <v>8.8157999999999994</v>
      </c>
      <c r="D617" s="9">
        <f>8.8169 * CHOOSE(CONTROL!$C$32, $C$9, 100%, $E$9)</f>
        <v>8.8169000000000004</v>
      </c>
      <c r="E617" s="11">
        <f>10.0265 * CHOOSE(CONTROL!$C$32, $C$9, 100%, $E$9)</f>
        <v>10.0265</v>
      </c>
      <c r="F617" s="11">
        <f>10.0265 * CHOOSE(CONTROL!$C$32, $C$9, 100%, $E$9)</f>
        <v>10.0265</v>
      </c>
      <c r="G617" s="11">
        <f>10.0301 * CHOOSE(CONTROL!$C$32, $C$9, 100%, $E$9)</f>
        <v>10.030099999999999</v>
      </c>
      <c r="H617" s="11">
        <f>19.4146 * CHOOSE(CONTROL!$C$32, $C$9, 100%, $E$9)</f>
        <v>19.4146</v>
      </c>
      <c r="I617" s="11">
        <f>19.4182 * CHOOSE(CONTROL!$C$32, $C$9, 100%, $E$9)</f>
        <v>19.418199999999999</v>
      </c>
      <c r="J617" s="11">
        <f>19.4146 * CHOOSE(CONTROL!$C$32, $C$9, 100%, $E$9)</f>
        <v>19.4146</v>
      </c>
      <c r="K617" s="11">
        <f>19.4182 * CHOOSE(CONTROL!$C$32, $C$9, 100%, $E$9)</f>
        <v>19.418199999999999</v>
      </c>
      <c r="L617" s="11">
        <f>10.0265 * CHOOSE(CONTROL!$C$32, $C$9, 100%, $E$9)</f>
        <v>10.0265</v>
      </c>
      <c r="M617" s="11">
        <f>10.0301 * CHOOSE(CONTROL!$C$32, $C$9, 100%, $E$9)</f>
        <v>10.030099999999999</v>
      </c>
      <c r="N617" s="11">
        <f>10.0265 * CHOOSE(CONTROL!$C$32, $C$9, 100%, $E$9)</f>
        <v>10.0265</v>
      </c>
      <c r="O617" s="11">
        <f>10.0301 * CHOOSE(CONTROL!$C$32, $C$9, 100%, $E$9)</f>
        <v>10.030099999999999</v>
      </c>
    </row>
    <row r="618" spans="1:15" ht="15" x14ac:dyDescent="0.2">
      <c r="A618" s="13">
        <v>59657</v>
      </c>
      <c r="B618" s="9">
        <f>8.8158 * CHOOSE(CONTROL!$C$32, $C$9, 100%, $E$9)</f>
        <v>8.8157999999999994</v>
      </c>
      <c r="C618" s="9">
        <f>8.8158 * CHOOSE(CONTROL!$C$32, $C$9, 100%, $E$9)</f>
        <v>8.8157999999999994</v>
      </c>
      <c r="D618" s="9">
        <f>8.8174 * CHOOSE(CONTROL!$C$32, $C$9, 100%, $E$9)</f>
        <v>8.8173999999999992</v>
      </c>
      <c r="E618" s="11">
        <f>10.1024 * CHOOSE(CONTROL!$C$32, $C$9, 100%, $E$9)</f>
        <v>10.102399999999999</v>
      </c>
      <c r="F618" s="11">
        <f>10.1024 * CHOOSE(CONTROL!$C$32, $C$9, 100%, $E$9)</f>
        <v>10.102399999999999</v>
      </c>
      <c r="G618" s="11">
        <f>10.1077 * CHOOSE(CONTROL!$C$32, $C$9, 100%, $E$9)</f>
        <v>10.107699999999999</v>
      </c>
      <c r="H618" s="11">
        <f>19.4551 * CHOOSE(CONTROL!$C$32, $C$9, 100%, $E$9)</f>
        <v>19.455100000000002</v>
      </c>
      <c r="I618" s="11">
        <f>19.4604 * CHOOSE(CONTROL!$C$32, $C$9, 100%, $E$9)</f>
        <v>19.4604</v>
      </c>
      <c r="J618" s="11">
        <f>19.4551 * CHOOSE(CONTROL!$C$32, $C$9, 100%, $E$9)</f>
        <v>19.455100000000002</v>
      </c>
      <c r="K618" s="11">
        <f>19.4604 * CHOOSE(CONTROL!$C$32, $C$9, 100%, $E$9)</f>
        <v>19.4604</v>
      </c>
      <c r="L618" s="11">
        <f>10.1024 * CHOOSE(CONTROL!$C$32, $C$9, 100%, $E$9)</f>
        <v>10.102399999999999</v>
      </c>
      <c r="M618" s="11">
        <f>10.1077 * CHOOSE(CONTROL!$C$32, $C$9, 100%, $E$9)</f>
        <v>10.107699999999999</v>
      </c>
      <c r="N618" s="11">
        <f>10.1024 * CHOOSE(CONTROL!$C$32, $C$9, 100%, $E$9)</f>
        <v>10.102399999999999</v>
      </c>
      <c r="O618" s="11">
        <f>10.1077 * CHOOSE(CONTROL!$C$32, $C$9, 100%, $E$9)</f>
        <v>10.107699999999999</v>
      </c>
    </row>
    <row r="619" spans="1:15" ht="15" x14ac:dyDescent="0.2">
      <c r="A619" s="13">
        <v>59688</v>
      </c>
      <c r="B619" s="9">
        <f>8.8219 * CHOOSE(CONTROL!$C$32, $C$9, 100%, $E$9)</f>
        <v>8.8218999999999994</v>
      </c>
      <c r="C619" s="9">
        <f>8.8219 * CHOOSE(CONTROL!$C$32, $C$9, 100%, $E$9)</f>
        <v>8.8218999999999994</v>
      </c>
      <c r="D619" s="9">
        <f>8.8235 * CHOOSE(CONTROL!$C$32, $C$9, 100%, $E$9)</f>
        <v>8.8234999999999992</v>
      </c>
      <c r="E619" s="11">
        <f>10.0307 * CHOOSE(CONTROL!$C$32, $C$9, 100%, $E$9)</f>
        <v>10.0307</v>
      </c>
      <c r="F619" s="11">
        <f>10.0307 * CHOOSE(CONTROL!$C$32, $C$9, 100%, $E$9)</f>
        <v>10.0307</v>
      </c>
      <c r="G619" s="11">
        <f>10.036 * CHOOSE(CONTROL!$C$32, $C$9, 100%, $E$9)</f>
        <v>10.036</v>
      </c>
      <c r="H619" s="11">
        <f>19.4956 * CHOOSE(CONTROL!$C$32, $C$9, 100%, $E$9)</f>
        <v>19.4956</v>
      </c>
      <c r="I619" s="11">
        <f>19.5009 * CHOOSE(CONTROL!$C$32, $C$9, 100%, $E$9)</f>
        <v>19.500900000000001</v>
      </c>
      <c r="J619" s="11">
        <f>19.4956 * CHOOSE(CONTROL!$C$32, $C$9, 100%, $E$9)</f>
        <v>19.4956</v>
      </c>
      <c r="K619" s="11">
        <f>19.5009 * CHOOSE(CONTROL!$C$32, $C$9, 100%, $E$9)</f>
        <v>19.500900000000001</v>
      </c>
      <c r="L619" s="11">
        <f>10.0307 * CHOOSE(CONTROL!$C$32, $C$9, 100%, $E$9)</f>
        <v>10.0307</v>
      </c>
      <c r="M619" s="11">
        <f>10.036 * CHOOSE(CONTROL!$C$32, $C$9, 100%, $E$9)</f>
        <v>10.036</v>
      </c>
      <c r="N619" s="11">
        <f>10.0307 * CHOOSE(CONTROL!$C$32, $C$9, 100%, $E$9)</f>
        <v>10.0307</v>
      </c>
      <c r="O619" s="11">
        <f>10.036 * CHOOSE(CONTROL!$C$32, $C$9, 100%, $E$9)</f>
        <v>10.036</v>
      </c>
    </row>
    <row r="620" spans="1:15" ht="15" x14ac:dyDescent="0.2">
      <c r="A620" s="13">
        <v>59718</v>
      </c>
      <c r="B620" s="9">
        <f>8.9333 * CHOOSE(CONTROL!$C$32, $C$9, 100%, $E$9)</f>
        <v>8.9332999999999991</v>
      </c>
      <c r="C620" s="9">
        <f>8.9333 * CHOOSE(CONTROL!$C$32, $C$9, 100%, $E$9)</f>
        <v>8.9332999999999991</v>
      </c>
      <c r="D620" s="9">
        <f>8.9349 * CHOOSE(CONTROL!$C$32, $C$9, 100%, $E$9)</f>
        <v>8.9349000000000007</v>
      </c>
      <c r="E620" s="11">
        <f>10.1704 * CHOOSE(CONTROL!$C$32, $C$9, 100%, $E$9)</f>
        <v>10.170400000000001</v>
      </c>
      <c r="F620" s="11">
        <f>10.1704 * CHOOSE(CONTROL!$C$32, $C$9, 100%, $E$9)</f>
        <v>10.170400000000001</v>
      </c>
      <c r="G620" s="11">
        <f>10.1757 * CHOOSE(CONTROL!$C$32, $C$9, 100%, $E$9)</f>
        <v>10.175700000000001</v>
      </c>
      <c r="H620" s="11">
        <f>19.5362 * CHOOSE(CONTROL!$C$32, $C$9, 100%, $E$9)</f>
        <v>19.536200000000001</v>
      </c>
      <c r="I620" s="11">
        <f>19.5415 * CHOOSE(CONTROL!$C$32, $C$9, 100%, $E$9)</f>
        <v>19.541499999999999</v>
      </c>
      <c r="J620" s="11">
        <f>19.5362 * CHOOSE(CONTROL!$C$32, $C$9, 100%, $E$9)</f>
        <v>19.536200000000001</v>
      </c>
      <c r="K620" s="11">
        <f>19.5415 * CHOOSE(CONTROL!$C$32, $C$9, 100%, $E$9)</f>
        <v>19.541499999999999</v>
      </c>
      <c r="L620" s="11">
        <f>10.1704 * CHOOSE(CONTROL!$C$32, $C$9, 100%, $E$9)</f>
        <v>10.170400000000001</v>
      </c>
      <c r="M620" s="11">
        <f>10.1757 * CHOOSE(CONTROL!$C$32, $C$9, 100%, $E$9)</f>
        <v>10.175700000000001</v>
      </c>
      <c r="N620" s="11">
        <f>10.1704 * CHOOSE(CONTROL!$C$32, $C$9, 100%, $E$9)</f>
        <v>10.170400000000001</v>
      </c>
      <c r="O620" s="11">
        <f>10.1757 * CHOOSE(CONTROL!$C$32, $C$9, 100%, $E$9)</f>
        <v>10.175700000000001</v>
      </c>
    </row>
    <row r="621" spans="1:15" ht="15" x14ac:dyDescent="0.2">
      <c r="A621" s="13">
        <v>59749</v>
      </c>
      <c r="B621" s="9">
        <f>8.94 * CHOOSE(CONTROL!$C$32, $C$9, 100%, $E$9)</f>
        <v>8.94</v>
      </c>
      <c r="C621" s="9">
        <f>8.94 * CHOOSE(CONTROL!$C$32, $C$9, 100%, $E$9)</f>
        <v>8.94</v>
      </c>
      <c r="D621" s="9">
        <f>8.9416 * CHOOSE(CONTROL!$C$32, $C$9, 100%, $E$9)</f>
        <v>8.9415999999999993</v>
      </c>
      <c r="E621" s="11">
        <f>9.9471 * CHOOSE(CONTROL!$C$32, $C$9, 100%, $E$9)</f>
        <v>9.9471000000000007</v>
      </c>
      <c r="F621" s="11">
        <f>9.9471 * CHOOSE(CONTROL!$C$32, $C$9, 100%, $E$9)</f>
        <v>9.9471000000000007</v>
      </c>
      <c r="G621" s="11">
        <f>9.9524 * CHOOSE(CONTROL!$C$32, $C$9, 100%, $E$9)</f>
        <v>9.9524000000000008</v>
      </c>
      <c r="H621" s="11">
        <f>19.5769 * CHOOSE(CONTROL!$C$32, $C$9, 100%, $E$9)</f>
        <v>19.576899999999998</v>
      </c>
      <c r="I621" s="11">
        <f>19.5822 * CHOOSE(CONTROL!$C$32, $C$9, 100%, $E$9)</f>
        <v>19.5822</v>
      </c>
      <c r="J621" s="11">
        <f>19.5769 * CHOOSE(CONTROL!$C$32, $C$9, 100%, $E$9)</f>
        <v>19.576899999999998</v>
      </c>
      <c r="K621" s="11">
        <f>19.5822 * CHOOSE(CONTROL!$C$32, $C$9, 100%, $E$9)</f>
        <v>19.5822</v>
      </c>
      <c r="L621" s="11">
        <f>9.9471 * CHOOSE(CONTROL!$C$32, $C$9, 100%, $E$9)</f>
        <v>9.9471000000000007</v>
      </c>
      <c r="M621" s="11">
        <f>9.9524 * CHOOSE(CONTROL!$C$32, $C$9, 100%, $E$9)</f>
        <v>9.9524000000000008</v>
      </c>
      <c r="N621" s="11">
        <f>9.9471 * CHOOSE(CONTROL!$C$32, $C$9, 100%, $E$9)</f>
        <v>9.9471000000000007</v>
      </c>
      <c r="O621" s="11">
        <f>9.9524 * CHOOSE(CONTROL!$C$32, $C$9, 100%, $E$9)</f>
        <v>9.9524000000000008</v>
      </c>
    </row>
    <row r="622" spans="1:15" ht="15" x14ac:dyDescent="0.2">
      <c r="A622" s="13">
        <v>59780</v>
      </c>
      <c r="B622" s="9">
        <f>8.937 * CHOOSE(CONTROL!$C$32, $C$9, 100%, $E$9)</f>
        <v>8.9369999999999994</v>
      </c>
      <c r="C622" s="9">
        <f>8.937 * CHOOSE(CONTROL!$C$32, $C$9, 100%, $E$9)</f>
        <v>8.9369999999999994</v>
      </c>
      <c r="D622" s="9">
        <f>8.9386 * CHOOSE(CONTROL!$C$32, $C$9, 100%, $E$9)</f>
        <v>8.9385999999999992</v>
      </c>
      <c r="E622" s="11">
        <f>9.9197 * CHOOSE(CONTROL!$C$32, $C$9, 100%, $E$9)</f>
        <v>9.9197000000000006</v>
      </c>
      <c r="F622" s="11">
        <f>9.9197 * CHOOSE(CONTROL!$C$32, $C$9, 100%, $E$9)</f>
        <v>9.9197000000000006</v>
      </c>
      <c r="G622" s="11">
        <f>9.925 * CHOOSE(CONTROL!$C$32, $C$9, 100%, $E$9)</f>
        <v>9.9250000000000007</v>
      </c>
      <c r="H622" s="11">
        <f>19.6177 * CHOOSE(CONTROL!$C$32, $C$9, 100%, $E$9)</f>
        <v>19.617699999999999</v>
      </c>
      <c r="I622" s="11">
        <f>19.623 * CHOOSE(CONTROL!$C$32, $C$9, 100%, $E$9)</f>
        <v>19.623000000000001</v>
      </c>
      <c r="J622" s="11">
        <f>19.6177 * CHOOSE(CONTROL!$C$32, $C$9, 100%, $E$9)</f>
        <v>19.617699999999999</v>
      </c>
      <c r="K622" s="11">
        <f>19.623 * CHOOSE(CONTROL!$C$32, $C$9, 100%, $E$9)</f>
        <v>19.623000000000001</v>
      </c>
      <c r="L622" s="11">
        <f>9.9197 * CHOOSE(CONTROL!$C$32, $C$9, 100%, $E$9)</f>
        <v>9.9197000000000006</v>
      </c>
      <c r="M622" s="11">
        <f>9.925 * CHOOSE(CONTROL!$C$32, $C$9, 100%, $E$9)</f>
        <v>9.9250000000000007</v>
      </c>
      <c r="N622" s="11">
        <f>9.9197 * CHOOSE(CONTROL!$C$32, $C$9, 100%, $E$9)</f>
        <v>9.9197000000000006</v>
      </c>
      <c r="O622" s="11">
        <f>9.925 * CHOOSE(CONTROL!$C$32, $C$9, 100%, $E$9)</f>
        <v>9.9250000000000007</v>
      </c>
    </row>
    <row r="623" spans="1:15" ht="15" x14ac:dyDescent="0.2">
      <c r="A623" s="13">
        <v>59810</v>
      </c>
      <c r="B623" s="9">
        <f>8.9505 * CHOOSE(CONTROL!$C$32, $C$9, 100%, $E$9)</f>
        <v>8.9504999999999999</v>
      </c>
      <c r="C623" s="9">
        <f>8.9505 * CHOOSE(CONTROL!$C$32, $C$9, 100%, $E$9)</f>
        <v>8.9504999999999999</v>
      </c>
      <c r="D623" s="9">
        <f>8.9515 * CHOOSE(CONTROL!$C$32, $C$9, 100%, $E$9)</f>
        <v>8.9514999999999993</v>
      </c>
      <c r="E623" s="11">
        <f>10.0076 * CHOOSE(CONTROL!$C$32, $C$9, 100%, $E$9)</f>
        <v>10.0076</v>
      </c>
      <c r="F623" s="11">
        <f>10.0076 * CHOOSE(CONTROL!$C$32, $C$9, 100%, $E$9)</f>
        <v>10.0076</v>
      </c>
      <c r="G623" s="11">
        <f>10.0112 * CHOOSE(CONTROL!$C$32, $C$9, 100%, $E$9)</f>
        <v>10.011200000000001</v>
      </c>
      <c r="H623" s="11">
        <f>19.6586 * CHOOSE(CONTROL!$C$32, $C$9, 100%, $E$9)</f>
        <v>19.6586</v>
      </c>
      <c r="I623" s="11">
        <f>19.6622 * CHOOSE(CONTROL!$C$32, $C$9, 100%, $E$9)</f>
        <v>19.662199999999999</v>
      </c>
      <c r="J623" s="11">
        <f>19.6586 * CHOOSE(CONTROL!$C$32, $C$9, 100%, $E$9)</f>
        <v>19.6586</v>
      </c>
      <c r="K623" s="11">
        <f>19.6622 * CHOOSE(CONTROL!$C$32, $C$9, 100%, $E$9)</f>
        <v>19.662199999999999</v>
      </c>
      <c r="L623" s="11">
        <f>10.0076 * CHOOSE(CONTROL!$C$32, $C$9, 100%, $E$9)</f>
        <v>10.0076</v>
      </c>
      <c r="M623" s="11">
        <f>10.0112 * CHOOSE(CONTROL!$C$32, $C$9, 100%, $E$9)</f>
        <v>10.011200000000001</v>
      </c>
      <c r="N623" s="11">
        <f>10.0076 * CHOOSE(CONTROL!$C$32, $C$9, 100%, $E$9)</f>
        <v>10.0076</v>
      </c>
      <c r="O623" s="11">
        <f>10.0112 * CHOOSE(CONTROL!$C$32, $C$9, 100%, $E$9)</f>
        <v>10.011200000000001</v>
      </c>
    </row>
    <row r="624" spans="1:15" ht="15" x14ac:dyDescent="0.2">
      <c r="A624" s="13">
        <v>59841</v>
      </c>
      <c r="B624" s="9">
        <f>8.9535 * CHOOSE(CONTROL!$C$32, $C$9, 100%, $E$9)</f>
        <v>8.9535</v>
      </c>
      <c r="C624" s="9">
        <f>8.9535 * CHOOSE(CONTROL!$C$32, $C$9, 100%, $E$9)</f>
        <v>8.9535</v>
      </c>
      <c r="D624" s="9">
        <f>8.9546 * CHOOSE(CONTROL!$C$32, $C$9, 100%, $E$9)</f>
        <v>8.9545999999999992</v>
      </c>
      <c r="E624" s="11">
        <f>10.0603 * CHOOSE(CONTROL!$C$32, $C$9, 100%, $E$9)</f>
        <v>10.0603</v>
      </c>
      <c r="F624" s="11">
        <f>10.0603 * CHOOSE(CONTROL!$C$32, $C$9, 100%, $E$9)</f>
        <v>10.0603</v>
      </c>
      <c r="G624" s="11">
        <f>10.064 * CHOOSE(CONTROL!$C$32, $C$9, 100%, $E$9)</f>
        <v>10.064</v>
      </c>
      <c r="H624" s="11">
        <f>19.6995 * CHOOSE(CONTROL!$C$32, $C$9, 100%, $E$9)</f>
        <v>19.6995</v>
      </c>
      <c r="I624" s="11">
        <f>19.7031 * CHOOSE(CONTROL!$C$32, $C$9, 100%, $E$9)</f>
        <v>19.703099999999999</v>
      </c>
      <c r="J624" s="11">
        <f>19.6995 * CHOOSE(CONTROL!$C$32, $C$9, 100%, $E$9)</f>
        <v>19.6995</v>
      </c>
      <c r="K624" s="11">
        <f>19.7031 * CHOOSE(CONTROL!$C$32, $C$9, 100%, $E$9)</f>
        <v>19.703099999999999</v>
      </c>
      <c r="L624" s="11">
        <f>10.0603 * CHOOSE(CONTROL!$C$32, $C$9, 100%, $E$9)</f>
        <v>10.0603</v>
      </c>
      <c r="M624" s="11">
        <f>10.064 * CHOOSE(CONTROL!$C$32, $C$9, 100%, $E$9)</f>
        <v>10.064</v>
      </c>
      <c r="N624" s="11">
        <f>10.0603 * CHOOSE(CONTROL!$C$32, $C$9, 100%, $E$9)</f>
        <v>10.0603</v>
      </c>
      <c r="O624" s="11">
        <f>10.064 * CHOOSE(CONTROL!$C$32, $C$9, 100%, $E$9)</f>
        <v>10.064</v>
      </c>
    </row>
    <row r="625" spans="1:15" ht="15" x14ac:dyDescent="0.2">
      <c r="A625" s="13">
        <v>59871</v>
      </c>
      <c r="B625" s="9">
        <f>8.9535 * CHOOSE(CONTROL!$C$32, $C$9, 100%, $E$9)</f>
        <v>8.9535</v>
      </c>
      <c r="C625" s="9">
        <f>8.9535 * CHOOSE(CONTROL!$C$32, $C$9, 100%, $E$9)</f>
        <v>8.9535</v>
      </c>
      <c r="D625" s="9">
        <f>8.9546 * CHOOSE(CONTROL!$C$32, $C$9, 100%, $E$9)</f>
        <v>8.9545999999999992</v>
      </c>
      <c r="E625" s="11">
        <f>9.9337 * CHOOSE(CONTROL!$C$32, $C$9, 100%, $E$9)</f>
        <v>9.9337</v>
      </c>
      <c r="F625" s="11">
        <f>9.9337 * CHOOSE(CONTROL!$C$32, $C$9, 100%, $E$9)</f>
        <v>9.9337</v>
      </c>
      <c r="G625" s="11">
        <f>9.9373 * CHOOSE(CONTROL!$C$32, $C$9, 100%, $E$9)</f>
        <v>9.9373000000000005</v>
      </c>
      <c r="H625" s="11">
        <f>19.7406 * CHOOSE(CONTROL!$C$32, $C$9, 100%, $E$9)</f>
        <v>19.740600000000001</v>
      </c>
      <c r="I625" s="11">
        <f>19.7442 * CHOOSE(CONTROL!$C$32, $C$9, 100%, $E$9)</f>
        <v>19.744199999999999</v>
      </c>
      <c r="J625" s="11">
        <f>19.7406 * CHOOSE(CONTROL!$C$32, $C$9, 100%, $E$9)</f>
        <v>19.740600000000001</v>
      </c>
      <c r="K625" s="11">
        <f>19.7442 * CHOOSE(CONTROL!$C$32, $C$9, 100%, $E$9)</f>
        <v>19.744199999999999</v>
      </c>
      <c r="L625" s="11">
        <f>9.9337 * CHOOSE(CONTROL!$C$32, $C$9, 100%, $E$9)</f>
        <v>9.9337</v>
      </c>
      <c r="M625" s="11">
        <f>9.9373 * CHOOSE(CONTROL!$C$32, $C$9, 100%, $E$9)</f>
        <v>9.9373000000000005</v>
      </c>
      <c r="N625" s="11">
        <f>9.9337 * CHOOSE(CONTROL!$C$32, $C$9, 100%, $E$9)</f>
        <v>9.9337</v>
      </c>
      <c r="O625" s="11">
        <f>9.9373 * CHOOSE(CONTROL!$C$32, $C$9, 100%, $E$9)</f>
        <v>9.9373000000000005</v>
      </c>
    </row>
    <row r="626" spans="1:15" ht="15" x14ac:dyDescent="0.2">
      <c r="A626" s="13">
        <v>59902</v>
      </c>
      <c r="B626" s="9">
        <f>9.0069 * CHOOSE(CONTROL!$C$32, $C$9, 100%, $E$9)</f>
        <v>9.0068999999999999</v>
      </c>
      <c r="C626" s="9">
        <f>9.0069 * CHOOSE(CONTROL!$C$32, $C$9, 100%, $E$9)</f>
        <v>9.0068999999999999</v>
      </c>
      <c r="D626" s="9">
        <f>9.008 * CHOOSE(CONTROL!$C$32, $C$9, 100%, $E$9)</f>
        <v>9.0079999999999991</v>
      </c>
      <c r="E626" s="11">
        <f>10.0955 * CHOOSE(CONTROL!$C$32, $C$9, 100%, $E$9)</f>
        <v>10.095499999999999</v>
      </c>
      <c r="F626" s="11">
        <f>10.0955 * CHOOSE(CONTROL!$C$32, $C$9, 100%, $E$9)</f>
        <v>10.095499999999999</v>
      </c>
      <c r="G626" s="11">
        <f>10.0991 * CHOOSE(CONTROL!$C$32, $C$9, 100%, $E$9)</f>
        <v>10.0991</v>
      </c>
      <c r="H626" s="11">
        <f>19.7473 * CHOOSE(CONTROL!$C$32, $C$9, 100%, $E$9)</f>
        <v>19.747299999999999</v>
      </c>
      <c r="I626" s="11">
        <f>19.7509 * CHOOSE(CONTROL!$C$32, $C$9, 100%, $E$9)</f>
        <v>19.750900000000001</v>
      </c>
      <c r="J626" s="11">
        <f>19.7473 * CHOOSE(CONTROL!$C$32, $C$9, 100%, $E$9)</f>
        <v>19.747299999999999</v>
      </c>
      <c r="K626" s="11">
        <f>19.7509 * CHOOSE(CONTROL!$C$32, $C$9, 100%, $E$9)</f>
        <v>19.750900000000001</v>
      </c>
      <c r="L626" s="11">
        <f>10.0955 * CHOOSE(CONTROL!$C$32, $C$9, 100%, $E$9)</f>
        <v>10.095499999999999</v>
      </c>
      <c r="M626" s="11">
        <f>10.0991 * CHOOSE(CONTROL!$C$32, $C$9, 100%, $E$9)</f>
        <v>10.0991</v>
      </c>
      <c r="N626" s="11">
        <f>10.0955 * CHOOSE(CONTROL!$C$32, $C$9, 100%, $E$9)</f>
        <v>10.095499999999999</v>
      </c>
      <c r="O626" s="11">
        <f>10.0991 * CHOOSE(CONTROL!$C$32, $C$9, 100%, $E$9)</f>
        <v>10.0991</v>
      </c>
    </row>
    <row r="627" spans="1:15" ht="15" x14ac:dyDescent="0.2">
      <c r="A627" s="13">
        <v>59933</v>
      </c>
      <c r="B627" s="9">
        <f>9.0039 * CHOOSE(CONTROL!$C$32, $C$9, 100%, $E$9)</f>
        <v>9.0038999999999998</v>
      </c>
      <c r="C627" s="9">
        <f>9.0039 * CHOOSE(CONTROL!$C$32, $C$9, 100%, $E$9)</f>
        <v>9.0038999999999998</v>
      </c>
      <c r="D627" s="9">
        <f>9.005 * CHOOSE(CONTROL!$C$32, $C$9, 100%, $E$9)</f>
        <v>9.0050000000000008</v>
      </c>
      <c r="E627" s="11">
        <f>9.847 * CHOOSE(CONTROL!$C$32, $C$9, 100%, $E$9)</f>
        <v>9.8469999999999995</v>
      </c>
      <c r="F627" s="11">
        <f>9.847 * CHOOSE(CONTROL!$C$32, $C$9, 100%, $E$9)</f>
        <v>9.8469999999999995</v>
      </c>
      <c r="G627" s="11">
        <f>9.8506 * CHOOSE(CONTROL!$C$32, $C$9, 100%, $E$9)</f>
        <v>9.8506</v>
      </c>
      <c r="H627" s="11">
        <f>19.7884 * CHOOSE(CONTROL!$C$32, $C$9, 100%, $E$9)</f>
        <v>19.788399999999999</v>
      </c>
      <c r="I627" s="11">
        <f>19.792 * CHOOSE(CONTROL!$C$32, $C$9, 100%, $E$9)</f>
        <v>19.792000000000002</v>
      </c>
      <c r="J627" s="11">
        <f>19.7884 * CHOOSE(CONTROL!$C$32, $C$9, 100%, $E$9)</f>
        <v>19.788399999999999</v>
      </c>
      <c r="K627" s="11">
        <f>19.792 * CHOOSE(CONTROL!$C$32, $C$9, 100%, $E$9)</f>
        <v>19.792000000000002</v>
      </c>
      <c r="L627" s="11">
        <f>9.847 * CHOOSE(CONTROL!$C$32, $C$9, 100%, $E$9)</f>
        <v>9.8469999999999995</v>
      </c>
      <c r="M627" s="11">
        <f>9.8506 * CHOOSE(CONTROL!$C$32, $C$9, 100%, $E$9)</f>
        <v>9.8506</v>
      </c>
      <c r="N627" s="11">
        <f>9.847 * CHOOSE(CONTROL!$C$32, $C$9, 100%, $E$9)</f>
        <v>9.8469999999999995</v>
      </c>
      <c r="O627" s="11">
        <f>9.8506 * CHOOSE(CONTROL!$C$32, $C$9, 100%, $E$9)</f>
        <v>9.8506</v>
      </c>
    </row>
    <row r="628" spans="1:15" ht="15" x14ac:dyDescent="0.2">
      <c r="A628" s="13">
        <v>59962</v>
      </c>
      <c r="B628" s="9">
        <f>9.0008 * CHOOSE(CONTROL!$C$32, $C$9, 100%, $E$9)</f>
        <v>9.0007999999999999</v>
      </c>
      <c r="C628" s="9">
        <f>9.0008 * CHOOSE(CONTROL!$C$32, $C$9, 100%, $E$9)</f>
        <v>9.0007999999999999</v>
      </c>
      <c r="D628" s="9">
        <f>9.0019 * CHOOSE(CONTROL!$C$32, $C$9, 100%, $E$9)</f>
        <v>9.0018999999999991</v>
      </c>
      <c r="E628" s="11">
        <f>10.0391 * CHOOSE(CONTROL!$C$32, $C$9, 100%, $E$9)</f>
        <v>10.039099999999999</v>
      </c>
      <c r="F628" s="11">
        <f>10.0391 * CHOOSE(CONTROL!$C$32, $C$9, 100%, $E$9)</f>
        <v>10.039099999999999</v>
      </c>
      <c r="G628" s="11">
        <f>10.0427 * CHOOSE(CONTROL!$C$32, $C$9, 100%, $E$9)</f>
        <v>10.0427</v>
      </c>
      <c r="H628" s="11">
        <f>19.8297 * CHOOSE(CONTROL!$C$32, $C$9, 100%, $E$9)</f>
        <v>19.829699999999999</v>
      </c>
      <c r="I628" s="11">
        <f>19.8333 * CHOOSE(CONTROL!$C$32, $C$9, 100%, $E$9)</f>
        <v>19.833300000000001</v>
      </c>
      <c r="J628" s="11">
        <f>19.8297 * CHOOSE(CONTROL!$C$32, $C$9, 100%, $E$9)</f>
        <v>19.829699999999999</v>
      </c>
      <c r="K628" s="11">
        <f>19.8333 * CHOOSE(CONTROL!$C$32, $C$9, 100%, $E$9)</f>
        <v>19.833300000000001</v>
      </c>
      <c r="L628" s="11">
        <f>10.0391 * CHOOSE(CONTROL!$C$32, $C$9, 100%, $E$9)</f>
        <v>10.039099999999999</v>
      </c>
      <c r="M628" s="11">
        <f>10.0427 * CHOOSE(CONTROL!$C$32, $C$9, 100%, $E$9)</f>
        <v>10.0427</v>
      </c>
      <c r="N628" s="11">
        <f>10.0391 * CHOOSE(CONTROL!$C$32, $C$9, 100%, $E$9)</f>
        <v>10.039099999999999</v>
      </c>
      <c r="O628" s="11">
        <f>10.0427 * CHOOSE(CONTROL!$C$32, $C$9, 100%, $E$9)</f>
        <v>10.0427</v>
      </c>
    </row>
    <row r="629" spans="1:15" ht="15" x14ac:dyDescent="0.2">
      <c r="A629" s="13">
        <v>59993</v>
      </c>
      <c r="B629" s="9">
        <f>9.0033 * CHOOSE(CONTROL!$C$32, $C$9, 100%, $E$9)</f>
        <v>9.0032999999999994</v>
      </c>
      <c r="C629" s="9">
        <f>9.0033 * CHOOSE(CONTROL!$C$32, $C$9, 100%, $E$9)</f>
        <v>9.0032999999999994</v>
      </c>
      <c r="D629" s="9">
        <f>9.0044 * CHOOSE(CONTROL!$C$32, $C$9, 100%, $E$9)</f>
        <v>9.0044000000000004</v>
      </c>
      <c r="E629" s="11">
        <f>10.2435 * CHOOSE(CONTROL!$C$32, $C$9, 100%, $E$9)</f>
        <v>10.243499999999999</v>
      </c>
      <c r="F629" s="11">
        <f>10.2435 * CHOOSE(CONTROL!$C$32, $C$9, 100%, $E$9)</f>
        <v>10.243499999999999</v>
      </c>
      <c r="G629" s="11">
        <f>10.2471 * CHOOSE(CONTROL!$C$32, $C$9, 100%, $E$9)</f>
        <v>10.2471</v>
      </c>
      <c r="H629" s="11">
        <f>19.871 * CHOOSE(CONTROL!$C$32, $C$9, 100%, $E$9)</f>
        <v>19.870999999999999</v>
      </c>
      <c r="I629" s="11">
        <f>19.8746 * CHOOSE(CONTROL!$C$32, $C$9, 100%, $E$9)</f>
        <v>19.874600000000001</v>
      </c>
      <c r="J629" s="11">
        <f>19.871 * CHOOSE(CONTROL!$C$32, $C$9, 100%, $E$9)</f>
        <v>19.870999999999999</v>
      </c>
      <c r="K629" s="11">
        <f>19.8746 * CHOOSE(CONTROL!$C$32, $C$9, 100%, $E$9)</f>
        <v>19.874600000000001</v>
      </c>
      <c r="L629" s="11">
        <f>10.2435 * CHOOSE(CONTROL!$C$32, $C$9, 100%, $E$9)</f>
        <v>10.243499999999999</v>
      </c>
      <c r="M629" s="11">
        <f>10.2471 * CHOOSE(CONTROL!$C$32, $C$9, 100%, $E$9)</f>
        <v>10.2471</v>
      </c>
      <c r="N629" s="11">
        <f>10.2435 * CHOOSE(CONTROL!$C$32, $C$9, 100%, $E$9)</f>
        <v>10.243499999999999</v>
      </c>
      <c r="O629" s="11">
        <f>10.2471 * CHOOSE(CONTROL!$C$32, $C$9, 100%, $E$9)</f>
        <v>10.2471</v>
      </c>
    </row>
    <row r="630" spans="1:15" ht="15" x14ac:dyDescent="0.2">
      <c r="A630" s="13">
        <v>60023</v>
      </c>
      <c r="B630" s="9">
        <f>9.0033 * CHOOSE(CONTROL!$C$32, $C$9, 100%, $E$9)</f>
        <v>9.0032999999999994</v>
      </c>
      <c r="C630" s="9">
        <f>9.0033 * CHOOSE(CONTROL!$C$32, $C$9, 100%, $E$9)</f>
        <v>9.0032999999999994</v>
      </c>
      <c r="D630" s="9">
        <f>9.0049 * CHOOSE(CONTROL!$C$32, $C$9, 100%, $E$9)</f>
        <v>9.0048999999999992</v>
      </c>
      <c r="E630" s="11">
        <f>10.3217 * CHOOSE(CONTROL!$C$32, $C$9, 100%, $E$9)</f>
        <v>10.3217</v>
      </c>
      <c r="F630" s="11">
        <f>10.3217 * CHOOSE(CONTROL!$C$32, $C$9, 100%, $E$9)</f>
        <v>10.3217</v>
      </c>
      <c r="G630" s="11">
        <f>10.327 * CHOOSE(CONTROL!$C$32, $C$9, 100%, $E$9)</f>
        <v>10.327</v>
      </c>
      <c r="H630" s="11">
        <f>19.9124 * CHOOSE(CONTROL!$C$32, $C$9, 100%, $E$9)</f>
        <v>19.912400000000002</v>
      </c>
      <c r="I630" s="11">
        <f>19.9177 * CHOOSE(CONTROL!$C$32, $C$9, 100%, $E$9)</f>
        <v>19.9177</v>
      </c>
      <c r="J630" s="11">
        <f>19.9124 * CHOOSE(CONTROL!$C$32, $C$9, 100%, $E$9)</f>
        <v>19.912400000000002</v>
      </c>
      <c r="K630" s="11">
        <f>19.9177 * CHOOSE(CONTROL!$C$32, $C$9, 100%, $E$9)</f>
        <v>19.9177</v>
      </c>
      <c r="L630" s="11">
        <f>10.3217 * CHOOSE(CONTROL!$C$32, $C$9, 100%, $E$9)</f>
        <v>10.3217</v>
      </c>
      <c r="M630" s="11">
        <f>10.327 * CHOOSE(CONTROL!$C$32, $C$9, 100%, $E$9)</f>
        <v>10.327</v>
      </c>
      <c r="N630" s="11">
        <f>10.3217 * CHOOSE(CONTROL!$C$32, $C$9, 100%, $E$9)</f>
        <v>10.3217</v>
      </c>
      <c r="O630" s="11">
        <f>10.327 * CHOOSE(CONTROL!$C$32, $C$9, 100%, $E$9)</f>
        <v>10.327</v>
      </c>
    </row>
    <row r="631" spans="1:15" ht="15" x14ac:dyDescent="0.2">
      <c r="A631" s="13">
        <v>60054</v>
      </c>
      <c r="B631" s="9">
        <f>9.0094 * CHOOSE(CONTROL!$C$32, $C$9, 100%, $E$9)</f>
        <v>9.0093999999999994</v>
      </c>
      <c r="C631" s="9">
        <f>9.0094 * CHOOSE(CONTROL!$C$32, $C$9, 100%, $E$9)</f>
        <v>9.0093999999999994</v>
      </c>
      <c r="D631" s="9">
        <f>9.011 * CHOOSE(CONTROL!$C$32, $C$9, 100%, $E$9)</f>
        <v>9.0109999999999992</v>
      </c>
      <c r="E631" s="11">
        <f>10.2477 * CHOOSE(CONTROL!$C$32, $C$9, 100%, $E$9)</f>
        <v>10.2477</v>
      </c>
      <c r="F631" s="11">
        <f>10.2477 * CHOOSE(CONTROL!$C$32, $C$9, 100%, $E$9)</f>
        <v>10.2477</v>
      </c>
      <c r="G631" s="11">
        <f>10.253 * CHOOSE(CONTROL!$C$32, $C$9, 100%, $E$9)</f>
        <v>10.253</v>
      </c>
      <c r="H631" s="11">
        <f>19.9539 * CHOOSE(CONTROL!$C$32, $C$9, 100%, $E$9)</f>
        <v>19.953900000000001</v>
      </c>
      <c r="I631" s="11">
        <f>19.9591 * CHOOSE(CONTROL!$C$32, $C$9, 100%, $E$9)</f>
        <v>19.959099999999999</v>
      </c>
      <c r="J631" s="11">
        <f>19.9539 * CHOOSE(CONTROL!$C$32, $C$9, 100%, $E$9)</f>
        <v>19.953900000000001</v>
      </c>
      <c r="K631" s="11">
        <f>19.9591 * CHOOSE(CONTROL!$C$32, $C$9, 100%, $E$9)</f>
        <v>19.959099999999999</v>
      </c>
      <c r="L631" s="11">
        <f>10.2477 * CHOOSE(CONTROL!$C$32, $C$9, 100%, $E$9)</f>
        <v>10.2477</v>
      </c>
      <c r="M631" s="11">
        <f>10.253 * CHOOSE(CONTROL!$C$32, $C$9, 100%, $E$9)</f>
        <v>10.253</v>
      </c>
      <c r="N631" s="11">
        <f>10.2477 * CHOOSE(CONTROL!$C$32, $C$9, 100%, $E$9)</f>
        <v>10.2477</v>
      </c>
      <c r="O631" s="11">
        <f>10.253 * CHOOSE(CONTROL!$C$32, $C$9, 100%, $E$9)</f>
        <v>10.253</v>
      </c>
    </row>
    <row r="632" spans="1:15" ht="15" x14ac:dyDescent="0.2">
      <c r="A632" s="13">
        <v>60084</v>
      </c>
      <c r="B632" s="9">
        <f>9.1229 * CHOOSE(CONTROL!$C$32, $C$9, 100%, $E$9)</f>
        <v>9.1228999999999996</v>
      </c>
      <c r="C632" s="9">
        <f>9.1229 * CHOOSE(CONTROL!$C$32, $C$9, 100%, $E$9)</f>
        <v>9.1228999999999996</v>
      </c>
      <c r="D632" s="9">
        <f>9.1245 * CHOOSE(CONTROL!$C$32, $C$9, 100%, $E$9)</f>
        <v>9.1244999999999994</v>
      </c>
      <c r="E632" s="11">
        <f>10.3906 * CHOOSE(CONTROL!$C$32, $C$9, 100%, $E$9)</f>
        <v>10.390599999999999</v>
      </c>
      <c r="F632" s="11">
        <f>10.3906 * CHOOSE(CONTROL!$C$32, $C$9, 100%, $E$9)</f>
        <v>10.390599999999999</v>
      </c>
      <c r="G632" s="11">
        <f>10.3959 * CHOOSE(CONTROL!$C$32, $C$9, 100%, $E$9)</f>
        <v>10.395899999999999</v>
      </c>
      <c r="H632" s="11">
        <f>19.9954 * CHOOSE(CONTROL!$C$32, $C$9, 100%, $E$9)</f>
        <v>19.9954</v>
      </c>
      <c r="I632" s="11">
        <f>20.0007 * CHOOSE(CONTROL!$C$32, $C$9, 100%, $E$9)</f>
        <v>20.000699999999998</v>
      </c>
      <c r="J632" s="11">
        <f>19.9954 * CHOOSE(CONTROL!$C$32, $C$9, 100%, $E$9)</f>
        <v>19.9954</v>
      </c>
      <c r="K632" s="11">
        <f>20.0007 * CHOOSE(CONTROL!$C$32, $C$9, 100%, $E$9)</f>
        <v>20.000699999999998</v>
      </c>
      <c r="L632" s="11">
        <f>10.3906 * CHOOSE(CONTROL!$C$32, $C$9, 100%, $E$9)</f>
        <v>10.390599999999999</v>
      </c>
      <c r="M632" s="11">
        <f>10.3959 * CHOOSE(CONTROL!$C$32, $C$9, 100%, $E$9)</f>
        <v>10.395899999999999</v>
      </c>
      <c r="N632" s="11">
        <f>10.3906 * CHOOSE(CONTROL!$C$32, $C$9, 100%, $E$9)</f>
        <v>10.390599999999999</v>
      </c>
      <c r="O632" s="11">
        <f>10.3959 * CHOOSE(CONTROL!$C$32, $C$9, 100%, $E$9)</f>
        <v>10.395899999999999</v>
      </c>
    </row>
    <row r="633" spans="1:15" ht="15" x14ac:dyDescent="0.2">
      <c r="A633" s="13">
        <v>60115</v>
      </c>
      <c r="B633" s="9">
        <f>9.1296 * CHOOSE(CONTROL!$C$32, $C$9, 100%, $E$9)</f>
        <v>9.1295999999999999</v>
      </c>
      <c r="C633" s="9">
        <f>9.1296 * CHOOSE(CONTROL!$C$32, $C$9, 100%, $E$9)</f>
        <v>9.1295999999999999</v>
      </c>
      <c r="D633" s="9">
        <f>9.1312 * CHOOSE(CONTROL!$C$32, $C$9, 100%, $E$9)</f>
        <v>9.1311999999999998</v>
      </c>
      <c r="E633" s="11">
        <f>10.1606 * CHOOSE(CONTROL!$C$32, $C$9, 100%, $E$9)</f>
        <v>10.160600000000001</v>
      </c>
      <c r="F633" s="11">
        <f>10.1606 * CHOOSE(CONTROL!$C$32, $C$9, 100%, $E$9)</f>
        <v>10.160600000000001</v>
      </c>
      <c r="G633" s="11">
        <f>10.1659 * CHOOSE(CONTROL!$C$32, $C$9, 100%, $E$9)</f>
        <v>10.165900000000001</v>
      </c>
      <c r="H633" s="11">
        <f>20.0371 * CHOOSE(CONTROL!$C$32, $C$9, 100%, $E$9)</f>
        <v>20.037099999999999</v>
      </c>
      <c r="I633" s="11">
        <f>20.0424 * CHOOSE(CONTROL!$C$32, $C$9, 100%, $E$9)</f>
        <v>20.042400000000001</v>
      </c>
      <c r="J633" s="11">
        <f>20.0371 * CHOOSE(CONTROL!$C$32, $C$9, 100%, $E$9)</f>
        <v>20.037099999999999</v>
      </c>
      <c r="K633" s="11">
        <f>20.0424 * CHOOSE(CONTROL!$C$32, $C$9, 100%, $E$9)</f>
        <v>20.042400000000001</v>
      </c>
      <c r="L633" s="11">
        <f>10.1606 * CHOOSE(CONTROL!$C$32, $C$9, 100%, $E$9)</f>
        <v>10.160600000000001</v>
      </c>
      <c r="M633" s="11">
        <f>10.1659 * CHOOSE(CONTROL!$C$32, $C$9, 100%, $E$9)</f>
        <v>10.165900000000001</v>
      </c>
      <c r="N633" s="11">
        <f>10.1606 * CHOOSE(CONTROL!$C$32, $C$9, 100%, $E$9)</f>
        <v>10.160600000000001</v>
      </c>
      <c r="O633" s="11">
        <f>10.1659 * CHOOSE(CONTROL!$C$32, $C$9, 100%, $E$9)</f>
        <v>10.165900000000001</v>
      </c>
    </row>
    <row r="634" spans="1:15" ht="15" x14ac:dyDescent="0.2">
      <c r="A634" s="13">
        <v>60146</v>
      </c>
      <c r="B634" s="9">
        <f>9.1266 * CHOOSE(CONTROL!$C$32, $C$9, 100%, $E$9)</f>
        <v>9.1265999999999998</v>
      </c>
      <c r="C634" s="9">
        <f>9.1266 * CHOOSE(CONTROL!$C$32, $C$9, 100%, $E$9)</f>
        <v>9.1265999999999998</v>
      </c>
      <c r="D634" s="9">
        <f>9.1282 * CHOOSE(CONTROL!$C$32, $C$9, 100%, $E$9)</f>
        <v>9.1281999999999996</v>
      </c>
      <c r="E634" s="11">
        <f>10.1324 * CHOOSE(CONTROL!$C$32, $C$9, 100%, $E$9)</f>
        <v>10.132400000000001</v>
      </c>
      <c r="F634" s="11">
        <f>10.1324 * CHOOSE(CONTROL!$C$32, $C$9, 100%, $E$9)</f>
        <v>10.132400000000001</v>
      </c>
      <c r="G634" s="11">
        <f>10.1377 * CHOOSE(CONTROL!$C$32, $C$9, 100%, $E$9)</f>
        <v>10.137700000000001</v>
      </c>
      <c r="H634" s="11">
        <f>20.0788 * CHOOSE(CONTROL!$C$32, $C$9, 100%, $E$9)</f>
        <v>20.078800000000001</v>
      </c>
      <c r="I634" s="11">
        <f>20.0841 * CHOOSE(CONTROL!$C$32, $C$9, 100%, $E$9)</f>
        <v>20.084099999999999</v>
      </c>
      <c r="J634" s="11">
        <f>20.0788 * CHOOSE(CONTROL!$C$32, $C$9, 100%, $E$9)</f>
        <v>20.078800000000001</v>
      </c>
      <c r="K634" s="11">
        <f>20.0841 * CHOOSE(CONTROL!$C$32, $C$9, 100%, $E$9)</f>
        <v>20.084099999999999</v>
      </c>
      <c r="L634" s="11">
        <f>10.1324 * CHOOSE(CONTROL!$C$32, $C$9, 100%, $E$9)</f>
        <v>10.132400000000001</v>
      </c>
      <c r="M634" s="11">
        <f>10.1377 * CHOOSE(CONTROL!$C$32, $C$9, 100%, $E$9)</f>
        <v>10.137700000000001</v>
      </c>
      <c r="N634" s="11">
        <f>10.1324 * CHOOSE(CONTROL!$C$32, $C$9, 100%, $E$9)</f>
        <v>10.132400000000001</v>
      </c>
      <c r="O634" s="11">
        <f>10.1377 * CHOOSE(CONTROL!$C$32, $C$9, 100%, $E$9)</f>
        <v>10.137700000000001</v>
      </c>
    </row>
    <row r="635" spans="1:15" ht="15" x14ac:dyDescent="0.2">
      <c r="A635" s="13">
        <v>60176</v>
      </c>
      <c r="B635" s="9">
        <f>9.1408 * CHOOSE(CONTROL!$C$32, $C$9, 100%, $E$9)</f>
        <v>9.1408000000000005</v>
      </c>
      <c r="C635" s="9">
        <f>9.1408 * CHOOSE(CONTROL!$C$32, $C$9, 100%, $E$9)</f>
        <v>9.1408000000000005</v>
      </c>
      <c r="D635" s="9">
        <f>9.1418 * CHOOSE(CONTROL!$C$32, $C$9, 100%, $E$9)</f>
        <v>9.1417999999999999</v>
      </c>
      <c r="E635" s="11">
        <f>10.2233 * CHOOSE(CONTROL!$C$32, $C$9, 100%, $E$9)</f>
        <v>10.2233</v>
      </c>
      <c r="F635" s="11">
        <f>10.2233 * CHOOSE(CONTROL!$C$32, $C$9, 100%, $E$9)</f>
        <v>10.2233</v>
      </c>
      <c r="G635" s="11">
        <f>10.2269 * CHOOSE(CONTROL!$C$32, $C$9, 100%, $E$9)</f>
        <v>10.226900000000001</v>
      </c>
      <c r="H635" s="11">
        <f>20.1207 * CHOOSE(CONTROL!$C$32, $C$9, 100%, $E$9)</f>
        <v>20.120699999999999</v>
      </c>
      <c r="I635" s="11">
        <f>20.1243 * CHOOSE(CONTROL!$C$32, $C$9, 100%, $E$9)</f>
        <v>20.124300000000002</v>
      </c>
      <c r="J635" s="11">
        <f>20.1207 * CHOOSE(CONTROL!$C$32, $C$9, 100%, $E$9)</f>
        <v>20.120699999999999</v>
      </c>
      <c r="K635" s="11">
        <f>20.1243 * CHOOSE(CONTROL!$C$32, $C$9, 100%, $E$9)</f>
        <v>20.124300000000002</v>
      </c>
      <c r="L635" s="11">
        <f>10.2233 * CHOOSE(CONTROL!$C$32, $C$9, 100%, $E$9)</f>
        <v>10.2233</v>
      </c>
      <c r="M635" s="11">
        <f>10.2269 * CHOOSE(CONTROL!$C$32, $C$9, 100%, $E$9)</f>
        <v>10.226900000000001</v>
      </c>
      <c r="N635" s="11">
        <f>10.2233 * CHOOSE(CONTROL!$C$32, $C$9, 100%, $E$9)</f>
        <v>10.2233</v>
      </c>
      <c r="O635" s="11">
        <f>10.2269 * CHOOSE(CONTROL!$C$32, $C$9, 100%, $E$9)</f>
        <v>10.226900000000001</v>
      </c>
    </row>
    <row r="636" spans="1:15" ht="15" x14ac:dyDescent="0.2">
      <c r="A636" s="13">
        <v>60207</v>
      </c>
      <c r="B636" s="9">
        <f>9.1438 * CHOOSE(CONTROL!$C$32, $C$9, 100%, $E$9)</f>
        <v>9.1438000000000006</v>
      </c>
      <c r="C636" s="9">
        <f>9.1438 * CHOOSE(CONTROL!$C$32, $C$9, 100%, $E$9)</f>
        <v>9.1438000000000006</v>
      </c>
      <c r="D636" s="9">
        <f>9.1449 * CHOOSE(CONTROL!$C$32, $C$9, 100%, $E$9)</f>
        <v>9.1448999999999998</v>
      </c>
      <c r="E636" s="11">
        <f>10.2775 * CHOOSE(CONTROL!$C$32, $C$9, 100%, $E$9)</f>
        <v>10.2775</v>
      </c>
      <c r="F636" s="11">
        <f>10.2775 * CHOOSE(CONTROL!$C$32, $C$9, 100%, $E$9)</f>
        <v>10.2775</v>
      </c>
      <c r="G636" s="11">
        <f>10.2811 * CHOOSE(CONTROL!$C$32, $C$9, 100%, $E$9)</f>
        <v>10.2811</v>
      </c>
      <c r="H636" s="11">
        <f>20.1626 * CHOOSE(CONTROL!$C$32, $C$9, 100%, $E$9)</f>
        <v>20.162600000000001</v>
      </c>
      <c r="I636" s="11">
        <f>20.1662 * CHOOSE(CONTROL!$C$32, $C$9, 100%, $E$9)</f>
        <v>20.1662</v>
      </c>
      <c r="J636" s="11">
        <f>20.1626 * CHOOSE(CONTROL!$C$32, $C$9, 100%, $E$9)</f>
        <v>20.162600000000001</v>
      </c>
      <c r="K636" s="11">
        <f>20.1662 * CHOOSE(CONTROL!$C$32, $C$9, 100%, $E$9)</f>
        <v>20.1662</v>
      </c>
      <c r="L636" s="11">
        <f>10.2775 * CHOOSE(CONTROL!$C$32, $C$9, 100%, $E$9)</f>
        <v>10.2775</v>
      </c>
      <c r="M636" s="11">
        <f>10.2811 * CHOOSE(CONTROL!$C$32, $C$9, 100%, $E$9)</f>
        <v>10.2811</v>
      </c>
      <c r="N636" s="11">
        <f>10.2775 * CHOOSE(CONTROL!$C$32, $C$9, 100%, $E$9)</f>
        <v>10.2775</v>
      </c>
      <c r="O636" s="11">
        <f>10.2811 * CHOOSE(CONTROL!$C$32, $C$9, 100%, $E$9)</f>
        <v>10.2811</v>
      </c>
    </row>
    <row r="637" spans="1:15" ht="15" x14ac:dyDescent="0.2">
      <c r="A637" s="13">
        <v>60237</v>
      </c>
      <c r="B637" s="9">
        <f>9.1438 * CHOOSE(CONTROL!$C$32, $C$9, 100%, $E$9)</f>
        <v>9.1438000000000006</v>
      </c>
      <c r="C637" s="9">
        <f>9.1438 * CHOOSE(CONTROL!$C$32, $C$9, 100%, $E$9)</f>
        <v>9.1438000000000006</v>
      </c>
      <c r="D637" s="9">
        <f>9.1449 * CHOOSE(CONTROL!$C$32, $C$9, 100%, $E$9)</f>
        <v>9.1448999999999998</v>
      </c>
      <c r="E637" s="11">
        <f>10.1471 * CHOOSE(CONTROL!$C$32, $C$9, 100%, $E$9)</f>
        <v>10.1471</v>
      </c>
      <c r="F637" s="11">
        <f>10.1471 * CHOOSE(CONTROL!$C$32, $C$9, 100%, $E$9)</f>
        <v>10.1471</v>
      </c>
      <c r="G637" s="11">
        <f>10.1508 * CHOOSE(CONTROL!$C$32, $C$9, 100%, $E$9)</f>
        <v>10.1508</v>
      </c>
      <c r="H637" s="11">
        <f>20.2046 * CHOOSE(CONTROL!$C$32, $C$9, 100%, $E$9)</f>
        <v>20.204599999999999</v>
      </c>
      <c r="I637" s="11">
        <f>20.2082 * CHOOSE(CONTROL!$C$32, $C$9, 100%, $E$9)</f>
        <v>20.208200000000001</v>
      </c>
      <c r="J637" s="11">
        <f>20.2046 * CHOOSE(CONTROL!$C$32, $C$9, 100%, $E$9)</f>
        <v>20.204599999999999</v>
      </c>
      <c r="K637" s="11">
        <f>20.2082 * CHOOSE(CONTROL!$C$32, $C$9, 100%, $E$9)</f>
        <v>20.208200000000001</v>
      </c>
      <c r="L637" s="11">
        <f>10.1471 * CHOOSE(CONTROL!$C$32, $C$9, 100%, $E$9)</f>
        <v>10.1471</v>
      </c>
      <c r="M637" s="11">
        <f>10.1508 * CHOOSE(CONTROL!$C$32, $C$9, 100%, $E$9)</f>
        <v>10.1508</v>
      </c>
      <c r="N637" s="11">
        <f>10.1471 * CHOOSE(CONTROL!$C$32, $C$9, 100%, $E$9)</f>
        <v>10.1471</v>
      </c>
      <c r="O637" s="11">
        <f>10.1508 * CHOOSE(CONTROL!$C$32, $C$9, 100%, $E$9)</f>
        <v>10.1508</v>
      </c>
    </row>
    <row r="638" spans="1:15" ht="15" x14ac:dyDescent="0.2">
      <c r="A638" s="13">
        <v>60268</v>
      </c>
      <c r="B638" s="9">
        <f>9.1943 * CHOOSE(CONTROL!$C$32, $C$9, 100%, $E$9)</f>
        <v>9.1943000000000001</v>
      </c>
      <c r="C638" s="9">
        <f>9.1943 * CHOOSE(CONTROL!$C$32, $C$9, 100%, $E$9)</f>
        <v>9.1943000000000001</v>
      </c>
      <c r="D638" s="9">
        <f>9.1954 * CHOOSE(CONTROL!$C$32, $C$9, 100%, $E$9)</f>
        <v>9.1953999999999994</v>
      </c>
      <c r="E638" s="11">
        <f>10.308 * CHOOSE(CONTROL!$C$32, $C$9, 100%, $E$9)</f>
        <v>10.308</v>
      </c>
      <c r="F638" s="11">
        <f>10.308 * CHOOSE(CONTROL!$C$32, $C$9, 100%, $E$9)</f>
        <v>10.308</v>
      </c>
      <c r="G638" s="11">
        <f>10.3116 * CHOOSE(CONTROL!$C$32, $C$9, 100%, $E$9)</f>
        <v>10.3116</v>
      </c>
      <c r="H638" s="11">
        <f>20.2008 * CHOOSE(CONTROL!$C$32, $C$9, 100%, $E$9)</f>
        <v>20.200800000000001</v>
      </c>
      <c r="I638" s="11">
        <f>20.2044 * CHOOSE(CONTROL!$C$32, $C$9, 100%, $E$9)</f>
        <v>20.2044</v>
      </c>
      <c r="J638" s="11">
        <f>20.2008 * CHOOSE(CONTROL!$C$32, $C$9, 100%, $E$9)</f>
        <v>20.200800000000001</v>
      </c>
      <c r="K638" s="11">
        <f>20.2044 * CHOOSE(CONTROL!$C$32, $C$9, 100%, $E$9)</f>
        <v>20.2044</v>
      </c>
      <c r="L638" s="11">
        <f>10.308 * CHOOSE(CONTROL!$C$32, $C$9, 100%, $E$9)</f>
        <v>10.308</v>
      </c>
      <c r="M638" s="11">
        <f>10.3116 * CHOOSE(CONTROL!$C$32, $C$9, 100%, $E$9)</f>
        <v>10.3116</v>
      </c>
      <c r="N638" s="11">
        <f>10.308 * CHOOSE(CONTROL!$C$32, $C$9, 100%, $E$9)</f>
        <v>10.308</v>
      </c>
      <c r="O638" s="11">
        <f>10.3116 * CHOOSE(CONTROL!$C$32, $C$9, 100%, $E$9)</f>
        <v>10.3116</v>
      </c>
    </row>
    <row r="639" spans="1:15" ht="15" x14ac:dyDescent="0.2">
      <c r="A639" s="13">
        <v>60299</v>
      </c>
      <c r="B639" s="9">
        <f>9.1912 * CHOOSE(CONTROL!$C$32, $C$9, 100%, $E$9)</f>
        <v>9.1912000000000003</v>
      </c>
      <c r="C639" s="9">
        <f>9.1912 * CHOOSE(CONTROL!$C$32, $C$9, 100%, $E$9)</f>
        <v>9.1912000000000003</v>
      </c>
      <c r="D639" s="9">
        <f>9.1923 * CHOOSE(CONTROL!$C$32, $C$9, 100%, $E$9)</f>
        <v>9.1922999999999995</v>
      </c>
      <c r="E639" s="11">
        <f>10.0524 * CHOOSE(CONTROL!$C$32, $C$9, 100%, $E$9)</f>
        <v>10.0524</v>
      </c>
      <c r="F639" s="11">
        <f>10.0524 * CHOOSE(CONTROL!$C$32, $C$9, 100%, $E$9)</f>
        <v>10.0524</v>
      </c>
      <c r="G639" s="11">
        <f>10.056 * CHOOSE(CONTROL!$C$32, $C$9, 100%, $E$9)</f>
        <v>10.055999999999999</v>
      </c>
      <c r="H639" s="11">
        <f>20.2429 * CHOOSE(CONTROL!$C$32, $C$9, 100%, $E$9)</f>
        <v>20.242899999999999</v>
      </c>
      <c r="I639" s="11">
        <f>20.2465 * CHOOSE(CONTROL!$C$32, $C$9, 100%, $E$9)</f>
        <v>20.246500000000001</v>
      </c>
      <c r="J639" s="11">
        <f>20.2429 * CHOOSE(CONTROL!$C$32, $C$9, 100%, $E$9)</f>
        <v>20.242899999999999</v>
      </c>
      <c r="K639" s="11">
        <f>20.2465 * CHOOSE(CONTROL!$C$32, $C$9, 100%, $E$9)</f>
        <v>20.246500000000001</v>
      </c>
      <c r="L639" s="11">
        <f>10.0524 * CHOOSE(CONTROL!$C$32, $C$9, 100%, $E$9)</f>
        <v>10.0524</v>
      </c>
      <c r="M639" s="11">
        <f>10.056 * CHOOSE(CONTROL!$C$32, $C$9, 100%, $E$9)</f>
        <v>10.055999999999999</v>
      </c>
      <c r="N639" s="11">
        <f>10.0524 * CHOOSE(CONTROL!$C$32, $C$9, 100%, $E$9)</f>
        <v>10.0524</v>
      </c>
      <c r="O639" s="11">
        <f>10.056 * CHOOSE(CONTROL!$C$32, $C$9, 100%, $E$9)</f>
        <v>10.055999999999999</v>
      </c>
    </row>
    <row r="640" spans="1:15" ht="15" x14ac:dyDescent="0.2">
      <c r="A640" s="13">
        <v>60327</v>
      </c>
      <c r="B640" s="9">
        <f>9.1882 * CHOOSE(CONTROL!$C$32, $C$9, 100%, $E$9)</f>
        <v>9.1882000000000001</v>
      </c>
      <c r="C640" s="9">
        <f>9.1882 * CHOOSE(CONTROL!$C$32, $C$9, 100%, $E$9)</f>
        <v>9.1882000000000001</v>
      </c>
      <c r="D640" s="9">
        <f>9.1893 * CHOOSE(CONTROL!$C$32, $C$9, 100%, $E$9)</f>
        <v>9.1892999999999994</v>
      </c>
      <c r="E640" s="11">
        <f>10.2501 * CHOOSE(CONTROL!$C$32, $C$9, 100%, $E$9)</f>
        <v>10.2501</v>
      </c>
      <c r="F640" s="11">
        <f>10.2501 * CHOOSE(CONTROL!$C$32, $C$9, 100%, $E$9)</f>
        <v>10.2501</v>
      </c>
      <c r="G640" s="11">
        <f>10.2537 * CHOOSE(CONTROL!$C$32, $C$9, 100%, $E$9)</f>
        <v>10.2537</v>
      </c>
      <c r="H640" s="11">
        <f>20.2851 * CHOOSE(CONTROL!$C$32, $C$9, 100%, $E$9)</f>
        <v>20.2851</v>
      </c>
      <c r="I640" s="11">
        <f>20.2887 * CHOOSE(CONTROL!$C$32, $C$9, 100%, $E$9)</f>
        <v>20.288699999999999</v>
      </c>
      <c r="J640" s="11">
        <f>20.2851 * CHOOSE(CONTROL!$C$32, $C$9, 100%, $E$9)</f>
        <v>20.2851</v>
      </c>
      <c r="K640" s="11">
        <f>20.2887 * CHOOSE(CONTROL!$C$32, $C$9, 100%, $E$9)</f>
        <v>20.288699999999999</v>
      </c>
      <c r="L640" s="11">
        <f>10.2501 * CHOOSE(CONTROL!$C$32, $C$9, 100%, $E$9)</f>
        <v>10.2501</v>
      </c>
      <c r="M640" s="11">
        <f>10.2537 * CHOOSE(CONTROL!$C$32, $C$9, 100%, $E$9)</f>
        <v>10.2537</v>
      </c>
      <c r="N640" s="11">
        <f>10.2501 * CHOOSE(CONTROL!$C$32, $C$9, 100%, $E$9)</f>
        <v>10.2501</v>
      </c>
      <c r="O640" s="11">
        <f>10.2537 * CHOOSE(CONTROL!$C$32, $C$9, 100%, $E$9)</f>
        <v>10.2537</v>
      </c>
    </row>
    <row r="641" spans="1:15" ht="15" x14ac:dyDescent="0.2">
      <c r="A641" s="13">
        <v>60358</v>
      </c>
      <c r="B641" s="9">
        <f>9.1909 * CHOOSE(CONTROL!$C$32, $C$9, 100%, $E$9)</f>
        <v>9.1908999999999992</v>
      </c>
      <c r="C641" s="9">
        <f>9.1909 * CHOOSE(CONTROL!$C$32, $C$9, 100%, $E$9)</f>
        <v>9.1908999999999992</v>
      </c>
      <c r="D641" s="9">
        <f>9.192 * CHOOSE(CONTROL!$C$32, $C$9, 100%, $E$9)</f>
        <v>9.1920000000000002</v>
      </c>
      <c r="E641" s="11">
        <f>10.4605 * CHOOSE(CONTROL!$C$32, $C$9, 100%, $E$9)</f>
        <v>10.4605</v>
      </c>
      <c r="F641" s="11">
        <f>10.4605 * CHOOSE(CONTROL!$C$32, $C$9, 100%, $E$9)</f>
        <v>10.4605</v>
      </c>
      <c r="G641" s="11">
        <f>10.4641 * CHOOSE(CONTROL!$C$32, $C$9, 100%, $E$9)</f>
        <v>10.4641</v>
      </c>
      <c r="H641" s="11">
        <f>20.3273 * CHOOSE(CONTROL!$C$32, $C$9, 100%, $E$9)</f>
        <v>20.327300000000001</v>
      </c>
      <c r="I641" s="11">
        <f>20.3309 * CHOOSE(CONTROL!$C$32, $C$9, 100%, $E$9)</f>
        <v>20.3309</v>
      </c>
      <c r="J641" s="11">
        <f>20.3273 * CHOOSE(CONTROL!$C$32, $C$9, 100%, $E$9)</f>
        <v>20.327300000000001</v>
      </c>
      <c r="K641" s="11">
        <f>20.3309 * CHOOSE(CONTROL!$C$32, $C$9, 100%, $E$9)</f>
        <v>20.3309</v>
      </c>
      <c r="L641" s="11">
        <f>10.4605 * CHOOSE(CONTROL!$C$32, $C$9, 100%, $E$9)</f>
        <v>10.4605</v>
      </c>
      <c r="M641" s="11">
        <f>10.4641 * CHOOSE(CONTROL!$C$32, $C$9, 100%, $E$9)</f>
        <v>10.4641</v>
      </c>
      <c r="N641" s="11">
        <f>10.4605 * CHOOSE(CONTROL!$C$32, $C$9, 100%, $E$9)</f>
        <v>10.4605</v>
      </c>
      <c r="O641" s="11">
        <f>10.4641 * CHOOSE(CONTROL!$C$32, $C$9, 100%, $E$9)</f>
        <v>10.4641</v>
      </c>
    </row>
    <row r="642" spans="1:15" ht="15" x14ac:dyDescent="0.2">
      <c r="A642" s="13">
        <v>60388</v>
      </c>
      <c r="B642" s="9">
        <f>9.1909 * CHOOSE(CONTROL!$C$32, $C$9, 100%, $E$9)</f>
        <v>9.1908999999999992</v>
      </c>
      <c r="C642" s="9">
        <f>9.1909 * CHOOSE(CONTROL!$C$32, $C$9, 100%, $E$9)</f>
        <v>9.1908999999999992</v>
      </c>
      <c r="D642" s="9">
        <f>9.1925 * CHOOSE(CONTROL!$C$32, $C$9, 100%, $E$9)</f>
        <v>9.1925000000000008</v>
      </c>
      <c r="E642" s="11">
        <f>10.541 * CHOOSE(CONTROL!$C$32, $C$9, 100%, $E$9)</f>
        <v>10.541</v>
      </c>
      <c r="F642" s="11">
        <f>10.541 * CHOOSE(CONTROL!$C$32, $C$9, 100%, $E$9)</f>
        <v>10.541</v>
      </c>
      <c r="G642" s="11">
        <f>10.5462 * CHOOSE(CONTROL!$C$32, $C$9, 100%, $E$9)</f>
        <v>10.546200000000001</v>
      </c>
      <c r="H642" s="11">
        <f>20.3697 * CHOOSE(CONTROL!$C$32, $C$9, 100%, $E$9)</f>
        <v>20.369700000000002</v>
      </c>
      <c r="I642" s="11">
        <f>20.375 * CHOOSE(CONTROL!$C$32, $C$9, 100%, $E$9)</f>
        <v>20.375</v>
      </c>
      <c r="J642" s="11">
        <f>20.3697 * CHOOSE(CONTROL!$C$32, $C$9, 100%, $E$9)</f>
        <v>20.369700000000002</v>
      </c>
      <c r="K642" s="11">
        <f>20.375 * CHOOSE(CONTROL!$C$32, $C$9, 100%, $E$9)</f>
        <v>20.375</v>
      </c>
      <c r="L642" s="11">
        <f>10.541 * CHOOSE(CONTROL!$C$32, $C$9, 100%, $E$9)</f>
        <v>10.541</v>
      </c>
      <c r="M642" s="11">
        <f>10.5462 * CHOOSE(CONTROL!$C$32, $C$9, 100%, $E$9)</f>
        <v>10.546200000000001</v>
      </c>
      <c r="N642" s="11">
        <f>10.541 * CHOOSE(CONTROL!$C$32, $C$9, 100%, $E$9)</f>
        <v>10.541</v>
      </c>
      <c r="O642" s="11">
        <f>10.5462 * CHOOSE(CONTROL!$C$32, $C$9, 100%, $E$9)</f>
        <v>10.546200000000001</v>
      </c>
    </row>
    <row r="643" spans="1:15" ht="15" x14ac:dyDescent="0.2">
      <c r="A643" s="13">
        <v>60419</v>
      </c>
      <c r="B643" s="9">
        <f>9.197 * CHOOSE(CONTROL!$C$32, $C$9, 100%, $E$9)</f>
        <v>9.1969999999999992</v>
      </c>
      <c r="C643" s="9">
        <f>9.197 * CHOOSE(CONTROL!$C$32, $C$9, 100%, $E$9)</f>
        <v>9.1969999999999992</v>
      </c>
      <c r="D643" s="9">
        <f>9.1985 * CHOOSE(CONTROL!$C$32, $C$9, 100%, $E$9)</f>
        <v>9.1984999999999992</v>
      </c>
      <c r="E643" s="11">
        <f>10.4647 * CHOOSE(CONTROL!$C$32, $C$9, 100%, $E$9)</f>
        <v>10.464700000000001</v>
      </c>
      <c r="F643" s="11">
        <f>10.4647 * CHOOSE(CONTROL!$C$32, $C$9, 100%, $E$9)</f>
        <v>10.464700000000001</v>
      </c>
      <c r="G643" s="11">
        <f>10.47 * CHOOSE(CONTROL!$C$32, $C$9, 100%, $E$9)</f>
        <v>10.47</v>
      </c>
      <c r="H643" s="11">
        <f>20.4121 * CHOOSE(CONTROL!$C$32, $C$9, 100%, $E$9)</f>
        <v>20.412099999999999</v>
      </c>
      <c r="I643" s="11">
        <f>20.4174 * CHOOSE(CONTROL!$C$32, $C$9, 100%, $E$9)</f>
        <v>20.417400000000001</v>
      </c>
      <c r="J643" s="11">
        <f>20.4121 * CHOOSE(CONTROL!$C$32, $C$9, 100%, $E$9)</f>
        <v>20.412099999999999</v>
      </c>
      <c r="K643" s="11">
        <f>20.4174 * CHOOSE(CONTROL!$C$32, $C$9, 100%, $E$9)</f>
        <v>20.417400000000001</v>
      </c>
      <c r="L643" s="11">
        <f>10.4647 * CHOOSE(CONTROL!$C$32, $C$9, 100%, $E$9)</f>
        <v>10.464700000000001</v>
      </c>
      <c r="M643" s="11">
        <f>10.47 * CHOOSE(CONTROL!$C$32, $C$9, 100%, $E$9)</f>
        <v>10.47</v>
      </c>
      <c r="N643" s="11">
        <f>10.4647 * CHOOSE(CONTROL!$C$32, $C$9, 100%, $E$9)</f>
        <v>10.464700000000001</v>
      </c>
      <c r="O643" s="11">
        <f>10.47 * CHOOSE(CONTROL!$C$32, $C$9, 100%, $E$9)</f>
        <v>10.47</v>
      </c>
    </row>
    <row r="644" spans="1:15" ht="15" x14ac:dyDescent="0.2">
      <c r="A644" s="13">
        <v>60449</v>
      </c>
      <c r="B644" s="9">
        <f>9.3125 * CHOOSE(CONTROL!$C$32, $C$9, 100%, $E$9)</f>
        <v>9.3125</v>
      </c>
      <c r="C644" s="9">
        <f>9.3125 * CHOOSE(CONTROL!$C$32, $C$9, 100%, $E$9)</f>
        <v>9.3125</v>
      </c>
      <c r="D644" s="9">
        <f>9.3141 * CHOOSE(CONTROL!$C$32, $C$9, 100%, $E$9)</f>
        <v>9.3140999999999998</v>
      </c>
      <c r="E644" s="11">
        <f>10.6108 * CHOOSE(CONTROL!$C$32, $C$9, 100%, $E$9)</f>
        <v>10.610799999999999</v>
      </c>
      <c r="F644" s="11">
        <f>10.6108 * CHOOSE(CONTROL!$C$32, $C$9, 100%, $E$9)</f>
        <v>10.610799999999999</v>
      </c>
      <c r="G644" s="11">
        <f>10.6161 * CHOOSE(CONTROL!$C$32, $C$9, 100%, $E$9)</f>
        <v>10.616099999999999</v>
      </c>
      <c r="H644" s="11">
        <f>20.4546 * CHOOSE(CONTROL!$C$32, $C$9, 100%, $E$9)</f>
        <v>20.454599999999999</v>
      </c>
      <c r="I644" s="11">
        <f>20.4599 * CHOOSE(CONTROL!$C$32, $C$9, 100%, $E$9)</f>
        <v>20.459900000000001</v>
      </c>
      <c r="J644" s="11">
        <f>20.4546 * CHOOSE(CONTROL!$C$32, $C$9, 100%, $E$9)</f>
        <v>20.454599999999999</v>
      </c>
      <c r="K644" s="11">
        <f>20.4599 * CHOOSE(CONTROL!$C$32, $C$9, 100%, $E$9)</f>
        <v>20.459900000000001</v>
      </c>
      <c r="L644" s="11">
        <f>10.6108 * CHOOSE(CONTROL!$C$32, $C$9, 100%, $E$9)</f>
        <v>10.610799999999999</v>
      </c>
      <c r="M644" s="11">
        <f>10.6161 * CHOOSE(CONTROL!$C$32, $C$9, 100%, $E$9)</f>
        <v>10.616099999999999</v>
      </c>
      <c r="N644" s="11">
        <f>10.6108 * CHOOSE(CONTROL!$C$32, $C$9, 100%, $E$9)</f>
        <v>10.610799999999999</v>
      </c>
      <c r="O644" s="11">
        <f>10.6161 * CHOOSE(CONTROL!$C$32, $C$9, 100%, $E$9)</f>
        <v>10.616099999999999</v>
      </c>
    </row>
    <row r="645" spans="1:15" ht="15" x14ac:dyDescent="0.2">
      <c r="A645" s="13">
        <v>60480</v>
      </c>
      <c r="B645" s="9">
        <f>9.3192 * CHOOSE(CONTROL!$C$32, $C$9, 100%, $E$9)</f>
        <v>9.3192000000000004</v>
      </c>
      <c r="C645" s="9">
        <f>9.3192 * CHOOSE(CONTROL!$C$32, $C$9, 100%, $E$9)</f>
        <v>9.3192000000000004</v>
      </c>
      <c r="D645" s="9">
        <f>9.3208 * CHOOSE(CONTROL!$C$32, $C$9, 100%, $E$9)</f>
        <v>9.3208000000000002</v>
      </c>
      <c r="E645" s="11">
        <f>10.374 * CHOOSE(CONTROL!$C$32, $C$9, 100%, $E$9)</f>
        <v>10.374000000000001</v>
      </c>
      <c r="F645" s="11">
        <f>10.374 * CHOOSE(CONTROL!$C$32, $C$9, 100%, $E$9)</f>
        <v>10.374000000000001</v>
      </c>
      <c r="G645" s="11">
        <f>10.3793 * CHOOSE(CONTROL!$C$32, $C$9, 100%, $E$9)</f>
        <v>10.379300000000001</v>
      </c>
      <c r="H645" s="11">
        <f>20.4972 * CHOOSE(CONTROL!$C$32, $C$9, 100%, $E$9)</f>
        <v>20.497199999999999</v>
      </c>
      <c r="I645" s="11">
        <f>20.5025 * CHOOSE(CONTROL!$C$32, $C$9, 100%, $E$9)</f>
        <v>20.502500000000001</v>
      </c>
      <c r="J645" s="11">
        <f>20.4972 * CHOOSE(CONTROL!$C$32, $C$9, 100%, $E$9)</f>
        <v>20.497199999999999</v>
      </c>
      <c r="K645" s="11">
        <f>20.5025 * CHOOSE(CONTROL!$C$32, $C$9, 100%, $E$9)</f>
        <v>20.502500000000001</v>
      </c>
      <c r="L645" s="11">
        <f>10.374 * CHOOSE(CONTROL!$C$32, $C$9, 100%, $E$9)</f>
        <v>10.374000000000001</v>
      </c>
      <c r="M645" s="11">
        <f>10.3793 * CHOOSE(CONTROL!$C$32, $C$9, 100%, $E$9)</f>
        <v>10.379300000000001</v>
      </c>
      <c r="N645" s="11">
        <f>10.374 * CHOOSE(CONTROL!$C$32, $C$9, 100%, $E$9)</f>
        <v>10.374000000000001</v>
      </c>
      <c r="O645" s="11">
        <f>10.3793 * CHOOSE(CONTROL!$C$32, $C$9, 100%, $E$9)</f>
        <v>10.379300000000001</v>
      </c>
    </row>
    <row r="646" spans="1:15" ht="15" x14ac:dyDescent="0.2">
      <c r="A646" s="13">
        <v>60511</v>
      </c>
      <c r="B646" s="9">
        <f>9.3162 * CHOOSE(CONTROL!$C$32, $C$9, 100%, $E$9)</f>
        <v>9.3162000000000003</v>
      </c>
      <c r="C646" s="9">
        <f>9.3162 * CHOOSE(CONTROL!$C$32, $C$9, 100%, $E$9)</f>
        <v>9.3162000000000003</v>
      </c>
      <c r="D646" s="9">
        <f>9.3178 * CHOOSE(CONTROL!$C$32, $C$9, 100%, $E$9)</f>
        <v>9.3178000000000001</v>
      </c>
      <c r="E646" s="11">
        <f>10.345 * CHOOSE(CONTROL!$C$32, $C$9, 100%, $E$9)</f>
        <v>10.345000000000001</v>
      </c>
      <c r="F646" s="11">
        <f>10.345 * CHOOSE(CONTROL!$C$32, $C$9, 100%, $E$9)</f>
        <v>10.345000000000001</v>
      </c>
      <c r="G646" s="11">
        <f>10.3503 * CHOOSE(CONTROL!$C$32, $C$9, 100%, $E$9)</f>
        <v>10.350300000000001</v>
      </c>
      <c r="H646" s="11">
        <f>20.5399 * CHOOSE(CONTROL!$C$32, $C$9, 100%, $E$9)</f>
        <v>20.539899999999999</v>
      </c>
      <c r="I646" s="11">
        <f>20.5452 * CHOOSE(CONTROL!$C$32, $C$9, 100%, $E$9)</f>
        <v>20.545200000000001</v>
      </c>
      <c r="J646" s="11">
        <f>20.5399 * CHOOSE(CONTROL!$C$32, $C$9, 100%, $E$9)</f>
        <v>20.539899999999999</v>
      </c>
      <c r="K646" s="11">
        <f>20.5452 * CHOOSE(CONTROL!$C$32, $C$9, 100%, $E$9)</f>
        <v>20.545200000000001</v>
      </c>
      <c r="L646" s="11">
        <f>10.345 * CHOOSE(CONTROL!$C$32, $C$9, 100%, $E$9)</f>
        <v>10.345000000000001</v>
      </c>
      <c r="M646" s="11">
        <f>10.3503 * CHOOSE(CONTROL!$C$32, $C$9, 100%, $E$9)</f>
        <v>10.350300000000001</v>
      </c>
      <c r="N646" s="11">
        <f>10.345 * CHOOSE(CONTROL!$C$32, $C$9, 100%, $E$9)</f>
        <v>10.345000000000001</v>
      </c>
      <c r="O646" s="11">
        <f>10.3503 * CHOOSE(CONTROL!$C$32, $C$9, 100%, $E$9)</f>
        <v>10.350300000000001</v>
      </c>
    </row>
    <row r="647" spans="1:15" ht="15" x14ac:dyDescent="0.2">
      <c r="A647" s="13">
        <v>60541</v>
      </c>
      <c r="B647" s="9">
        <f>9.3311 * CHOOSE(CONTROL!$C$32, $C$9, 100%, $E$9)</f>
        <v>9.3310999999999993</v>
      </c>
      <c r="C647" s="9">
        <f>9.3311 * CHOOSE(CONTROL!$C$32, $C$9, 100%, $E$9)</f>
        <v>9.3310999999999993</v>
      </c>
      <c r="D647" s="9">
        <f>9.3321 * CHOOSE(CONTROL!$C$32, $C$9, 100%, $E$9)</f>
        <v>9.3321000000000005</v>
      </c>
      <c r="E647" s="11">
        <f>10.4389 * CHOOSE(CONTROL!$C$32, $C$9, 100%, $E$9)</f>
        <v>10.4389</v>
      </c>
      <c r="F647" s="11">
        <f>10.4389 * CHOOSE(CONTROL!$C$32, $C$9, 100%, $E$9)</f>
        <v>10.4389</v>
      </c>
      <c r="G647" s="11">
        <f>10.4426 * CHOOSE(CONTROL!$C$32, $C$9, 100%, $E$9)</f>
        <v>10.442600000000001</v>
      </c>
      <c r="H647" s="11">
        <f>20.5827 * CHOOSE(CONTROL!$C$32, $C$9, 100%, $E$9)</f>
        <v>20.582699999999999</v>
      </c>
      <c r="I647" s="11">
        <f>20.5864 * CHOOSE(CONTROL!$C$32, $C$9, 100%, $E$9)</f>
        <v>20.586400000000001</v>
      </c>
      <c r="J647" s="11">
        <f>20.5827 * CHOOSE(CONTROL!$C$32, $C$9, 100%, $E$9)</f>
        <v>20.582699999999999</v>
      </c>
      <c r="K647" s="11">
        <f>20.5864 * CHOOSE(CONTROL!$C$32, $C$9, 100%, $E$9)</f>
        <v>20.586400000000001</v>
      </c>
      <c r="L647" s="11">
        <f>10.4389 * CHOOSE(CONTROL!$C$32, $C$9, 100%, $E$9)</f>
        <v>10.4389</v>
      </c>
      <c r="M647" s="11">
        <f>10.4426 * CHOOSE(CONTROL!$C$32, $C$9, 100%, $E$9)</f>
        <v>10.442600000000001</v>
      </c>
      <c r="N647" s="11">
        <f>10.4389 * CHOOSE(CONTROL!$C$32, $C$9, 100%, $E$9)</f>
        <v>10.4389</v>
      </c>
      <c r="O647" s="11">
        <f>10.4426 * CHOOSE(CONTROL!$C$32, $C$9, 100%, $E$9)</f>
        <v>10.442600000000001</v>
      </c>
    </row>
    <row r="648" spans="1:15" ht="15" x14ac:dyDescent="0.2">
      <c r="A648" s="13">
        <v>60572</v>
      </c>
      <c r="B648" s="9">
        <f>9.3341 * CHOOSE(CONTROL!$C$32, $C$9, 100%, $E$9)</f>
        <v>9.3340999999999994</v>
      </c>
      <c r="C648" s="9">
        <f>9.3341 * CHOOSE(CONTROL!$C$32, $C$9, 100%, $E$9)</f>
        <v>9.3340999999999994</v>
      </c>
      <c r="D648" s="9">
        <f>9.3352 * CHOOSE(CONTROL!$C$32, $C$9, 100%, $E$9)</f>
        <v>9.3352000000000004</v>
      </c>
      <c r="E648" s="11">
        <f>10.4947 * CHOOSE(CONTROL!$C$32, $C$9, 100%, $E$9)</f>
        <v>10.4947</v>
      </c>
      <c r="F648" s="11">
        <f>10.4947 * CHOOSE(CONTROL!$C$32, $C$9, 100%, $E$9)</f>
        <v>10.4947</v>
      </c>
      <c r="G648" s="11">
        <f>10.4983 * CHOOSE(CONTROL!$C$32, $C$9, 100%, $E$9)</f>
        <v>10.4983</v>
      </c>
      <c r="H648" s="11">
        <f>20.6256 * CHOOSE(CONTROL!$C$32, $C$9, 100%, $E$9)</f>
        <v>20.625599999999999</v>
      </c>
      <c r="I648" s="11">
        <f>20.6292 * CHOOSE(CONTROL!$C$32, $C$9, 100%, $E$9)</f>
        <v>20.629200000000001</v>
      </c>
      <c r="J648" s="11">
        <f>20.6256 * CHOOSE(CONTROL!$C$32, $C$9, 100%, $E$9)</f>
        <v>20.625599999999999</v>
      </c>
      <c r="K648" s="11">
        <f>20.6292 * CHOOSE(CONTROL!$C$32, $C$9, 100%, $E$9)</f>
        <v>20.629200000000001</v>
      </c>
      <c r="L648" s="11">
        <f>10.4947 * CHOOSE(CONTROL!$C$32, $C$9, 100%, $E$9)</f>
        <v>10.4947</v>
      </c>
      <c r="M648" s="11">
        <f>10.4983 * CHOOSE(CONTROL!$C$32, $C$9, 100%, $E$9)</f>
        <v>10.4983</v>
      </c>
      <c r="N648" s="11">
        <f>10.4947 * CHOOSE(CONTROL!$C$32, $C$9, 100%, $E$9)</f>
        <v>10.4947</v>
      </c>
      <c r="O648" s="11">
        <f>10.4983 * CHOOSE(CONTROL!$C$32, $C$9, 100%, $E$9)</f>
        <v>10.4983</v>
      </c>
    </row>
    <row r="649" spans="1:15" ht="15" x14ac:dyDescent="0.2">
      <c r="A649" s="13">
        <v>60602</v>
      </c>
      <c r="B649" s="9">
        <f>9.3341 * CHOOSE(CONTROL!$C$32, $C$9, 100%, $E$9)</f>
        <v>9.3340999999999994</v>
      </c>
      <c r="C649" s="9">
        <f>9.3341 * CHOOSE(CONTROL!$C$32, $C$9, 100%, $E$9)</f>
        <v>9.3340999999999994</v>
      </c>
      <c r="D649" s="9">
        <f>9.3352 * CHOOSE(CONTROL!$C$32, $C$9, 100%, $E$9)</f>
        <v>9.3352000000000004</v>
      </c>
      <c r="E649" s="11">
        <f>10.3606 * CHOOSE(CONTROL!$C$32, $C$9, 100%, $E$9)</f>
        <v>10.3606</v>
      </c>
      <c r="F649" s="11">
        <f>10.3606 * CHOOSE(CONTROL!$C$32, $C$9, 100%, $E$9)</f>
        <v>10.3606</v>
      </c>
      <c r="G649" s="11">
        <f>10.3642 * CHOOSE(CONTROL!$C$32, $C$9, 100%, $E$9)</f>
        <v>10.3642</v>
      </c>
      <c r="H649" s="11">
        <f>20.6686 * CHOOSE(CONTROL!$C$32, $C$9, 100%, $E$9)</f>
        <v>20.668600000000001</v>
      </c>
      <c r="I649" s="11">
        <f>20.6722 * CHOOSE(CONTROL!$C$32, $C$9, 100%, $E$9)</f>
        <v>20.6722</v>
      </c>
      <c r="J649" s="11">
        <f>20.6686 * CHOOSE(CONTROL!$C$32, $C$9, 100%, $E$9)</f>
        <v>20.668600000000001</v>
      </c>
      <c r="K649" s="11">
        <f>20.6722 * CHOOSE(CONTROL!$C$32, $C$9, 100%, $E$9)</f>
        <v>20.6722</v>
      </c>
      <c r="L649" s="11">
        <f>10.3606 * CHOOSE(CONTROL!$C$32, $C$9, 100%, $E$9)</f>
        <v>10.3606</v>
      </c>
      <c r="M649" s="11">
        <f>10.3642 * CHOOSE(CONTROL!$C$32, $C$9, 100%, $E$9)</f>
        <v>10.3642</v>
      </c>
      <c r="N649" s="11">
        <f>10.3606 * CHOOSE(CONTROL!$C$32, $C$9, 100%, $E$9)</f>
        <v>10.3606</v>
      </c>
      <c r="O649" s="11">
        <f>10.3642 * CHOOSE(CONTROL!$C$32, $C$9, 100%, $E$9)</f>
        <v>10.3642</v>
      </c>
    </row>
    <row r="650" spans="1:15" ht="15" x14ac:dyDescent="0.2">
      <c r="A650" s="13">
        <v>60633</v>
      </c>
      <c r="B650" s="9">
        <f>9.3816 * CHOOSE(CONTROL!$C$32, $C$9, 100%, $E$9)</f>
        <v>9.3816000000000006</v>
      </c>
      <c r="C650" s="9">
        <f>9.3816 * CHOOSE(CONTROL!$C$32, $C$9, 100%, $E$9)</f>
        <v>9.3816000000000006</v>
      </c>
      <c r="D650" s="9">
        <f>9.3827 * CHOOSE(CONTROL!$C$32, $C$9, 100%, $E$9)</f>
        <v>9.3826999999999998</v>
      </c>
      <c r="E650" s="11">
        <f>10.5205 * CHOOSE(CONTROL!$C$32, $C$9, 100%, $E$9)</f>
        <v>10.5205</v>
      </c>
      <c r="F650" s="11">
        <f>10.5205 * CHOOSE(CONTROL!$C$32, $C$9, 100%, $E$9)</f>
        <v>10.5205</v>
      </c>
      <c r="G650" s="11">
        <f>10.5241 * CHOOSE(CONTROL!$C$32, $C$9, 100%, $E$9)</f>
        <v>10.524100000000001</v>
      </c>
      <c r="H650" s="11">
        <f>20.6543 * CHOOSE(CONTROL!$C$32, $C$9, 100%, $E$9)</f>
        <v>20.654299999999999</v>
      </c>
      <c r="I650" s="11">
        <f>20.6579 * CHOOSE(CONTROL!$C$32, $C$9, 100%, $E$9)</f>
        <v>20.657900000000001</v>
      </c>
      <c r="J650" s="11">
        <f>20.6543 * CHOOSE(CONTROL!$C$32, $C$9, 100%, $E$9)</f>
        <v>20.654299999999999</v>
      </c>
      <c r="K650" s="11">
        <f>20.6579 * CHOOSE(CONTROL!$C$32, $C$9, 100%, $E$9)</f>
        <v>20.657900000000001</v>
      </c>
      <c r="L650" s="11">
        <f>10.5205 * CHOOSE(CONTROL!$C$32, $C$9, 100%, $E$9)</f>
        <v>10.5205</v>
      </c>
      <c r="M650" s="11">
        <f>10.5241 * CHOOSE(CONTROL!$C$32, $C$9, 100%, $E$9)</f>
        <v>10.524100000000001</v>
      </c>
      <c r="N650" s="11">
        <f>10.5205 * CHOOSE(CONTROL!$C$32, $C$9, 100%, $E$9)</f>
        <v>10.5205</v>
      </c>
      <c r="O650" s="11">
        <f>10.5241 * CHOOSE(CONTROL!$C$32, $C$9, 100%, $E$9)</f>
        <v>10.524100000000001</v>
      </c>
    </row>
    <row r="651" spans="1:15" ht="15" x14ac:dyDescent="0.2">
      <c r="A651" s="13">
        <v>60664</v>
      </c>
      <c r="B651" s="9">
        <f>9.3786 * CHOOSE(CONTROL!$C$32, $C$9, 100%, $E$9)</f>
        <v>9.3786000000000005</v>
      </c>
      <c r="C651" s="9">
        <f>9.3786 * CHOOSE(CONTROL!$C$32, $C$9, 100%, $E$9)</f>
        <v>9.3786000000000005</v>
      </c>
      <c r="D651" s="9">
        <f>9.3797 * CHOOSE(CONTROL!$C$32, $C$9, 100%, $E$9)</f>
        <v>9.3796999999999997</v>
      </c>
      <c r="E651" s="11">
        <f>10.2578 * CHOOSE(CONTROL!$C$32, $C$9, 100%, $E$9)</f>
        <v>10.2578</v>
      </c>
      <c r="F651" s="11">
        <f>10.2578 * CHOOSE(CONTROL!$C$32, $C$9, 100%, $E$9)</f>
        <v>10.2578</v>
      </c>
      <c r="G651" s="11">
        <f>10.2614 * CHOOSE(CONTROL!$C$32, $C$9, 100%, $E$9)</f>
        <v>10.2614</v>
      </c>
      <c r="H651" s="11">
        <f>20.6973 * CHOOSE(CONTROL!$C$32, $C$9, 100%, $E$9)</f>
        <v>20.697299999999998</v>
      </c>
      <c r="I651" s="11">
        <f>20.7009 * CHOOSE(CONTROL!$C$32, $C$9, 100%, $E$9)</f>
        <v>20.700900000000001</v>
      </c>
      <c r="J651" s="11">
        <f>20.6973 * CHOOSE(CONTROL!$C$32, $C$9, 100%, $E$9)</f>
        <v>20.697299999999998</v>
      </c>
      <c r="K651" s="11">
        <f>20.7009 * CHOOSE(CONTROL!$C$32, $C$9, 100%, $E$9)</f>
        <v>20.700900000000001</v>
      </c>
      <c r="L651" s="11">
        <f>10.2578 * CHOOSE(CONTROL!$C$32, $C$9, 100%, $E$9)</f>
        <v>10.2578</v>
      </c>
      <c r="M651" s="11">
        <f>10.2614 * CHOOSE(CONTROL!$C$32, $C$9, 100%, $E$9)</f>
        <v>10.2614</v>
      </c>
      <c r="N651" s="11">
        <f>10.2578 * CHOOSE(CONTROL!$C$32, $C$9, 100%, $E$9)</f>
        <v>10.2578</v>
      </c>
      <c r="O651" s="11">
        <f>10.2614 * CHOOSE(CONTROL!$C$32, $C$9, 100%, $E$9)</f>
        <v>10.2614</v>
      </c>
    </row>
    <row r="652" spans="1:15" ht="15" x14ac:dyDescent="0.2">
      <c r="A652" s="13">
        <v>60692</v>
      </c>
      <c r="B652" s="9">
        <f>9.3756 * CHOOSE(CONTROL!$C$32, $C$9, 100%, $E$9)</f>
        <v>9.3756000000000004</v>
      </c>
      <c r="C652" s="9">
        <f>9.3756 * CHOOSE(CONTROL!$C$32, $C$9, 100%, $E$9)</f>
        <v>9.3756000000000004</v>
      </c>
      <c r="D652" s="9">
        <f>9.3766 * CHOOSE(CONTROL!$C$32, $C$9, 100%, $E$9)</f>
        <v>9.3765999999999998</v>
      </c>
      <c r="E652" s="11">
        <f>10.4611 * CHOOSE(CONTROL!$C$32, $C$9, 100%, $E$9)</f>
        <v>10.4611</v>
      </c>
      <c r="F652" s="11">
        <f>10.4611 * CHOOSE(CONTROL!$C$32, $C$9, 100%, $E$9)</f>
        <v>10.4611</v>
      </c>
      <c r="G652" s="11">
        <f>10.4647 * CHOOSE(CONTROL!$C$32, $C$9, 100%, $E$9)</f>
        <v>10.464700000000001</v>
      </c>
      <c r="H652" s="11">
        <f>20.7405 * CHOOSE(CONTROL!$C$32, $C$9, 100%, $E$9)</f>
        <v>20.740500000000001</v>
      </c>
      <c r="I652" s="11">
        <f>20.7441 * CHOOSE(CONTROL!$C$32, $C$9, 100%, $E$9)</f>
        <v>20.7441</v>
      </c>
      <c r="J652" s="11">
        <f>20.7405 * CHOOSE(CONTROL!$C$32, $C$9, 100%, $E$9)</f>
        <v>20.740500000000001</v>
      </c>
      <c r="K652" s="11">
        <f>20.7441 * CHOOSE(CONTROL!$C$32, $C$9, 100%, $E$9)</f>
        <v>20.7441</v>
      </c>
      <c r="L652" s="11">
        <f>10.4611 * CHOOSE(CONTROL!$C$32, $C$9, 100%, $E$9)</f>
        <v>10.4611</v>
      </c>
      <c r="M652" s="11">
        <f>10.4647 * CHOOSE(CONTROL!$C$32, $C$9, 100%, $E$9)</f>
        <v>10.464700000000001</v>
      </c>
      <c r="N652" s="11">
        <f>10.4611 * CHOOSE(CONTROL!$C$32, $C$9, 100%, $E$9)</f>
        <v>10.4611</v>
      </c>
      <c r="O652" s="11">
        <f>10.4647 * CHOOSE(CONTROL!$C$32, $C$9, 100%, $E$9)</f>
        <v>10.464700000000001</v>
      </c>
    </row>
    <row r="653" spans="1:15" ht="15" x14ac:dyDescent="0.2">
      <c r="A653" s="13">
        <v>60723</v>
      </c>
      <c r="B653" s="9">
        <f>9.3784 * CHOOSE(CONTROL!$C$32, $C$9, 100%, $E$9)</f>
        <v>9.3783999999999992</v>
      </c>
      <c r="C653" s="9">
        <f>9.3784 * CHOOSE(CONTROL!$C$32, $C$9, 100%, $E$9)</f>
        <v>9.3783999999999992</v>
      </c>
      <c r="D653" s="9">
        <f>9.3795 * CHOOSE(CONTROL!$C$32, $C$9, 100%, $E$9)</f>
        <v>9.3795000000000002</v>
      </c>
      <c r="E653" s="11">
        <f>10.6775 * CHOOSE(CONTROL!$C$32, $C$9, 100%, $E$9)</f>
        <v>10.6775</v>
      </c>
      <c r="F653" s="11">
        <f>10.6775 * CHOOSE(CONTROL!$C$32, $C$9, 100%, $E$9)</f>
        <v>10.6775</v>
      </c>
      <c r="G653" s="11">
        <f>10.6811 * CHOOSE(CONTROL!$C$32, $C$9, 100%, $E$9)</f>
        <v>10.681100000000001</v>
      </c>
      <c r="H653" s="11">
        <f>20.7837 * CHOOSE(CONTROL!$C$32, $C$9, 100%, $E$9)</f>
        <v>20.7837</v>
      </c>
      <c r="I653" s="11">
        <f>20.7873 * CHOOSE(CONTROL!$C$32, $C$9, 100%, $E$9)</f>
        <v>20.787299999999998</v>
      </c>
      <c r="J653" s="11">
        <f>20.7837 * CHOOSE(CONTROL!$C$32, $C$9, 100%, $E$9)</f>
        <v>20.7837</v>
      </c>
      <c r="K653" s="11">
        <f>20.7873 * CHOOSE(CONTROL!$C$32, $C$9, 100%, $E$9)</f>
        <v>20.787299999999998</v>
      </c>
      <c r="L653" s="11">
        <f>10.6775 * CHOOSE(CONTROL!$C$32, $C$9, 100%, $E$9)</f>
        <v>10.6775</v>
      </c>
      <c r="M653" s="11">
        <f>10.6811 * CHOOSE(CONTROL!$C$32, $C$9, 100%, $E$9)</f>
        <v>10.681100000000001</v>
      </c>
      <c r="N653" s="11">
        <f>10.6775 * CHOOSE(CONTROL!$C$32, $C$9, 100%, $E$9)</f>
        <v>10.6775</v>
      </c>
      <c r="O653" s="11">
        <f>10.6811 * CHOOSE(CONTROL!$C$32, $C$9, 100%, $E$9)</f>
        <v>10.681100000000001</v>
      </c>
    </row>
    <row r="654" spans="1:15" ht="15" x14ac:dyDescent="0.2">
      <c r="A654" s="13">
        <v>60753</v>
      </c>
      <c r="B654" s="9">
        <f>9.3784 * CHOOSE(CONTROL!$C$32, $C$9, 100%, $E$9)</f>
        <v>9.3783999999999992</v>
      </c>
      <c r="C654" s="9">
        <f>9.3784 * CHOOSE(CONTROL!$C$32, $C$9, 100%, $E$9)</f>
        <v>9.3783999999999992</v>
      </c>
      <c r="D654" s="9">
        <f>9.38 * CHOOSE(CONTROL!$C$32, $C$9, 100%, $E$9)</f>
        <v>9.3800000000000008</v>
      </c>
      <c r="E654" s="11">
        <f>10.7602 * CHOOSE(CONTROL!$C$32, $C$9, 100%, $E$9)</f>
        <v>10.760199999999999</v>
      </c>
      <c r="F654" s="11">
        <f>10.7602 * CHOOSE(CONTROL!$C$32, $C$9, 100%, $E$9)</f>
        <v>10.760199999999999</v>
      </c>
      <c r="G654" s="11">
        <f>10.7655 * CHOOSE(CONTROL!$C$32, $C$9, 100%, $E$9)</f>
        <v>10.765499999999999</v>
      </c>
      <c r="H654" s="11">
        <f>20.827 * CHOOSE(CONTROL!$C$32, $C$9, 100%, $E$9)</f>
        <v>20.827000000000002</v>
      </c>
      <c r="I654" s="11">
        <f>20.8323 * CHOOSE(CONTROL!$C$32, $C$9, 100%, $E$9)</f>
        <v>20.8323</v>
      </c>
      <c r="J654" s="11">
        <f>20.827 * CHOOSE(CONTROL!$C$32, $C$9, 100%, $E$9)</f>
        <v>20.827000000000002</v>
      </c>
      <c r="K654" s="11">
        <f>20.8323 * CHOOSE(CONTROL!$C$32, $C$9, 100%, $E$9)</f>
        <v>20.8323</v>
      </c>
      <c r="L654" s="11">
        <f>10.7602 * CHOOSE(CONTROL!$C$32, $C$9, 100%, $E$9)</f>
        <v>10.760199999999999</v>
      </c>
      <c r="M654" s="11">
        <f>10.7655 * CHOOSE(CONTROL!$C$32, $C$9, 100%, $E$9)</f>
        <v>10.765499999999999</v>
      </c>
      <c r="N654" s="11">
        <f>10.7602 * CHOOSE(CONTROL!$C$32, $C$9, 100%, $E$9)</f>
        <v>10.760199999999999</v>
      </c>
      <c r="O654" s="11">
        <f>10.7655 * CHOOSE(CONTROL!$C$32, $C$9, 100%, $E$9)</f>
        <v>10.765499999999999</v>
      </c>
    </row>
    <row r="655" spans="1:15" ht="15" x14ac:dyDescent="0.2">
      <c r="A655" s="13">
        <v>60784</v>
      </c>
      <c r="B655" s="9">
        <f>9.3845 * CHOOSE(CONTROL!$C$32, $C$9, 100%, $E$9)</f>
        <v>9.3844999999999992</v>
      </c>
      <c r="C655" s="9">
        <f>9.3845 * CHOOSE(CONTROL!$C$32, $C$9, 100%, $E$9)</f>
        <v>9.3844999999999992</v>
      </c>
      <c r="D655" s="9">
        <f>9.3861 * CHOOSE(CONTROL!$C$32, $C$9, 100%, $E$9)</f>
        <v>9.3861000000000008</v>
      </c>
      <c r="E655" s="11">
        <f>10.6817 * CHOOSE(CONTROL!$C$32, $C$9, 100%, $E$9)</f>
        <v>10.681699999999999</v>
      </c>
      <c r="F655" s="11">
        <f>10.6817 * CHOOSE(CONTROL!$C$32, $C$9, 100%, $E$9)</f>
        <v>10.681699999999999</v>
      </c>
      <c r="G655" s="11">
        <f>10.687 * CHOOSE(CONTROL!$C$32, $C$9, 100%, $E$9)</f>
        <v>10.686999999999999</v>
      </c>
      <c r="H655" s="11">
        <f>20.8703 * CHOOSE(CONTROL!$C$32, $C$9, 100%, $E$9)</f>
        <v>20.8703</v>
      </c>
      <c r="I655" s="11">
        <f>20.8756 * CHOOSE(CONTROL!$C$32, $C$9, 100%, $E$9)</f>
        <v>20.875599999999999</v>
      </c>
      <c r="J655" s="11">
        <f>20.8703 * CHOOSE(CONTROL!$C$32, $C$9, 100%, $E$9)</f>
        <v>20.8703</v>
      </c>
      <c r="K655" s="11">
        <f>20.8756 * CHOOSE(CONTROL!$C$32, $C$9, 100%, $E$9)</f>
        <v>20.875599999999999</v>
      </c>
      <c r="L655" s="11">
        <f>10.6817 * CHOOSE(CONTROL!$C$32, $C$9, 100%, $E$9)</f>
        <v>10.681699999999999</v>
      </c>
      <c r="M655" s="11">
        <f>10.687 * CHOOSE(CONTROL!$C$32, $C$9, 100%, $E$9)</f>
        <v>10.686999999999999</v>
      </c>
      <c r="N655" s="11">
        <f>10.6817 * CHOOSE(CONTROL!$C$32, $C$9, 100%, $E$9)</f>
        <v>10.681699999999999</v>
      </c>
      <c r="O655" s="11">
        <f>10.687 * CHOOSE(CONTROL!$C$32, $C$9, 100%, $E$9)</f>
        <v>10.686999999999999</v>
      </c>
    </row>
    <row r="656" spans="1:15" ht="15" x14ac:dyDescent="0.2">
      <c r="A656" s="13">
        <v>60814</v>
      </c>
      <c r="B656" s="9">
        <f>9.5021 * CHOOSE(CONTROL!$C$32, $C$9, 100%, $E$9)</f>
        <v>9.5021000000000004</v>
      </c>
      <c r="C656" s="9">
        <f>9.5021 * CHOOSE(CONTROL!$C$32, $C$9, 100%, $E$9)</f>
        <v>9.5021000000000004</v>
      </c>
      <c r="D656" s="9">
        <f>9.5037 * CHOOSE(CONTROL!$C$32, $C$9, 100%, $E$9)</f>
        <v>9.5037000000000003</v>
      </c>
      <c r="E656" s="11">
        <f>10.8309 * CHOOSE(CONTROL!$C$32, $C$9, 100%, $E$9)</f>
        <v>10.8309</v>
      </c>
      <c r="F656" s="11">
        <f>10.8309 * CHOOSE(CONTROL!$C$32, $C$9, 100%, $E$9)</f>
        <v>10.8309</v>
      </c>
      <c r="G656" s="11">
        <f>10.8362 * CHOOSE(CONTROL!$C$32, $C$9, 100%, $E$9)</f>
        <v>10.8362</v>
      </c>
      <c r="H656" s="11">
        <f>20.9138 * CHOOSE(CONTROL!$C$32, $C$9, 100%, $E$9)</f>
        <v>20.913799999999998</v>
      </c>
      <c r="I656" s="11">
        <f>20.9191 * CHOOSE(CONTROL!$C$32, $C$9, 100%, $E$9)</f>
        <v>20.9191</v>
      </c>
      <c r="J656" s="11">
        <f>20.9138 * CHOOSE(CONTROL!$C$32, $C$9, 100%, $E$9)</f>
        <v>20.913799999999998</v>
      </c>
      <c r="K656" s="11">
        <f>20.9191 * CHOOSE(CONTROL!$C$32, $C$9, 100%, $E$9)</f>
        <v>20.9191</v>
      </c>
      <c r="L656" s="11">
        <f>10.8309 * CHOOSE(CONTROL!$C$32, $C$9, 100%, $E$9)</f>
        <v>10.8309</v>
      </c>
      <c r="M656" s="11">
        <f>10.8362 * CHOOSE(CONTROL!$C$32, $C$9, 100%, $E$9)</f>
        <v>10.8362</v>
      </c>
      <c r="N656" s="11">
        <f>10.8309 * CHOOSE(CONTROL!$C$32, $C$9, 100%, $E$9)</f>
        <v>10.8309</v>
      </c>
      <c r="O656" s="11">
        <f>10.8362 * CHOOSE(CONTROL!$C$32, $C$9, 100%, $E$9)</f>
        <v>10.8362</v>
      </c>
    </row>
    <row r="657" spans="1:15" ht="15" x14ac:dyDescent="0.2">
      <c r="A657" s="13">
        <v>60845</v>
      </c>
      <c r="B657" s="9">
        <f>9.5088 * CHOOSE(CONTROL!$C$32, $C$9, 100%, $E$9)</f>
        <v>9.5088000000000008</v>
      </c>
      <c r="C657" s="9">
        <f>9.5088 * CHOOSE(CONTROL!$C$32, $C$9, 100%, $E$9)</f>
        <v>9.5088000000000008</v>
      </c>
      <c r="D657" s="9">
        <f>9.5104 * CHOOSE(CONTROL!$C$32, $C$9, 100%, $E$9)</f>
        <v>9.5104000000000006</v>
      </c>
      <c r="E657" s="11">
        <f>10.5874 * CHOOSE(CONTROL!$C$32, $C$9, 100%, $E$9)</f>
        <v>10.587400000000001</v>
      </c>
      <c r="F657" s="11">
        <f>10.5874 * CHOOSE(CONTROL!$C$32, $C$9, 100%, $E$9)</f>
        <v>10.587400000000001</v>
      </c>
      <c r="G657" s="11">
        <f>10.5927 * CHOOSE(CONTROL!$C$32, $C$9, 100%, $E$9)</f>
        <v>10.592700000000001</v>
      </c>
      <c r="H657" s="11">
        <f>20.9574 * CHOOSE(CONTROL!$C$32, $C$9, 100%, $E$9)</f>
        <v>20.9574</v>
      </c>
      <c r="I657" s="11">
        <f>20.9627 * CHOOSE(CONTROL!$C$32, $C$9, 100%, $E$9)</f>
        <v>20.962700000000002</v>
      </c>
      <c r="J657" s="11">
        <f>20.9574 * CHOOSE(CONTROL!$C$32, $C$9, 100%, $E$9)</f>
        <v>20.9574</v>
      </c>
      <c r="K657" s="11">
        <f>20.9627 * CHOOSE(CONTROL!$C$32, $C$9, 100%, $E$9)</f>
        <v>20.962700000000002</v>
      </c>
      <c r="L657" s="11">
        <f>10.5874 * CHOOSE(CONTROL!$C$32, $C$9, 100%, $E$9)</f>
        <v>10.587400000000001</v>
      </c>
      <c r="M657" s="11">
        <f>10.5927 * CHOOSE(CONTROL!$C$32, $C$9, 100%, $E$9)</f>
        <v>10.592700000000001</v>
      </c>
      <c r="N657" s="11">
        <f>10.5874 * CHOOSE(CONTROL!$C$32, $C$9, 100%, $E$9)</f>
        <v>10.587400000000001</v>
      </c>
      <c r="O657" s="11">
        <f>10.5927 * CHOOSE(CONTROL!$C$32, $C$9, 100%, $E$9)</f>
        <v>10.592700000000001</v>
      </c>
    </row>
    <row r="658" spans="1:15" ht="15" x14ac:dyDescent="0.2">
      <c r="A658" s="13">
        <v>60876</v>
      </c>
      <c r="B658" s="9">
        <f>9.5058 * CHOOSE(CONTROL!$C$32, $C$9, 100%, $E$9)</f>
        <v>9.5058000000000007</v>
      </c>
      <c r="C658" s="9">
        <f>9.5058 * CHOOSE(CONTROL!$C$32, $C$9, 100%, $E$9)</f>
        <v>9.5058000000000007</v>
      </c>
      <c r="D658" s="9">
        <f>9.5074 * CHOOSE(CONTROL!$C$32, $C$9, 100%, $E$9)</f>
        <v>9.5074000000000005</v>
      </c>
      <c r="E658" s="11">
        <f>10.5577 * CHOOSE(CONTROL!$C$32, $C$9, 100%, $E$9)</f>
        <v>10.557700000000001</v>
      </c>
      <c r="F658" s="11">
        <f>10.5577 * CHOOSE(CONTROL!$C$32, $C$9, 100%, $E$9)</f>
        <v>10.557700000000001</v>
      </c>
      <c r="G658" s="11">
        <f>10.563 * CHOOSE(CONTROL!$C$32, $C$9, 100%, $E$9)</f>
        <v>10.563000000000001</v>
      </c>
      <c r="H658" s="11">
        <f>21.0011 * CHOOSE(CONTROL!$C$32, $C$9, 100%, $E$9)</f>
        <v>21.001100000000001</v>
      </c>
      <c r="I658" s="11">
        <f>21.0064 * CHOOSE(CONTROL!$C$32, $C$9, 100%, $E$9)</f>
        <v>21.006399999999999</v>
      </c>
      <c r="J658" s="11">
        <f>21.0011 * CHOOSE(CONTROL!$C$32, $C$9, 100%, $E$9)</f>
        <v>21.001100000000001</v>
      </c>
      <c r="K658" s="11">
        <f>21.0064 * CHOOSE(CONTROL!$C$32, $C$9, 100%, $E$9)</f>
        <v>21.006399999999999</v>
      </c>
      <c r="L658" s="11">
        <f>10.5577 * CHOOSE(CONTROL!$C$32, $C$9, 100%, $E$9)</f>
        <v>10.557700000000001</v>
      </c>
      <c r="M658" s="11">
        <f>10.563 * CHOOSE(CONTROL!$C$32, $C$9, 100%, $E$9)</f>
        <v>10.563000000000001</v>
      </c>
      <c r="N658" s="11">
        <f>10.5577 * CHOOSE(CONTROL!$C$32, $C$9, 100%, $E$9)</f>
        <v>10.557700000000001</v>
      </c>
      <c r="O658" s="11">
        <f>10.563 * CHOOSE(CONTROL!$C$32, $C$9, 100%, $E$9)</f>
        <v>10.563000000000001</v>
      </c>
    </row>
    <row r="659" spans="1:15" ht="15" x14ac:dyDescent="0.2">
      <c r="A659" s="13">
        <v>60906</v>
      </c>
      <c r="B659" s="9">
        <f>9.5214 * CHOOSE(CONTROL!$C$32, $C$9, 100%, $E$9)</f>
        <v>9.5213999999999999</v>
      </c>
      <c r="C659" s="9">
        <f>9.5214 * CHOOSE(CONTROL!$C$32, $C$9, 100%, $E$9)</f>
        <v>9.5213999999999999</v>
      </c>
      <c r="D659" s="9">
        <f>9.5225 * CHOOSE(CONTROL!$C$32, $C$9, 100%, $E$9)</f>
        <v>9.5225000000000009</v>
      </c>
      <c r="E659" s="11">
        <f>10.6546 * CHOOSE(CONTROL!$C$32, $C$9, 100%, $E$9)</f>
        <v>10.6546</v>
      </c>
      <c r="F659" s="11">
        <f>10.6546 * CHOOSE(CONTROL!$C$32, $C$9, 100%, $E$9)</f>
        <v>10.6546</v>
      </c>
      <c r="G659" s="11">
        <f>10.6582 * CHOOSE(CONTROL!$C$32, $C$9, 100%, $E$9)</f>
        <v>10.658200000000001</v>
      </c>
      <c r="H659" s="11">
        <f>21.0448 * CHOOSE(CONTROL!$C$32, $C$9, 100%, $E$9)</f>
        <v>21.044799999999999</v>
      </c>
      <c r="I659" s="11">
        <f>21.0484 * CHOOSE(CONTROL!$C$32, $C$9, 100%, $E$9)</f>
        <v>21.048400000000001</v>
      </c>
      <c r="J659" s="11">
        <f>21.0448 * CHOOSE(CONTROL!$C$32, $C$9, 100%, $E$9)</f>
        <v>21.044799999999999</v>
      </c>
      <c r="K659" s="11">
        <f>21.0484 * CHOOSE(CONTROL!$C$32, $C$9, 100%, $E$9)</f>
        <v>21.048400000000001</v>
      </c>
      <c r="L659" s="11">
        <f>10.6546 * CHOOSE(CONTROL!$C$32, $C$9, 100%, $E$9)</f>
        <v>10.6546</v>
      </c>
      <c r="M659" s="11">
        <f>10.6582 * CHOOSE(CONTROL!$C$32, $C$9, 100%, $E$9)</f>
        <v>10.658200000000001</v>
      </c>
      <c r="N659" s="11">
        <f>10.6546 * CHOOSE(CONTROL!$C$32, $C$9, 100%, $E$9)</f>
        <v>10.6546</v>
      </c>
      <c r="O659" s="11">
        <f>10.6582 * CHOOSE(CONTROL!$C$32, $C$9, 100%, $E$9)</f>
        <v>10.658200000000001</v>
      </c>
    </row>
    <row r="660" spans="1:15" ht="15" x14ac:dyDescent="0.2">
      <c r="A660" s="13">
        <v>60937</v>
      </c>
      <c r="B660" s="9">
        <f>9.5244 * CHOOSE(CONTROL!$C$32, $C$9, 100%, $E$9)</f>
        <v>9.5244</v>
      </c>
      <c r="C660" s="9">
        <f>9.5244 * CHOOSE(CONTROL!$C$32, $C$9, 100%, $E$9)</f>
        <v>9.5244</v>
      </c>
      <c r="D660" s="9">
        <f>9.5255 * CHOOSE(CONTROL!$C$32, $C$9, 100%, $E$9)</f>
        <v>9.5254999999999992</v>
      </c>
      <c r="E660" s="11">
        <f>10.7119 * CHOOSE(CONTROL!$C$32, $C$9, 100%, $E$9)</f>
        <v>10.7119</v>
      </c>
      <c r="F660" s="11">
        <f>10.7119 * CHOOSE(CONTROL!$C$32, $C$9, 100%, $E$9)</f>
        <v>10.7119</v>
      </c>
      <c r="G660" s="11">
        <f>10.7155 * CHOOSE(CONTROL!$C$32, $C$9, 100%, $E$9)</f>
        <v>10.7155</v>
      </c>
      <c r="H660" s="11">
        <f>21.0887 * CHOOSE(CONTROL!$C$32, $C$9, 100%, $E$9)</f>
        <v>21.088699999999999</v>
      </c>
      <c r="I660" s="11">
        <f>21.0923 * CHOOSE(CONTROL!$C$32, $C$9, 100%, $E$9)</f>
        <v>21.092300000000002</v>
      </c>
      <c r="J660" s="11">
        <f>21.0887 * CHOOSE(CONTROL!$C$32, $C$9, 100%, $E$9)</f>
        <v>21.088699999999999</v>
      </c>
      <c r="K660" s="11">
        <f>21.0923 * CHOOSE(CONTROL!$C$32, $C$9, 100%, $E$9)</f>
        <v>21.092300000000002</v>
      </c>
      <c r="L660" s="11">
        <f>10.7119 * CHOOSE(CONTROL!$C$32, $C$9, 100%, $E$9)</f>
        <v>10.7119</v>
      </c>
      <c r="M660" s="11">
        <f>10.7155 * CHOOSE(CONTROL!$C$32, $C$9, 100%, $E$9)</f>
        <v>10.7155</v>
      </c>
      <c r="N660" s="11">
        <f>10.7119 * CHOOSE(CONTROL!$C$32, $C$9, 100%, $E$9)</f>
        <v>10.7119</v>
      </c>
      <c r="O660" s="11">
        <f>10.7155 * CHOOSE(CONTROL!$C$32, $C$9, 100%, $E$9)</f>
        <v>10.7155</v>
      </c>
    </row>
    <row r="661" spans="1:15" ht="15" x14ac:dyDescent="0.2">
      <c r="A661" s="13">
        <v>60967</v>
      </c>
      <c r="B661" s="9">
        <f>9.5244 * CHOOSE(CONTROL!$C$32, $C$9, 100%, $E$9)</f>
        <v>9.5244</v>
      </c>
      <c r="C661" s="9">
        <f>9.5244 * CHOOSE(CONTROL!$C$32, $C$9, 100%, $E$9)</f>
        <v>9.5244</v>
      </c>
      <c r="D661" s="9">
        <f>9.5255 * CHOOSE(CONTROL!$C$32, $C$9, 100%, $E$9)</f>
        <v>9.5254999999999992</v>
      </c>
      <c r="E661" s="11">
        <f>10.574 * CHOOSE(CONTROL!$C$32, $C$9, 100%, $E$9)</f>
        <v>10.574</v>
      </c>
      <c r="F661" s="11">
        <f>10.574 * CHOOSE(CONTROL!$C$32, $C$9, 100%, $E$9)</f>
        <v>10.574</v>
      </c>
      <c r="G661" s="11">
        <f>10.5776 * CHOOSE(CONTROL!$C$32, $C$9, 100%, $E$9)</f>
        <v>10.5776</v>
      </c>
      <c r="H661" s="11">
        <f>21.1326 * CHOOSE(CONTROL!$C$32, $C$9, 100%, $E$9)</f>
        <v>21.1326</v>
      </c>
      <c r="I661" s="11">
        <f>21.1362 * CHOOSE(CONTROL!$C$32, $C$9, 100%, $E$9)</f>
        <v>21.136199999999999</v>
      </c>
      <c r="J661" s="11">
        <f>21.1326 * CHOOSE(CONTROL!$C$32, $C$9, 100%, $E$9)</f>
        <v>21.1326</v>
      </c>
      <c r="K661" s="11">
        <f>21.1362 * CHOOSE(CONTROL!$C$32, $C$9, 100%, $E$9)</f>
        <v>21.136199999999999</v>
      </c>
      <c r="L661" s="11">
        <f>10.574 * CHOOSE(CONTROL!$C$32, $C$9, 100%, $E$9)</f>
        <v>10.574</v>
      </c>
      <c r="M661" s="11">
        <f>10.5776 * CHOOSE(CONTROL!$C$32, $C$9, 100%, $E$9)</f>
        <v>10.5776</v>
      </c>
      <c r="N661" s="11">
        <f>10.574 * CHOOSE(CONTROL!$C$32, $C$9, 100%, $E$9)</f>
        <v>10.574</v>
      </c>
      <c r="O661" s="11">
        <f>10.5776 * CHOOSE(CONTROL!$C$32, $C$9, 100%, $E$9)</f>
        <v>10.5776</v>
      </c>
    </row>
    <row r="662" spans="1:15" ht="15" x14ac:dyDescent="0.2">
      <c r="A662" s="13">
        <v>60998</v>
      </c>
      <c r="B662" s="9">
        <f>9.569 * CHOOSE(CONTROL!$C$32, $C$9, 100%, $E$9)</f>
        <v>9.5690000000000008</v>
      </c>
      <c r="C662" s="9">
        <f>9.569 * CHOOSE(CONTROL!$C$32, $C$9, 100%, $E$9)</f>
        <v>9.5690000000000008</v>
      </c>
      <c r="D662" s="9">
        <f>9.5701 * CHOOSE(CONTROL!$C$32, $C$9, 100%, $E$9)</f>
        <v>9.5701000000000001</v>
      </c>
      <c r="E662" s="11">
        <f>10.733 * CHOOSE(CONTROL!$C$32, $C$9, 100%, $E$9)</f>
        <v>10.733000000000001</v>
      </c>
      <c r="F662" s="11">
        <f>10.733 * CHOOSE(CONTROL!$C$32, $C$9, 100%, $E$9)</f>
        <v>10.733000000000001</v>
      </c>
      <c r="G662" s="11">
        <f>10.7366 * CHOOSE(CONTROL!$C$32, $C$9, 100%, $E$9)</f>
        <v>10.736599999999999</v>
      </c>
      <c r="H662" s="11">
        <f>21.1078 * CHOOSE(CONTROL!$C$32, $C$9, 100%, $E$9)</f>
        <v>21.107800000000001</v>
      </c>
      <c r="I662" s="11">
        <f>21.1114 * CHOOSE(CONTROL!$C$32, $C$9, 100%, $E$9)</f>
        <v>21.1114</v>
      </c>
      <c r="J662" s="11">
        <f>21.1078 * CHOOSE(CONTROL!$C$32, $C$9, 100%, $E$9)</f>
        <v>21.107800000000001</v>
      </c>
      <c r="K662" s="11">
        <f>21.1114 * CHOOSE(CONTROL!$C$32, $C$9, 100%, $E$9)</f>
        <v>21.1114</v>
      </c>
      <c r="L662" s="11">
        <f>10.733 * CHOOSE(CONTROL!$C$32, $C$9, 100%, $E$9)</f>
        <v>10.733000000000001</v>
      </c>
      <c r="M662" s="11">
        <f>10.7366 * CHOOSE(CONTROL!$C$32, $C$9, 100%, $E$9)</f>
        <v>10.736599999999999</v>
      </c>
      <c r="N662" s="11">
        <f>10.733 * CHOOSE(CONTROL!$C$32, $C$9, 100%, $E$9)</f>
        <v>10.733000000000001</v>
      </c>
      <c r="O662" s="11">
        <f>10.7366 * CHOOSE(CONTROL!$C$32, $C$9, 100%, $E$9)</f>
        <v>10.736599999999999</v>
      </c>
    </row>
    <row r="663" spans="1:15" ht="15" x14ac:dyDescent="0.2">
      <c r="A663" s="13">
        <v>61029</v>
      </c>
      <c r="B663" s="9">
        <f>9.566 * CHOOSE(CONTROL!$C$32, $C$9, 100%, $E$9)</f>
        <v>9.5660000000000007</v>
      </c>
      <c r="C663" s="9">
        <f>9.566 * CHOOSE(CONTROL!$C$32, $C$9, 100%, $E$9)</f>
        <v>9.5660000000000007</v>
      </c>
      <c r="D663" s="9">
        <f>9.567 * CHOOSE(CONTROL!$C$32, $C$9, 100%, $E$9)</f>
        <v>9.5670000000000002</v>
      </c>
      <c r="E663" s="11">
        <f>10.4632 * CHOOSE(CONTROL!$C$32, $C$9, 100%, $E$9)</f>
        <v>10.463200000000001</v>
      </c>
      <c r="F663" s="11">
        <f>10.4632 * CHOOSE(CONTROL!$C$32, $C$9, 100%, $E$9)</f>
        <v>10.463200000000001</v>
      </c>
      <c r="G663" s="11">
        <f>10.4669 * CHOOSE(CONTROL!$C$32, $C$9, 100%, $E$9)</f>
        <v>10.466900000000001</v>
      </c>
      <c r="H663" s="11">
        <f>21.1518 * CHOOSE(CONTROL!$C$32, $C$9, 100%, $E$9)</f>
        <v>21.151800000000001</v>
      </c>
      <c r="I663" s="11">
        <f>21.1554 * CHOOSE(CONTROL!$C$32, $C$9, 100%, $E$9)</f>
        <v>21.1554</v>
      </c>
      <c r="J663" s="11">
        <f>21.1518 * CHOOSE(CONTROL!$C$32, $C$9, 100%, $E$9)</f>
        <v>21.151800000000001</v>
      </c>
      <c r="K663" s="11">
        <f>21.1554 * CHOOSE(CONTROL!$C$32, $C$9, 100%, $E$9)</f>
        <v>21.1554</v>
      </c>
      <c r="L663" s="11">
        <f>10.4632 * CHOOSE(CONTROL!$C$32, $C$9, 100%, $E$9)</f>
        <v>10.463200000000001</v>
      </c>
      <c r="M663" s="11">
        <f>10.4669 * CHOOSE(CONTROL!$C$32, $C$9, 100%, $E$9)</f>
        <v>10.466900000000001</v>
      </c>
      <c r="N663" s="11">
        <f>10.4632 * CHOOSE(CONTROL!$C$32, $C$9, 100%, $E$9)</f>
        <v>10.463200000000001</v>
      </c>
      <c r="O663" s="11">
        <f>10.4669 * CHOOSE(CONTROL!$C$32, $C$9, 100%, $E$9)</f>
        <v>10.466900000000001</v>
      </c>
    </row>
    <row r="664" spans="1:15" ht="15" x14ac:dyDescent="0.2">
      <c r="A664" s="13">
        <v>61057</v>
      </c>
      <c r="B664" s="9">
        <f>9.5629 * CHOOSE(CONTROL!$C$32, $C$9, 100%, $E$9)</f>
        <v>9.5629000000000008</v>
      </c>
      <c r="C664" s="9">
        <f>9.5629 * CHOOSE(CONTROL!$C$32, $C$9, 100%, $E$9)</f>
        <v>9.5629000000000008</v>
      </c>
      <c r="D664" s="9">
        <f>9.564 * CHOOSE(CONTROL!$C$32, $C$9, 100%, $E$9)</f>
        <v>9.5640000000000001</v>
      </c>
      <c r="E664" s="11">
        <f>10.6721 * CHOOSE(CONTROL!$C$32, $C$9, 100%, $E$9)</f>
        <v>10.6721</v>
      </c>
      <c r="F664" s="11">
        <f>10.6721 * CHOOSE(CONTROL!$C$32, $C$9, 100%, $E$9)</f>
        <v>10.6721</v>
      </c>
      <c r="G664" s="11">
        <f>10.6757 * CHOOSE(CONTROL!$C$32, $C$9, 100%, $E$9)</f>
        <v>10.675700000000001</v>
      </c>
      <c r="H664" s="11">
        <f>21.1958 * CHOOSE(CONTROL!$C$32, $C$9, 100%, $E$9)</f>
        <v>21.195799999999998</v>
      </c>
      <c r="I664" s="11">
        <f>21.1995 * CHOOSE(CONTROL!$C$32, $C$9, 100%, $E$9)</f>
        <v>21.1995</v>
      </c>
      <c r="J664" s="11">
        <f>21.1958 * CHOOSE(CONTROL!$C$32, $C$9, 100%, $E$9)</f>
        <v>21.195799999999998</v>
      </c>
      <c r="K664" s="11">
        <f>21.1995 * CHOOSE(CONTROL!$C$32, $C$9, 100%, $E$9)</f>
        <v>21.1995</v>
      </c>
      <c r="L664" s="11">
        <f>10.6721 * CHOOSE(CONTROL!$C$32, $C$9, 100%, $E$9)</f>
        <v>10.6721</v>
      </c>
      <c r="M664" s="11">
        <f>10.6757 * CHOOSE(CONTROL!$C$32, $C$9, 100%, $E$9)</f>
        <v>10.675700000000001</v>
      </c>
      <c r="N664" s="11">
        <f>10.6721 * CHOOSE(CONTROL!$C$32, $C$9, 100%, $E$9)</f>
        <v>10.6721</v>
      </c>
      <c r="O664" s="11">
        <f>10.6757 * CHOOSE(CONTROL!$C$32, $C$9, 100%, $E$9)</f>
        <v>10.675700000000001</v>
      </c>
    </row>
    <row r="665" spans="1:15" ht="15" x14ac:dyDescent="0.2">
      <c r="A665" s="13">
        <v>61088</v>
      </c>
      <c r="B665" s="9">
        <f>9.566 * CHOOSE(CONTROL!$C$32, $C$9, 100%, $E$9)</f>
        <v>9.5660000000000007</v>
      </c>
      <c r="C665" s="9">
        <f>9.566 * CHOOSE(CONTROL!$C$32, $C$9, 100%, $E$9)</f>
        <v>9.5660000000000007</v>
      </c>
      <c r="D665" s="9">
        <f>9.567 * CHOOSE(CONTROL!$C$32, $C$9, 100%, $E$9)</f>
        <v>9.5670000000000002</v>
      </c>
      <c r="E665" s="11">
        <f>10.8945 * CHOOSE(CONTROL!$C$32, $C$9, 100%, $E$9)</f>
        <v>10.894500000000001</v>
      </c>
      <c r="F665" s="11">
        <f>10.8945 * CHOOSE(CONTROL!$C$32, $C$9, 100%, $E$9)</f>
        <v>10.894500000000001</v>
      </c>
      <c r="G665" s="11">
        <f>10.8981 * CHOOSE(CONTROL!$C$32, $C$9, 100%, $E$9)</f>
        <v>10.898099999999999</v>
      </c>
      <c r="H665" s="11">
        <f>21.24 * CHOOSE(CONTROL!$C$32, $C$9, 100%, $E$9)</f>
        <v>21.24</v>
      </c>
      <c r="I665" s="11">
        <f>21.2436 * CHOOSE(CONTROL!$C$32, $C$9, 100%, $E$9)</f>
        <v>21.243600000000001</v>
      </c>
      <c r="J665" s="11">
        <f>21.24 * CHOOSE(CONTROL!$C$32, $C$9, 100%, $E$9)</f>
        <v>21.24</v>
      </c>
      <c r="K665" s="11">
        <f>21.2436 * CHOOSE(CONTROL!$C$32, $C$9, 100%, $E$9)</f>
        <v>21.243600000000001</v>
      </c>
      <c r="L665" s="11">
        <f>10.8945 * CHOOSE(CONTROL!$C$32, $C$9, 100%, $E$9)</f>
        <v>10.894500000000001</v>
      </c>
      <c r="M665" s="11">
        <f>10.8981 * CHOOSE(CONTROL!$C$32, $C$9, 100%, $E$9)</f>
        <v>10.898099999999999</v>
      </c>
      <c r="N665" s="11">
        <f>10.8945 * CHOOSE(CONTROL!$C$32, $C$9, 100%, $E$9)</f>
        <v>10.894500000000001</v>
      </c>
      <c r="O665" s="11">
        <f>10.8981 * CHOOSE(CONTROL!$C$32, $C$9, 100%, $E$9)</f>
        <v>10.898099999999999</v>
      </c>
    </row>
    <row r="666" spans="1:15" ht="15" x14ac:dyDescent="0.2">
      <c r="A666" s="13">
        <v>61118</v>
      </c>
      <c r="B666" s="9">
        <f>9.566 * CHOOSE(CONTROL!$C$32, $C$9, 100%, $E$9)</f>
        <v>9.5660000000000007</v>
      </c>
      <c r="C666" s="9">
        <f>9.566 * CHOOSE(CONTROL!$C$32, $C$9, 100%, $E$9)</f>
        <v>9.5660000000000007</v>
      </c>
      <c r="D666" s="9">
        <f>9.5675 * CHOOSE(CONTROL!$C$32, $C$9, 100%, $E$9)</f>
        <v>9.5675000000000008</v>
      </c>
      <c r="E666" s="11">
        <f>10.9795 * CHOOSE(CONTROL!$C$32, $C$9, 100%, $E$9)</f>
        <v>10.9795</v>
      </c>
      <c r="F666" s="11">
        <f>10.9795 * CHOOSE(CONTROL!$C$32, $C$9, 100%, $E$9)</f>
        <v>10.9795</v>
      </c>
      <c r="G666" s="11">
        <f>10.9848 * CHOOSE(CONTROL!$C$32, $C$9, 100%, $E$9)</f>
        <v>10.9848</v>
      </c>
      <c r="H666" s="11">
        <f>21.2843 * CHOOSE(CONTROL!$C$32, $C$9, 100%, $E$9)</f>
        <v>21.284300000000002</v>
      </c>
      <c r="I666" s="11">
        <f>21.2895 * CHOOSE(CONTROL!$C$32, $C$9, 100%, $E$9)</f>
        <v>21.2895</v>
      </c>
      <c r="J666" s="11">
        <f>21.2843 * CHOOSE(CONTROL!$C$32, $C$9, 100%, $E$9)</f>
        <v>21.284300000000002</v>
      </c>
      <c r="K666" s="11">
        <f>21.2895 * CHOOSE(CONTROL!$C$32, $C$9, 100%, $E$9)</f>
        <v>21.2895</v>
      </c>
      <c r="L666" s="11">
        <f>10.9795 * CHOOSE(CONTROL!$C$32, $C$9, 100%, $E$9)</f>
        <v>10.9795</v>
      </c>
      <c r="M666" s="11">
        <f>10.9848 * CHOOSE(CONTROL!$C$32, $C$9, 100%, $E$9)</f>
        <v>10.9848</v>
      </c>
      <c r="N666" s="11">
        <f>10.9795 * CHOOSE(CONTROL!$C$32, $C$9, 100%, $E$9)</f>
        <v>10.9795</v>
      </c>
      <c r="O666" s="11">
        <f>10.9848 * CHOOSE(CONTROL!$C$32, $C$9, 100%, $E$9)</f>
        <v>10.9848</v>
      </c>
    </row>
    <row r="667" spans="1:15" ht="15" x14ac:dyDescent="0.2">
      <c r="A667" s="13">
        <v>61149</v>
      </c>
      <c r="B667" s="9">
        <f>9.572 * CHOOSE(CONTROL!$C$32, $C$9, 100%, $E$9)</f>
        <v>9.5719999999999992</v>
      </c>
      <c r="C667" s="9">
        <f>9.572 * CHOOSE(CONTROL!$C$32, $C$9, 100%, $E$9)</f>
        <v>9.5719999999999992</v>
      </c>
      <c r="D667" s="9">
        <f>9.5736 * CHOOSE(CONTROL!$C$32, $C$9, 100%, $E$9)</f>
        <v>9.5736000000000008</v>
      </c>
      <c r="E667" s="11">
        <f>10.8987 * CHOOSE(CONTROL!$C$32, $C$9, 100%, $E$9)</f>
        <v>10.8987</v>
      </c>
      <c r="F667" s="11">
        <f>10.8987 * CHOOSE(CONTROL!$C$32, $C$9, 100%, $E$9)</f>
        <v>10.8987</v>
      </c>
      <c r="G667" s="11">
        <f>10.904 * CHOOSE(CONTROL!$C$32, $C$9, 100%, $E$9)</f>
        <v>10.904</v>
      </c>
      <c r="H667" s="11">
        <f>21.3286 * CHOOSE(CONTROL!$C$32, $C$9, 100%, $E$9)</f>
        <v>21.328600000000002</v>
      </c>
      <c r="I667" s="11">
        <f>21.3339 * CHOOSE(CONTROL!$C$32, $C$9, 100%, $E$9)</f>
        <v>21.3339</v>
      </c>
      <c r="J667" s="11">
        <f>21.3286 * CHOOSE(CONTROL!$C$32, $C$9, 100%, $E$9)</f>
        <v>21.328600000000002</v>
      </c>
      <c r="K667" s="11">
        <f>21.3339 * CHOOSE(CONTROL!$C$32, $C$9, 100%, $E$9)</f>
        <v>21.3339</v>
      </c>
      <c r="L667" s="11">
        <f>10.8987 * CHOOSE(CONTROL!$C$32, $C$9, 100%, $E$9)</f>
        <v>10.8987</v>
      </c>
      <c r="M667" s="11">
        <f>10.904 * CHOOSE(CONTROL!$C$32, $C$9, 100%, $E$9)</f>
        <v>10.904</v>
      </c>
      <c r="N667" s="11">
        <f>10.8987 * CHOOSE(CONTROL!$C$32, $C$9, 100%, $E$9)</f>
        <v>10.8987</v>
      </c>
      <c r="O667" s="11">
        <f>10.904 * CHOOSE(CONTROL!$C$32, $C$9, 100%, $E$9)</f>
        <v>10.904</v>
      </c>
    </row>
    <row r="668" spans="1:15" ht="15" x14ac:dyDescent="0.2">
      <c r="A668" s="13">
        <v>61179</v>
      </c>
      <c r="B668" s="9">
        <f>9.6917 * CHOOSE(CONTROL!$C$32, $C$9, 100%, $E$9)</f>
        <v>9.6917000000000009</v>
      </c>
      <c r="C668" s="9">
        <f>9.6917 * CHOOSE(CONTROL!$C$32, $C$9, 100%, $E$9)</f>
        <v>9.6917000000000009</v>
      </c>
      <c r="D668" s="9">
        <f>9.6933 * CHOOSE(CONTROL!$C$32, $C$9, 100%, $E$9)</f>
        <v>9.6933000000000007</v>
      </c>
      <c r="E668" s="11">
        <f>11.0511 * CHOOSE(CONTROL!$C$32, $C$9, 100%, $E$9)</f>
        <v>11.0511</v>
      </c>
      <c r="F668" s="11">
        <f>11.0511 * CHOOSE(CONTROL!$C$32, $C$9, 100%, $E$9)</f>
        <v>11.0511</v>
      </c>
      <c r="G668" s="11">
        <f>11.0564 * CHOOSE(CONTROL!$C$32, $C$9, 100%, $E$9)</f>
        <v>11.0564</v>
      </c>
      <c r="H668" s="11">
        <f>21.373 * CHOOSE(CONTROL!$C$32, $C$9, 100%, $E$9)</f>
        <v>21.373000000000001</v>
      </c>
      <c r="I668" s="11">
        <f>21.3783 * CHOOSE(CONTROL!$C$32, $C$9, 100%, $E$9)</f>
        <v>21.378299999999999</v>
      </c>
      <c r="J668" s="11">
        <f>21.373 * CHOOSE(CONTROL!$C$32, $C$9, 100%, $E$9)</f>
        <v>21.373000000000001</v>
      </c>
      <c r="K668" s="11">
        <f>21.3783 * CHOOSE(CONTROL!$C$32, $C$9, 100%, $E$9)</f>
        <v>21.378299999999999</v>
      </c>
      <c r="L668" s="11">
        <f>11.0511 * CHOOSE(CONTROL!$C$32, $C$9, 100%, $E$9)</f>
        <v>11.0511</v>
      </c>
      <c r="M668" s="11">
        <f>11.0564 * CHOOSE(CONTROL!$C$32, $C$9, 100%, $E$9)</f>
        <v>11.0564</v>
      </c>
      <c r="N668" s="11">
        <f>11.0511 * CHOOSE(CONTROL!$C$32, $C$9, 100%, $E$9)</f>
        <v>11.0511</v>
      </c>
      <c r="O668" s="11">
        <f>11.0564 * CHOOSE(CONTROL!$C$32, $C$9, 100%, $E$9)</f>
        <v>11.0564</v>
      </c>
    </row>
    <row r="669" spans="1:15" ht="15" x14ac:dyDescent="0.2">
      <c r="A669" s="13">
        <v>61210</v>
      </c>
      <c r="B669" s="9">
        <f>9.6984 * CHOOSE(CONTROL!$C$32, $C$9, 100%, $E$9)</f>
        <v>9.6983999999999995</v>
      </c>
      <c r="C669" s="9">
        <f>9.6984 * CHOOSE(CONTROL!$C$32, $C$9, 100%, $E$9)</f>
        <v>9.6983999999999995</v>
      </c>
      <c r="D669" s="9">
        <f>9.7 * CHOOSE(CONTROL!$C$32, $C$9, 100%, $E$9)</f>
        <v>9.6999999999999993</v>
      </c>
      <c r="E669" s="11">
        <f>10.8009 * CHOOSE(CONTROL!$C$32, $C$9, 100%, $E$9)</f>
        <v>10.8009</v>
      </c>
      <c r="F669" s="11">
        <f>10.8009 * CHOOSE(CONTROL!$C$32, $C$9, 100%, $E$9)</f>
        <v>10.8009</v>
      </c>
      <c r="G669" s="11">
        <f>10.8062 * CHOOSE(CONTROL!$C$32, $C$9, 100%, $E$9)</f>
        <v>10.8062</v>
      </c>
      <c r="H669" s="11">
        <f>21.4176 * CHOOSE(CONTROL!$C$32, $C$9, 100%, $E$9)</f>
        <v>21.4176</v>
      </c>
      <c r="I669" s="11">
        <f>21.4229 * CHOOSE(CONTROL!$C$32, $C$9, 100%, $E$9)</f>
        <v>21.422899999999998</v>
      </c>
      <c r="J669" s="11">
        <f>21.4176 * CHOOSE(CONTROL!$C$32, $C$9, 100%, $E$9)</f>
        <v>21.4176</v>
      </c>
      <c r="K669" s="11">
        <f>21.4229 * CHOOSE(CONTROL!$C$32, $C$9, 100%, $E$9)</f>
        <v>21.422899999999998</v>
      </c>
      <c r="L669" s="11">
        <f>10.8009 * CHOOSE(CONTROL!$C$32, $C$9, 100%, $E$9)</f>
        <v>10.8009</v>
      </c>
      <c r="M669" s="11">
        <f>10.8062 * CHOOSE(CONTROL!$C$32, $C$9, 100%, $E$9)</f>
        <v>10.8062</v>
      </c>
      <c r="N669" s="11">
        <f>10.8009 * CHOOSE(CONTROL!$C$32, $C$9, 100%, $E$9)</f>
        <v>10.8009</v>
      </c>
      <c r="O669" s="11">
        <f>10.8062 * CHOOSE(CONTROL!$C$32, $C$9, 100%, $E$9)</f>
        <v>10.8062</v>
      </c>
    </row>
    <row r="670" spans="1:15" ht="15" x14ac:dyDescent="0.2">
      <c r="A670" s="13">
        <v>61241</v>
      </c>
      <c r="B670" s="9">
        <f>9.6954 * CHOOSE(CONTROL!$C$32, $C$9, 100%, $E$9)</f>
        <v>9.6953999999999994</v>
      </c>
      <c r="C670" s="9">
        <f>9.6954 * CHOOSE(CONTROL!$C$32, $C$9, 100%, $E$9)</f>
        <v>9.6953999999999994</v>
      </c>
      <c r="D670" s="9">
        <f>9.697 * CHOOSE(CONTROL!$C$32, $C$9, 100%, $E$9)</f>
        <v>9.6969999999999992</v>
      </c>
      <c r="E670" s="11">
        <f>10.7704 * CHOOSE(CONTROL!$C$32, $C$9, 100%, $E$9)</f>
        <v>10.7704</v>
      </c>
      <c r="F670" s="11">
        <f>10.7704 * CHOOSE(CONTROL!$C$32, $C$9, 100%, $E$9)</f>
        <v>10.7704</v>
      </c>
      <c r="G670" s="11">
        <f>10.7757 * CHOOSE(CONTROL!$C$32, $C$9, 100%, $E$9)</f>
        <v>10.775700000000001</v>
      </c>
      <c r="H670" s="11">
        <f>21.4622 * CHOOSE(CONTROL!$C$32, $C$9, 100%, $E$9)</f>
        <v>21.462199999999999</v>
      </c>
      <c r="I670" s="11">
        <f>21.4675 * CHOOSE(CONTROL!$C$32, $C$9, 100%, $E$9)</f>
        <v>21.467500000000001</v>
      </c>
      <c r="J670" s="11">
        <f>21.4622 * CHOOSE(CONTROL!$C$32, $C$9, 100%, $E$9)</f>
        <v>21.462199999999999</v>
      </c>
      <c r="K670" s="11">
        <f>21.4675 * CHOOSE(CONTROL!$C$32, $C$9, 100%, $E$9)</f>
        <v>21.467500000000001</v>
      </c>
      <c r="L670" s="11">
        <f>10.7704 * CHOOSE(CONTROL!$C$32, $C$9, 100%, $E$9)</f>
        <v>10.7704</v>
      </c>
      <c r="M670" s="11">
        <f>10.7757 * CHOOSE(CONTROL!$C$32, $C$9, 100%, $E$9)</f>
        <v>10.775700000000001</v>
      </c>
      <c r="N670" s="11">
        <f>10.7704 * CHOOSE(CONTROL!$C$32, $C$9, 100%, $E$9)</f>
        <v>10.7704</v>
      </c>
      <c r="O670" s="11">
        <f>10.7757 * CHOOSE(CONTROL!$C$32, $C$9, 100%, $E$9)</f>
        <v>10.775700000000001</v>
      </c>
    </row>
    <row r="671" spans="1:15" ht="15" x14ac:dyDescent="0.2">
      <c r="A671" s="13">
        <v>61271</v>
      </c>
      <c r="B671" s="9">
        <f>9.7117 * CHOOSE(CONTROL!$C$32, $C$9, 100%, $E$9)</f>
        <v>9.7117000000000004</v>
      </c>
      <c r="C671" s="9">
        <f>9.7117 * CHOOSE(CONTROL!$C$32, $C$9, 100%, $E$9)</f>
        <v>9.7117000000000004</v>
      </c>
      <c r="D671" s="9">
        <f>9.7128 * CHOOSE(CONTROL!$C$32, $C$9, 100%, $E$9)</f>
        <v>9.7127999999999997</v>
      </c>
      <c r="E671" s="11">
        <f>10.8703 * CHOOSE(CONTROL!$C$32, $C$9, 100%, $E$9)</f>
        <v>10.8703</v>
      </c>
      <c r="F671" s="11">
        <f>10.8703 * CHOOSE(CONTROL!$C$32, $C$9, 100%, $E$9)</f>
        <v>10.8703</v>
      </c>
      <c r="G671" s="11">
        <f>10.8739 * CHOOSE(CONTROL!$C$32, $C$9, 100%, $E$9)</f>
        <v>10.873900000000001</v>
      </c>
      <c r="H671" s="11">
        <f>21.5069 * CHOOSE(CONTROL!$C$32, $C$9, 100%, $E$9)</f>
        <v>21.506900000000002</v>
      </c>
      <c r="I671" s="11">
        <f>21.5105 * CHOOSE(CONTROL!$C$32, $C$9, 100%, $E$9)</f>
        <v>21.5105</v>
      </c>
      <c r="J671" s="11">
        <f>21.5069 * CHOOSE(CONTROL!$C$32, $C$9, 100%, $E$9)</f>
        <v>21.506900000000002</v>
      </c>
      <c r="K671" s="11">
        <f>21.5105 * CHOOSE(CONTROL!$C$32, $C$9, 100%, $E$9)</f>
        <v>21.5105</v>
      </c>
      <c r="L671" s="11">
        <f>10.8703 * CHOOSE(CONTROL!$C$32, $C$9, 100%, $E$9)</f>
        <v>10.8703</v>
      </c>
      <c r="M671" s="11">
        <f>10.8739 * CHOOSE(CONTROL!$C$32, $C$9, 100%, $E$9)</f>
        <v>10.873900000000001</v>
      </c>
      <c r="N671" s="11">
        <f>10.8703 * CHOOSE(CONTROL!$C$32, $C$9, 100%, $E$9)</f>
        <v>10.8703</v>
      </c>
      <c r="O671" s="11">
        <f>10.8739 * CHOOSE(CONTROL!$C$32, $C$9, 100%, $E$9)</f>
        <v>10.873900000000001</v>
      </c>
    </row>
    <row r="672" spans="1:15" ht="15" x14ac:dyDescent="0.2">
      <c r="A672" s="13">
        <v>61302</v>
      </c>
      <c r="B672" s="9">
        <f>9.7147 * CHOOSE(CONTROL!$C$32, $C$9, 100%, $E$9)</f>
        <v>9.7147000000000006</v>
      </c>
      <c r="C672" s="9">
        <f>9.7147 * CHOOSE(CONTROL!$C$32, $C$9, 100%, $E$9)</f>
        <v>9.7147000000000006</v>
      </c>
      <c r="D672" s="9">
        <f>9.7158 * CHOOSE(CONTROL!$C$32, $C$9, 100%, $E$9)</f>
        <v>9.7157999999999998</v>
      </c>
      <c r="E672" s="11">
        <f>10.9291 * CHOOSE(CONTROL!$C$32, $C$9, 100%, $E$9)</f>
        <v>10.9291</v>
      </c>
      <c r="F672" s="11">
        <f>10.9291 * CHOOSE(CONTROL!$C$32, $C$9, 100%, $E$9)</f>
        <v>10.9291</v>
      </c>
      <c r="G672" s="11">
        <f>10.9327 * CHOOSE(CONTROL!$C$32, $C$9, 100%, $E$9)</f>
        <v>10.932700000000001</v>
      </c>
      <c r="H672" s="11">
        <f>21.5517 * CHOOSE(CONTROL!$C$32, $C$9, 100%, $E$9)</f>
        <v>21.5517</v>
      </c>
      <c r="I672" s="11">
        <f>21.5553 * CHOOSE(CONTROL!$C$32, $C$9, 100%, $E$9)</f>
        <v>21.555299999999999</v>
      </c>
      <c r="J672" s="11">
        <f>21.5517 * CHOOSE(CONTROL!$C$32, $C$9, 100%, $E$9)</f>
        <v>21.5517</v>
      </c>
      <c r="K672" s="11">
        <f>21.5553 * CHOOSE(CONTROL!$C$32, $C$9, 100%, $E$9)</f>
        <v>21.555299999999999</v>
      </c>
      <c r="L672" s="11">
        <f>10.9291 * CHOOSE(CONTROL!$C$32, $C$9, 100%, $E$9)</f>
        <v>10.9291</v>
      </c>
      <c r="M672" s="11">
        <f>10.9327 * CHOOSE(CONTROL!$C$32, $C$9, 100%, $E$9)</f>
        <v>10.932700000000001</v>
      </c>
      <c r="N672" s="11">
        <f>10.9291 * CHOOSE(CONTROL!$C$32, $C$9, 100%, $E$9)</f>
        <v>10.9291</v>
      </c>
      <c r="O672" s="11">
        <f>10.9327 * CHOOSE(CONTROL!$C$32, $C$9, 100%, $E$9)</f>
        <v>10.932700000000001</v>
      </c>
    </row>
    <row r="673" spans="1:15" ht="15" x14ac:dyDescent="0.2">
      <c r="A673" s="13">
        <v>61332</v>
      </c>
      <c r="B673" s="9">
        <f>9.7147 * CHOOSE(CONTROL!$C$32, $C$9, 100%, $E$9)</f>
        <v>9.7147000000000006</v>
      </c>
      <c r="C673" s="9">
        <f>9.7147 * CHOOSE(CONTROL!$C$32, $C$9, 100%, $E$9)</f>
        <v>9.7147000000000006</v>
      </c>
      <c r="D673" s="9">
        <f>9.7158 * CHOOSE(CONTROL!$C$32, $C$9, 100%, $E$9)</f>
        <v>9.7157999999999998</v>
      </c>
      <c r="E673" s="11">
        <f>10.7874 * CHOOSE(CONTROL!$C$32, $C$9, 100%, $E$9)</f>
        <v>10.7874</v>
      </c>
      <c r="F673" s="11">
        <f>10.7874 * CHOOSE(CONTROL!$C$32, $C$9, 100%, $E$9)</f>
        <v>10.7874</v>
      </c>
      <c r="G673" s="11">
        <f>10.7911 * CHOOSE(CONTROL!$C$32, $C$9, 100%, $E$9)</f>
        <v>10.7911</v>
      </c>
      <c r="H673" s="11">
        <f>21.5966 * CHOOSE(CONTROL!$C$32, $C$9, 100%, $E$9)</f>
        <v>21.596599999999999</v>
      </c>
      <c r="I673" s="11">
        <f>21.6002 * CHOOSE(CONTROL!$C$32, $C$9, 100%, $E$9)</f>
        <v>21.600200000000001</v>
      </c>
      <c r="J673" s="11">
        <f>21.5966 * CHOOSE(CONTROL!$C$32, $C$9, 100%, $E$9)</f>
        <v>21.596599999999999</v>
      </c>
      <c r="K673" s="11">
        <f>21.6002 * CHOOSE(CONTROL!$C$32, $C$9, 100%, $E$9)</f>
        <v>21.600200000000001</v>
      </c>
      <c r="L673" s="11">
        <f>10.7874 * CHOOSE(CONTROL!$C$32, $C$9, 100%, $E$9)</f>
        <v>10.7874</v>
      </c>
      <c r="M673" s="11">
        <f>10.7911 * CHOOSE(CONTROL!$C$32, $C$9, 100%, $E$9)</f>
        <v>10.7911</v>
      </c>
      <c r="N673" s="11">
        <f>10.7874 * CHOOSE(CONTROL!$C$32, $C$9, 100%, $E$9)</f>
        <v>10.7874</v>
      </c>
      <c r="O673" s="11">
        <f>10.7911 * CHOOSE(CONTROL!$C$32, $C$9, 100%, $E$9)</f>
        <v>10.7911</v>
      </c>
    </row>
    <row r="674" spans="1:15" ht="15" x14ac:dyDescent="0.2">
      <c r="A674" s="13">
        <v>61363</v>
      </c>
      <c r="B674" s="9">
        <f>9.7564 * CHOOSE(CONTROL!$C$32, $C$9, 100%, $E$9)</f>
        <v>9.7563999999999993</v>
      </c>
      <c r="C674" s="9">
        <f>9.7564 * CHOOSE(CONTROL!$C$32, $C$9, 100%, $E$9)</f>
        <v>9.7563999999999993</v>
      </c>
      <c r="D674" s="9">
        <f>9.7574 * CHOOSE(CONTROL!$C$32, $C$9, 100%, $E$9)</f>
        <v>9.7574000000000005</v>
      </c>
      <c r="E674" s="11">
        <f>10.9455 * CHOOSE(CONTROL!$C$32, $C$9, 100%, $E$9)</f>
        <v>10.945499999999999</v>
      </c>
      <c r="F674" s="11">
        <f>10.9455 * CHOOSE(CONTROL!$C$32, $C$9, 100%, $E$9)</f>
        <v>10.945499999999999</v>
      </c>
      <c r="G674" s="11">
        <f>10.9491 * CHOOSE(CONTROL!$C$32, $C$9, 100%, $E$9)</f>
        <v>10.9491</v>
      </c>
      <c r="H674" s="11">
        <f>21.5613 * CHOOSE(CONTROL!$C$32, $C$9, 100%, $E$9)</f>
        <v>21.561299999999999</v>
      </c>
      <c r="I674" s="11">
        <f>21.5649 * CHOOSE(CONTROL!$C$32, $C$9, 100%, $E$9)</f>
        <v>21.564900000000002</v>
      </c>
      <c r="J674" s="11">
        <f>21.5613 * CHOOSE(CONTROL!$C$32, $C$9, 100%, $E$9)</f>
        <v>21.561299999999999</v>
      </c>
      <c r="K674" s="11">
        <f>21.5649 * CHOOSE(CONTROL!$C$32, $C$9, 100%, $E$9)</f>
        <v>21.564900000000002</v>
      </c>
      <c r="L674" s="11">
        <f>10.9455 * CHOOSE(CONTROL!$C$32, $C$9, 100%, $E$9)</f>
        <v>10.945499999999999</v>
      </c>
      <c r="M674" s="11">
        <f>10.9491 * CHOOSE(CONTROL!$C$32, $C$9, 100%, $E$9)</f>
        <v>10.9491</v>
      </c>
      <c r="N674" s="11">
        <f>10.9455 * CHOOSE(CONTROL!$C$32, $C$9, 100%, $E$9)</f>
        <v>10.945499999999999</v>
      </c>
      <c r="O674" s="11">
        <f>10.9491 * CHOOSE(CONTROL!$C$32, $C$9, 100%, $E$9)</f>
        <v>10.9491</v>
      </c>
    </row>
    <row r="675" spans="1:15" ht="15" x14ac:dyDescent="0.2">
      <c r="A675" s="13">
        <v>61394</v>
      </c>
      <c r="B675" s="9">
        <f>9.7533 * CHOOSE(CONTROL!$C$32, $C$9, 100%, $E$9)</f>
        <v>9.7532999999999994</v>
      </c>
      <c r="C675" s="9">
        <f>9.7533 * CHOOSE(CONTROL!$C$32, $C$9, 100%, $E$9)</f>
        <v>9.7532999999999994</v>
      </c>
      <c r="D675" s="9">
        <f>9.7544 * CHOOSE(CONTROL!$C$32, $C$9, 100%, $E$9)</f>
        <v>9.7544000000000004</v>
      </c>
      <c r="E675" s="11">
        <f>10.6687 * CHOOSE(CONTROL!$C$32, $C$9, 100%, $E$9)</f>
        <v>10.668699999999999</v>
      </c>
      <c r="F675" s="11">
        <f>10.6687 * CHOOSE(CONTROL!$C$32, $C$9, 100%, $E$9)</f>
        <v>10.668699999999999</v>
      </c>
      <c r="G675" s="11">
        <f>10.6723 * CHOOSE(CONTROL!$C$32, $C$9, 100%, $E$9)</f>
        <v>10.6723</v>
      </c>
      <c r="H675" s="11">
        <f>21.6062 * CHOOSE(CONTROL!$C$32, $C$9, 100%, $E$9)</f>
        <v>21.606200000000001</v>
      </c>
      <c r="I675" s="11">
        <f>21.6098 * CHOOSE(CONTROL!$C$32, $C$9, 100%, $E$9)</f>
        <v>21.6098</v>
      </c>
      <c r="J675" s="11">
        <f>21.6062 * CHOOSE(CONTROL!$C$32, $C$9, 100%, $E$9)</f>
        <v>21.606200000000001</v>
      </c>
      <c r="K675" s="11">
        <f>21.6098 * CHOOSE(CONTROL!$C$32, $C$9, 100%, $E$9)</f>
        <v>21.6098</v>
      </c>
      <c r="L675" s="11">
        <f>10.6687 * CHOOSE(CONTROL!$C$32, $C$9, 100%, $E$9)</f>
        <v>10.668699999999999</v>
      </c>
      <c r="M675" s="11">
        <f>10.6723 * CHOOSE(CONTROL!$C$32, $C$9, 100%, $E$9)</f>
        <v>10.6723</v>
      </c>
      <c r="N675" s="11">
        <f>10.6687 * CHOOSE(CONTROL!$C$32, $C$9, 100%, $E$9)</f>
        <v>10.668699999999999</v>
      </c>
      <c r="O675" s="11">
        <f>10.6723 * CHOOSE(CONTROL!$C$32, $C$9, 100%, $E$9)</f>
        <v>10.6723</v>
      </c>
    </row>
    <row r="676" spans="1:15" ht="15" x14ac:dyDescent="0.2">
      <c r="A676" s="13">
        <v>61423</v>
      </c>
      <c r="B676" s="9">
        <f>9.7503 * CHOOSE(CONTROL!$C$32, $C$9, 100%, $E$9)</f>
        <v>9.7502999999999993</v>
      </c>
      <c r="C676" s="9">
        <f>9.7503 * CHOOSE(CONTROL!$C$32, $C$9, 100%, $E$9)</f>
        <v>9.7502999999999993</v>
      </c>
      <c r="D676" s="9">
        <f>9.7513 * CHOOSE(CONTROL!$C$32, $C$9, 100%, $E$9)</f>
        <v>9.7513000000000005</v>
      </c>
      <c r="E676" s="11">
        <f>10.8831 * CHOOSE(CONTROL!$C$32, $C$9, 100%, $E$9)</f>
        <v>10.883100000000001</v>
      </c>
      <c r="F676" s="11">
        <f>10.8831 * CHOOSE(CONTROL!$C$32, $C$9, 100%, $E$9)</f>
        <v>10.883100000000001</v>
      </c>
      <c r="G676" s="11">
        <f>10.8867 * CHOOSE(CONTROL!$C$32, $C$9, 100%, $E$9)</f>
        <v>10.886699999999999</v>
      </c>
      <c r="H676" s="11">
        <f>21.6512 * CHOOSE(CONTROL!$C$32, $C$9, 100%, $E$9)</f>
        <v>21.651199999999999</v>
      </c>
      <c r="I676" s="11">
        <f>21.6549 * CHOOSE(CONTROL!$C$32, $C$9, 100%, $E$9)</f>
        <v>21.654900000000001</v>
      </c>
      <c r="J676" s="11">
        <f>21.6512 * CHOOSE(CONTROL!$C$32, $C$9, 100%, $E$9)</f>
        <v>21.651199999999999</v>
      </c>
      <c r="K676" s="11">
        <f>21.6549 * CHOOSE(CONTROL!$C$32, $C$9, 100%, $E$9)</f>
        <v>21.654900000000001</v>
      </c>
      <c r="L676" s="11">
        <f>10.8831 * CHOOSE(CONTROL!$C$32, $C$9, 100%, $E$9)</f>
        <v>10.883100000000001</v>
      </c>
      <c r="M676" s="11">
        <f>10.8867 * CHOOSE(CONTROL!$C$32, $C$9, 100%, $E$9)</f>
        <v>10.886699999999999</v>
      </c>
      <c r="N676" s="11">
        <f>10.8831 * CHOOSE(CONTROL!$C$32, $C$9, 100%, $E$9)</f>
        <v>10.883100000000001</v>
      </c>
      <c r="O676" s="11">
        <f>10.8867 * CHOOSE(CONTROL!$C$32, $C$9, 100%, $E$9)</f>
        <v>10.886699999999999</v>
      </c>
    </row>
    <row r="677" spans="1:15" ht="15" x14ac:dyDescent="0.2">
      <c r="A677" s="13">
        <v>61454</v>
      </c>
      <c r="B677" s="9">
        <f>9.7535 * CHOOSE(CONTROL!$C$32, $C$9, 100%, $E$9)</f>
        <v>9.7535000000000007</v>
      </c>
      <c r="C677" s="9">
        <f>9.7535 * CHOOSE(CONTROL!$C$32, $C$9, 100%, $E$9)</f>
        <v>9.7535000000000007</v>
      </c>
      <c r="D677" s="9">
        <f>9.7546 * CHOOSE(CONTROL!$C$32, $C$9, 100%, $E$9)</f>
        <v>9.7545999999999999</v>
      </c>
      <c r="E677" s="11">
        <f>11.1115 * CHOOSE(CONTROL!$C$32, $C$9, 100%, $E$9)</f>
        <v>11.111499999999999</v>
      </c>
      <c r="F677" s="11">
        <f>11.1115 * CHOOSE(CONTROL!$C$32, $C$9, 100%, $E$9)</f>
        <v>11.111499999999999</v>
      </c>
      <c r="G677" s="11">
        <f>11.1151 * CHOOSE(CONTROL!$C$32, $C$9, 100%, $E$9)</f>
        <v>11.1151</v>
      </c>
      <c r="H677" s="11">
        <f>21.6964 * CHOOSE(CONTROL!$C$32, $C$9, 100%, $E$9)</f>
        <v>21.696400000000001</v>
      </c>
      <c r="I677" s="11">
        <f>21.7 * CHOOSE(CONTROL!$C$32, $C$9, 100%, $E$9)</f>
        <v>21.7</v>
      </c>
      <c r="J677" s="11">
        <f>21.6964 * CHOOSE(CONTROL!$C$32, $C$9, 100%, $E$9)</f>
        <v>21.696400000000001</v>
      </c>
      <c r="K677" s="11">
        <f>21.7 * CHOOSE(CONTROL!$C$32, $C$9, 100%, $E$9)</f>
        <v>21.7</v>
      </c>
      <c r="L677" s="11">
        <f>11.1115 * CHOOSE(CONTROL!$C$32, $C$9, 100%, $E$9)</f>
        <v>11.111499999999999</v>
      </c>
      <c r="M677" s="11">
        <f>11.1151 * CHOOSE(CONTROL!$C$32, $C$9, 100%, $E$9)</f>
        <v>11.1151</v>
      </c>
      <c r="N677" s="11">
        <f>11.1115 * CHOOSE(CONTROL!$C$32, $C$9, 100%, $E$9)</f>
        <v>11.111499999999999</v>
      </c>
      <c r="O677" s="11">
        <f>11.1151 * CHOOSE(CONTROL!$C$32, $C$9, 100%, $E$9)</f>
        <v>11.1151</v>
      </c>
    </row>
    <row r="678" spans="1:15" ht="15" x14ac:dyDescent="0.2">
      <c r="A678" s="13">
        <v>61484</v>
      </c>
      <c r="B678" s="9">
        <f>9.7535 * CHOOSE(CONTROL!$C$32, $C$9, 100%, $E$9)</f>
        <v>9.7535000000000007</v>
      </c>
      <c r="C678" s="9">
        <f>9.7535 * CHOOSE(CONTROL!$C$32, $C$9, 100%, $E$9)</f>
        <v>9.7535000000000007</v>
      </c>
      <c r="D678" s="9">
        <f>9.7551 * CHOOSE(CONTROL!$C$32, $C$9, 100%, $E$9)</f>
        <v>9.7551000000000005</v>
      </c>
      <c r="E678" s="11">
        <f>11.1987 * CHOOSE(CONTROL!$C$32, $C$9, 100%, $E$9)</f>
        <v>11.198700000000001</v>
      </c>
      <c r="F678" s="11">
        <f>11.1987 * CHOOSE(CONTROL!$C$32, $C$9, 100%, $E$9)</f>
        <v>11.198700000000001</v>
      </c>
      <c r="G678" s="11">
        <f>11.204 * CHOOSE(CONTROL!$C$32, $C$9, 100%, $E$9)</f>
        <v>11.204000000000001</v>
      </c>
      <c r="H678" s="11">
        <f>21.7416 * CHOOSE(CONTROL!$C$32, $C$9, 100%, $E$9)</f>
        <v>21.741599999999998</v>
      </c>
      <c r="I678" s="11">
        <f>21.7468 * CHOOSE(CONTROL!$C$32, $C$9, 100%, $E$9)</f>
        <v>21.7468</v>
      </c>
      <c r="J678" s="11">
        <f>21.7416 * CHOOSE(CONTROL!$C$32, $C$9, 100%, $E$9)</f>
        <v>21.741599999999998</v>
      </c>
      <c r="K678" s="11">
        <f>21.7468 * CHOOSE(CONTROL!$C$32, $C$9, 100%, $E$9)</f>
        <v>21.7468</v>
      </c>
      <c r="L678" s="11">
        <f>11.1987 * CHOOSE(CONTROL!$C$32, $C$9, 100%, $E$9)</f>
        <v>11.198700000000001</v>
      </c>
      <c r="M678" s="11">
        <f>11.204 * CHOOSE(CONTROL!$C$32, $C$9, 100%, $E$9)</f>
        <v>11.204000000000001</v>
      </c>
      <c r="N678" s="11">
        <f>11.1987 * CHOOSE(CONTROL!$C$32, $C$9, 100%, $E$9)</f>
        <v>11.198700000000001</v>
      </c>
      <c r="O678" s="11">
        <f>11.204 * CHOOSE(CONTROL!$C$32, $C$9, 100%, $E$9)</f>
        <v>11.204000000000001</v>
      </c>
    </row>
    <row r="679" spans="1:15" ht="15" x14ac:dyDescent="0.2">
      <c r="A679" s="13">
        <v>61515</v>
      </c>
      <c r="B679" s="9">
        <f>9.7596 * CHOOSE(CONTROL!$C$32, $C$9, 100%, $E$9)</f>
        <v>9.7596000000000007</v>
      </c>
      <c r="C679" s="9">
        <f>9.7596 * CHOOSE(CONTROL!$C$32, $C$9, 100%, $E$9)</f>
        <v>9.7596000000000007</v>
      </c>
      <c r="D679" s="9">
        <f>9.7612 * CHOOSE(CONTROL!$C$32, $C$9, 100%, $E$9)</f>
        <v>9.7612000000000005</v>
      </c>
      <c r="E679" s="11">
        <f>11.1157 * CHOOSE(CONTROL!$C$32, $C$9, 100%, $E$9)</f>
        <v>11.1157</v>
      </c>
      <c r="F679" s="11">
        <f>11.1157 * CHOOSE(CONTROL!$C$32, $C$9, 100%, $E$9)</f>
        <v>11.1157</v>
      </c>
      <c r="G679" s="11">
        <f>11.121 * CHOOSE(CONTROL!$C$32, $C$9, 100%, $E$9)</f>
        <v>11.121</v>
      </c>
      <c r="H679" s="11">
        <f>21.7868 * CHOOSE(CONTROL!$C$32, $C$9, 100%, $E$9)</f>
        <v>21.786799999999999</v>
      </c>
      <c r="I679" s="11">
        <f>21.7921 * CHOOSE(CONTROL!$C$32, $C$9, 100%, $E$9)</f>
        <v>21.792100000000001</v>
      </c>
      <c r="J679" s="11">
        <f>21.7868 * CHOOSE(CONTROL!$C$32, $C$9, 100%, $E$9)</f>
        <v>21.786799999999999</v>
      </c>
      <c r="K679" s="11">
        <f>21.7921 * CHOOSE(CONTROL!$C$32, $C$9, 100%, $E$9)</f>
        <v>21.792100000000001</v>
      </c>
      <c r="L679" s="11">
        <f>11.1157 * CHOOSE(CONTROL!$C$32, $C$9, 100%, $E$9)</f>
        <v>11.1157</v>
      </c>
      <c r="M679" s="11">
        <f>11.121 * CHOOSE(CONTROL!$C$32, $C$9, 100%, $E$9)</f>
        <v>11.121</v>
      </c>
      <c r="N679" s="11">
        <f>11.1157 * CHOOSE(CONTROL!$C$32, $C$9, 100%, $E$9)</f>
        <v>11.1157</v>
      </c>
      <c r="O679" s="11">
        <f>11.121 * CHOOSE(CONTROL!$C$32, $C$9, 100%, $E$9)</f>
        <v>11.121</v>
      </c>
    </row>
    <row r="680" spans="1:15" ht="15" x14ac:dyDescent="0.2">
      <c r="A680" s="13">
        <v>61545</v>
      </c>
      <c r="B680" s="9">
        <f>9.8813 * CHOOSE(CONTROL!$C$32, $C$9, 100%, $E$9)</f>
        <v>9.8812999999999995</v>
      </c>
      <c r="C680" s="9">
        <f>9.8813 * CHOOSE(CONTROL!$C$32, $C$9, 100%, $E$9)</f>
        <v>9.8812999999999995</v>
      </c>
      <c r="D680" s="9">
        <f>9.8829 * CHOOSE(CONTROL!$C$32, $C$9, 100%, $E$9)</f>
        <v>9.8828999999999994</v>
      </c>
      <c r="E680" s="11">
        <f>11.2713 * CHOOSE(CONTROL!$C$32, $C$9, 100%, $E$9)</f>
        <v>11.2713</v>
      </c>
      <c r="F680" s="11">
        <f>11.2713 * CHOOSE(CONTROL!$C$32, $C$9, 100%, $E$9)</f>
        <v>11.2713</v>
      </c>
      <c r="G680" s="11">
        <f>11.2766 * CHOOSE(CONTROL!$C$32, $C$9, 100%, $E$9)</f>
        <v>11.2766</v>
      </c>
      <c r="H680" s="11">
        <f>21.8322 * CHOOSE(CONTROL!$C$32, $C$9, 100%, $E$9)</f>
        <v>21.8322</v>
      </c>
      <c r="I680" s="11">
        <f>21.8375 * CHOOSE(CONTROL!$C$32, $C$9, 100%, $E$9)</f>
        <v>21.837499999999999</v>
      </c>
      <c r="J680" s="11">
        <f>21.8322 * CHOOSE(CONTROL!$C$32, $C$9, 100%, $E$9)</f>
        <v>21.8322</v>
      </c>
      <c r="K680" s="11">
        <f>21.8375 * CHOOSE(CONTROL!$C$32, $C$9, 100%, $E$9)</f>
        <v>21.837499999999999</v>
      </c>
      <c r="L680" s="11">
        <f>11.2713 * CHOOSE(CONTROL!$C$32, $C$9, 100%, $E$9)</f>
        <v>11.2713</v>
      </c>
      <c r="M680" s="11">
        <f>11.2766 * CHOOSE(CONTROL!$C$32, $C$9, 100%, $E$9)</f>
        <v>11.2766</v>
      </c>
      <c r="N680" s="11">
        <f>11.2713 * CHOOSE(CONTROL!$C$32, $C$9, 100%, $E$9)</f>
        <v>11.2713</v>
      </c>
      <c r="O680" s="11">
        <f>11.2766 * CHOOSE(CONTROL!$C$32, $C$9, 100%, $E$9)</f>
        <v>11.2766</v>
      </c>
    </row>
    <row r="681" spans="1:15" ht="15" x14ac:dyDescent="0.2">
      <c r="A681" s="13">
        <v>61576</v>
      </c>
      <c r="B681" s="9">
        <f>9.888 * CHOOSE(CONTROL!$C$32, $C$9, 100%, $E$9)</f>
        <v>9.8879999999999999</v>
      </c>
      <c r="C681" s="9">
        <f>9.888 * CHOOSE(CONTROL!$C$32, $C$9, 100%, $E$9)</f>
        <v>9.8879999999999999</v>
      </c>
      <c r="D681" s="9">
        <f>9.8896 * CHOOSE(CONTROL!$C$32, $C$9, 100%, $E$9)</f>
        <v>9.8895999999999997</v>
      </c>
      <c r="E681" s="11">
        <f>11.0143 * CHOOSE(CONTROL!$C$32, $C$9, 100%, $E$9)</f>
        <v>11.0143</v>
      </c>
      <c r="F681" s="11">
        <f>11.0143 * CHOOSE(CONTROL!$C$32, $C$9, 100%, $E$9)</f>
        <v>11.0143</v>
      </c>
      <c r="G681" s="11">
        <f>11.0196 * CHOOSE(CONTROL!$C$32, $C$9, 100%, $E$9)</f>
        <v>11.019600000000001</v>
      </c>
      <c r="H681" s="11">
        <f>21.8777 * CHOOSE(CONTROL!$C$32, $C$9, 100%, $E$9)</f>
        <v>21.877700000000001</v>
      </c>
      <c r="I681" s="11">
        <f>21.883 * CHOOSE(CONTROL!$C$32, $C$9, 100%, $E$9)</f>
        <v>21.882999999999999</v>
      </c>
      <c r="J681" s="11">
        <f>21.8777 * CHOOSE(CONTROL!$C$32, $C$9, 100%, $E$9)</f>
        <v>21.877700000000001</v>
      </c>
      <c r="K681" s="11">
        <f>21.883 * CHOOSE(CONTROL!$C$32, $C$9, 100%, $E$9)</f>
        <v>21.882999999999999</v>
      </c>
      <c r="L681" s="11">
        <f>11.0143 * CHOOSE(CONTROL!$C$32, $C$9, 100%, $E$9)</f>
        <v>11.0143</v>
      </c>
      <c r="M681" s="11">
        <f>11.0196 * CHOOSE(CONTROL!$C$32, $C$9, 100%, $E$9)</f>
        <v>11.019600000000001</v>
      </c>
      <c r="N681" s="11">
        <f>11.0143 * CHOOSE(CONTROL!$C$32, $C$9, 100%, $E$9)</f>
        <v>11.0143</v>
      </c>
      <c r="O681" s="11">
        <f>11.0196 * CHOOSE(CONTROL!$C$32, $C$9, 100%, $E$9)</f>
        <v>11.019600000000001</v>
      </c>
    </row>
    <row r="682" spans="1:15" ht="15" x14ac:dyDescent="0.2">
      <c r="A682" s="13">
        <v>61607</v>
      </c>
      <c r="B682" s="9">
        <f>9.885 * CHOOSE(CONTROL!$C$32, $C$9, 100%, $E$9)</f>
        <v>9.8849999999999998</v>
      </c>
      <c r="C682" s="9">
        <f>9.885 * CHOOSE(CONTROL!$C$32, $C$9, 100%, $E$9)</f>
        <v>9.8849999999999998</v>
      </c>
      <c r="D682" s="9">
        <f>9.8865 * CHOOSE(CONTROL!$C$32, $C$9, 100%, $E$9)</f>
        <v>9.8864999999999998</v>
      </c>
      <c r="E682" s="11">
        <f>10.9831 * CHOOSE(CONTROL!$C$32, $C$9, 100%, $E$9)</f>
        <v>10.9831</v>
      </c>
      <c r="F682" s="11">
        <f>10.9831 * CHOOSE(CONTROL!$C$32, $C$9, 100%, $E$9)</f>
        <v>10.9831</v>
      </c>
      <c r="G682" s="11">
        <f>10.9884 * CHOOSE(CONTROL!$C$32, $C$9, 100%, $E$9)</f>
        <v>10.9884</v>
      </c>
      <c r="H682" s="11">
        <f>21.9233 * CHOOSE(CONTROL!$C$32, $C$9, 100%, $E$9)</f>
        <v>21.923300000000001</v>
      </c>
      <c r="I682" s="11">
        <f>21.9286 * CHOOSE(CONTROL!$C$32, $C$9, 100%, $E$9)</f>
        <v>21.928599999999999</v>
      </c>
      <c r="J682" s="11">
        <f>21.9233 * CHOOSE(CONTROL!$C$32, $C$9, 100%, $E$9)</f>
        <v>21.923300000000001</v>
      </c>
      <c r="K682" s="11">
        <f>21.9286 * CHOOSE(CONTROL!$C$32, $C$9, 100%, $E$9)</f>
        <v>21.928599999999999</v>
      </c>
      <c r="L682" s="11">
        <f>10.9831 * CHOOSE(CONTROL!$C$32, $C$9, 100%, $E$9)</f>
        <v>10.9831</v>
      </c>
      <c r="M682" s="11">
        <f>10.9884 * CHOOSE(CONTROL!$C$32, $C$9, 100%, $E$9)</f>
        <v>10.9884</v>
      </c>
      <c r="N682" s="11">
        <f>10.9831 * CHOOSE(CONTROL!$C$32, $C$9, 100%, $E$9)</f>
        <v>10.9831</v>
      </c>
      <c r="O682" s="11">
        <f>10.9884 * CHOOSE(CONTROL!$C$32, $C$9, 100%, $E$9)</f>
        <v>10.9884</v>
      </c>
    </row>
    <row r="683" spans="1:15" ht="15" x14ac:dyDescent="0.2">
      <c r="A683" s="13">
        <v>61637</v>
      </c>
      <c r="B683" s="9">
        <f>9.902 * CHOOSE(CONTROL!$C$32, $C$9, 100%, $E$9)</f>
        <v>9.9019999999999992</v>
      </c>
      <c r="C683" s="9">
        <f>9.902 * CHOOSE(CONTROL!$C$32, $C$9, 100%, $E$9)</f>
        <v>9.9019999999999992</v>
      </c>
      <c r="D683" s="9">
        <f>9.9031 * CHOOSE(CONTROL!$C$32, $C$9, 100%, $E$9)</f>
        <v>9.9031000000000002</v>
      </c>
      <c r="E683" s="11">
        <f>11.086 * CHOOSE(CONTROL!$C$32, $C$9, 100%, $E$9)</f>
        <v>11.086</v>
      </c>
      <c r="F683" s="11">
        <f>11.086 * CHOOSE(CONTROL!$C$32, $C$9, 100%, $E$9)</f>
        <v>11.086</v>
      </c>
      <c r="G683" s="11">
        <f>11.0896 * CHOOSE(CONTROL!$C$32, $C$9, 100%, $E$9)</f>
        <v>11.089600000000001</v>
      </c>
      <c r="H683" s="11">
        <f>21.969 * CHOOSE(CONTROL!$C$32, $C$9, 100%, $E$9)</f>
        <v>21.969000000000001</v>
      </c>
      <c r="I683" s="11">
        <f>21.9726 * CHOOSE(CONTROL!$C$32, $C$9, 100%, $E$9)</f>
        <v>21.9726</v>
      </c>
      <c r="J683" s="11">
        <f>21.969 * CHOOSE(CONTROL!$C$32, $C$9, 100%, $E$9)</f>
        <v>21.969000000000001</v>
      </c>
      <c r="K683" s="11">
        <f>21.9726 * CHOOSE(CONTROL!$C$32, $C$9, 100%, $E$9)</f>
        <v>21.9726</v>
      </c>
      <c r="L683" s="11">
        <f>11.086 * CHOOSE(CONTROL!$C$32, $C$9, 100%, $E$9)</f>
        <v>11.086</v>
      </c>
      <c r="M683" s="11">
        <f>11.0896 * CHOOSE(CONTROL!$C$32, $C$9, 100%, $E$9)</f>
        <v>11.089600000000001</v>
      </c>
      <c r="N683" s="11">
        <f>11.086 * CHOOSE(CONTROL!$C$32, $C$9, 100%, $E$9)</f>
        <v>11.086</v>
      </c>
      <c r="O683" s="11">
        <f>11.0896 * CHOOSE(CONTROL!$C$32, $C$9, 100%, $E$9)</f>
        <v>11.089600000000001</v>
      </c>
    </row>
    <row r="684" spans="1:15" ht="15" x14ac:dyDescent="0.2">
      <c r="A684" s="13">
        <v>61668</v>
      </c>
      <c r="B684" s="9">
        <f>9.905 * CHOOSE(CONTROL!$C$32, $C$9, 100%, $E$9)</f>
        <v>9.9049999999999994</v>
      </c>
      <c r="C684" s="9">
        <f>9.905 * CHOOSE(CONTROL!$C$32, $C$9, 100%, $E$9)</f>
        <v>9.9049999999999994</v>
      </c>
      <c r="D684" s="9">
        <f>9.9061 * CHOOSE(CONTROL!$C$32, $C$9, 100%, $E$9)</f>
        <v>9.9061000000000003</v>
      </c>
      <c r="E684" s="11">
        <f>11.1463 * CHOOSE(CONTROL!$C$32, $C$9, 100%, $E$9)</f>
        <v>11.1463</v>
      </c>
      <c r="F684" s="11">
        <f>11.1463 * CHOOSE(CONTROL!$C$32, $C$9, 100%, $E$9)</f>
        <v>11.1463</v>
      </c>
      <c r="G684" s="11">
        <f>11.1499 * CHOOSE(CONTROL!$C$32, $C$9, 100%, $E$9)</f>
        <v>11.149900000000001</v>
      </c>
      <c r="H684" s="11">
        <f>22.0147 * CHOOSE(CONTROL!$C$32, $C$9, 100%, $E$9)</f>
        <v>22.014700000000001</v>
      </c>
      <c r="I684" s="11">
        <f>22.0184 * CHOOSE(CONTROL!$C$32, $C$9, 100%, $E$9)</f>
        <v>22.0184</v>
      </c>
      <c r="J684" s="11">
        <f>22.0147 * CHOOSE(CONTROL!$C$32, $C$9, 100%, $E$9)</f>
        <v>22.014700000000001</v>
      </c>
      <c r="K684" s="11">
        <f>22.0184 * CHOOSE(CONTROL!$C$32, $C$9, 100%, $E$9)</f>
        <v>22.0184</v>
      </c>
      <c r="L684" s="11">
        <f>11.1463 * CHOOSE(CONTROL!$C$32, $C$9, 100%, $E$9)</f>
        <v>11.1463</v>
      </c>
      <c r="M684" s="11">
        <f>11.1499 * CHOOSE(CONTROL!$C$32, $C$9, 100%, $E$9)</f>
        <v>11.149900000000001</v>
      </c>
      <c r="N684" s="11">
        <f>11.1463 * CHOOSE(CONTROL!$C$32, $C$9, 100%, $E$9)</f>
        <v>11.1463</v>
      </c>
      <c r="O684" s="11">
        <f>11.1499 * CHOOSE(CONTROL!$C$32, $C$9, 100%, $E$9)</f>
        <v>11.149900000000001</v>
      </c>
    </row>
    <row r="685" spans="1:15" ht="15" x14ac:dyDescent="0.2">
      <c r="A685" s="13">
        <v>61698</v>
      </c>
      <c r="B685" s="9">
        <f>9.905 * CHOOSE(CONTROL!$C$32, $C$9, 100%, $E$9)</f>
        <v>9.9049999999999994</v>
      </c>
      <c r="C685" s="9">
        <f>9.905 * CHOOSE(CONTROL!$C$32, $C$9, 100%, $E$9)</f>
        <v>9.9049999999999994</v>
      </c>
      <c r="D685" s="9">
        <f>9.9061 * CHOOSE(CONTROL!$C$32, $C$9, 100%, $E$9)</f>
        <v>9.9061000000000003</v>
      </c>
      <c r="E685" s="11">
        <f>11.0009 * CHOOSE(CONTROL!$C$32, $C$9, 100%, $E$9)</f>
        <v>11.0009</v>
      </c>
      <c r="F685" s="11">
        <f>11.0009 * CHOOSE(CONTROL!$C$32, $C$9, 100%, $E$9)</f>
        <v>11.0009</v>
      </c>
      <c r="G685" s="11">
        <f>11.0045 * CHOOSE(CONTROL!$C$32, $C$9, 100%, $E$9)</f>
        <v>11.0045</v>
      </c>
      <c r="H685" s="11">
        <f>22.0606 * CHOOSE(CONTROL!$C$32, $C$9, 100%, $E$9)</f>
        <v>22.060600000000001</v>
      </c>
      <c r="I685" s="11">
        <f>22.0642 * CHOOSE(CONTROL!$C$32, $C$9, 100%, $E$9)</f>
        <v>22.0642</v>
      </c>
      <c r="J685" s="11">
        <f>22.0606 * CHOOSE(CONTROL!$C$32, $C$9, 100%, $E$9)</f>
        <v>22.060600000000001</v>
      </c>
      <c r="K685" s="11">
        <f>22.0642 * CHOOSE(CONTROL!$C$32, $C$9, 100%, $E$9)</f>
        <v>22.0642</v>
      </c>
      <c r="L685" s="11">
        <f>11.0009 * CHOOSE(CONTROL!$C$32, $C$9, 100%, $E$9)</f>
        <v>11.0009</v>
      </c>
      <c r="M685" s="11">
        <f>11.0045 * CHOOSE(CONTROL!$C$32, $C$9, 100%, $E$9)</f>
        <v>11.0045</v>
      </c>
      <c r="N685" s="11">
        <f>11.0009 * CHOOSE(CONTROL!$C$32, $C$9, 100%, $E$9)</f>
        <v>11.0009</v>
      </c>
      <c r="O685" s="11">
        <f>11.0045 * CHOOSE(CONTROL!$C$32, $C$9, 100%, $E$9)</f>
        <v>11.0045</v>
      </c>
    </row>
    <row r="686" spans="1:15" ht="15" x14ac:dyDescent="0.2">
      <c r="A686" s="13">
        <v>61729</v>
      </c>
      <c r="B686" s="9">
        <f>9.9437 * CHOOSE(CONTROL!$C$32, $C$9, 100%, $E$9)</f>
        <v>9.9436999999999998</v>
      </c>
      <c r="C686" s="9">
        <f>9.9437 * CHOOSE(CONTROL!$C$32, $C$9, 100%, $E$9)</f>
        <v>9.9436999999999998</v>
      </c>
      <c r="D686" s="9">
        <f>9.9448 * CHOOSE(CONTROL!$C$32, $C$9, 100%, $E$9)</f>
        <v>9.9448000000000008</v>
      </c>
      <c r="E686" s="11">
        <f>11.158 * CHOOSE(CONTROL!$C$32, $C$9, 100%, $E$9)</f>
        <v>11.157999999999999</v>
      </c>
      <c r="F686" s="11">
        <f>11.158 * CHOOSE(CONTROL!$C$32, $C$9, 100%, $E$9)</f>
        <v>11.157999999999999</v>
      </c>
      <c r="G686" s="11">
        <f>11.1616 * CHOOSE(CONTROL!$C$32, $C$9, 100%, $E$9)</f>
        <v>11.1616</v>
      </c>
      <c r="H686" s="11">
        <f>22.0148 * CHOOSE(CONTROL!$C$32, $C$9, 100%, $E$9)</f>
        <v>22.014800000000001</v>
      </c>
      <c r="I686" s="11">
        <f>22.0184 * CHOOSE(CONTROL!$C$32, $C$9, 100%, $E$9)</f>
        <v>22.0184</v>
      </c>
      <c r="J686" s="11">
        <f>22.0148 * CHOOSE(CONTROL!$C$32, $C$9, 100%, $E$9)</f>
        <v>22.014800000000001</v>
      </c>
      <c r="K686" s="11">
        <f>22.0184 * CHOOSE(CONTROL!$C$32, $C$9, 100%, $E$9)</f>
        <v>22.0184</v>
      </c>
      <c r="L686" s="11">
        <f>11.158 * CHOOSE(CONTROL!$C$32, $C$9, 100%, $E$9)</f>
        <v>11.157999999999999</v>
      </c>
      <c r="M686" s="11">
        <f>11.1616 * CHOOSE(CONTROL!$C$32, $C$9, 100%, $E$9)</f>
        <v>11.1616</v>
      </c>
      <c r="N686" s="11">
        <f>11.158 * CHOOSE(CONTROL!$C$32, $C$9, 100%, $E$9)</f>
        <v>11.157999999999999</v>
      </c>
      <c r="O686" s="11">
        <f>11.1616 * CHOOSE(CONTROL!$C$32, $C$9, 100%, $E$9)</f>
        <v>11.1616</v>
      </c>
    </row>
    <row r="687" spans="1:15" ht="15" x14ac:dyDescent="0.2">
      <c r="A687" s="13">
        <v>61760</v>
      </c>
      <c r="B687" s="9">
        <f>9.9407 * CHOOSE(CONTROL!$C$32, $C$9, 100%, $E$9)</f>
        <v>9.9406999999999996</v>
      </c>
      <c r="C687" s="9">
        <f>9.9407 * CHOOSE(CONTROL!$C$32, $C$9, 100%, $E$9)</f>
        <v>9.9406999999999996</v>
      </c>
      <c r="D687" s="9">
        <f>9.9417 * CHOOSE(CONTROL!$C$32, $C$9, 100%, $E$9)</f>
        <v>9.9417000000000009</v>
      </c>
      <c r="E687" s="11">
        <f>10.8741 * CHOOSE(CONTROL!$C$32, $C$9, 100%, $E$9)</f>
        <v>10.8741</v>
      </c>
      <c r="F687" s="11">
        <f>10.8741 * CHOOSE(CONTROL!$C$32, $C$9, 100%, $E$9)</f>
        <v>10.8741</v>
      </c>
      <c r="G687" s="11">
        <f>10.8777 * CHOOSE(CONTROL!$C$32, $C$9, 100%, $E$9)</f>
        <v>10.877700000000001</v>
      </c>
      <c r="H687" s="11">
        <f>22.0607 * CHOOSE(CONTROL!$C$32, $C$9, 100%, $E$9)</f>
        <v>22.060700000000001</v>
      </c>
      <c r="I687" s="11">
        <f>22.0643 * CHOOSE(CONTROL!$C$32, $C$9, 100%, $E$9)</f>
        <v>22.064299999999999</v>
      </c>
      <c r="J687" s="11">
        <f>22.0607 * CHOOSE(CONTROL!$C$32, $C$9, 100%, $E$9)</f>
        <v>22.060700000000001</v>
      </c>
      <c r="K687" s="11">
        <f>22.0643 * CHOOSE(CONTROL!$C$32, $C$9, 100%, $E$9)</f>
        <v>22.064299999999999</v>
      </c>
      <c r="L687" s="11">
        <f>10.8741 * CHOOSE(CONTROL!$C$32, $C$9, 100%, $E$9)</f>
        <v>10.8741</v>
      </c>
      <c r="M687" s="11">
        <f>10.8777 * CHOOSE(CONTROL!$C$32, $C$9, 100%, $E$9)</f>
        <v>10.877700000000001</v>
      </c>
      <c r="N687" s="11">
        <f>10.8741 * CHOOSE(CONTROL!$C$32, $C$9, 100%, $E$9)</f>
        <v>10.8741</v>
      </c>
      <c r="O687" s="11">
        <f>10.8777 * CHOOSE(CONTROL!$C$32, $C$9, 100%, $E$9)</f>
        <v>10.877700000000001</v>
      </c>
    </row>
    <row r="688" spans="1:15" ht="15" x14ac:dyDescent="0.2">
      <c r="A688" s="13">
        <v>61788</v>
      </c>
      <c r="B688" s="9">
        <f>9.9376 * CHOOSE(CONTROL!$C$32, $C$9, 100%, $E$9)</f>
        <v>9.9375999999999998</v>
      </c>
      <c r="C688" s="9">
        <f>9.9376 * CHOOSE(CONTROL!$C$32, $C$9, 100%, $E$9)</f>
        <v>9.9375999999999998</v>
      </c>
      <c r="D688" s="9">
        <f>9.9387 * CHOOSE(CONTROL!$C$32, $C$9, 100%, $E$9)</f>
        <v>9.9387000000000008</v>
      </c>
      <c r="E688" s="11">
        <f>11.0941 * CHOOSE(CONTROL!$C$32, $C$9, 100%, $E$9)</f>
        <v>11.094099999999999</v>
      </c>
      <c r="F688" s="11">
        <f>11.0941 * CHOOSE(CONTROL!$C$32, $C$9, 100%, $E$9)</f>
        <v>11.094099999999999</v>
      </c>
      <c r="G688" s="11">
        <f>11.0977 * CHOOSE(CONTROL!$C$32, $C$9, 100%, $E$9)</f>
        <v>11.0977</v>
      </c>
      <c r="H688" s="11">
        <f>22.1066 * CHOOSE(CONTROL!$C$32, $C$9, 100%, $E$9)</f>
        <v>22.1066</v>
      </c>
      <c r="I688" s="11">
        <f>22.1103 * CHOOSE(CONTROL!$C$32, $C$9, 100%, $E$9)</f>
        <v>22.110299999999999</v>
      </c>
      <c r="J688" s="11">
        <f>22.1066 * CHOOSE(CONTROL!$C$32, $C$9, 100%, $E$9)</f>
        <v>22.1066</v>
      </c>
      <c r="K688" s="11">
        <f>22.1103 * CHOOSE(CONTROL!$C$32, $C$9, 100%, $E$9)</f>
        <v>22.110299999999999</v>
      </c>
      <c r="L688" s="11">
        <f>11.0941 * CHOOSE(CONTROL!$C$32, $C$9, 100%, $E$9)</f>
        <v>11.094099999999999</v>
      </c>
      <c r="M688" s="11">
        <f>11.0977 * CHOOSE(CONTROL!$C$32, $C$9, 100%, $E$9)</f>
        <v>11.0977</v>
      </c>
      <c r="N688" s="11">
        <f>11.0941 * CHOOSE(CONTROL!$C$32, $C$9, 100%, $E$9)</f>
        <v>11.094099999999999</v>
      </c>
      <c r="O688" s="11">
        <f>11.0977 * CHOOSE(CONTROL!$C$32, $C$9, 100%, $E$9)</f>
        <v>11.0977</v>
      </c>
    </row>
    <row r="689" spans="1:15" ht="15" x14ac:dyDescent="0.2">
      <c r="A689" s="13">
        <v>61819</v>
      </c>
      <c r="B689" s="9">
        <f>9.941 * CHOOSE(CONTROL!$C$32, $C$9, 100%, $E$9)</f>
        <v>9.9410000000000007</v>
      </c>
      <c r="C689" s="9">
        <f>9.941 * CHOOSE(CONTROL!$C$32, $C$9, 100%, $E$9)</f>
        <v>9.9410000000000007</v>
      </c>
      <c r="D689" s="9">
        <f>9.9421 * CHOOSE(CONTROL!$C$32, $C$9, 100%, $E$9)</f>
        <v>9.9420999999999999</v>
      </c>
      <c r="E689" s="11">
        <f>11.3285 * CHOOSE(CONTROL!$C$32, $C$9, 100%, $E$9)</f>
        <v>11.3285</v>
      </c>
      <c r="F689" s="11">
        <f>11.3285 * CHOOSE(CONTROL!$C$32, $C$9, 100%, $E$9)</f>
        <v>11.3285</v>
      </c>
      <c r="G689" s="11">
        <f>11.3321 * CHOOSE(CONTROL!$C$32, $C$9, 100%, $E$9)</f>
        <v>11.332100000000001</v>
      </c>
      <c r="H689" s="11">
        <f>22.1527 * CHOOSE(CONTROL!$C$32, $C$9, 100%, $E$9)</f>
        <v>22.152699999999999</v>
      </c>
      <c r="I689" s="11">
        <f>22.1563 * CHOOSE(CONTROL!$C$32, $C$9, 100%, $E$9)</f>
        <v>22.156300000000002</v>
      </c>
      <c r="J689" s="11">
        <f>22.1527 * CHOOSE(CONTROL!$C$32, $C$9, 100%, $E$9)</f>
        <v>22.152699999999999</v>
      </c>
      <c r="K689" s="11">
        <f>22.1563 * CHOOSE(CONTROL!$C$32, $C$9, 100%, $E$9)</f>
        <v>22.156300000000002</v>
      </c>
      <c r="L689" s="11">
        <f>11.3285 * CHOOSE(CONTROL!$C$32, $C$9, 100%, $E$9)</f>
        <v>11.3285</v>
      </c>
      <c r="M689" s="11">
        <f>11.3321 * CHOOSE(CONTROL!$C$32, $C$9, 100%, $E$9)</f>
        <v>11.332100000000001</v>
      </c>
      <c r="N689" s="11">
        <f>11.3285 * CHOOSE(CONTROL!$C$32, $C$9, 100%, $E$9)</f>
        <v>11.3285</v>
      </c>
      <c r="O689" s="11">
        <f>11.3321 * CHOOSE(CONTROL!$C$32, $C$9, 100%, $E$9)</f>
        <v>11.332100000000001</v>
      </c>
    </row>
    <row r="690" spans="1:15" ht="15" x14ac:dyDescent="0.2">
      <c r="A690" s="13">
        <v>61849</v>
      </c>
      <c r="B690" s="9">
        <f>9.941 * CHOOSE(CONTROL!$C$32, $C$9, 100%, $E$9)</f>
        <v>9.9410000000000007</v>
      </c>
      <c r="C690" s="9">
        <f>9.941 * CHOOSE(CONTROL!$C$32, $C$9, 100%, $E$9)</f>
        <v>9.9410000000000007</v>
      </c>
      <c r="D690" s="9">
        <f>9.9426 * CHOOSE(CONTROL!$C$32, $C$9, 100%, $E$9)</f>
        <v>9.9426000000000005</v>
      </c>
      <c r="E690" s="11">
        <f>11.418 * CHOOSE(CONTROL!$C$32, $C$9, 100%, $E$9)</f>
        <v>11.417999999999999</v>
      </c>
      <c r="F690" s="11">
        <f>11.418 * CHOOSE(CONTROL!$C$32, $C$9, 100%, $E$9)</f>
        <v>11.417999999999999</v>
      </c>
      <c r="G690" s="11">
        <f>11.4233 * CHOOSE(CONTROL!$C$32, $C$9, 100%, $E$9)</f>
        <v>11.423299999999999</v>
      </c>
      <c r="H690" s="11">
        <f>22.1988 * CHOOSE(CONTROL!$C$32, $C$9, 100%, $E$9)</f>
        <v>22.198799999999999</v>
      </c>
      <c r="I690" s="11">
        <f>22.2041 * CHOOSE(CONTROL!$C$32, $C$9, 100%, $E$9)</f>
        <v>22.2041</v>
      </c>
      <c r="J690" s="11">
        <f>22.1988 * CHOOSE(CONTROL!$C$32, $C$9, 100%, $E$9)</f>
        <v>22.198799999999999</v>
      </c>
      <c r="K690" s="11">
        <f>22.2041 * CHOOSE(CONTROL!$C$32, $C$9, 100%, $E$9)</f>
        <v>22.2041</v>
      </c>
      <c r="L690" s="11">
        <f>11.418 * CHOOSE(CONTROL!$C$32, $C$9, 100%, $E$9)</f>
        <v>11.417999999999999</v>
      </c>
      <c r="M690" s="11">
        <f>11.4233 * CHOOSE(CONTROL!$C$32, $C$9, 100%, $E$9)</f>
        <v>11.423299999999999</v>
      </c>
      <c r="N690" s="11">
        <f>11.418 * CHOOSE(CONTROL!$C$32, $C$9, 100%, $E$9)</f>
        <v>11.417999999999999</v>
      </c>
      <c r="O690" s="11">
        <f>11.4233 * CHOOSE(CONTROL!$C$32, $C$9, 100%, $E$9)</f>
        <v>11.423299999999999</v>
      </c>
    </row>
    <row r="691" spans="1:15" ht="15" x14ac:dyDescent="0.2">
      <c r="A691" s="13">
        <v>61880</v>
      </c>
      <c r="B691" s="9">
        <f>9.9471 * CHOOSE(CONTROL!$C$32, $C$9, 100%, $E$9)</f>
        <v>9.9471000000000007</v>
      </c>
      <c r="C691" s="9">
        <f>9.9471 * CHOOSE(CONTROL!$C$32, $C$9, 100%, $E$9)</f>
        <v>9.9471000000000007</v>
      </c>
      <c r="D691" s="9">
        <f>9.9487 * CHOOSE(CONTROL!$C$32, $C$9, 100%, $E$9)</f>
        <v>9.9487000000000005</v>
      </c>
      <c r="E691" s="11">
        <f>11.3327 * CHOOSE(CONTROL!$C$32, $C$9, 100%, $E$9)</f>
        <v>11.332700000000001</v>
      </c>
      <c r="F691" s="11">
        <f>11.3327 * CHOOSE(CONTROL!$C$32, $C$9, 100%, $E$9)</f>
        <v>11.332700000000001</v>
      </c>
      <c r="G691" s="11">
        <f>11.338 * CHOOSE(CONTROL!$C$32, $C$9, 100%, $E$9)</f>
        <v>11.337999999999999</v>
      </c>
      <c r="H691" s="11">
        <f>22.2451 * CHOOSE(CONTROL!$C$32, $C$9, 100%, $E$9)</f>
        <v>22.245100000000001</v>
      </c>
      <c r="I691" s="11">
        <f>22.2504 * CHOOSE(CONTROL!$C$32, $C$9, 100%, $E$9)</f>
        <v>22.250399999999999</v>
      </c>
      <c r="J691" s="11">
        <f>22.2451 * CHOOSE(CONTROL!$C$32, $C$9, 100%, $E$9)</f>
        <v>22.245100000000001</v>
      </c>
      <c r="K691" s="11">
        <f>22.2504 * CHOOSE(CONTROL!$C$32, $C$9, 100%, $E$9)</f>
        <v>22.250399999999999</v>
      </c>
      <c r="L691" s="11">
        <f>11.3327 * CHOOSE(CONTROL!$C$32, $C$9, 100%, $E$9)</f>
        <v>11.332700000000001</v>
      </c>
      <c r="M691" s="11">
        <f>11.338 * CHOOSE(CONTROL!$C$32, $C$9, 100%, $E$9)</f>
        <v>11.337999999999999</v>
      </c>
      <c r="N691" s="11">
        <f>11.3327 * CHOOSE(CONTROL!$C$32, $C$9, 100%, $E$9)</f>
        <v>11.332700000000001</v>
      </c>
      <c r="O691" s="11">
        <f>11.338 * CHOOSE(CONTROL!$C$32, $C$9, 100%, $E$9)</f>
        <v>11.337999999999999</v>
      </c>
    </row>
    <row r="692" spans="1:15" ht="15" x14ac:dyDescent="0.2">
      <c r="A692" s="13">
        <v>61910</v>
      </c>
      <c r="B692" s="9">
        <f>10.0709 * CHOOSE(CONTROL!$C$32, $C$9, 100%, $E$9)</f>
        <v>10.0709</v>
      </c>
      <c r="C692" s="9">
        <f>10.0709 * CHOOSE(CONTROL!$C$32, $C$9, 100%, $E$9)</f>
        <v>10.0709</v>
      </c>
      <c r="D692" s="9">
        <f>10.0725 * CHOOSE(CONTROL!$C$32, $C$9, 100%, $E$9)</f>
        <v>10.0725</v>
      </c>
      <c r="E692" s="11">
        <f>11.4915 * CHOOSE(CONTROL!$C$32, $C$9, 100%, $E$9)</f>
        <v>11.4915</v>
      </c>
      <c r="F692" s="11">
        <f>11.4915 * CHOOSE(CONTROL!$C$32, $C$9, 100%, $E$9)</f>
        <v>11.4915</v>
      </c>
      <c r="G692" s="11">
        <f>11.4968 * CHOOSE(CONTROL!$C$32, $C$9, 100%, $E$9)</f>
        <v>11.4968</v>
      </c>
      <c r="H692" s="11">
        <f>22.2914 * CHOOSE(CONTROL!$C$32, $C$9, 100%, $E$9)</f>
        <v>22.291399999999999</v>
      </c>
      <c r="I692" s="11">
        <f>22.2967 * CHOOSE(CONTROL!$C$32, $C$9, 100%, $E$9)</f>
        <v>22.296700000000001</v>
      </c>
      <c r="J692" s="11">
        <f>22.2914 * CHOOSE(CONTROL!$C$32, $C$9, 100%, $E$9)</f>
        <v>22.291399999999999</v>
      </c>
      <c r="K692" s="11">
        <f>22.2967 * CHOOSE(CONTROL!$C$32, $C$9, 100%, $E$9)</f>
        <v>22.296700000000001</v>
      </c>
      <c r="L692" s="11">
        <f>11.4915 * CHOOSE(CONTROL!$C$32, $C$9, 100%, $E$9)</f>
        <v>11.4915</v>
      </c>
      <c r="M692" s="11">
        <f>11.4968 * CHOOSE(CONTROL!$C$32, $C$9, 100%, $E$9)</f>
        <v>11.4968</v>
      </c>
      <c r="N692" s="11">
        <f>11.4915 * CHOOSE(CONTROL!$C$32, $C$9, 100%, $E$9)</f>
        <v>11.4915</v>
      </c>
      <c r="O692" s="11">
        <f>11.4968 * CHOOSE(CONTROL!$C$32, $C$9, 100%, $E$9)</f>
        <v>11.4968</v>
      </c>
    </row>
    <row r="693" spans="1:15" ht="15" x14ac:dyDescent="0.2">
      <c r="A693" s="13">
        <v>61941</v>
      </c>
      <c r="B693" s="9">
        <f>10.0776 * CHOOSE(CONTROL!$C$32, $C$9, 100%, $E$9)</f>
        <v>10.0776</v>
      </c>
      <c r="C693" s="9">
        <f>10.0776 * CHOOSE(CONTROL!$C$32, $C$9, 100%, $E$9)</f>
        <v>10.0776</v>
      </c>
      <c r="D693" s="9">
        <f>10.0792 * CHOOSE(CONTROL!$C$32, $C$9, 100%, $E$9)</f>
        <v>10.0792</v>
      </c>
      <c r="E693" s="11">
        <f>11.2277 * CHOOSE(CONTROL!$C$32, $C$9, 100%, $E$9)</f>
        <v>11.2277</v>
      </c>
      <c r="F693" s="11">
        <f>11.2277 * CHOOSE(CONTROL!$C$32, $C$9, 100%, $E$9)</f>
        <v>11.2277</v>
      </c>
      <c r="G693" s="11">
        <f>11.233 * CHOOSE(CONTROL!$C$32, $C$9, 100%, $E$9)</f>
        <v>11.233000000000001</v>
      </c>
      <c r="H693" s="11">
        <f>22.3379 * CHOOSE(CONTROL!$C$32, $C$9, 100%, $E$9)</f>
        <v>22.337900000000001</v>
      </c>
      <c r="I693" s="11">
        <f>22.3432 * CHOOSE(CONTROL!$C$32, $C$9, 100%, $E$9)</f>
        <v>22.3432</v>
      </c>
      <c r="J693" s="11">
        <f>22.3379 * CHOOSE(CONTROL!$C$32, $C$9, 100%, $E$9)</f>
        <v>22.337900000000001</v>
      </c>
      <c r="K693" s="11">
        <f>22.3432 * CHOOSE(CONTROL!$C$32, $C$9, 100%, $E$9)</f>
        <v>22.3432</v>
      </c>
      <c r="L693" s="11">
        <f>11.2277 * CHOOSE(CONTROL!$C$32, $C$9, 100%, $E$9)</f>
        <v>11.2277</v>
      </c>
      <c r="M693" s="11">
        <f>11.233 * CHOOSE(CONTROL!$C$32, $C$9, 100%, $E$9)</f>
        <v>11.233000000000001</v>
      </c>
      <c r="N693" s="11">
        <f>11.2277 * CHOOSE(CONTROL!$C$32, $C$9, 100%, $E$9)</f>
        <v>11.2277</v>
      </c>
      <c r="O693" s="11">
        <f>11.233 * CHOOSE(CONTROL!$C$32, $C$9, 100%, $E$9)</f>
        <v>11.233000000000001</v>
      </c>
    </row>
    <row r="694" spans="1:15" ht="15" x14ac:dyDescent="0.2">
      <c r="A694" s="13">
        <v>61972</v>
      </c>
      <c r="B694" s="9">
        <f>10.0746 * CHOOSE(CONTROL!$C$32, $C$9, 100%, $E$9)</f>
        <v>10.0746</v>
      </c>
      <c r="C694" s="9">
        <f>10.0746 * CHOOSE(CONTROL!$C$32, $C$9, 100%, $E$9)</f>
        <v>10.0746</v>
      </c>
      <c r="D694" s="9">
        <f>10.0761 * CHOOSE(CONTROL!$C$32, $C$9, 100%, $E$9)</f>
        <v>10.0761</v>
      </c>
      <c r="E694" s="11">
        <f>11.1958 * CHOOSE(CONTROL!$C$32, $C$9, 100%, $E$9)</f>
        <v>11.1958</v>
      </c>
      <c r="F694" s="11">
        <f>11.1958 * CHOOSE(CONTROL!$C$32, $C$9, 100%, $E$9)</f>
        <v>11.1958</v>
      </c>
      <c r="G694" s="11">
        <f>11.2011 * CHOOSE(CONTROL!$C$32, $C$9, 100%, $E$9)</f>
        <v>11.2011</v>
      </c>
      <c r="H694" s="11">
        <f>22.3844 * CHOOSE(CONTROL!$C$32, $C$9, 100%, $E$9)</f>
        <v>22.384399999999999</v>
      </c>
      <c r="I694" s="11">
        <f>22.3897 * CHOOSE(CONTROL!$C$32, $C$9, 100%, $E$9)</f>
        <v>22.389700000000001</v>
      </c>
      <c r="J694" s="11">
        <f>22.3844 * CHOOSE(CONTROL!$C$32, $C$9, 100%, $E$9)</f>
        <v>22.384399999999999</v>
      </c>
      <c r="K694" s="11">
        <f>22.3897 * CHOOSE(CONTROL!$C$32, $C$9, 100%, $E$9)</f>
        <v>22.389700000000001</v>
      </c>
      <c r="L694" s="11">
        <f>11.1958 * CHOOSE(CONTROL!$C$32, $C$9, 100%, $E$9)</f>
        <v>11.1958</v>
      </c>
      <c r="M694" s="11">
        <f>11.2011 * CHOOSE(CONTROL!$C$32, $C$9, 100%, $E$9)</f>
        <v>11.2011</v>
      </c>
      <c r="N694" s="11">
        <f>11.1958 * CHOOSE(CONTROL!$C$32, $C$9, 100%, $E$9)</f>
        <v>11.1958</v>
      </c>
      <c r="O694" s="11">
        <f>11.2011 * CHOOSE(CONTROL!$C$32, $C$9, 100%, $E$9)</f>
        <v>11.2011</v>
      </c>
    </row>
    <row r="695" spans="1:15" ht="15" x14ac:dyDescent="0.2">
      <c r="A695" s="13">
        <v>62002</v>
      </c>
      <c r="B695" s="9">
        <f>10.0923 * CHOOSE(CONTROL!$C$32, $C$9, 100%, $E$9)</f>
        <v>10.0923</v>
      </c>
      <c r="C695" s="9">
        <f>10.0923 * CHOOSE(CONTROL!$C$32, $C$9, 100%, $E$9)</f>
        <v>10.0923</v>
      </c>
      <c r="D695" s="9">
        <f>10.0934 * CHOOSE(CONTROL!$C$32, $C$9, 100%, $E$9)</f>
        <v>10.093400000000001</v>
      </c>
      <c r="E695" s="11">
        <f>11.3017 * CHOOSE(CONTROL!$C$32, $C$9, 100%, $E$9)</f>
        <v>11.3017</v>
      </c>
      <c r="F695" s="11">
        <f>11.3017 * CHOOSE(CONTROL!$C$32, $C$9, 100%, $E$9)</f>
        <v>11.3017</v>
      </c>
      <c r="G695" s="11">
        <f>11.3053 * CHOOSE(CONTROL!$C$32, $C$9, 100%, $E$9)</f>
        <v>11.305300000000001</v>
      </c>
      <c r="H695" s="11">
        <f>22.4311 * CHOOSE(CONTROL!$C$32, $C$9, 100%, $E$9)</f>
        <v>22.431100000000001</v>
      </c>
      <c r="I695" s="11">
        <f>22.4347 * CHOOSE(CONTROL!$C$32, $C$9, 100%, $E$9)</f>
        <v>22.434699999999999</v>
      </c>
      <c r="J695" s="11">
        <f>22.4311 * CHOOSE(CONTROL!$C$32, $C$9, 100%, $E$9)</f>
        <v>22.431100000000001</v>
      </c>
      <c r="K695" s="11">
        <f>22.4347 * CHOOSE(CONTROL!$C$32, $C$9, 100%, $E$9)</f>
        <v>22.434699999999999</v>
      </c>
      <c r="L695" s="11">
        <f>11.3017 * CHOOSE(CONTROL!$C$32, $C$9, 100%, $E$9)</f>
        <v>11.3017</v>
      </c>
      <c r="M695" s="11">
        <f>11.3053 * CHOOSE(CONTROL!$C$32, $C$9, 100%, $E$9)</f>
        <v>11.305300000000001</v>
      </c>
      <c r="N695" s="11">
        <f>11.3017 * CHOOSE(CONTROL!$C$32, $C$9, 100%, $E$9)</f>
        <v>11.3017</v>
      </c>
      <c r="O695" s="11">
        <f>11.3053 * CHOOSE(CONTROL!$C$32, $C$9, 100%, $E$9)</f>
        <v>11.305300000000001</v>
      </c>
    </row>
    <row r="696" spans="1:15" ht="15" x14ac:dyDescent="0.2">
      <c r="A696" s="13">
        <v>62033</v>
      </c>
      <c r="B696" s="9">
        <f>10.0953 * CHOOSE(CONTROL!$C$32, $C$9, 100%, $E$9)</f>
        <v>10.0953</v>
      </c>
      <c r="C696" s="9">
        <f>10.0953 * CHOOSE(CONTROL!$C$32, $C$9, 100%, $E$9)</f>
        <v>10.0953</v>
      </c>
      <c r="D696" s="9">
        <f>10.0964 * CHOOSE(CONTROL!$C$32, $C$9, 100%, $E$9)</f>
        <v>10.096399999999999</v>
      </c>
      <c r="E696" s="11">
        <f>11.3634 * CHOOSE(CONTROL!$C$32, $C$9, 100%, $E$9)</f>
        <v>11.3634</v>
      </c>
      <c r="F696" s="11">
        <f>11.3634 * CHOOSE(CONTROL!$C$32, $C$9, 100%, $E$9)</f>
        <v>11.3634</v>
      </c>
      <c r="G696" s="11">
        <f>11.3671 * CHOOSE(CONTROL!$C$32, $C$9, 100%, $E$9)</f>
        <v>11.367100000000001</v>
      </c>
      <c r="H696" s="11">
        <f>22.4778 * CHOOSE(CONTROL!$C$32, $C$9, 100%, $E$9)</f>
        <v>22.477799999999998</v>
      </c>
      <c r="I696" s="11">
        <f>22.4814 * CHOOSE(CONTROL!$C$32, $C$9, 100%, $E$9)</f>
        <v>22.481400000000001</v>
      </c>
      <c r="J696" s="11">
        <f>22.4778 * CHOOSE(CONTROL!$C$32, $C$9, 100%, $E$9)</f>
        <v>22.477799999999998</v>
      </c>
      <c r="K696" s="11">
        <f>22.4814 * CHOOSE(CONTROL!$C$32, $C$9, 100%, $E$9)</f>
        <v>22.481400000000001</v>
      </c>
      <c r="L696" s="11">
        <f>11.3634 * CHOOSE(CONTROL!$C$32, $C$9, 100%, $E$9)</f>
        <v>11.3634</v>
      </c>
      <c r="M696" s="11">
        <f>11.3671 * CHOOSE(CONTROL!$C$32, $C$9, 100%, $E$9)</f>
        <v>11.367100000000001</v>
      </c>
      <c r="N696" s="11">
        <f>11.3634 * CHOOSE(CONTROL!$C$32, $C$9, 100%, $E$9)</f>
        <v>11.3634</v>
      </c>
      <c r="O696" s="11">
        <f>11.3671 * CHOOSE(CONTROL!$C$32, $C$9, 100%, $E$9)</f>
        <v>11.367100000000001</v>
      </c>
    </row>
    <row r="697" spans="1:15" ht="15" x14ac:dyDescent="0.2">
      <c r="A697" s="13">
        <v>62063</v>
      </c>
      <c r="B697" s="9">
        <f>10.0953 * CHOOSE(CONTROL!$C$32, $C$9, 100%, $E$9)</f>
        <v>10.0953</v>
      </c>
      <c r="C697" s="9">
        <f>10.0953 * CHOOSE(CONTROL!$C$32, $C$9, 100%, $E$9)</f>
        <v>10.0953</v>
      </c>
      <c r="D697" s="9">
        <f>10.0964 * CHOOSE(CONTROL!$C$32, $C$9, 100%, $E$9)</f>
        <v>10.096399999999999</v>
      </c>
      <c r="E697" s="11">
        <f>11.2143 * CHOOSE(CONTROL!$C$32, $C$9, 100%, $E$9)</f>
        <v>11.2143</v>
      </c>
      <c r="F697" s="11">
        <f>11.2143 * CHOOSE(CONTROL!$C$32, $C$9, 100%, $E$9)</f>
        <v>11.2143</v>
      </c>
      <c r="G697" s="11">
        <f>11.2179 * CHOOSE(CONTROL!$C$32, $C$9, 100%, $E$9)</f>
        <v>11.2179</v>
      </c>
      <c r="H697" s="11">
        <f>22.5246 * CHOOSE(CONTROL!$C$32, $C$9, 100%, $E$9)</f>
        <v>22.5246</v>
      </c>
      <c r="I697" s="11">
        <f>22.5282 * CHOOSE(CONTROL!$C$32, $C$9, 100%, $E$9)</f>
        <v>22.528199999999998</v>
      </c>
      <c r="J697" s="11">
        <f>22.5246 * CHOOSE(CONTROL!$C$32, $C$9, 100%, $E$9)</f>
        <v>22.5246</v>
      </c>
      <c r="K697" s="11">
        <f>22.5282 * CHOOSE(CONTROL!$C$32, $C$9, 100%, $E$9)</f>
        <v>22.528199999999998</v>
      </c>
      <c r="L697" s="11">
        <f>11.2143 * CHOOSE(CONTROL!$C$32, $C$9, 100%, $E$9)</f>
        <v>11.2143</v>
      </c>
      <c r="M697" s="11">
        <f>11.2179 * CHOOSE(CONTROL!$C$32, $C$9, 100%, $E$9)</f>
        <v>11.2179</v>
      </c>
      <c r="N697" s="11">
        <f>11.2143 * CHOOSE(CONTROL!$C$32, $C$9, 100%, $E$9)</f>
        <v>11.2143</v>
      </c>
      <c r="O697" s="11">
        <f>11.2179 * CHOOSE(CONTROL!$C$32, $C$9, 100%, $E$9)</f>
        <v>11.2179</v>
      </c>
    </row>
    <row r="698" spans="1:15" ht="15" x14ac:dyDescent="0.2">
      <c r="A698" s="13">
        <v>62094</v>
      </c>
      <c r="B698" s="9">
        <f>10.1311 * CHOOSE(CONTROL!$C$32, $C$9, 100%, $E$9)</f>
        <v>10.1311</v>
      </c>
      <c r="C698" s="9">
        <f>10.1311 * CHOOSE(CONTROL!$C$32, $C$9, 100%, $E$9)</f>
        <v>10.1311</v>
      </c>
      <c r="D698" s="9">
        <f>10.1321 * CHOOSE(CONTROL!$C$32, $C$9, 100%, $E$9)</f>
        <v>10.132099999999999</v>
      </c>
      <c r="E698" s="11">
        <f>11.3705 * CHOOSE(CONTROL!$C$32, $C$9, 100%, $E$9)</f>
        <v>11.3705</v>
      </c>
      <c r="F698" s="11">
        <f>11.3705 * CHOOSE(CONTROL!$C$32, $C$9, 100%, $E$9)</f>
        <v>11.3705</v>
      </c>
      <c r="G698" s="11">
        <f>11.3741 * CHOOSE(CONTROL!$C$32, $C$9, 100%, $E$9)</f>
        <v>11.3741</v>
      </c>
      <c r="H698" s="11">
        <f>22.4683 * CHOOSE(CONTROL!$C$32, $C$9, 100%, $E$9)</f>
        <v>22.468299999999999</v>
      </c>
      <c r="I698" s="11">
        <f>22.4719 * CHOOSE(CONTROL!$C$32, $C$9, 100%, $E$9)</f>
        <v>22.471900000000002</v>
      </c>
      <c r="J698" s="11">
        <f>22.4683 * CHOOSE(CONTROL!$C$32, $C$9, 100%, $E$9)</f>
        <v>22.468299999999999</v>
      </c>
      <c r="K698" s="11">
        <f>22.4719 * CHOOSE(CONTROL!$C$32, $C$9, 100%, $E$9)</f>
        <v>22.471900000000002</v>
      </c>
      <c r="L698" s="11">
        <f>11.3705 * CHOOSE(CONTROL!$C$32, $C$9, 100%, $E$9)</f>
        <v>11.3705</v>
      </c>
      <c r="M698" s="11">
        <f>11.3741 * CHOOSE(CONTROL!$C$32, $C$9, 100%, $E$9)</f>
        <v>11.3741</v>
      </c>
      <c r="N698" s="11">
        <f>11.3705 * CHOOSE(CONTROL!$C$32, $C$9, 100%, $E$9)</f>
        <v>11.3705</v>
      </c>
      <c r="O698" s="11">
        <f>11.3741 * CHOOSE(CONTROL!$C$32, $C$9, 100%, $E$9)</f>
        <v>11.3741</v>
      </c>
    </row>
    <row r="699" spans="1:15" ht="15" x14ac:dyDescent="0.2">
      <c r="A699" s="13">
        <v>62125</v>
      </c>
      <c r="B699" s="9">
        <f>10.128 * CHOOSE(CONTROL!$C$32, $C$9, 100%, $E$9)</f>
        <v>10.128</v>
      </c>
      <c r="C699" s="9">
        <f>10.128 * CHOOSE(CONTROL!$C$32, $C$9, 100%, $E$9)</f>
        <v>10.128</v>
      </c>
      <c r="D699" s="9">
        <f>10.1291 * CHOOSE(CONTROL!$C$32, $C$9, 100%, $E$9)</f>
        <v>10.129099999999999</v>
      </c>
      <c r="E699" s="11">
        <f>11.0795 * CHOOSE(CONTROL!$C$32, $C$9, 100%, $E$9)</f>
        <v>11.079499999999999</v>
      </c>
      <c r="F699" s="11">
        <f>11.0795 * CHOOSE(CONTROL!$C$32, $C$9, 100%, $E$9)</f>
        <v>11.079499999999999</v>
      </c>
      <c r="G699" s="11">
        <f>11.0831 * CHOOSE(CONTROL!$C$32, $C$9, 100%, $E$9)</f>
        <v>11.0831</v>
      </c>
      <c r="H699" s="11">
        <f>22.5151 * CHOOSE(CONTROL!$C$32, $C$9, 100%, $E$9)</f>
        <v>22.5151</v>
      </c>
      <c r="I699" s="11">
        <f>22.5187 * CHOOSE(CONTROL!$C$32, $C$9, 100%, $E$9)</f>
        <v>22.518699999999999</v>
      </c>
      <c r="J699" s="11">
        <f>22.5151 * CHOOSE(CONTROL!$C$32, $C$9, 100%, $E$9)</f>
        <v>22.5151</v>
      </c>
      <c r="K699" s="11">
        <f>22.5187 * CHOOSE(CONTROL!$C$32, $C$9, 100%, $E$9)</f>
        <v>22.518699999999999</v>
      </c>
      <c r="L699" s="11">
        <f>11.0795 * CHOOSE(CONTROL!$C$32, $C$9, 100%, $E$9)</f>
        <v>11.079499999999999</v>
      </c>
      <c r="M699" s="11">
        <f>11.0831 * CHOOSE(CONTROL!$C$32, $C$9, 100%, $E$9)</f>
        <v>11.0831</v>
      </c>
      <c r="N699" s="11">
        <f>11.0795 * CHOOSE(CONTROL!$C$32, $C$9, 100%, $E$9)</f>
        <v>11.079499999999999</v>
      </c>
      <c r="O699" s="11">
        <f>11.0831 * CHOOSE(CONTROL!$C$32, $C$9, 100%, $E$9)</f>
        <v>11.0831</v>
      </c>
    </row>
    <row r="700" spans="1:15" ht="15" x14ac:dyDescent="0.2">
      <c r="A700" s="13">
        <v>62153</v>
      </c>
      <c r="B700" s="9">
        <f>10.125 * CHOOSE(CONTROL!$C$32, $C$9, 100%, $E$9)</f>
        <v>10.125</v>
      </c>
      <c r="C700" s="9">
        <f>10.125 * CHOOSE(CONTROL!$C$32, $C$9, 100%, $E$9)</f>
        <v>10.125</v>
      </c>
      <c r="D700" s="9">
        <f>10.1261 * CHOOSE(CONTROL!$C$32, $C$9, 100%, $E$9)</f>
        <v>10.126099999999999</v>
      </c>
      <c r="E700" s="11">
        <f>11.3051 * CHOOSE(CONTROL!$C$32, $C$9, 100%, $E$9)</f>
        <v>11.305099999999999</v>
      </c>
      <c r="F700" s="11">
        <f>11.3051 * CHOOSE(CONTROL!$C$32, $C$9, 100%, $E$9)</f>
        <v>11.305099999999999</v>
      </c>
      <c r="G700" s="11">
        <f>11.3087 * CHOOSE(CONTROL!$C$32, $C$9, 100%, $E$9)</f>
        <v>11.3087</v>
      </c>
      <c r="H700" s="11">
        <f>22.562 * CHOOSE(CONTROL!$C$32, $C$9, 100%, $E$9)</f>
        <v>22.562000000000001</v>
      </c>
      <c r="I700" s="11">
        <f>22.5657 * CHOOSE(CONTROL!$C$32, $C$9, 100%, $E$9)</f>
        <v>22.5657</v>
      </c>
      <c r="J700" s="11">
        <f>22.562 * CHOOSE(CONTROL!$C$32, $C$9, 100%, $E$9)</f>
        <v>22.562000000000001</v>
      </c>
      <c r="K700" s="11">
        <f>22.5657 * CHOOSE(CONTROL!$C$32, $C$9, 100%, $E$9)</f>
        <v>22.5657</v>
      </c>
      <c r="L700" s="11">
        <f>11.3051 * CHOOSE(CONTROL!$C$32, $C$9, 100%, $E$9)</f>
        <v>11.305099999999999</v>
      </c>
      <c r="M700" s="11">
        <f>11.3087 * CHOOSE(CONTROL!$C$32, $C$9, 100%, $E$9)</f>
        <v>11.3087</v>
      </c>
      <c r="N700" s="11">
        <f>11.3051 * CHOOSE(CONTROL!$C$32, $C$9, 100%, $E$9)</f>
        <v>11.305099999999999</v>
      </c>
      <c r="O700" s="11">
        <f>11.3087 * CHOOSE(CONTROL!$C$32, $C$9, 100%, $E$9)</f>
        <v>11.3087</v>
      </c>
    </row>
    <row r="701" spans="1:15" ht="15" x14ac:dyDescent="0.2">
      <c r="A701" s="13">
        <v>62184</v>
      </c>
      <c r="B701" s="9">
        <f>10.1286 * CHOOSE(CONTROL!$C$32, $C$9, 100%, $E$9)</f>
        <v>10.1286</v>
      </c>
      <c r="C701" s="9">
        <f>10.1286 * CHOOSE(CONTROL!$C$32, $C$9, 100%, $E$9)</f>
        <v>10.1286</v>
      </c>
      <c r="D701" s="9">
        <f>10.1297 * CHOOSE(CONTROL!$C$32, $C$9, 100%, $E$9)</f>
        <v>10.1297</v>
      </c>
      <c r="E701" s="11">
        <f>11.5455 * CHOOSE(CONTROL!$C$32, $C$9, 100%, $E$9)</f>
        <v>11.545500000000001</v>
      </c>
      <c r="F701" s="11">
        <f>11.5455 * CHOOSE(CONTROL!$C$32, $C$9, 100%, $E$9)</f>
        <v>11.545500000000001</v>
      </c>
      <c r="G701" s="11">
        <f>11.5491 * CHOOSE(CONTROL!$C$32, $C$9, 100%, $E$9)</f>
        <v>11.549099999999999</v>
      </c>
      <c r="H701" s="11">
        <f>22.609 * CHOOSE(CONTROL!$C$32, $C$9, 100%, $E$9)</f>
        <v>22.609000000000002</v>
      </c>
      <c r="I701" s="11">
        <f>22.6127 * CHOOSE(CONTROL!$C$32, $C$9, 100%, $E$9)</f>
        <v>22.6127</v>
      </c>
      <c r="J701" s="11">
        <f>22.609 * CHOOSE(CONTROL!$C$32, $C$9, 100%, $E$9)</f>
        <v>22.609000000000002</v>
      </c>
      <c r="K701" s="11">
        <f>22.6127 * CHOOSE(CONTROL!$C$32, $C$9, 100%, $E$9)</f>
        <v>22.6127</v>
      </c>
      <c r="L701" s="11">
        <f>11.5455 * CHOOSE(CONTROL!$C$32, $C$9, 100%, $E$9)</f>
        <v>11.545500000000001</v>
      </c>
      <c r="M701" s="11">
        <f>11.5491 * CHOOSE(CONTROL!$C$32, $C$9, 100%, $E$9)</f>
        <v>11.549099999999999</v>
      </c>
      <c r="N701" s="11">
        <f>11.5455 * CHOOSE(CONTROL!$C$32, $C$9, 100%, $E$9)</f>
        <v>11.545500000000001</v>
      </c>
      <c r="O701" s="11">
        <f>11.5491 * CHOOSE(CONTROL!$C$32, $C$9, 100%, $E$9)</f>
        <v>11.549099999999999</v>
      </c>
    </row>
    <row r="702" spans="1:15" ht="15" x14ac:dyDescent="0.2">
      <c r="A702" s="13">
        <v>62214</v>
      </c>
      <c r="B702" s="9">
        <f>10.1286 * CHOOSE(CONTROL!$C$32, $C$9, 100%, $E$9)</f>
        <v>10.1286</v>
      </c>
      <c r="C702" s="9">
        <f>10.1286 * CHOOSE(CONTROL!$C$32, $C$9, 100%, $E$9)</f>
        <v>10.1286</v>
      </c>
      <c r="D702" s="9">
        <f>10.1302 * CHOOSE(CONTROL!$C$32, $C$9, 100%, $E$9)</f>
        <v>10.1302</v>
      </c>
      <c r="E702" s="11">
        <f>11.6372 * CHOOSE(CONTROL!$C$32, $C$9, 100%, $E$9)</f>
        <v>11.6372</v>
      </c>
      <c r="F702" s="11">
        <f>11.6372 * CHOOSE(CONTROL!$C$32, $C$9, 100%, $E$9)</f>
        <v>11.6372</v>
      </c>
      <c r="G702" s="11">
        <f>11.6425 * CHOOSE(CONTROL!$C$32, $C$9, 100%, $E$9)</f>
        <v>11.6425</v>
      </c>
      <c r="H702" s="11">
        <f>22.6561 * CHOOSE(CONTROL!$C$32, $C$9, 100%, $E$9)</f>
        <v>22.656099999999999</v>
      </c>
      <c r="I702" s="11">
        <f>22.6614 * CHOOSE(CONTROL!$C$32, $C$9, 100%, $E$9)</f>
        <v>22.6614</v>
      </c>
      <c r="J702" s="11">
        <f>22.6561 * CHOOSE(CONTROL!$C$32, $C$9, 100%, $E$9)</f>
        <v>22.656099999999999</v>
      </c>
      <c r="K702" s="11">
        <f>22.6614 * CHOOSE(CONTROL!$C$32, $C$9, 100%, $E$9)</f>
        <v>22.6614</v>
      </c>
      <c r="L702" s="11">
        <f>11.6372 * CHOOSE(CONTROL!$C$32, $C$9, 100%, $E$9)</f>
        <v>11.6372</v>
      </c>
      <c r="M702" s="11">
        <f>11.6425 * CHOOSE(CONTROL!$C$32, $C$9, 100%, $E$9)</f>
        <v>11.6425</v>
      </c>
      <c r="N702" s="11">
        <f>11.6372 * CHOOSE(CONTROL!$C$32, $C$9, 100%, $E$9)</f>
        <v>11.6372</v>
      </c>
      <c r="O702" s="11">
        <f>11.6425 * CHOOSE(CONTROL!$C$32, $C$9, 100%, $E$9)</f>
        <v>11.6425</v>
      </c>
    </row>
    <row r="703" spans="1:15" ht="15" x14ac:dyDescent="0.2">
      <c r="A703" s="13">
        <v>62245</v>
      </c>
      <c r="B703" s="9">
        <f>10.1347 * CHOOSE(CONTROL!$C$32, $C$9, 100%, $E$9)</f>
        <v>10.1347</v>
      </c>
      <c r="C703" s="9">
        <f>10.1347 * CHOOSE(CONTROL!$C$32, $C$9, 100%, $E$9)</f>
        <v>10.1347</v>
      </c>
      <c r="D703" s="9">
        <f>10.1362 * CHOOSE(CONTROL!$C$32, $C$9, 100%, $E$9)</f>
        <v>10.136200000000001</v>
      </c>
      <c r="E703" s="11">
        <f>11.5497 * CHOOSE(CONTROL!$C$32, $C$9, 100%, $E$9)</f>
        <v>11.5497</v>
      </c>
      <c r="F703" s="11">
        <f>11.5497 * CHOOSE(CONTROL!$C$32, $C$9, 100%, $E$9)</f>
        <v>11.5497</v>
      </c>
      <c r="G703" s="11">
        <f>11.555 * CHOOSE(CONTROL!$C$32, $C$9, 100%, $E$9)</f>
        <v>11.555</v>
      </c>
      <c r="H703" s="11">
        <f>22.7033 * CHOOSE(CONTROL!$C$32, $C$9, 100%, $E$9)</f>
        <v>22.703299999999999</v>
      </c>
      <c r="I703" s="11">
        <f>22.7086 * CHOOSE(CONTROL!$C$32, $C$9, 100%, $E$9)</f>
        <v>22.708600000000001</v>
      </c>
      <c r="J703" s="11">
        <f>22.7033 * CHOOSE(CONTROL!$C$32, $C$9, 100%, $E$9)</f>
        <v>22.703299999999999</v>
      </c>
      <c r="K703" s="11">
        <f>22.7086 * CHOOSE(CONTROL!$C$32, $C$9, 100%, $E$9)</f>
        <v>22.708600000000001</v>
      </c>
      <c r="L703" s="11">
        <f>11.5497 * CHOOSE(CONTROL!$C$32, $C$9, 100%, $E$9)</f>
        <v>11.5497</v>
      </c>
      <c r="M703" s="11">
        <f>11.555 * CHOOSE(CONTROL!$C$32, $C$9, 100%, $E$9)</f>
        <v>11.555</v>
      </c>
      <c r="N703" s="11">
        <f>11.5497 * CHOOSE(CONTROL!$C$32, $C$9, 100%, $E$9)</f>
        <v>11.5497</v>
      </c>
      <c r="O703" s="11">
        <f>11.555 * CHOOSE(CONTROL!$C$32, $C$9, 100%, $E$9)</f>
        <v>11.555</v>
      </c>
    </row>
    <row r="704" spans="1:15" ht="15" x14ac:dyDescent="0.2">
      <c r="A704" s="13">
        <v>62275</v>
      </c>
      <c r="B704" s="9">
        <f>10.2605 * CHOOSE(CONTROL!$C$32, $C$9, 100%, $E$9)</f>
        <v>10.2605</v>
      </c>
      <c r="C704" s="9">
        <f>10.2605 * CHOOSE(CONTROL!$C$32, $C$9, 100%, $E$9)</f>
        <v>10.2605</v>
      </c>
      <c r="D704" s="9">
        <f>10.2621 * CHOOSE(CONTROL!$C$32, $C$9, 100%, $E$9)</f>
        <v>10.2621</v>
      </c>
      <c r="E704" s="11">
        <f>11.7117 * CHOOSE(CONTROL!$C$32, $C$9, 100%, $E$9)</f>
        <v>11.7117</v>
      </c>
      <c r="F704" s="11">
        <f>11.7117 * CHOOSE(CONTROL!$C$32, $C$9, 100%, $E$9)</f>
        <v>11.7117</v>
      </c>
      <c r="G704" s="11">
        <f>11.717 * CHOOSE(CONTROL!$C$32, $C$9, 100%, $E$9)</f>
        <v>11.717000000000001</v>
      </c>
      <c r="H704" s="11">
        <f>22.7506 * CHOOSE(CONTROL!$C$32, $C$9, 100%, $E$9)</f>
        <v>22.750599999999999</v>
      </c>
      <c r="I704" s="11">
        <f>22.7559 * CHOOSE(CONTROL!$C$32, $C$9, 100%, $E$9)</f>
        <v>22.7559</v>
      </c>
      <c r="J704" s="11">
        <f>22.7506 * CHOOSE(CONTROL!$C$32, $C$9, 100%, $E$9)</f>
        <v>22.750599999999999</v>
      </c>
      <c r="K704" s="11">
        <f>22.7559 * CHOOSE(CONTROL!$C$32, $C$9, 100%, $E$9)</f>
        <v>22.7559</v>
      </c>
      <c r="L704" s="11">
        <f>11.7117 * CHOOSE(CONTROL!$C$32, $C$9, 100%, $E$9)</f>
        <v>11.7117</v>
      </c>
      <c r="M704" s="11">
        <f>11.717 * CHOOSE(CONTROL!$C$32, $C$9, 100%, $E$9)</f>
        <v>11.717000000000001</v>
      </c>
      <c r="N704" s="11">
        <f>11.7117 * CHOOSE(CONTROL!$C$32, $C$9, 100%, $E$9)</f>
        <v>11.7117</v>
      </c>
      <c r="O704" s="11">
        <f>11.717 * CHOOSE(CONTROL!$C$32, $C$9, 100%, $E$9)</f>
        <v>11.717000000000001</v>
      </c>
    </row>
    <row r="705" spans="1:15" ht="15" x14ac:dyDescent="0.2">
      <c r="A705" s="13">
        <v>62306</v>
      </c>
      <c r="B705" s="9">
        <f>10.2672 * CHOOSE(CONTROL!$C$32, $C$9, 100%, $E$9)</f>
        <v>10.267200000000001</v>
      </c>
      <c r="C705" s="9">
        <f>10.2672 * CHOOSE(CONTROL!$C$32, $C$9, 100%, $E$9)</f>
        <v>10.267200000000001</v>
      </c>
      <c r="D705" s="9">
        <f>10.2688 * CHOOSE(CONTROL!$C$32, $C$9, 100%, $E$9)</f>
        <v>10.268800000000001</v>
      </c>
      <c r="E705" s="11">
        <f>11.4412 * CHOOSE(CONTROL!$C$32, $C$9, 100%, $E$9)</f>
        <v>11.4412</v>
      </c>
      <c r="F705" s="11">
        <f>11.4412 * CHOOSE(CONTROL!$C$32, $C$9, 100%, $E$9)</f>
        <v>11.4412</v>
      </c>
      <c r="G705" s="11">
        <f>11.4465 * CHOOSE(CONTROL!$C$32, $C$9, 100%, $E$9)</f>
        <v>11.4465</v>
      </c>
      <c r="H705" s="11">
        <f>22.798 * CHOOSE(CONTROL!$C$32, $C$9, 100%, $E$9)</f>
        <v>22.797999999999998</v>
      </c>
      <c r="I705" s="11">
        <f>22.8033 * CHOOSE(CONTROL!$C$32, $C$9, 100%, $E$9)</f>
        <v>22.8033</v>
      </c>
      <c r="J705" s="11">
        <f>22.798 * CHOOSE(CONTROL!$C$32, $C$9, 100%, $E$9)</f>
        <v>22.797999999999998</v>
      </c>
      <c r="K705" s="11">
        <f>22.8033 * CHOOSE(CONTROL!$C$32, $C$9, 100%, $E$9)</f>
        <v>22.8033</v>
      </c>
      <c r="L705" s="11">
        <f>11.4412 * CHOOSE(CONTROL!$C$32, $C$9, 100%, $E$9)</f>
        <v>11.4412</v>
      </c>
      <c r="M705" s="11">
        <f>11.4465 * CHOOSE(CONTROL!$C$32, $C$9, 100%, $E$9)</f>
        <v>11.4465</v>
      </c>
      <c r="N705" s="11">
        <f>11.4412 * CHOOSE(CONTROL!$C$32, $C$9, 100%, $E$9)</f>
        <v>11.4412</v>
      </c>
      <c r="O705" s="11">
        <f>11.4465 * CHOOSE(CONTROL!$C$32, $C$9, 100%, $E$9)</f>
        <v>11.4465</v>
      </c>
    </row>
    <row r="706" spans="1:15" ht="15" x14ac:dyDescent="0.2">
      <c r="A706" s="13">
        <v>62337</v>
      </c>
      <c r="B706" s="9">
        <f>10.2642 * CHOOSE(CONTROL!$C$32, $C$9, 100%, $E$9)</f>
        <v>10.264200000000001</v>
      </c>
      <c r="C706" s="9">
        <f>10.2642 * CHOOSE(CONTROL!$C$32, $C$9, 100%, $E$9)</f>
        <v>10.264200000000001</v>
      </c>
      <c r="D706" s="9">
        <f>10.2657 * CHOOSE(CONTROL!$C$32, $C$9, 100%, $E$9)</f>
        <v>10.265700000000001</v>
      </c>
      <c r="E706" s="11">
        <f>11.4085 * CHOOSE(CONTROL!$C$32, $C$9, 100%, $E$9)</f>
        <v>11.4085</v>
      </c>
      <c r="F706" s="11">
        <f>11.4085 * CHOOSE(CONTROL!$C$32, $C$9, 100%, $E$9)</f>
        <v>11.4085</v>
      </c>
      <c r="G706" s="11">
        <f>11.4138 * CHOOSE(CONTROL!$C$32, $C$9, 100%, $E$9)</f>
        <v>11.4138</v>
      </c>
      <c r="H706" s="11">
        <f>22.8455 * CHOOSE(CONTROL!$C$32, $C$9, 100%, $E$9)</f>
        <v>22.845500000000001</v>
      </c>
      <c r="I706" s="11">
        <f>22.8508 * CHOOSE(CONTROL!$C$32, $C$9, 100%, $E$9)</f>
        <v>22.8508</v>
      </c>
      <c r="J706" s="11">
        <f>22.8455 * CHOOSE(CONTROL!$C$32, $C$9, 100%, $E$9)</f>
        <v>22.845500000000001</v>
      </c>
      <c r="K706" s="11">
        <f>22.8508 * CHOOSE(CONTROL!$C$32, $C$9, 100%, $E$9)</f>
        <v>22.8508</v>
      </c>
      <c r="L706" s="11">
        <f>11.4085 * CHOOSE(CONTROL!$C$32, $C$9, 100%, $E$9)</f>
        <v>11.4085</v>
      </c>
      <c r="M706" s="11">
        <f>11.4138 * CHOOSE(CONTROL!$C$32, $C$9, 100%, $E$9)</f>
        <v>11.4138</v>
      </c>
      <c r="N706" s="11">
        <f>11.4085 * CHOOSE(CONTROL!$C$32, $C$9, 100%, $E$9)</f>
        <v>11.4085</v>
      </c>
      <c r="O706" s="11">
        <f>11.4138 * CHOOSE(CONTROL!$C$32, $C$9, 100%, $E$9)</f>
        <v>11.4138</v>
      </c>
    </row>
    <row r="707" spans="1:15" ht="15" x14ac:dyDescent="0.2">
      <c r="A707" s="13">
        <v>62367</v>
      </c>
      <c r="B707" s="9">
        <f>10.2826 * CHOOSE(CONTROL!$C$32, $C$9, 100%, $E$9)</f>
        <v>10.2826</v>
      </c>
      <c r="C707" s="9">
        <f>10.2826 * CHOOSE(CONTROL!$C$32, $C$9, 100%, $E$9)</f>
        <v>10.2826</v>
      </c>
      <c r="D707" s="9">
        <f>10.2837 * CHOOSE(CONTROL!$C$32, $C$9, 100%, $E$9)</f>
        <v>10.2837</v>
      </c>
      <c r="E707" s="11">
        <f>11.5173 * CHOOSE(CONTROL!$C$32, $C$9, 100%, $E$9)</f>
        <v>11.517300000000001</v>
      </c>
      <c r="F707" s="11">
        <f>11.5173 * CHOOSE(CONTROL!$C$32, $C$9, 100%, $E$9)</f>
        <v>11.517300000000001</v>
      </c>
      <c r="G707" s="11">
        <f>11.521 * CHOOSE(CONTROL!$C$32, $C$9, 100%, $E$9)</f>
        <v>11.521000000000001</v>
      </c>
      <c r="H707" s="11">
        <f>22.8931 * CHOOSE(CONTROL!$C$32, $C$9, 100%, $E$9)</f>
        <v>22.8931</v>
      </c>
      <c r="I707" s="11">
        <f>22.8967 * CHOOSE(CONTROL!$C$32, $C$9, 100%, $E$9)</f>
        <v>22.896699999999999</v>
      </c>
      <c r="J707" s="11">
        <f>22.8931 * CHOOSE(CONTROL!$C$32, $C$9, 100%, $E$9)</f>
        <v>22.8931</v>
      </c>
      <c r="K707" s="11">
        <f>22.8967 * CHOOSE(CONTROL!$C$32, $C$9, 100%, $E$9)</f>
        <v>22.896699999999999</v>
      </c>
      <c r="L707" s="11">
        <f>11.5173 * CHOOSE(CONTROL!$C$32, $C$9, 100%, $E$9)</f>
        <v>11.517300000000001</v>
      </c>
      <c r="M707" s="11">
        <f>11.521 * CHOOSE(CONTROL!$C$32, $C$9, 100%, $E$9)</f>
        <v>11.521000000000001</v>
      </c>
      <c r="N707" s="11">
        <f>11.5173 * CHOOSE(CONTROL!$C$32, $C$9, 100%, $E$9)</f>
        <v>11.517300000000001</v>
      </c>
      <c r="O707" s="11">
        <f>11.521 * CHOOSE(CONTROL!$C$32, $C$9, 100%, $E$9)</f>
        <v>11.521000000000001</v>
      </c>
    </row>
    <row r="708" spans="1:15" ht="15" x14ac:dyDescent="0.2">
      <c r="A708" s="13">
        <v>62398</v>
      </c>
      <c r="B708" s="9">
        <f>10.2857 * CHOOSE(CONTROL!$C$32, $C$9, 100%, $E$9)</f>
        <v>10.2857</v>
      </c>
      <c r="C708" s="9">
        <f>10.2857 * CHOOSE(CONTROL!$C$32, $C$9, 100%, $E$9)</f>
        <v>10.2857</v>
      </c>
      <c r="D708" s="9">
        <f>10.2867 * CHOOSE(CONTROL!$C$32, $C$9, 100%, $E$9)</f>
        <v>10.2867</v>
      </c>
      <c r="E708" s="11">
        <f>11.5806 * CHOOSE(CONTROL!$C$32, $C$9, 100%, $E$9)</f>
        <v>11.5806</v>
      </c>
      <c r="F708" s="11">
        <f>11.5806 * CHOOSE(CONTROL!$C$32, $C$9, 100%, $E$9)</f>
        <v>11.5806</v>
      </c>
      <c r="G708" s="11">
        <f>11.5842 * CHOOSE(CONTROL!$C$32, $C$9, 100%, $E$9)</f>
        <v>11.584199999999999</v>
      </c>
      <c r="H708" s="11">
        <f>22.9408 * CHOOSE(CONTROL!$C$32, $C$9, 100%, $E$9)</f>
        <v>22.940799999999999</v>
      </c>
      <c r="I708" s="11">
        <f>22.9444 * CHOOSE(CONTROL!$C$32, $C$9, 100%, $E$9)</f>
        <v>22.944400000000002</v>
      </c>
      <c r="J708" s="11">
        <f>22.9408 * CHOOSE(CONTROL!$C$32, $C$9, 100%, $E$9)</f>
        <v>22.940799999999999</v>
      </c>
      <c r="K708" s="11">
        <f>22.9444 * CHOOSE(CONTROL!$C$32, $C$9, 100%, $E$9)</f>
        <v>22.944400000000002</v>
      </c>
      <c r="L708" s="11">
        <f>11.5806 * CHOOSE(CONTROL!$C$32, $C$9, 100%, $E$9)</f>
        <v>11.5806</v>
      </c>
      <c r="M708" s="11">
        <f>11.5842 * CHOOSE(CONTROL!$C$32, $C$9, 100%, $E$9)</f>
        <v>11.584199999999999</v>
      </c>
      <c r="N708" s="11">
        <f>11.5806 * CHOOSE(CONTROL!$C$32, $C$9, 100%, $E$9)</f>
        <v>11.5806</v>
      </c>
      <c r="O708" s="11">
        <f>11.5842 * CHOOSE(CONTROL!$C$32, $C$9, 100%, $E$9)</f>
        <v>11.584199999999999</v>
      </c>
    </row>
    <row r="709" spans="1:15" ht="15" x14ac:dyDescent="0.2">
      <c r="A709" s="13">
        <v>62428</v>
      </c>
      <c r="B709" s="9">
        <f>10.2857 * CHOOSE(CONTROL!$C$32, $C$9, 100%, $E$9)</f>
        <v>10.2857</v>
      </c>
      <c r="C709" s="9">
        <f>10.2857 * CHOOSE(CONTROL!$C$32, $C$9, 100%, $E$9)</f>
        <v>10.2857</v>
      </c>
      <c r="D709" s="9">
        <f>10.2867 * CHOOSE(CONTROL!$C$32, $C$9, 100%, $E$9)</f>
        <v>10.2867</v>
      </c>
      <c r="E709" s="11">
        <f>11.4277 * CHOOSE(CONTROL!$C$32, $C$9, 100%, $E$9)</f>
        <v>11.4277</v>
      </c>
      <c r="F709" s="11">
        <f>11.4277 * CHOOSE(CONTROL!$C$32, $C$9, 100%, $E$9)</f>
        <v>11.4277</v>
      </c>
      <c r="G709" s="11">
        <f>11.4314 * CHOOSE(CONTROL!$C$32, $C$9, 100%, $E$9)</f>
        <v>11.4314</v>
      </c>
      <c r="H709" s="11">
        <f>22.9886 * CHOOSE(CONTROL!$C$32, $C$9, 100%, $E$9)</f>
        <v>22.988600000000002</v>
      </c>
      <c r="I709" s="11">
        <f>22.9922 * CHOOSE(CONTROL!$C$32, $C$9, 100%, $E$9)</f>
        <v>22.9922</v>
      </c>
      <c r="J709" s="11">
        <f>22.9886 * CHOOSE(CONTROL!$C$32, $C$9, 100%, $E$9)</f>
        <v>22.988600000000002</v>
      </c>
      <c r="K709" s="11">
        <f>22.9922 * CHOOSE(CONTROL!$C$32, $C$9, 100%, $E$9)</f>
        <v>22.9922</v>
      </c>
      <c r="L709" s="11">
        <f>11.4277 * CHOOSE(CONTROL!$C$32, $C$9, 100%, $E$9)</f>
        <v>11.4277</v>
      </c>
      <c r="M709" s="11">
        <f>11.4314 * CHOOSE(CONTROL!$C$32, $C$9, 100%, $E$9)</f>
        <v>11.4314</v>
      </c>
      <c r="N709" s="11">
        <f>11.4277 * CHOOSE(CONTROL!$C$32, $C$9, 100%, $E$9)</f>
        <v>11.4277</v>
      </c>
      <c r="O709" s="11">
        <f>11.4314 * CHOOSE(CONTROL!$C$32, $C$9, 100%, $E$9)</f>
        <v>11.4314</v>
      </c>
    </row>
    <row r="710" spans="1:15" ht="15" x14ac:dyDescent="0.2">
      <c r="A710" s="13">
        <v>62459</v>
      </c>
      <c r="B710" s="9">
        <f>10.3184 * CHOOSE(CONTROL!$C$32, $C$9, 100%, $E$9)</f>
        <v>10.3184</v>
      </c>
      <c r="C710" s="9">
        <f>10.3184 * CHOOSE(CONTROL!$C$32, $C$9, 100%, $E$9)</f>
        <v>10.3184</v>
      </c>
      <c r="D710" s="9">
        <f>10.3195 * CHOOSE(CONTROL!$C$32, $C$9, 100%, $E$9)</f>
        <v>10.3195</v>
      </c>
      <c r="E710" s="11">
        <f>11.583 * CHOOSE(CONTROL!$C$32, $C$9, 100%, $E$9)</f>
        <v>11.583</v>
      </c>
      <c r="F710" s="11">
        <f>11.583 * CHOOSE(CONTROL!$C$32, $C$9, 100%, $E$9)</f>
        <v>11.583</v>
      </c>
      <c r="G710" s="11">
        <f>11.5866 * CHOOSE(CONTROL!$C$32, $C$9, 100%, $E$9)</f>
        <v>11.586600000000001</v>
      </c>
      <c r="H710" s="11">
        <f>22.9218 * CHOOSE(CONTROL!$C$32, $C$9, 100%, $E$9)</f>
        <v>22.921800000000001</v>
      </c>
      <c r="I710" s="11">
        <f>22.9254 * CHOOSE(CONTROL!$C$32, $C$9, 100%, $E$9)</f>
        <v>22.9254</v>
      </c>
      <c r="J710" s="11">
        <f>22.9218 * CHOOSE(CONTROL!$C$32, $C$9, 100%, $E$9)</f>
        <v>22.921800000000001</v>
      </c>
      <c r="K710" s="11">
        <f>22.9254 * CHOOSE(CONTROL!$C$32, $C$9, 100%, $E$9)</f>
        <v>22.9254</v>
      </c>
      <c r="L710" s="11">
        <f>11.583 * CHOOSE(CONTROL!$C$32, $C$9, 100%, $E$9)</f>
        <v>11.583</v>
      </c>
      <c r="M710" s="11">
        <f>11.5866 * CHOOSE(CONTROL!$C$32, $C$9, 100%, $E$9)</f>
        <v>11.586600000000001</v>
      </c>
      <c r="N710" s="11">
        <f>11.583 * CHOOSE(CONTROL!$C$32, $C$9, 100%, $E$9)</f>
        <v>11.583</v>
      </c>
      <c r="O710" s="11">
        <f>11.5866 * CHOOSE(CONTROL!$C$32, $C$9, 100%, $E$9)</f>
        <v>11.586600000000001</v>
      </c>
    </row>
    <row r="711" spans="1:15" ht="15" x14ac:dyDescent="0.2">
      <c r="A711" s="13">
        <v>62490</v>
      </c>
      <c r="B711" s="9">
        <f>10.3154 * CHOOSE(CONTROL!$C$32, $C$9, 100%, $E$9)</f>
        <v>10.3154</v>
      </c>
      <c r="C711" s="9">
        <f>10.3154 * CHOOSE(CONTROL!$C$32, $C$9, 100%, $E$9)</f>
        <v>10.3154</v>
      </c>
      <c r="D711" s="9">
        <f>10.3165 * CHOOSE(CONTROL!$C$32, $C$9, 100%, $E$9)</f>
        <v>10.3165</v>
      </c>
      <c r="E711" s="11">
        <f>11.2849 * CHOOSE(CONTROL!$C$32, $C$9, 100%, $E$9)</f>
        <v>11.2849</v>
      </c>
      <c r="F711" s="11">
        <f>11.2849 * CHOOSE(CONTROL!$C$32, $C$9, 100%, $E$9)</f>
        <v>11.2849</v>
      </c>
      <c r="G711" s="11">
        <f>11.2885 * CHOOSE(CONTROL!$C$32, $C$9, 100%, $E$9)</f>
        <v>11.288500000000001</v>
      </c>
      <c r="H711" s="11">
        <f>22.9696 * CHOOSE(CONTROL!$C$32, $C$9, 100%, $E$9)</f>
        <v>22.9696</v>
      </c>
      <c r="I711" s="11">
        <f>22.9732 * CHOOSE(CONTROL!$C$32, $C$9, 100%, $E$9)</f>
        <v>22.973199999999999</v>
      </c>
      <c r="J711" s="11">
        <f>22.9696 * CHOOSE(CONTROL!$C$32, $C$9, 100%, $E$9)</f>
        <v>22.9696</v>
      </c>
      <c r="K711" s="11">
        <f>22.9732 * CHOOSE(CONTROL!$C$32, $C$9, 100%, $E$9)</f>
        <v>22.973199999999999</v>
      </c>
      <c r="L711" s="11">
        <f>11.2849 * CHOOSE(CONTROL!$C$32, $C$9, 100%, $E$9)</f>
        <v>11.2849</v>
      </c>
      <c r="M711" s="11">
        <f>11.2885 * CHOOSE(CONTROL!$C$32, $C$9, 100%, $E$9)</f>
        <v>11.288500000000001</v>
      </c>
      <c r="N711" s="11">
        <f>11.2849 * CHOOSE(CONTROL!$C$32, $C$9, 100%, $E$9)</f>
        <v>11.2849</v>
      </c>
      <c r="O711" s="11">
        <f>11.2885 * CHOOSE(CONTROL!$C$32, $C$9, 100%, $E$9)</f>
        <v>11.288500000000001</v>
      </c>
    </row>
    <row r="712" spans="1:15" ht="15" x14ac:dyDescent="0.2">
      <c r="A712" s="13">
        <v>62518</v>
      </c>
      <c r="B712" s="9">
        <f>10.3123 * CHOOSE(CONTROL!$C$32, $C$9, 100%, $E$9)</f>
        <v>10.3123</v>
      </c>
      <c r="C712" s="9">
        <f>10.3123 * CHOOSE(CONTROL!$C$32, $C$9, 100%, $E$9)</f>
        <v>10.3123</v>
      </c>
      <c r="D712" s="9">
        <f>10.3134 * CHOOSE(CONTROL!$C$32, $C$9, 100%, $E$9)</f>
        <v>10.3134</v>
      </c>
      <c r="E712" s="11">
        <f>11.5161 * CHOOSE(CONTROL!$C$32, $C$9, 100%, $E$9)</f>
        <v>11.5161</v>
      </c>
      <c r="F712" s="11">
        <f>11.5161 * CHOOSE(CONTROL!$C$32, $C$9, 100%, $E$9)</f>
        <v>11.5161</v>
      </c>
      <c r="G712" s="11">
        <f>11.5198 * CHOOSE(CONTROL!$C$32, $C$9, 100%, $E$9)</f>
        <v>11.5198</v>
      </c>
      <c r="H712" s="11">
        <f>23.0174 * CHOOSE(CONTROL!$C$32, $C$9, 100%, $E$9)</f>
        <v>23.017399999999999</v>
      </c>
      <c r="I712" s="11">
        <f>23.021 * CHOOSE(CONTROL!$C$32, $C$9, 100%, $E$9)</f>
        <v>23.021000000000001</v>
      </c>
      <c r="J712" s="11">
        <f>23.0174 * CHOOSE(CONTROL!$C$32, $C$9, 100%, $E$9)</f>
        <v>23.017399999999999</v>
      </c>
      <c r="K712" s="11">
        <f>23.021 * CHOOSE(CONTROL!$C$32, $C$9, 100%, $E$9)</f>
        <v>23.021000000000001</v>
      </c>
      <c r="L712" s="11">
        <f>11.5161 * CHOOSE(CONTROL!$C$32, $C$9, 100%, $E$9)</f>
        <v>11.5161</v>
      </c>
      <c r="M712" s="11">
        <f>11.5198 * CHOOSE(CONTROL!$C$32, $C$9, 100%, $E$9)</f>
        <v>11.5198</v>
      </c>
      <c r="N712" s="11">
        <f>11.5161 * CHOOSE(CONTROL!$C$32, $C$9, 100%, $E$9)</f>
        <v>11.5161</v>
      </c>
      <c r="O712" s="11">
        <f>11.5198 * CHOOSE(CONTROL!$C$32, $C$9, 100%, $E$9)</f>
        <v>11.5198</v>
      </c>
    </row>
    <row r="713" spans="1:15" ht="15" x14ac:dyDescent="0.2">
      <c r="A713" s="13">
        <v>62549</v>
      </c>
      <c r="B713" s="9">
        <f>10.3161 * CHOOSE(CONTROL!$C$32, $C$9, 100%, $E$9)</f>
        <v>10.3161</v>
      </c>
      <c r="C713" s="9">
        <f>10.3161 * CHOOSE(CONTROL!$C$32, $C$9, 100%, $E$9)</f>
        <v>10.3161</v>
      </c>
      <c r="D713" s="9">
        <f>10.3172 * CHOOSE(CONTROL!$C$32, $C$9, 100%, $E$9)</f>
        <v>10.3172</v>
      </c>
      <c r="E713" s="11">
        <f>11.7625 * CHOOSE(CONTROL!$C$32, $C$9, 100%, $E$9)</f>
        <v>11.762499999999999</v>
      </c>
      <c r="F713" s="11">
        <f>11.7625 * CHOOSE(CONTROL!$C$32, $C$9, 100%, $E$9)</f>
        <v>11.762499999999999</v>
      </c>
      <c r="G713" s="11">
        <f>11.7661 * CHOOSE(CONTROL!$C$32, $C$9, 100%, $E$9)</f>
        <v>11.7661</v>
      </c>
      <c r="H713" s="11">
        <f>23.0654 * CHOOSE(CONTROL!$C$32, $C$9, 100%, $E$9)</f>
        <v>23.0654</v>
      </c>
      <c r="I713" s="11">
        <f>23.069 * CHOOSE(CONTROL!$C$32, $C$9, 100%, $E$9)</f>
        <v>23.068999999999999</v>
      </c>
      <c r="J713" s="11">
        <f>23.0654 * CHOOSE(CONTROL!$C$32, $C$9, 100%, $E$9)</f>
        <v>23.0654</v>
      </c>
      <c r="K713" s="11">
        <f>23.069 * CHOOSE(CONTROL!$C$32, $C$9, 100%, $E$9)</f>
        <v>23.068999999999999</v>
      </c>
      <c r="L713" s="11">
        <f>11.7625 * CHOOSE(CONTROL!$C$32, $C$9, 100%, $E$9)</f>
        <v>11.762499999999999</v>
      </c>
      <c r="M713" s="11">
        <f>11.7661 * CHOOSE(CONTROL!$C$32, $C$9, 100%, $E$9)</f>
        <v>11.7661</v>
      </c>
      <c r="N713" s="11">
        <f>11.7625 * CHOOSE(CONTROL!$C$32, $C$9, 100%, $E$9)</f>
        <v>11.762499999999999</v>
      </c>
      <c r="O713" s="11">
        <f>11.7661 * CHOOSE(CONTROL!$C$32, $C$9, 100%, $E$9)</f>
        <v>11.7661</v>
      </c>
    </row>
    <row r="714" spans="1:15" ht="15" x14ac:dyDescent="0.2">
      <c r="A714" s="13">
        <v>62579</v>
      </c>
      <c r="B714" s="9">
        <f>10.3161 * CHOOSE(CONTROL!$C$32, $C$9, 100%, $E$9)</f>
        <v>10.3161</v>
      </c>
      <c r="C714" s="9">
        <f>10.3161 * CHOOSE(CONTROL!$C$32, $C$9, 100%, $E$9)</f>
        <v>10.3161</v>
      </c>
      <c r="D714" s="9">
        <f>10.3177 * CHOOSE(CONTROL!$C$32, $C$9, 100%, $E$9)</f>
        <v>10.3177</v>
      </c>
      <c r="E714" s="11">
        <f>11.8565 * CHOOSE(CONTROL!$C$32, $C$9, 100%, $E$9)</f>
        <v>11.8565</v>
      </c>
      <c r="F714" s="11">
        <f>11.8565 * CHOOSE(CONTROL!$C$32, $C$9, 100%, $E$9)</f>
        <v>11.8565</v>
      </c>
      <c r="G714" s="11">
        <f>11.8618 * CHOOSE(CONTROL!$C$32, $C$9, 100%, $E$9)</f>
        <v>11.861800000000001</v>
      </c>
      <c r="H714" s="11">
        <f>23.1134 * CHOOSE(CONTROL!$C$32, $C$9, 100%, $E$9)</f>
        <v>23.113399999999999</v>
      </c>
      <c r="I714" s="11">
        <f>23.1187 * CHOOSE(CONTROL!$C$32, $C$9, 100%, $E$9)</f>
        <v>23.1187</v>
      </c>
      <c r="J714" s="11">
        <f>23.1134 * CHOOSE(CONTROL!$C$32, $C$9, 100%, $E$9)</f>
        <v>23.113399999999999</v>
      </c>
      <c r="K714" s="11">
        <f>23.1187 * CHOOSE(CONTROL!$C$32, $C$9, 100%, $E$9)</f>
        <v>23.1187</v>
      </c>
      <c r="L714" s="11">
        <f>11.8565 * CHOOSE(CONTROL!$C$32, $C$9, 100%, $E$9)</f>
        <v>11.8565</v>
      </c>
      <c r="M714" s="11">
        <f>11.8618 * CHOOSE(CONTROL!$C$32, $C$9, 100%, $E$9)</f>
        <v>11.861800000000001</v>
      </c>
      <c r="N714" s="11">
        <f>11.8565 * CHOOSE(CONTROL!$C$32, $C$9, 100%, $E$9)</f>
        <v>11.8565</v>
      </c>
      <c r="O714" s="11">
        <f>11.8618 * CHOOSE(CONTROL!$C$32, $C$9, 100%, $E$9)</f>
        <v>11.861800000000001</v>
      </c>
    </row>
    <row r="715" spans="1:15" ht="15" x14ac:dyDescent="0.2">
      <c r="A715" s="13">
        <v>62610</v>
      </c>
      <c r="B715" s="9">
        <f>10.3222 * CHOOSE(CONTROL!$C$32, $C$9, 100%, $E$9)</f>
        <v>10.3222</v>
      </c>
      <c r="C715" s="9">
        <f>10.3222 * CHOOSE(CONTROL!$C$32, $C$9, 100%, $E$9)</f>
        <v>10.3222</v>
      </c>
      <c r="D715" s="9">
        <f>10.3238 * CHOOSE(CONTROL!$C$32, $C$9, 100%, $E$9)</f>
        <v>10.3238</v>
      </c>
      <c r="E715" s="11">
        <f>11.7667 * CHOOSE(CONTROL!$C$32, $C$9, 100%, $E$9)</f>
        <v>11.7667</v>
      </c>
      <c r="F715" s="11">
        <f>11.7667 * CHOOSE(CONTROL!$C$32, $C$9, 100%, $E$9)</f>
        <v>11.7667</v>
      </c>
      <c r="G715" s="11">
        <f>11.772 * CHOOSE(CONTROL!$C$32, $C$9, 100%, $E$9)</f>
        <v>11.772</v>
      </c>
      <c r="H715" s="11">
        <f>23.1616 * CHOOSE(CONTROL!$C$32, $C$9, 100%, $E$9)</f>
        <v>23.1616</v>
      </c>
      <c r="I715" s="11">
        <f>23.1669 * CHOOSE(CONTROL!$C$32, $C$9, 100%, $E$9)</f>
        <v>23.166899999999998</v>
      </c>
      <c r="J715" s="11">
        <f>23.1616 * CHOOSE(CONTROL!$C$32, $C$9, 100%, $E$9)</f>
        <v>23.1616</v>
      </c>
      <c r="K715" s="11">
        <f>23.1669 * CHOOSE(CONTROL!$C$32, $C$9, 100%, $E$9)</f>
        <v>23.166899999999998</v>
      </c>
      <c r="L715" s="11">
        <f>11.7667 * CHOOSE(CONTROL!$C$32, $C$9, 100%, $E$9)</f>
        <v>11.7667</v>
      </c>
      <c r="M715" s="11">
        <f>11.772 * CHOOSE(CONTROL!$C$32, $C$9, 100%, $E$9)</f>
        <v>11.772</v>
      </c>
      <c r="N715" s="11">
        <f>11.7667 * CHOOSE(CONTROL!$C$32, $C$9, 100%, $E$9)</f>
        <v>11.7667</v>
      </c>
      <c r="O715" s="11">
        <f>11.772 * CHOOSE(CONTROL!$C$32, $C$9, 100%, $E$9)</f>
        <v>11.772</v>
      </c>
    </row>
    <row r="716" spans="1:15" ht="15" x14ac:dyDescent="0.2">
      <c r="A716" s="13">
        <v>62640</v>
      </c>
      <c r="B716" s="9">
        <f>10.4501 * CHOOSE(CONTROL!$C$32, $C$9, 100%, $E$9)</f>
        <v>10.450100000000001</v>
      </c>
      <c r="C716" s="9">
        <f>10.4501 * CHOOSE(CONTROL!$C$32, $C$9, 100%, $E$9)</f>
        <v>10.450100000000001</v>
      </c>
      <c r="D716" s="9">
        <f>10.4517 * CHOOSE(CONTROL!$C$32, $C$9, 100%, $E$9)</f>
        <v>10.451700000000001</v>
      </c>
      <c r="E716" s="11">
        <f>11.9319 * CHOOSE(CONTROL!$C$32, $C$9, 100%, $E$9)</f>
        <v>11.931900000000001</v>
      </c>
      <c r="F716" s="11">
        <f>11.9319 * CHOOSE(CONTROL!$C$32, $C$9, 100%, $E$9)</f>
        <v>11.931900000000001</v>
      </c>
      <c r="G716" s="11">
        <f>11.9371 * CHOOSE(CONTROL!$C$32, $C$9, 100%, $E$9)</f>
        <v>11.937099999999999</v>
      </c>
      <c r="H716" s="11">
        <f>23.2098 * CHOOSE(CONTROL!$C$32, $C$9, 100%, $E$9)</f>
        <v>23.209800000000001</v>
      </c>
      <c r="I716" s="11">
        <f>23.2151 * CHOOSE(CONTROL!$C$32, $C$9, 100%, $E$9)</f>
        <v>23.2151</v>
      </c>
      <c r="J716" s="11">
        <f>23.2098 * CHOOSE(CONTROL!$C$32, $C$9, 100%, $E$9)</f>
        <v>23.209800000000001</v>
      </c>
      <c r="K716" s="11">
        <f>23.2151 * CHOOSE(CONTROL!$C$32, $C$9, 100%, $E$9)</f>
        <v>23.2151</v>
      </c>
      <c r="L716" s="11">
        <f>11.9319 * CHOOSE(CONTROL!$C$32, $C$9, 100%, $E$9)</f>
        <v>11.931900000000001</v>
      </c>
      <c r="M716" s="11">
        <f>11.9371 * CHOOSE(CONTROL!$C$32, $C$9, 100%, $E$9)</f>
        <v>11.937099999999999</v>
      </c>
      <c r="N716" s="11">
        <f>11.9319 * CHOOSE(CONTROL!$C$32, $C$9, 100%, $E$9)</f>
        <v>11.931900000000001</v>
      </c>
      <c r="O716" s="11">
        <f>11.9371 * CHOOSE(CONTROL!$C$32, $C$9, 100%, $E$9)</f>
        <v>11.937099999999999</v>
      </c>
    </row>
    <row r="717" spans="1:15" ht="15" x14ac:dyDescent="0.2">
      <c r="A717" s="13">
        <v>62671</v>
      </c>
      <c r="B717" s="9">
        <f>10.4568 * CHOOSE(CONTROL!$C$32, $C$9, 100%, $E$9)</f>
        <v>10.456799999999999</v>
      </c>
      <c r="C717" s="9">
        <f>10.4568 * CHOOSE(CONTROL!$C$32, $C$9, 100%, $E$9)</f>
        <v>10.456799999999999</v>
      </c>
      <c r="D717" s="9">
        <f>10.4584 * CHOOSE(CONTROL!$C$32, $C$9, 100%, $E$9)</f>
        <v>10.458399999999999</v>
      </c>
      <c r="E717" s="11">
        <f>11.6546 * CHOOSE(CONTROL!$C$32, $C$9, 100%, $E$9)</f>
        <v>11.6546</v>
      </c>
      <c r="F717" s="11">
        <f>11.6546 * CHOOSE(CONTROL!$C$32, $C$9, 100%, $E$9)</f>
        <v>11.6546</v>
      </c>
      <c r="G717" s="11">
        <f>11.6599 * CHOOSE(CONTROL!$C$32, $C$9, 100%, $E$9)</f>
        <v>11.6599</v>
      </c>
      <c r="H717" s="11">
        <f>23.2582 * CHOOSE(CONTROL!$C$32, $C$9, 100%, $E$9)</f>
        <v>23.258199999999999</v>
      </c>
      <c r="I717" s="11">
        <f>23.2635 * CHOOSE(CONTROL!$C$32, $C$9, 100%, $E$9)</f>
        <v>23.263500000000001</v>
      </c>
      <c r="J717" s="11">
        <f>23.2582 * CHOOSE(CONTROL!$C$32, $C$9, 100%, $E$9)</f>
        <v>23.258199999999999</v>
      </c>
      <c r="K717" s="11">
        <f>23.2635 * CHOOSE(CONTROL!$C$32, $C$9, 100%, $E$9)</f>
        <v>23.263500000000001</v>
      </c>
      <c r="L717" s="11">
        <f>11.6546 * CHOOSE(CONTROL!$C$32, $C$9, 100%, $E$9)</f>
        <v>11.6546</v>
      </c>
      <c r="M717" s="11">
        <f>11.6599 * CHOOSE(CONTROL!$C$32, $C$9, 100%, $E$9)</f>
        <v>11.6599</v>
      </c>
      <c r="N717" s="11">
        <f>11.6546 * CHOOSE(CONTROL!$C$32, $C$9, 100%, $E$9)</f>
        <v>11.6546</v>
      </c>
      <c r="O717" s="11">
        <f>11.6599 * CHOOSE(CONTROL!$C$32, $C$9, 100%, $E$9)</f>
        <v>11.6599</v>
      </c>
    </row>
    <row r="718" spans="1:15" ht="15" x14ac:dyDescent="0.2">
      <c r="A718" s="13">
        <v>62702</v>
      </c>
      <c r="B718" s="9">
        <f>10.4538 * CHOOSE(CONTROL!$C$32, $C$9, 100%, $E$9)</f>
        <v>10.453799999999999</v>
      </c>
      <c r="C718" s="9">
        <f>10.4538 * CHOOSE(CONTROL!$C$32, $C$9, 100%, $E$9)</f>
        <v>10.453799999999999</v>
      </c>
      <c r="D718" s="9">
        <f>10.4553 * CHOOSE(CONTROL!$C$32, $C$9, 100%, $E$9)</f>
        <v>10.455299999999999</v>
      </c>
      <c r="E718" s="11">
        <f>11.6211 * CHOOSE(CONTROL!$C$32, $C$9, 100%, $E$9)</f>
        <v>11.6211</v>
      </c>
      <c r="F718" s="11">
        <f>11.6211 * CHOOSE(CONTROL!$C$32, $C$9, 100%, $E$9)</f>
        <v>11.6211</v>
      </c>
      <c r="G718" s="11">
        <f>11.6264 * CHOOSE(CONTROL!$C$32, $C$9, 100%, $E$9)</f>
        <v>11.6264</v>
      </c>
      <c r="H718" s="11">
        <f>23.3067 * CHOOSE(CONTROL!$C$32, $C$9, 100%, $E$9)</f>
        <v>23.306699999999999</v>
      </c>
      <c r="I718" s="11">
        <f>23.3119 * CHOOSE(CONTROL!$C$32, $C$9, 100%, $E$9)</f>
        <v>23.311900000000001</v>
      </c>
      <c r="J718" s="11">
        <f>23.3067 * CHOOSE(CONTROL!$C$32, $C$9, 100%, $E$9)</f>
        <v>23.306699999999999</v>
      </c>
      <c r="K718" s="11">
        <f>23.3119 * CHOOSE(CONTROL!$C$32, $C$9, 100%, $E$9)</f>
        <v>23.311900000000001</v>
      </c>
      <c r="L718" s="11">
        <f>11.6211 * CHOOSE(CONTROL!$C$32, $C$9, 100%, $E$9)</f>
        <v>11.6211</v>
      </c>
      <c r="M718" s="11">
        <f>11.6264 * CHOOSE(CONTROL!$C$32, $C$9, 100%, $E$9)</f>
        <v>11.6264</v>
      </c>
      <c r="N718" s="11">
        <f>11.6211 * CHOOSE(CONTROL!$C$32, $C$9, 100%, $E$9)</f>
        <v>11.6211</v>
      </c>
      <c r="O718" s="11">
        <f>11.6264 * CHOOSE(CONTROL!$C$32, $C$9, 100%, $E$9)</f>
        <v>11.6264</v>
      </c>
    </row>
    <row r="719" spans="1:15" ht="15" x14ac:dyDescent="0.2">
      <c r="A719" s="13">
        <v>62732</v>
      </c>
      <c r="B719" s="9">
        <f>10.4729 * CHOOSE(CONTROL!$C$32, $C$9, 100%, $E$9)</f>
        <v>10.472899999999999</v>
      </c>
      <c r="C719" s="9">
        <f>10.4729 * CHOOSE(CONTROL!$C$32, $C$9, 100%, $E$9)</f>
        <v>10.472899999999999</v>
      </c>
      <c r="D719" s="9">
        <f>10.474 * CHOOSE(CONTROL!$C$32, $C$9, 100%, $E$9)</f>
        <v>10.474</v>
      </c>
      <c r="E719" s="11">
        <f>11.733 * CHOOSE(CONTROL!$C$32, $C$9, 100%, $E$9)</f>
        <v>11.733000000000001</v>
      </c>
      <c r="F719" s="11">
        <f>11.733 * CHOOSE(CONTROL!$C$32, $C$9, 100%, $E$9)</f>
        <v>11.733000000000001</v>
      </c>
      <c r="G719" s="11">
        <f>11.7366 * CHOOSE(CONTROL!$C$32, $C$9, 100%, $E$9)</f>
        <v>11.736599999999999</v>
      </c>
      <c r="H719" s="11">
        <f>23.3552 * CHOOSE(CONTROL!$C$32, $C$9, 100%, $E$9)</f>
        <v>23.3552</v>
      </c>
      <c r="I719" s="11">
        <f>23.3588 * CHOOSE(CONTROL!$C$32, $C$9, 100%, $E$9)</f>
        <v>23.358799999999999</v>
      </c>
      <c r="J719" s="11">
        <f>23.3552 * CHOOSE(CONTROL!$C$32, $C$9, 100%, $E$9)</f>
        <v>23.3552</v>
      </c>
      <c r="K719" s="11">
        <f>23.3588 * CHOOSE(CONTROL!$C$32, $C$9, 100%, $E$9)</f>
        <v>23.358799999999999</v>
      </c>
      <c r="L719" s="11">
        <f>11.733 * CHOOSE(CONTROL!$C$32, $C$9, 100%, $E$9)</f>
        <v>11.733000000000001</v>
      </c>
      <c r="M719" s="11">
        <f>11.7366 * CHOOSE(CONTROL!$C$32, $C$9, 100%, $E$9)</f>
        <v>11.736599999999999</v>
      </c>
      <c r="N719" s="11">
        <f>11.733 * CHOOSE(CONTROL!$C$32, $C$9, 100%, $E$9)</f>
        <v>11.733000000000001</v>
      </c>
      <c r="O719" s="11">
        <f>11.7366 * CHOOSE(CONTROL!$C$32, $C$9, 100%, $E$9)</f>
        <v>11.736599999999999</v>
      </c>
    </row>
    <row r="720" spans="1:15" ht="15" x14ac:dyDescent="0.2">
      <c r="A720" s="13">
        <v>62763</v>
      </c>
      <c r="B720" s="9">
        <f>10.476 * CHOOSE(CONTROL!$C$32, $C$9, 100%, $E$9)</f>
        <v>10.476000000000001</v>
      </c>
      <c r="C720" s="9">
        <f>10.476 * CHOOSE(CONTROL!$C$32, $C$9, 100%, $E$9)</f>
        <v>10.476000000000001</v>
      </c>
      <c r="D720" s="9">
        <f>10.477 * CHOOSE(CONTROL!$C$32, $C$9, 100%, $E$9)</f>
        <v>10.477</v>
      </c>
      <c r="E720" s="11">
        <f>11.7978 * CHOOSE(CONTROL!$C$32, $C$9, 100%, $E$9)</f>
        <v>11.797800000000001</v>
      </c>
      <c r="F720" s="11">
        <f>11.7978 * CHOOSE(CONTROL!$C$32, $C$9, 100%, $E$9)</f>
        <v>11.797800000000001</v>
      </c>
      <c r="G720" s="11">
        <f>11.8014 * CHOOSE(CONTROL!$C$32, $C$9, 100%, $E$9)</f>
        <v>11.801399999999999</v>
      </c>
      <c r="H720" s="11">
        <f>23.4039 * CHOOSE(CONTROL!$C$32, $C$9, 100%, $E$9)</f>
        <v>23.4039</v>
      </c>
      <c r="I720" s="11">
        <f>23.4075 * CHOOSE(CONTROL!$C$32, $C$9, 100%, $E$9)</f>
        <v>23.407499999999999</v>
      </c>
      <c r="J720" s="11">
        <f>23.4039 * CHOOSE(CONTROL!$C$32, $C$9, 100%, $E$9)</f>
        <v>23.4039</v>
      </c>
      <c r="K720" s="11">
        <f>23.4075 * CHOOSE(CONTROL!$C$32, $C$9, 100%, $E$9)</f>
        <v>23.407499999999999</v>
      </c>
      <c r="L720" s="11">
        <f>11.7978 * CHOOSE(CONTROL!$C$32, $C$9, 100%, $E$9)</f>
        <v>11.797800000000001</v>
      </c>
      <c r="M720" s="11">
        <f>11.8014 * CHOOSE(CONTROL!$C$32, $C$9, 100%, $E$9)</f>
        <v>11.801399999999999</v>
      </c>
      <c r="N720" s="11">
        <f>11.7978 * CHOOSE(CONTROL!$C$32, $C$9, 100%, $E$9)</f>
        <v>11.797800000000001</v>
      </c>
      <c r="O720" s="11">
        <f>11.8014 * CHOOSE(CONTROL!$C$32, $C$9, 100%, $E$9)</f>
        <v>11.801399999999999</v>
      </c>
    </row>
    <row r="721" spans="1:15" ht="15" x14ac:dyDescent="0.2">
      <c r="A721" s="13">
        <v>62793</v>
      </c>
      <c r="B721" s="9">
        <f>10.476 * CHOOSE(CONTROL!$C$32, $C$9, 100%, $E$9)</f>
        <v>10.476000000000001</v>
      </c>
      <c r="C721" s="9">
        <f>10.476 * CHOOSE(CONTROL!$C$32, $C$9, 100%, $E$9)</f>
        <v>10.476000000000001</v>
      </c>
      <c r="D721" s="9">
        <f>10.477 * CHOOSE(CONTROL!$C$32, $C$9, 100%, $E$9)</f>
        <v>10.477</v>
      </c>
      <c r="E721" s="11">
        <f>11.6412 * CHOOSE(CONTROL!$C$32, $C$9, 100%, $E$9)</f>
        <v>11.6412</v>
      </c>
      <c r="F721" s="11">
        <f>11.6412 * CHOOSE(CONTROL!$C$32, $C$9, 100%, $E$9)</f>
        <v>11.6412</v>
      </c>
      <c r="G721" s="11">
        <f>11.6448 * CHOOSE(CONTROL!$C$32, $C$9, 100%, $E$9)</f>
        <v>11.6448</v>
      </c>
      <c r="H721" s="11">
        <f>23.4526 * CHOOSE(CONTROL!$C$32, $C$9, 100%, $E$9)</f>
        <v>23.4526</v>
      </c>
      <c r="I721" s="11">
        <f>23.4562 * CHOOSE(CONTROL!$C$32, $C$9, 100%, $E$9)</f>
        <v>23.456199999999999</v>
      </c>
      <c r="J721" s="11">
        <f>23.4526 * CHOOSE(CONTROL!$C$32, $C$9, 100%, $E$9)</f>
        <v>23.4526</v>
      </c>
      <c r="K721" s="11">
        <f>23.4562 * CHOOSE(CONTROL!$C$32, $C$9, 100%, $E$9)</f>
        <v>23.456199999999999</v>
      </c>
      <c r="L721" s="11">
        <f>11.6412 * CHOOSE(CONTROL!$C$32, $C$9, 100%, $E$9)</f>
        <v>11.6412</v>
      </c>
      <c r="M721" s="11">
        <f>11.6448 * CHOOSE(CONTROL!$C$32, $C$9, 100%, $E$9)</f>
        <v>11.6448</v>
      </c>
      <c r="N721" s="11">
        <f>11.6412 * CHOOSE(CONTROL!$C$32, $C$9, 100%, $E$9)</f>
        <v>11.6412</v>
      </c>
      <c r="O721" s="11">
        <f>11.6448 * CHOOSE(CONTROL!$C$32, $C$9, 100%, $E$9)</f>
        <v>11.6448</v>
      </c>
    </row>
    <row r="722" spans="1:15" ht="15" x14ac:dyDescent="0.2">
      <c r="A722" s="13">
        <v>62824</v>
      </c>
      <c r="B722" s="9">
        <f>10.5058 * CHOOSE(CONTROL!$C$32, $C$9, 100%, $E$9)</f>
        <v>10.505800000000001</v>
      </c>
      <c r="C722" s="9">
        <f>10.5058 * CHOOSE(CONTROL!$C$32, $C$9, 100%, $E$9)</f>
        <v>10.505800000000001</v>
      </c>
      <c r="D722" s="9">
        <f>10.5069 * CHOOSE(CONTROL!$C$32, $C$9, 100%, $E$9)</f>
        <v>10.5069</v>
      </c>
      <c r="E722" s="11">
        <f>11.7955 * CHOOSE(CONTROL!$C$32, $C$9, 100%, $E$9)</f>
        <v>11.795500000000001</v>
      </c>
      <c r="F722" s="11">
        <f>11.7955 * CHOOSE(CONTROL!$C$32, $C$9, 100%, $E$9)</f>
        <v>11.795500000000001</v>
      </c>
      <c r="G722" s="11">
        <f>11.7991 * CHOOSE(CONTROL!$C$32, $C$9, 100%, $E$9)</f>
        <v>11.799099999999999</v>
      </c>
      <c r="H722" s="11">
        <f>23.3753 * CHOOSE(CONTROL!$C$32, $C$9, 100%, $E$9)</f>
        <v>23.375299999999999</v>
      </c>
      <c r="I722" s="11">
        <f>23.3789 * CHOOSE(CONTROL!$C$32, $C$9, 100%, $E$9)</f>
        <v>23.378900000000002</v>
      </c>
      <c r="J722" s="11">
        <f>23.3753 * CHOOSE(CONTROL!$C$32, $C$9, 100%, $E$9)</f>
        <v>23.375299999999999</v>
      </c>
      <c r="K722" s="11">
        <f>23.3789 * CHOOSE(CONTROL!$C$32, $C$9, 100%, $E$9)</f>
        <v>23.378900000000002</v>
      </c>
      <c r="L722" s="11">
        <f>11.7955 * CHOOSE(CONTROL!$C$32, $C$9, 100%, $E$9)</f>
        <v>11.795500000000001</v>
      </c>
      <c r="M722" s="11">
        <f>11.7991 * CHOOSE(CONTROL!$C$32, $C$9, 100%, $E$9)</f>
        <v>11.799099999999999</v>
      </c>
      <c r="N722" s="11">
        <f>11.7955 * CHOOSE(CONTROL!$C$32, $C$9, 100%, $E$9)</f>
        <v>11.795500000000001</v>
      </c>
      <c r="O722" s="11">
        <f>11.7991 * CHOOSE(CONTROL!$C$32, $C$9, 100%, $E$9)</f>
        <v>11.799099999999999</v>
      </c>
    </row>
    <row r="723" spans="1:15" ht="15" x14ac:dyDescent="0.2">
      <c r="A723" s="13">
        <v>62855</v>
      </c>
      <c r="B723" s="9">
        <f>10.5027 * CHOOSE(CONTROL!$C$32, $C$9, 100%, $E$9)</f>
        <v>10.502700000000001</v>
      </c>
      <c r="C723" s="9">
        <f>10.5027 * CHOOSE(CONTROL!$C$32, $C$9, 100%, $E$9)</f>
        <v>10.502700000000001</v>
      </c>
      <c r="D723" s="9">
        <f>10.5038 * CHOOSE(CONTROL!$C$32, $C$9, 100%, $E$9)</f>
        <v>10.5038</v>
      </c>
      <c r="E723" s="11">
        <f>11.4903 * CHOOSE(CONTROL!$C$32, $C$9, 100%, $E$9)</f>
        <v>11.4903</v>
      </c>
      <c r="F723" s="11">
        <f>11.4903 * CHOOSE(CONTROL!$C$32, $C$9, 100%, $E$9)</f>
        <v>11.4903</v>
      </c>
      <c r="G723" s="11">
        <f>11.4939 * CHOOSE(CONTROL!$C$32, $C$9, 100%, $E$9)</f>
        <v>11.4939</v>
      </c>
      <c r="H723" s="11">
        <f>23.424 * CHOOSE(CONTROL!$C$32, $C$9, 100%, $E$9)</f>
        <v>23.423999999999999</v>
      </c>
      <c r="I723" s="11">
        <f>23.4276 * CHOOSE(CONTROL!$C$32, $C$9, 100%, $E$9)</f>
        <v>23.427600000000002</v>
      </c>
      <c r="J723" s="11">
        <f>23.424 * CHOOSE(CONTROL!$C$32, $C$9, 100%, $E$9)</f>
        <v>23.423999999999999</v>
      </c>
      <c r="K723" s="11">
        <f>23.4276 * CHOOSE(CONTROL!$C$32, $C$9, 100%, $E$9)</f>
        <v>23.427600000000002</v>
      </c>
      <c r="L723" s="11">
        <f>11.4903 * CHOOSE(CONTROL!$C$32, $C$9, 100%, $E$9)</f>
        <v>11.4903</v>
      </c>
      <c r="M723" s="11">
        <f>11.4939 * CHOOSE(CONTROL!$C$32, $C$9, 100%, $E$9)</f>
        <v>11.4939</v>
      </c>
      <c r="N723" s="11">
        <f>11.4903 * CHOOSE(CONTROL!$C$32, $C$9, 100%, $E$9)</f>
        <v>11.4903</v>
      </c>
      <c r="O723" s="11">
        <f>11.4939 * CHOOSE(CONTROL!$C$32, $C$9, 100%, $E$9)</f>
        <v>11.4939</v>
      </c>
    </row>
    <row r="724" spans="1:15" ht="15" x14ac:dyDescent="0.2">
      <c r="A724" s="13">
        <v>62884</v>
      </c>
      <c r="B724" s="9">
        <f>10.4997 * CHOOSE(CONTROL!$C$32, $C$9, 100%, $E$9)</f>
        <v>10.499700000000001</v>
      </c>
      <c r="C724" s="9">
        <f>10.4997 * CHOOSE(CONTROL!$C$32, $C$9, 100%, $E$9)</f>
        <v>10.499700000000001</v>
      </c>
      <c r="D724" s="9">
        <f>10.5008 * CHOOSE(CONTROL!$C$32, $C$9, 100%, $E$9)</f>
        <v>10.5008</v>
      </c>
      <c r="E724" s="11">
        <f>11.7271 * CHOOSE(CONTROL!$C$32, $C$9, 100%, $E$9)</f>
        <v>11.7271</v>
      </c>
      <c r="F724" s="11">
        <f>11.7271 * CHOOSE(CONTROL!$C$32, $C$9, 100%, $E$9)</f>
        <v>11.7271</v>
      </c>
      <c r="G724" s="11">
        <f>11.7308 * CHOOSE(CONTROL!$C$32, $C$9, 100%, $E$9)</f>
        <v>11.7308</v>
      </c>
      <c r="H724" s="11">
        <f>23.4728 * CHOOSE(CONTROL!$C$32, $C$9, 100%, $E$9)</f>
        <v>23.472799999999999</v>
      </c>
      <c r="I724" s="11">
        <f>23.4764 * CHOOSE(CONTROL!$C$32, $C$9, 100%, $E$9)</f>
        <v>23.476400000000002</v>
      </c>
      <c r="J724" s="11">
        <f>23.4728 * CHOOSE(CONTROL!$C$32, $C$9, 100%, $E$9)</f>
        <v>23.472799999999999</v>
      </c>
      <c r="K724" s="11">
        <f>23.4764 * CHOOSE(CONTROL!$C$32, $C$9, 100%, $E$9)</f>
        <v>23.476400000000002</v>
      </c>
      <c r="L724" s="11">
        <f>11.7271 * CHOOSE(CONTROL!$C$32, $C$9, 100%, $E$9)</f>
        <v>11.7271</v>
      </c>
      <c r="M724" s="11">
        <f>11.7308 * CHOOSE(CONTROL!$C$32, $C$9, 100%, $E$9)</f>
        <v>11.7308</v>
      </c>
      <c r="N724" s="11">
        <f>11.7271 * CHOOSE(CONTROL!$C$32, $C$9, 100%, $E$9)</f>
        <v>11.7271</v>
      </c>
      <c r="O724" s="11">
        <f>11.7308 * CHOOSE(CONTROL!$C$32, $C$9, 100%, $E$9)</f>
        <v>11.7308</v>
      </c>
    </row>
    <row r="725" spans="1:15" ht="15" x14ac:dyDescent="0.2">
      <c r="A725" s="13">
        <v>62915</v>
      </c>
      <c r="B725" s="9">
        <f>10.5037 * CHOOSE(CONTROL!$C$32, $C$9, 100%, $E$9)</f>
        <v>10.5037</v>
      </c>
      <c r="C725" s="9">
        <f>10.5037 * CHOOSE(CONTROL!$C$32, $C$9, 100%, $E$9)</f>
        <v>10.5037</v>
      </c>
      <c r="D725" s="9">
        <f>10.5047 * CHOOSE(CONTROL!$C$32, $C$9, 100%, $E$9)</f>
        <v>10.5047</v>
      </c>
      <c r="E725" s="11">
        <f>11.9795 * CHOOSE(CONTROL!$C$32, $C$9, 100%, $E$9)</f>
        <v>11.9795</v>
      </c>
      <c r="F725" s="11">
        <f>11.9795 * CHOOSE(CONTROL!$C$32, $C$9, 100%, $E$9)</f>
        <v>11.9795</v>
      </c>
      <c r="G725" s="11">
        <f>11.9831 * CHOOSE(CONTROL!$C$32, $C$9, 100%, $E$9)</f>
        <v>11.9831</v>
      </c>
      <c r="H725" s="11">
        <f>23.5217 * CHOOSE(CONTROL!$C$32, $C$9, 100%, $E$9)</f>
        <v>23.521699999999999</v>
      </c>
      <c r="I725" s="11">
        <f>23.5253 * CHOOSE(CONTROL!$C$32, $C$9, 100%, $E$9)</f>
        <v>23.525300000000001</v>
      </c>
      <c r="J725" s="11">
        <f>23.5217 * CHOOSE(CONTROL!$C$32, $C$9, 100%, $E$9)</f>
        <v>23.521699999999999</v>
      </c>
      <c r="K725" s="11">
        <f>23.5253 * CHOOSE(CONTROL!$C$32, $C$9, 100%, $E$9)</f>
        <v>23.525300000000001</v>
      </c>
      <c r="L725" s="11">
        <f>11.9795 * CHOOSE(CONTROL!$C$32, $C$9, 100%, $E$9)</f>
        <v>11.9795</v>
      </c>
      <c r="M725" s="11">
        <f>11.9831 * CHOOSE(CONTROL!$C$32, $C$9, 100%, $E$9)</f>
        <v>11.9831</v>
      </c>
      <c r="N725" s="11">
        <f>11.9795 * CHOOSE(CONTROL!$C$32, $C$9, 100%, $E$9)</f>
        <v>11.9795</v>
      </c>
      <c r="O725" s="11">
        <f>11.9831 * CHOOSE(CONTROL!$C$32, $C$9, 100%, $E$9)</f>
        <v>11.9831</v>
      </c>
    </row>
    <row r="726" spans="1:15" ht="15" x14ac:dyDescent="0.2">
      <c r="A726" s="13">
        <v>62945</v>
      </c>
      <c r="B726" s="9">
        <f>10.5037 * CHOOSE(CONTROL!$C$32, $C$9, 100%, $E$9)</f>
        <v>10.5037</v>
      </c>
      <c r="C726" s="9">
        <f>10.5037 * CHOOSE(CONTROL!$C$32, $C$9, 100%, $E$9)</f>
        <v>10.5037</v>
      </c>
      <c r="D726" s="9">
        <f>10.5052 * CHOOSE(CONTROL!$C$32, $C$9, 100%, $E$9)</f>
        <v>10.5052</v>
      </c>
      <c r="E726" s="11">
        <f>12.0757 * CHOOSE(CONTROL!$C$32, $C$9, 100%, $E$9)</f>
        <v>12.075699999999999</v>
      </c>
      <c r="F726" s="11">
        <f>12.0757 * CHOOSE(CONTROL!$C$32, $C$9, 100%, $E$9)</f>
        <v>12.075699999999999</v>
      </c>
      <c r="G726" s="11">
        <f>12.081 * CHOOSE(CONTROL!$C$32, $C$9, 100%, $E$9)</f>
        <v>12.081</v>
      </c>
      <c r="H726" s="11">
        <f>23.5707 * CHOOSE(CONTROL!$C$32, $C$9, 100%, $E$9)</f>
        <v>23.570699999999999</v>
      </c>
      <c r="I726" s="11">
        <f>23.576 * CHOOSE(CONTROL!$C$32, $C$9, 100%, $E$9)</f>
        <v>23.576000000000001</v>
      </c>
      <c r="J726" s="11">
        <f>23.5707 * CHOOSE(CONTROL!$C$32, $C$9, 100%, $E$9)</f>
        <v>23.570699999999999</v>
      </c>
      <c r="K726" s="11">
        <f>23.576 * CHOOSE(CONTROL!$C$32, $C$9, 100%, $E$9)</f>
        <v>23.576000000000001</v>
      </c>
      <c r="L726" s="11">
        <f>12.0757 * CHOOSE(CONTROL!$C$32, $C$9, 100%, $E$9)</f>
        <v>12.075699999999999</v>
      </c>
      <c r="M726" s="11">
        <f>12.081 * CHOOSE(CONTROL!$C$32, $C$9, 100%, $E$9)</f>
        <v>12.081</v>
      </c>
      <c r="N726" s="11">
        <f>12.0757 * CHOOSE(CONTROL!$C$32, $C$9, 100%, $E$9)</f>
        <v>12.075699999999999</v>
      </c>
      <c r="O726" s="11">
        <f>12.081 * CHOOSE(CONTROL!$C$32, $C$9, 100%, $E$9)</f>
        <v>12.081</v>
      </c>
    </row>
    <row r="727" spans="1:15" ht="15" x14ac:dyDescent="0.2">
      <c r="A727" s="13">
        <v>62976</v>
      </c>
      <c r="B727" s="9">
        <f>10.5097 * CHOOSE(CONTROL!$C$32, $C$9, 100%, $E$9)</f>
        <v>10.5097</v>
      </c>
      <c r="C727" s="9">
        <f>10.5097 * CHOOSE(CONTROL!$C$32, $C$9, 100%, $E$9)</f>
        <v>10.5097</v>
      </c>
      <c r="D727" s="9">
        <f>10.5113 * CHOOSE(CONTROL!$C$32, $C$9, 100%, $E$9)</f>
        <v>10.5113</v>
      </c>
      <c r="E727" s="11">
        <f>11.9837 * CHOOSE(CONTROL!$C$32, $C$9, 100%, $E$9)</f>
        <v>11.983700000000001</v>
      </c>
      <c r="F727" s="11">
        <f>11.9837 * CHOOSE(CONTROL!$C$32, $C$9, 100%, $E$9)</f>
        <v>11.983700000000001</v>
      </c>
      <c r="G727" s="11">
        <f>11.989 * CHOOSE(CONTROL!$C$32, $C$9, 100%, $E$9)</f>
        <v>11.989000000000001</v>
      </c>
      <c r="H727" s="11">
        <f>23.6198 * CHOOSE(CONTROL!$C$32, $C$9, 100%, $E$9)</f>
        <v>23.619800000000001</v>
      </c>
      <c r="I727" s="11">
        <f>23.6251 * CHOOSE(CONTROL!$C$32, $C$9, 100%, $E$9)</f>
        <v>23.6251</v>
      </c>
      <c r="J727" s="11">
        <f>23.6198 * CHOOSE(CONTROL!$C$32, $C$9, 100%, $E$9)</f>
        <v>23.619800000000001</v>
      </c>
      <c r="K727" s="11">
        <f>23.6251 * CHOOSE(CONTROL!$C$32, $C$9, 100%, $E$9)</f>
        <v>23.6251</v>
      </c>
      <c r="L727" s="11">
        <f>11.9837 * CHOOSE(CONTROL!$C$32, $C$9, 100%, $E$9)</f>
        <v>11.983700000000001</v>
      </c>
      <c r="M727" s="11">
        <f>11.989 * CHOOSE(CONTROL!$C$32, $C$9, 100%, $E$9)</f>
        <v>11.989000000000001</v>
      </c>
      <c r="N727" s="11">
        <f>11.9837 * CHOOSE(CONTROL!$C$32, $C$9, 100%, $E$9)</f>
        <v>11.983700000000001</v>
      </c>
      <c r="O727" s="11">
        <f>11.989 * CHOOSE(CONTROL!$C$32, $C$9, 100%, $E$9)</f>
        <v>11.989000000000001</v>
      </c>
    </row>
    <row r="728" spans="1:15" ht="15" x14ac:dyDescent="0.2">
      <c r="A728" s="13">
        <v>63006</v>
      </c>
      <c r="B728" s="9">
        <f>10.6397 * CHOOSE(CONTROL!$C$32, $C$9, 100%, $E$9)</f>
        <v>10.639699999999999</v>
      </c>
      <c r="C728" s="9">
        <f>10.6397 * CHOOSE(CONTROL!$C$32, $C$9, 100%, $E$9)</f>
        <v>10.639699999999999</v>
      </c>
      <c r="D728" s="9">
        <f>10.6413 * CHOOSE(CONTROL!$C$32, $C$9, 100%, $E$9)</f>
        <v>10.641299999999999</v>
      </c>
      <c r="E728" s="11">
        <f>12.152 * CHOOSE(CONTROL!$C$32, $C$9, 100%, $E$9)</f>
        <v>12.151999999999999</v>
      </c>
      <c r="F728" s="11">
        <f>12.152 * CHOOSE(CONTROL!$C$32, $C$9, 100%, $E$9)</f>
        <v>12.151999999999999</v>
      </c>
      <c r="G728" s="11">
        <f>12.1573 * CHOOSE(CONTROL!$C$32, $C$9, 100%, $E$9)</f>
        <v>12.157299999999999</v>
      </c>
      <c r="H728" s="11">
        <f>23.669 * CHOOSE(CONTROL!$C$32, $C$9, 100%, $E$9)</f>
        <v>23.669</v>
      </c>
      <c r="I728" s="11">
        <f>23.6743 * CHOOSE(CONTROL!$C$32, $C$9, 100%, $E$9)</f>
        <v>23.674299999999999</v>
      </c>
      <c r="J728" s="11">
        <f>23.669 * CHOOSE(CONTROL!$C$32, $C$9, 100%, $E$9)</f>
        <v>23.669</v>
      </c>
      <c r="K728" s="11">
        <f>23.6743 * CHOOSE(CONTROL!$C$32, $C$9, 100%, $E$9)</f>
        <v>23.674299999999999</v>
      </c>
      <c r="L728" s="11">
        <f>12.152 * CHOOSE(CONTROL!$C$32, $C$9, 100%, $E$9)</f>
        <v>12.151999999999999</v>
      </c>
      <c r="M728" s="11">
        <f>12.1573 * CHOOSE(CONTROL!$C$32, $C$9, 100%, $E$9)</f>
        <v>12.157299999999999</v>
      </c>
      <c r="N728" s="11">
        <f>12.152 * CHOOSE(CONTROL!$C$32, $C$9, 100%, $E$9)</f>
        <v>12.151999999999999</v>
      </c>
      <c r="O728" s="11">
        <f>12.1573 * CHOOSE(CONTROL!$C$32, $C$9, 100%, $E$9)</f>
        <v>12.157299999999999</v>
      </c>
    </row>
    <row r="729" spans="1:15" ht="15" x14ac:dyDescent="0.2">
      <c r="A729" s="13">
        <v>63037</v>
      </c>
      <c r="B729" s="9">
        <f>10.6464 * CHOOSE(CONTROL!$C$32, $C$9, 100%, $E$9)</f>
        <v>10.6464</v>
      </c>
      <c r="C729" s="9">
        <f>10.6464 * CHOOSE(CONTROL!$C$32, $C$9, 100%, $E$9)</f>
        <v>10.6464</v>
      </c>
      <c r="D729" s="9">
        <f>10.648 * CHOOSE(CONTROL!$C$32, $C$9, 100%, $E$9)</f>
        <v>10.648</v>
      </c>
      <c r="E729" s="11">
        <f>11.868 * CHOOSE(CONTROL!$C$32, $C$9, 100%, $E$9)</f>
        <v>11.868</v>
      </c>
      <c r="F729" s="11">
        <f>11.868 * CHOOSE(CONTROL!$C$32, $C$9, 100%, $E$9)</f>
        <v>11.868</v>
      </c>
      <c r="G729" s="11">
        <f>11.8733 * CHOOSE(CONTROL!$C$32, $C$9, 100%, $E$9)</f>
        <v>11.8733</v>
      </c>
      <c r="H729" s="11">
        <f>23.7184 * CHOOSE(CONTROL!$C$32, $C$9, 100%, $E$9)</f>
        <v>23.718399999999999</v>
      </c>
      <c r="I729" s="11">
        <f>23.7237 * CHOOSE(CONTROL!$C$32, $C$9, 100%, $E$9)</f>
        <v>23.723700000000001</v>
      </c>
      <c r="J729" s="11">
        <f>23.7184 * CHOOSE(CONTROL!$C$32, $C$9, 100%, $E$9)</f>
        <v>23.718399999999999</v>
      </c>
      <c r="K729" s="11">
        <f>23.7237 * CHOOSE(CONTROL!$C$32, $C$9, 100%, $E$9)</f>
        <v>23.723700000000001</v>
      </c>
      <c r="L729" s="11">
        <f>11.868 * CHOOSE(CONTROL!$C$32, $C$9, 100%, $E$9)</f>
        <v>11.868</v>
      </c>
      <c r="M729" s="11">
        <f>11.8733 * CHOOSE(CONTROL!$C$32, $C$9, 100%, $E$9)</f>
        <v>11.8733</v>
      </c>
      <c r="N729" s="11">
        <f>11.868 * CHOOSE(CONTROL!$C$32, $C$9, 100%, $E$9)</f>
        <v>11.868</v>
      </c>
      <c r="O729" s="11">
        <f>11.8733 * CHOOSE(CONTROL!$C$32, $C$9, 100%, $E$9)</f>
        <v>11.8733</v>
      </c>
    </row>
    <row r="730" spans="1:15" ht="15" x14ac:dyDescent="0.2">
      <c r="A730" s="13">
        <v>63068</v>
      </c>
      <c r="B730" s="9">
        <f>10.6434 * CHOOSE(CONTROL!$C$32, $C$9, 100%, $E$9)</f>
        <v>10.6434</v>
      </c>
      <c r="C730" s="9">
        <f>10.6434 * CHOOSE(CONTROL!$C$32, $C$9, 100%, $E$9)</f>
        <v>10.6434</v>
      </c>
      <c r="D730" s="9">
        <f>10.6449 * CHOOSE(CONTROL!$C$32, $C$9, 100%, $E$9)</f>
        <v>10.6449</v>
      </c>
      <c r="E730" s="11">
        <f>11.8338 * CHOOSE(CONTROL!$C$32, $C$9, 100%, $E$9)</f>
        <v>11.8338</v>
      </c>
      <c r="F730" s="11">
        <f>11.8338 * CHOOSE(CONTROL!$C$32, $C$9, 100%, $E$9)</f>
        <v>11.8338</v>
      </c>
      <c r="G730" s="11">
        <f>11.8391 * CHOOSE(CONTROL!$C$32, $C$9, 100%, $E$9)</f>
        <v>11.8391</v>
      </c>
      <c r="H730" s="11">
        <f>23.7678 * CHOOSE(CONTROL!$C$32, $C$9, 100%, $E$9)</f>
        <v>23.767800000000001</v>
      </c>
      <c r="I730" s="11">
        <f>23.7731 * CHOOSE(CONTROL!$C$32, $C$9, 100%, $E$9)</f>
        <v>23.773099999999999</v>
      </c>
      <c r="J730" s="11">
        <f>23.7678 * CHOOSE(CONTROL!$C$32, $C$9, 100%, $E$9)</f>
        <v>23.767800000000001</v>
      </c>
      <c r="K730" s="11">
        <f>23.7731 * CHOOSE(CONTROL!$C$32, $C$9, 100%, $E$9)</f>
        <v>23.773099999999999</v>
      </c>
      <c r="L730" s="11">
        <f>11.8338 * CHOOSE(CONTROL!$C$32, $C$9, 100%, $E$9)</f>
        <v>11.8338</v>
      </c>
      <c r="M730" s="11">
        <f>11.8391 * CHOOSE(CONTROL!$C$32, $C$9, 100%, $E$9)</f>
        <v>11.8391</v>
      </c>
      <c r="N730" s="11">
        <f>11.8338 * CHOOSE(CONTROL!$C$32, $C$9, 100%, $E$9)</f>
        <v>11.8338</v>
      </c>
      <c r="O730" s="11">
        <f>11.8391 * CHOOSE(CONTROL!$C$32, $C$9, 100%, $E$9)</f>
        <v>11.8391</v>
      </c>
    </row>
    <row r="731" spans="1:15" ht="15" x14ac:dyDescent="0.2">
      <c r="A731" s="13">
        <v>63098</v>
      </c>
      <c r="B731" s="9">
        <f>10.6632 * CHOOSE(CONTROL!$C$32, $C$9, 100%, $E$9)</f>
        <v>10.6632</v>
      </c>
      <c r="C731" s="9">
        <f>10.6632 * CHOOSE(CONTROL!$C$32, $C$9, 100%, $E$9)</f>
        <v>10.6632</v>
      </c>
      <c r="D731" s="9">
        <f>10.6643 * CHOOSE(CONTROL!$C$32, $C$9, 100%, $E$9)</f>
        <v>10.664300000000001</v>
      </c>
      <c r="E731" s="11">
        <f>11.9487 * CHOOSE(CONTROL!$C$32, $C$9, 100%, $E$9)</f>
        <v>11.948700000000001</v>
      </c>
      <c r="F731" s="11">
        <f>11.9487 * CHOOSE(CONTROL!$C$32, $C$9, 100%, $E$9)</f>
        <v>11.948700000000001</v>
      </c>
      <c r="G731" s="11">
        <f>11.9523 * CHOOSE(CONTROL!$C$32, $C$9, 100%, $E$9)</f>
        <v>11.952299999999999</v>
      </c>
      <c r="H731" s="11">
        <f>23.8173 * CHOOSE(CONTROL!$C$32, $C$9, 100%, $E$9)</f>
        <v>23.817299999999999</v>
      </c>
      <c r="I731" s="11">
        <f>23.8209 * CHOOSE(CONTROL!$C$32, $C$9, 100%, $E$9)</f>
        <v>23.820900000000002</v>
      </c>
      <c r="J731" s="11">
        <f>23.8173 * CHOOSE(CONTROL!$C$32, $C$9, 100%, $E$9)</f>
        <v>23.817299999999999</v>
      </c>
      <c r="K731" s="11">
        <f>23.8209 * CHOOSE(CONTROL!$C$32, $C$9, 100%, $E$9)</f>
        <v>23.820900000000002</v>
      </c>
      <c r="L731" s="11">
        <f>11.9487 * CHOOSE(CONTROL!$C$32, $C$9, 100%, $E$9)</f>
        <v>11.948700000000001</v>
      </c>
      <c r="M731" s="11">
        <f>11.9523 * CHOOSE(CONTROL!$C$32, $C$9, 100%, $E$9)</f>
        <v>11.952299999999999</v>
      </c>
      <c r="N731" s="11">
        <f>11.9487 * CHOOSE(CONTROL!$C$32, $C$9, 100%, $E$9)</f>
        <v>11.948700000000001</v>
      </c>
      <c r="O731" s="11">
        <f>11.9523 * CHOOSE(CONTROL!$C$32, $C$9, 100%, $E$9)</f>
        <v>11.952299999999999</v>
      </c>
    </row>
    <row r="732" spans="1:15" ht="15" x14ac:dyDescent="0.2">
      <c r="A732" s="13">
        <v>63129</v>
      </c>
      <c r="B732" s="9">
        <f>10.6663 * CHOOSE(CONTROL!$C$32, $C$9, 100%, $E$9)</f>
        <v>10.6663</v>
      </c>
      <c r="C732" s="9">
        <f>10.6663 * CHOOSE(CONTROL!$C$32, $C$9, 100%, $E$9)</f>
        <v>10.6663</v>
      </c>
      <c r="D732" s="9">
        <f>10.6673 * CHOOSE(CONTROL!$C$32, $C$9, 100%, $E$9)</f>
        <v>10.667299999999999</v>
      </c>
      <c r="E732" s="11">
        <f>12.015 * CHOOSE(CONTROL!$C$32, $C$9, 100%, $E$9)</f>
        <v>12.015000000000001</v>
      </c>
      <c r="F732" s="11">
        <f>12.015 * CHOOSE(CONTROL!$C$32, $C$9, 100%, $E$9)</f>
        <v>12.015000000000001</v>
      </c>
      <c r="G732" s="11">
        <f>12.0186 * CHOOSE(CONTROL!$C$32, $C$9, 100%, $E$9)</f>
        <v>12.018599999999999</v>
      </c>
      <c r="H732" s="11">
        <f>23.8669 * CHOOSE(CONTROL!$C$32, $C$9, 100%, $E$9)</f>
        <v>23.866900000000001</v>
      </c>
      <c r="I732" s="11">
        <f>23.8705 * CHOOSE(CONTROL!$C$32, $C$9, 100%, $E$9)</f>
        <v>23.8705</v>
      </c>
      <c r="J732" s="11">
        <f>23.8669 * CHOOSE(CONTROL!$C$32, $C$9, 100%, $E$9)</f>
        <v>23.866900000000001</v>
      </c>
      <c r="K732" s="11">
        <f>23.8705 * CHOOSE(CONTROL!$C$32, $C$9, 100%, $E$9)</f>
        <v>23.8705</v>
      </c>
      <c r="L732" s="11">
        <f>12.015 * CHOOSE(CONTROL!$C$32, $C$9, 100%, $E$9)</f>
        <v>12.015000000000001</v>
      </c>
      <c r="M732" s="11">
        <f>12.0186 * CHOOSE(CONTROL!$C$32, $C$9, 100%, $E$9)</f>
        <v>12.018599999999999</v>
      </c>
      <c r="N732" s="11">
        <f>12.015 * CHOOSE(CONTROL!$C$32, $C$9, 100%, $E$9)</f>
        <v>12.015000000000001</v>
      </c>
      <c r="O732" s="11">
        <f>12.0186 * CHOOSE(CONTROL!$C$32, $C$9, 100%, $E$9)</f>
        <v>12.018599999999999</v>
      </c>
    </row>
    <row r="733" spans="1:15" ht="15" x14ac:dyDescent="0.2">
      <c r="A733" s="13">
        <v>63159</v>
      </c>
      <c r="B733" s="9">
        <f>10.6663 * CHOOSE(CONTROL!$C$32, $C$9, 100%, $E$9)</f>
        <v>10.6663</v>
      </c>
      <c r="C733" s="9">
        <f>10.6663 * CHOOSE(CONTROL!$C$32, $C$9, 100%, $E$9)</f>
        <v>10.6663</v>
      </c>
      <c r="D733" s="9">
        <f>10.6673 * CHOOSE(CONTROL!$C$32, $C$9, 100%, $E$9)</f>
        <v>10.667299999999999</v>
      </c>
      <c r="E733" s="11">
        <f>11.8546 * CHOOSE(CONTROL!$C$32, $C$9, 100%, $E$9)</f>
        <v>11.8546</v>
      </c>
      <c r="F733" s="11">
        <f>11.8546 * CHOOSE(CONTROL!$C$32, $C$9, 100%, $E$9)</f>
        <v>11.8546</v>
      </c>
      <c r="G733" s="11">
        <f>11.8582 * CHOOSE(CONTROL!$C$32, $C$9, 100%, $E$9)</f>
        <v>11.8582</v>
      </c>
      <c r="H733" s="11">
        <f>23.9166 * CHOOSE(CONTROL!$C$32, $C$9, 100%, $E$9)</f>
        <v>23.916599999999999</v>
      </c>
      <c r="I733" s="11">
        <f>23.9202 * CHOOSE(CONTROL!$C$32, $C$9, 100%, $E$9)</f>
        <v>23.920200000000001</v>
      </c>
      <c r="J733" s="11">
        <f>23.9166 * CHOOSE(CONTROL!$C$32, $C$9, 100%, $E$9)</f>
        <v>23.916599999999999</v>
      </c>
      <c r="K733" s="11">
        <f>23.9202 * CHOOSE(CONTROL!$C$32, $C$9, 100%, $E$9)</f>
        <v>23.920200000000001</v>
      </c>
      <c r="L733" s="11">
        <f>11.8546 * CHOOSE(CONTROL!$C$32, $C$9, 100%, $E$9)</f>
        <v>11.8546</v>
      </c>
      <c r="M733" s="11">
        <f>11.8582 * CHOOSE(CONTROL!$C$32, $C$9, 100%, $E$9)</f>
        <v>11.8582</v>
      </c>
      <c r="N733" s="11">
        <f>11.8546 * CHOOSE(CONTROL!$C$32, $C$9, 100%, $E$9)</f>
        <v>11.8546</v>
      </c>
      <c r="O733" s="11">
        <f>11.8582 * CHOOSE(CONTROL!$C$32, $C$9, 100%, $E$9)</f>
        <v>11.8582</v>
      </c>
    </row>
    <row r="734" spans="1:15" ht="15" x14ac:dyDescent="0.2">
      <c r="A734" s="13">
        <v>63190</v>
      </c>
      <c r="B734" s="9">
        <f>10.6931 * CHOOSE(CONTROL!$C$32, $C$9, 100%, $E$9)</f>
        <v>10.693099999999999</v>
      </c>
      <c r="C734" s="9">
        <f>10.6931 * CHOOSE(CONTROL!$C$32, $C$9, 100%, $E$9)</f>
        <v>10.693099999999999</v>
      </c>
      <c r="D734" s="9">
        <f>10.6942 * CHOOSE(CONTROL!$C$32, $C$9, 100%, $E$9)</f>
        <v>10.6942</v>
      </c>
      <c r="E734" s="11">
        <f>12.008 * CHOOSE(CONTROL!$C$32, $C$9, 100%, $E$9)</f>
        <v>12.007999999999999</v>
      </c>
      <c r="F734" s="11">
        <f>12.008 * CHOOSE(CONTROL!$C$32, $C$9, 100%, $E$9)</f>
        <v>12.007999999999999</v>
      </c>
      <c r="G734" s="11">
        <f>12.0116 * CHOOSE(CONTROL!$C$32, $C$9, 100%, $E$9)</f>
        <v>12.0116</v>
      </c>
      <c r="H734" s="11">
        <f>23.8288 * CHOOSE(CONTROL!$C$32, $C$9, 100%, $E$9)</f>
        <v>23.828800000000001</v>
      </c>
      <c r="I734" s="11">
        <f>23.8325 * CHOOSE(CONTROL!$C$32, $C$9, 100%, $E$9)</f>
        <v>23.8325</v>
      </c>
      <c r="J734" s="11">
        <f>23.8288 * CHOOSE(CONTROL!$C$32, $C$9, 100%, $E$9)</f>
        <v>23.828800000000001</v>
      </c>
      <c r="K734" s="11">
        <f>23.8325 * CHOOSE(CONTROL!$C$32, $C$9, 100%, $E$9)</f>
        <v>23.8325</v>
      </c>
      <c r="L734" s="11">
        <f>12.008 * CHOOSE(CONTROL!$C$32, $C$9, 100%, $E$9)</f>
        <v>12.007999999999999</v>
      </c>
      <c r="M734" s="11">
        <f>12.0116 * CHOOSE(CONTROL!$C$32, $C$9, 100%, $E$9)</f>
        <v>12.0116</v>
      </c>
      <c r="N734" s="11">
        <f>12.008 * CHOOSE(CONTROL!$C$32, $C$9, 100%, $E$9)</f>
        <v>12.007999999999999</v>
      </c>
      <c r="O734" s="11">
        <f>12.0116 * CHOOSE(CONTROL!$C$32, $C$9, 100%, $E$9)</f>
        <v>12.0116</v>
      </c>
    </row>
    <row r="735" spans="1:15" ht="15" x14ac:dyDescent="0.2">
      <c r="A735" s="13">
        <v>63221</v>
      </c>
      <c r="B735" s="9">
        <f>10.6901 * CHOOSE(CONTROL!$C$32, $C$9, 100%, $E$9)</f>
        <v>10.690099999999999</v>
      </c>
      <c r="C735" s="9">
        <f>10.6901 * CHOOSE(CONTROL!$C$32, $C$9, 100%, $E$9)</f>
        <v>10.690099999999999</v>
      </c>
      <c r="D735" s="9">
        <f>10.6912 * CHOOSE(CONTROL!$C$32, $C$9, 100%, $E$9)</f>
        <v>10.6912</v>
      </c>
      <c r="E735" s="11">
        <f>11.6957 * CHOOSE(CONTROL!$C$32, $C$9, 100%, $E$9)</f>
        <v>11.6957</v>
      </c>
      <c r="F735" s="11">
        <f>11.6957 * CHOOSE(CONTROL!$C$32, $C$9, 100%, $E$9)</f>
        <v>11.6957</v>
      </c>
      <c r="G735" s="11">
        <f>11.6994 * CHOOSE(CONTROL!$C$32, $C$9, 100%, $E$9)</f>
        <v>11.699400000000001</v>
      </c>
      <c r="H735" s="11">
        <f>23.8785 * CHOOSE(CONTROL!$C$32, $C$9, 100%, $E$9)</f>
        <v>23.878499999999999</v>
      </c>
      <c r="I735" s="11">
        <f>23.8821 * CHOOSE(CONTROL!$C$32, $C$9, 100%, $E$9)</f>
        <v>23.882100000000001</v>
      </c>
      <c r="J735" s="11">
        <f>23.8785 * CHOOSE(CONTROL!$C$32, $C$9, 100%, $E$9)</f>
        <v>23.878499999999999</v>
      </c>
      <c r="K735" s="11">
        <f>23.8821 * CHOOSE(CONTROL!$C$32, $C$9, 100%, $E$9)</f>
        <v>23.882100000000001</v>
      </c>
      <c r="L735" s="11">
        <f>11.6957 * CHOOSE(CONTROL!$C$32, $C$9, 100%, $E$9)</f>
        <v>11.6957</v>
      </c>
      <c r="M735" s="11">
        <f>11.6994 * CHOOSE(CONTROL!$C$32, $C$9, 100%, $E$9)</f>
        <v>11.699400000000001</v>
      </c>
      <c r="N735" s="11">
        <f>11.6957 * CHOOSE(CONTROL!$C$32, $C$9, 100%, $E$9)</f>
        <v>11.6957</v>
      </c>
      <c r="O735" s="11">
        <f>11.6994 * CHOOSE(CONTROL!$C$32, $C$9, 100%, $E$9)</f>
        <v>11.699400000000001</v>
      </c>
    </row>
    <row r="736" spans="1:15" ht="15" x14ac:dyDescent="0.2">
      <c r="A736" s="13">
        <v>63249</v>
      </c>
      <c r="B736" s="9">
        <f>10.6871 * CHOOSE(CONTROL!$C$32, $C$9, 100%, $E$9)</f>
        <v>10.687099999999999</v>
      </c>
      <c r="C736" s="9">
        <f>10.6871 * CHOOSE(CONTROL!$C$32, $C$9, 100%, $E$9)</f>
        <v>10.687099999999999</v>
      </c>
      <c r="D736" s="9">
        <f>10.6881 * CHOOSE(CONTROL!$C$32, $C$9, 100%, $E$9)</f>
        <v>10.6881</v>
      </c>
      <c r="E736" s="11">
        <f>11.9381 * CHOOSE(CONTROL!$C$32, $C$9, 100%, $E$9)</f>
        <v>11.9381</v>
      </c>
      <c r="F736" s="11">
        <f>11.9381 * CHOOSE(CONTROL!$C$32, $C$9, 100%, $E$9)</f>
        <v>11.9381</v>
      </c>
      <c r="G736" s="11">
        <f>11.9418 * CHOOSE(CONTROL!$C$32, $C$9, 100%, $E$9)</f>
        <v>11.941800000000001</v>
      </c>
      <c r="H736" s="11">
        <f>23.9282 * CHOOSE(CONTROL!$C$32, $C$9, 100%, $E$9)</f>
        <v>23.9282</v>
      </c>
      <c r="I736" s="11">
        <f>23.9318 * CHOOSE(CONTROL!$C$32, $C$9, 100%, $E$9)</f>
        <v>23.931799999999999</v>
      </c>
      <c r="J736" s="11">
        <f>23.9282 * CHOOSE(CONTROL!$C$32, $C$9, 100%, $E$9)</f>
        <v>23.9282</v>
      </c>
      <c r="K736" s="11">
        <f>23.9318 * CHOOSE(CONTROL!$C$32, $C$9, 100%, $E$9)</f>
        <v>23.931799999999999</v>
      </c>
      <c r="L736" s="11">
        <f>11.9381 * CHOOSE(CONTROL!$C$32, $C$9, 100%, $E$9)</f>
        <v>11.9381</v>
      </c>
      <c r="M736" s="11">
        <f>11.9418 * CHOOSE(CONTROL!$C$32, $C$9, 100%, $E$9)</f>
        <v>11.941800000000001</v>
      </c>
      <c r="N736" s="11">
        <f>11.9381 * CHOOSE(CONTROL!$C$32, $C$9, 100%, $E$9)</f>
        <v>11.9381</v>
      </c>
      <c r="O736" s="11">
        <f>11.9418 * CHOOSE(CONTROL!$C$32, $C$9, 100%, $E$9)</f>
        <v>11.941800000000001</v>
      </c>
    </row>
    <row r="737" spans="1:15" ht="15" x14ac:dyDescent="0.2">
      <c r="A737" s="13">
        <v>63280</v>
      </c>
      <c r="B737" s="9">
        <f>10.6912 * CHOOSE(CONTROL!$C$32, $C$9, 100%, $E$9)</f>
        <v>10.6912</v>
      </c>
      <c r="C737" s="9">
        <f>10.6912 * CHOOSE(CONTROL!$C$32, $C$9, 100%, $E$9)</f>
        <v>10.6912</v>
      </c>
      <c r="D737" s="9">
        <f>10.6923 * CHOOSE(CONTROL!$C$32, $C$9, 100%, $E$9)</f>
        <v>10.692299999999999</v>
      </c>
      <c r="E737" s="11">
        <f>12.1965 * CHOOSE(CONTROL!$C$32, $C$9, 100%, $E$9)</f>
        <v>12.1965</v>
      </c>
      <c r="F737" s="11">
        <f>12.1965 * CHOOSE(CONTROL!$C$32, $C$9, 100%, $E$9)</f>
        <v>12.1965</v>
      </c>
      <c r="G737" s="11">
        <f>12.2001 * CHOOSE(CONTROL!$C$32, $C$9, 100%, $E$9)</f>
        <v>12.200100000000001</v>
      </c>
      <c r="H737" s="11">
        <f>23.9781 * CHOOSE(CONTROL!$C$32, $C$9, 100%, $E$9)</f>
        <v>23.978100000000001</v>
      </c>
      <c r="I737" s="11">
        <f>23.9817 * CHOOSE(CONTROL!$C$32, $C$9, 100%, $E$9)</f>
        <v>23.9817</v>
      </c>
      <c r="J737" s="11">
        <f>23.9781 * CHOOSE(CONTROL!$C$32, $C$9, 100%, $E$9)</f>
        <v>23.978100000000001</v>
      </c>
      <c r="K737" s="11">
        <f>23.9817 * CHOOSE(CONTROL!$C$32, $C$9, 100%, $E$9)</f>
        <v>23.9817</v>
      </c>
      <c r="L737" s="11">
        <f>12.1965 * CHOOSE(CONTROL!$C$32, $C$9, 100%, $E$9)</f>
        <v>12.1965</v>
      </c>
      <c r="M737" s="11">
        <f>12.2001 * CHOOSE(CONTROL!$C$32, $C$9, 100%, $E$9)</f>
        <v>12.200100000000001</v>
      </c>
      <c r="N737" s="11">
        <f>12.1965 * CHOOSE(CONTROL!$C$32, $C$9, 100%, $E$9)</f>
        <v>12.1965</v>
      </c>
      <c r="O737" s="11">
        <f>12.2001 * CHOOSE(CONTROL!$C$32, $C$9, 100%, $E$9)</f>
        <v>12.200100000000001</v>
      </c>
    </row>
    <row r="738" spans="1:15" ht="15" x14ac:dyDescent="0.2">
      <c r="A738" s="13">
        <v>63310</v>
      </c>
      <c r="B738" s="9">
        <f>10.6912 * CHOOSE(CONTROL!$C$32, $C$9, 100%, $E$9)</f>
        <v>10.6912</v>
      </c>
      <c r="C738" s="9">
        <f>10.6912 * CHOOSE(CONTROL!$C$32, $C$9, 100%, $E$9)</f>
        <v>10.6912</v>
      </c>
      <c r="D738" s="9">
        <f>10.6928 * CHOOSE(CONTROL!$C$32, $C$9, 100%, $E$9)</f>
        <v>10.6928</v>
      </c>
      <c r="E738" s="11">
        <f>12.295 * CHOOSE(CONTROL!$C$32, $C$9, 100%, $E$9)</f>
        <v>12.295</v>
      </c>
      <c r="F738" s="11">
        <f>12.295 * CHOOSE(CONTROL!$C$32, $C$9, 100%, $E$9)</f>
        <v>12.295</v>
      </c>
      <c r="G738" s="11">
        <f>12.3003 * CHOOSE(CONTROL!$C$32, $C$9, 100%, $E$9)</f>
        <v>12.3003</v>
      </c>
      <c r="H738" s="11">
        <f>24.028 * CHOOSE(CONTROL!$C$32, $C$9, 100%, $E$9)</f>
        <v>24.027999999999999</v>
      </c>
      <c r="I738" s="11">
        <f>24.0333 * CHOOSE(CONTROL!$C$32, $C$9, 100%, $E$9)</f>
        <v>24.033300000000001</v>
      </c>
      <c r="J738" s="11">
        <f>24.028 * CHOOSE(CONTROL!$C$32, $C$9, 100%, $E$9)</f>
        <v>24.027999999999999</v>
      </c>
      <c r="K738" s="11">
        <f>24.0333 * CHOOSE(CONTROL!$C$32, $C$9, 100%, $E$9)</f>
        <v>24.033300000000001</v>
      </c>
      <c r="L738" s="11">
        <f>12.295 * CHOOSE(CONTROL!$C$32, $C$9, 100%, $E$9)</f>
        <v>12.295</v>
      </c>
      <c r="M738" s="11">
        <f>12.3003 * CHOOSE(CONTROL!$C$32, $C$9, 100%, $E$9)</f>
        <v>12.3003</v>
      </c>
      <c r="N738" s="11">
        <f>12.295 * CHOOSE(CONTROL!$C$32, $C$9, 100%, $E$9)</f>
        <v>12.295</v>
      </c>
      <c r="O738" s="11">
        <f>12.3003 * CHOOSE(CONTROL!$C$32, $C$9, 100%, $E$9)</f>
        <v>12.3003</v>
      </c>
    </row>
    <row r="739" spans="1:15" ht="15" x14ac:dyDescent="0.2">
      <c r="A739" s="13">
        <v>63341</v>
      </c>
      <c r="B739" s="9">
        <f>10.6973 * CHOOSE(CONTROL!$C$32, $C$9, 100%, $E$9)</f>
        <v>10.6973</v>
      </c>
      <c r="C739" s="9">
        <f>10.6973 * CHOOSE(CONTROL!$C$32, $C$9, 100%, $E$9)</f>
        <v>10.6973</v>
      </c>
      <c r="D739" s="9">
        <f>10.6989 * CHOOSE(CONTROL!$C$32, $C$9, 100%, $E$9)</f>
        <v>10.6989</v>
      </c>
      <c r="E739" s="11">
        <f>12.2007 * CHOOSE(CONTROL!$C$32, $C$9, 100%, $E$9)</f>
        <v>12.200699999999999</v>
      </c>
      <c r="F739" s="11">
        <f>12.2007 * CHOOSE(CONTROL!$C$32, $C$9, 100%, $E$9)</f>
        <v>12.200699999999999</v>
      </c>
      <c r="G739" s="11">
        <f>12.206 * CHOOSE(CONTROL!$C$32, $C$9, 100%, $E$9)</f>
        <v>12.206</v>
      </c>
      <c r="H739" s="11">
        <f>24.0781 * CHOOSE(CONTROL!$C$32, $C$9, 100%, $E$9)</f>
        <v>24.078099999999999</v>
      </c>
      <c r="I739" s="11">
        <f>24.0834 * CHOOSE(CONTROL!$C$32, $C$9, 100%, $E$9)</f>
        <v>24.083400000000001</v>
      </c>
      <c r="J739" s="11">
        <f>24.0781 * CHOOSE(CONTROL!$C$32, $C$9, 100%, $E$9)</f>
        <v>24.078099999999999</v>
      </c>
      <c r="K739" s="11">
        <f>24.0834 * CHOOSE(CONTROL!$C$32, $C$9, 100%, $E$9)</f>
        <v>24.083400000000001</v>
      </c>
      <c r="L739" s="11">
        <f>12.2007 * CHOOSE(CONTROL!$C$32, $C$9, 100%, $E$9)</f>
        <v>12.200699999999999</v>
      </c>
      <c r="M739" s="11">
        <f>12.206 * CHOOSE(CONTROL!$C$32, $C$9, 100%, $E$9)</f>
        <v>12.206</v>
      </c>
      <c r="N739" s="11">
        <f>12.2007 * CHOOSE(CONTROL!$C$32, $C$9, 100%, $E$9)</f>
        <v>12.200699999999999</v>
      </c>
      <c r="O739" s="11">
        <f>12.206 * CHOOSE(CONTROL!$C$32, $C$9, 100%, $E$9)</f>
        <v>12.206</v>
      </c>
    </row>
    <row r="740" spans="1:15" ht="15" x14ac:dyDescent="0.2">
      <c r="A740" s="13">
        <v>63371</v>
      </c>
      <c r="B740" s="9">
        <f>10.8293 * CHOOSE(CONTROL!$C$32, $C$9, 100%, $E$9)</f>
        <v>10.8293</v>
      </c>
      <c r="C740" s="9">
        <f>10.8293 * CHOOSE(CONTROL!$C$32, $C$9, 100%, $E$9)</f>
        <v>10.8293</v>
      </c>
      <c r="D740" s="9">
        <f>10.8309 * CHOOSE(CONTROL!$C$32, $C$9, 100%, $E$9)</f>
        <v>10.8309</v>
      </c>
      <c r="E740" s="11">
        <f>12.3722 * CHOOSE(CONTROL!$C$32, $C$9, 100%, $E$9)</f>
        <v>12.372199999999999</v>
      </c>
      <c r="F740" s="11">
        <f>12.3722 * CHOOSE(CONTROL!$C$32, $C$9, 100%, $E$9)</f>
        <v>12.372199999999999</v>
      </c>
      <c r="G740" s="11">
        <f>12.3775 * CHOOSE(CONTROL!$C$32, $C$9, 100%, $E$9)</f>
        <v>12.3775</v>
      </c>
      <c r="H740" s="11">
        <f>24.1283 * CHOOSE(CONTROL!$C$32, $C$9, 100%, $E$9)</f>
        <v>24.128299999999999</v>
      </c>
      <c r="I740" s="11">
        <f>24.1335 * CHOOSE(CONTROL!$C$32, $C$9, 100%, $E$9)</f>
        <v>24.133500000000002</v>
      </c>
      <c r="J740" s="11">
        <f>24.1283 * CHOOSE(CONTROL!$C$32, $C$9, 100%, $E$9)</f>
        <v>24.128299999999999</v>
      </c>
      <c r="K740" s="11">
        <f>24.1335 * CHOOSE(CONTROL!$C$32, $C$9, 100%, $E$9)</f>
        <v>24.133500000000002</v>
      </c>
      <c r="L740" s="11">
        <f>12.3722 * CHOOSE(CONTROL!$C$32, $C$9, 100%, $E$9)</f>
        <v>12.372199999999999</v>
      </c>
      <c r="M740" s="11">
        <f>12.3775 * CHOOSE(CONTROL!$C$32, $C$9, 100%, $E$9)</f>
        <v>12.3775</v>
      </c>
      <c r="N740" s="11">
        <f>12.3722 * CHOOSE(CONTROL!$C$32, $C$9, 100%, $E$9)</f>
        <v>12.372199999999999</v>
      </c>
      <c r="O740" s="11">
        <f>12.3775 * CHOOSE(CONTROL!$C$32, $C$9, 100%, $E$9)</f>
        <v>12.3775</v>
      </c>
    </row>
    <row r="741" spans="1:15" ht="15" x14ac:dyDescent="0.2">
      <c r="A741" s="13">
        <v>63402</v>
      </c>
      <c r="B741" s="9">
        <f>10.836 * CHOOSE(CONTROL!$C$32, $C$9, 100%, $E$9)</f>
        <v>10.836</v>
      </c>
      <c r="C741" s="9">
        <f>10.836 * CHOOSE(CONTROL!$C$32, $C$9, 100%, $E$9)</f>
        <v>10.836</v>
      </c>
      <c r="D741" s="9">
        <f>10.8376 * CHOOSE(CONTROL!$C$32, $C$9, 100%, $E$9)</f>
        <v>10.8376</v>
      </c>
      <c r="E741" s="11">
        <f>12.0815 * CHOOSE(CONTROL!$C$32, $C$9, 100%, $E$9)</f>
        <v>12.0815</v>
      </c>
      <c r="F741" s="11">
        <f>12.0815 * CHOOSE(CONTROL!$C$32, $C$9, 100%, $E$9)</f>
        <v>12.0815</v>
      </c>
      <c r="G741" s="11">
        <f>12.0868 * CHOOSE(CONTROL!$C$32, $C$9, 100%, $E$9)</f>
        <v>12.0868</v>
      </c>
      <c r="H741" s="11">
        <f>24.1785 * CHOOSE(CONTROL!$C$32, $C$9, 100%, $E$9)</f>
        <v>24.1785</v>
      </c>
      <c r="I741" s="11">
        <f>24.1838 * CHOOSE(CONTROL!$C$32, $C$9, 100%, $E$9)</f>
        <v>24.183800000000002</v>
      </c>
      <c r="J741" s="11">
        <f>24.1785 * CHOOSE(CONTROL!$C$32, $C$9, 100%, $E$9)</f>
        <v>24.1785</v>
      </c>
      <c r="K741" s="11">
        <f>24.1838 * CHOOSE(CONTROL!$C$32, $C$9, 100%, $E$9)</f>
        <v>24.183800000000002</v>
      </c>
      <c r="L741" s="11">
        <f>12.0815 * CHOOSE(CONTROL!$C$32, $C$9, 100%, $E$9)</f>
        <v>12.0815</v>
      </c>
      <c r="M741" s="11">
        <f>12.0868 * CHOOSE(CONTROL!$C$32, $C$9, 100%, $E$9)</f>
        <v>12.0868</v>
      </c>
      <c r="N741" s="11">
        <f>12.0815 * CHOOSE(CONTROL!$C$32, $C$9, 100%, $E$9)</f>
        <v>12.0815</v>
      </c>
      <c r="O741" s="11">
        <f>12.0868 * CHOOSE(CONTROL!$C$32, $C$9, 100%, $E$9)</f>
        <v>12.0868</v>
      </c>
    </row>
    <row r="742" spans="1:15" ht="15" x14ac:dyDescent="0.2">
      <c r="A742" s="13">
        <v>63433</v>
      </c>
      <c r="B742" s="9">
        <f>10.833 * CHOOSE(CONTROL!$C$32, $C$9, 100%, $E$9)</f>
        <v>10.833</v>
      </c>
      <c r="C742" s="9">
        <f>10.833 * CHOOSE(CONTROL!$C$32, $C$9, 100%, $E$9)</f>
        <v>10.833</v>
      </c>
      <c r="D742" s="9">
        <f>10.8345 * CHOOSE(CONTROL!$C$32, $C$9, 100%, $E$9)</f>
        <v>10.8345</v>
      </c>
      <c r="E742" s="11">
        <f>12.0465 * CHOOSE(CONTROL!$C$32, $C$9, 100%, $E$9)</f>
        <v>12.0465</v>
      </c>
      <c r="F742" s="11">
        <f>12.0465 * CHOOSE(CONTROL!$C$32, $C$9, 100%, $E$9)</f>
        <v>12.0465</v>
      </c>
      <c r="G742" s="11">
        <f>12.0518 * CHOOSE(CONTROL!$C$32, $C$9, 100%, $E$9)</f>
        <v>12.0518</v>
      </c>
      <c r="H742" s="11">
        <f>24.2289 * CHOOSE(CONTROL!$C$32, $C$9, 100%, $E$9)</f>
        <v>24.228899999999999</v>
      </c>
      <c r="I742" s="11">
        <f>24.2342 * CHOOSE(CONTROL!$C$32, $C$9, 100%, $E$9)</f>
        <v>24.234200000000001</v>
      </c>
      <c r="J742" s="11">
        <f>24.2289 * CHOOSE(CONTROL!$C$32, $C$9, 100%, $E$9)</f>
        <v>24.228899999999999</v>
      </c>
      <c r="K742" s="11">
        <f>24.2342 * CHOOSE(CONTROL!$C$32, $C$9, 100%, $E$9)</f>
        <v>24.234200000000001</v>
      </c>
      <c r="L742" s="11">
        <f>12.0465 * CHOOSE(CONTROL!$C$32, $C$9, 100%, $E$9)</f>
        <v>12.0465</v>
      </c>
      <c r="M742" s="11">
        <f>12.0518 * CHOOSE(CONTROL!$C$32, $C$9, 100%, $E$9)</f>
        <v>12.0518</v>
      </c>
      <c r="N742" s="11">
        <f>12.0465 * CHOOSE(CONTROL!$C$32, $C$9, 100%, $E$9)</f>
        <v>12.0465</v>
      </c>
      <c r="O742" s="11">
        <f>12.0518 * CHOOSE(CONTROL!$C$32, $C$9, 100%, $E$9)</f>
        <v>12.0518</v>
      </c>
    </row>
    <row r="743" spans="1:15" ht="15" x14ac:dyDescent="0.2">
      <c r="A743" s="13">
        <v>63463</v>
      </c>
      <c r="B743" s="9">
        <f>10.8535 * CHOOSE(CONTROL!$C$32, $C$9, 100%, $E$9)</f>
        <v>10.8535</v>
      </c>
      <c r="C743" s="9">
        <f>10.8535 * CHOOSE(CONTROL!$C$32, $C$9, 100%, $E$9)</f>
        <v>10.8535</v>
      </c>
      <c r="D743" s="9">
        <f>10.8546 * CHOOSE(CONTROL!$C$32, $C$9, 100%, $E$9)</f>
        <v>10.8546</v>
      </c>
      <c r="E743" s="11">
        <f>12.1644 * CHOOSE(CONTROL!$C$32, $C$9, 100%, $E$9)</f>
        <v>12.164400000000001</v>
      </c>
      <c r="F743" s="11">
        <f>12.1644 * CHOOSE(CONTROL!$C$32, $C$9, 100%, $E$9)</f>
        <v>12.164400000000001</v>
      </c>
      <c r="G743" s="11">
        <f>12.168 * CHOOSE(CONTROL!$C$32, $C$9, 100%, $E$9)</f>
        <v>12.167999999999999</v>
      </c>
      <c r="H743" s="11">
        <f>24.2794 * CHOOSE(CONTROL!$C$32, $C$9, 100%, $E$9)</f>
        <v>24.279399999999999</v>
      </c>
      <c r="I743" s="11">
        <f>24.283 * CHOOSE(CONTROL!$C$32, $C$9, 100%, $E$9)</f>
        <v>24.283000000000001</v>
      </c>
      <c r="J743" s="11">
        <f>24.2794 * CHOOSE(CONTROL!$C$32, $C$9, 100%, $E$9)</f>
        <v>24.279399999999999</v>
      </c>
      <c r="K743" s="11">
        <f>24.283 * CHOOSE(CONTROL!$C$32, $C$9, 100%, $E$9)</f>
        <v>24.283000000000001</v>
      </c>
      <c r="L743" s="11">
        <f>12.1644 * CHOOSE(CONTROL!$C$32, $C$9, 100%, $E$9)</f>
        <v>12.164400000000001</v>
      </c>
      <c r="M743" s="11">
        <f>12.168 * CHOOSE(CONTROL!$C$32, $C$9, 100%, $E$9)</f>
        <v>12.167999999999999</v>
      </c>
      <c r="N743" s="11">
        <f>12.1644 * CHOOSE(CONTROL!$C$32, $C$9, 100%, $E$9)</f>
        <v>12.164400000000001</v>
      </c>
      <c r="O743" s="11">
        <f>12.168 * CHOOSE(CONTROL!$C$32, $C$9, 100%, $E$9)</f>
        <v>12.167999999999999</v>
      </c>
    </row>
    <row r="744" spans="1:15" ht="15" x14ac:dyDescent="0.2">
      <c r="A744" s="13">
        <v>63494</v>
      </c>
      <c r="B744" s="9">
        <f>10.8566 * CHOOSE(CONTROL!$C$32, $C$9, 100%, $E$9)</f>
        <v>10.8566</v>
      </c>
      <c r="C744" s="9">
        <f>10.8566 * CHOOSE(CONTROL!$C$32, $C$9, 100%, $E$9)</f>
        <v>10.8566</v>
      </c>
      <c r="D744" s="9">
        <f>10.8576 * CHOOSE(CONTROL!$C$32, $C$9, 100%, $E$9)</f>
        <v>10.8576</v>
      </c>
      <c r="E744" s="11">
        <f>12.2322 * CHOOSE(CONTROL!$C$32, $C$9, 100%, $E$9)</f>
        <v>12.232200000000001</v>
      </c>
      <c r="F744" s="11">
        <f>12.2322 * CHOOSE(CONTROL!$C$32, $C$9, 100%, $E$9)</f>
        <v>12.232200000000001</v>
      </c>
      <c r="G744" s="11">
        <f>12.2358 * CHOOSE(CONTROL!$C$32, $C$9, 100%, $E$9)</f>
        <v>12.235799999999999</v>
      </c>
      <c r="H744" s="11">
        <f>24.3299 * CHOOSE(CONTROL!$C$32, $C$9, 100%, $E$9)</f>
        <v>24.329899999999999</v>
      </c>
      <c r="I744" s="11">
        <f>24.3336 * CHOOSE(CONTROL!$C$32, $C$9, 100%, $E$9)</f>
        <v>24.333600000000001</v>
      </c>
      <c r="J744" s="11">
        <f>24.3299 * CHOOSE(CONTROL!$C$32, $C$9, 100%, $E$9)</f>
        <v>24.329899999999999</v>
      </c>
      <c r="K744" s="11">
        <f>24.3336 * CHOOSE(CONTROL!$C$32, $C$9, 100%, $E$9)</f>
        <v>24.333600000000001</v>
      </c>
      <c r="L744" s="11">
        <f>12.2322 * CHOOSE(CONTROL!$C$32, $C$9, 100%, $E$9)</f>
        <v>12.232200000000001</v>
      </c>
      <c r="M744" s="11">
        <f>12.2358 * CHOOSE(CONTROL!$C$32, $C$9, 100%, $E$9)</f>
        <v>12.235799999999999</v>
      </c>
      <c r="N744" s="11">
        <f>12.2322 * CHOOSE(CONTROL!$C$32, $C$9, 100%, $E$9)</f>
        <v>12.232200000000001</v>
      </c>
      <c r="O744" s="11">
        <f>12.2358 * CHOOSE(CONTROL!$C$32, $C$9, 100%, $E$9)</f>
        <v>12.235799999999999</v>
      </c>
    </row>
    <row r="745" spans="1:15" ht="15" x14ac:dyDescent="0.2">
      <c r="A745" s="13">
        <v>63524</v>
      </c>
      <c r="B745" s="9">
        <f>10.8566 * CHOOSE(CONTROL!$C$32, $C$9, 100%, $E$9)</f>
        <v>10.8566</v>
      </c>
      <c r="C745" s="9">
        <f>10.8566 * CHOOSE(CONTROL!$C$32, $C$9, 100%, $E$9)</f>
        <v>10.8566</v>
      </c>
      <c r="D745" s="9">
        <f>10.8576 * CHOOSE(CONTROL!$C$32, $C$9, 100%, $E$9)</f>
        <v>10.8576</v>
      </c>
      <c r="E745" s="11">
        <f>12.068 * CHOOSE(CONTROL!$C$32, $C$9, 100%, $E$9)</f>
        <v>12.068</v>
      </c>
      <c r="F745" s="11">
        <f>12.068 * CHOOSE(CONTROL!$C$32, $C$9, 100%, $E$9)</f>
        <v>12.068</v>
      </c>
      <c r="G745" s="11">
        <f>12.0717 * CHOOSE(CONTROL!$C$32, $C$9, 100%, $E$9)</f>
        <v>12.0717</v>
      </c>
      <c r="H745" s="11">
        <f>24.3806 * CHOOSE(CONTROL!$C$32, $C$9, 100%, $E$9)</f>
        <v>24.380600000000001</v>
      </c>
      <c r="I745" s="11">
        <f>24.3843 * CHOOSE(CONTROL!$C$32, $C$9, 100%, $E$9)</f>
        <v>24.3843</v>
      </c>
      <c r="J745" s="11">
        <f>24.3806 * CHOOSE(CONTROL!$C$32, $C$9, 100%, $E$9)</f>
        <v>24.380600000000001</v>
      </c>
      <c r="K745" s="11">
        <f>24.3843 * CHOOSE(CONTROL!$C$32, $C$9, 100%, $E$9)</f>
        <v>24.3843</v>
      </c>
      <c r="L745" s="11">
        <f>12.068 * CHOOSE(CONTROL!$C$32, $C$9, 100%, $E$9)</f>
        <v>12.068</v>
      </c>
      <c r="M745" s="11">
        <f>12.0717 * CHOOSE(CONTROL!$C$32, $C$9, 100%, $E$9)</f>
        <v>12.0717</v>
      </c>
      <c r="N745" s="11">
        <f>12.068 * CHOOSE(CONTROL!$C$32, $C$9, 100%, $E$9)</f>
        <v>12.068</v>
      </c>
      <c r="O745" s="11">
        <f>12.0717 * CHOOSE(CONTROL!$C$32, $C$9, 100%, $E$9)</f>
        <v>12.0717</v>
      </c>
    </row>
    <row r="746" spans="1:15" ht="15" x14ac:dyDescent="0.2">
      <c r="A746" s="13">
        <v>63555</v>
      </c>
      <c r="B746" s="9">
        <f>10.8805 * CHOOSE(CONTROL!$C$32, $C$9, 100%, $E$9)</f>
        <v>10.8805</v>
      </c>
      <c r="C746" s="9">
        <f>10.8805 * CHOOSE(CONTROL!$C$32, $C$9, 100%, $E$9)</f>
        <v>10.8805</v>
      </c>
      <c r="D746" s="9">
        <f>10.8816 * CHOOSE(CONTROL!$C$32, $C$9, 100%, $E$9)</f>
        <v>10.881600000000001</v>
      </c>
      <c r="E746" s="11">
        <f>12.2205 * CHOOSE(CONTROL!$C$32, $C$9, 100%, $E$9)</f>
        <v>12.220499999999999</v>
      </c>
      <c r="F746" s="11">
        <f>12.2205 * CHOOSE(CONTROL!$C$32, $C$9, 100%, $E$9)</f>
        <v>12.220499999999999</v>
      </c>
      <c r="G746" s="11">
        <f>12.2242 * CHOOSE(CONTROL!$C$32, $C$9, 100%, $E$9)</f>
        <v>12.2242</v>
      </c>
      <c r="H746" s="11">
        <f>24.2823 * CHOOSE(CONTROL!$C$32, $C$9, 100%, $E$9)</f>
        <v>24.282299999999999</v>
      </c>
      <c r="I746" s="11">
        <f>24.286 * CHOOSE(CONTROL!$C$32, $C$9, 100%, $E$9)</f>
        <v>24.286000000000001</v>
      </c>
      <c r="J746" s="11">
        <f>24.2823 * CHOOSE(CONTROL!$C$32, $C$9, 100%, $E$9)</f>
        <v>24.282299999999999</v>
      </c>
      <c r="K746" s="11">
        <f>24.286 * CHOOSE(CONTROL!$C$32, $C$9, 100%, $E$9)</f>
        <v>24.286000000000001</v>
      </c>
      <c r="L746" s="11">
        <f>12.2205 * CHOOSE(CONTROL!$C$32, $C$9, 100%, $E$9)</f>
        <v>12.220499999999999</v>
      </c>
      <c r="M746" s="11">
        <f>12.2242 * CHOOSE(CONTROL!$C$32, $C$9, 100%, $E$9)</f>
        <v>12.2242</v>
      </c>
      <c r="N746" s="11">
        <f>12.2205 * CHOOSE(CONTROL!$C$32, $C$9, 100%, $E$9)</f>
        <v>12.220499999999999</v>
      </c>
      <c r="O746" s="11">
        <f>12.2242 * CHOOSE(CONTROL!$C$32, $C$9, 100%, $E$9)</f>
        <v>12.2242</v>
      </c>
    </row>
    <row r="747" spans="1:15" ht="15" x14ac:dyDescent="0.2">
      <c r="A747" s="13">
        <v>63586</v>
      </c>
      <c r="B747" s="9">
        <f>10.8775 * CHOOSE(CONTROL!$C$32, $C$9, 100%, $E$9)</f>
        <v>10.8775</v>
      </c>
      <c r="C747" s="9">
        <f>10.8775 * CHOOSE(CONTROL!$C$32, $C$9, 100%, $E$9)</f>
        <v>10.8775</v>
      </c>
      <c r="D747" s="9">
        <f>10.8785 * CHOOSE(CONTROL!$C$32, $C$9, 100%, $E$9)</f>
        <v>10.878500000000001</v>
      </c>
      <c r="E747" s="11">
        <f>11.9012 * CHOOSE(CONTROL!$C$32, $C$9, 100%, $E$9)</f>
        <v>11.901199999999999</v>
      </c>
      <c r="F747" s="11">
        <f>11.9012 * CHOOSE(CONTROL!$C$32, $C$9, 100%, $E$9)</f>
        <v>11.901199999999999</v>
      </c>
      <c r="G747" s="11">
        <f>11.9048 * CHOOSE(CONTROL!$C$32, $C$9, 100%, $E$9)</f>
        <v>11.9048</v>
      </c>
      <c r="H747" s="11">
        <f>24.3329 * CHOOSE(CONTROL!$C$32, $C$9, 100%, $E$9)</f>
        <v>24.332899999999999</v>
      </c>
      <c r="I747" s="11">
        <f>24.3365 * CHOOSE(CONTROL!$C$32, $C$9, 100%, $E$9)</f>
        <v>24.336500000000001</v>
      </c>
      <c r="J747" s="11">
        <f>24.3329 * CHOOSE(CONTROL!$C$32, $C$9, 100%, $E$9)</f>
        <v>24.332899999999999</v>
      </c>
      <c r="K747" s="11">
        <f>24.3365 * CHOOSE(CONTROL!$C$32, $C$9, 100%, $E$9)</f>
        <v>24.336500000000001</v>
      </c>
      <c r="L747" s="11">
        <f>11.9012 * CHOOSE(CONTROL!$C$32, $C$9, 100%, $E$9)</f>
        <v>11.901199999999999</v>
      </c>
      <c r="M747" s="11">
        <f>11.9048 * CHOOSE(CONTROL!$C$32, $C$9, 100%, $E$9)</f>
        <v>11.9048</v>
      </c>
      <c r="N747" s="11">
        <f>11.9012 * CHOOSE(CONTROL!$C$32, $C$9, 100%, $E$9)</f>
        <v>11.901199999999999</v>
      </c>
      <c r="O747" s="11">
        <f>11.9048 * CHOOSE(CONTROL!$C$32, $C$9, 100%, $E$9)</f>
        <v>11.9048</v>
      </c>
    </row>
    <row r="748" spans="1:15" ht="15" x14ac:dyDescent="0.2">
      <c r="A748" s="13">
        <v>63614</v>
      </c>
      <c r="B748" s="9">
        <f>10.8744 * CHOOSE(CONTROL!$C$32, $C$9, 100%, $E$9)</f>
        <v>10.8744</v>
      </c>
      <c r="C748" s="9">
        <f>10.8744 * CHOOSE(CONTROL!$C$32, $C$9, 100%, $E$9)</f>
        <v>10.8744</v>
      </c>
      <c r="D748" s="9">
        <f>10.8755 * CHOOSE(CONTROL!$C$32, $C$9, 100%, $E$9)</f>
        <v>10.875500000000001</v>
      </c>
      <c r="E748" s="11">
        <f>12.1491 * CHOOSE(CONTROL!$C$32, $C$9, 100%, $E$9)</f>
        <v>12.149100000000001</v>
      </c>
      <c r="F748" s="11">
        <f>12.1491 * CHOOSE(CONTROL!$C$32, $C$9, 100%, $E$9)</f>
        <v>12.149100000000001</v>
      </c>
      <c r="G748" s="11">
        <f>12.1528 * CHOOSE(CONTROL!$C$32, $C$9, 100%, $E$9)</f>
        <v>12.152799999999999</v>
      </c>
      <c r="H748" s="11">
        <f>24.3836 * CHOOSE(CONTROL!$C$32, $C$9, 100%, $E$9)</f>
        <v>24.383600000000001</v>
      </c>
      <c r="I748" s="11">
        <f>24.3872 * CHOOSE(CONTROL!$C$32, $C$9, 100%, $E$9)</f>
        <v>24.3872</v>
      </c>
      <c r="J748" s="11">
        <f>24.3836 * CHOOSE(CONTROL!$C$32, $C$9, 100%, $E$9)</f>
        <v>24.383600000000001</v>
      </c>
      <c r="K748" s="11">
        <f>24.3872 * CHOOSE(CONTROL!$C$32, $C$9, 100%, $E$9)</f>
        <v>24.3872</v>
      </c>
      <c r="L748" s="11">
        <f>12.1491 * CHOOSE(CONTROL!$C$32, $C$9, 100%, $E$9)</f>
        <v>12.149100000000001</v>
      </c>
      <c r="M748" s="11">
        <f>12.1528 * CHOOSE(CONTROL!$C$32, $C$9, 100%, $E$9)</f>
        <v>12.152799999999999</v>
      </c>
      <c r="N748" s="11">
        <f>12.1491 * CHOOSE(CONTROL!$C$32, $C$9, 100%, $E$9)</f>
        <v>12.149100000000001</v>
      </c>
      <c r="O748" s="11">
        <f>12.1528 * CHOOSE(CONTROL!$C$32, $C$9, 100%, $E$9)</f>
        <v>12.152799999999999</v>
      </c>
    </row>
    <row r="749" spans="1:15" ht="15" x14ac:dyDescent="0.2">
      <c r="A749" s="13">
        <v>63645</v>
      </c>
      <c r="B749" s="9">
        <f>10.8787 * CHOOSE(CONTROL!$C$32, $C$9, 100%, $E$9)</f>
        <v>10.8787</v>
      </c>
      <c r="C749" s="9">
        <f>10.8787 * CHOOSE(CONTROL!$C$32, $C$9, 100%, $E$9)</f>
        <v>10.8787</v>
      </c>
      <c r="D749" s="9">
        <f>10.8798 * CHOOSE(CONTROL!$C$32, $C$9, 100%, $E$9)</f>
        <v>10.879799999999999</v>
      </c>
      <c r="E749" s="11">
        <f>12.4135 * CHOOSE(CONTROL!$C$32, $C$9, 100%, $E$9)</f>
        <v>12.413500000000001</v>
      </c>
      <c r="F749" s="11">
        <f>12.4135 * CHOOSE(CONTROL!$C$32, $C$9, 100%, $E$9)</f>
        <v>12.413500000000001</v>
      </c>
      <c r="G749" s="11">
        <f>12.4171 * CHOOSE(CONTROL!$C$32, $C$9, 100%, $E$9)</f>
        <v>12.4171</v>
      </c>
      <c r="H749" s="11">
        <f>24.4344 * CHOOSE(CONTROL!$C$32, $C$9, 100%, $E$9)</f>
        <v>24.4344</v>
      </c>
      <c r="I749" s="11">
        <f>24.438 * CHOOSE(CONTROL!$C$32, $C$9, 100%, $E$9)</f>
        <v>24.437999999999999</v>
      </c>
      <c r="J749" s="11">
        <f>24.4344 * CHOOSE(CONTROL!$C$32, $C$9, 100%, $E$9)</f>
        <v>24.4344</v>
      </c>
      <c r="K749" s="11">
        <f>24.438 * CHOOSE(CONTROL!$C$32, $C$9, 100%, $E$9)</f>
        <v>24.437999999999999</v>
      </c>
      <c r="L749" s="11">
        <f>12.4135 * CHOOSE(CONTROL!$C$32, $C$9, 100%, $E$9)</f>
        <v>12.413500000000001</v>
      </c>
      <c r="M749" s="11">
        <f>12.4171 * CHOOSE(CONTROL!$C$32, $C$9, 100%, $E$9)</f>
        <v>12.4171</v>
      </c>
      <c r="N749" s="11">
        <f>12.4135 * CHOOSE(CONTROL!$C$32, $C$9, 100%, $E$9)</f>
        <v>12.413500000000001</v>
      </c>
      <c r="O749" s="11">
        <f>12.4171 * CHOOSE(CONTROL!$C$32, $C$9, 100%, $E$9)</f>
        <v>12.4171</v>
      </c>
    </row>
    <row r="750" spans="1:15" ht="15" x14ac:dyDescent="0.2">
      <c r="A750" s="13">
        <v>63675</v>
      </c>
      <c r="B750" s="9">
        <f>10.8787 * CHOOSE(CONTROL!$C$32, $C$9, 100%, $E$9)</f>
        <v>10.8787</v>
      </c>
      <c r="C750" s="9">
        <f>10.8787 * CHOOSE(CONTROL!$C$32, $C$9, 100%, $E$9)</f>
        <v>10.8787</v>
      </c>
      <c r="D750" s="9">
        <f>10.8803 * CHOOSE(CONTROL!$C$32, $C$9, 100%, $E$9)</f>
        <v>10.8803</v>
      </c>
      <c r="E750" s="11">
        <f>12.5142 * CHOOSE(CONTROL!$C$32, $C$9, 100%, $E$9)</f>
        <v>12.514200000000001</v>
      </c>
      <c r="F750" s="11">
        <f>12.5142 * CHOOSE(CONTROL!$C$32, $C$9, 100%, $E$9)</f>
        <v>12.514200000000001</v>
      </c>
      <c r="G750" s="11">
        <f>12.5195 * CHOOSE(CONTROL!$C$32, $C$9, 100%, $E$9)</f>
        <v>12.519500000000001</v>
      </c>
      <c r="H750" s="11">
        <f>24.4853 * CHOOSE(CONTROL!$C$32, $C$9, 100%, $E$9)</f>
        <v>24.485299999999999</v>
      </c>
      <c r="I750" s="11">
        <f>24.4906 * CHOOSE(CONTROL!$C$32, $C$9, 100%, $E$9)</f>
        <v>24.490600000000001</v>
      </c>
      <c r="J750" s="11">
        <f>24.4853 * CHOOSE(CONTROL!$C$32, $C$9, 100%, $E$9)</f>
        <v>24.485299999999999</v>
      </c>
      <c r="K750" s="11">
        <f>24.4906 * CHOOSE(CONTROL!$C$32, $C$9, 100%, $E$9)</f>
        <v>24.490600000000001</v>
      </c>
      <c r="L750" s="11">
        <f>12.5142 * CHOOSE(CONTROL!$C$32, $C$9, 100%, $E$9)</f>
        <v>12.514200000000001</v>
      </c>
      <c r="M750" s="11">
        <f>12.5195 * CHOOSE(CONTROL!$C$32, $C$9, 100%, $E$9)</f>
        <v>12.519500000000001</v>
      </c>
      <c r="N750" s="11">
        <f>12.5142 * CHOOSE(CONTROL!$C$32, $C$9, 100%, $E$9)</f>
        <v>12.514200000000001</v>
      </c>
      <c r="O750" s="11">
        <f>12.5195 * CHOOSE(CONTROL!$C$32, $C$9, 100%, $E$9)</f>
        <v>12.519500000000001</v>
      </c>
    </row>
    <row r="751" spans="1:15" ht="15" x14ac:dyDescent="0.2">
      <c r="A751" s="13">
        <v>63706</v>
      </c>
      <c r="B751" s="9">
        <f>10.8848 * CHOOSE(CONTROL!$C$32, $C$9, 100%, $E$9)</f>
        <v>10.8848</v>
      </c>
      <c r="C751" s="9">
        <f>10.8848 * CHOOSE(CONTROL!$C$32, $C$9, 100%, $E$9)</f>
        <v>10.8848</v>
      </c>
      <c r="D751" s="9">
        <f>10.8864 * CHOOSE(CONTROL!$C$32, $C$9, 100%, $E$9)</f>
        <v>10.8864</v>
      </c>
      <c r="E751" s="11">
        <f>12.4177 * CHOOSE(CONTROL!$C$32, $C$9, 100%, $E$9)</f>
        <v>12.4177</v>
      </c>
      <c r="F751" s="11">
        <f>12.4177 * CHOOSE(CONTROL!$C$32, $C$9, 100%, $E$9)</f>
        <v>12.4177</v>
      </c>
      <c r="G751" s="11">
        <f>12.423 * CHOOSE(CONTROL!$C$32, $C$9, 100%, $E$9)</f>
        <v>12.423</v>
      </c>
      <c r="H751" s="11">
        <f>24.5363 * CHOOSE(CONTROL!$C$32, $C$9, 100%, $E$9)</f>
        <v>24.536300000000001</v>
      </c>
      <c r="I751" s="11">
        <f>24.5416 * CHOOSE(CONTROL!$C$32, $C$9, 100%, $E$9)</f>
        <v>24.541599999999999</v>
      </c>
      <c r="J751" s="11">
        <f>24.5363 * CHOOSE(CONTROL!$C$32, $C$9, 100%, $E$9)</f>
        <v>24.536300000000001</v>
      </c>
      <c r="K751" s="11">
        <f>24.5416 * CHOOSE(CONTROL!$C$32, $C$9, 100%, $E$9)</f>
        <v>24.541599999999999</v>
      </c>
      <c r="L751" s="11">
        <f>12.4177 * CHOOSE(CONTROL!$C$32, $C$9, 100%, $E$9)</f>
        <v>12.4177</v>
      </c>
      <c r="M751" s="11">
        <f>12.423 * CHOOSE(CONTROL!$C$32, $C$9, 100%, $E$9)</f>
        <v>12.423</v>
      </c>
      <c r="N751" s="11">
        <f>12.4177 * CHOOSE(CONTROL!$C$32, $C$9, 100%, $E$9)</f>
        <v>12.4177</v>
      </c>
      <c r="O751" s="11">
        <f>12.423 * CHOOSE(CONTROL!$C$32, $C$9, 100%, $E$9)</f>
        <v>12.423</v>
      </c>
    </row>
    <row r="752" spans="1:15" ht="15" x14ac:dyDescent="0.2">
      <c r="A752" s="13">
        <v>63736</v>
      </c>
      <c r="B752" s="9">
        <f>11.0189 * CHOOSE(CONTROL!$C$32, $C$9, 100%, $E$9)</f>
        <v>11.0189</v>
      </c>
      <c r="C752" s="9">
        <f>11.0189 * CHOOSE(CONTROL!$C$32, $C$9, 100%, $E$9)</f>
        <v>11.0189</v>
      </c>
      <c r="D752" s="9">
        <f>11.0205 * CHOOSE(CONTROL!$C$32, $C$9, 100%, $E$9)</f>
        <v>11.0205</v>
      </c>
      <c r="E752" s="11">
        <f>12.5924 * CHOOSE(CONTROL!$C$32, $C$9, 100%, $E$9)</f>
        <v>12.5924</v>
      </c>
      <c r="F752" s="11">
        <f>12.5924 * CHOOSE(CONTROL!$C$32, $C$9, 100%, $E$9)</f>
        <v>12.5924</v>
      </c>
      <c r="G752" s="11">
        <f>12.5977 * CHOOSE(CONTROL!$C$32, $C$9, 100%, $E$9)</f>
        <v>12.5977</v>
      </c>
      <c r="H752" s="11">
        <f>24.5875 * CHOOSE(CONTROL!$C$32, $C$9, 100%, $E$9)</f>
        <v>24.587499999999999</v>
      </c>
      <c r="I752" s="11">
        <f>24.5927 * CHOOSE(CONTROL!$C$32, $C$9, 100%, $E$9)</f>
        <v>24.592700000000001</v>
      </c>
      <c r="J752" s="11">
        <f>24.5875 * CHOOSE(CONTROL!$C$32, $C$9, 100%, $E$9)</f>
        <v>24.587499999999999</v>
      </c>
      <c r="K752" s="11">
        <f>24.5927 * CHOOSE(CONTROL!$C$32, $C$9, 100%, $E$9)</f>
        <v>24.592700000000001</v>
      </c>
      <c r="L752" s="11">
        <f>12.5924 * CHOOSE(CONTROL!$C$32, $C$9, 100%, $E$9)</f>
        <v>12.5924</v>
      </c>
      <c r="M752" s="11">
        <f>12.5977 * CHOOSE(CONTROL!$C$32, $C$9, 100%, $E$9)</f>
        <v>12.5977</v>
      </c>
      <c r="N752" s="11">
        <f>12.5924 * CHOOSE(CONTROL!$C$32, $C$9, 100%, $E$9)</f>
        <v>12.5924</v>
      </c>
      <c r="O752" s="11">
        <f>12.5977 * CHOOSE(CONTROL!$C$32, $C$9, 100%, $E$9)</f>
        <v>12.5977</v>
      </c>
    </row>
    <row r="753" spans="1:15" ht="15" x14ac:dyDescent="0.2">
      <c r="A753" s="13">
        <v>63767</v>
      </c>
      <c r="B753" s="9">
        <f>11.0256 * CHOOSE(CONTROL!$C$32, $C$9, 100%, $E$9)</f>
        <v>11.025600000000001</v>
      </c>
      <c r="C753" s="9">
        <f>11.0256 * CHOOSE(CONTROL!$C$32, $C$9, 100%, $E$9)</f>
        <v>11.025600000000001</v>
      </c>
      <c r="D753" s="9">
        <f>11.0272 * CHOOSE(CONTROL!$C$32, $C$9, 100%, $E$9)</f>
        <v>11.027200000000001</v>
      </c>
      <c r="E753" s="11">
        <f>12.2949 * CHOOSE(CONTROL!$C$32, $C$9, 100%, $E$9)</f>
        <v>12.2949</v>
      </c>
      <c r="F753" s="11">
        <f>12.2949 * CHOOSE(CONTROL!$C$32, $C$9, 100%, $E$9)</f>
        <v>12.2949</v>
      </c>
      <c r="G753" s="11">
        <f>12.3002 * CHOOSE(CONTROL!$C$32, $C$9, 100%, $E$9)</f>
        <v>12.3002</v>
      </c>
      <c r="H753" s="11">
        <f>24.6387 * CHOOSE(CONTROL!$C$32, $C$9, 100%, $E$9)</f>
        <v>24.6387</v>
      </c>
      <c r="I753" s="11">
        <f>24.644 * CHOOSE(CONTROL!$C$32, $C$9, 100%, $E$9)</f>
        <v>24.643999999999998</v>
      </c>
      <c r="J753" s="11">
        <f>24.6387 * CHOOSE(CONTROL!$C$32, $C$9, 100%, $E$9)</f>
        <v>24.6387</v>
      </c>
      <c r="K753" s="11">
        <f>24.644 * CHOOSE(CONTROL!$C$32, $C$9, 100%, $E$9)</f>
        <v>24.643999999999998</v>
      </c>
      <c r="L753" s="11">
        <f>12.2949 * CHOOSE(CONTROL!$C$32, $C$9, 100%, $E$9)</f>
        <v>12.2949</v>
      </c>
      <c r="M753" s="11">
        <f>12.3002 * CHOOSE(CONTROL!$C$32, $C$9, 100%, $E$9)</f>
        <v>12.3002</v>
      </c>
      <c r="N753" s="11">
        <f>12.2949 * CHOOSE(CONTROL!$C$32, $C$9, 100%, $E$9)</f>
        <v>12.2949</v>
      </c>
      <c r="O753" s="11">
        <f>12.3002 * CHOOSE(CONTROL!$C$32, $C$9, 100%, $E$9)</f>
        <v>12.3002</v>
      </c>
    </row>
    <row r="754" spans="1:15" ht="15" x14ac:dyDescent="0.2">
      <c r="A754" s="13">
        <v>63798</v>
      </c>
      <c r="B754" s="9">
        <f>11.0226 * CHOOSE(CONTROL!$C$32, $C$9, 100%, $E$9)</f>
        <v>11.022600000000001</v>
      </c>
      <c r="C754" s="9">
        <f>11.0226 * CHOOSE(CONTROL!$C$32, $C$9, 100%, $E$9)</f>
        <v>11.022600000000001</v>
      </c>
      <c r="D754" s="9">
        <f>11.0241 * CHOOSE(CONTROL!$C$32, $C$9, 100%, $E$9)</f>
        <v>11.024100000000001</v>
      </c>
      <c r="E754" s="11">
        <f>12.2592 * CHOOSE(CONTROL!$C$32, $C$9, 100%, $E$9)</f>
        <v>12.2592</v>
      </c>
      <c r="F754" s="11">
        <f>12.2592 * CHOOSE(CONTROL!$C$32, $C$9, 100%, $E$9)</f>
        <v>12.2592</v>
      </c>
      <c r="G754" s="11">
        <f>12.2645 * CHOOSE(CONTROL!$C$32, $C$9, 100%, $E$9)</f>
        <v>12.2645</v>
      </c>
      <c r="H754" s="11">
        <f>24.69 * CHOOSE(CONTROL!$C$32, $C$9, 100%, $E$9)</f>
        <v>24.69</v>
      </c>
      <c r="I754" s="11">
        <f>24.6953 * CHOOSE(CONTROL!$C$32, $C$9, 100%, $E$9)</f>
        <v>24.6953</v>
      </c>
      <c r="J754" s="11">
        <f>24.69 * CHOOSE(CONTROL!$C$32, $C$9, 100%, $E$9)</f>
        <v>24.69</v>
      </c>
      <c r="K754" s="11">
        <f>24.6953 * CHOOSE(CONTROL!$C$32, $C$9, 100%, $E$9)</f>
        <v>24.6953</v>
      </c>
      <c r="L754" s="11">
        <f>12.2592 * CHOOSE(CONTROL!$C$32, $C$9, 100%, $E$9)</f>
        <v>12.2592</v>
      </c>
      <c r="M754" s="11">
        <f>12.2645 * CHOOSE(CONTROL!$C$32, $C$9, 100%, $E$9)</f>
        <v>12.2645</v>
      </c>
      <c r="N754" s="11">
        <f>12.2592 * CHOOSE(CONTROL!$C$32, $C$9, 100%, $E$9)</f>
        <v>12.2592</v>
      </c>
      <c r="O754" s="11">
        <f>12.2645 * CHOOSE(CONTROL!$C$32, $C$9, 100%, $E$9)</f>
        <v>12.2645</v>
      </c>
    </row>
    <row r="755" spans="1:15" ht="15" x14ac:dyDescent="0.2">
      <c r="A755" s="13">
        <v>63828</v>
      </c>
      <c r="B755" s="9">
        <f>11.0438 * CHOOSE(CONTROL!$C$32, $C$9, 100%, $E$9)</f>
        <v>11.043799999999999</v>
      </c>
      <c r="C755" s="9">
        <f>11.0438 * CHOOSE(CONTROL!$C$32, $C$9, 100%, $E$9)</f>
        <v>11.043799999999999</v>
      </c>
      <c r="D755" s="9">
        <f>11.0449 * CHOOSE(CONTROL!$C$32, $C$9, 100%, $E$9)</f>
        <v>11.0449</v>
      </c>
      <c r="E755" s="11">
        <f>12.3801 * CHOOSE(CONTROL!$C$32, $C$9, 100%, $E$9)</f>
        <v>12.380100000000001</v>
      </c>
      <c r="F755" s="11">
        <f>12.3801 * CHOOSE(CONTROL!$C$32, $C$9, 100%, $E$9)</f>
        <v>12.380100000000001</v>
      </c>
      <c r="G755" s="11">
        <f>12.3837 * CHOOSE(CONTROL!$C$32, $C$9, 100%, $E$9)</f>
        <v>12.383699999999999</v>
      </c>
      <c r="H755" s="11">
        <f>24.7414 * CHOOSE(CONTROL!$C$32, $C$9, 100%, $E$9)</f>
        <v>24.741399999999999</v>
      </c>
      <c r="I755" s="11">
        <f>24.7451 * CHOOSE(CONTROL!$C$32, $C$9, 100%, $E$9)</f>
        <v>24.745100000000001</v>
      </c>
      <c r="J755" s="11">
        <f>24.7414 * CHOOSE(CONTROL!$C$32, $C$9, 100%, $E$9)</f>
        <v>24.741399999999999</v>
      </c>
      <c r="K755" s="11">
        <f>24.7451 * CHOOSE(CONTROL!$C$32, $C$9, 100%, $E$9)</f>
        <v>24.745100000000001</v>
      </c>
      <c r="L755" s="11">
        <f>12.3801 * CHOOSE(CONTROL!$C$32, $C$9, 100%, $E$9)</f>
        <v>12.380100000000001</v>
      </c>
      <c r="M755" s="11">
        <f>12.3837 * CHOOSE(CONTROL!$C$32, $C$9, 100%, $E$9)</f>
        <v>12.383699999999999</v>
      </c>
      <c r="N755" s="11">
        <f>12.3801 * CHOOSE(CONTROL!$C$32, $C$9, 100%, $E$9)</f>
        <v>12.380100000000001</v>
      </c>
      <c r="O755" s="11">
        <f>12.3837 * CHOOSE(CONTROL!$C$32, $C$9, 100%, $E$9)</f>
        <v>12.383699999999999</v>
      </c>
    </row>
    <row r="756" spans="1:15" ht="15" x14ac:dyDescent="0.2">
      <c r="A756" s="13">
        <v>63859</v>
      </c>
      <c r="B756" s="9">
        <f>11.0469 * CHOOSE(CONTROL!$C$32, $C$9, 100%, $E$9)</f>
        <v>11.046900000000001</v>
      </c>
      <c r="C756" s="9">
        <f>11.0469 * CHOOSE(CONTROL!$C$32, $C$9, 100%, $E$9)</f>
        <v>11.046900000000001</v>
      </c>
      <c r="D756" s="9">
        <f>11.048 * CHOOSE(CONTROL!$C$32, $C$9, 100%, $E$9)</f>
        <v>11.048</v>
      </c>
      <c r="E756" s="11">
        <f>12.4493 * CHOOSE(CONTROL!$C$32, $C$9, 100%, $E$9)</f>
        <v>12.449299999999999</v>
      </c>
      <c r="F756" s="11">
        <f>12.4493 * CHOOSE(CONTROL!$C$32, $C$9, 100%, $E$9)</f>
        <v>12.449299999999999</v>
      </c>
      <c r="G756" s="11">
        <f>12.453 * CHOOSE(CONTROL!$C$32, $C$9, 100%, $E$9)</f>
        <v>12.452999999999999</v>
      </c>
      <c r="H756" s="11">
        <f>24.793 * CHOOSE(CONTROL!$C$32, $C$9, 100%, $E$9)</f>
        <v>24.792999999999999</v>
      </c>
      <c r="I756" s="11">
        <f>24.7966 * CHOOSE(CONTROL!$C$32, $C$9, 100%, $E$9)</f>
        <v>24.796600000000002</v>
      </c>
      <c r="J756" s="11">
        <f>24.793 * CHOOSE(CONTROL!$C$32, $C$9, 100%, $E$9)</f>
        <v>24.792999999999999</v>
      </c>
      <c r="K756" s="11">
        <f>24.7966 * CHOOSE(CONTROL!$C$32, $C$9, 100%, $E$9)</f>
        <v>24.796600000000002</v>
      </c>
      <c r="L756" s="11">
        <f>12.4493 * CHOOSE(CONTROL!$C$32, $C$9, 100%, $E$9)</f>
        <v>12.449299999999999</v>
      </c>
      <c r="M756" s="11">
        <f>12.453 * CHOOSE(CONTROL!$C$32, $C$9, 100%, $E$9)</f>
        <v>12.452999999999999</v>
      </c>
      <c r="N756" s="11">
        <f>12.4493 * CHOOSE(CONTROL!$C$32, $C$9, 100%, $E$9)</f>
        <v>12.449299999999999</v>
      </c>
      <c r="O756" s="11">
        <f>12.453 * CHOOSE(CONTROL!$C$32, $C$9, 100%, $E$9)</f>
        <v>12.452999999999999</v>
      </c>
    </row>
    <row r="757" spans="1:15" ht="15" x14ac:dyDescent="0.2">
      <c r="A757" s="13">
        <v>63889</v>
      </c>
      <c r="B757" s="9">
        <f>11.0469 * CHOOSE(CONTROL!$C$32, $C$9, 100%, $E$9)</f>
        <v>11.046900000000001</v>
      </c>
      <c r="C757" s="9">
        <f>11.0469 * CHOOSE(CONTROL!$C$32, $C$9, 100%, $E$9)</f>
        <v>11.046900000000001</v>
      </c>
      <c r="D757" s="9">
        <f>11.048 * CHOOSE(CONTROL!$C$32, $C$9, 100%, $E$9)</f>
        <v>11.048</v>
      </c>
      <c r="E757" s="11">
        <f>12.2815 * CHOOSE(CONTROL!$C$32, $C$9, 100%, $E$9)</f>
        <v>12.281499999999999</v>
      </c>
      <c r="F757" s="11">
        <f>12.2815 * CHOOSE(CONTROL!$C$32, $C$9, 100%, $E$9)</f>
        <v>12.281499999999999</v>
      </c>
      <c r="G757" s="11">
        <f>12.2851 * CHOOSE(CONTROL!$C$32, $C$9, 100%, $E$9)</f>
        <v>12.2851</v>
      </c>
      <c r="H757" s="11">
        <f>24.8446 * CHOOSE(CONTROL!$C$32, $C$9, 100%, $E$9)</f>
        <v>24.8446</v>
      </c>
      <c r="I757" s="11">
        <f>24.8483 * CHOOSE(CONTROL!$C$32, $C$9, 100%, $E$9)</f>
        <v>24.848299999999998</v>
      </c>
      <c r="J757" s="11">
        <f>24.8446 * CHOOSE(CONTROL!$C$32, $C$9, 100%, $E$9)</f>
        <v>24.8446</v>
      </c>
      <c r="K757" s="11">
        <f>24.8483 * CHOOSE(CONTROL!$C$32, $C$9, 100%, $E$9)</f>
        <v>24.848299999999998</v>
      </c>
      <c r="L757" s="11">
        <f>12.2815 * CHOOSE(CONTROL!$C$32, $C$9, 100%, $E$9)</f>
        <v>12.281499999999999</v>
      </c>
      <c r="M757" s="11">
        <f>12.2851 * CHOOSE(CONTROL!$C$32, $C$9, 100%, $E$9)</f>
        <v>12.2851</v>
      </c>
      <c r="N757" s="11">
        <f>12.2815 * CHOOSE(CONTROL!$C$32, $C$9, 100%, $E$9)</f>
        <v>12.281499999999999</v>
      </c>
      <c r="O757" s="11">
        <f>12.2851 * CHOOSE(CONTROL!$C$32, $C$9, 100%, $E$9)</f>
        <v>12.2851</v>
      </c>
    </row>
    <row r="758" spans="1:15" ht="15" x14ac:dyDescent="0.2">
      <c r="A758" s="13">
        <v>63920</v>
      </c>
      <c r="B758" s="9">
        <f>11.0679 * CHOOSE(CONTROL!$C$32, $C$9, 100%, $E$9)</f>
        <v>11.0679</v>
      </c>
      <c r="C758" s="9">
        <f>11.0679 * CHOOSE(CONTROL!$C$32, $C$9, 100%, $E$9)</f>
        <v>11.0679</v>
      </c>
      <c r="D758" s="9">
        <f>11.0689 * CHOOSE(CONTROL!$C$32, $C$9, 100%, $E$9)</f>
        <v>11.068899999999999</v>
      </c>
      <c r="E758" s="11">
        <f>12.433 * CHOOSE(CONTROL!$C$32, $C$9, 100%, $E$9)</f>
        <v>12.433</v>
      </c>
      <c r="F758" s="11">
        <f>12.433 * CHOOSE(CONTROL!$C$32, $C$9, 100%, $E$9)</f>
        <v>12.433</v>
      </c>
      <c r="G758" s="11">
        <f>12.4367 * CHOOSE(CONTROL!$C$32, $C$9, 100%, $E$9)</f>
        <v>12.4367</v>
      </c>
      <c r="H758" s="11">
        <f>24.7358 * CHOOSE(CONTROL!$C$32, $C$9, 100%, $E$9)</f>
        <v>24.735800000000001</v>
      </c>
      <c r="I758" s="11">
        <f>24.7395 * CHOOSE(CONTROL!$C$32, $C$9, 100%, $E$9)</f>
        <v>24.7395</v>
      </c>
      <c r="J758" s="11">
        <f>24.7358 * CHOOSE(CONTROL!$C$32, $C$9, 100%, $E$9)</f>
        <v>24.735800000000001</v>
      </c>
      <c r="K758" s="11">
        <f>24.7395 * CHOOSE(CONTROL!$C$32, $C$9, 100%, $E$9)</f>
        <v>24.7395</v>
      </c>
      <c r="L758" s="11">
        <f>12.433 * CHOOSE(CONTROL!$C$32, $C$9, 100%, $E$9)</f>
        <v>12.433</v>
      </c>
      <c r="M758" s="11">
        <f>12.4367 * CHOOSE(CONTROL!$C$32, $C$9, 100%, $E$9)</f>
        <v>12.4367</v>
      </c>
      <c r="N758" s="11">
        <f>12.433 * CHOOSE(CONTROL!$C$32, $C$9, 100%, $E$9)</f>
        <v>12.433</v>
      </c>
      <c r="O758" s="11">
        <f>12.4367 * CHOOSE(CONTROL!$C$32, $C$9, 100%, $E$9)</f>
        <v>12.4367</v>
      </c>
    </row>
    <row r="759" spans="1:15" ht="15" x14ac:dyDescent="0.2">
      <c r="A759" s="13">
        <v>63951</v>
      </c>
      <c r="B759" s="9">
        <f>11.0648 * CHOOSE(CONTROL!$C$32, $C$9, 100%, $E$9)</f>
        <v>11.0648</v>
      </c>
      <c r="C759" s="9">
        <f>11.0648 * CHOOSE(CONTROL!$C$32, $C$9, 100%, $E$9)</f>
        <v>11.0648</v>
      </c>
      <c r="D759" s="9">
        <f>11.0659 * CHOOSE(CONTROL!$C$32, $C$9, 100%, $E$9)</f>
        <v>11.065899999999999</v>
      </c>
      <c r="E759" s="11">
        <f>12.1066 * CHOOSE(CONTROL!$C$32, $C$9, 100%, $E$9)</f>
        <v>12.1066</v>
      </c>
      <c r="F759" s="11">
        <f>12.1066 * CHOOSE(CONTROL!$C$32, $C$9, 100%, $E$9)</f>
        <v>12.1066</v>
      </c>
      <c r="G759" s="11">
        <f>12.1102 * CHOOSE(CONTROL!$C$32, $C$9, 100%, $E$9)</f>
        <v>12.110200000000001</v>
      </c>
      <c r="H759" s="11">
        <f>24.7874 * CHOOSE(CONTROL!$C$32, $C$9, 100%, $E$9)</f>
        <v>24.787400000000002</v>
      </c>
      <c r="I759" s="11">
        <f>24.791 * CHOOSE(CONTROL!$C$32, $C$9, 100%, $E$9)</f>
        <v>24.791</v>
      </c>
      <c r="J759" s="11">
        <f>24.7874 * CHOOSE(CONTROL!$C$32, $C$9, 100%, $E$9)</f>
        <v>24.787400000000002</v>
      </c>
      <c r="K759" s="11">
        <f>24.791 * CHOOSE(CONTROL!$C$32, $C$9, 100%, $E$9)</f>
        <v>24.791</v>
      </c>
      <c r="L759" s="11">
        <f>12.1066 * CHOOSE(CONTROL!$C$32, $C$9, 100%, $E$9)</f>
        <v>12.1066</v>
      </c>
      <c r="M759" s="11">
        <f>12.1102 * CHOOSE(CONTROL!$C$32, $C$9, 100%, $E$9)</f>
        <v>12.110200000000001</v>
      </c>
      <c r="N759" s="11">
        <f>12.1066 * CHOOSE(CONTROL!$C$32, $C$9, 100%, $E$9)</f>
        <v>12.1066</v>
      </c>
      <c r="O759" s="11">
        <f>12.1102 * CHOOSE(CONTROL!$C$32, $C$9, 100%, $E$9)</f>
        <v>12.110200000000001</v>
      </c>
    </row>
    <row r="760" spans="1:15" ht="15" x14ac:dyDescent="0.2">
      <c r="A760" s="13">
        <v>63979</v>
      </c>
      <c r="B760" s="9">
        <f>11.0618 * CHOOSE(CONTROL!$C$32, $C$9, 100%, $E$9)</f>
        <v>11.0618</v>
      </c>
      <c r="C760" s="9">
        <f>11.0618 * CHOOSE(CONTROL!$C$32, $C$9, 100%, $E$9)</f>
        <v>11.0618</v>
      </c>
      <c r="D760" s="9">
        <f>11.0629 * CHOOSE(CONTROL!$C$32, $C$9, 100%, $E$9)</f>
        <v>11.062900000000001</v>
      </c>
      <c r="E760" s="11">
        <f>12.3602 * CHOOSE(CONTROL!$C$32, $C$9, 100%, $E$9)</f>
        <v>12.360200000000001</v>
      </c>
      <c r="F760" s="11">
        <f>12.3602 * CHOOSE(CONTROL!$C$32, $C$9, 100%, $E$9)</f>
        <v>12.360200000000001</v>
      </c>
      <c r="G760" s="11">
        <f>12.3638 * CHOOSE(CONTROL!$C$32, $C$9, 100%, $E$9)</f>
        <v>12.363799999999999</v>
      </c>
      <c r="H760" s="11">
        <f>24.839 * CHOOSE(CONTROL!$C$32, $C$9, 100%, $E$9)</f>
        <v>24.838999999999999</v>
      </c>
      <c r="I760" s="11">
        <f>24.8426 * CHOOSE(CONTROL!$C$32, $C$9, 100%, $E$9)</f>
        <v>24.842600000000001</v>
      </c>
      <c r="J760" s="11">
        <f>24.839 * CHOOSE(CONTROL!$C$32, $C$9, 100%, $E$9)</f>
        <v>24.838999999999999</v>
      </c>
      <c r="K760" s="11">
        <f>24.8426 * CHOOSE(CONTROL!$C$32, $C$9, 100%, $E$9)</f>
        <v>24.842600000000001</v>
      </c>
      <c r="L760" s="11">
        <f>12.3602 * CHOOSE(CONTROL!$C$32, $C$9, 100%, $E$9)</f>
        <v>12.360200000000001</v>
      </c>
      <c r="M760" s="11">
        <f>12.3638 * CHOOSE(CONTROL!$C$32, $C$9, 100%, $E$9)</f>
        <v>12.363799999999999</v>
      </c>
      <c r="N760" s="11">
        <f>12.3602 * CHOOSE(CONTROL!$C$32, $C$9, 100%, $E$9)</f>
        <v>12.360200000000001</v>
      </c>
      <c r="O760" s="11">
        <f>12.3638 * CHOOSE(CONTROL!$C$32, $C$9, 100%, $E$9)</f>
        <v>12.363799999999999</v>
      </c>
    </row>
    <row r="761" spans="1:15" ht="15" x14ac:dyDescent="0.2">
      <c r="A761" s="13">
        <v>64010</v>
      </c>
      <c r="B761" s="9">
        <f>11.0663 * CHOOSE(CONTROL!$C$32, $C$9, 100%, $E$9)</f>
        <v>11.0663</v>
      </c>
      <c r="C761" s="9">
        <f>11.0663 * CHOOSE(CONTROL!$C$32, $C$9, 100%, $E$9)</f>
        <v>11.0663</v>
      </c>
      <c r="D761" s="9">
        <f>11.0674 * CHOOSE(CONTROL!$C$32, $C$9, 100%, $E$9)</f>
        <v>11.067399999999999</v>
      </c>
      <c r="E761" s="11">
        <f>12.6305 * CHOOSE(CONTROL!$C$32, $C$9, 100%, $E$9)</f>
        <v>12.6305</v>
      </c>
      <c r="F761" s="11">
        <f>12.6305 * CHOOSE(CONTROL!$C$32, $C$9, 100%, $E$9)</f>
        <v>12.6305</v>
      </c>
      <c r="G761" s="11">
        <f>12.6341 * CHOOSE(CONTROL!$C$32, $C$9, 100%, $E$9)</f>
        <v>12.6341</v>
      </c>
      <c r="H761" s="11">
        <f>24.8908 * CHOOSE(CONTROL!$C$32, $C$9, 100%, $E$9)</f>
        <v>24.890799999999999</v>
      </c>
      <c r="I761" s="11">
        <f>24.8944 * CHOOSE(CONTROL!$C$32, $C$9, 100%, $E$9)</f>
        <v>24.894400000000001</v>
      </c>
      <c r="J761" s="11">
        <f>24.8908 * CHOOSE(CONTROL!$C$32, $C$9, 100%, $E$9)</f>
        <v>24.890799999999999</v>
      </c>
      <c r="K761" s="11">
        <f>24.8944 * CHOOSE(CONTROL!$C$32, $C$9, 100%, $E$9)</f>
        <v>24.894400000000001</v>
      </c>
      <c r="L761" s="11">
        <f>12.6305 * CHOOSE(CONTROL!$C$32, $C$9, 100%, $E$9)</f>
        <v>12.6305</v>
      </c>
      <c r="M761" s="11">
        <f>12.6341 * CHOOSE(CONTROL!$C$32, $C$9, 100%, $E$9)</f>
        <v>12.6341</v>
      </c>
      <c r="N761" s="11">
        <f>12.6305 * CHOOSE(CONTROL!$C$32, $C$9, 100%, $E$9)</f>
        <v>12.6305</v>
      </c>
      <c r="O761" s="11">
        <f>12.6341 * CHOOSE(CONTROL!$C$32, $C$9, 100%, $E$9)</f>
        <v>12.6341</v>
      </c>
    </row>
    <row r="762" spans="1:15" ht="15" x14ac:dyDescent="0.2">
      <c r="A762" s="13">
        <v>64040</v>
      </c>
      <c r="B762" s="9">
        <f>11.0663 * CHOOSE(CONTROL!$C$32, $C$9, 100%, $E$9)</f>
        <v>11.0663</v>
      </c>
      <c r="C762" s="9">
        <f>11.0663 * CHOOSE(CONTROL!$C$32, $C$9, 100%, $E$9)</f>
        <v>11.0663</v>
      </c>
      <c r="D762" s="9">
        <f>11.0679 * CHOOSE(CONTROL!$C$32, $C$9, 100%, $E$9)</f>
        <v>11.0679</v>
      </c>
      <c r="E762" s="11">
        <f>12.7335 * CHOOSE(CONTROL!$C$32, $C$9, 100%, $E$9)</f>
        <v>12.733499999999999</v>
      </c>
      <c r="F762" s="11">
        <f>12.7335 * CHOOSE(CONTROL!$C$32, $C$9, 100%, $E$9)</f>
        <v>12.733499999999999</v>
      </c>
      <c r="G762" s="11">
        <f>12.7388 * CHOOSE(CONTROL!$C$32, $C$9, 100%, $E$9)</f>
        <v>12.738799999999999</v>
      </c>
      <c r="H762" s="11">
        <f>24.9426 * CHOOSE(CONTROL!$C$32, $C$9, 100%, $E$9)</f>
        <v>24.942599999999999</v>
      </c>
      <c r="I762" s="11">
        <f>24.9479 * CHOOSE(CONTROL!$C$32, $C$9, 100%, $E$9)</f>
        <v>24.947900000000001</v>
      </c>
      <c r="J762" s="11">
        <f>24.9426 * CHOOSE(CONTROL!$C$32, $C$9, 100%, $E$9)</f>
        <v>24.942599999999999</v>
      </c>
      <c r="K762" s="11">
        <f>24.9479 * CHOOSE(CONTROL!$C$32, $C$9, 100%, $E$9)</f>
        <v>24.947900000000001</v>
      </c>
      <c r="L762" s="11">
        <f>12.7335 * CHOOSE(CONTROL!$C$32, $C$9, 100%, $E$9)</f>
        <v>12.733499999999999</v>
      </c>
      <c r="M762" s="11">
        <f>12.7388 * CHOOSE(CONTROL!$C$32, $C$9, 100%, $E$9)</f>
        <v>12.738799999999999</v>
      </c>
      <c r="N762" s="11">
        <f>12.7335 * CHOOSE(CONTROL!$C$32, $C$9, 100%, $E$9)</f>
        <v>12.733499999999999</v>
      </c>
      <c r="O762" s="11">
        <f>12.7388 * CHOOSE(CONTROL!$C$32, $C$9, 100%, $E$9)</f>
        <v>12.738799999999999</v>
      </c>
    </row>
    <row r="763" spans="1:15" ht="15" x14ac:dyDescent="0.2">
      <c r="A763" s="13">
        <v>64071</v>
      </c>
      <c r="B763" s="9">
        <f>11.0724 * CHOOSE(CONTROL!$C$32, $C$9, 100%, $E$9)</f>
        <v>11.0724</v>
      </c>
      <c r="C763" s="9">
        <f>11.0724 * CHOOSE(CONTROL!$C$32, $C$9, 100%, $E$9)</f>
        <v>11.0724</v>
      </c>
      <c r="D763" s="9">
        <f>11.0739 * CHOOSE(CONTROL!$C$32, $C$9, 100%, $E$9)</f>
        <v>11.0739</v>
      </c>
      <c r="E763" s="11">
        <f>12.6347 * CHOOSE(CONTROL!$C$32, $C$9, 100%, $E$9)</f>
        <v>12.6347</v>
      </c>
      <c r="F763" s="11">
        <f>12.6347 * CHOOSE(CONTROL!$C$32, $C$9, 100%, $E$9)</f>
        <v>12.6347</v>
      </c>
      <c r="G763" s="11">
        <f>12.64 * CHOOSE(CONTROL!$C$32, $C$9, 100%, $E$9)</f>
        <v>12.64</v>
      </c>
      <c r="H763" s="11">
        <f>24.9946 * CHOOSE(CONTROL!$C$32, $C$9, 100%, $E$9)</f>
        <v>24.994599999999998</v>
      </c>
      <c r="I763" s="11">
        <f>24.9999 * CHOOSE(CONTROL!$C$32, $C$9, 100%, $E$9)</f>
        <v>24.9999</v>
      </c>
      <c r="J763" s="11">
        <f>24.9946 * CHOOSE(CONTROL!$C$32, $C$9, 100%, $E$9)</f>
        <v>24.994599999999998</v>
      </c>
      <c r="K763" s="11">
        <f>24.9999 * CHOOSE(CONTROL!$C$32, $C$9, 100%, $E$9)</f>
        <v>24.9999</v>
      </c>
      <c r="L763" s="11">
        <f>12.6347 * CHOOSE(CONTROL!$C$32, $C$9, 100%, $E$9)</f>
        <v>12.6347</v>
      </c>
      <c r="M763" s="11">
        <f>12.64 * CHOOSE(CONTROL!$C$32, $C$9, 100%, $E$9)</f>
        <v>12.64</v>
      </c>
      <c r="N763" s="11">
        <f>12.6347 * CHOOSE(CONTROL!$C$32, $C$9, 100%, $E$9)</f>
        <v>12.6347</v>
      </c>
      <c r="O763" s="11">
        <f>12.64 * CHOOSE(CONTROL!$C$32, $C$9, 100%, $E$9)</f>
        <v>12.64</v>
      </c>
    </row>
    <row r="764" spans="1:15" ht="15" x14ac:dyDescent="0.2">
      <c r="A764" s="13">
        <v>64101</v>
      </c>
      <c r="B764" s="9">
        <f>11.2085 * CHOOSE(CONTROL!$C$32, $C$9, 100%, $E$9)</f>
        <v>11.208500000000001</v>
      </c>
      <c r="C764" s="9">
        <f>11.2085 * CHOOSE(CONTROL!$C$32, $C$9, 100%, $E$9)</f>
        <v>11.208500000000001</v>
      </c>
      <c r="D764" s="9">
        <f>11.2101 * CHOOSE(CONTROL!$C$32, $C$9, 100%, $E$9)</f>
        <v>11.210100000000001</v>
      </c>
      <c r="E764" s="11">
        <f>12.8126 * CHOOSE(CONTROL!$C$32, $C$9, 100%, $E$9)</f>
        <v>12.8126</v>
      </c>
      <c r="F764" s="11">
        <f>12.8126 * CHOOSE(CONTROL!$C$32, $C$9, 100%, $E$9)</f>
        <v>12.8126</v>
      </c>
      <c r="G764" s="11">
        <f>12.8179 * CHOOSE(CONTROL!$C$32, $C$9, 100%, $E$9)</f>
        <v>12.8179</v>
      </c>
      <c r="H764" s="11">
        <f>25.0467 * CHOOSE(CONTROL!$C$32, $C$9, 100%, $E$9)</f>
        <v>25.046700000000001</v>
      </c>
      <c r="I764" s="11">
        <f>25.052 * CHOOSE(CONTROL!$C$32, $C$9, 100%, $E$9)</f>
        <v>25.052</v>
      </c>
      <c r="J764" s="11">
        <f>25.0467 * CHOOSE(CONTROL!$C$32, $C$9, 100%, $E$9)</f>
        <v>25.046700000000001</v>
      </c>
      <c r="K764" s="11">
        <f>25.052 * CHOOSE(CONTROL!$C$32, $C$9, 100%, $E$9)</f>
        <v>25.052</v>
      </c>
      <c r="L764" s="11">
        <f>12.8126 * CHOOSE(CONTROL!$C$32, $C$9, 100%, $E$9)</f>
        <v>12.8126</v>
      </c>
      <c r="M764" s="11">
        <f>12.8179 * CHOOSE(CONTROL!$C$32, $C$9, 100%, $E$9)</f>
        <v>12.8179</v>
      </c>
      <c r="N764" s="11">
        <f>12.8126 * CHOOSE(CONTROL!$C$32, $C$9, 100%, $E$9)</f>
        <v>12.8126</v>
      </c>
      <c r="O764" s="11">
        <f>12.8179 * CHOOSE(CONTROL!$C$32, $C$9, 100%, $E$9)</f>
        <v>12.8179</v>
      </c>
    </row>
    <row r="765" spans="1:15" ht="15" x14ac:dyDescent="0.2">
      <c r="A765" s="13">
        <v>64132</v>
      </c>
      <c r="B765" s="9">
        <f>11.2152 * CHOOSE(CONTROL!$C$32, $C$9, 100%, $E$9)</f>
        <v>11.215199999999999</v>
      </c>
      <c r="C765" s="9">
        <f>11.2152 * CHOOSE(CONTROL!$C$32, $C$9, 100%, $E$9)</f>
        <v>11.215199999999999</v>
      </c>
      <c r="D765" s="9">
        <f>11.2168 * CHOOSE(CONTROL!$C$32, $C$9, 100%, $E$9)</f>
        <v>11.216799999999999</v>
      </c>
      <c r="E765" s="11">
        <f>12.5083 * CHOOSE(CONTROL!$C$32, $C$9, 100%, $E$9)</f>
        <v>12.5083</v>
      </c>
      <c r="F765" s="11">
        <f>12.5083 * CHOOSE(CONTROL!$C$32, $C$9, 100%, $E$9)</f>
        <v>12.5083</v>
      </c>
      <c r="G765" s="11">
        <f>12.5136 * CHOOSE(CONTROL!$C$32, $C$9, 100%, $E$9)</f>
        <v>12.5136</v>
      </c>
      <c r="H765" s="11">
        <f>25.0988 * CHOOSE(CONTROL!$C$32, $C$9, 100%, $E$9)</f>
        <v>25.098800000000001</v>
      </c>
      <c r="I765" s="11">
        <f>25.1041 * CHOOSE(CONTROL!$C$32, $C$9, 100%, $E$9)</f>
        <v>25.104099999999999</v>
      </c>
      <c r="J765" s="11">
        <f>25.0988 * CHOOSE(CONTROL!$C$32, $C$9, 100%, $E$9)</f>
        <v>25.098800000000001</v>
      </c>
      <c r="K765" s="11">
        <f>25.1041 * CHOOSE(CONTROL!$C$32, $C$9, 100%, $E$9)</f>
        <v>25.104099999999999</v>
      </c>
      <c r="L765" s="11">
        <f>12.5083 * CHOOSE(CONTROL!$C$32, $C$9, 100%, $E$9)</f>
        <v>12.5083</v>
      </c>
      <c r="M765" s="11">
        <f>12.5136 * CHOOSE(CONTROL!$C$32, $C$9, 100%, $E$9)</f>
        <v>12.5136</v>
      </c>
      <c r="N765" s="11">
        <f>12.5083 * CHOOSE(CONTROL!$C$32, $C$9, 100%, $E$9)</f>
        <v>12.5083</v>
      </c>
      <c r="O765" s="11">
        <f>12.5136 * CHOOSE(CONTROL!$C$32, $C$9, 100%, $E$9)</f>
        <v>12.5136</v>
      </c>
    </row>
    <row r="766" spans="1:15" ht="15" x14ac:dyDescent="0.2">
      <c r="A766" s="13">
        <v>64163</v>
      </c>
      <c r="B766" s="9">
        <f>11.2122 * CHOOSE(CONTROL!$C$32, $C$9, 100%, $E$9)</f>
        <v>11.212199999999999</v>
      </c>
      <c r="C766" s="9">
        <f>11.2122 * CHOOSE(CONTROL!$C$32, $C$9, 100%, $E$9)</f>
        <v>11.212199999999999</v>
      </c>
      <c r="D766" s="9">
        <f>11.2137 * CHOOSE(CONTROL!$C$32, $C$9, 100%, $E$9)</f>
        <v>11.213699999999999</v>
      </c>
      <c r="E766" s="11">
        <f>12.4719 * CHOOSE(CONTROL!$C$32, $C$9, 100%, $E$9)</f>
        <v>12.4719</v>
      </c>
      <c r="F766" s="11">
        <f>12.4719 * CHOOSE(CONTROL!$C$32, $C$9, 100%, $E$9)</f>
        <v>12.4719</v>
      </c>
      <c r="G766" s="11">
        <f>12.4772 * CHOOSE(CONTROL!$C$32, $C$9, 100%, $E$9)</f>
        <v>12.4772</v>
      </c>
      <c r="H766" s="11">
        <f>25.1511 * CHOOSE(CONTROL!$C$32, $C$9, 100%, $E$9)</f>
        <v>25.1511</v>
      </c>
      <c r="I766" s="11">
        <f>25.1564 * CHOOSE(CONTROL!$C$32, $C$9, 100%, $E$9)</f>
        <v>25.156400000000001</v>
      </c>
      <c r="J766" s="11">
        <f>25.1511 * CHOOSE(CONTROL!$C$32, $C$9, 100%, $E$9)</f>
        <v>25.1511</v>
      </c>
      <c r="K766" s="11">
        <f>25.1564 * CHOOSE(CONTROL!$C$32, $C$9, 100%, $E$9)</f>
        <v>25.156400000000001</v>
      </c>
      <c r="L766" s="11">
        <f>12.4719 * CHOOSE(CONTROL!$C$32, $C$9, 100%, $E$9)</f>
        <v>12.4719</v>
      </c>
      <c r="M766" s="11">
        <f>12.4772 * CHOOSE(CONTROL!$C$32, $C$9, 100%, $E$9)</f>
        <v>12.4772</v>
      </c>
      <c r="N766" s="11">
        <f>12.4719 * CHOOSE(CONTROL!$C$32, $C$9, 100%, $E$9)</f>
        <v>12.4719</v>
      </c>
      <c r="O766" s="11">
        <f>12.4772 * CHOOSE(CONTROL!$C$32, $C$9, 100%, $E$9)</f>
        <v>12.4772</v>
      </c>
    </row>
    <row r="767" spans="1:15" ht="15" x14ac:dyDescent="0.2">
      <c r="A767" s="13">
        <v>64193</v>
      </c>
      <c r="B767" s="9">
        <f>11.2342 * CHOOSE(CONTROL!$C$32, $C$9, 100%, $E$9)</f>
        <v>11.2342</v>
      </c>
      <c r="C767" s="9">
        <f>11.2342 * CHOOSE(CONTROL!$C$32, $C$9, 100%, $E$9)</f>
        <v>11.2342</v>
      </c>
      <c r="D767" s="9">
        <f>11.2352 * CHOOSE(CONTROL!$C$32, $C$9, 100%, $E$9)</f>
        <v>11.235200000000001</v>
      </c>
      <c r="E767" s="11">
        <f>12.5958 * CHOOSE(CONTROL!$C$32, $C$9, 100%, $E$9)</f>
        <v>12.595800000000001</v>
      </c>
      <c r="F767" s="11">
        <f>12.5958 * CHOOSE(CONTROL!$C$32, $C$9, 100%, $E$9)</f>
        <v>12.595800000000001</v>
      </c>
      <c r="G767" s="11">
        <f>12.5994 * CHOOSE(CONTROL!$C$32, $C$9, 100%, $E$9)</f>
        <v>12.599399999999999</v>
      </c>
      <c r="H767" s="11">
        <f>25.2035 * CHOOSE(CONTROL!$C$32, $C$9, 100%, $E$9)</f>
        <v>25.203499999999998</v>
      </c>
      <c r="I767" s="11">
        <f>25.2071 * CHOOSE(CONTROL!$C$32, $C$9, 100%, $E$9)</f>
        <v>25.207100000000001</v>
      </c>
      <c r="J767" s="11">
        <f>25.2035 * CHOOSE(CONTROL!$C$32, $C$9, 100%, $E$9)</f>
        <v>25.203499999999998</v>
      </c>
      <c r="K767" s="11">
        <f>25.2071 * CHOOSE(CONTROL!$C$32, $C$9, 100%, $E$9)</f>
        <v>25.207100000000001</v>
      </c>
      <c r="L767" s="11">
        <f>12.5958 * CHOOSE(CONTROL!$C$32, $C$9, 100%, $E$9)</f>
        <v>12.595800000000001</v>
      </c>
      <c r="M767" s="11">
        <f>12.5994 * CHOOSE(CONTROL!$C$32, $C$9, 100%, $E$9)</f>
        <v>12.599399999999999</v>
      </c>
      <c r="N767" s="11">
        <f>12.5958 * CHOOSE(CONTROL!$C$32, $C$9, 100%, $E$9)</f>
        <v>12.595800000000001</v>
      </c>
      <c r="O767" s="11">
        <f>12.5994 * CHOOSE(CONTROL!$C$32, $C$9, 100%, $E$9)</f>
        <v>12.599399999999999</v>
      </c>
    </row>
    <row r="768" spans="1:15" ht="15" x14ac:dyDescent="0.2">
      <c r="A768" s="13">
        <v>64224</v>
      </c>
      <c r="B768" s="9">
        <f>11.2372 * CHOOSE(CONTROL!$C$32, $C$9, 100%, $E$9)</f>
        <v>11.2372</v>
      </c>
      <c r="C768" s="9">
        <f>11.2372 * CHOOSE(CONTROL!$C$32, $C$9, 100%, $E$9)</f>
        <v>11.2372</v>
      </c>
      <c r="D768" s="9">
        <f>11.2383 * CHOOSE(CONTROL!$C$32, $C$9, 100%, $E$9)</f>
        <v>11.238300000000001</v>
      </c>
      <c r="E768" s="11">
        <f>12.6665 * CHOOSE(CONTROL!$C$32, $C$9, 100%, $E$9)</f>
        <v>12.666499999999999</v>
      </c>
      <c r="F768" s="11">
        <f>12.6665 * CHOOSE(CONTROL!$C$32, $C$9, 100%, $E$9)</f>
        <v>12.666499999999999</v>
      </c>
      <c r="G768" s="11">
        <f>12.6701 * CHOOSE(CONTROL!$C$32, $C$9, 100%, $E$9)</f>
        <v>12.6701</v>
      </c>
      <c r="H768" s="11">
        <f>25.256 * CHOOSE(CONTROL!$C$32, $C$9, 100%, $E$9)</f>
        <v>25.256</v>
      </c>
      <c r="I768" s="11">
        <f>25.2596 * CHOOSE(CONTROL!$C$32, $C$9, 100%, $E$9)</f>
        <v>25.259599999999999</v>
      </c>
      <c r="J768" s="11">
        <f>25.256 * CHOOSE(CONTROL!$C$32, $C$9, 100%, $E$9)</f>
        <v>25.256</v>
      </c>
      <c r="K768" s="11">
        <f>25.2596 * CHOOSE(CONTROL!$C$32, $C$9, 100%, $E$9)</f>
        <v>25.259599999999999</v>
      </c>
      <c r="L768" s="11">
        <f>12.6665 * CHOOSE(CONTROL!$C$32, $C$9, 100%, $E$9)</f>
        <v>12.666499999999999</v>
      </c>
      <c r="M768" s="11">
        <f>12.6701 * CHOOSE(CONTROL!$C$32, $C$9, 100%, $E$9)</f>
        <v>12.6701</v>
      </c>
      <c r="N768" s="11">
        <f>12.6665 * CHOOSE(CONTROL!$C$32, $C$9, 100%, $E$9)</f>
        <v>12.666499999999999</v>
      </c>
      <c r="O768" s="11">
        <f>12.6701 * CHOOSE(CONTROL!$C$32, $C$9, 100%, $E$9)</f>
        <v>12.6701</v>
      </c>
    </row>
    <row r="769" spans="1:15" ht="15" x14ac:dyDescent="0.2">
      <c r="A769" s="13">
        <v>64254</v>
      </c>
      <c r="B769" s="9">
        <f>11.2372 * CHOOSE(CONTROL!$C$32, $C$9, 100%, $E$9)</f>
        <v>11.2372</v>
      </c>
      <c r="C769" s="9">
        <f>11.2372 * CHOOSE(CONTROL!$C$32, $C$9, 100%, $E$9)</f>
        <v>11.2372</v>
      </c>
      <c r="D769" s="9">
        <f>11.2383 * CHOOSE(CONTROL!$C$32, $C$9, 100%, $E$9)</f>
        <v>11.238300000000001</v>
      </c>
      <c r="E769" s="11">
        <f>12.4949 * CHOOSE(CONTROL!$C$32, $C$9, 100%, $E$9)</f>
        <v>12.494899999999999</v>
      </c>
      <c r="F769" s="11">
        <f>12.4949 * CHOOSE(CONTROL!$C$32, $C$9, 100%, $E$9)</f>
        <v>12.494899999999999</v>
      </c>
      <c r="G769" s="11">
        <f>12.4985 * CHOOSE(CONTROL!$C$32, $C$9, 100%, $E$9)</f>
        <v>12.4985</v>
      </c>
      <c r="H769" s="11">
        <f>25.3086 * CHOOSE(CONTROL!$C$32, $C$9, 100%, $E$9)</f>
        <v>25.308599999999998</v>
      </c>
      <c r="I769" s="11">
        <f>25.3123 * CHOOSE(CONTROL!$C$32, $C$9, 100%, $E$9)</f>
        <v>25.3123</v>
      </c>
      <c r="J769" s="11">
        <f>25.3086 * CHOOSE(CONTROL!$C$32, $C$9, 100%, $E$9)</f>
        <v>25.308599999999998</v>
      </c>
      <c r="K769" s="11">
        <f>25.3123 * CHOOSE(CONTROL!$C$32, $C$9, 100%, $E$9)</f>
        <v>25.3123</v>
      </c>
      <c r="L769" s="11">
        <f>12.4949 * CHOOSE(CONTROL!$C$32, $C$9, 100%, $E$9)</f>
        <v>12.494899999999999</v>
      </c>
      <c r="M769" s="11">
        <f>12.4985 * CHOOSE(CONTROL!$C$32, $C$9, 100%, $E$9)</f>
        <v>12.4985</v>
      </c>
      <c r="N769" s="11">
        <f>12.4949 * CHOOSE(CONTROL!$C$32, $C$9, 100%, $E$9)</f>
        <v>12.494899999999999</v>
      </c>
      <c r="O769" s="11">
        <f>12.4985 * CHOOSE(CONTROL!$C$32, $C$9, 100%, $E$9)</f>
        <v>12.4985</v>
      </c>
    </row>
    <row r="770" spans="1:15" ht="15" x14ac:dyDescent="0.2">
      <c r="A770" s="13">
        <v>64285</v>
      </c>
      <c r="B770" s="9">
        <f>11.2552 * CHOOSE(CONTROL!$C$32, $C$9, 100%, $E$9)</f>
        <v>11.2552</v>
      </c>
      <c r="C770" s="9">
        <f>11.2552 * CHOOSE(CONTROL!$C$32, $C$9, 100%, $E$9)</f>
        <v>11.2552</v>
      </c>
      <c r="D770" s="9">
        <f>11.2563 * CHOOSE(CONTROL!$C$32, $C$9, 100%, $E$9)</f>
        <v>11.2563</v>
      </c>
      <c r="E770" s="11">
        <f>12.6455 * CHOOSE(CONTROL!$C$32, $C$9, 100%, $E$9)</f>
        <v>12.6455</v>
      </c>
      <c r="F770" s="11">
        <f>12.6455 * CHOOSE(CONTROL!$C$32, $C$9, 100%, $E$9)</f>
        <v>12.6455</v>
      </c>
      <c r="G770" s="11">
        <f>12.6492 * CHOOSE(CONTROL!$C$32, $C$9, 100%, $E$9)</f>
        <v>12.6492</v>
      </c>
      <c r="H770" s="11">
        <f>25.1893 * CHOOSE(CONTROL!$C$32, $C$9, 100%, $E$9)</f>
        <v>25.189299999999999</v>
      </c>
      <c r="I770" s="11">
        <f>25.193 * CHOOSE(CONTROL!$C$32, $C$9, 100%, $E$9)</f>
        <v>25.193000000000001</v>
      </c>
      <c r="J770" s="11">
        <f>25.1893 * CHOOSE(CONTROL!$C$32, $C$9, 100%, $E$9)</f>
        <v>25.189299999999999</v>
      </c>
      <c r="K770" s="11">
        <f>25.193 * CHOOSE(CONTROL!$C$32, $C$9, 100%, $E$9)</f>
        <v>25.193000000000001</v>
      </c>
      <c r="L770" s="11">
        <f>12.6455 * CHOOSE(CONTROL!$C$32, $C$9, 100%, $E$9)</f>
        <v>12.6455</v>
      </c>
      <c r="M770" s="11">
        <f>12.6492 * CHOOSE(CONTROL!$C$32, $C$9, 100%, $E$9)</f>
        <v>12.6492</v>
      </c>
      <c r="N770" s="11">
        <f>12.6455 * CHOOSE(CONTROL!$C$32, $C$9, 100%, $E$9)</f>
        <v>12.6455</v>
      </c>
      <c r="O770" s="11">
        <f>12.6492 * CHOOSE(CONTROL!$C$32, $C$9, 100%, $E$9)</f>
        <v>12.6492</v>
      </c>
    </row>
    <row r="771" spans="1:15" ht="15" x14ac:dyDescent="0.2">
      <c r="A771" s="13">
        <v>64316</v>
      </c>
      <c r="B771" s="9">
        <f>11.2522 * CHOOSE(CONTROL!$C$32, $C$9, 100%, $E$9)</f>
        <v>11.2522</v>
      </c>
      <c r="C771" s="9">
        <f>11.2522 * CHOOSE(CONTROL!$C$32, $C$9, 100%, $E$9)</f>
        <v>11.2522</v>
      </c>
      <c r="D771" s="9">
        <f>11.2533 * CHOOSE(CONTROL!$C$32, $C$9, 100%, $E$9)</f>
        <v>11.253299999999999</v>
      </c>
      <c r="E771" s="11">
        <f>12.312 * CHOOSE(CONTROL!$C$32, $C$9, 100%, $E$9)</f>
        <v>12.311999999999999</v>
      </c>
      <c r="F771" s="11">
        <f>12.312 * CHOOSE(CONTROL!$C$32, $C$9, 100%, $E$9)</f>
        <v>12.311999999999999</v>
      </c>
      <c r="G771" s="11">
        <f>12.3156 * CHOOSE(CONTROL!$C$32, $C$9, 100%, $E$9)</f>
        <v>12.3156</v>
      </c>
      <c r="H771" s="11">
        <f>25.2418 * CHOOSE(CONTROL!$C$32, $C$9, 100%, $E$9)</f>
        <v>25.241800000000001</v>
      </c>
      <c r="I771" s="11">
        <f>25.2454 * CHOOSE(CONTROL!$C$32, $C$9, 100%, $E$9)</f>
        <v>25.2454</v>
      </c>
      <c r="J771" s="11">
        <f>25.2418 * CHOOSE(CONTROL!$C$32, $C$9, 100%, $E$9)</f>
        <v>25.241800000000001</v>
      </c>
      <c r="K771" s="11">
        <f>25.2454 * CHOOSE(CONTROL!$C$32, $C$9, 100%, $E$9)</f>
        <v>25.2454</v>
      </c>
      <c r="L771" s="11">
        <f>12.312 * CHOOSE(CONTROL!$C$32, $C$9, 100%, $E$9)</f>
        <v>12.311999999999999</v>
      </c>
      <c r="M771" s="11">
        <f>12.3156 * CHOOSE(CONTROL!$C$32, $C$9, 100%, $E$9)</f>
        <v>12.3156</v>
      </c>
      <c r="N771" s="11">
        <f>12.312 * CHOOSE(CONTROL!$C$32, $C$9, 100%, $E$9)</f>
        <v>12.311999999999999</v>
      </c>
      <c r="O771" s="11">
        <f>12.3156 * CHOOSE(CONTROL!$C$32, $C$9, 100%, $E$9)</f>
        <v>12.3156</v>
      </c>
    </row>
    <row r="772" spans="1:15" ht="15" x14ac:dyDescent="0.2">
      <c r="A772" s="13">
        <v>64345</v>
      </c>
      <c r="B772" s="9">
        <f>11.2491 * CHOOSE(CONTROL!$C$32, $C$9, 100%, $E$9)</f>
        <v>11.2491</v>
      </c>
      <c r="C772" s="9">
        <f>11.2491 * CHOOSE(CONTROL!$C$32, $C$9, 100%, $E$9)</f>
        <v>11.2491</v>
      </c>
      <c r="D772" s="9">
        <f>11.2502 * CHOOSE(CONTROL!$C$32, $C$9, 100%, $E$9)</f>
        <v>11.2502</v>
      </c>
      <c r="E772" s="11">
        <f>12.5712 * CHOOSE(CONTROL!$C$32, $C$9, 100%, $E$9)</f>
        <v>12.571199999999999</v>
      </c>
      <c r="F772" s="11">
        <f>12.5712 * CHOOSE(CONTROL!$C$32, $C$9, 100%, $E$9)</f>
        <v>12.571199999999999</v>
      </c>
      <c r="G772" s="11">
        <f>12.5748 * CHOOSE(CONTROL!$C$32, $C$9, 100%, $E$9)</f>
        <v>12.5748</v>
      </c>
      <c r="H772" s="11">
        <f>25.2944 * CHOOSE(CONTROL!$C$32, $C$9, 100%, $E$9)</f>
        <v>25.2944</v>
      </c>
      <c r="I772" s="11">
        <f>25.298 * CHOOSE(CONTROL!$C$32, $C$9, 100%, $E$9)</f>
        <v>25.297999999999998</v>
      </c>
      <c r="J772" s="11">
        <f>25.2944 * CHOOSE(CONTROL!$C$32, $C$9, 100%, $E$9)</f>
        <v>25.2944</v>
      </c>
      <c r="K772" s="11">
        <f>25.298 * CHOOSE(CONTROL!$C$32, $C$9, 100%, $E$9)</f>
        <v>25.297999999999998</v>
      </c>
      <c r="L772" s="11">
        <f>12.5712 * CHOOSE(CONTROL!$C$32, $C$9, 100%, $E$9)</f>
        <v>12.571199999999999</v>
      </c>
      <c r="M772" s="11">
        <f>12.5748 * CHOOSE(CONTROL!$C$32, $C$9, 100%, $E$9)</f>
        <v>12.5748</v>
      </c>
      <c r="N772" s="11">
        <f>12.5712 * CHOOSE(CONTROL!$C$32, $C$9, 100%, $E$9)</f>
        <v>12.571199999999999</v>
      </c>
      <c r="O772" s="11">
        <f>12.5748 * CHOOSE(CONTROL!$C$32, $C$9, 100%, $E$9)</f>
        <v>12.5748</v>
      </c>
    </row>
    <row r="773" spans="1:15" ht="15" x14ac:dyDescent="0.2">
      <c r="A773" s="13">
        <v>64376</v>
      </c>
      <c r="B773" s="9">
        <f>11.2538 * CHOOSE(CONTROL!$C$32, $C$9, 100%, $E$9)</f>
        <v>11.2538</v>
      </c>
      <c r="C773" s="9">
        <f>11.2538 * CHOOSE(CONTROL!$C$32, $C$9, 100%, $E$9)</f>
        <v>11.2538</v>
      </c>
      <c r="D773" s="9">
        <f>11.2549 * CHOOSE(CONTROL!$C$32, $C$9, 100%, $E$9)</f>
        <v>11.254899999999999</v>
      </c>
      <c r="E773" s="11">
        <f>12.8475 * CHOOSE(CONTROL!$C$32, $C$9, 100%, $E$9)</f>
        <v>12.8475</v>
      </c>
      <c r="F773" s="11">
        <f>12.8475 * CHOOSE(CONTROL!$C$32, $C$9, 100%, $E$9)</f>
        <v>12.8475</v>
      </c>
      <c r="G773" s="11">
        <f>12.8511 * CHOOSE(CONTROL!$C$32, $C$9, 100%, $E$9)</f>
        <v>12.851100000000001</v>
      </c>
      <c r="H773" s="11">
        <f>25.3471 * CHOOSE(CONTROL!$C$32, $C$9, 100%, $E$9)</f>
        <v>25.347100000000001</v>
      </c>
      <c r="I773" s="11">
        <f>25.3507 * CHOOSE(CONTROL!$C$32, $C$9, 100%, $E$9)</f>
        <v>25.3507</v>
      </c>
      <c r="J773" s="11">
        <f>25.3471 * CHOOSE(CONTROL!$C$32, $C$9, 100%, $E$9)</f>
        <v>25.347100000000001</v>
      </c>
      <c r="K773" s="11">
        <f>25.3507 * CHOOSE(CONTROL!$C$32, $C$9, 100%, $E$9)</f>
        <v>25.3507</v>
      </c>
      <c r="L773" s="11">
        <f>12.8475 * CHOOSE(CONTROL!$C$32, $C$9, 100%, $E$9)</f>
        <v>12.8475</v>
      </c>
      <c r="M773" s="11">
        <f>12.8511 * CHOOSE(CONTROL!$C$32, $C$9, 100%, $E$9)</f>
        <v>12.851100000000001</v>
      </c>
      <c r="N773" s="11">
        <f>12.8475 * CHOOSE(CONTROL!$C$32, $C$9, 100%, $E$9)</f>
        <v>12.8475</v>
      </c>
      <c r="O773" s="11">
        <f>12.8511 * CHOOSE(CONTROL!$C$32, $C$9, 100%, $E$9)</f>
        <v>12.851100000000001</v>
      </c>
    </row>
    <row r="774" spans="1:15" ht="15" x14ac:dyDescent="0.2">
      <c r="A774" s="13">
        <v>64406</v>
      </c>
      <c r="B774" s="9">
        <f>11.2538 * CHOOSE(CONTROL!$C$32, $C$9, 100%, $E$9)</f>
        <v>11.2538</v>
      </c>
      <c r="C774" s="9">
        <f>11.2538 * CHOOSE(CONTROL!$C$32, $C$9, 100%, $E$9)</f>
        <v>11.2538</v>
      </c>
      <c r="D774" s="9">
        <f>11.2554 * CHOOSE(CONTROL!$C$32, $C$9, 100%, $E$9)</f>
        <v>11.2554</v>
      </c>
      <c r="E774" s="11">
        <f>12.9527 * CHOOSE(CONTROL!$C$32, $C$9, 100%, $E$9)</f>
        <v>12.9527</v>
      </c>
      <c r="F774" s="11">
        <f>12.9527 * CHOOSE(CONTROL!$C$32, $C$9, 100%, $E$9)</f>
        <v>12.9527</v>
      </c>
      <c r="G774" s="11">
        <f>12.958 * CHOOSE(CONTROL!$C$32, $C$9, 100%, $E$9)</f>
        <v>12.958</v>
      </c>
      <c r="H774" s="11">
        <f>25.3999 * CHOOSE(CONTROL!$C$32, $C$9, 100%, $E$9)</f>
        <v>25.399899999999999</v>
      </c>
      <c r="I774" s="11">
        <f>25.4052 * CHOOSE(CONTROL!$C$32, $C$9, 100%, $E$9)</f>
        <v>25.405200000000001</v>
      </c>
      <c r="J774" s="11">
        <f>25.3999 * CHOOSE(CONTROL!$C$32, $C$9, 100%, $E$9)</f>
        <v>25.399899999999999</v>
      </c>
      <c r="K774" s="11">
        <f>25.4052 * CHOOSE(CONTROL!$C$32, $C$9, 100%, $E$9)</f>
        <v>25.405200000000001</v>
      </c>
      <c r="L774" s="11">
        <f>12.9527 * CHOOSE(CONTROL!$C$32, $C$9, 100%, $E$9)</f>
        <v>12.9527</v>
      </c>
      <c r="M774" s="11">
        <f>12.958 * CHOOSE(CONTROL!$C$32, $C$9, 100%, $E$9)</f>
        <v>12.958</v>
      </c>
      <c r="N774" s="11">
        <f>12.9527 * CHOOSE(CONTROL!$C$32, $C$9, 100%, $E$9)</f>
        <v>12.9527</v>
      </c>
      <c r="O774" s="11">
        <f>12.958 * CHOOSE(CONTROL!$C$32, $C$9, 100%, $E$9)</f>
        <v>12.958</v>
      </c>
    </row>
    <row r="775" spans="1:15" ht="15" x14ac:dyDescent="0.2">
      <c r="A775" s="13">
        <v>64437</v>
      </c>
      <c r="B775" s="9">
        <f>11.2599 * CHOOSE(CONTROL!$C$32, $C$9, 100%, $E$9)</f>
        <v>11.2599</v>
      </c>
      <c r="C775" s="9">
        <f>11.2599 * CHOOSE(CONTROL!$C$32, $C$9, 100%, $E$9)</f>
        <v>11.2599</v>
      </c>
      <c r="D775" s="9">
        <f>11.2615 * CHOOSE(CONTROL!$C$32, $C$9, 100%, $E$9)</f>
        <v>11.2615</v>
      </c>
      <c r="E775" s="11">
        <f>12.8518 * CHOOSE(CONTROL!$C$32, $C$9, 100%, $E$9)</f>
        <v>12.851800000000001</v>
      </c>
      <c r="F775" s="11">
        <f>12.8518 * CHOOSE(CONTROL!$C$32, $C$9, 100%, $E$9)</f>
        <v>12.851800000000001</v>
      </c>
      <c r="G775" s="11">
        <f>12.857 * CHOOSE(CONTROL!$C$32, $C$9, 100%, $E$9)</f>
        <v>12.856999999999999</v>
      </c>
      <c r="H775" s="11">
        <f>25.4528 * CHOOSE(CONTROL!$C$32, $C$9, 100%, $E$9)</f>
        <v>25.4528</v>
      </c>
      <c r="I775" s="11">
        <f>25.4581 * CHOOSE(CONTROL!$C$32, $C$9, 100%, $E$9)</f>
        <v>25.458100000000002</v>
      </c>
      <c r="J775" s="11">
        <f>25.4528 * CHOOSE(CONTROL!$C$32, $C$9, 100%, $E$9)</f>
        <v>25.4528</v>
      </c>
      <c r="K775" s="11">
        <f>25.4581 * CHOOSE(CONTROL!$C$32, $C$9, 100%, $E$9)</f>
        <v>25.458100000000002</v>
      </c>
      <c r="L775" s="11">
        <f>12.8518 * CHOOSE(CONTROL!$C$32, $C$9, 100%, $E$9)</f>
        <v>12.851800000000001</v>
      </c>
      <c r="M775" s="11">
        <f>12.857 * CHOOSE(CONTROL!$C$32, $C$9, 100%, $E$9)</f>
        <v>12.856999999999999</v>
      </c>
      <c r="N775" s="11">
        <f>12.8518 * CHOOSE(CONTROL!$C$32, $C$9, 100%, $E$9)</f>
        <v>12.851800000000001</v>
      </c>
      <c r="O775" s="11">
        <f>12.857 * CHOOSE(CONTROL!$C$32, $C$9, 100%, $E$9)</f>
        <v>12.856999999999999</v>
      </c>
    </row>
    <row r="776" spans="1:15" ht="15" x14ac:dyDescent="0.2">
      <c r="A776" s="13">
        <v>64467</v>
      </c>
      <c r="B776" s="9">
        <f>11.3981 * CHOOSE(CONTROL!$C$32, $C$9, 100%, $E$9)</f>
        <v>11.398099999999999</v>
      </c>
      <c r="C776" s="9">
        <f>11.3981 * CHOOSE(CONTROL!$C$32, $C$9, 100%, $E$9)</f>
        <v>11.398099999999999</v>
      </c>
      <c r="D776" s="9">
        <f>11.3997 * CHOOSE(CONTROL!$C$32, $C$9, 100%, $E$9)</f>
        <v>11.399699999999999</v>
      </c>
      <c r="E776" s="11">
        <f>13.0328 * CHOOSE(CONTROL!$C$32, $C$9, 100%, $E$9)</f>
        <v>13.0328</v>
      </c>
      <c r="F776" s="11">
        <f>13.0328 * CHOOSE(CONTROL!$C$32, $C$9, 100%, $E$9)</f>
        <v>13.0328</v>
      </c>
      <c r="G776" s="11">
        <f>13.0381 * CHOOSE(CONTROL!$C$32, $C$9, 100%, $E$9)</f>
        <v>13.0381</v>
      </c>
      <c r="H776" s="11">
        <f>25.5059 * CHOOSE(CONTROL!$C$32, $C$9, 100%, $E$9)</f>
        <v>25.5059</v>
      </c>
      <c r="I776" s="11">
        <f>25.5112 * CHOOSE(CONTROL!$C$32, $C$9, 100%, $E$9)</f>
        <v>25.511199999999999</v>
      </c>
      <c r="J776" s="11">
        <f>25.5059 * CHOOSE(CONTROL!$C$32, $C$9, 100%, $E$9)</f>
        <v>25.5059</v>
      </c>
      <c r="K776" s="11">
        <f>25.5112 * CHOOSE(CONTROL!$C$32, $C$9, 100%, $E$9)</f>
        <v>25.511199999999999</v>
      </c>
      <c r="L776" s="11">
        <f>13.0328 * CHOOSE(CONTROL!$C$32, $C$9, 100%, $E$9)</f>
        <v>13.0328</v>
      </c>
      <c r="M776" s="11">
        <f>13.0381 * CHOOSE(CONTROL!$C$32, $C$9, 100%, $E$9)</f>
        <v>13.0381</v>
      </c>
      <c r="N776" s="11">
        <f>13.0328 * CHOOSE(CONTROL!$C$32, $C$9, 100%, $E$9)</f>
        <v>13.0328</v>
      </c>
      <c r="O776" s="11">
        <f>13.0381 * CHOOSE(CONTROL!$C$32, $C$9, 100%, $E$9)</f>
        <v>13.0381</v>
      </c>
    </row>
    <row r="777" spans="1:15" ht="15" x14ac:dyDescent="0.2">
      <c r="A777" s="13">
        <v>64498</v>
      </c>
      <c r="B777" s="9">
        <f>11.4048 * CHOOSE(CONTROL!$C$32, $C$9, 100%, $E$9)</f>
        <v>11.4048</v>
      </c>
      <c r="C777" s="9">
        <f>11.4048 * CHOOSE(CONTROL!$C$32, $C$9, 100%, $E$9)</f>
        <v>11.4048</v>
      </c>
      <c r="D777" s="9">
        <f>11.4064 * CHOOSE(CONTROL!$C$32, $C$9, 100%, $E$9)</f>
        <v>11.4064</v>
      </c>
      <c r="E777" s="11">
        <f>12.7218 * CHOOSE(CONTROL!$C$32, $C$9, 100%, $E$9)</f>
        <v>12.7218</v>
      </c>
      <c r="F777" s="11">
        <f>12.7218 * CHOOSE(CONTROL!$C$32, $C$9, 100%, $E$9)</f>
        <v>12.7218</v>
      </c>
      <c r="G777" s="11">
        <f>12.727 * CHOOSE(CONTROL!$C$32, $C$9, 100%, $E$9)</f>
        <v>12.727</v>
      </c>
      <c r="H777" s="11">
        <f>25.559 * CHOOSE(CONTROL!$C$32, $C$9, 100%, $E$9)</f>
        <v>25.559000000000001</v>
      </c>
      <c r="I777" s="11">
        <f>25.5643 * CHOOSE(CONTROL!$C$32, $C$9, 100%, $E$9)</f>
        <v>25.564299999999999</v>
      </c>
      <c r="J777" s="11">
        <f>25.559 * CHOOSE(CONTROL!$C$32, $C$9, 100%, $E$9)</f>
        <v>25.559000000000001</v>
      </c>
      <c r="K777" s="11">
        <f>25.5643 * CHOOSE(CONTROL!$C$32, $C$9, 100%, $E$9)</f>
        <v>25.564299999999999</v>
      </c>
      <c r="L777" s="11">
        <f>12.7218 * CHOOSE(CONTROL!$C$32, $C$9, 100%, $E$9)</f>
        <v>12.7218</v>
      </c>
      <c r="M777" s="11">
        <f>12.727 * CHOOSE(CONTROL!$C$32, $C$9, 100%, $E$9)</f>
        <v>12.727</v>
      </c>
      <c r="N777" s="11">
        <f>12.7218 * CHOOSE(CONTROL!$C$32, $C$9, 100%, $E$9)</f>
        <v>12.7218</v>
      </c>
      <c r="O777" s="11">
        <f>12.727 * CHOOSE(CONTROL!$C$32, $C$9, 100%, $E$9)</f>
        <v>12.727</v>
      </c>
    </row>
    <row r="778" spans="1:15" ht="15" x14ac:dyDescent="0.2">
      <c r="A778" s="13">
        <v>64529</v>
      </c>
      <c r="B778" s="9">
        <f>11.4018 * CHOOSE(CONTROL!$C$32, $C$9, 100%, $E$9)</f>
        <v>11.4018</v>
      </c>
      <c r="C778" s="9">
        <f>11.4018 * CHOOSE(CONTROL!$C$32, $C$9, 100%, $E$9)</f>
        <v>11.4018</v>
      </c>
      <c r="D778" s="9">
        <f>11.4033 * CHOOSE(CONTROL!$C$32, $C$9, 100%, $E$9)</f>
        <v>11.4033</v>
      </c>
      <c r="E778" s="11">
        <f>12.6846 * CHOOSE(CONTROL!$C$32, $C$9, 100%, $E$9)</f>
        <v>12.6846</v>
      </c>
      <c r="F778" s="11">
        <f>12.6846 * CHOOSE(CONTROL!$C$32, $C$9, 100%, $E$9)</f>
        <v>12.6846</v>
      </c>
      <c r="G778" s="11">
        <f>12.6899 * CHOOSE(CONTROL!$C$32, $C$9, 100%, $E$9)</f>
        <v>12.6899</v>
      </c>
      <c r="H778" s="11">
        <f>25.6122 * CHOOSE(CONTROL!$C$32, $C$9, 100%, $E$9)</f>
        <v>25.612200000000001</v>
      </c>
      <c r="I778" s="11">
        <f>25.6175 * CHOOSE(CONTROL!$C$32, $C$9, 100%, $E$9)</f>
        <v>25.6175</v>
      </c>
      <c r="J778" s="11">
        <f>25.6122 * CHOOSE(CONTROL!$C$32, $C$9, 100%, $E$9)</f>
        <v>25.612200000000001</v>
      </c>
      <c r="K778" s="11">
        <f>25.6175 * CHOOSE(CONTROL!$C$32, $C$9, 100%, $E$9)</f>
        <v>25.6175</v>
      </c>
      <c r="L778" s="11">
        <f>12.6846 * CHOOSE(CONTROL!$C$32, $C$9, 100%, $E$9)</f>
        <v>12.6846</v>
      </c>
      <c r="M778" s="11">
        <f>12.6899 * CHOOSE(CONTROL!$C$32, $C$9, 100%, $E$9)</f>
        <v>12.6899</v>
      </c>
      <c r="N778" s="11">
        <f>12.6846 * CHOOSE(CONTROL!$C$32, $C$9, 100%, $E$9)</f>
        <v>12.6846</v>
      </c>
      <c r="O778" s="11">
        <f>12.6899 * CHOOSE(CONTROL!$C$32, $C$9, 100%, $E$9)</f>
        <v>12.6899</v>
      </c>
    </row>
    <row r="779" spans="1:15" ht="15" x14ac:dyDescent="0.2">
      <c r="A779" s="13">
        <v>64559</v>
      </c>
      <c r="B779" s="9">
        <f>11.4245 * CHOOSE(CONTROL!$C$32, $C$9, 100%, $E$9)</f>
        <v>11.4245</v>
      </c>
      <c r="C779" s="9">
        <f>11.4245 * CHOOSE(CONTROL!$C$32, $C$9, 100%, $E$9)</f>
        <v>11.4245</v>
      </c>
      <c r="D779" s="9">
        <f>11.4255 * CHOOSE(CONTROL!$C$32, $C$9, 100%, $E$9)</f>
        <v>11.4255</v>
      </c>
      <c r="E779" s="11">
        <f>12.8114 * CHOOSE(CONTROL!$C$32, $C$9, 100%, $E$9)</f>
        <v>12.811400000000001</v>
      </c>
      <c r="F779" s="11">
        <f>12.8114 * CHOOSE(CONTROL!$C$32, $C$9, 100%, $E$9)</f>
        <v>12.811400000000001</v>
      </c>
      <c r="G779" s="11">
        <f>12.8151 * CHOOSE(CONTROL!$C$32, $C$9, 100%, $E$9)</f>
        <v>12.815099999999999</v>
      </c>
      <c r="H779" s="11">
        <f>25.6656 * CHOOSE(CONTROL!$C$32, $C$9, 100%, $E$9)</f>
        <v>25.665600000000001</v>
      </c>
      <c r="I779" s="11">
        <f>25.6692 * CHOOSE(CONTROL!$C$32, $C$9, 100%, $E$9)</f>
        <v>25.6692</v>
      </c>
      <c r="J779" s="11">
        <f>25.6656 * CHOOSE(CONTROL!$C$32, $C$9, 100%, $E$9)</f>
        <v>25.665600000000001</v>
      </c>
      <c r="K779" s="11">
        <f>25.6692 * CHOOSE(CONTROL!$C$32, $C$9, 100%, $E$9)</f>
        <v>25.6692</v>
      </c>
      <c r="L779" s="11">
        <f>12.8114 * CHOOSE(CONTROL!$C$32, $C$9, 100%, $E$9)</f>
        <v>12.811400000000001</v>
      </c>
      <c r="M779" s="11">
        <f>12.8151 * CHOOSE(CONTROL!$C$32, $C$9, 100%, $E$9)</f>
        <v>12.815099999999999</v>
      </c>
      <c r="N779" s="11">
        <f>12.8114 * CHOOSE(CONTROL!$C$32, $C$9, 100%, $E$9)</f>
        <v>12.811400000000001</v>
      </c>
      <c r="O779" s="11">
        <f>12.8151 * CHOOSE(CONTROL!$C$32, $C$9, 100%, $E$9)</f>
        <v>12.815099999999999</v>
      </c>
    </row>
    <row r="780" spans="1:15" ht="15" x14ac:dyDescent="0.2">
      <c r="A780" s="13">
        <v>64590</v>
      </c>
      <c r="B780" s="9">
        <f>11.4275 * CHOOSE(CONTROL!$C$32, $C$9, 100%, $E$9)</f>
        <v>11.4275</v>
      </c>
      <c r="C780" s="9">
        <f>11.4275 * CHOOSE(CONTROL!$C$32, $C$9, 100%, $E$9)</f>
        <v>11.4275</v>
      </c>
      <c r="D780" s="9">
        <f>11.4286 * CHOOSE(CONTROL!$C$32, $C$9, 100%, $E$9)</f>
        <v>11.428599999999999</v>
      </c>
      <c r="E780" s="11">
        <f>12.8837 * CHOOSE(CONTROL!$C$32, $C$9, 100%, $E$9)</f>
        <v>12.883699999999999</v>
      </c>
      <c r="F780" s="11">
        <f>12.8837 * CHOOSE(CONTROL!$C$32, $C$9, 100%, $E$9)</f>
        <v>12.883699999999999</v>
      </c>
      <c r="G780" s="11">
        <f>12.8873 * CHOOSE(CONTROL!$C$32, $C$9, 100%, $E$9)</f>
        <v>12.8873</v>
      </c>
      <c r="H780" s="11">
        <f>25.7191 * CHOOSE(CONTROL!$C$32, $C$9, 100%, $E$9)</f>
        <v>25.719100000000001</v>
      </c>
      <c r="I780" s="11">
        <f>25.7227 * CHOOSE(CONTROL!$C$32, $C$9, 100%, $E$9)</f>
        <v>25.7227</v>
      </c>
      <c r="J780" s="11">
        <f>25.7191 * CHOOSE(CONTROL!$C$32, $C$9, 100%, $E$9)</f>
        <v>25.719100000000001</v>
      </c>
      <c r="K780" s="11">
        <f>25.7227 * CHOOSE(CONTROL!$C$32, $C$9, 100%, $E$9)</f>
        <v>25.7227</v>
      </c>
      <c r="L780" s="11">
        <f>12.8837 * CHOOSE(CONTROL!$C$32, $C$9, 100%, $E$9)</f>
        <v>12.883699999999999</v>
      </c>
      <c r="M780" s="11">
        <f>12.8873 * CHOOSE(CONTROL!$C$32, $C$9, 100%, $E$9)</f>
        <v>12.8873</v>
      </c>
      <c r="N780" s="11">
        <f>12.8837 * CHOOSE(CONTROL!$C$32, $C$9, 100%, $E$9)</f>
        <v>12.883699999999999</v>
      </c>
      <c r="O780" s="11">
        <f>12.8873 * CHOOSE(CONTROL!$C$32, $C$9, 100%, $E$9)</f>
        <v>12.8873</v>
      </c>
    </row>
    <row r="781" spans="1:15" ht="15" x14ac:dyDescent="0.2">
      <c r="A781" s="13">
        <v>64620</v>
      </c>
      <c r="B781" s="9">
        <f>11.4275 * CHOOSE(CONTROL!$C$32, $C$9, 100%, $E$9)</f>
        <v>11.4275</v>
      </c>
      <c r="C781" s="9">
        <f>11.4275 * CHOOSE(CONTROL!$C$32, $C$9, 100%, $E$9)</f>
        <v>11.4275</v>
      </c>
      <c r="D781" s="9">
        <f>11.4286 * CHOOSE(CONTROL!$C$32, $C$9, 100%, $E$9)</f>
        <v>11.428599999999999</v>
      </c>
      <c r="E781" s="11">
        <f>12.7083 * CHOOSE(CONTROL!$C$32, $C$9, 100%, $E$9)</f>
        <v>12.708299999999999</v>
      </c>
      <c r="F781" s="11">
        <f>12.7083 * CHOOSE(CONTROL!$C$32, $C$9, 100%, $E$9)</f>
        <v>12.708299999999999</v>
      </c>
      <c r="G781" s="11">
        <f>12.712 * CHOOSE(CONTROL!$C$32, $C$9, 100%, $E$9)</f>
        <v>12.712</v>
      </c>
      <c r="H781" s="11">
        <f>25.7727 * CHOOSE(CONTROL!$C$32, $C$9, 100%, $E$9)</f>
        <v>25.7727</v>
      </c>
      <c r="I781" s="11">
        <f>25.7763 * CHOOSE(CONTROL!$C$32, $C$9, 100%, $E$9)</f>
        <v>25.776299999999999</v>
      </c>
      <c r="J781" s="11">
        <f>25.7727 * CHOOSE(CONTROL!$C$32, $C$9, 100%, $E$9)</f>
        <v>25.7727</v>
      </c>
      <c r="K781" s="11">
        <f>25.7763 * CHOOSE(CONTROL!$C$32, $C$9, 100%, $E$9)</f>
        <v>25.776299999999999</v>
      </c>
      <c r="L781" s="11">
        <f>12.7083 * CHOOSE(CONTROL!$C$32, $C$9, 100%, $E$9)</f>
        <v>12.708299999999999</v>
      </c>
      <c r="M781" s="11">
        <f>12.712 * CHOOSE(CONTROL!$C$32, $C$9, 100%, $E$9)</f>
        <v>12.712</v>
      </c>
      <c r="N781" s="11">
        <f>12.7083 * CHOOSE(CONTROL!$C$32, $C$9, 100%, $E$9)</f>
        <v>12.708299999999999</v>
      </c>
      <c r="O781" s="11">
        <f>12.712 * CHOOSE(CONTROL!$C$32, $C$9, 100%, $E$9)</f>
        <v>12.712</v>
      </c>
    </row>
    <row r="782" spans="1:15" ht="15" x14ac:dyDescent="0.2">
      <c r="A782" s="13">
        <v>64651</v>
      </c>
      <c r="B782" s="9">
        <f>11.4426 * CHOOSE(CONTROL!$C$32, $C$9, 100%, $E$9)</f>
        <v>11.442600000000001</v>
      </c>
      <c r="C782" s="9">
        <f>11.4426 * CHOOSE(CONTROL!$C$32, $C$9, 100%, $E$9)</f>
        <v>11.442600000000001</v>
      </c>
      <c r="D782" s="9">
        <f>11.4436 * CHOOSE(CONTROL!$C$32, $C$9, 100%, $E$9)</f>
        <v>11.4436</v>
      </c>
      <c r="E782" s="11">
        <f>12.858 * CHOOSE(CONTROL!$C$32, $C$9, 100%, $E$9)</f>
        <v>12.858000000000001</v>
      </c>
      <c r="F782" s="11">
        <f>12.858 * CHOOSE(CONTROL!$C$32, $C$9, 100%, $E$9)</f>
        <v>12.858000000000001</v>
      </c>
      <c r="G782" s="11">
        <f>12.8617 * CHOOSE(CONTROL!$C$32, $C$9, 100%, $E$9)</f>
        <v>12.861700000000001</v>
      </c>
      <c r="H782" s="11">
        <f>25.6429 * CHOOSE(CONTROL!$C$32, $C$9, 100%, $E$9)</f>
        <v>25.642900000000001</v>
      </c>
      <c r="I782" s="11">
        <f>25.6465 * CHOOSE(CONTROL!$C$32, $C$9, 100%, $E$9)</f>
        <v>25.6465</v>
      </c>
      <c r="J782" s="11">
        <f>25.6429 * CHOOSE(CONTROL!$C$32, $C$9, 100%, $E$9)</f>
        <v>25.642900000000001</v>
      </c>
      <c r="K782" s="11">
        <f>25.6465 * CHOOSE(CONTROL!$C$32, $C$9, 100%, $E$9)</f>
        <v>25.6465</v>
      </c>
      <c r="L782" s="11">
        <f>12.858 * CHOOSE(CONTROL!$C$32, $C$9, 100%, $E$9)</f>
        <v>12.858000000000001</v>
      </c>
      <c r="M782" s="11">
        <f>12.8617 * CHOOSE(CONTROL!$C$32, $C$9, 100%, $E$9)</f>
        <v>12.861700000000001</v>
      </c>
      <c r="N782" s="11">
        <f>12.858 * CHOOSE(CONTROL!$C$32, $C$9, 100%, $E$9)</f>
        <v>12.858000000000001</v>
      </c>
      <c r="O782" s="11">
        <f>12.8617 * CHOOSE(CONTROL!$C$32, $C$9, 100%, $E$9)</f>
        <v>12.861700000000001</v>
      </c>
    </row>
    <row r="783" spans="1:15" ht="15" x14ac:dyDescent="0.2">
      <c r="A783" s="13">
        <v>64682</v>
      </c>
      <c r="B783" s="9">
        <f>11.4395 * CHOOSE(CONTROL!$C$32, $C$9, 100%, $E$9)</f>
        <v>11.439500000000001</v>
      </c>
      <c r="C783" s="9">
        <f>11.4395 * CHOOSE(CONTROL!$C$32, $C$9, 100%, $E$9)</f>
        <v>11.439500000000001</v>
      </c>
      <c r="D783" s="9">
        <f>11.4406 * CHOOSE(CONTROL!$C$32, $C$9, 100%, $E$9)</f>
        <v>11.4406</v>
      </c>
      <c r="E783" s="11">
        <f>12.5174 * CHOOSE(CONTROL!$C$32, $C$9, 100%, $E$9)</f>
        <v>12.5174</v>
      </c>
      <c r="F783" s="11">
        <f>12.5174 * CHOOSE(CONTROL!$C$32, $C$9, 100%, $E$9)</f>
        <v>12.5174</v>
      </c>
      <c r="G783" s="11">
        <f>12.521 * CHOOSE(CONTROL!$C$32, $C$9, 100%, $E$9)</f>
        <v>12.521000000000001</v>
      </c>
      <c r="H783" s="11">
        <f>25.6963 * CHOOSE(CONTROL!$C$32, $C$9, 100%, $E$9)</f>
        <v>25.696300000000001</v>
      </c>
      <c r="I783" s="11">
        <f>25.6999 * CHOOSE(CONTROL!$C$32, $C$9, 100%, $E$9)</f>
        <v>25.6999</v>
      </c>
      <c r="J783" s="11">
        <f>25.6963 * CHOOSE(CONTROL!$C$32, $C$9, 100%, $E$9)</f>
        <v>25.696300000000001</v>
      </c>
      <c r="K783" s="11">
        <f>25.6999 * CHOOSE(CONTROL!$C$32, $C$9, 100%, $E$9)</f>
        <v>25.6999</v>
      </c>
      <c r="L783" s="11">
        <f>12.5174 * CHOOSE(CONTROL!$C$32, $C$9, 100%, $E$9)</f>
        <v>12.5174</v>
      </c>
      <c r="M783" s="11">
        <f>12.521 * CHOOSE(CONTROL!$C$32, $C$9, 100%, $E$9)</f>
        <v>12.521000000000001</v>
      </c>
      <c r="N783" s="11">
        <f>12.5174 * CHOOSE(CONTROL!$C$32, $C$9, 100%, $E$9)</f>
        <v>12.5174</v>
      </c>
      <c r="O783" s="11">
        <f>12.521 * CHOOSE(CONTROL!$C$32, $C$9, 100%, $E$9)</f>
        <v>12.521000000000001</v>
      </c>
    </row>
    <row r="784" spans="1:15" ht="15" x14ac:dyDescent="0.2">
      <c r="A784" s="13">
        <v>64710</v>
      </c>
      <c r="B784" s="9">
        <f>11.4365 * CHOOSE(CONTROL!$C$32, $C$9, 100%, $E$9)</f>
        <v>11.436500000000001</v>
      </c>
      <c r="C784" s="9">
        <f>11.4365 * CHOOSE(CONTROL!$C$32, $C$9, 100%, $E$9)</f>
        <v>11.436500000000001</v>
      </c>
      <c r="D784" s="9">
        <f>11.4376 * CHOOSE(CONTROL!$C$32, $C$9, 100%, $E$9)</f>
        <v>11.4376</v>
      </c>
      <c r="E784" s="11">
        <f>12.7822 * CHOOSE(CONTROL!$C$32, $C$9, 100%, $E$9)</f>
        <v>12.7822</v>
      </c>
      <c r="F784" s="11">
        <f>12.7822 * CHOOSE(CONTROL!$C$32, $C$9, 100%, $E$9)</f>
        <v>12.7822</v>
      </c>
      <c r="G784" s="11">
        <f>12.7858 * CHOOSE(CONTROL!$C$32, $C$9, 100%, $E$9)</f>
        <v>12.7858</v>
      </c>
      <c r="H784" s="11">
        <f>25.7498 * CHOOSE(CONTROL!$C$32, $C$9, 100%, $E$9)</f>
        <v>25.7498</v>
      </c>
      <c r="I784" s="11">
        <f>25.7534 * CHOOSE(CONTROL!$C$32, $C$9, 100%, $E$9)</f>
        <v>25.753399999999999</v>
      </c>
      <c r="J784" s="11">
        <f>25.7498 * CHOOSE(CONTROL!$C$32, $C$9, 100%, $E$9)</f>
        <v>25.7498</v>
      </c>
      <c r="K784" s="11">
        <f>25.7534 * CHOOSE(CONTROL!$C$32, $C$9, 100%, $E$9)</f>
        <v>25.753399999999999</v>
      </c>
      <c r="L784" s="11">
        <f>12.7822 * CHOOSE(CONTROL!$C$32, $C$9, 100%, $E$9)</f>
        <v>12.7822</v>
      </c>
      <c r="M784" s="11">
        <f>12.7858 * CHOOSE(CONTROL!$C$32, $C$9, 100%, $E$9)</f>
        <v>12.7858</v>
      </c>
      <c r="N784" s="11">
        <f>12.7822 * CHOOSE(CONTROL!$C$32, $C$9, 100%, $E$9)</f>
        <v>12.7822</v>
      </c>
      <c r="O784" s="11">
        <f>12.7858 * CHOOSE(CONTROL!$C$32, $C$9, 100%, $E$9)</f>
        <v>12.7858</v>
      </c>
    </row>
    <row r="785" spans="1:15" ht="15" x14ac:dyDescent="0.2">
      <c r="A785" s="13">
        <v>64741</v>
      </c>
      <c r="B785" s="9">
        <f>11.4414 * CHOOSE(CONTROL!$C$32, $C$9, 100%, $E$9)</f>
        <v>11.4414</v>
      </c>
      <c r="C785" s="9">
        <f>11.4414 * CHOOSE(CONTROL!$C$32, $C$9, 100%, $E$9)</f>
        <v>11.4414</v>
      </c>
      <c r="D785" s="9">
        <f>11.4424 * CHOOSE(CONTROL!$C$32, $C$9, 100%, $E$9)</f>
        <v>11.442399999999999</v>
      </c>
      <c r="E785" s="11">
        <f>13.0645 * CHOOSE(CONTROL!$C$32, $C$9, 100%, $E$9)</f>
        <v>13.064500000000001</v>
      </c>
      <c r="F785" s="11">
        <f>13.0645 * CHOOSE(CONTROL!$C$32, $C$9, 100%, $E$9)</f>
        <v>13.064500000000001</v>
      </c>
      <c r="G785" s="11">
        <f>13.0681 * CHOOSE(CONTROL!$C$32, $C$9, 100%, $E$9)</f>
        <v>13.068099999999999</v>
      </c>
      <c r="H785" s="11">
        <f>25.8035 * CHOOSE(CONTROL!$C$32, $C$9, 100%, $E$9)</f>
        <v>25.8035</v>
      </c>
      <c r="I785" s="11">
        <f>25.8071 * CHOOSE(CONTROL!$C$32, $C$9, 100%, $E$9)</f>
        <v>25.807099999999998</v>
      </c>
      <c r="J785" s="11">
        <f>25.8035 * CHOOSE(CONTROL!$C$32, $C$9, 100%, $E$9)</f>
        <v>25.8035</v>
      </c>
      <c r="K785" s="11">
        <f>25.8071 * CHOOSE(CONTROL!$C$32, $C$9, 100%, $E$9)</f>
        <v>25.807099999999998</v>
      </c>
      <c r="L785" s="11">
        <f>13.0645 * CHOOSE(CONTROL!$C$32, $C$9, 100%, $E$9)</f>
        <v>13.064500000000001</v>
      </c>
      <c r="M785" s="11">
        <f>13.0681 * CHOOSE(CONTROL!$C$32, $C$9, 100%, $E$9)</f>
        <v>13.068099999999999</v>
      </c>
      <c r="N785" s="11">
        <f>13.0645 * CHOOSE(CONTROL!$C$32, $C$9, 100%, $E$9)</f>
        <v>13.064500000000001</v>
      </c>
      <c r="O785" s="11">
        <f>13.0681 * CHOOSE(CONTROL!$C$32, $C$9, 100%, $E$9)</f>
        <v>13.068099999999999</v>
      </c>
    </row>
    <row r="786" spans="1:15" ht="15" x14ac:dyDescent="0.2">
      <c r="A786" s="13">
        <v>64771</v>
      </c>
      <c r="B786" s="9">
        <f>11.4414 * CHOOSE(CONTROL!$C$32, $C$9, 100%, $E$9)</f>
        <v>11.4414</v>
      </c>
      <c r="C786" s="9">
        <f>11.4414 * CHOOSE(CONTROL!$C$32, $C$9, 100%, $E$9)</f>
        <v>11.4414</v>
      </c>
      <c r="D786" s="9">
        <f>11.4429 * CHOOSE(CONTROL!$C$32, $C$9, 100%, $E$9)</f>
        <v>11.4429</v>
      </c>
      <c r="E786" s="11">
        <f>13.172 * CHOOSE(CONTROL!$C$32, $C$9, 100%, $E$9)</f>
        <v>13.172000000000001</v>
      </c>
      <c r="F786" s="11">
        <f>13.172 * CHOOSE(CONTROL!$C$32, $C$9, 100%, $E$9)</f>
        <v>13.172000000000001</v>
      </c>
      <c r="G786" s="11">
        <f>13.1773 * CHOOSE(CONTROL!$C$32, $C$9, 100%, $E$9)</f>
        <v>13.177300000000001</v>
      </c>
      <c r="H786" s="11">
        <f>25.8572 * CHOOSE(CONTROL!$C$32, $C$9, 100%, $E$9)</f>
        <v>25.857199999999999</v>
      </c>
      <c r="I786" s="11">
        <f>25.8625 * CHOOSE(CONTROL!$C$32, $C$9, 100%, $E$9)</f>
        <v>25.862500000000001</v>
      </c>
      <c r="J786" s="11">
        <f>25.8572 * CHOOSE(CONTROL!$C$32, $C$9, 100%, $E$9)</f>
        <v>25.857199999999999</v>
      </c>
      <c r="K786" s="11">
        <f>25.8625 * CHOOSE(CONTROL!$C$32, $C$9, 100%, $E$9)</f>
        <v>25.862500000000001</v>
      </c>
      <c r="L786" s="11">
        <f>13.172 * CHOOSE(CONTROL!$C$32, $C$9, 100%, $E$9)</f>
        <v>13.172000000000001</v>
      </c>
      <c r="M786" s="11">
        <f>13.1773 * CHOOSE(CONTROL!$C$32, $C$9, 100%, $E$9)</f>
        <v>13.177300000000001</v>
      </c>
      <c r="N786" s="11">
        <f>13.172 * CHOOSE(CONTROL!$C$32, $C$9, 100%, $E$9)</f>
        <v>13.172000000000001</v>
      </c>
      <c r="O786" s="11">
        <f>13.1773 * CHOOSE(CONTROL!$C$32, $C$9, 100%, $E$9)</f>
        <v>13.177300000000001</v>
      </c>
    </row>
    <row r="787" spans="1:15" ht="15" x14ac:dyDescent="0.2">
      <c r="A787" s="13">
        <v>64802</v>
      </c>
      <c r="B787" s="9">
        <f>11.4474 * CHOOSE(CONTROL!$C$32, $C$9, 100%, $E$9)</f>
        <v>11.4474</v>
      </c>
      <c r="C787" s="9">
        <f>11.4474 * CHOOSE(CONTROL!$C$32, $C$9, 100%, $E$9)</f>
        <v>11.4474</v>
      </c>
      <c r="D787" s="9">
        <f>11.449 * CHOOSE(CONTROL!$C$32, $C$9, 100%, $E$9)</f>
        <v>11.449</v>
      </c>
      <c r="E787" s="11">
        <f>13.0688 * CHOOSE(CONTROL!$C$32, $C$9, 100%, $E$9)</f>
        <v>13.0688</v>
      </c>
      <c r="F787" s="11">
        <f>13.0688 * CHOOSE(CONTROL!$C$32, $C$9, 100%, $E$9)</f>
        <v>13.0688</v>
      </c>
      <c r="G787" s="11">
        <f>13.074 * CHOOSE(CONTROL!$C$32, $C$9, 100%, $E$9)</f>
        <v>13.074</v>
      </c>
      <c r="H787" s="11">
        <f>25.9111 * CHOOSE(CONTROL!$C$32, $C$9, 100%, $E$9)</f>
        <v>25.911100000000001</v>
      </c>
      <c r="I787" s="11">
        <f>25.9164 * CHOOSE(CONTROL!$C$32, $C$9, 100%, $E$9)</f>
        <v>25.916399999999999</v>
      </c>
      <c r="J787" s="11">
        <f>25.9111 * CHOOSE(CONTROL!$C$32, $C$9, 100%, $E$9)</f>
        <v>25.911100000000001</v>
      </c>
      <c r="K787" s="11">
        <f>25.9164 * CHOOSE(CONTROL!$C$32, $C$9, 100%, $E$9)</f>
        <v>25.916399999999999</v>
      </c>
      <c r="L787" s="11">
        <f>13.0688 * CHOOSE(CONTROL!$C$32, $C$9, 100%, $E$9)</f>
        <v>13.0688</v>
      </c>
      <c r="M787" s="11">
        <f>13.074 * CHOOSE(CONTROL!$C$32, $C$9, 100%, $E$9)</f>
        <v>13.074</v>
      </c>
      <c r="N787" s="11">
        <f>13.0688 * CHOOSE(CONTROL!$C$32, $C$9, 100%, $E$9)</f>
        <v>13.0688</v>
      </c>
      <c r="O787" s="11">
        <f>13.074 * CHOOSE(CONTROL!$C$32, $C$9, 100%, $E$9)</f>
        <v>13.074</v>
      </c>
    </row>
    <row r="788" spans="1:15" ht="15" x14ac:dyDescent="0.2">
      <c r="A788" s="13">
        <v>64832</v>
      </c>
      <c r="B788" s="9">
        <f>11.5877 * CHOOSE(CONTROL!$C$32, $C$9, 100%, $E$9)</f>
        <v>11.5877</v>
      </c>
      <c r="C788" s="9">
        <f>11.5877 * CHOOSE(CONTROL!$C$32, $C$9, 100%, $E$9)</f>
        <v>11.5877</v>
      </c>
      <c r="D788" s="9">
        <f>11.5893 * CHOOSE(CONTROL!$C$32, $C$9, 100%, $E$9)</f>
        <v>11.5893</v>
      </c>
      <c r="E788" s="11">
        <f>13.2529 * CHOOSE(CONTROL!$C$32, $C$9, 100%, $E$9)</f>
        <v>13.2529</v>
      </c>
      <c r="F788" s="11">
        <f>13.2529 * CHOOSE(CONTROL!$C$32, $C$9, 100%, $E$9)</f>
        <v>13.2529</v>
      </c>
      <c r="G788" s="11">
        <f>13.2582 * CHOOSE(CONTROL!$C$32, $C$9, 100%, $E$9)</f>
        <v>13.2582</v>
      </c>
      <c r="H788" s="11">
        <f>25.9651 * CHOOSE(CONTROL!$C$32, $C$9, 100%, $E$9)</f>
        <v>25.9651</v>
      </c>
      <c r="I788" s="11">
        <f>25.9704 * CHOOSE(CONTROL!$C$32, $C$9, 100%, $E$9)</f>
        <v>25.970400000000001</v>
      </c>
      <c r="J788" s="11">
        <f>25.9651 * CHOOSE(CONTROL!$C$32, $C$9, 100%, $E$9)</f>
        <v>25.9651</v>
      </c>
      <c r="K788" s="11">
        <f>25.9704 * CHOOSE(CONTROL!$C$32, $C$9, 100%, $E$9)</f>
        <v>25.970400000000001</v>
      </c>
      <c r="L788" s="11">
        <f>13.2529 * CHOOSE(CONTROL!$C$32, $C$9, 100%, $E$9)</f>
        <v>13.2529</v>
      </c>
      <c r="M788" s="11">
        <f>13.2582 * CHOOSE(CONTROL!$C$32, $C$9, 100%, $E$9)</f>
        <v>13.2582</v>
      </c>
      <c r="N788" s="11">
        <f>13.2529 * CHOOSE(CONTROL!$C$32, $C$9, 100%, $E$9)</f>
        <v>13.2529</v>
      </c>
      <c r="O788" s="11">
        <f>13.2582 * CHOOSE(CONTROL!$C$32, $C$9, 100%, $E$9)</f>
        <v>13.2582</v>
      </c>
    </row>
    <row r="789" spans="1:15" ht="15" x14ac:dyDescent="0.2">
      <c r="A789" s="13">
        <v>64863</v>
      </c>
      <c r="B789" s="9">
        <f>11.5944 * CHOOSE(CONTROL!$C$32, $C$9, 100%, $E$9)</f>
        <v>11.5944</v>
      </c>
      <c r="C789" s="9">
        <f>11.5944 * CHOOSE(CONTROL!$C$32, $C$9, 100%, $E$9)</f>
        <v>11.5944</v>
      </c>
      <c r="D789" s="9">
        <f>11.596 * CHOOSE(CONTROL!$C$32, $C$9, 100%, $E$9)</f>
        <v>11.596</v>
      </c>
      <c r="E789" s="11">
        <f>12.9352 * CHOOSE(CONTROL!$C$32, $C$9, 100%, $E$9)</f>
        <v>12.9352</v>
      </c>
      <c r="F789" s="11">
        <f>12.9352 * CHOOSE(CONTROL!$C$32, $C$9, 100%, $E$9)</f>
        <v>12.9352</v>
      </c>
      <c r="G789" s="11">
        <f>12.9405 * CHOOSE(CONTROL!$C$32, $C$9, 100%, $E$9)</f>
        <v>12.9405</v>
      </c>
      <c r="H789" s="11">
        <f>26.0192 * CHOOSE(CONTROL!$C$32, $C$9, 100%, $E$9)</f>
        <v>26.019200000000001</v>
      </c>
      <c r="I789" s="11">
        <f>26.0245 * CHOOSE(CONTROL!$C$32, $C$9, 100%, $E$9)</f>
        <v>26.0245</v>
      </c>
      <c r="J789" s="11">
        <f>26.0192 * CHOOSE(CONTROL!$C$32, $C$9, 100%, $E$9)</f>
        <v>26.019200000000001</v>
      </c>
      <c r="K789" s="11">
        <f>26.0245 * CHOOSE(CONTROL!$C$32, $C$9, 100%, $E$9)</f>
        <v>26.0245</v>
      </c>
      <c r="L789" s="11">
        <f>12.9352 * CHOOSE(CONTROL!$C$32, $C$9, 100%, $E$9)</f>
        <v>12.9352</v>
      </c>
      <c r="M789" s="11">
        <f>12.9405 * CHOOSE(CONTROL!$C$32, $C$9, 100%, $E$9)</f>
        <v>12.9405</v>
      </c>
      <c r="N789" s="11">
        <f>12.9352 * CHOOSE(CONTROL!$C$32, $C$9, 100%, $E$9)</f>
        <v>12.9352</v>
      </c>
      <c r="O789" s="11">
        <f>12.9405 * CHOOSE(CONTROL!$C$32, $C$9, 100%, $E$9)</f>
        <v>12.9405</v>
      </c>
    </row>
    <row r="790" spans="1:15" ht="15" x14ac:dyDescent="0.2">
      <c r="A790" s="13">
        <v>64894</v>
      </c>
      <c r="B790" s="9">
        <f>11.5913 * CHOOSE(CONTROL!$C$32, $C$9, 100%, $E$9)</f>
        <v>11.5913</v>
      </c>
      <c r="C790" s="9">
        <f>11.5913 * CHOOSE(CONTROL!$C$32, $C$9, 100%, $E$9)</f>
        <v>11.5913</v>
      </c>
      <c r="D790" s="9">
        <f>11.5929 * CHOOSE(CONTROL!$C$32, $C$9, 100%, $E$9)</f>
        <v>11.5929</v>
      </c>
      <c r="E790" s="11">
        <f>12.8972 * CHOOSE(CONTROL!$C$32, $C$9, 100%, $E$9)</f>
        <v>12.8972</v>
      </c>
      <c r="F790" s="11">
        <f>12.8972 * CHOOSE(CONTROL!$C$32, $C$9, 100%, $E$9)</f>
        <v>12.8972</v>
      </c>
      <c r="G790" s="11">
        <f>12.9025 * CHOOSE(CONTROL!$C$32, $C$9, 100%, $E$9)</f>
        <v>12.9025</v>
      </c>
      <c r="H790" s="11">
        <f>26.0734 * CHOOSE(CONTROL!$C$32, $C$9, 100%, $E$9)</f>
        <v>26.073399999999999</v>
      </c>
      <c r="I790" s="11">
        <f>26.0787 * CHOOSE(CONTROL!$C$32, $C$9, 100%, $E$9)</f>
        <v>26.078700000000001</v>
      </c>
      <c r="J790" s="11">
        <f>26.0734 * CHOOSE(CONTROL!$C$32, $C$9, 100%, $E$9)</f>
        <v>26.073399999999999</v>
      </c>
      <c r="K790" s="11">
        <f>26.0787 * CHOOSE(CONTROL!$C$32, $C$9, 100%, $E$9)</f>
        <v>26.078700000000001</v>
      </c>
      <c r="L790" s="11">
        <f>12.8972 * CHOOSE(CONTROL!$C$32, $C$9, 100%, $E$9)</f>
        <v>12.8972</v>
      </c>
      <c r="M790" s="11">
        <f>12.9025 * CHOOSE(CONTROL!$C$32, $C$9, 100%, $E$9)</f>
        <v>12.9025</v>
      </c>
      <c r="N790" s="11">
        <f>12.8972 * CHOOSE(CONTROL!$C$32, $C$9, 100%, $E$9)</f>
        <v>12.8972</v>
      </c>
      <c r="O790" s="11">
        <f>12.9025 * CHOOSE(CONTROL!$C$32, $C$9, 100%, $E$9)</f>
        <v>12.9025</v>
      </c>
    </row>
    <row r="791" spans="1:15" ht="15" x14ac:dyDescent="0.2">
      <c r="A791" s="13">
        <v>64924</v>
      </c>
      <c r="B791" s="9">
        <f>11.6148 * CHOOSE(CONTROL!$C$32, $C$9, 100%, $E$9)</f>
        <v>11.614800000000001</v>
      </c>
      <c r="C791" s="9">
        <f>11.6148 * CHOOSE(CONTROL!$C$32, $C$9, 100%, $E$9)</f>
        <v>11.614800000000001</v>
      </c>
      <c r="D791" s="9">
        <f>11.6158 * CHOOSE(CONTROL!$C$32, $C$9, 100%, $E$9)</f>
        <v>11.6158</v>
      </c>
      <c r="E791" s="11">
        <f>13.0271 * CHOOSE(CONTROL!$C$32, $C$9, 100%, $E$9)</f>
        <v>13.027100000000001</v>
      </c>
      <c r="F791" s="11">
        <f>13.0271 * CHOOSE(CONTROL!$C$32, $C$9, 100%, $E$9)</f>
        <v>13.027100000000001</v>
      </c>
      <c r="G791" s="11">
        <f>13.0307 * CHOOSE(CONTROL!$C$32, $C$9, 100%, $E$9)</f>
        <v>13.0307</v>
      </c>
      <c r="H791" s="11">
        <f>26.1277 * CHOOSE(CONTROL!$C$32, $C$9, 100%, $E$9)</f>
        <v>26.127700000000001</v>
      </c>
      <c r="I791" s="11">
        <f>26.1313 * CHOOSE(CONTROL!$C$32, $C$9, 100%, $E$9)</f>
        <v>26.1313</v>
      </c>
      <c r="J791" s="11">
        <f>26.1277 * CHOOSE(CONTROL!$C$32, $C$9, 100%, $E$9)</f>
        <v>26.127700000000001</v>
      </c>
      <c r="K791" s="11">
        <f>26.1313 * CHOOSE(CONTROL!$C$32, $C$9, 100%, $E$9)</f>
        <v>26.1313</v>
      </c>
      <c r="L791" s="11">
        <f>13.0271 * CHOOSE(CONTROL!$C$32, $C$9, 100%, $E$9)</f>
        <v>13.027100000000001</v>
      </c>
      <c r="M791" s="11">
        <f>13.0307 * CHOOSE(CONTROL!$C$32, $C$9, 100%, $E$9)</f>
        <v>13.0307</v>
      </c>
      <c r="N791" s="11">
        <f>13.0271 * CHOOSE(CONTROL!$C$32, $C$9, 100%, $E$9)</f>
        <v>13.027100000000001</v>
      </c>
      <c r="O791" s="11">
        <f>13.0307 * CHOOSE(CONTROL!$C$32, $C$9, 100%, $E$9)</f>
        <v>13.0307</v>
      </c>
    </row>
    <row r="792" spans="1:15" ht="15" x14ac:dyDescent="0.2">
      <c r="A792" s="13">
        <v>64955</v>
      </c>
      <c r="B792" s="9">
        <f>11.6178 * CHOOSE(CONTROL!$C$32, $C$9, 100%, $E$9)</f>
        <v>11.617800000000001</v>
      </c>
      <c r="C792" s="9">
        <f>11.6178 * CHOOSE(CONTROL!$C$32, $C$9, 100%, $E$9)</f>
        <v>11.617800000000001</v>
      </c>
      <c r="D792" s="9">
        <f>11.6189 * CHOOSE(CONTROL!$C$32, $C$9, 100%, $E$9)</f>
        <v>11.6189</v>
      </c>
      <c r="E792" s="11">
        <f>13.1009 * CHOOSE(CONTROL!$C$32, $C$9, 100%, $E$9)</f>
        <v>13.100899999999999</v>
      </c>
      <c r="F792" s="11">
        <f>13.1009 * CHOOSE(CONTROL!$C$32, $C$9, 100%, $E$9)</f>
        <v>13.100899999999999</v>
      </c>
      <c r="G792" s="11">
        <f>13.1045 * CHOOSE(CONTROL!$C$32, $C$9, 100%, $E$9)</f>
        <v>13.1045</v>
      </c>
      <c r="H792" s="11">
        <f>26.1821 * CHOOSE(CONTROL!$C$32, $C$9, 100%, $E$9)</f>
        <v>26.182099999999998</v>
      </c>
      <c r="I792" s="11">
        <f>26.1857 * CHOOSE(CONTROL!$C$32, $C$9, 100%, $E$9)</f>
        <v>26.185700000000001</v>
      </c>
      <c r="J792" s="11">
        <f>26.1821 * CHOOSE(CONTROL!$C$32, $C$9, 100%, $E$9)</f>
        <v>26.182099999999998</v>
      </c>
      <c r="K792" s="11">
        <f>26.1857 * CHOOSE(CONTROL!$C$32, $C$9, 100%, $E$9)</f>
        <v>26.185700000000001</v>
      </c>
      <c r="L792" s="11">
        <f>13.1009 * CHOOSE(CONTROL!$C$32, $C$9, 100%, $E$9)</f>
        <v>13.100899999999999</v>
      </c>
      <c r="M792" s="11">
        <f>13.1045 * CHOOSE(CONTROL!$C$32, $C$9, 100%, $E$9)</f>
        <v>13.1045</v>
      </c>
      <c r="N792" s="11">
        <f>13.1009 * CHOOSE(CONTROL!$C$32, $C$9, 100%, $E$9)</f>
        <v>13.100899999999999</v>
      </c>
      <c r="O792" s="11">
        <f>13.1045 * CHOOSE(CONTROL!$C$32, $C$9, 100%, $E$9)</f>
        <v>13.1045</v>
      </c>
    </row>
    <row r="793" spans="1:15" ht="15" x14ac:dyDescent="0.2">
      <c r="A793" s="13">
        <v>64985</v>
      </c>
      <c r="B793" s="9">
        <f>11.6178 * CHOOSE(CONTROL!$C$32, $C$9, 100%, $E$9)</f>
        <v>11.617800000000001</v>
      </c>
      <c r="C793" s="9">
        <f>11.6178 * CHOOSE(CONTROL!$C$32, $C$9, 100%, $E$9)</f>
        <v>11.617800000000001</v>
      </c>
      <c r="D793" s="9">
        <f>11.6189 * CHOOSE(CONTROL!$C$32, $C$9, 100%, $E$9)</f>
        <v>11.6189</v>
      </c>
      <c r="E793" s="11">
        <f>12.9218 * CHOOSE(CONTROL!$C$32, $C$9, 100%, $E$9)</f>
        <v>12.921799999999999</v>
      </c>
      <c r="F793" s="11">
        <f>12.9218 * CHOOSE(CONTROL!$C$32, $C$9, 100%, $E$9)</f>
        <v>12.921799999999999</v>
      </c>
      <c r="G793" s="11">
        <f>12.9254 * CHOOSE(CONTROL!$C$32, $C$9, 100%, $E$9)</f>
        <v>12.9254</v>
      </c>
      <c r="H793" s="11">
        <f>26.2367 * CHOOSE(CONTROL!$C$32, $C$9, 100%, $E$9)</f>
        <v>26.236699999999999</v>
      </c>
      <c r="I793" s="11">
        <f>26.2403 * CHOOSE(CONTROL!$C$32, $C$9, 100%, $E$9)</f>
        <v>26.240300000000001</v>
      </c>
      <c r="J793" s="11">
        <f>26.2367 * CHOOSE(CONTROL!$C$32, $C$9, 100%, $E$9)</f>
        <v>26.236699999999999</v>
      </c>
      <c r="K793" s="11">
        <f>26.2403 * CHOOSE(CONTROL!$C$32, $C$9, 100%, $E$9)</f>
        <v>26.240300000000001</v>
      </c>
      <c r="L793" s="11">
        <f>12.9218 * CHOOSE(CONTROL!$C$32, $C$9, 100%, $E$9)</f>
        <v>12.921799999999999</v>
      </c>
      <c r="M793" s="11">
        <f>12.9254 * CHOOSE(CONTROL!$C$32, $C$9, 100%, $E$9)</f>
        <v>12.9254</v>
      </c>
      <c r="N793" s="11">
        <f>12.9218 * CHOOSE(CONTROL!$C$32, $C$9, 100%, $E$9)</f>
        <v>12.921799999999999</v>
      </c>
      <c r="O793" s="11">
        <f>12.9254 * CHOOSE(CONTROL!$C$32, $C$9, 100%, $E$9)</f>
        <v>12.9254</v>
      </c>
    </row>
    <row r="794" spans="1:15" ht="15" x14ac:dyDescent="0.2">
      <c r="A794" s="13">
        <v>65016</v>
      </c>
      <c r="B794" s="9">
        <f>11.6299 * CHOOSE(CONTROL!$C$32, $C$9, 100%, $E$9)</f>
        <v>11.629899999999999</v>
      </c>
      <c r="C794" s="9">
        <f>11.6299 * CHOOSE(CONTROL!$C$32, $C$9, 100%, $E$9)</f>
        <v>11.629899999999999</v>
      </c>
      <c r="D794" s="9">
        <f>11.631 * CHOOSE(CONTROL!$C$32, $C$9, 100%, $E$9)</f>
        <v>11.631</v>
      </c>
      <c r="E794" s="11">
        <f>13.0706 * CHOOSE(CONTROL!$C$32, $C$9, 100%, $E$9)</f>
        <v>13.070600000000001</v>
      </c>
      <c r="F794" s="11">
        <f>13.0706 * CHOOSE(CONTROL!$C$32, $C$9, 100%, $E$9)</f>
        <v>13.070600000000001</v>
      </c>
      <c r="G794" s="11">
        <f>13.0742 * CHOOSE(CONTROL!$C$32, $C$9, 100%, $E$9)</f>
        <v>13.074199999999999</v>
      </c>
      <c r="H794" s="11">
        <f>26.0964 * CHOOSE(CONTROL!$C$32, $C$9, 100%, $E$9)</f>
        <v>26.096399999999999</v>
      </c>
      <c r="I794" s="11">
        <f>26.1 * CHOOSE(CONTROL!$C$32, $C$9, 100%, $E$9)</f>
        <v>26.1</v>
      </c>
      <c r="J794" s="11">
        <f>26.0964 * CHOOSE(CONTROL!$C$32, $C$9, 100%, $E$9)</f>
        <v>26.096399999999999</v>
      </c>
      <c r="K794" s="11">
        <f>26.1 * CHOOSE(CONTROL!$C$32, $C$9, 100%, $E$9)</f>
        <v>26.1</v>
      </c>
      <c r="L794" s="11">
        <f>13.0706 * CHOOSE(CONTROL!$C$32, $C$9, 100%, $E$9)</f>
        <v>13.070600000000001</v>
      </c>
      <c r="M794" s="11">
        <f>13.0742 * CHOOSE(CONTROL!$C$32, $C$9, 100%, $E$9)</f>
        <v>13.074199999999999</v>
      </c>
      <c r="N794" s="11">
        <f>13.0706 * CHOOSE(CONTROL!$C$32, $C$9, 100%, $E$9)</f>
        <v>13.070600000000001</v>
      </c>
      <c r="O794" s="11">
        <f>13.0742 * CHOOSE(CONTROL!$C$32, $C$9, 100%, $E$9)</f>
        <v>13.074199999999999</v>
      </c>
    </row>
    <row r="795" spans="1:15" ht="15" x14ac:dyDescent="0.2">
      <c r="A795" s="13">
        <v>65047</v>
      </c>
      <c r="B795" s="9">
        <f>11.6269 * CHOOSE(CONTROL!$C$32, $C$9, 100%, $E$9)</f>
        <v>11.626899999999999</v>
      </c>
      <c r="C795" s="9">
        <f>11.6269 * CHOOSE(CONTROL!$C$32, $C$9, 100%, $E$9)</f>
        <v>11.626899999999999</v>
      </c>
      <c r="D795" s="9">
        <f>11.628 * CHOOSE(CONTROL!$C$32, $C$9, 100%, $E$9)</f>
        <v>11.628</v>
      </c>
      <c r="E795" s="11">
        <f>12.7228 * CHOOSE(CONTROL!$C$32, $C$9, 100%, $E$9)</f>
        <v>12.722799999999999</v>
      </c>
      <c r="F795" s="11">
        <f>12.7228 * CHOOSE(CONTROL!$C$32, $C$9, 100%, $E$9)</f>
        <v>12.722799999999999</v>
      </c>
      <c r="G795" s="11">
        <f>12.7265 * CHOOSE(CONTROL!$C$32, $C$9, 100%, $E$9)</f>
        <v>12.7265</v>
      </c>
      <c r="H795" s="11">
        <f>26.1507 * CHOOSE(CONTROL!$C$32, $C$9, 100%, $E$9)</f>
        <v>26.150700000000001</v>
      </c>
      <c r="I795" s="11">
        <f>26.1543 * CHOOSE(CONTROL!$C$32, $C$9, 100%, $E$9)</f>
        <v>26.154299999999999</v>
      </c>
      <c r="J795" s="11">
        <f>26.1507 * CHOOSE(CONTROL!$C$32, $C$9, 100%, $E$9)</f>
        <v>26.150700000000001</v>
      </c>
      <c r="K795" s="11">
        <f>26.1543 * CHOOSE(CONTROL!$C$32, $C$9, 100%, $E$9)</f>
        <v>26.154299999999999</v>
      </c>
      <c r="L795" s="11">
        <f>12.7228 * CHOOSE(CONTROL!$C$32, $C$9, 100%, $E$9)</f>
        <v>12.722799999999999</v>
      </c>
      <c r="M795" s="11">
        <f>12.7265 * CHOOSE(CONTROL!$C$32, $C$9, 100%, $E$9)</f>
        <v>12.7265</v>
      </c>
      <c r="N795" s="11">
        <f>12.7228 * CHOOSE(CONTROL!$C$32, $C$9, 100%, $E$9)</f>
        <v>12.722799999999999</v>
      </c>
      <c r="O795" s="11">
        <f>12.7265 * CHOOSE(CONTROL!$C$32, $C$9, 100%, $E$9)</f>
        <v>12.7265</v>
      </c>
    </row>
    <row r="796" spans="1:15" ht="15" x14ac:dyDescent="0.2">
      <c r="A796" s="13">
        <v>65075</v>
      </c>
      <c r="B796" s="9">
        <f>11.6239 * CHOOSE(CONTROL!$C$32, $C$9, 100%, $E$9)</f>
        <v>11.623900000000001</v>
      </c>
      <c r="C796" s="9">
        <f>11.6239 * CHOOSE(CONTROL!$C$32, $C$9, 100%, $E$9)</f>
        <v>11.623900000000001</v>
      </c>
      <c r="D796" s="9">
        <f>11.6249 * CHOOSE(CONTROL!$C$32, $C$9, 100%, $E$9)</f>
        <v>11.6249</v>
      </c>
      <c r="E796" s="11">
        <f>12.9932 * CHOOSE(CONTROL!$C$32, $C$9, 100%, $E$9)</f>
        <v>12.9932</v>
      </c>
      <c r="F796" s="11">
        <f>12.9932 * CHOOSE(CONTROL!$C$32, $C$9, 100%, $E$9)</f>
        <v>12.9932</v>
      </c>
      <c r="G796" s="11">
        <f>12.9968 * CHOOSE(CONTROL!$C$32, $C$9, 100%, $E$9)</f>
        <v>12.9968</v>
      </c>
      <c r="H796" s="11">
        <f>26.2052 * CHOOSE(CONTROL!$C$32, $C$9, 100%, $E$9)</f>
        <v>26.205200000000001</v>
      </c>
      <c r="I796" s="11">
        <f>26.2088 * CHOOSE(CONTROL!$C$32, $C$9, 100%, $E$9)</f>
        <v>26.2088</v>
      </c>
      <c r="J796" s="11">
        <f>26.2052 * CHOOSE(CONTROL!$C$32, $C$9, 100%, $E$9)</f>
        <v>26.205200000000001</v>
      </c>
      <c r="K796" s="11">
        <f>26.2088 * CHOOSE(CONTROL!$C$32, $C$9, 100%, $E$9)</f>
        <v>26.2088</v>
      </c>
      <c r="L796" s="11">
        <f>12.9932 * CHOOSE(CONTROL!$C$32, $C$9, 100%, $E$9)</f>
        <v>12.9932</v>
      </c>
      <c r="M796" s="11">
        <f>12.9968 * CHOOSE(CONTROL!$C$32, $C$9, 100%, $E$9)</f>
        <v>12.9968</v>
      </c>
      <c r="N796" s="11">
        <f>12.9932 * CHOOSE(CONTROL!$C$32, $C$9, 100%, $E$9)</f>
        <v>12.9932</v>
      </c>
      <c r="O796" s="11">
        <f>12.9968 * CHOOSE(CONTROL!$C$32, $C$9, 100%, $E$9)</f>
        <v>12.9968</v>
      </c>
    </row>
    <row r="797" spans="1:15" ht="15" x14ac:dyDescent="0.2">
      <c r="A797" s="13">
        <v>65106</v>
      </c>
      <c r="B797" s="9">
        <f>11.6289 * CHOOSE(CONTROL!$C$32, $C$9, 100%, $E$9)</f>
        <v>11.6289</v>
      </c>
      <c r="C797" s="9">
        <f>11.6289 * CHOOSE(CONTROL!$C$32, $C$9, 100%, $E$9)</f>
        <v>11.6289</v>
      </c>
      <c r="D797" s="9">
        <f>11.63 * CHOOSE(CONTROL!$C$32, $C$9, 100%, $E$9)</f>
        <v>11.63</v>
      </c>
      <c r="E797" s="11">
        <f>13.2815 * CHOOSE(CONTROL!$C$32, $C$9, 100%, $E$9)</f>
        <v>13.281499999999999</v>
      </c>
      <c r="F797" s="11">
        <f>13.2815 * CHOOSE(CONTROL!$C$32, $C$9, 100%, $E$9)</f>
        <v>13.281499999999999</v>
      </c>
      <c r="G797" s="11">
        <f>13.2851 * CHOOSE(CONTROL!$C$32, $C$9, 100%, $E$9)</f>
        <v>13.2851</v>
      </c>
      <c r="H797" s="11">
        <f>26.2598 * CHOOSE(CONTROL!$C$32, $C$9, 100%, $E$9)</f>
        <v>26.259799999999998</v>
      </c>
      <c r="I797" s="11">
        <f>26.2634 * CHOOSE(CONTROL!$C$32, $C$9, 100%, $E$9)</f>
        <v>26.263400000000001</v>
      </c>
      <c r="J797" s="11">
        <f>26.2598 * CHOOSE(CONTROL!$C$32, $C$9, 100%, $E$9)</f>
        <v>26.259799999999998</v>
      </c>
      <c r="K797" s="11">
        <f>26.2634 * CHOOSE(CONTROL!$C$32, $C$9, 100%, $E$9)</f>
        <v>26.263400000000001</v>
      </c>
      <c r="L797" s="11">
        <f>13.2815 * CHOOSE(CONTROL!$C$32, $C$9, 100%, $E$9)</f>
        <v>13.281499999999999</v>
      </c>
      <c r="M797" s="11">
        <f>13.2851 * CHOOSE(CONTROL!$C$32, $C$9, 100%, $E$9)</f>
        <v>13.2851</v>
      </c>
      <c r="N797" s="11">
        <f>13.2815 * CHOOSE(CONTROL!$C$32, $C$9, 100%, $E$9)</f>
        <v>13.281499999999999</v>
      </c>
      <c r="O797" s="11">
        <f>13.2851 * CHOOSE(CONTROL!$C$32, $C$9, 100%, $E$9)</f>
        <v>13.2851</v>
      </c>
    </row>
    <row r="798" spans="1:15" ht="15" x14ac:dyDescent="0.2">
      <c r="A798" s="13">
        <v>65136</v>
      </c>
      <c r="B798" s="9">
        <f>11.6289 * CHOOSE(CONTROL!$C$32, $C$9, 100%, $E$9)</f>
        <v>11.6289</v>
      </c>
      <c r="C798" s="9">
        <f>11.6289 * CHOOSE(CONTROL!$C$32, $C$9, 100%, $E$9)</f>
        <v>11.6289</v>
      </c>
      <c r="D798" s="9">
        <f>11.6305 * CHOOSE(CONTROL!$C$32, $C$9, 100%, $E$9)</f>
        <v>11.6305</v>
      </c>
      <c r="E798" s="11">
        <f>13.3912 * CHOOSE(CONTROL!$C$32, $C$9, 100%, $E$9)</f>
        <v>13.3912</v>
      </c>
      <c r="F798" s="11">
        <f>13.3912 * CHOOSE(CONTROL!$C$32, $C$9, 100%, $E$9)</f>
        <v>13.3912</v>
      </c>
      <c r="G798" s="11">
        <f>13.3965 * CHOOSE(CONTROL!$C$32, $C$9, 100%, $E$9)</f>
        <v>13.3965</v>
      </c>
      <c r="H798" s="11">
        <f>26.3145 * CHOOSE(CONTROL!$C$32, $C$9, 100%, $E$9)</f>
        <v>26.314499999999999</v>
      </c>
      <c r="I798" s="11">
        <f>26.3198 * CHOOSE(CONTROL!$C$32, $C$9, 100%, $E$9)</f>
        <v>26.319800000000001</v>
      </c>
      <c r="J798" s="11">
        <f>26.3145 * CHOOSE(CONTROL!$C$32, $C$9, 100%, $E$9)</f>
        <v>26.314499999999999</v>
      </c>
      <c r="K798" s="11">
        <f>26.3198 * CHOOSE(CONTROL!$C$32, $C$9, 100%, $E$9)</f>
        <v>26.319800000000001</v>
      </c>
      <c r="L798" s="11">
        <f>13.3912 * CHOOSE(CONTROL!$C$32, $C$9, 100%, $E$9)</f>
        <v>13.3912</v>
      </c>
      <c r="M798" s="11">
        <f>13.3965 * CHOOSE(CONTROL!$C$32, $C$9, 100%, $E$9)</f>
        <v>13.3965</v>
      </c>
      <c r="N798" s="11">
        <f>13.3912 * CHOOSE(CONTROL!$C$32, $C$9, 100%, $E$9)</f>
        <v>13.3912</v>
      </c>
      <c r="O798" s="11">
        <f>13.3965 * CHOOSE(CONTROL!$C$32, $C$9, 100%, $E$9)</f>
        <v>13.3965</v>
      </c>
    </row>
    <row r="799" spans="1:15" ht="15" x14ac:dyDescent="0.2">
      <c r="A799" s="13">
        <v>65167</v>
      </c>
      <c r="B799" s="9">
        <f>11.635 * CHOOSE(CONTROL!$C$32, $C$9, 100%, $E$9)</f>
        <v>11.635</v>
      </c>
      <c r="C799" s="9">
        <f>11.635 * CHOOSE(CONTROL!$C$32, $C$9, 100%, $E$9)</f>
        <v>11.635</v>
      </c>
      <c r="D799" s="9">
        <f>11.6366 * CHOOSE(CONTROL!$C$32, $C$9, 100%, $E$9)</f>
        <v>11.6366</v>
      </c>
      <c r="E799" s="11">
        <f>13.2858 * CHOOSE(CONTROL!$C$32, $C$9, 100%, $E$9)</f>
        <v>13.2858</v>
      </c>
      <c r="F799" s="11">
        <f>13.2858 * CHOOSE(CONTROL!$C$32, $C$9, 100%, $E$9)</f>
        <v>13.2858</v>
      </c>
      <c r="G799" s="11">
        <f>13.2911 * CHOOSE(CONTROL!$C$32, $C$9, 100%, $E$9)</f>
        <v>13.2911</v>
      </c>
      <c r="H799" s="11">
        <f>26.3693 * CHOOSE(CONTROL!$C$32, $C$9, 100%, $E$9)</f>
        <v>26.369299999999999</v>
      </c>
      <c r="I799" s="11">
        <f>26.3746 * CHOOSE(CONTROL!$C$32, $C$9, 100%, $E$9)</f>
        <v>26.374600000000001</v>
      </c>
      <c r="J799" s="11">
        <f>26.3693 * CHOOSE(CONTROL!$C$32, $C$9, 100%, $E$9)</f>
        <v>26.369299999999999</v>
      </c>
      <c r="K799" s="11">
        <f>26.3746 * CHOOSE(CONTROL!$C$32, $C$9, 100%, $E$9)</f>
        <v>26.374600000000001</v>
      </c>
      <c r="L799" s="11">
        <f>13.2858 * CHOOSE(CONTROL!$C$32, $C$9, 100%, $E$9)</f>
        <v>13.2858</v>
      </c>
      <c r="M799" s="11">
        <f>13.2911 * CHOOSE(CONTROL!$C$32, $C$9, 100%, $E$9)</f>
        <v>13.2911</v>
      </c>
      <c r="N799" s="11">
        <f>13.2858 * CHOOSE(CONTROL!$C$32, $C$9, 100%, $E$9)</f>
        <v>13.2858</v>
      </c>
      <c r="O799" s="11">
        <f>13.2911 * CHOOSE(CONTROL!$C$32, $C$9, 100%, $E$9)</f>
        <v>13.2911</v>
      </c>
    </row>
    <row r="800" spans="1:15" ht="15" x14ac:dyDescent="0.2">
      <c r="A800" s="13">
        <v>65197</v>
      </c>
      <c r="B800" s="9">
        <f>11.7773 * CHOOSE(CONTROL!$C$32, $C$9, 100%, $E$9)</f>
        <v>11.7773</v>
      </c>
      <c r="C800" s="9">
        <f>11.7773 * CHOOSE(CONTROL!$C$32, $C$9, 100%, $E$9)</f>
        <v>11.7773</v>
      </c>
      <c r="D800" s="9">
        <f>11.7789 * CHOOSE(CONTROL!$C$32, $C$9, 100%, $E$9)</f>
        <v>11.7789</v>
      </c>
      <c r="E800" s="11">
        <f>13.4731 * CHOOSE(CONTROL!$C$32, $C$9, 100%, $E$9)</f>
        <v>13.473100000000001</v>
      </c>
      <c r="F800" s="11">
        <f>13.4731 * CHOOSE(CONTROL!$C$32, $C$9, 100%, $E$9)</f>
        <v>13.473100000000001</v>
      </c>
      <c r="G800" s="11">
        <f>13.4784 * CHOOSE(CONTROL!$C$32, $C$9, 100%, $E$9)</f>
        <v>13.478400000000001</v>
      </c>
      <c r="H800" s="11">
        <f>26.4243 * CHOOSE(CONTROL!$C$32, $C$9, 100%, $E$9)</f>
        <v>26.424299999999999</v>
      </c>
      <c r="I800" s="11">
        <f>26.4296 * CHOOSE(CONTROL!$C$32, $C$9, 100%, $E$9)</f>
        <v>26.429600000000001</v>
      </c>
      <c r="J800" s="11">
        <f>26.4243 * CHOOSE(CONTROL!$C$32, $C$9, 100%, $E$9)</f>
        <v>26.424299999999999</v>
      </c>
      <c r="K800" s="11">
        <f>26.4296 * CHOOSE(CONTROL!$C$32, $C$9, 100%, $E$9)</f>
        <v>26.429600000000001</v>
      </c>
      <c r="L800" s="11">
        <f>13.4731 * CHOOSE(CONTROL!$C$32, $C$9, 100%, $E$9)</f>
        <v>13.473100000000001</v>
      </c>
      <c r="M800" s="11">
        <f>13.4784 * CHOOSE(CONTROL!$C$32, $C$9, 100%, $E$9)</f>
        <v>13.478400000000001</v>
      </c>
      <c r="N800" s="11">
        <f>13.4731 * CHOOSE(CONTROL!$C$32, $C$9, 100%, $E$9)</f>
        <v>13.473100000000001</v>
      </c>
      <c r="O800" s="11">
        <f>13.4784 * CHOOSE(CONTROL!$C$32, $C$9, 100%, $E$9)</f>
        <v>13.478400000000001</v>
      </c>
    </row>
    <row r="801" spans="1:15" ht="15" x14ac:dyDescent="0.2">
      <c r="A801" s="13">
        <v>65228</v>
      </c>
      <c r="B801" s="9">
        <f>11.784 * CHOOSE(CONTROL!$C$32, $C$9, 100%, $E$9)</f>
        <v>11.784000000000001</v>
      </c>
      <c r="C801" s="9">
        <f>11.784 * CHOOSE(CONTROL!$C$32, $C$9, 100%, $E$9)</f>
        <v>11.784000000000001</v>
      </c>
      <c r="D801" s="9">
        <f>11.7856 * CHOOSE(CONTROL!$C$32, $C$9, 100%, $E$9)</f>
        <v>11.785600000000001</v>
      </c>
      <c r="E801" s="11">
        <f>13.1486 * CHOOSE(CONTROL!$C$32, $C$9, 100%, $E$9)</f>
        <v>13.1486</v>
      </c>
      <c r="F801" s="11">
        <f>13.1486 * CHOOSE(CONTROL!$C$32, $C$9, 100%, $E$9)</f>
        <v>13.1486</v>
      </c>
      <c r="G801" s="11">
        <f>13.1539 * CHOOSE(CONTROL!$C$32, $C$9, 100%, $E$9)</f>
        <v>13.1539</v>
      </c>
      <c r="H801" s="11">
        <f>26.4793 * CHOOSE(CONTROL!$C$32, $C$9, 100%, $E$9)</f>
        <v>26.479299999999999</v>
      </c>
      <c r="I801" s="11">
        <f>26.4846 * CHOOSE(CONTROL!$C$32, $C$9, 100%, $E$9)</f>
        <v>26.4846</v>
      </c>
      <c r="J801" s="11">
        <f>26.4793 * CHOOSE(CONTROL!$C$32, $C$9, 100%, $E$9)</f>
        <v>26.479299999999999</v>
      </c>
      <c r="K801" s="11">
        <f>26.4846 * CHOOSE(CONTROL!$C$32, $C$9, 100%, $E$9)</f>
        <v>26.4846</v>
      </c>
      <c r="L801" s="11">
        <f>13.1486 * CHOOSE(CONTROL!$C$32, $C$9, 100%, $E$9)</f>
        <v>13.1486</v>
      </c>
      <c r="M801" s="11">
        <f>13.1539 * CHOOSE(CONTROL!$C$32, $C$9, 100%, $E$9)</f>
        <v>13.1539</v>
      </c>
      <c r="N801" s="11">
        <f>13.1486 * CHOOSE(CONTROL!$C$32, $C$9, 100%, $E$9)</f>
        <v>13.1486</v>
      </c>
      <c r="O801" s="11">
        <f>13.1539 * CHOOSE(CONTROL!$C$32, $C$9, 100%, $E$9)</f>
        <v>13.1539</v>
      </c>
    </row>
    <row r="802" spans="1:15" ht="15" x14ac:dyDescent="0.2">
      <c r="A802" s="13">
        <v>65259</v>
      </c>
      <c r="B802" s="9">
        <f>11.7809 * CHOOSE(CONTROL!$C$32, $C$9, 100%, $E$9)</f>
        <v>11.780900000000001</v>
      </c>
      <c r="C802" s="9">
        <f>11.7809 * CHOOSE(CONTROL!$C$32, $C$9, 100%, $E$9)</f>
        <v>11.780900000000001</v>
      </c>
      <c r="D802" s="9">
        <f>11.7825 * CHOOSE(CONTROL!$C$32, $C$9, 100%, $E$9)</f>
        <v>11.782500000000001</v>
      </c>
      <c r="E802" s="11">
        <f>13.1099 * CHOOSE(CONTROL!$C$32, $C$9, 100%, $E$9)</f>
        <v>13.1099</v>
      </c>
      <c r="F802" s="11">
        <f>13.1099 * CHOOSE(CONTROL!$C$32, $C$9, 100%, $E$9)</f>
        <v>13.1099</v>
      </c>
      <c r="G802" s="11">
        <f>13.1152 * CHOOSE(CONTROL!$C$32, $C$9, 100%, $E$9)</f>
        <v>13.1152</v>
      </c>
      <c r="H802" s="11">
        <f>26.5345 * CHOOSE(CONTROL!$C$32, $C$9, 100%, $E$9)</f>
        <v>26.534500000000001</v>
      </c>
      <c r="I802" s="11">
        <f>26.5398 * CHOOSE(CONTROL!$C$32, $C$9, 100%, $E$9)</f>
        <v>26.5398</v>
      </c>
      <c r="J802" s="11">
        <f>26.5345 * CHOOSE(CONTROL!$C$32, $C$9, 100%, $E$9)</f>
        <v>26.534500000000001</v>
      </c>
      <c r="K802" s="11">
        <f>26.5398 * CHOOSE(CONTROL!$C$32, $C$9, 100%, $E$9)</f>
        <v>26.5398</v>
      </c>
      <c r="L802" s="11">
        <f>13.1099 * CHOOSE(CONTROL!$C$32, $C$9, 100%, $E$9)</f>
        <v>13.1099</v>
      </c>
      <c r="M802" s="11">
        <f>13.1152 * CHOOSE(CONTROL!$C$32, $C$9, 100%, $E$9)</f>
        <v>13.1152</v>
      </c>
      <c r="N802" s="11">
        <f>13.1099 * CHOOSE(CONTROL!$C$32, $C$9, 100%, $E$9)</f>
        <v>13.1099</v>
      </c>
      <c r="O802" s="11">
        <f>13.1152 * CHOOSE(CONTROL!$C$32, $C$9, 100%, $E$9)</f>
        <v>13.1152</v>
      </c>
    </row>
    <row r="803" spans="1:15" ht="15" x14ac:dyDescent="0.2">
      <c r="A803" s="13">
        <v>65289</v>
      </c>
      <c r="B803" s="9">
        <f>11.8051 * CHOOSE(CONTROL!$C$32, $C$9, 100%, $E$9)</f>
        <v>11.805099999999999</v>
      </c>
      <c r="C803" s="9">
        <f>11.8051 * CHOOSE(CONTROL!$C$32, $C$9, 100%, $E$9)</f>
        <v>11.805099999999999</v>
      </c>
      <c r="D803" s="9">
        <f>11.8062 * CHOOSE(CONTROL!$C$32, $C$9, 100%, $E$9)</f>
        <v>11.8062</v>
      </c>
      <c r="E803" s="11">
        <f>13.2428 * CHOOSE(CONTROL!$C$32, $C$9, 100%, $E$9)</f>
        <v>13.242800000000001</v>
      </c>
      <c r="F803" s="11">
        <f>13.2428 * CHOOSE(CONTROL!$C$32, $C$9, 100%, $E$9)</f>
        <v>13.242800000000001</v>
      </c>
      <c r="G803" s="11">
        <f>13.2464 * CHOOSE(CONTROL!$C$32, $C$9, 100%, $E$9)</f>
        <v>13.2464</v>
      </c>
      <c r="H803" s="11">
        <f>26.5898 * CHOOSE(CONTROL!$C$32, $C$9, 100%, $E$9)</f>
        <v>26.5898</v>
      </c>
      <c r="I803" s="11">
        <f>26.5934 * CHOOSE(CONTROL!$C$32, $C$9, 100%, $E$9)</f>
        <v>26.593399999999999</v>
      </c>
      <c r="J803" s="11">
        <f>26.5898 * CHOOSE(CONTROL!$C$32, $C$9, 100%, $E$9)</f>
        <v>26.5898</v>
      </c>
      <c r="K803" s="11">
        <f>26.5934 * CHOOSE(CONTROL!$C$32, $C$9, 100%, $E$9)</f>
        <v>26.593399999999999</v>
      </c>
      <c r="L803" s="11">
        <f>13.2428 * CHOOSE(CONTROL!$C$32, $C$9, 100%, $E$9)</f>
        <v>13.242800000000001</v>
      </c>
      <c r="M803" s="11">
        <f>13.2464 * CHOOSE(CONTROL!$C$32, $C$9, 100%, $E$9)</f>
        <v>13.2464</v>
      </c>
      <c r="N803" s="11">
        <f>13.2428 * CHOOSE(CONTROL!$C$32, $C$9, 100%, $E$9)</f>
        <v>13.242800000000001</v>
      </c>
      <c r="O803" s="11">
        <f>13.2464 * CHOOSE(CONTROL!$C$32, $C$9, 100%, $E$9)</f>
        <v>13.2464</v>
      </c>
    </row>
    <row r="804" spans="1:15" ht="15" x14ac:dyDescent="0.2">
      <c r="A804" s="13">
        <v>65320</v>
      </c>
      <c r="B804" s="9">
        <f>11.8081 * CHOOSE(CONTROL!$C$32, $C$9, 100%, $E$9)</f>
        <v>11.8081</v>
      </c>
      <c r="C804" s="9">
        <f>11.8081 * CHOOSE(CONTROL!$C$32, $C$9, 100%, $E$9)</f>
        <v>11.8081</v>
      </c>
      <c r="D804" s="9">
        <f>11.8092 * CHOOSE(CONTROL!$C$32, $C$9, 100%, $E$9)</f>
        <v>11.809200000000001</v>
      </c>
      <c r="E804" s="11">
        <f>13.3181 * CHOOSE(CONTROL!$C$32, $C$9, 100%, $E$9)</f>
        <v>13.318099999999999</v>
      </c>
      <c r="F804" s="11">
        <f>13.3181 * CHOOSE(CONTROL!$C$32, $C$9, 100%, $E$9)</f>
        <v>13.318099999999999</v>
      </c>
      <c r="G804" s="11">
        <f>13.3217 * CHOOSE(CONTROL!$C$32, $C$9, 100%, $E$9)</f>
        <v>13.3217</v>
      </c>
      <c r="H804" s="11">
        <f>26.6452 * CHOOSE(CONTROL!$C$32, $C$9, 100%, $E$9)</f>
        <v>26.645199999999999</v>
      </c>
      <c r="I804" s="11">
        <f>26.6488 * CHOOSE(CONTROL!$C$32, $C$9, 100%, $E$9)</f>
        <v>26.648800000000001</v>
      </c>
      <c r="J804" s="11">
        <f>26.6452 * CHOOSE(CONTROL!$C$32, $C$9, 100%, $E$9)</f>
        <v>26.645199999999999</v>
      </c>
      <c r="K804" s="11">
        <f>26.6488 * CHOOSE(CONTROL!$C$32, $C$9, 100%, $E$9)</f>
        <v>26.648800000000001</v>
      </c>
      <c r="L804" s="11">
        <f>13.3181 * CHOOSE(CONTROL!$C$32, $C$9, 100%, $E$9)</f>
        <v>13.318099999999999</v>
      </c>
      <c r="M804" s="11">
        <f>13.3217 * CHOOSE(CONTROL!$C$32, $C$9, 100%, $E$9)</f>
        <v>13.3217</v>
      </c>
      <c r="N804" s="11">
        <f>13.3181 * CHOOSE(CONTROL!$C$32, $C$9, 100%, $E$9)</f>
        <v>13.318099999999999</v>
      </c>
      <c r="O804" s="11">
        <f>13.3217 * CHOOSE(CONTROL!$C$32, $C$9, 100%, $E$9)</f>
        <v>13.3217</v>
      </c>
    </row>
    <row r="805" spans="1:15" ht="15" x14ac:dyDescent="0.2">
      <c r="A805" s="13">
        <v>65350</v>
      </c>
      <c r="B805" s="9">
        <f>11.8081 * CHOOSE(CONTROL!$C$32, $C$9, 100%, $E$9)</f>
        <v>11.8081</v>
      </c>
      <c r="C805" s="9">
        <f>11.8081 * CHOOSE(CONTROL!$C$32, $C$9, 100%, $E$9)</f>
        <v>11.8081</v>
      </c>
      <c r="D805" s="9">
        <f>11.8092 * CHOOSE(CONTROL!$C$32, $C$9, 100%, $E$9)</f>
        <v>11.809200000000001</v>
      </c>
      <c r="E805" s="11">
        <f>13.1352 * CHOOSE(CONTROL!$C$32, $C$9, 100%, $E$9)</f>
        <v>13.135199999999999</v>
      </c>
      <c r="F805" s="11">
        <f>13.1352 * CHOOSE(CONTROL!$C$32, $C$9, 100%, $E$9)</f>
        <v>13.135199999999999</v>
      </c>
      <c r="G805" s="11">
        <f>13.1388 * CHOOSE(CONTROL!$C$32, $C$9, 100%, $E$9)</f>
        <v>13.1388</v>
      </c>
      <c r="H805" s="11">
        <f>26.7007 * CHOOSE(CONTROL!$C$32, $C$9, 100%, $E$9)</f>
        <v>26.700700000000001</v>
      </c>
      <c r="I805" s="11">
        <f>26.7043 * CHOOSE(CONTROL!$C$32, $C$9, 100%, $E$9)</f>
        <v>26.7043</v>
      </c>
      <c r="J805" s="11">
        <f>26.7007 * CHOOSE(CONTROL!$C$32, $C$9, 100%, $E$9)</f>
        <v>26.700700000000001</v>
      </c>
      <c r="K805" s="11">
        <f>26.7043 * CHOOSE(CONTROL!$C$32, $C$9, 100%, $E$9)</f>
        <v>26.7043</v>
      </c>
      <c r="L805" s="11">
        <f>13.1352 * CHOOSE(CONTROL!$C$32, $C$9, 100%, $E$9)</f>
        <v>13.135199999999999</v>
      </c>
      <c r="M805" s="11">
        <f>13.1388 * CHOOSE(CONTROL!$C$32, $C$9, 100%, $E$9)</f>
        <v>13.1388</v>
      </c>
      <c r="N805" s="11">
        <f>13.1352 * CHOOSE(CONTROL!$C$32, $C$9, 100%, $E$9)</f>
        <v>13.135199999999999</v>
      </c>
      <c r="O805" s="11">
        <f>13.1388 * CHOOSE(CONTROL!$C$32, $C$9, 100%, $E$9)</f>
        <v>13.1388</v>
      </c>
    </row>
    <row r="806" spans="1:15" ht="15" x14ac:dyDescent="0.2">
      <c r="A806" s="13">
        <v>65381</v>
      </c>
      <c r="B806" s="9">
        <f>11.8173 * CHOOSE(CONTROL!$C$32, $C$9, 100%, $E$9)</f>
        <v>11.817299999999999</v>
      </c>
      <c r="C806" s="9">
        <f>11.8173 * CHOOSE(CONTROL!$C$32, $C$9, 100%, $E$9)</f>
        <v>11.817299999999999</v>
      </c>
      <c r="D806" s="9">
        <f>11.8184 * CHOOSE(CONTROL!$C$32, $C$9, 100%, $E$9)</f>
        <v>11.8184</v>
      </c>
      <c r="E806" s="11">
        <f>13.2831 * CHOOSE(CONTROL!$C$32, $C$9, 100%, $E$9)</f>
        <v>13.283099999999999</v>
      </c>
      <c r="F806" s="11">
        <f>13.2831 * CHOOSE(CONTROL!$C$32, $C$9, 100%, $E$9)</f>
        <v>13.283099999999999</v>
      </c>
      <c r="G806" s="11">
        <f>13.2867 * CHOOSE(CONTROL!$C$32, $C$9, 100%, $E$9)</f>
        <v>13.2867</v>
      </c>
      <c r="H806" s="11">
        <f>26.5499 * CHOOSE(CONTROL!$C$32, $C$9, 100%, $E$9)</f>
        <v>26.549900000000001</v>
      </c>
      <c r="I806" s="11">
        <f>26.5535 * CHOOSE(CONTROL!$C$32, $C$9, 100%, $E$9)</f>
        <v>26.5535</v>
      </c>
      <c r="J806" s="11">
        <f>26.5499 * CHOOSE(CONTROL!$C$32, $C$9, 100%, $E$9)</f>
        <v>26.549900000000001</v>
      </c>
      <c r="K806" s="11">
        <f>26.5535 * CHOOSE(CONTROL!$C$32, $C$9, 100%, $E$9)</f>
        <v>26.5535</v>
      </c>
      <c r="L806" s="11">
        <f>13.2831 * CHOOSE(CONTROL!$C$32, $C$9, 100%, $E$9)</f>
        <v>13.283099999999999</v>
      </c>
      <c r="M806" s="11">
        <f>13.2867 * CHOOSE(CONTROL!$C$32, $C$9, 100%, $E$9)</f>
        <v>13.2867</v>
      </c>
      <c r="N806" s="11">
        <f>13.2831 * CHOOSE(CONTROL!$C$32, $C$9, 100%, $E$9)</f>
        <v>13.283099999999999</v>
      </c>
      <c r="O806" s="11">
        <f>13.2867 * CHOOSE(CONTROL!$C$32, $C$9, 100%, $E$9)</f>
        <v>13.2867</v>
      </c>
    </row>
    <row r="807" spans="1:15" ht="15" x14ac:dyDescent="0.2">
      <c r="A807" s="13">
        <v>65412</v>
      </c>
      <c r="B807" s="9">
        <f>11.8143 * CHOOSE(CONTROL!$C$32, $C$9, 100%, $E$9)</f>
        <v>11.814299999999999</v>
      </c>
      <c r="C807" s="9">
        <f>11.8143 * CHOOSE(CONTROL!$C$32, $C$9, 100%, $E$9)</f>
        <v>11.814299999999999</v>
      </c>
      <c r="D807" s="9">
        <f>11.8153 * CHOOSE(CONTROL!$C$32, $C$9, 100%, $E$9)</f>
        <v>11.815300000000001</v>
      </c>
      <c r="E807" s="11">
        <f>12.9283 * CHOOSE(CONTROL!$C$32, $C$9, 100%, $E$9)</f>
        <v>12.9283</v>
      </c>
      <c r="F807" s="11">
        <f>12.9283 * CHOOSE(CONTROL!$C$32, $C$9, 100%, $E$9)</f>
        <v>12.9283</v>
      </c>
      <c r="G807" s="11">
        <f>12.9319 * CHOOSE(CONTROL!$C$32, $C$9, 100%, $E$9)</f>
        <v>12.931900000000001</v>
      </c>
      <c r="H807" s="11">
        <f>26.6052 * CHOOSE(CONTROL!$C$32, $C$9, 100%, $E$9)</f>
        <v>26.6052</v>
      </c>
      <c r="I807" s="11">
        <f>26.6088 * CHOOSE(CONTROL!$C$32, $C$9, 100%, $E$9)</f>
        <v>26.608799999999999</v>
      </c>
      <c r="J807" s="11">
        <f>26.6052 * CHOOSE(CONTROL!$C$32, $C$9, 100%, $E$9)</f>
        <v>26.6052</v>
      </c>
      <c r="K807" s="11">
        <f>26.6088 * CHOOSE(CONTROL!$C$32, $C$9, 100%, $E$9)</f>
        <v>26.608799999999999</v>
      </c>
      <c r="L807" s="11">
        <f>12.9283 * CHOOSE(CONTROL!$C$32, $C$9, 100%, $E$9)</f>
        <v>12.9283</v>
      </c>
      <c r="M807" s="11">
        <f>12.9319 * CHOOSE(CONTROL!$C$32, $C$9, 100%, $E$9)</f>
        <v>12.931900000000001</v>
      </c>
      <c r="N807" s="11">
        <f>12.9283 * CHOOSE(CONTROL!$C$32, $C$9, 100%, $E$9)</f>
        <v>12.9283</v>
      </c>
      <c r="O807" s="11">
        <f>12.9319 * CHOOSE(CONTROL!$C$32, $C$9, 100%, $E$9)</f>
        <v>12.931900000000001</v>
      </c>
    </row>
    <row r="808" spans="1:15" ht="15" x14ac:dyDescent="0.2">
      <c r="A808" s="13">
        <v>65440</v>
      </c>
      <c r="B808" s="9">
        <f>11.8112 * CHOOSE(CONTROL!$C$32, $C$9, 100%, $E$9)</f>
        <v>11.811199999999999</v>
      </c>
      <c r="C808" s="9">
        <f>11.8112 * CHOOSE(CONTROL!$C$32, $C$9, 100%, $E$9)</f>
        <v>11.811199999999999</v>
      </c>
      <c r="D808" s="9">
        <f>11.8123 * CHOOSE(CONTROL!$C$32, $C$9, 100%, $E$9)</f>
        <v>11.8123</v>
      </c>
      <c r="E808" s="11">
        <f>13.2042 * CHOOSE(CONTROL!$C$32, $C$9, 100%, $E$9)</f>
        <v>13.2042</v>
      </c>
      <c r="F808" s="11">
        <f>13.2042 * CHOOSE(CONTROL!$C$32, $C$9, 100%, $E$9)</f>
        <v>13.2042</v>
      </c>
      <c r="G808" s="11">
        <f>13.2078 * CHOOSE(CONTROL!$C$32, $C$9, 100%, $E$9)</f>
        <v>13.207800000000001</v>
      </c>
      <c r="H808" s="11">
        <f>26.6606 * CHOOSE(CONTROL!$C$32, $C$9, 100%, $E$9)</f>
        <v>26.660599999999999</v>
      </c>
      <c r="I808" s="11">
        <f>26.6642 * CHOOSE(CONTROL!$C$32, $C$9, 100%, $E$9)</f>
        <v>26.664200000000001</v>
      </c>
      <c r="J808" s="11">
        <f>26.6606 * CHOOSE(CONTROL!$C$32, $C$9, 100%, $E$9)</f>
        <v>26.660599999999999</v>
      </c>
      <c r="K808" s="11">
        <f>26.6642 * CHOOSE(CONTROL!$C$32, $C$9, 100%, $E$9)</f>
        <v>26.664200000000001</v>
      </c>
      <c r="L808" s="11">
        <f>13.2042 * CHOOSE(CONTROL!$C$32, $C$9, 100%, $E$9)</f>
        <v>13.2042</v>
      </c>
      <c r="M808" s="11">
        <f>13.2078 * CHOOSE(CONTROL!$C$32, $C$9, 100%, $E$9)</f>
        <v>13.207800000000001</v>
      </c>
      <c r="N808" s="11">
        <f>13.2042 * CHOOSE(CONTROL!$C$32, $C$9, 100%, $E$9)</f>
        <v>13.2042</v>
      </c>
      <c r="O808" s="11">
        <f>13.2078 * CHOOSE(CONTROL!$C$32, $C$9, 100%, $E$9)</f>
        <v>13.207800000000001</v>
      </c>
    </row>
    <row r="809" spans="1:15" ht="15" x14ac:dyDescent="0.2">
      <c r="A809" s="13">
        <v>65471</v>
      </c>
      <c r="B809" s="9">
        <f>11.8164 * CHOOSE(CONTROL!$C$32, $C$9, 100%, $E$9)</f>
        <v>11.8164</v>
      </c>
      <c r="C809" s="9">
        <f>11.8164 * CHOOSE(CONTROL!$C$32, $C$9, 100%, $E$9)</f>
        <v>11.8164</v>
      </c>
      <c r="D809" s="9">
        <f>11.8175 * CHOOSE(CONTROL!$C$32, $C$9, 100%, $E$9)</f>
        <v>11.817500000000001</v>
      </c>
      <c r="E809" s="11">
        <f>13.4985 * CHOOSE(CONTROL!$C$32, $C$9, 100%, $E$9)</f>
        <v>13.4985</v>
      </c>
      <c r="F809" s="11">
        <f>13.4985 * CHOOSE(CONTROL!$C$32, $C$9, 100%, $E$9)</f>
        <v>13.4985</v>
      </c>
      <c r="G809" s="11">
        <f>13.5021 * CHOOSE(CONTROL!$C$32, $C$9, 100%, $E$9)</f>
        <v>13.5021</v>
      </c>
      <c r="H809" s="11">
        <f>26.7161 * CHOOSE(CONTROL!$C$32, $C$9, 100%, $E$9)</f>
        <v>26.716100000000001</v>
      </c>
      <c r="I809" s="11">
        <f>26.7198 * CHOOSE(CONTROL!$C$32, $C$9, 100%, $E$9)</f>
        <v>26.719799999999999</v>
      </c>
      <c r="J809" s="11">
        <f>26.7161 * CHOOSE(CONTROL!$C$32, $C$9, 100%, $E$9)</f>
        <v>26.716100000000001</v>
      </c>
      <c r="K809" s="11">
        <f>26.7198 * CHOOSE(CONTROL!$C$32, $C$9, 100%, $E$9)</f>
        <v>26.719799999999999</v>
      </c>
      <c r="L809" s="11">
        <f>13.4985 * CHOOSE(CONTROL!$C$32, $C$9, 100%, $E$9)</f>
        <v>13.4985</v>
      </c>
      <c r="M809" s="11">
        <f>13.5021 * CHOOSE(CONTROL!$C$32, $C$9, 100%, $E$9)</f>
        <v>13.5021</v>
      </c>
      <c r="N809" s="11">
        <f>13.4985 * CHOOSE(CONTROL!$C$32, $C$9, 100%, $E$9)</f>
        <v>13.4985</v>
      </c>
      <c r="O809" s="11">
        <f>13.5021 * CHOOSE(CONTROL!$C$32, $C$9, 100%, $E$9)</f>
        <v>13.5021</v>
      </c>
    </row>
    <row r="810" spans="1:15" ht="15" x14ac:dyDescent="0.2">
      <c r="A810" s="13">
        <v>65501</v>
      </c>
      <c r="B810" s="9">
        <f>11.8164 * CHOOSE(CONTROL!$C$32, $C$9, 100%, $E$9)</f>
        <v>11.8164</v>
      </c>
      <c r="C810" s="9">
        <f>11.8164 * CHOOSE(CONTROL!$C$32, $C$9, 100%, $E$9)</f>
        <v>11.8164</v>
      </c>
      <c r="D810" s="9">
        <f>11.818 * CHOOSE(CONTROL!$C$32, $C$9, 100%, $E$9)</f>
        <v>11.818</v>
      </c>
      <c r="E810" s="11">
        <f>13.6105 * CHOOSE(CONTROL!$C$32, $C$9, 100%, $E$9)</f>
        <v>13.6105</v>
      </c>
      <c r="F810" s="11">
        <f>13.6105 * CHOOSE(CONTROL!$C$32, $C$9, 100%, $E$9)</f>
        <v>13.6105</v>
      </c>
      <c r="G810" s="11">
        <f>13.6158 * CHOOSE(CONTROL!$C$32, $C$9, 100%, $E$9)</f>
        <v>13.6158</v>
      </c>
      <c r="H810" s="11">
        <f>26.7718 * CHOOSE(CONTROL!$C$32, $C$9, 100%, $E$9)</f>
        <v>26.771799999999999</v>
      </c>
      <c r="I810" s="11">
        <f>26.7771 * CHOOSE(CONTROL!$C$32, $C$9, 100%, $E$9)</f>
        <v>26.777100000000001</v>
      </c>
      <c r="J810" s="11">
        <f>26.7718 * CHOOSE(CONTROL!$C$32, $C$9, 100%, $E$9)</f>
        <v>26.771799999999999</v>
      </c>
      <c r="K810" s="11">
        <f>26.7771 * CHOOSE(CONTROL!$C$32, $C$9, 100%, $E$9)</f>
        <v>26.777100000000001</v>
      </c>
      <c r="L810" s="11">
        <f>13.6105 * CHOOSE(CONTROL!$C$32, $C$9, 100%, $E$9)</f>
        <v>13.6105</v>
      </c>
      <c r="M810" s="11">
        <f>13.6158 * CHOOSE(CONTROL!$C$32, $C$9, 100%, $E$9)</f>
        <v>13.6158</v>
      </c>
      <c r="N810" s="11">
        <f>13.6105 * CHOOSE(CONTROL!$C$32, $C$9, 100%, $E$9)</f>
        <v>13.6105</v>
      </c>
      <c r="O810" s="11">
        <f>13.6158 * CHOOSE(CONTROL!$C$32, $C$9, 100%, $E$9)</f>
        <v>13.6158</v>
      </c>
    </row>
    <row r="811" spans="1:15" ht="15" x14ac:dyDescent="0.2">
      <c r="A811" s="13">
        <v>65532</v>
      </c>
      <c r="B811" s="9">
        <f>11.8225 * CHOOSE(CONTROL!$C$32, $C$9, 100%, $E$9)</f>
        <v>11.8225</v>
      </c>
      <c r="C811" s="9">
        <f>11.8225 * CHOOSE(CONTROL!$C$32, $C$9, 100%, $E$9)</f>
        <v>11.8225</v>
      </c>
      <c r="D811" s="9">
        <f>11.8241 * CHOOSE(CONTROL!$C$32, $C$9, 100%, $E$9)</f>
        <v>11.8241</v>
      </c>
      <c r="E811" s="11">
        <f>13.5028 * CHOOSE(CONTROL!$C$32, $C$9, 100%, $E$9)</f>
        <v>13.502800000000001</v>
      </c>
      <c r="F811" s="11">
        <f>13.5028 * CHOOSE(CONTROL!$C$32, $C$9, 100%, $E$9)</f>
        <v>13.502800000000001</v>
      </c>
      <c r="G811" s="11">
        <f>13.5081 * CHOOSE(CONTROL!$C$32, $C$9, 100%, $E$9)</f>
        <v>13.508100000000001</v>
      </c>
      <c r="H811" s="11">
        <f>26.8276 * CHOOSE(CONTROL!$C$32, $C$9, 100%, $E$9)</f>
        <v>26.8276</v>
      </c>
      <c r="I811" s="11">
        <f>26.8329 * CHOOSE(CONTROL!$C$32, $C$9, 100%, $E$9)</f>
        <v>26.832899999999999</v>
      </c>
      <c r="J811" s="11">
        <f>26.8276 * CHOOSE(CONTROL!$C$32, $C$9, 100%, $E$9)</f>
        <v>26.8276</v>
      </c>
      <c r="K811" s="11">
        <f>26.8329 * CHOOSE(CONTROL!$C$32, $C$9, 100%, $E$9)</f>
        <v>26.832899999999999</v>
      </c>
      <c r="L811" s="11">
        <f>13.5028 * CHOOSE(CONTROL!$C$32, $C$9, 100%, $E$9)</f>
        <v>13.502800000000001</v>
      </c>
      <c r="M811" s="11">
        <f>13.5081 * CHOOSE(CONTROL!$C$32, $C$9, 100%, $E$9)</f>
        <v>13.508100000000001</v>
      </c>
      <c r="N811" s="11">
        <f>13.5028 * CHOOSE(CONTROL!$C$32, $C$9, 100%, $E$9)</f>
        <v>13.502800000000001</v>
      </c>
      <c r="O811" s="11">
        <f>13.5081 * CHOOSE(CONTROL!$C$32, $C$9, 100%, $E$9)</f>
        <v>13.508100000000001</v>
      </c>
    </row>
    <row r="812" spans="1:15" ht="15" x14ac:dyDescent="0.2">
      <c r="A812" s="13">
        <v>65562</v>
      </c>
      <c r="B812" s="9">
        <f>11.9669 * CHOOSE(CONTROL!$C$32, $C$9, 100%, $E$9)</f>
        <v>11.966900000000001</v>
      </c>
      <c r="C812" s="9">
        <f>11.9669 * CHOOSE(CONTROL!$C$32, $C$9, 100%, $E$9)</f>
        <v>11.966900000000001</v>
      </c>
      <c r="D812" s="9">
        <f>11.9685 * CHOOSE(CONTROL!$C$32, $C$9, 100%, $E$9)</f>
        <v>11.968500000000001</v>
      </c>
      <c r="E812" s="11">
        <f>13.6933 * CHOOSE(CONTROL!$C$32, $C$9, 100%, $E$9)</f>
        <v>13.693300000000001</v>
      </c>
      <c r="F812" s="11">
        <f>13.6933 * CHOOSE(CONTROL!$C$32, $C$9, 100%, $E$9)</f>
        <v>13.693300000000001</v>
      </c>
      <c r="G812" s="11">
        <f>13.6986 * CHOOSE(CONTROL!$C$32, $C$9, 100%, $E$9)</f>
        <v>13.698600000000001</v>
      </c>
      <c r="H812" s="11">
        <f>26.8835 * CHOOSE(CONTROL!$C$32, $C$9, 100%, $E$9)</f>
        <v>26.883500000000002</v>
      </c>
      <c r="I812" s="11">
        <f>26.8888 * CHOOSE(CONTROL!$C$32, $C$9, 100%, $E$9)</f>
        <v>26.8888</v>
      </c>
      <c r="J812" s="11">
        <f>26.8835 * CHOOSE(CONTROL!$C$32, $C$9, 100%, $E$9)</f>
        <v>26.883500000000002</v>
      </c>
      <c r="K812" s="11">
        <f>26.8888 * CHOOSE(CONTROL!$C$32, $C$9, 100%, $E$9)</f>
        <v>26.8888</v>
      </c>
      <c r="L812" s="11">
        <f>13.6933 * CHOOSE(CONTROL!$C$32, $C$9, 100%, $E$9)</f>
        <v>13.693300000000001</v>
      </c>
      <c r="M812" s="11">
        <f>13.6986 * CHOOSE(CONTROL!$C$32, $C$9, 100%, $E$9)</f>
        <v>13.698600000000001</v>
      </c>
      <c r="N812" s="11">
        <f>13.6933 * CHOOSE(CONTROL!$C$32, $C$9, 100%, $E$9)</f>
        <v>13.693300000000001</v>
      </c>
      <c r="O812" s="11">
        <f>13.6986 * CHOOSE(CONTROL!$C$32, $C$9, 100%, $E$9)</f>
        <v>13.698600000000001</v>
      </c>
    </row>
    <row r="813" spans="1:15" ht="15" x14ac:dyDescent="0.2">
      <c r="A813" s="13">
        <v>65593</v>
      </c>
      <c r="B813" s="9">
        <f>11.9736 * CHOOSE(CONTROL!$C$32, $C$9, 100%, $E$9)</f>
        <v>11.973599999999999</v>
      </c>
      <c r="C813" s="9">
        <f>11.9736 * CHOOSE(CONTROL!$C$32, $C$9, 100%, $E$9)</f>
        <v>11.973599999999999</v>
      </c>
      <c r="D813" s="9">
        <f>11.9752 * CHOOSE(CONTROL!$C$32, $C$9, 100%, $E$9)</f>
        <v>11.975199999999999</v>
      </c>
      <c r="E813" s="11">
        <f>13.3621 * CHOOSE(CONTROL!$C$32, $C$9, 100%, $E$9)</f>
        <v>13.3621</v>
      </c>
      <c r="F813" s="11">
        <f>13.3621 * CHOOSE(CONTROL!$C$32, $C$9, 100%, $E$9)</f>
        <v>13.3621</v>
      </c>
      <c r="G813" s="11">
        <f>13.3673 * CHOOSE(CONTROL!$C$32, $C$9, 100%, $E$9)</f>
        <v>13.3673</v>
      </c>
      <c r="H813" s="11">
        <f>26.9395 * CHOOSE(CONTROL!$C$32, $C$9, 100%, $E$9)</f>
        <v>26.939499999999999</v>
      </c>
      <c r="I813" s="11">
        <f>26.9448 * CHOOSE(CONTROL!$C$32, $C$9, 100%, $E$9)</f>
        <v>26.944800000000001</v>
      </c>
      <c r="J813" s="11">
        <f>26.9395 * CHOOSE(CONTROL!$C$32, $C$9, 100%, $E$9)</f>
        <v>26.939499999999999</v>
      </c>
      <c r="K813" s="11">
        <f>26.9448 * CHOOSE(CONTROL!$C$32, $C$9, 100%, $E$9)</f>
        <v>26.944800000000001</v>
      </c>
      <c r="L813" s="11">
        <f>13.3621 * CHOOSE(CONTROL!$C$32, $C$9, 100%, $E$9)</f>
        <v>13.3621</v>
      </c>
      <c r="M813" s="11">
        <f>13.3673 * CHOOSE(CONTROL!$C$32, $C$9, 100%, $E$9)</f>
        <v>13.3673</v>
      </c>
      <c r="N813" s="11">
        <f>13.3621 * CHOOSE(CONTROL!$C$32, $C$9, 100%, $E$9)</f>
        <v>13.3621</v>
      </c>
      <c r="O813" s="11">
        <f>13.3673 * CHOOSE(CONTROL!$C$32, $C$9, 100%, $E$9)</f>
        <v>13.3673</v>
      </c>
    </row>
    <row r="814" spans="1:15" ht="15" x14ac:dyDescent="0.2">
      <c r="A814" s="13">
        <v>65624</v>
      </c>
      <c r="B814" s="9">
        <f>11.9705 * CHOOSE(CONTROL!$C$32, $C$9, 100%, $E$9)</f>
        <v>11.970499999999999</v>
      </c>
      <c r="C814" s="9">
        <f>11.9705 * CHOOSE(CONTROL!$C$32, $C$9, 100%, $E$9)</f>
        <v>11.970499999999999</v>
      </c>
      <c r="D814" s="9">
        <f>11.9721 * CHOOSE(CONTROL!$C$32, $C$9, 100%, $E$9)</f>
        <v>11.972099999999999</v>
      </c>
      <c r="E814" s="11">
        <f>13.3226 * CHOOSE(CONTROL!$C$32, $C$9, 100%, $E$9)</f>
        <v>13.3226</v>
      </c>
      <c r="F814" s="11">
        <f>13.3226 * CHOOSE(CONTROL!$C$32, $C$9, 100%, $E$9)</f>
        <v>13.3226</v>
      </c>
      <c r="G814" s="11">
        <f>13.3279 * CHOOSE(CONTROL!$C$32, $C$9, 100%, $E$9)</f>
        <v>13.3279</v>
      </c>
      <c r="H814" s="11">
        <f>26.9956 * CHOOSE(CONTROL!$C$32, $C$9, 100%, $E$9)</f>
        <v>26.9956</v>
      </c>
      <c r="I814" s="11">
        <f>27.0009 * CHOOSE(CONTROL!$C$32, $C$9, 100%, $E$9)</f>
        <v>27.000900000000001</v>
      </c>
      <c r="J814" s="11">
        <f>26.9956 * CHOOSE(CONTROL!$C$32, $C$9, 100%, $E$9)</f>
        <v>26.9956</v>
      </c>
      <c r="K814" s="11">
        <f>27.0009 * CHOOSE(CONTROL!$C$32, $C$9, 100%, $E$9)</f>
        <v>27.000900000000001</v>
      </c>
      <c r="L814" s="11">
        <f>13.3226 * CHOOSE(CONTROL!$C$32, $C$9, 100%, $E$9)</f>
        <v>13.3226</v>
      </c>
      <c r="M814" s="11">
        <f>13.3279 * CHOOSE(CONTROL!$C$32, $C$9, 100%, $E$9)</f>
        <v>13.3279</v>
      </c>
      <c r="N814" s="11">
        <f>13.3226 * CHOOSE(CONTROL!$C$32, $C$9, 100%, $E$9)</f>
        <v>13.3226</v>
      </c>
      <c r="O814" s="11">
        <f>13.3279 * CHOOSE(CONTROL!$C$32, $C$9, 100%, $E$9)</f>
        <v>13.3279</v>
      </c>
    </row>
    <row r="815" spans="1:15" ht="15" x14ac:dyDescent="0.2">
      <c r="A815" s="13">
        <v>65654</v>
      </c>
      <c r="B815" s="9">
        <f>11.9954 * CHOOSE(CONTROL!$C$32, $C$9, 100%, $E$9)</f>
        <v>11.9954</v>
      </c>
      <c r="C815" s="9">
        <f>11.9954 * CHOOSE(CONTROL!$C$32, $C$9, 100%, $E$9)</f>
        <v>11.9954</v>
      </c>
      <c r="D815" s="9">
        <f>11.9965 * CHOOSE(CONTROL!$C$32, $C$9, 100%, $E$9)</f>
        <v>11.996499999999999</v>
      </c>
      <c r="E815" s="11">
        <f>13.4585 * CHOOSE(CONTROL!$C$32, $C$9, 100%, $E$9)</f>
        <v>13.458500000000001</v>
      </c>
      <c r="F815" s="11">
        <f>13.4585 * CHOOSE(CONTROL!$C$32, $C$9, 100%, $E$9)</f>
        <v>13.458500000000001</v>
      </c>
      <c r="G815" s="11">
        <f>13.4621 * CHOOSE(CONTROL!$C$32, $C$9, 100%, $E$9)</f>
        <v>13.4621</v>
      </c>
      <c r="H815" s="11">
        <f>27.0518 * CHOOSE(CONTROL!$C$32, $C$9, 100%, $E$9)</f>
        <v>27.0518</v>
      </c>
      <c r="I815" s="11">
        <f>27.0555 * CHOOSE(CONTROL!$C$32, $C$9, 100%, $E$9)</f>
        <v>27.055499999999999</v>
      </c>
      <c r="J815" s="11">
        <f>27.0518 * CHOOSE(CONTROL!$C$32, $C$9, 100%, $E$9)</f>
        <v>27.0518</v>
      </c>
      <c r="K815" s="11">
        <f>27.0555 * CHOOSE(CONTROL!$C$32, $C$9, 100%, $E$9)</f>
        <v>27.055499999999999</v>
      </c>
      <c r="L815" s="11">
        <f>13.4585 * CHOOSE(CONTROL!$C$32, $C$9, 100%, $E$9)</f>
        <v>13.458500000000001</v>
      </c>
      <c r="M815" s="11">
        <f>13.4621 * CHOOSE(CONTROL!$C$32, $C$9, 100%, $E$9)</f>
        <v>13.4621</v>
      </c>
      <c r="N815" s="11">
        <f>13.4585 * CHOOSE(CONTROL!$C$32, $C$9, 100%, $E$9)</f>
        <v>13.458500000000001</v>
      </c>
      <c r="O815" s="11">
        <f>13.4621 * CHOOSE(CONTROL!$C$32, $C$9, 100%, $E$9)</f>
        <v>13.4621</v>
      </c>
    </row>
    <row r="816" spans="1:15" ht="15" x14ac:dyDescent="0.2">
      <c r="A816" s="13">
        <v>65685</v>
      </c>
      <c r="B816" s="9">
        <f>11.9984 * CHOOSE(CONTROL!$C$32, $C$9, 100%, $E$9)</f>
        <v>11.9984</v>
      </c>
      <c r="C816" s="9">
        <f>11.9984 * CHOOSE(CONTROL!$C$32, $C$9, 100%, $E$9)</f>
        <v>11.9984</v>
      </c>
      <c r="D816" s="9">
        <f>11.9995 * CHOOSE(CONTROL!$C$32, $C$9, 100%, $E$9)</f>
        <v>11.999499999999999</v>
      </c>
      <c r="E816" s="11">
        <f>13.5353 * CHOOSE(CONTROL!$C$32, $C$9, 100%, $E$9)</f>
        <v>13.535299999999999</v>
      </c>
      <c r="F816" s="11">
        <f>13.5353 * CHOOSE(CONTROL!$C$32, $C$9, 100%, $E$9)</f>
        <v>13.535299999999999</v>
      </c>
      <c r="G816" s="11">
        <f>13.5389 * CHOOSE(CONTROL!$C$32, $C$9, 100%, $E$9)</f>
        <v>13.5389</v>
      </c>
      <c r="H816" s="11">
        <f>27.1082 * CHOOSE(CONTROL!$C$32, $C$9, 100%, $E$9)</f>
        <v>27.1082</v>
      </c>
      <c r="I816" s="11">
        <f>27.1118 * CHOOSE(CONTROL!$C$32, $C$9, 100%, $E$9)</f>
        <v>27.111799999999999</v>
      </c>
      <c r="J816" s="11">
        <f>27.1082 * CHOOSE(CONTROL!$C$32, $C$9, 100%, $E$9)</f>
        <v>27.1082</v>
      </c>
      <c r="K816" s="11">
        <f>27.1118 * CHOOSE(CONTROL!$C$32, $C$9, 100%, $E$9)</f>
        <v>27.111799999999999</v>
      </c>
      <c r="L816" s="11">
        <f>13.5353 * CHOOSE(CONTROL!$C$32, $C$9, 100%, $E$9)</f>
        <v>13.535299999999999</v>
      </c>
      <c r="M816" s="11">
        <f>13.5389 * CHOOSE(CONTROL!$C$32, $C$9, 100%, $E$9)</f>
        <v>13.5389</v>
      </c>
      <c r="N816" s="11">
        <f>13.5353 * CHOOSE(CONTROL!$C$32, $C$9, 100%, $E$9)</f>
        <v>13.535299999999999</v>
      </c>
      <c r="O816" s="11">
        <f>13.5389 * CHOOSE(CONTROL!$C$32, $C$9, 100%, $E$9)</f>
        <v>13.5389</v>
      </c>
    </row>
    <row r="817" spans="1:15" ht="15" x14ac:dyDescent="0.2">
      <c r="A817" s="13">
        <v>65715</v>
      </c>
      <c r="B817" s="9">
        <f>11.9984 * CHOOSE(CONTROL!$C$32, $C$9, 100%, $E$9)</f>
        <v>11.9984</v>
      </c>
      <c r="C817" s="9">
        <f>11.9984 * CHOOSE(CONTROL!$C$32, $C$9, 100%, $E$9)</f>
        <v>11.9984</v>
      </c>
      <c r="D817" s="9">
        <f>11.9995 * CHOOSE(CONTROL!$C$32, $C$9, 100%, $E$9)</f>
        <v>11.999499999999999</v>
      </c>
      <c r="E817" s="11">
        <f>13.3486 * CHOOSE(CONTROL!$C$32, $C$9, 100%, $E$9)</f>
        <v>13.348599999999999</v>
      </c>
      <c r="F817" s="11">
        <f>13.3486 * CHOOSE(CONTROL!$C$32, $C$9, 100%, $E$9)</f>
        <v>13.348599999999999</v>
      </c>
      <c r="G817" s="11">
        <f>13.3523 * CHOOSE(CONTROL!$C$32, $C$9, 100%, $E$9)</f>
        <v>13.3523</v>
      </c>
      <c r="H817" s="11">
        <f>27.1647 * CHOOSE(CONTROL!$C$32, $C$9, 100%, $E$9)</f>
        <v>27.1647</v>
      </c>
      <c r="I817" s="11">
        <f>27.1683 * CHOOSE(CONTROL!$C$32, $C$9, 100%, $E$9)</f>
        <v>27.168299999999999</v>
      </c>
      <c r="J817" s="11">
        <f>27.1647 * CHOOSE(CONTROL!$C$32, $C$9, 100%, $E$9)</f>
        <v>27.1647</v>
      </c>
      <c r="K817" s="11">
        <f>27.1683 * CHOOSE(CONTROL!$C$32, $C$9, 100%, $E$9)</f>
        <v>27.168299999999999</v>
      </c>
      <c r="L817" s="11">
        <f>13.3486 * CHOOSE(CONTROL!$C$32, $C$9, 100%, $E$9)</f>
        <v>13.348599999999999</v>
      </c>
      <c r="M817" s="11">
        <f>13.3523 * CHOOSE(CONTROL!$C$32, $C$9, 100%, $E$9)</f>
        <v>13.3523</v>
      </c>
      <c r="N817" s="11">
        <f>13.3486 * CHOOSE(CONTROL!$C$32, $C$9, 100%, $E$9)</f>
        <v>13.348599999999999</v>
      </c>
      <c r="O817" s="11">
        <f>13.3523 * CHOOSE(CONTROL!$C$32, $C$9, 100%, $E$9)</f>
        <v>13.3523</v>
      </c>
    </row>
    <row r="818" spans="1:15" ht="15" x14ac:dyDescent="0.2">
      <c r="A818" s="13">
        <v>65746</v>
      </c>
      <c r="B818" s="9">
        <f>12.0047 * CHOOSE(CONTROL!$C$32, $C$9, 100%, $E$9)</f>
        <v>12.0047</v>
      </c>
      <c r="C818" s="9">
        <f>12.0047 * CHOOSE(CONTROL!$C$32, $C$9, 100%, $E$9)</f>
        <v>12.0047</v>
      </c>
      <c r="D818" s="9">
        <f>12.0057 * CHOOSE(CONTROL!$C$32, $C$9, 100%, $E$9)</f>
        <v>12.005699999999999</v>
      </c>
      <c r="E818" s="11">
        <f>13.4956 * CHOOSE(CONTROL!$C$32, $C$9, 100%, $E$9)</f>
        <v>13.4956</v>
      </c>
      <c r="F818" s="11">
        <f>13.4956 * CHOOSE(CONTROL!$C$32, $C$9, 100%, $E$9)</f>
        <v>13.4956</v>
      </c>
      <c r="G818" s="11">
        <f>13.4992 * CHOOSE(CONTROL!$C$32, $C$9, 100%, $E$9)</f>
        <v>13.4992</v>
      </c>
      <c r="H818" s="11">
        <f>27.0034 * CHOOSE(CONTROL!$C$32, $C$9, 100%, $E$9)</f>
        <v>27.003399999999999</v>
      </c>
      <c r="I818" s="11">
        <f>27.007 * CHOOSE(CONTROL!$C$32, $C$9, 100%, $E$9)</f>
        <v>27.007000000000001</v>
      </c>
      <c r="J818" s="11">
        <f>27.0034 * CHOOSE(CONTROL!$C$32, $C$9, 100%, $E$9)</f>
        <v>27.003399999999999</v>
      </c>
      <c r="K818" s="11">
        <f>27.007 * CHOOSE(CONTROL!$C$32, $C$9, 100%, $E$9)</f>
        <v>27.007000000000001</v>
      </c>
      <c r="L818" s="11">
        <f>13.4956 * CHOOSE(CONTROL!$C$32, $C$9, 100%, $E$9)</f>
        <v>13.4956</v>
      </c>
      <c r="M818" s="11">
        <f>13.4992 * CHOOSE(CONTROL!$C$32, $C$9, 100%, $E$9)</f>
        <v>13.4992</v>
      </c>
      <c r="N818" s="11">
        <f>13.4956 * CHOOSE(CONTROL!$C$32, $C$9, 100%, $E$9)</f>
        <v>13.4956</v>
      </c>
      <c r="O818" s="11">
        <f>13.4992 * CHOOSE(CONTROL!$C$32, $C$9, 100%, $E$9)</f>
        <v>13.4992</v>
      </c>
    </row>
    <row r="819" spans="1:15" ht="15" x14ac:dyDescent="0.2">
      <c r="A819" s="13">
        <v>65777</v>
      </c>
      <c r="B819" s="9">
        <f>12.0016 * CHOOSE(CONTROL!$C$32, $C$9, 100%, $E$9)</f>
        <v>12.0016</v>
      </c>
      <c r="C819" s="9">
        <f>12.0016 * CHOOSE(CONTROL!$C$32, $C$9, 100%, $E$9)</f>
        <v>12.0016</v>
      </c>
      <c r="D819" s="9">
        <f>12.0027 * CHOOSE(CONTROL!$C$32, $C$9, 100%, $E$9)</f>
        <v>12.002700000000001</v>
      </c>
      <c r="E819" s="11">
        <f>13.1337 * CHOOSE(CONTROL!$C$32, $C$9, 100%, $E$9)</f>
        <v>13.133699999999999</v>
      </c>
      <c r="F819" s="11">
        <f>13.1337 * CHOOSE(CONTROL!$C$32, $C$9, 100%, $E$9)</f>
        <v>13.133699999999999</v>
      </c>
      <c r="G819" s="11">
        <f>13.1373 * CHOOSE(CONTROL!$C$32, $C$9, 100%, $E$9)</f>
        <v>13.1373</v>
      </c>
      <c r="H819" s="11">
        <f>27.0596 * CHOOSE(CONTROL!$C$32, $C$9, 100%, $E$9)</f>
        <v>27.0596</v>
      </c>
      <c r="I819" s="11">
        <f>27.0632 * CHOOSE(CONTROL!$C$32, $C$9, 100%, $E$9)</f>
        <v>27.063199999999998</v>
      </c>
      <c r="J819" s="11">
        <f>27.0596 * CHOOSE(CONTROL!$C$32, $C$9, 100%, $E$9)</f>
        <v>27.0596</v>
      </c>
      <c r="K819" s="11">
        <f>27.0632 * CHOOSE(CONTROL!$C$32, $C$9, 100%, $E$9)</f>
        <v>27.063199999999998</v>
      </c>
      <c r="L819" s="11">
        <f>13.1337 * CHOOSE(CONTROL!$C$32, $C$9, 100%, $E$9)</f>
        <v>13.133699999999999</v>
      </c>
      <c r="M819" s="11">
        <f>13.1373 * CHOOSE(CONTROL!$C$32, $C$9, 100%, $E$9)</f>
        <v>13.1373</v>
      </c>
      <c r="N819" s="11">
        <f>13.1337 * CHOOSE(CONTROL!$C$32, $C$9, 100%, $E$9)</f>
        <v>13.133699999999999</v>
      </c>
      <c r="O819" s="11">
        <f>13.1373 * CHOOSE(CONTROL!$C$32, $C$9, 100%, $E$9)</f>
        <v>13.1373</v>
      </c>
    </row>
    <row r="820" spans="1:15" ht="15" x14ac:dyDescent="0.2">
      <c r="A820" s="13">
        <v>65806</v>
      </c>
      <c r="B820" s="9">
        <f>11.9986 * CHOOSE(CONTROL!$C$32, $C$9, 100%, $E$9)</f>
        <v>11.9986</v>
      </c>
      <c r="C820" s="9">
        <f>11.9986 * CHOOSE(CONTROL!$C$32, $C$9, 100%, $E$9)</f>
        <v>11.9986</v>
      </c>
      <c r="D820" s="9">
        <f>11.9996 * CHOOSE(CONTROL!$C$32, $C$9, 100%, $E$9)</f>
        <v>11.999599999999999</v>
      </c>
      <c r="E820" s="11">
        <f>13.4152 * CHOOSE(CONTROL!$C$32, $C$9, 100%, $E$9)</f>
        <v>13.4152</v>
      </c>
      <c r="F820" s="11">
        <f>13.4152 * CHOOSE(CONTROL!$C$32, $C$9, 100%, $E$9)</f>
        <v>13.4152</v>
      </c>
      <c r="G820" s="11">
        <f>13.4188 * CHOOSE(CONTROL!$C$32, $C$9, 100%, $E$9)</f>
        <v>13.418799999999999</v>
      </c>
      <c r="H820" s="11">
        <f>27.116 * CHOOSE(CONTROL!$C$32, $C$9, 100%, $E$9)</f>
        <v>27.116</v>
      </c>
      <c r="I820" s="11">
        <f>27.1196 * CHOOSE(CONTROL!$C$32, $C$9, 100%, $E$9)</f>
        <v>27.119599999999998</v>
      </c>
      <c r="J820" s="11">
        <f>27.116 * CHOOSE(CONTROL!$C$32, $C$9, 100%, $E$9)</f>
        <v>27.116</v>
      </c>
      <c r="K820" s="11">
        <f>27.1196 * CHOOSE(CONTROL!$C$32, $C$9, 100%, $E$9)</f>
        <v>27.119599999999998</v>
      </c>
      <c r="L820" s="11">
        <f>13.4152 * CHOOSE(CONTROL!$C$32, $C$9, 100%, $E$9)</f>
        <v>13.4152</v>
      </c>
      <c r="M820" s="11">
        <f>13.4188 * CHOOSE(CONTROL!$C$32, $C$9, 100%, $E$9)</f>
        <v>13.418799999999999</v>
      </c>
      <c r="N820" s="11">
        <f>13.4152 * CHOOSE(CONTROL!$C$32, $C$9, 100%, $E$9)</f>
        <v>13.4152</v>
      </c>
      <c r="O820" s="11">
        <f>13.4188 * CHOOSE(CONTROL!$C$32, $C$9, 100%, $E$9)</f>
        <v>13.418799999999999</v>
      </c>
    </row>
    <row r="821" spans="1:15" ht="15" x14ac:dyDescent="0.2">
      <c r="A821" s="13">
        <v>65837</v>
      </c>
      <c r="B821" s="9">
        <f>12.004 * CHOOSE(CONTROL!$C$32, $C$9, 100%, $E$9)</f>
        <v>12.004</v>
      </c>
      <c r="C821" s="9">
        <f>12.004 * CHOOSE(CONTROL!$C$32, $C$9, 100%, $E$9)</f>
        <v>12.004</v>
      </c>
      <c r="D821" s="9">
        <f>12.0051 * CHOOSE(CONTROL!$C$32, $C$9, 100%, $E$9)</f>
        <v>12.005100000000001</v>
      </c>
      <c r="E821" s="11">
        <f>13.7155 * CHOOSE(CONTROL!$C$32, $C$9, 100%, $E$9)</f>
        <v>13.7155</v>
      </c>
      <c r="F821" s="11">
        <f>13.7155 * CHOOSE(CONTROL!$C$32, $C$9, 100%, $E$9)</f>
        <v>13.7155</v>
      </c>
      <c r="G821" s="11">
        <f>13.7191 * CHOOSE(CONTROL!$C$32, $C$9, 100%, $E$9)</f>
        <v>13.719099999999999</v>
      </c>
      <c r="H821" s="11">
        <f>27.1725 * CHOOSE(CONTROL!$C$32, $C$9, 100%, $E$9)</f>
        <v>27.172499999999999</v>
      </c>
      <c r="I821" s="11">
        <f>27.1761 * CHOOSE(CONTROL!$C$32, $C$9, 100%, $E$9)</f>
        <v>27.176100000000002</v>
      </c>
      <c r="J821" s="11">
        <f>27.1725 * CHOOSE(CONTROL!$C$32, $C$9, 100%, $E$9)</f>
        <v>27.172499999999999</v>
      </c>
      <c r="K821" s="11">
        <f>27.1761 * CHOOSE(CONTROL!$C$32, $C$9, 100%, $E$9)</f>
        <v>27.176100000000002</v>
      </c>
      <c r="L821" s="11">
        <f>13.7155 * CHOOSE(CONTROL!$C$32, $C$9, 100%, $E$9)</f>
        <v>13.7155</v>
      </c>
      <c r="M821" s="11">
        <f>13.7191 * CHOOSE(CONTROL!$C$32, $C$9, 100%, $E$9)</f>
        <v>13.719099999999999</v>
      </c>
      <c r="N821" s="11">
        <f>13.7155 * CHOOSE(CONTROL!$C$32, $C$9, 100%, $E$9)</f>
        <v>13.7155</v>
      </c>
      <c r="O821" s="11">
        <f>13.7191 * CHOOSE(CONTROL!$C$32, $C$9, 100%, $E$9)</f>
        <v>13.719099999999999</v>
      </c>
    </row>
    <row r="822" spans="1:15" ht="15" x14ac:dyDescent="0.2">
      <c r="A822" s="13">
        <v>65867</v>
      </c>
      <c r="B822" s="9">
        <f>12.004 * CHOOSE(CONTROL!$C$32, $C$9, 100%, $E$9)</f>
        <v>12.004</v>
      </c>
      <c r="C822" s="9">
        <f>12.004 * CHOOSE(CONTROL!$C$32, $C$9, 100%, $E$9)</f>
        <v>12.004</v>
      </c>
      <c r="D822" s="9">
        <f>12.0056 * CHOOSE(CONTROL!$C$32, $C$9, 100%, $E$9)</f>
        <v>12.005599999999999</v>
      </c>
      <c r="E822" s="11">
        <f>13.8298 * CHOOSE(CONTROL!$C$32, $C$9, 100%, $E$9)</f>
        <v>13.829800000000001</v>
      </c>
      <c r="F822" s="11">
        <f>13.8298 * CHOOSE(CONTROL!$C$32, $C$9, 100%, $E$9)</f>
        <v>13.829800000000001</v>
      </c>
      <c r="G822" s="11">
        <f>13.835 * CHOOSE(CONTROL!$C$32, $C$9, 100%, $E$9)</f>
        <v>13.835000000000001</v>
      </c>
      <c r="H822" s="11">
        <f>27.2291 * CHOOSE(CONTROL!$C$32, $C$9, 100%, $E$9)</f>
        <v>27.229099999999999</v>
      </c>
      <c r="I822" s="11">
        <f>27.2344 * CHOOSE(CONTROL!$C$32, $C$9, 100%, $E$9)</f>
        <v>27.234400000000001</v>
      </c>
      <c r="J822" s="11">
        <f>27.2291 * CHOOSE(CONTROL!$C$32, $C$9, 100%, $E$9)</f>
        <v>27.229099999999999</v>
      </c>
      <c r="K822" s="11">
        <f>27.2344 * CHOOSE(CONTROL!$C$32, $C$9, 100%, $E$9)</f>
        <v>27.234400000000001</v>
      </c>
      <c r="L822" s="11">
        <f>13.8298 * CHOOSE(CONTROL!$C$32, $C$9, 100%, $E$9)</f>
        <v>13.829800000000001</v>
      </c>
      <c r="M822" s="11">
        <f>13.835 * CHOOSE(CONTROL!$C$32, $C$9, 100%, $E$9)</f>
        <v>13.835000000000001</v>
      </c>
      <c r="N822" s="11">
        <f>13.8298 * CHOOSE(CONTROL!$C$32, $C$9, 100%, $E$9)</f>
        <v>13.829800000000001</v>
      </c>
      <c r="O822" s="11">
        <f>13.835 * CHOOSE(CONTROL!$C$32, $C$9, 100%, $E$9)</f>
        <v>13.835000000000001</v>
      </c>
    </row>
    <row r="823" spans="1:15" ht="15" x14ac:dyDescent="0.2">
      <c r="A823" s="13">
        <v>65898</v>
      </c>
      <c r="B823" s="9">
        <f>12.0101 * CHOOSE(CONTROL!$C$32, $C$9, 100%, $E$9)</f>
        <v>12.0101</v>
      </c>
      <c r="C823" s="9">
        <f>12.0101 * CHOOSE(CONTROL!$C$32, $C$9, 100%, $E$9)</f>
        <v>12.0101</v>
      </c>
      <c r="D823" s="9">
        <f>12.0116 * CHOOSE(CONTROL!$C$32, $C$9, 100%, $E$9)</f>
        <v>12.0116</v>
      </c>
      <c r="E823" s="11">
        <f>13.7198 * CHOOSE(CONTROL!$C$32, $C$9, 100%, $E$9)</f>
        <v>13.719799999999999</v>
      </c>
      <c r="F823" s="11">
        <f>13.7198 * CHOOSE(CONTROL!$C$32, $C$9, 100%, $E$9)</f>
        <v>13.719799999999999</v>
      </c>
      <c r="G823" s="11">
        <f>13.7251 * CHOOSE(CONTROL!$C$32, $C$9, 100%, $E$9)</f>
        <v>13.725099999999999</v>
      </c>
      <c r="H823" s="11">
        <f>27.2858 * CHOOSE(CONTROL!$C$32, $C$9, 100%, $E$9)</f>
        <v>27.285799999999998</v>
      </c>
      <c r="I823" s="11">
        <f>27.2911 * CHOOSE(CONTROL!$C$32, $C$9, 100%, $E$9)</f>
        <v>27.2911</v>
      </c>
      <c r="J823" s="11">
        <f>27.2858 * CHOOSE(CONTROL!$C$32, $C$9, 100%, $E$9)</f>
        <v>27.285799999999998</v>
      </c>
      <c r="K823" s="11">
        <f>27.2911 * CHOOSE(CONTROL!$C$32, $C$9, 100%, $E$9)</f>
        <v>27.2911</v>
      </c>
      <c r="L823" s="11">
        <f>13.7198 * CHOOSE(CONTROL!$C$32, $C$9, 100%, $E$9)</f>
        <v>13.719799999999999</v>
      </c>
      <c r="M823" s="11">
        <f>13.7251 * CHOOSE(CONTROL!$C$32, $C$9, 100%, $E$9)</f>
        <v>13.725099999999999</v>
      </c>
      <c r="N823" s="11">
        <f>13.7198 * CHOOSE(CONTROL!$C$32, $C$9, 100%, $E$9)</f>
        <v>13.719799999999999</v>
      </c>
      <c r="O823" s="11">
        <f>13.7251 * CHOOSE(CONTROL!$C$32, $C$9, 100%, $E$9)</f>
        <v>13.725099999999999</v>
      </c>
    </row>
    <row r="824" spans="1:15" ht="15" x14ac:dyDescent="0.2">
      <c r="A824" s="13">
        <v>65928</v>
      </c>
      <c r="B824" s="9">
        <f>12.1565 * CHOOSE(CONTROL!$C$32, $C$9, 100%, $E$9)</f>
        <v>12.156499999999999</v>
      </c>
      <c r="C824" s="9">
        <f>12.1565 * CHOOSE(CONTROL!$C$32, $C$9, 100%, $E$9)</f>
        <v>12.156499999999999</v>
      </c>
      <c r="D824" s="9">
        <f>12.1581 * CHOOSE(CONTROL!$C$32, $C$9, 100%, $E$9)</f>
        <v>12.158099999999999</v>
      </c>
      <c r="E824" s="11">
        <f>13.9135 * CHOOSE(CONTROL!$C$32, $C$9, 100%, $E$9)</f>
        <v>13.913500000000001</v>
      </c>
      <c r="F824" s="11">
        <f>13.9135 * CHOOSE(CONTROL!$C$32, $C$9, 100%, $E$9)</f>
        <v>13.913500000000001</v>
      </c>
      <c r="G824" s="11">
        <f>13.9188 * CHOOSE(CONTROL!$C$32, $C$9, 100%, $E$9)</f>
        <v>13.918799999999999</v>
      </c>
      <c r="H824" s="11">
        <f>27.3427 * CHOOSE(CONTROL!$C$32, $C$9, 100%, $E$9)</f>
        <v>27.342700000000001</v>
      </c>
      <c r="I824" s="11">
        <f>27.348 * CHOOSE(CONTROL!$C$32, $C$9, 100%, $E$9)</f>
        <v>27.347999999999999</v>
      </c>
      <c r="J824" s="11">
        <f>27.3427 * CHOOSE(CONTROL!$C$32, $C$9, 100%, $E$9)</f>
        <v>27.342700000000001</v>
      </c>
      <c r="K824" s="11">
        <f>27.348 * CHOOSE(CONTROL!$C$32, $C$9, 100%, $E$9)</f>
        <v>27.347999999999999</v>
      </c>
      <c r="L824" s="11">
        <f>13.9135 * CHOOSE(CONTROL!$C$32, $C$9, 100%, $E$9)</f>
        <v>13.913500000000001</v>
      </c>
      <c r="M824" s="11">
        <f>13.9188 * CHOOSE(CONTROL!$C$32, $C$9, 100%, $E$9)</f>
        <v>13.918799999999999</v>
      </c>
      <c r="N824" s="11">
        <f>13.9135 * CHOOSE(CONTROL!$C$32, $C$9, 100%, $E$9)</f>
        <v>13.913500000000001</v>
      </c>
      <c r="O824" s="11">
        <f>13.9188 * CHOOSE(CONTROL!$C$32, $C$9, 100%, $E$9)</f>
        <v>13.918799999999999</v>
      </c>
    </row>
    <row r="825" spans="1:15" ht="15" x14ac:dyDescent="0.2">
      <c r="A825" s="13">
        <v>65959</v>
      </c>
      <c r="B825" s="9">
        <f>12.1632 * CHOOSE(CONTROL!$C$32, $C$9, 100%, $E$9)</f>
        <v>12.1632</v>
      </c>
      <c r="C825" s="9">
        <f>12.1632 * CHOOSE(CONTROL!$C$32, $C$9, 100%, $E$9)</f>
        <v>12.1632</v>
      </c>
      <c r="D825" s="9">
        <f>12.1648 * CHOOSE(CONTROL!$C$32, $C$9, 100%, $E$9)</f>
        <v>12.1648</v>
      </c>
      <c r="E825" s="11">
        <f>13.5755 * CHOOSE(CONTROL!$C$32, $C$9, 100%, $E$9)</f>
        <v>13.5755</v>
      </c>
      <c r="F825" s="11">
        <f>13.5755 * CHOOSE(CONTROL!$C$32, $C$9, 100%, $E$9)</f>
        <v>13.5755</v>
      </c>
      <c r="G825" s="11">
        <f>13.5808 * CHOOSE(CONTROL!$C$32, $C$9, 100%, $E$9)</f>
        <v>13.5808</v>
      </c>
      <c r="H825" s="11">
        <f>27.3996 * CHOOSE(CONTROL!$C$32, $C$9, 100%, $E$9)</f>
        <v>27.3996</v>
      </c>
      <c r="I825" s="11">
        <f>27.4049 * CHOOSE(CONTROL!$C$32, $C$9, 100%, $E$9)</f>
        <v>27.404900000000001</v>
      </c>
      <c r="J825" s="11">
        <f>27.3996 * CHOOSE(CONTROL!$C$32, $C$9, 100%, $E$9)</f>
        <v>27.3996</v>
      </c>
      <c r="K825" s="11">
        <f>27.4049 * CHOOSE(CONTROL!$C$32, $C$9, 100%, $E$9)</f>
        <v>27.404900000000001</v>
      </c>
      <c r="L825" s="11">
        <f>13.5755 * CHOOSE(CONTROL!$C$32, $C$9, 100%, $E$9)</f>
        <v>13.5755</v>
      </c>
      <c r="M825" s="11">
        <f>13.5808 * CHOOSE(CONTROL!$C$32, $C$9, 100%, $E$9)</f>
        <v>13.5808</v>
      </c>
      <c r="N825" s="11">
        <f>13.5755 * CHOOSE(CONTROL!$C$32, $C$9, 100%, $E$9)</f>
        <v>13.5755</v>
      </c>
      <c r="O825" s="11">
        <f>13.5808 * CHOOSE(CONTROL!$C$32, $C$9, 100%, $E$9)</f>
        <v>13.5808</v>
      </c>
    </row>
    <row r="826" spans="1:15" ht="15" x14ac:dyDescent="0.2">
      <c r="A826" s="13">
        <v>65990</v>
      </c>
      <c r="B826" s="9">
        <f>12.1601 * CHOOSE(CONTROL!$C$32, $C$9, 100%, $E$9)</f>
        <v>12.1601</v>
      </c>
      <c r="C826" s="9">
        <f>12.1601 * CHOOSE(CONTROL!$C$32, $C$9, 100%, $E$9)</f>
        <v>12.1601</v>
      </c>
      <c r="D826" s="9">
        <f>12.1617 * CHOOSE(CONTROL!$C$32, $C$9, 100%, $E$9)</f>
        <v>12.1617</v>
      </c>
      <c r="E826" s="11">
        <f>13.5353 * CHOOSE(CONTROL!$C$32, $C$9, 100%, $E$9)</f>
        <v>13.535299999999999</v>
      </c>
      <c r="F826" s="11">
        <f>13.5353 * CHOOSE(CONTROL!$C$32, $C$9, 100%, $E$9)</f>
        <v>13.535299999999999</v>
      </c>
      <c r="G826" s="11">
        <f>13.5406 * CHOOSE(CONTROL!$C$32, $C$9, 100%, $E$9)</f>
        <v>13.5406</v>
      </c>
      <c r="H826" s="11">
        <f>27.4567 * CHOOSE(CONTROL!$C$32, $C$9, 100%, $E$9)</f>
        <v>27.456700000000001</v>
      </c>
      <c r="I826" s="11">
        <f>27.462 * CHOOSE(CONTROL!$C$32, $C$9, 100%, $E$9)</f>
        <v>27.462</v>
      </c>
      <c r="J826" s="11">
        <f>27.4567 * CHOOSE(CONTROL!$C$32, $C$9, 100%, $E$9)</f>
        <v>27.456700000000001</v>
      </c>
      <c r="K826" s="11">
        <f>27.462 * CHOOSE(CONTROL!$C$32, $C$9, 100%, $E$9)</f>
        <v>27.462</v>
      </c>
      <c r="L826" s="11">
        <f>13.5353 * CHOOSE(CONTROL!$C$32, $C$9, 100%, $E$9)</f>
        <v>13.535299999999999</v>
      </c>
      <c r="M826" s="11">
        <f>13.5406 * CHOOSE(CONTROL!$C$32, $C$9, 100%, $E$9)</f>
        <v>13.5406</v>
      </c>
      <c r="N826" s="11">
        <f>13.5353 * CHOOSE(CONTROL!$C$32, $C$9, 100%, $E$9)</f>
        <v>13.535299999999999</v>
      </c>
      <c r="O826" s="11">
        <f>13.5406 * CHOOSE(CONTROL!$C$32, $C$9, 100%, $E$9)</f>
        <v>13.5406</v>
      </c>
    </row>
    <row r="827" spans="1:15" ht="15" x14ac:dyDescent="0.2">
      <c r="A827" s="13">
        <v>66020</v>
      </c>
      <c r="B827" s="9">
        <f>12.1857 * CHOOSE(CONTROL!$C$32, $C$9, 100%, $E$9)</f>
        <v>12.185700000000001</v>
      </c>
      <c r="C827" s="9">
        <f>12.1857 * CHOOSE(CONTROL!$C$32, $C$9, 100%, $E$9)</f>
        <v>12.185700000000001</v>
      </c>
      <c r="D827" s="9">
        <f>12.1868 * CHOOSE(CONTROL!$C$32, $C$9, 100%, $E$9)</f>
        <v>12.1868</v>
      </c>
      <c r="E827" s="11">
        <f>13.6742 * CHOOSE(CONTROL!$C$32, $C$9, 100%, $E$9)</f>
        <v>13.674200000000001</v>
      </c>
      <c r="F827" s="11">
        <f>13.6742 * CHOOSE(CONTROL!$C$32, $C$9, 100%, $E$9)</f>
        <v>13.674200000000001</v>
      </c>
      <c r="G827" s="11">
        <f>13.6778 * CHOOSE(CONTROL!$C$32, $C$9, 100%, $E$9)</f>
        <v>13.6778</v>
      </c>
      <c r="H827" s="11">
        <f>27.5139 * CHOOSE(CONTROL!$C$32, $C$9, 100%, $E$9)</f>
        <v>27.5139</v>
      </c>
      <c r="I827" s="11">
        <f>27.5175 * CHOOSE(CONTROL!$C$32, $C$9, 100%, $E$9)</f>
        <v>27.517499999999998</v>
      </c>
      <c r="J827" s="11">
        <f>27.5139 * CHOOSE(CONTROL!$C$32, $C$9, 100%, $E$9)</f>
        <v>27.5139</v>
      </c>
      <c r="K827" s="11">
        <f>27.5175 * CHOOSE(CONTROL!$C$32, $C$9, 100%, $E$9)</f>
        <v>27.517499999999998</v>
      </c>
      <c r="L827" s="11">
        <f>13.6742 * CHOOSE(CONTROL!$C$32, $C$9, 100%, $E$9)</f>
        <v>13.674200000000001</v>
      </c>
      <c r="M827" s="11">
        <f>13.6778 * CHOOSE(CONTROL!$C$32, $C$9, 100%, $E$9)</f>
        <v>13.6778</v>
      </c>
      <c r="N827" s="11">
        <f>13.6742 * CHOOSE(CONTROL!$C$32, $C$9, 100%, $E$9)</f>
        <v>13.674200000000001</v>
      </c>
      <c r="O827" s="11">
        <f>13.6778 * CHOOSE(CONTROL!$C$32, $C$9, 100%, $E$9)</f>
        <v>13.6778</v>
      </c>
    </row>
    <row r="828" spans="1:15" ht="15" x14ac:dyDescent="0.2">
      <c r="A828" s="13">
        <v>66051</v>
      </c>
      <c r="B828" s="9">
        <f>12.1887 * CHOOSE(CONTROL!$C$32, $C$9, 100%, $E$9)</f>
        <v>12.188700000000001</v>
      </c>
      <c r="C828" s="9">
        <f>12.1887 * CHOOSE(CONTROL!$C$32, $C$9, 100%, $E$9)</f>
        <v>12.188700000000001</v>
      </c>
      <c r="D828" s="9">
        <f>12.1898 * CHOOSE(CONTROL!$C$32, $C$9, 100%, $E$9)</f>
        <v>12.1898</v>
      </c>
      <c r="E828" s="11">
        <f>13.7524 * CHOOSE(CONTROL!$C$32, $C$9, 100%, $E$9)</f>
        <v>13.7524</v>
      </c>
      <c r="F828" s="11">
        <f>13.7524 * CHOOSE(CONTROL!$C$32, $C$9, 100%, $E$9)</f>
        <v>13.7524</v>
      </c>
      <c r="G828" s="11">
        <f>13.7561 * CHOOSE(CONTROL!$C$32, $C$9, 100%, $E$9)</f>
        <v>13.7561</v>
      </c>
      <c r="H828" s="11">
        <f>27.5712 * CHOOSE(CONTROL!$C$32, $C$9, 100%, $E$9)</f>
        <v>27.571200000000001</v>
      </c>
      <c r="I828" s="11">
        <f>27.5749 * CHOOSE(CONTROL!$C$32, $C$9, 100%, $E$9)</f>
        <v>27.5749</v>
      </c>
      <c r="J828" s="11">
        <f>27.5712 * CHOOSE(CONTROL!$C$32, $C$9, 100%, $E$9)</f>
        <v>27.571200000000001</v>
      </c>
      <c r="K828" s="11">
        <f>27.5749 * CHOOSE(CONTROL!$C$32, $C$9, 100%, $E$9)</f>
        <v>27.5749</v>
      </c>
      <c r="L828" s="11">
        <f>13.7524 * CHOOSE(CONTROL!$C$32, $C$9, 100%, $E$9)</f>
        <v>13.7524</v>
      </c>
      <c r="M828" s="11">
        <f>13.7561 * CHOOSE(CONTROL!$C$32, $C$9, 100%, $E$9)</f>
        <v>13.7561</v>
      </c>
      <c r="N828" s="11">
        <f>13.7524 * CHOOSE(CONTROL!$C$32, $C$9, 100%, $E$9)</f>
        <v>13.7524</v>
      </c>
      <c r="O828" s="11">
        <f>13.7561 * CHOOSE(CONTROL!$C$32, $C$9, 100%, $E$9)</f>
        <v>13.7561</v>
      </c>
    </row>
    <row r="829" spans="1:15" ht="15" x14ac:dyDescent="0.2">
      <c r="A829" s="13">
        <v>66081</v>
      </c>
      <c r="B829" s="9">
        <f>12.1887 * CHOOSE(CONTROL!$C$32, $C$9, 100%, $E$9)</f>
        <v>12.188700000000001</v>
      </c>
      <c r="C829" s="9">
        <f>12.1887 * CHOOSE(CONTROL!$C$32, $C$9, 100%, $E$9)</f>
        <v>12.188700000000001</v>
      </c>
      <c r="D829" s="9">
        <f>12.1898 * CHOOSE(CONTROL!$C$32, $C$9, 100%, $E$9)</f>
        <v>12.1898</v>
      </c>
      <c r="E829" s="11">
        <f>13.5621 * CHOOSE(CONTROL!$C$32, $C$9, 100%, $E$9)</f>
        <v>13.562099999999999</v>
      </c>
      <c r="F829" s="11">
        <f>13.5621 * CHOOSE(CONTROL!$C$32, $C$9, 100%, $E$9)</f>
        <v>13.562099999999999</v>
      </c>
      <c r="G829" s="11">
        <f>13.5657 * CHOOSE(CONTROL!$C$32, $C$9, 100%, $E$9)</f>
        <v>13.5657</v>
      </c>
      <c r="H829" s="11">
        <f>27.6287 * CHOOSE(CONTROL!$C$32, $C$9, 100%, $E$9)</f>
        <v>27.628699999999998</v>
      </c>
      <c r="I829" s="11">
        <f>27.6323 * CHOOSE(CONTROL!$C$32, $C$9, 100%, $E$9)</f>
        <v>27.632300000000001</v>
      </c>
      <c r="J829" s="11">
        <f>27.6287 * CHOOSE(CONTROL!$C$32, $C$9, 100%, $E$9)</f>
        <v>27.628699999999998</v>
      </c>
      <c r="K829" s="11">
        <f>27.6323 * CHOOSE(CONTROL!$C$32, $C$9, 100%, $E$9)</f>
        <v>27.632300000000001</v>
      </c>
      <c r="L829" s="11">
        <f>13.5621 * CHOOSE(CONTROL!$C$32, $C$9, 100%, $E$9)</f>
        <v>13.562099999999999</v>
      </c>
      <c r="M829" s="11">
        <f>13.5657 * CHOOSE(CONTROL!$C$32, $C$9, 100%, $E$9)</f>
        <v>13.5657</v>
      </c>
      <c r="N829" s="11">
        <f>13.5621 * CHOOSE(CONTROL!$C$32, $C$9, 100%, $E$9)</f>
        <v>13.562099999999999</v>
      </c>
      <c r="O829" s="11">
        <f>13.5657 * CHOOSE(CONTROL!$C$32, $C$9, 100%, $E$9)</f>
        <v>13.5657</v>
      </c>
    </row>
    <row r="830" spans="1:15" ht="15" x14ac:dyDescent="0.2">
      <c r="A830" s="13">
        <v>66112</v>
      </c>
      <c r="B830" s="9">
        <f>12.192 * CHOOSE(CONTROL!$C$32, $C$9, 100%, $E$9)</f>
        <v>12.192</v>
      </c>
      <c r="C830" s="9">
        <f>12.192 * CHOOSE(CONTROL!$C$32, $C$9, 100%, $E$9)</f>
        <v>12.192</v>
      </c>
      <c r="D830" s="9">
        <f>12.1931 * CHOOSE(CONTROL!$C$32, $C$9, 100%, $E$9)</f>
        <v>12.193099999999999</v>
      </c>
      <c r="E830" s="11">
        <f>13.7081 * CHOOSE(CONTROL!$C$32, $C$9, 100%, $E$9)</f>
        <v>13.7081</v>
      </c>
      <c r="F830" s="11">
        <f>13.7081 * CHOOSE(CONTROL!$C$32, $C$9, 100%, $E$9)</f>
        <v>13.7081</v>
      </c>
      <c r="G830" s="11">
        <f>13.7117 * CHOOSE(CONTROL!$C$32, $C$9, 100%, $E$9)</f>
        <v>13.7117</v>
      </c>
      <c r="H830" s="11">
        <f>27.4569 * CHOOSE(CONTROL!$C$32, $C$9, 100%, $E$9)</f>
        <v>27.456900000000001</v>
      </c>
      <c r="I830" s="11">
        <f>27.4605 * CHOOSE(CONTROL!$C$32, $C$9, 100%, $E$9)</f>
        <v>27.4605</v>
      </c>
      <c r="J830" s="11">
        <f>27.4569 * CHOOSE(CONTROL!$C$32, $C$9, 100%, $E$9)</f>
        <v>27.456900000000001</v>
      </c>
      <c r="K830" s="11">
        <f>27.4605 * CHOOSE(CONTROL!$C$32, $C$9, 100%, $E$9)</f>
        <v>27.4605</v>
      </c>
      <c r="L830" s="11">
        <f>13.7081 * CHOOSE(CONTROL!$C$32, $C$9, 100%, $E$9)</f>
        <v>13.7081</v>
      </c>
      <c r="M830" s="11">
        <f>13.7117 * CHOOSE(CONTROL!$C$32, $C$9, 100%, $E$9)</f>
        <v>13.7117</v>
      </c>
      <c r="N830" s="11">
        <f>13.7081 * CHOOSE(CONTROL!$C$32, $C$9, 100%, $E$9)</f>
        <v>13.7081</v>
      </c>
      <c r="O830" s="11">
        <f>13.7117 * CHOOSE(CONTROL!$C$32, $C$9, 100%, $E$9)</f>
        <v>13.7117</v>
      </c>
    </row>
    <row r="831" spans="1:15" ht="15" x14ac:dyDescent="0.2">
      <c r="A831" s="13">
        <v>66143</v>
      </c>
      <c r="B831" s="9">
        <f>12.189 * CHOOSE(CONTROL!$C$32, $C$9, 100%, $E$9)</f>
        <v>12.189</v>
      </c>
      <c r="C831" s="9">
        <f>12.189 * CHOOSE(CONTROL!$C$32, $C$9, 100%, $E$9)</f>
        <v>12.189</v>
      </c>
      <c r="D831" s="9">
        <f>12.19 * CHOOSE(CONTROL!$C$32, $C$9, 100%, $E$9)</f>
        <v>12.19</v>
      </c>
      <c r="E831" s="11">
        <f>13.3391 * CHOOSE(CONTROL!$C$32, $C$9, 100%, $E$9)</f>
        <v>13.3391</v>
      </c>
      <c r="F831" s="11">
        <f>13.3391 * CHOOSE(CONTROL!$C$32, $C$9, 100%, $E$9)</f>
        <v>13.3391</v>
      </c>
      <c r="G831" s="11">
        <f>13.3427 * CHOOSE(CONTROL!$C$32, $C$9, 100%, $E$9)</f>
        <v>13.342700000000001</v>
      </c>
      <c r="H831" s="11">
        <f>27.5141 * CHOOSE(CONTROL!$C$32, $C$9, 100%, $E$9)</f>
        <v>27.514099999999999</v>
      </c>
      <c r="I831" s="11">
        <f>27.5177 * CHOOSE(CONTROL!$C$32, $C$9, 100%, $E$9)</f>
        <v>27.517700000000001</v>
      </c>
      <c r="J831" s="11">
        <f>27.5141 * CHOOSE(CONTROL!$C$32, $C$9, 100%, $E$9)</f>
        <v>27.514099999999999</v>
      </c>
      <c r="K831" s="11">
        <f>27.5177 * CHOOSE(CONTROL!$C$32, $C$9, 100%, $E$9)</f>
        <v>27.517700000000001</v>
      </c>
      <c r="L831" s="11">
        <f>13.3391 * CHOOSE(CONTROL!$C$32, $C$9, 100%, $E$9)</f>
        <v>13.3391</v>
      </c>
      <c r="M831" s="11">
        <f>13.3427 * CHOOSE(CONTROL!$C$32, $C$9, 100%, $E$9)</f>
        <v>13.342700000000001</v>
      </c>
      <c r="N831" s="11">
        <f>13.3391 * CHOOSE(CONTROL!$C$32, $C$9, 100%, $E$9)</f>
        <v>13.3391</v>
      </c>
      <c r="O831" s="11">
        <f>13.3427 * CHOOSE(CONTROL!$C$32, $C$9, 100%, $E$9)</f>
        <v>13.342700000000001</v>
      </c>
    </row>
    <row r="832" spans="1:15" ht="15" x14ac:dyDescent="0.2">
      <c r="A832" s="13">
        <v>66171</v>
      </c>
      <c r="B832" s="9">
        <f>12.1859 * CHOOSE(CONTROL!$C$32, $C$9, 100%, $E$9)</f>
        <v>12.1859</v>
      </c>
      <c r="C832" s="9">
        <f>12.1859 * CHOOSE(CONTROL!$C$32, $C$9, 100%, $E$9)</f>
        <v>12.1859</v>
      </c>
      <c r="D832" s="9">
        <f>12.187 * CHOOSE(CONTROL!$C$32, $C$9, 100%, $E$9)</f>
        <v>12.186999999999999</v>
      </c>
      <c r="E832" s="11">
        <f>13.6262 * CHOOSE(CONTROL!$C$32, $C$9, 100%, $E$9)</f>
        <v>13.626200000000001</v>
      </c>
      <c r="F832" s="11">
        <f>13.6262 * CHOOSE(CONTROL!$C$32, $C$9, 100%, $E$9)</f>
        <v>13.626200000000001</v>
      </c>
      <c r="G832" s="11">
        <f>13.6298 * CHOOSE(CONTROL!$C$32, $C$9, 100%, $E$9)</f>
        <v>13.629799999999999</v>
      </c>
      <c r="H832" s="11">
        <f>27.5714 * CHOOSE(CONTROL!$C$32, $C$9, 100%, $E$9)</f>
        <v>27.571400000000001</v>
      </c>
      <c r="I832" s="11">
        <f>27.575 * CHOOSE(CONTROL!$C$32, $C$9, 100%, $E$9)</f>
        <v>27.574999999999999</v>
      </c>
      <c r="J832" s="11">
        <f>27.5714 * CHOOSE(CONTROL!$C$32, $C$9, 100%, $E$9)</f>
        <v>27.571400000000001</v>
      </c>
      <c r="K832" s="11">
        <f>27.575 * CHOOSE(CONTROL!$C$32, $C$9, 100%, $E$9)</f>
        <v>27.574999999999999</v>
      </c>
      <c r="L832" s="11">
        <f>13.6262 * CHOOSE(CONTROL!$C$32, $C$9, 100%, $E$9)</f>
        <v>13.626200000000001</v>
      </c>
      <c r="M832" s="11">
        <f>13.6298 * CHOOSE(CONTROL!$C$32, $C$9, 100%, $E$9)</f>
        <v>13.629799999999999</v>
      </c>
      <c r="N832" s="11">
        <f>13.6262 * CHOOSE(CONTROL!$C$32, $C$9, 100%, $E$9)</f>
        <v>13.626200000000001</v>
      </c>
      <c r="O832" s="11">
        <f>13.6298 * CHOOSE(CONTROL!$C$32, $C$9, 100%, $E$9)</f>
        <v>13.629799999999999</v>
      </c>
    </row>
    <row r="833" spans="1:15" ht="15" x14ac:dyDescent="0.2">
      <c r="A833" s="13">
        <v>66202</v>
      </c>
      <c r="B833" s="9">
        <f>12.1915 * CHOOSE(CONTROL!$C$32, $C$9, 100%, $E$9)</f>
        <v>12.1915</v>
      </c>
      <c r="C833" s="9">
        <f>12.1915 * CHOOSE(CONTROL!$C$32, $C$9, 100%, $E$9)</f>
        <v>12.1915</v>
      </c>
      <c r="D833" s="9">
        <f>12.1926 * CHOOSE(CONTROL!$C$32, $C$9, 100%, $E$9)</f>
        <v>12.192600000000001</v>
      </c>
      <c r="E833" s="11">
        <f>13.9325 * CHOOSE(CONTROL!$C$32, $C$9, 100%, $E$9)</f>
        <v>13.932499999999999</v>
      </c>
      <c r="F833" s="11">
        <f>13.9325 * CHOOSE(CONTROL!$C$32, $C$9, 100%, $E$9)</f>
        <v>13.932499999999999</v>
      </c>
      <c r="G833" s="11">
        <f>13.9361 * CHOOSE(CONTROL!$C$32, $C$9, 100%, $E$9)</f>
        <v>13.9361</v>
      </c>
      <c r="H833" s="11">
        <f>27.6288 * CHOOSE(CONTROL!$C$32, $C$9, 100%, $E$9)</f>
        <v>27.628799999999998</v>
      </c>
      <c r="I833" s="11">
        <f>27.6325 * CHOOSE(CONTROL!$C$32, $C$9, 100%, $E$9)</f>
        <v>27.6325</v>
      </c>
      <c r="J833" s="11">
        <f>27.6288 * CHOOSE(CONTROL!$C$32, $C$9, 100%, $E$9)</f>
        <v>27.628799999999998</v>
      </c>
      <c r="K833" s="11">
        <f>27.6325 * CHOOSE(CONTROL!$C$32, $C$9, 100%, $E$9)</f>
        <v>27.6325</v>
      </c>
      <c r="L833" s="11">
        <f>13.9325 * CHOOSE(CONTROL!$C$32, $C$9, 100%, $E$9)</f>
        <v>13.932499999999999</v>
      </c>
      <c r="M833" s="11">
        <f>13.9361 * CHOOSE(CONTROL!$C$32, $C$9, 100%, $E$9)</f>
        <v>13.9361</v>
      </c>
      <c r="N833" s="11">
        <f>13.9325 * CHOOSE(CONTROL!$C$32, $C$9, 100%, $E$9)</f>
        <v>13.932499999999999</v>
      </c>
      <c r="O833" s="11">
        <f>13.9361 * CHOOSE(CONTROL!$C$32, $C$9, 100%, $E$9)</f>
        <v>13.9361</v>
      </c>
    </row>
    <row r="834" spans="1:15" ht="15" x14ac:dyDescent="0.2">
      <c r="A834" s="13">
        <v>66232</v>
      </c>
      <c r="B834" s="9">
        <f>12.1915 * CHOOSE(CONTROL!$C$32, $C$9, 100%, $E$9)</f>
        <v>12.1915</v>
      </c>
      <c r="C834" s="9">
        <f>12.1915 * CHOOSE(CONTROL!$C$32, $C$9, 100%, $E$9)</f>
        <v>12.1915</v>
      </c>
      <c r="D834" s="9">
        <f>12.1931 * CHOOSE(CONTROL!$C$32, $C$9, 100%, $E$9)</f>
        <v>12.193099999999999</v>
      </c>
      <c r="E834" s="11">
        <f>14.049 * CHOOSE(CONTROL!$C$32, $C$9, 100%, $E$9)</f>
        <v>14.048999999999999</v>
      </c>
      <c r="F834" s="11">
        <f>14.049 * CHOOSE(CONTROL!$C$32, $C$9, 100%, $E$9)</f>
        <v>14.048999999999999</v>
      </c>
      <c r="G834" s="11">
        <f>14.0543 * CHOOSE(CONTROL!$C$32, $C$9, 100%, $E$9)</f>
        <v>14.0543</v>
      </c>
      <c r="H834" s="11">
        <f>27.6864 * CHOOSE(CONTROL!$C$32, $C$9, 100%, $E$9)</f>
        <v>27.686399999999999</v>
      </c>
      <c r="I834" s="11">
        <f>27.6917 * CHOOSE(CONTROL!$C$32, $C$9, 100%, $E$9)</f>
        <v>27.691700000000001</v>
      </c>
      <c r="J834" s="11">
        <f>27.6864 * CHOOSE(CONTROL!$C$32, $C$9, 100%, $E$9)</f>
        <v>27.686399999999999</v>
      </c>
      <c r="K834" s="11">
        <f>27.6917 * CHOOSE(CONTROL!$C$32, $C$9, 100%, $E$9)</f>
        <v>27.691700000000001</v>
      </c>
      <c r="L834" s="11">
        <f>14.049 * CHOOSE(CONTROL!$C$32, $C$9, 100%, $E$9)</f>
        <v>14.048999999999999</v>
      </c>
      <c r="M834" s="11">
        <f>14.0543 * CHOOSE(CONTROL!$C$32, $C$9, 100%, $E$9)</f>
        <v>14.0543</v>
      </c>
      <c r="N834" s="11">
        <f>14.049 * CHOOSE(CONTROL!$C$32, $C$9, 100%, $E$9)</f>
        <v>14.048999999999999</v>
      </c>
      <c r="O834" s="11">
        <f>14.0543 * CHOOSE(CONTROL!$C$32, $C$9, 100%, $E$9)</f>
        <v>14.0543</v>
      </c>
    </row>
    <row r="835" spans="1:15" ht="15" x14ac:dyDescent="0.2">
      <c r="A835" s="13">
        <v>66263</v>
      </c>
      <c r="B835" s="9">
        <f>12.1976 * CHOOSE(CONTROL!$C$32, $C$9, 100%, $E$9)</f>
        <v>12.1976</v>
      </c>
      <c r="C835" s="9">
        <f>12.1976 * CHOOSE(CONTROL!$C$32, $C$9, 100%, $E$9)</f>
        <v>12.1976</v>
      </c>
      <c r="D835" s="9">
        <f>12.1992 * CHOOSE(CONTROL!$C$32, $C$9, 100%, $E$9)</f>
        <v>12.199199999999999</v>
      </c>
      <c r="E835" s="11">
        <f>13.9368 * CHOOSE(CONTROL!$C$32, $C$9, 100%, $E$9)</f>
        <v>13.9368</v>
      </c>
      <c r="F835" s="11">
        <f>13.9368 * CHOOSE(CONTROL!$C$32, $C$9, 100%, $E$9)</f>
        <v>13.9368</v>
      </c>
      <c r="G835" s="11">
        <f>13.9421 * CHOOSE(CONTROL!$C$32, $C$9, 100%, $E$9)</f>
        <v>13.9421</v>
      </c>
      <c r="H835" s="11">
        <f>27.7441 * CHOOSE(CONTROL!$C$32, $C$9, 100%, $E$9)</f>
        <v>27.7441</v>
      </c>
      <c r="I835" s="11">
        <f>27.7494 * CHOOSE(CONTROL!$C$32, $C$9, 100%, $E$9)</f>
        <v>27.749400000000001</v>
      </c>
      <c r="J835" s="11">
        <f>27.7441 * CHOOSE(CONTROL!$C$32, $C$9, 100%, $E$9)</f>
        <v>27.7441</v>
      </c>
      <c r="K835" s="11">
        <f>27.7494 * CHOOSE(CONTROL!$C$32, $C$9, 100%, $E$9)</f>
        <v>27.749400000000001</v>
      </c>
      <c r="L835" s="11">
        <f>13.9368 * CHOOSE(CONTROL!$C$32, $C$9, 100%, $E$9)</f>
        <v>13.9368</v>
      </c>
      <c r="M835" s="11">
        <f>13.9421 * CHOOSE(CONTROL!$C$32, $C$9, 100%, $E$9)</f>
        <v>13.9421</v>
      </c>
      <c r="N835" s="11">
        <f>13.9368 * CHOOSE(CONTROL!$C$32, $C$9, 100%, $E$9)</f>
        <v>13.9368</v>
      </c>
      <c r="O835" s="11">
        <f>13.9421 * CHOOSE(CONTROL!$C$32, $C$9, 100%, $E$9)</f>
        <v>13.9421</v>
      </c>
    </row>
    <row r="836" spans="1:15" ht="15" x14ac:dyDescent="0.2">
      <c r="A836" s="13">
        <v>66293</v>
      </c>
      <c r="B836" s="9">
        <f>12.3461 * CHOOSE(CONTROL!$C$32, $C$9, 100%, $E$9)</f>
        <v>12.3461</v>
      </c>
      <c r="C836" s="9">
        <f>12.3461 * CHOOSE(CONTROL!$C$32, $C$9, 100%, $E$9)</f>
        <v>12.3461</v>
      </c>
      <c r="D836" s="9">
        <f>12.3477 * CHOOSE(CONTROL!$C$32, $C$9, 100%, $E$9)</f>
        <v>12.3477</v>
      </c>
      <c r="E836" s="11">
        <f>14.1337 * CHOOSE(CONTROL!$C$32, $C$9, 100%, $E$9)</f>
        <v>14.133699999999999</v>
      </c>
      <c r="F836" s="11">
        <f>14.1337 * CHOOSE(CONTROL!$C$32, $C$9, 100%, $E$9)</f>
        <v>14.133699999999999</v>
      </c>
      <c r="G836" s="11">
        <f>14.139 * CHOOSE(CONTROL!$C$32, $C$9, 100%, $E$9)</f>
        <v>14.138999999999999</v>
      </c>
      <c r="H836" s="11">
        <f>27.8019 * CHOOSE(CONTROL!$C$32, $C$9, 100%, $E$9)</f>
        <v>27.8019</v>
      </c>
      <c r="I836" s="11">
        <f>27.8072 * CHOOSE(CONTROL!$C$32, $C$9, 100%, $E$9)</f>
        <v>27.807200000000002</v>
      </c>
      <c r="J836" s="11">
        <f>27.8019 * CHOOSE(CONTROL!$C$32, $C$9, 100%, $E$9)</f>
        <v>27.8019</v>
      </c>
      <c r="K836" s="11">
        <f>27.8072 * CHOOSE(CONTROL!$C$32, $C$9, 100%, $E$9)</f>
        <v>27.807200000000002</v>
      </c>
      <c r="L836" s="11">
        <f>14.1337 * CHOOSE(CONTROL!$C$32, $C$9, 100%, $E$9)</f>
        <v>14.133699999999999</v>
      </c>
      <c r="M836" s="11">
        <f>14.139 * CHOOSE(CONTROL!$C$32, $C$9, 100%, $E$9)</f>
        <v>14.138999999999999</v>
      </c>
      <c r="N836" s="11">
        <f>14.1337 * CHOOSE(CONTROL!$C$32, $C$9, 100%, $E$9)</f>
        <v>14.133699999999999</v>
      </c>
      <c r="O836" s="11">
        <f>14.139 * CHOOSE(CONTROL!$C$32, $C$9, 100%, $E$9)</f>
        <v>14.138999999999999</v>
      </c>
    </row>
    <row r="837" spans="1:15" ht="15" x14ac:dyDescent="0.2">
      <c r="A837" s="13">
        <v>66324</v>
      </c>
      <c r="B837" s="9">
        <f>12.3528 * CHOOSE(CONTROL!$C$32, $C$9, 100%, $E$9)</f>
        <v>12.3528</v>
      </c>
      <c r="C837" s="9">
        <f>12.3528 * CHOOSE(CONTROL!$C$32, $C$9, 100%, $E$9)</f>
        <v>12.3528</v>
      </c>
      <c r="D837" s="9">
        <f>12.3544 * CHOOSE(CONTROL!$C$32, $C$9, 100%, $E$9)</f>
        <v>12.3544</v>
      </c>
      <c r="E837" s="11">
        <f>13.7889 * CHOOSE(CONTROL!$C$32, $C$9, 100%, $E$9)</f>
        <v>13.7889</v>
      </c>
      <c r="F837" s="11">
        <f>13.7889 * CHOOSE(CONTROL!$C$32, $C$9, 100%, $E$9)</f>
        <v>13.7889</v>
      </c>
      <c r="G837" s="11">
        <f>13.7942 * CHOOSE(CONTROL!$C$32, $C$9, 100%, $E$9)</f>
        <v>13.7942</v>
      </c>
      <c r="H837" s="11">
        <f>27.8598 * CHOOSE(CONTROL!$C$32, $C$9, 100%, $E$9)</f>
        <v>27.8598</v>
      </c>
      <c r="I837" s="11">
        <f>27.8651 * CHOOSE(CONTROL!$C$32, $C$9, 100%, $E$9)</f>
        <v>27.865100000000002</v>
      </c>
      <c r="J837" s="11">
        <f>27.8598 * CHOOSE(CONTROL!$C$32, $C$9, 100%, $E$9)</f>
        <v>27.8598</v>
      </c>
      <c r="K837" s="11">
        <f>27.8651 * CHOOSE(CONTROL!$C$32, $C$9, 100%, $E$9)</f>
        <v>27.865100000000002</v>
      </c>
      <c r="L837" s="11">
        <f>13.7889 * CHOOSE(CONTROL!$C$32, $C$9, 100%, $E$9)</f>
        <v>13.7889</v>
      </c>
      <c r="M837" s="11">
        <f>13.7942 * CHOOSE(CONTROL!$C$32, $C$9, 100%, $E$9)</f>
        <v>13.7942</v>
      </c>
      <c r="N837" s="11">
        <f>13.7889 * CHOOSE(CONTROL!$C$32, $C$9, 100%, $E$9)</f>
        <v>13.7889</v>
      </c>
      <c r="O837" s="11">
        <f>13.7942 * CHOOSE(CONTROL!$C$32, $C$9, 100%, $E$9)</f>
        <v>13.7942</v>
      </c>
    </row>
    <row r="838" spans="1:15" ht="15" x14ac:dyDescent="0.2">
      <c r="A838" s="13">
        <v>66355</v>
      </c>
      <c r="B838" s="9">
        <f>12.3497 * CHOOSE(CONTROL!$C$32, $C$9, 100%, $E$9)</f>
        <v>12.3497</v>
      </c>
      <c r="C838" s="9">
        <f>12.3497 * CHOOSE(CONTROL!$C$32, $C$9, 100%, $E$9)</f>
        <v>12.3497</v>
      </c>
      <c r="D838" s="9">
        <f>12.3513 * CHOOSE(CONTROL!$C$32, $C$9, 100%, $E$9)</f>
        <v>12.3513</v>
      </c>
      <c r="E838" s="11">
        <f>13.748 * CHOOSE(CONTROL!$C$32, $C$9, 100%, $E$9)</f>
        <v>13.747999999999999</v>
      </c>
      <c r="F838" s="11">
        <f>13.748 * CHOOSE(CONTROL!$C$32, $C$9, 100%, $E$9)</f>
        <v>13.747999999999999</v>
      </c>
      <c r="G838" s="11">
        <f>13.7533 * CHOOSE(CONTROL!$C$32, $C$9, 100%, $E$9)</f>
        <v>13.753299999999999</v>
      </c>
      <c r="H838" s="11">
        <f>27.9178 * CHOOSE(CONTROL!$C$32, $C$9, 100%, $E$9)</f>
        <v>27.9178</v>
      </c>
      <c r="I838" s="11">
        <f>27.9231 * CHOOSE(CONTROL!$C$32, $C$9, 100%, $E$9)</f>
        <v>27.923100000000002</v>
      </c>
      <c r="J838" s="11">
        <f>27.9178 * CHOOSE(CONTROL!$C$32, $C$9, 100%, $E$9)</f>
        <v>27.9178</v>
      </c>
      <c r="K838" s="11">
        <f>27.9231 * CHOOSE(CONTROL!$C$32, $C$9, 100%, $E$9)</f>
        <v>27.923100000000002</v>
      </c>
      <c r="L838" s="11">
        <f>13.748 * CHOOSE(CONTROL!$C$32, $C$9, 100%, $E$9)</f>
        <v>13.747999999999999</v>
      </c>
      <c r="M838" s="11">
        <f>13.7533 * CHOOSE(CONTROL!$C$32, $C$9, 100%, $E$9)</f>
        <v>13.753299999999999</v>
      </c>
      <c r="N838" s="11">
        <f>13.748 * CHOOSE(CONTROL!$C$32, $C$9, 100%, $E$9)</f>
        <v>13.747999999999999</v>
      </c>
      <c r="O838" s="11">
        <f>13.7533 * CHOOSE(CONTROL!$C$32, $C$9, 100%, $E$9)</f>
        <v>13.753299999999999</v>
      </c>
    </row>
    <row r="839" spans="1:15" ht="15" x14ac:dyDescent="0.2">
      <c r="A839" s="13">
        <v>66385</v>
      </c>
      <c r="B839" s="9">
        <f>12.376 * CHOOSE(CONTROL!$C$32, $C$9, 100%, $E$9)</f>
        <v>12.375999999999999</v>
      </c>
      <c r="C839" s="9">
        <f>12.376 * CHOOSE(CONTROL!$C$32, $C$9, 100%, $E$9)</f>
        <v>12.375999999999999</v>
      </c>
      <c r="D839" s="9">
        <f>12.3771 * CHOOSE(CONTROL!$C$32, $C$9, 100%, $E$9)</f>
        <v>12.3771</v>
      </c>
      <c r="E839" s="11">
        <f>13.8899 * CHOOSE(CONTROL!$C$32, $C$9, 100%, $E$9)</f>
        <v>13.889900000000001</v>
      </c>
      <c r="F839" s="11">
        <f>13.8899 * CHOOSE(CONTROL!$C$32, $C$9, 100%, $E$9)</f>
        <v>13.889900000000001</v>
      </c>
      <c r="G839" s="11">
        <f>13.8935 * CHOOSE(CONTROL!$C$32, $C$9, 100%, $E$9)</f>
        <v>13.8935</v>
      </c>
      <c r="H839" s="11">
        <f>27.976 * CHOOSE(CONTROL!$C$32, $C$9, 100%, $E$9)</f>
        <v>27.975999999999999</v>
      </c>
      <c r="I839" s="11">
        <f>27.9796 * CHOOSE(CONTROL!$C$32, $C$9, 100%, $E$9)</f>
        <v>27.979600000000001</v>
      </c>
      <c r="J839" s="11">
        <f>27.976 * CHOOSE(CONTROL!$C$32, $C$9, 100%, $E$9)</f>
        <v>27.975999999999999</v>
      </c>
      <c r="K839" s="11">
        <f>27.9796 * CHOOSE(CONTROL!$C$32, $C$9, 100%, $E$9)</f>
        <v>27.979600000000001</v>
      </c>
      <c r="L839" s="11">
        <f>13.8899 * CHOOSE(CONTROL!$C$32, $C$9, 100%, $E$9)</f>
        <v>13.889900000000001</v>
      </c>
      <c r="M839" s="11">
        <f>13.8935 * CHOOSE(CONTROL!$C$32, $C$9, 100%, $E$9)</f>
        <v>13.8935</v>
      </c>
      <c r="N839" s="11">
        <f>13.8899 * CHOOSE(CONTROL!$C$32, $C$9, 100%, $E$9)</f>
        <v>13.889900000000001</v>
      </c>
      <c r="O839" s="11">
        <f>13.8935 * CHOOSE(CONTROL!$C$32, $C$9, 100%, $E$9)</f>
        <v>13.8935</v>
      </c>
    </row>
    <row r="840" spans="1:15" ht="15" x14ac:dyDescent="0.2">
      <c r="A840" s="13">
        <v>66416</v>
      </c>
      <c r="B840" s="9">
        <f>12.379 * CHOOSE(CONTROL!$C$32, $C$9, 100%, $E$9)</f>
        <v>12.379</v>
      </c>
      <c r="C840" s="9">
        <f>12.379 * CHOOSE(CONTROL!$C$32, $C$9, 100%, $E$9)</f>
        <v>12.379</v>
      </c>
      <c r="D840" s="9">
        <f>12.3801 * CHOOSE(CONTROL!$C$32, $C$9, 100%, $E$9)</f>
        <v>12.380100000000001</v>
      </c>
      <c r="E840" s="11">
        <f>13.9696 * CHOOSE(CONTROL!$C$32, $C$9, 100%, $E$9)</f>
        <v>13.9696</v>
      </c>
      <c r="F840" s="11">
        <f>13.9696 * CHOOSE(CONTROL!$C$32, $C$9, 100%, $E$9)</f>
        <v>13.9696</v>
      </c>
      <c r="G840" s="11">
        <f>13.9732 * CHOOSE(CONTROL!$C$32, $C$9, 100%, $E$9)</f>
        <v>13.9732</v>
      </c>
      <c r="H840" s="11">
        <f>28.0343 * CHOOSE(CONTROL!$C$32, $C$9, 100%, $E$9)</f>
        <v>28.034300000000002</v>
      </c>
      <c r="I840" s="11">
        <f>28.0379 * CHOOSE(CONTROL!$C$32, $C$9, 100%, $E$9)</f>
        <v>28.0379</v>
      </c>
      <c r="J840" s="11">
        <f>28.0343 * CHOOSE(CONTROL!$C$32, $C$9, 100%, $E$9)</f>
        <v>28.034300000000002</v>
      </c>
      <c r="K840" s="11">
        <f>28.0379 * CHOOSE(CONTROL!$C$32, $C$9, 100%, $E$9)</f>
        <v>28.0379</v>
      </c>
      <c r="L840" s="11">
        <f>13.9696 * CHOOSE(CONTROL!$C$32, $C$9, 100%, $E$9)</f>
        <v>13.9696</v>
      </c>
      <c r="M840" s="11">
        <f>13.9732 * CHOOSE(CONTROL!$C$32, $C$9, 100%, $E$9)</f>
        <v>13.9732</v>
      </c>
      <c r="N840" s="11">
        <f>13.9696 * CHOOSE(CONTROL!$C$32, $C$9, 100%, $E$9)</f>
        <v>13.9696</v>
      </c>
      <c r="O840" s="11">
        <f>13.9732 * CHOOSE(CONTROL!$C$32, $C$9, 100%, $E$9)</f>
        <v>13.9732</v>
      </c>
    </row>
    <row r="841" spans="1:15" ht="15" x14ac:dyDescent="0.2">
      <c r="A841" s="13">
        <v>66446</v>
      </c>
      <c r="B841" s="9">
        <f>12.379 * CHOOSE(CONTROL!$C$32, $C$9, 100%, $E$9)</f>
        <v>12.379</v>
      </c>
      <c r="C841" s="9">
        <f>12.379 * CHOOSE(CONTROL!$C$32, $C$9, 100%, $E$9)</f>
        <v>12.379</v>
      </c>
      <c r="D841" s="9">
        <f>12.3801 * CHOOSE(CONTROL!$C$32, $C$9, 100%, $E$9)</f>
        <v>12.380100000000001</v>
      </c>
      <c r="E841" s="11">
        <f>13.7755 * CHOOSE(CONTROL!$C$32, $C$9, 100%, $E$9)</f>
        <v>13.775499999999999</v>
      </c>
      <c r="F841" s="11">
        <f>13.7755 * CHOOSE(CONTROL!$C$32, $C$9, 100%, $E$9)</f>
        <v>13.775499999999999</v>
      </c>
      <c r="G841" s="11">
        <f>13.7791 * CHOOSE(CONTROL!$C$32, $C$9, 100%, $E$9)</f>
        <v>13.7791</v>
      </c>
      <c r="H841" s="11">
        <f>28.0927 * CHOOSE(CONTROL!$C$32, $C$9, 100%, $E$9)</f>
        <v>28.092700000000001</v>
      </c>
      <c r="I841" s="11">
        <f>28.0963 * CHOOSE(CONTROL!$C$32, $C$9, 100%, $E$9)</f>
        <v>28.096299999999999</v>
      </c>
      <c r="J841" s="11">
        <f>28.0927 * CHOOSE(CONTROL!$C$32, $C$9, 100%, $E$9)</f>
        <v>28.092700000000001</v>
      </c>
      <c r="K841" s="11">
        <f>28.0963 * CHOOSE(CONTROL!$C$32, $C$9, 100%, $E$9)</f>
        <v>28.096299999999999</v>
      </c>
      <c r="L841" s="11">
        <f>13.7755 * CHOOSE(CONTROL!$C$32, $C$9, 100%, $E$9)</f>
        <v>13.775499999999999</v>
      </c>
      <c r="M841" s="11">
        <f>13.7791 * CHOOSE(CONTROL!$C$32, $C$9, 100%, $E$9)</f>
        <v>13.7791</v>
      </c>
      <c r="N841" s="11">
        <f>13.7755 * CHOOSE(CONTROL!$C$32, $C$9, 100%, $E$9)</f>
        <v>13.775499999999999</v>
      </c>
      <c r="O841" s="11">
        <f>13.7791 * CHOOSE(CONTROL!$C$32, $C$9, 100%, $E$9)</f>
        <v>13.7791</v>
      </c>
    </row>
    <row r="842" spans="1:15" ht="15" x14ac:dyDescent="0.2">
      <c r="A842" s="13">
        <v>66477</v>
      </c>
      <c r="B842" s="9">
        <f>12.3794 * CHOOSE(CONTROL!$C$32, $C$9, 100%, $E$9)</f>
        <v>12.3794</v>
      </c>
      <c r="C842" s="9">
        <f>12.3794 * CHOOSE(CONTROL!$C$32, $C$9, 100%, $E$9)</f>
        <v>12.3794</v>
      </c>
      <c r="D842" s="9">
        <f>12.3804 * CHOOSE(CONTROL!$C$32, $C$9, 100%, $E$9)</f>
        <v>12.3804</v>
      </c>
      <c r="E842" s="11">
        <f>13.9206 * CHOOSE(CONTROL!$C$32, $C$9, 100%, $E$9)</f>
        <v>13.9206</v>
      </c>
      <c r="F842" s="11">
        <f>13.9206 * CHOOSE(CONTROL!$C$32, $C$9, 100%, $E$9)</f>
        <v>13.9206</v>
      </c>
      <c r="G842" s="11">
        <f>13.9242 * CHOOSE(CONTROL!$C$32, $C$9, 100%, $E$9)</f>
        <v>13.924200000000001</v>
      </c>
      <c r="H842" s="11">
        <f>27.9104 * CHOOSE(CONTROL!$C$32, $C$9, 100%, $E$9)</f>
        <v>27.910399999999999</v>
      </c>
      <c r="I842" s="11">
        <f>27.914 * CHOOSE(CONTROL!$C$32, $C$9, 100%, $E$9)</f>
        <v>27.914000000000001</v>
      </c>
      <c r="J842" s="11">
        <f>27.9104 * CHOOSE(CONTROL!$C$32, $C$9, 100%, $E$9)</f>
        <v>27.910399999999999</v>
      </c>
      <c r="K842" s="11">
        <f>27.914 * CHOOSE(CONTROL!$C$32, $C$9, 100%, $E$9)</f>
        <v>27.914000000000001</v>
      </c>
      <c r="L842" s="11">
        <f>13.9206 * CHOOSE(CONTROL!$C$32, $C$9, 100%, $E$9)</f>
        <v>13.9206</v>
      </c>
      <c r="M842" s="11">
        <f>13.9242 * CHOOSE(CONTROL!$C$32, $C$9, 100%, $E$9)</f>
        <v>13.924200000000001</v>
      </c>
      <c r="N842" s="11">
        <f>13.9206 * CHOOSE(CONTROL!$C$32, $C$9, 100%, $E$9)</f>
        <v>13.9206</v>
      </c>
      <c r="O842" s="11">
        <f>13.9242 * CHOOSE(CONTROL!$C$32, $C$9, 100%, $E$9)</f>
        <v>13.924200000000001</v>
      </c>
    </row>
    <row r="843" spans="1:15" ht="15" x14ac:dyDescent="0.2">
      <c r="A843" s="13">
        <v>66508</v>
      </c>
      <c r="B843" s="9">
        <f>12.3763 * CHOOSE(CONTROL!$C$32, $C$9, 100%, $E$9)</f>
        <v>12.376300000000001</v>
      </c>
      <c r="C843" s="9">
        <f>12.3763 * CHOOSE(CONTROL!$C$32, $C$9, 100%, $E$9)</f>
        <v>12.376300000000001</v>
      </c>
      <c r="D843" s="9">
        <f>12.3774 * CHOOSE(CONTROL!$C$32, $C$9, 100%, $E$9)</f>
        <v>12.3774</v>
      </c>
      <c r="E843" s="11">
        <f>13.5445 * CHOOSE(CONTROL!$C$32, $C$9, 100%, $E$9)</f>
        <v>13.544499999999999</v>
      </c>
      <c r="F843" s="11">
        <f>13.5445 * CHOOSE(CONTROL!$C$32, $C$9, 100%, $E$9)</f>
        <v>13.544499999999999</v>
      </c>
      <c r="G843" s="11">
        <f>13.5481 * CHOOSE(CONTROL!$C$32, $C$9, 100%, $E$9)</f>
        <v>13.5481</v>
      </c>
      <c r="H843" s="11">
        <f>27.9685 * CHOOSE(CONTROL!$C$32, $C$9, 100%, $E$9)</f>
        <v>27.968499999999999</v>
      </c>
      <c r="I843" s="11">
        <f>27.9721 * CHOOSE(CONTROL!$C$32, $C$9, 100%, $E$9)</f>
        <v>27.972100000000001</v>
      </c>
      <c r="J843" s="11">
        <f>27.9685 * CHOOSE(CONTROL!$C$32, $C$9, 100%, $E$9)</f>
        <v>27.968499999999999</v>
      </c>
      <c r="K843" s="11">
        <f>27.9721 * CHOOSE(CONTROL!$C$32, $C$9, 100%, $E$9)</f>
        <v>27.972100000000001</v>
      </c>
      <c r="L843" s="11">
        <f>13.5445 * CHOOSE(CONTROL!$C$32, $C$9, 100%, $E$9)</f>
        <v>13.544499999999999</v>
      </c>
      <c r="M843" s="11">
        <f>13.5481 * CHOOSE(CONTROL!$C$32, $C$9, 100%, $E$9)</f>
        <v>13.5481</v>
      </c>
      <c r="N843" s="11">
        <f>13.5445 * CHOOSE(CONTROL!$C$32, $C$9, 100%, $E$9)</f>
        <v>13.544499999999999</v>
      </c>
      <c r="O843" s="11">
        <f>13.5481 * CHOOSE(CONTROL!$C$32, $C$9, 100%, $E$9)</f>
        <v>13.5481</v>
      </c>
    </row>
    <row r="844" spans="1:15" ht="15" x14ac:dyDescent="0.2">
      <c r="A844" s="13">
        <v>66536</v>
      </c>
      <c r="B844" s="9">
        <f>12.3733 * CHOOSE(CONTROL!$C$32, $C$9, 100%, $E$9)</f>
        <v>12.3733</v>
      </c>
      <c r="C844" s="9">
        <f>12.3733 * CHOOSE(CONTROL!$C$32, $C$9, 100%, $E$9)</f>
        <v>12.3733</v>
      </c>
      <c r="D844" s="9">
        <f>12.3744 * CHOOSE(CONTROL!$C$32, $C$9, 100%, $E$9)</f>
        <v>12.3744</v>
      </c>
      <c r="E844" s="11">
        <f>13.8372 * CHOOSE(CONTROL!$C$32, $C$9, 100%, $E$9)</f>
        <v>13.837199999999999</v>
      </c>
      <c r="F844" s="11">
        <f>13.8372 * CHOOSE(CONTROL!$C$32, $C$9, 100%, $E$9)</f>
        <v>13.837199999999999</v>
      </c>
      <c r="G844" s="11">
        <f>13.8408 * CHOOSE(CONTROL!$C$32, $C$9, 100%, $E$9)</f>
        <v>13.8408</v>
      </c>
      <c r="H844" s="11">
        <f>28.0268 * CHOOSE(CONTROL!$C$32, $C$9, 100%, $E$9)</f>
        <v>28.026800000000001</v>
      </c>
      <c r="I844" s="11">
        <f>28.0304 * CHOOSE(CONTROL!$C$32, $C$9, 100%, $E$9)</f>
        <v>28.0304</v>
      </c>
      <c r="J844" s="11">
        <f>28.0268 * CHOOSE(CONTROL!$C$32, $C$9, 100%, $E$9)</f>
        <v>28.026800000000001</v>
      </c>
      <c r="K844" s="11">
        <f>28.0304 * CHOOSE(CONTROL!$C$32, $C$9, 100%, $E$9)</f>
        <v>28.0304</v>
      </c>
      <c r="L844" s="11">
        <f>13.8372 * CHOOSE(CONTROL!$C$32, $C$9, 100%, $E$9)</f>
        <v>13.837199999999999</v>
      </c>
      <c r="M844" s="11">
        <f>13.8408 * CHOOSE(CONTROL!$C$32, $C$9, 100%, $E$9)</f>
        <v>13.8408</v>
      </c>
      <c r="N844" s="11">
        <f>13.8372 * CHOOSE(CONTROL!$C$32, $C$9, 100%, $E$9)</f>
        <v>13.837199999999999</v>
      </c>
      <c r="O844" s="11">
        <f>13.8408 * CHOOSE(CONTROL!$C$32, $C$9, 100%, $E$9)</f>
        <v>13.8408</v>
      </c>
    </row>
    <row r="845" spans="1:15" ht="15" x14ac:dyDescent="0.2">
      <c r="A845" s="13">
        <v>66567</v>
      </c>
      <c r="B845" s="9">
        <f>12.3791 * CHOOSE(CONTROL!$C$32, $C$9, 100%, $E$9)</f>
        <v>12.379099999999999</v>
      </c>
      <c r="C845" s="9">
        <f>12.3791 * CHOOSE(CONTROL!$C$32, $C$9, 100%, $E$9)</f>
        <v>12.379099999999999</v>
      </c>
      <c r="D845" s="9">
        <f>12.3801 * CHOOSE(CONTROL!$C$32, $C$9, 100%, $E$9)</f>
        <v>12.380100000000001</v>
      </c>
      <c r="E845" s="11">
        <f>14.1495 * CHOOSE(CONTROL!$C$32, $C$9, 100%, $E$9)</f>
        <v>14.1495</v>
      </c>
      <c r="F845" s="11">
        <f>14.1495 * CHOOSE(CONTROL!$C$32, $C$9, 100%, $E$9)</f>
        <v>14.1495</v>
      </c>
      <c r="G845" s="11">
        <f>14.1532 * CHOOSE(CONTROL!$C$32, $C$9, 100%, $E$9)</f>
        <v>14.1532</v>
      </c>
      <c r="H845" s="11">
        <f>28.0852 * CHOOSE(CONTROL!$C$32, $C$9, 100%, $E$9)</f>
        <v>28.0852</v>
      </c>
      <c r="I845" s="11">
        <f>28.0888 * CHOOSE(CONTROL!$C$32, $C$9, 100%, $E$9)</f>
        <v>28.088799999999999</v>
      </c>
      <c r="J845" s="11">
        <f>28.0852 * CHOOSE(CONTROL!$C$32, $C$9, 100%, $E$9)</f>
        <v>28.0852</v>
      </c>
      <c r="K845" s="11">
        <f>28.0888 * CHOOSE(CONTROL!$C$32, $C$9, 100%, $E$9)</f>
        <v>28.088799999999999</v>
      </c>
      <c r="L845" s="11">
        <f>14.1495 * CHOOSE(CONTROL!$C$32, $C$9, 100%, $E$9)</f>
        <v>14.1495</v>
      </c>
      <c r="M845" s="11">
        <f>14.1532 * CHOOSE(CONTROL!$C$32, $C$9, 100%, $E$9)</f>
        <v>14.1532</v>
      </c>
      <c r="N845" s="11">
        <f>14.1495 * CHOOSE(CONTROL!$C$32, $C$9, 100%, $E$9)</f>
        <v>14.1495</v>
      </c>
      <c r="O845" s="11">
        <f>14.1532 * CHOOSE(CONTROL!$C$32, $C$9, 100%, $E$9)</f>
        <v>14.1532</v>
      </c>
    </row>
    <row r="846" spans="1:15" ht="15" x14ac:dyDescent="0.2">
      <c r="A846" s="13">
        <v>66597</v>
      </c>
      <c r="B846" s="9">
        <f>12.3791 * CHOOSE(CONTROL!$C$32, $C$9, 100%, $E$9)</f>
        <v>12.379099999999999</v>
      </c>
      <c r="C846" s="9">
        <f>12.3791 * CHOOSE(CONTROL!$C$32, $C$9, 100%, $E$9)</f>
        <v>12.379099999999999</v>
      </c>
      <c r="D846" s="9">
        <f>12.3806 * CHOOSE(CONTROL!$C$32, $C$9, 100%, $E$9)</f>
        <v>12.380599999999999</v>
      </c>
      <c r="E846" s="11">
        <f>14.2683 * CHOOSE(CONTROL!$C$32, $C$9, 100%, $E$9)</f>
        <v>14.2683</v>
      </c>
      <c r="F846" s="11">
        <f>14.2683 * CHOOSE(CONTROL!$C$32, $C$9, 100%, $E$9)</f>
        <v>14.2683</v>
      </c>
      <c r="G846" s="11">
        <f>14.2736 * CHOOSE(CONTROL!$C$32, $C$9, 100%, $E$9)</f>
        <v>14.2736</v>
      </c>
      <c r="H846" s="11">
        <f>28.1437 * CHOOSE(CONTROL!$C$32, $C$9, 100%, $E$9)</f>
        <v>28.143699999999999</v>
      </c>
      <c r="I846" s="11">
        <f>28.149 * CHOOSE(CONTROL!$C$32, $C$9, 100%, $E$9)</f>
        <v>28.149000000000001</v>
      </c>
      <c r="J846" s="11">
        <f>28.1437 * CHOOSE(CONTROL!$C$32, $C$9, 100%, $E$9)</f>
        <v>28.143699999999999</v>
      </c>
      <c r="K846" s="11">
        <f>28.149 * CHOOSE(CONTROL!$C$32, $C$9, 100%, $E$9)</f>
        <v>28.149000000000001</v>
      </c>
      <c r="L846" s="11">
        <f>14.2683 * CHOOSE(CONTROL!$C$32, $C$9, 100%, $E$9)</f>
        <v>14.2683</v>
      </c>
      <c r="M846" s="11">
        <f>14.2736 * CHOOSE(CONTROL!$C$32, $C$9, 100%, $E$9)</f>
        <v>14.2736</v>
      </c>
      <c r="N846" s="11">
        <f>14.2683 * CHOOSE(CONTROL!$C$32, $C$9, 100%, $E$9)</f>
        <v>14.2683</v>
      </c>
      <c r="O846" s="11">
        <f>14.2736 * CHOOSE(CONTROL!$C$32, $C$9, 100%, $E$9)</f>
        <v>14.2736</v>
      </c>
    </row>
    <row r="847" spans="1:15" ht="15" x14ac:dyDescent="0.2">
      <c r="A847" s="13">
        <v>66628</v>
      </c>
      <c r="B847" s="9">
        <f>12.3851 * CHOOSE(CONTROL!$C$32, $C$9, 100%, $E$9)</f>
        <v>12.3851</v>
      </c>
      <c r="C847" s="9">
        <f>12.3851 * CHOOSE(CONTROL!$C$32, $C$9, 100%, $E$9)</f>
        <v>12.3851</v>
      </c>
      <c r="D847" s="9">
        <f>12.3867 * CHOOSE(CONTROL!$C$32, $C$9, 100%, $E$9)</f>
        <v>12.386699999999999</v>
      </c>
      <c r="E847" s="11">
        <f>14.1538 * CHOOSE(CONTROL!$C$32, $C$9, 100%, $E$9)</f>
        <v>14.1538</v>
      </c>
      <c r="F847" s="11">
        <f>14.1538 * CHOOSE(CONTROL!$C$32, $C$9, 100%, $E$9)</f>
        <v>14.1538</v>
      </c>
      <c r="G847" s="11">
        <f>14.1591 * CHOOSE(CONTROL!$C$32, $C$9, 100%, $E$9)</f>
        <v>14.1591</v>
      </c>
      <c r="H847" s="11">
        <f>28.2023 * CHOOSE(CONTROL!$C$32, $C$9, 100%, $E$9)</f>
        <v>28.202300000000001</v>
      </c>
      <c r="I847" s="11">
        <f>28.2076 * CHOOSE(CONTROL!$C$32, $C$9, 100%, $E$9)</f>
        <v>28.207599999999999</v>
      </c>
      <c r="J847" s="11">
        <f>28.2023 * CHOOSE(CONTROL!$C$32, $C$9, 100%, $E$9)</f>
        <v>28.202300000000001</v>
      </c>
      <c r="K847" s="11">
        <f>28.2076 * CHOOSE(CONTROL!$C$32, $C$9, 100%, $E$9)</f>
        <v>28.207599999999999</v>
      </c>
      <c r="L847" s="11">
        <f>14.1538 * CHOOSE(CONTROL!$C$32, $C$9, 100%, $E$9)</f>
        <v>14.1538</v>
      </c>
      <c r="M847" s="11">
        <f>14.1591 * CHOOSE(CONTROL!$C$32, $C$9, 100%, $E$9)</f>
        <v>14.1591</v>
      </c>
      <c r="N847" s="11">
        <f>14.1538 * CHOOSE(CONTROL!$C$32, $C$9, 100%, $E$9)</f>
        <v>14.1538</v>
      </c>
      <c r="O847" s="11">
        <f>14.1591 * CHOOSE(CONTROL!$C$32, $C$9, 100%, $E$9)</f>
        <v>14.1591</v>
      </c>
    </row>
    <row r="848" spans="1:15" ht="15" x14ac:dyDescent="0.2">
      <c r="A848" s="13">
        <v>66658</v>
      </c>
      <c r="B848" s="9">
        <f>12.5357 * CHOOSE(CONTROL!$C$32, $C$9, 100%, $E$9)</f>
        <v>12.5357</v>
      </c>
      <c r="C848" s="9">
        <f>12.5357 * CHOOSE(CONTROL!$C$32, $C$9, 100%, $E$9)</f>
        <v>12.5357</v>
      </c>
      <c r="D848" s="9">
        <f>12.5373 * CHOOSE(CONTROL!$C$32, $C$9, 100%, $E$9)</f>
        <v>12.5373</v>
      </c>
      <c r="E848" s="11">
        <f>14.3539 * CHOOSE(CONTROL!$C$32, $C$9, 100%, $E$9)</f>
        <v>14.353899999999999</v>
      </c>
      <c r="F848" s="11">
        <f>14.3539 * CHOOSE(CONTROL!$C$32, $C$9, 100%, $E$9)</f>
        <v>14.353899999999999</v>
      </c>
      <c r="G848" s="11">
        <f>14.3591 * CHOOSE(CONTROL!$C$32, $C$9, 100%, $E$9)</f>
        <v>14.3591</v>
      </c>
      <c r="H848" s="11">
        <f>28.2611 * CHOOSE(CONTROL!$C$32, $C$9, 100%, $E$9)</f>
        <v>28.261099999999999</v>
      </c>
      <c r="I848" s="11">
        <f>28.2664 * CHOOSE(CONTROL!$C$32, $C$9, 100%, $E$9)</f>
        <v>28.266400000000001</v>
      </c>
      <c r="J848" s="11">
        <f>28.2611 * CHOOSE(CONTROL!$C$32, $C$9, 100%, $E$9)</f>
        <v>28.261099999999999</v>
      </c>
      <c r="K848" s="11">
        <f>28.2664 * CHOOSE(CONTROL!$C$32, $C$9, 100%, $E$9)</f>
        <v>28.266400000000001</v>
      </c>
      <c r="L848" s="11">
        <f>14.3539 * CHOOSE(CONTROL!$C$32, $C$9, 100%, $E$9)</f>
        <v>14.353899999999999</v>
      </c>
      <c r="M848" s="11">
        <f>14.3591 * CHOOSE(CONTROL!$C$32, $C$9, 100%, $E$9)</f>
        <v>14.3591</v>
      </c>
      <c r="N848" s="11">
        <f>14.3539 * CHOOSE(CONTROL!$C$32, $C$9, 100%, $E$9)</f>
        <v>14.353899999999999</v>
      </c>
      <c r="O848" s="11">
        <f>14.3591 * CHOOSE(CONTROL!$C$32, $C$9, 100%, $E$9)</f>
        <v>14.3591</v>
      </c>
    </row>
    <row r="849" spans="1:15" ht="15" x14ac:dyDescent="0.2">
      <c r="A849" s="13">
        <v>66689</v>
      </c>
      <c r="B849" s="9">
        <f>12.5424 * CHOOSE(CONTROL!$C$32, $C$9, 100%, $E$9)</f>
        <v>12.542400000000001</v>
      </c>
      <c r="C849" s="9">
        <f>12.5424 * CHOOSE(CONTROL!$C$32, $C$9, 100%, $E$9)</f>
        <v>12.542400000000001</v>
      </c>
      <c r="D849" s="9">
        <f>12.544 * CHOOSE(CONTROL!$C$32, $C$9, 100%, $E$9)</f>
        <v>12.544</v>
      </c>
      <c r="E849" s="11">
        <f>14.0024 * CHOOSE(CONTROL!$C$32, $C$9, 100%, $E$9)</f>
        <v>14.0024</v>
      </c>
      <c r="F849" s="11">
        <f>14.0024 * CHOOSE(CONTROL!$C$32, $C$9, 100%, $E$9)</f>
        <v>14.0024</v>
      </c>
      <c r="G849" s="11">
        <f>14.0076 * CHOOSE(CONTROL!$C$32, $C$9, 100%, $E$9)</f>
        <v>14.0076</v>
      </c>
      <c r="H849" s="11">
        <f>28.32 * CHOOSE(CONTROL!$C$32, $C$9, 100%, $E$9)</f>
        <v>28.32</v>
      </c>
      <c r="I849" s="11">
        <f>28.3253 * CHOOSE(CONTROL!$C$32, $C$9, 100%, $E$9)</f>
        <v>28.325299999999999</v>
      </c>
      <c r="J849" s="11">
        <f>28.32 * CHOOSE(CONTROL!$C$32, $C$9, 100%, $E$9)</f>
        <v>28.32</v>
      </c>
      <c r="K849" s="11">
        <f>28.3253 * CHOOSE(CONTROL!$C$32, $C$9, 100%, $E$9)</f>
        <v>28.325299999999999</v>
      </c>
      <c r="L849" s="11">
        <f>14.0024 * CHOOSE(CONTROL!$C$32, $C$9, 100%, $E$9)</f>
        <v>14.0024</v>
      </c>
      <c r="M849" s="11">
        <f>14.0076 * CHOOSE(CONTROL!$C$32, $C$9, 100%, $E$9)</f>
        <v>14.0076</v>
      </c>
      <c r="N849" s="11">
        <f>14.0024 * CHOOSE(CONTROL!$C$32, $C$9, 100%, $E$9)</f>
        <v>14.0024</v>
      </c>
      <c r="O849" s="11">
        <f>14.0076 * CHOOSE(CONTROL!$C$32, $C$9, 100%, $E$9)</f>
        <v>14.0076</v>
      </c>
    </row>
    <row r="850" spans="1:15" ht="15" x14ac:dyDescent="0.2">
      <c r="A850" s="13">
        <v>66720</v>
      </c>
      <c r="B850" s="9">
        <f>12.5393 * CHOOSE(CONTROL!$C$32, $C$9, 100%, $E$9)</f>
        <v>12.539300000000001</v>
      </c>
      <c r="C850" s="9">
        <f>12.5393 * CHOOSE(CONTROL!$C$32, $C$9, 100%, $E$9)</f>
        <v>12.539300000000001</v>
      </c>
      <c r="D850" s="9">
        <f>12.5409 * CHOOSE(CONTROL!$C$32, $C$9, 100%, $E$9)</f>
        <v>12.540900000000001</v>
      </c>
      <c r="E850" s="11">
        <f>13.9607 * CHOOSE(CONTROL!$C$32, $C$9, 100%, $E$9)</f>
        <v>13.960699999999999</v>
      </c>
      <c r="F850" s="11">
        <f>13.9607 * CHOOSE(CONTROL!$C$32, $C$9, 100%, $E$9)</f>
        <v>13.960699999999999</v>
      </c>
      <c r="G850" s="11">
        <f>13.966 * CHOOSE(CONTROL!$C$32, $C$9, 100%, $E$9)</f>
        <v>13.965999999999999</v>
      </c>
      <c r="H850" s="11">
        <f>28.379 * CHOOSE(CONTROL!$C$32, $C$9, 100%, $E$9)</f>
        <v>28.379000000000001</v>
      </c>
      <c r="I850" s="11">
        <f>28.3843 * CHOOSE(CONTROL!$C$32, $C$9, 100%, $E$9)</f>
        <v>28.3843</v>
      </c>
      <c r="J850" s="11">
        <f>28.379 * CHOOSE(CONTROL!$C$32, $C$9, 100%, $E$9)</f>
        <v>28.379000000000001</v>
      </c>
      <c r="K850" s="11">
        <f>28.3843 * CHOOSE(CONTROL!$C$32, $C$9, 100%, $E$9)</f>
        <v>28.3843</v>
      </c>
      <c r="L850" s="11">
        <f>13.9607 * CHOOSE(CONTROL!$C$32, $C$9, 100%, $E$9)</f>
        <v>13.960699999999999</v>
      </c>
      <c r="M850" s="11">
        <f>13.966 * CHOOSE(CONTROL!$C$32, $C$9, 100%, $E$9)</f>
        <v>13.965999999999999</v>
      </c>
      <c r="N850" s="11">
        <f>13.9607 * CHOOSE(CONTROL!$C$32, $C$9, 100%, $E$9)</f>
        <v>13.960699999999999</v>
      </c>
      <c r="O850" s="11">
        <f>13.966 * CHOOSE(CONTROL!$C$32, $C$9, 100%, $E$9)</f>
        <v>13.965999999999999</v>
      </c>
    </row>
    <row r="851" spans="1:15" ht="15" x14ac:dyDescent="0.2">
      <c r="A851" s="13">
        <v>66750</v>
      </c>
      <c r="B851" s="9">
        <f>12.5663 * CHOOSE(CONTROL!$C$32, $C$9, 100%, $E$9)</f>
        <v>12.5663</v>
      </c>
      <c r="C851" s="9">
        <f>12.5663 * CHOOSE(CONTROL!$C$32, $C$9, 100%, $E$9)</f>
        <v>12.5663</v>
      </c>
      <c r="D851" s="9">
        <f>12.5674 * CHOOSE(CONTROL!$C$32, $C$9, 100%, $E$9)</f>
        <v>12.567399999999999</v>
      </c>
      <c r="E851" s="11">
        <f>14.1055 * CHOOSE(CONTROL!$C$32, $C$9, 100%, $E$9)</f>
        <v>14.105499999999999</v>
      </c>
      <c r="F851" s="11">
        <f>14.1055 * CHOOSE(CONTROL!$C$32, $C$9, 100%, $E$9)</f>
        <v>14.105499999999999</v>
      </c>
      <c r="G851" s="11">
        <f>14.1092 * CHOOSE(CONTROL!$C$32, $C$9, 100%, $E$9)</f>
        <v>14.1092</v>
      </c>
      <c r="H851" s="11">
        <f>28.4381 * CHOOSE(CONTROL!$C$32, $C$9, 100%, $E$9)</f>
        <v>28.438099999999999</v>
      </c>
      <c r="I851" s="11">
        <f>28.4417 * CHOOSE(CONTROL!$C$32, $C$9, 100%, $E$9)</f>
        <v>28.441700000000001</v>
      </c>
      <c r="J851" s="11">
        <f>28.4381 * CHOOSE(CONTROL!$C$32, $C$9, 100%, $E$9)</f>
        <v>28.438099999999999</v>
      </c>
      <c r="K851" s="11">
        <f>28.4417 * CHOOSE(CONTROL!$C$32, $C$9, 100%, $E$9)</f>
        <v>28.441700000000001</v>
      </c>
      <c r="L851" s="11">
        <f>14.1055 * CHOOSE(CONTROL!$C$32, $C$9, 100%, $E$9)</f>
        <v>14.105499999999999</v>
      </c>
      <c r="M851" s="11">
        <f>14.1092 * CHOOSE(CONTROL!$C$32, $C$9, 100%, $E$9)</f>
        <v>14.1092</v>
      </c>
      <c r="N851" s="11">
        <f>14.1055 * CHOOSE(CONTROL!$C$32, $C$9, 100%, $E$9)</f>
        <v>14.105499999999999</v>
      </c>
      <c r="O851" s="11">
        <f>14.1092 * CHOOSE(CONTROL!$C$32, $C$9, 100%, $E$9)</f>
        <v>14.1092</v>
      </c>
    </row>
    <row r="852" spans="1:15" ht="15" x14ac:dyDescent="0.2">
      <c r="A852" s="13">
        <v>66781</v>
      </c>
      <c r="B852" s="9">
        <f>12.5694 * CHOOSE(CONTROL!$C$32, $C$9, 100%, $E$9)</f>
        <v>12.5694</v>
      </c>
      <c r="C852" s="9">
        <f>12.5694 * CHOOSE(CONTROL!$C$32, $C$9, 100%, $E$9)</f>
        <v>12.5694</v>
      </c>
      <c r="D852" s="9">
        <f>12.5704 * CHOOSE(CONTROL!$C$32, $C$9, 100%, $E$9)</f>
        <v>12.570399999999999</v>
      </c>
      <c r="E852" s="11">
        <f>14.1868 * CHOOSE(CONTROL!$C$32, $C$9, 100%, $E$9)</f>
        <v>14.1868</v>
      </c>
      <c r="F852" s="11">
        <f>14.1868 * CHOOSE(CONTROL!$C$32, $C$9, 100%, $E$9)</f>
        <v>14.1868</v>
      </c>
      <c r="G852" s="11">
        <f>14.1904 * CHOOSE(CONTROL!$C$32, $C$9, 100%, $E$9)</f>
        <v>14.1904</v>
      </c>
      <c r="H852" s="11">
        <f>28.4973 * CHOOSE(CONTROL!$C$32, $C$9, 100%, $E$9)</f>
        <v>28.497299999999999</v>
      </c>
      <c r="I852" s="11">
        <f>28.5009 * CHOOSE(CONTROL!$C$32, $C$9, 100%, $E$9)</f>
        <v>28.500900000000001</v>
      </c>
      <c r="J852" s="11">
        <f>28.4973 * CHOOSE(CONTROL!$C$32, $C$9, 100%, $E$9)</f>
        <v>28.497299999999999</v>
      </c>
      <c r="K852" s="11">
        <f>28.5009 * CHOOSE(CONTROL!$C$32, $C$9, 100%, $E$9)</f>
        <v>28.500900000000001</v>
      </c>
      <c r="L852" s="11">
        <f>14.1868 * CHOOSE(CONTROL!$C$32, $C$9, 100%, $E$9)</f>
        <v>14.1868</v>
      </c>
      <c r="M852" s="11">
        <f>14.1904 * CHOOSE(CONTROL!$C$32, $C$9, 100%, $E$9)</f>
        <v>14.1904</v>
      </c>
      <c r="N852" s="11">
        <f>14.1868 * CHOOSE(CONTROL!$C$32, $C$9, 100%, $E$9)</f>
        <v>14.1868</v>
      </c>
      <c r="O852" s="11">
        <f>14.1904 * CHOOSE(CONTROL!$C$32, $C$9, 100%, $E$9)</f>
        <v>14.1904</v>
      </c>
    </row>
    <row r="853" spans="1:15" ht="15" x14ac:dyDescent="0.2">
      <c r="A853" s="13">
        <v>66811</v>
      </c>
      <c r="B853" s="9">
        <f>12.5694 * CHOOSE(CONTROL!$C$32, $C$9, 100%, $E$9)</f>
        <v>12.5694</v>
      </c>
      <c r="C853" s="9">
        <f>12.5694 * CHOOSE(CONTROL!$C$32, $C$9, 100%, $E$9)</f>
        <v>12.5694</v>
      </c>
      <c r="D853" s="9">
        <f>12.5704 * CHOOSE(CONTROL!$C$32, $C$9, 100%, $E$9)</f>
        <v>12.570399999999999</v>
      </c>
      <c r="E853" s="11">
        <f>13.9889 * CHOOSE(CONTROL!$C$32, $C$9, 100%, $E$9)</f>
        <v>13.988899999999999</v>
      </c>
      <c r="F853" s="11">
        <f>13.9889 * CHOOSE(CONTROL!$C$32, $C$9, 100%, $E$9)</f>
        <v>13.988899999999999</v>
      </c>
      <c r="G853" s="11">
        <f>13.9926 * CHOOSE(CONTROL!$C$32, $C$9, 100%, $E$9)</f>
        <v>13.992599999999999</v>
      </c>
      <c r="H853" s="11">
        <f>28.5567 * CHOOSE(CONTROL!$C$32, $C$9, 100%, $E$9)</f>
        <v>28.556699999999999</v>
      </c>
      <c r="I853" s="11">
        <f>28.5603 * CHOOSE(CONTROL!$C$32, $C$9, 100%, $E$9)</f>
        <v>28.560300000000002</v>
      </c>
      <c r="J853" s="11">
        <f>28.5567 * CHOOSE(CONTROL!$C$32, $C$9, 100%, $E$9)</f>
        <v>28.556699999999999</v>
      </c>
      <c r="K853" s="11">
        <f>28.5603 * CHOOSE(CONTROL!$C$32, $C$9, 100%, $E$9)</f>
        <v>28.560300000000002</v>
      </c>
      <c r="L853" s="11">
        <f>13.9889 * CHOOSE(CONTROL!$C$32, $C$9, 100%, $E$9)</f>
        <v>13.988899999999999</v>
      </c>
      <c r="M853" s="11">
        <f>13.9926 * CHOOSE(CONTROL!$C$32, $C$9, 100%, $E$9)</f>
        <v>13.992599999999999</v>
      </c>
      <c r="N853" s="11">
        <f>13.9889 * CHOOSE(CONTROL!$C$32, $C$9, 100%, $E$9)</f>
        <v>13.988899999999999</v>
      </c>
      <c r="O853" s="11">
        <f>13.9926 * CHOOSE(CONTROL!$C$32, $C$9, 100%, $E$9)</f>
        <v>13.992599999999999</v>
      </c>
    </row>
    <row r="854" spans="1:15" ht="15" x14ac:dyDescent="0.2">
      <c r="A854" s="13">
        <v>66842</v>
      </c>
      <c r="B854" s="9">
        <f>12.5667 * CHOOSE(CONTROL!$C$32, $C$9, 100%, $E$9)</f>
        <v>12.566700000000001</v>
      </c>
      <c r="C854" s="9">
        <f>12.5667 * CHOOSE(CONTROL!$C$32, $C$9, 100%, $E$9)</f>
        <v>12.566700000000001</v>
      </c>
      <c r="D854" s="9">
        <f>12.5678 * CHOOSE(CONTROL!$C$32, $C$9, 100%, $E$9)</f>
        <v>12.5678</v>
      </c>
      <c r="E854" s="11">
        <f>14.1331 * CHOOSE(CONTROL!$C$32, $C$9, 100%, $E$9)</f>
        <v>14.133100000000001</v>
      </c>
      <c r="F854" s="11">
        <f>14.1331 * CHOOSE(CONTROL!$C$32, $C$9, 100%, $E$9)</f>
        <v>14.133100000000001</v>
      </c>
      <c r="G854" s="11">
        <f>14.1367 * CHOOSE(CONTROL!$C$32, $C$9, 100%, $E$9)</f>
        <v>14.136699999999999</v>
      </c>
      <c r="H854" s="11">
        <f>28.3639 * CHOOSE(CONTROL!$C$32, $C$9, 100%, $E$9)</f>
        <v>28.363900000000001</v>
      </c>
      <c r="I854" s="11">
        <f>28.3675 * CHOOSE(CONTROL!$C$32, $C$9, 100%, $E$9)</f>
        <v>28.3675</v>
      </c>
      <c r="J854" s="11">
        <f>28.3639 * CHOOSE(CONTROL!$C$32, $C$9, 100%, $E$9)</f>
        <v>28.363900000000001</v>
      </c>
      <c r="K854" s="11">
        <f>28.3675 * CHOOSE(CONTROL!$C$32, $C$9, 100%, $E$9)</f>
        <v>28.3675</v>
      </c>
      <c r="L854" s="11">
        <f>14.1331 * CHOOSE(CONTROL!$C$32, $C$9, 100%, $E$9)</f>
        <v>14.133100000000001</v>
      </c>
      <c r="M854" s="11">
        <f>14.1367 * CHOOSE(CONTROL!$C$32, $C$9, 100%, $E$9)</f>
        <v>14.136699999999999</v>
      </c>
      <c r="N854" s="11">
        <f>14.1331 * CHOOSE(CONTROL!$C$32, $C$9, 100%, $E$9)</f>
        <v>14.133100000000001</v>
      </c>
      <c r="O854" s="11">
        <f>14.1367 * CHOOSE(CONTROL!$C$32, $C$9, 100%, $E$9)</f>
        <v>14.136699999999999</v>
      </c>
    </row>
    <row r="855" spans="1:15" ht="15" x14ac:dyDescent="0.2">
      <c r="A855" s="13">
        <v>66873</v>
      </c>
      <c r="B855" s="9">
        <f>12.5637 * CHOOSE(CONTROL!$C$32, $C$9, 100%, $E$9)</f>
        <v>12.563700000000001</v>
      </c>
      <c r="C855" s="9">
        <f>12.5637 * CHOOSE(CONTROL!$C$32, $C$9, 100%, $E$9)</f>
        <v>12.563700000000001</v>
      </c>
      <c r="D855" s="9">
        <f>12.5648 * CHOOSE(CONTROL!$C$32, $C$9, 100%, $E$9)</f>
        <v>12.5648</v>
      </c>
      <c r="E855" s="11">
        <f>13.7499 * CHOOSE(CONTROL!$C$32, $C$9, 100%, $E$9)</f>
        <v>13.7499</v>
      </c>
      <c r="F855" s="11">
        <f>13.7499 * CHOOSE(CONTROL!$C$32, $C$9, 100%, $E$9)</f>
        <v>13.7499</v>
      </c>
      <c r="G855" s="11">
        <f>13.7535 * CHOOSE(CONTROL!$C$32, $C$9, 100%, $E$9)</f>
        <v>13.753500000000001</v>
      </c>
      <c r="H855" s="11">
        <f>28.423 * CHOOSE(CONTROL!$C$32, $C$9, 100%, $E$9)</f>
        <v>28.422999999999998</v>
      </c>
      <c r="I855" s="11">
        <f>28.4266 * CHOOSE(CONTROL!$C$32, $C$9, 100%, $E$9)</f>
        <v>28.426600000000001</v>
      </c>
      <c r="J855" s="11">
        <f>28.423 * CHOOSE(CONTROL!$C$32, $C$9, 100%, $E$9)</f>
        <v>28.422999999999998</v>
      </c>
      <c r="K855" s="11">
        <f>28.4266 * CHOOSE(CONTROL!$C$32, $C$9, 100%, $E$9)</f>
        <v>28.426600000000001</v>
      </c>
      <c r="L855" s="11">
        <f>13.7499 * CHOOSE(CONTROL!$C$32, $C$9, 100%, $E$9)</f>
        <v>13.7499</v>
      </c>
      <c r="M855" s="11">
        <f>13.7535 * CHOOSE(CONTROL!$C$32, $C$9, 100%, $E$9)</f>
        <v>13.753500000000001</v>
      </c>
      <c r="N855" s="11">
        <f>13.7499 * CHOOSE(CONTROL!$C$32, $C$9, 100%, $E$9)</f>
        <v>13.7499</v>
      </c>
      <c r="O855" s="11">
        <f>13.7535 * CHOOSE(CONTROL!$C$32, $C$9, 100%, $E$9)</f>
        <v>13.753500000000001</v>
      </c>
    </row>
    <row r="856" spans="1:15" ht="15" x14ac:dyDescent="0.2">
      <c r="A856" s="13">
        <v>66901</v>
      </c>
      <c r="B856" s="9">
        <f>12.5606 * CHOOSE(CONTROL!$C$32, $C$9, 100%, $E$9)</f>
        <v>12.560600000000001</v>
      </c>
      <c r="C856" s="9">
        <f>12.5606 * CHOOSE(CONTROL!$C$32, $C$9, 100%, $E$9)</f>
        <v>12.560600000000001</v>
      </c>
      <c r="D856" s="9">
        <f>12.5617 * CHOOSE(CONTROL!$C$32, $C$9, 100%, $E$9)</f>
        <v>12.5617</v>
      </c>
      <c r="E856" s="11">
        <f>14.0482 * CHOOSE(CONTROL!$C$32, $C$9, 100%, $E$9)</f>
        <v>14.0482</v>
      </c>
      <c r="F856" s="11">
        <f>14.0482 * CHOOSE(CONTROL!$C$32, $C$9, 100%, $E$9)</f>
        <v>14.0482</v>
      </c>
      <c r="G856" s="11">
        <f>14.0518 * CHOOSE(CONTROL!$C$32, $C$9, 100%, $E$9)</f>
        <v>14.0518</v>
      </c>
      <c r="H856" s="11">
        <f>28.4822 * CHOOSE(CONTROL!$C$32, $C$9, 100%, $E$9)</f>
        <v>28.482199999999999</v>
      </c>
      <c r="I856" s="11">
        <f>28.4858 * CHOOSE(CONTROL!$C$32, $C$9, 100%, $E$9)</f>
        <v>28.485800000000001</v>
      </c>
      <c r="J856" s="11">
        <f>28.4822 * CHOOSE(CONTROL!$C$32, $C$9, 100%, $E$9)</f>
        <v>28.482199999999999</v>
      </c>
      <c r="K856" s="11">
        <f>28.4858 * CHOOSE(CONTROL!$C$32, $C$9, 100%, $E$9)</f>
        <v>28.485800000000001</v>
      </c>
      <c r="L856" s="11">
        <f>14.0482 * CHOOSE(CONTROL!$C$32, $C$9, 100%, $E$9)</f>
        <v>14.0482</v>
      </c>
      <c r="M856" s="11">
        <f>14.0518 * CHOOSE(CONTROL!$C$32, $C$9, 100%, $E$9)</f>
        <v>14.0518</v>
      </c>
      <c r="N856" s="11">
        <f>14.0482 * CHOOSE(CONTROL!$C$32, $C$9, 100%, $E$9)</f>
        <v>14.0482</v>
      </c>
      <c r="O856" s="11">
        <f>14.0518 * CHOOSE(CONTROL!$C$32, $C$9, 100%, $E$9)</f>
        <v>14.0518</v>
      </c>
    </row>
    <row r="857" spans="1:15" ht="15" x14ac:dyDescent="0.2">
      <c r="A857" s="13">
        <v>66932</v>
      </c>
      <c r="B857" s="9">
        <f>12.5666 * CHOOSE(CONTROL!$C$32, $C$9, 100%, $E$9)</f>
        <v>12.566599999999999</v>
      </c>
      <c r="C857" s="9">
        <f>12.5666 * CHOOSE(CONTROL!$C$32, $C$9, 100%, $E$9)</f>
        <v>12.566599999999999</v>
      </c>
      <c r="D857" s="9">
        <f>12.5677 * CHOOSE(CONTROL!$C$32, $C$9, 100%, $E$9)</f>
        <v>12.5677</v>
      </c>
      <c r="E857" s="11">
        <f>14.3665 * CHOOSE(CONTROL!$C$32, $C$9, 100%, $E$9)</f>
        <v>14.3665</v>
      </c>
      <c r="F857" s="11">
        <f>14.3665 * CHOOSE(CONTROL!$C$32, $C$9, 100%, $E$9)</f>
        <v>14.3665</v>
      </c>
      <c r="G857" s="11">
        <f>14.3702 * CHOOSE(CONTROL!$C$32, $C$9, 100%, $E$9)</f>
        <v>14.370200000000001</v>
      </c>
      <c r="H857" s="11">
        <f>28.5415 * CHOOSE(CONTROL!$C$32, $C$9, 100%, $E$9)</f>
        <v>28.541499999999999</v>
      </c>
      <c r="I857" s="11">
        <f>28.5451 * CHOOSE(CONTROL!$C$32, $C$9, 100%, $E$9)</f>
        <v>28.545100000000001</v>
      </c>
      <c r="J857" s="11">
        <f>28.5415 * CHOOSE(CONTROL!$C$32, $C$9, 100%, $E$9)</f>
        <v>28.541499999999999</v>
      </c>
      <c r="K857" s="11">
        <f>28.5451 * CHOOSE(CONTROL!$C$32, $C$9, 100%, $E$9)</f>
        <v>28.545100000000001</v>
      </c>
      <c r="L857" s="11">
        <f>14.3665 * CHOOSE(CONTROL!$C$32, $C$9, 100%, $E$9)</f>
        <v>14.3665</v>
      </c>
      <c r="M857" s="11">
        <f>14.3702 * CHOOSE(CONTROL!$C$32, $C$9, 100%, $E$9)</f>
        <v>14.370200000000001</v>
      </c>
      <c r="N857" s="11">
        <f>14.3665 * CHOOSE(CONTROL!$C$32, $C$9, 100%, $E$9)</f>
        <v>14.3665</v>
      </c>
      <c r="O857" s="11">
        <f>14.3702 * CHOOSE(CONTROL!$C$32, $C$9, 100%, $E$9)</f>
        <v>14.370200000000001</v>
      </c>
    </row>
    <row r="858" spans="1:15" ht="15" x14ac:dyDescent="0.2">
      <c r="A858" s="13">
        <v>66962</v>
      </c>
      <c r="B858" s="9">
        <f>12.5666 * CHOOSE(CONTROL!$C$32, $C$9, 100%, $E$9)</f>
        <v>12.566599999999999</v>
      </c>
      <c r="C858" s="9">
        <f>12.5666 * CHOOSE(CONTROL!$C$32, $C$9, 100%, $E$9)</f>
        <v>12.566599999999999</v>
      </c>
      <c r="D858" s="9">
        <f>12.5682 * CHOOSE(CONTROL!$C$32, $C$9, 100%, $E$9)</f>
        <v>12.568199999999999</v>
      </c>
      <c r="E858" s="11">
        <f>14.4875 * CHOOSE(CONTROL!$C$32, $C$9, 100%, $E$9)</f>
        <v>14.487500000000001</v>
      </c>
      <c r="F858" s="11">
        <f>14.4875 * CHOOSE(CONTROL!$C$32, $C$9, 100%, $E$9)</f>
        <v>14.487500000000001</v>
      </c>
      <c r="G858" s="11">
        <f>14.4928 * CHOOSE(CONTROL!$C$32, $C$9, 100%, $E$9)</f>
        <v>14.492800000000001</v>
      </c>
      <c r="H858" s="11">
        <f>28.601 * CHOOSE(CONTROL!$C$32, $C$9, 100%, $E$9)</f>
        <v>28.600999999999999</v>
      </c>
      <c r="I858" s="11">
        <f>28.6063 * CHOOSE(CONTROL!$C$32, $C$9, 100%, $E$9)</f>
        <v>28.606300000000001</v>
      </c>
      <c r="J858" s="11">
        <f>28.601 * CHOOSE(CONTROL!$C$32, $C$9, 100%, $E$9)</f>
        <v>28.600999999999999</v>
      </c>
      <c r="K858" s="11">
        <f>28.6063 * CHOOSE(CONTROL!$C$32, $C$9, 100%, $E$9)</f>
        <v>28.606300000000001</v>
      </c>
      <c r="L858" s="11">
        <f>14.4875 * CHOOSE(CONTROL!$C$32, $C$9, 100%, $E$9)</f>
        <v>14.487500000000001</v>
      </c>
      <c r="M858" s="11">
        <f>14.4928 * CHOOSE(CONTROL!$C$32, $C$9, 100%, $E$9)</f>
        <v>14.492800000000001</v>
      </c>
      <c r="N858" s="11">
        <f>14.4875 * CHOOSE(CONTROL!$C$32, $C$9, 100%, $E$9)</f>
        <v>14.487500000000001</v>
      </c>
      <c r="O858" s="11">
        <f>14.4928 * CHOOSE(CONTROL!$C$32, $C$9, 100%, $E$9)</f>
        <v>14.492800000000001</v>
      </c>
    </row>
    <row r="859" spans="1:15" ht="15" x14ac:dyDescent="0.2">
      <c r="A859" s="13">
        <v>66993</v>
      </c>
      <c r="B859" s="9">
        <f>12.5727 * CHOOSE(CONTROL!$C$32, $C$9, 100%, $E$9)</f>
        <v>12.572699999999999</v>
      </c>
      <c r="C859" s="9">
        <f>12.5727 * CHOOSE(CONTROL!$C$32, $C$9, 100%, $E$9)</f>
        <v>12.572699999999999</v>
      </c>
      <c r="D859" s="9">
        <f>12.5743 * CHOOSE(CONTROL!$C$32, $C$9, 100%, $E$9)</f>
        <v>12.574299999999999</v>
      </c>
      <c r="E859" s="11">
        <f>14.3708 * CHOOSE(CONTROL!$C$32, $C$9, 100%, $E$9)</f>
        <v>14.370799999999999</v>
      </c>
      <c r="F859" s="11">
        <f>14.3708 * CHOOSE(CONTROL!$C$32, $C$9, 100%, $E$9)</f>
        <v>14.370799999999999</v>
      </c>
      <c r="G859" s="11">
        <f>14.3761 * CHOOSE(CONTROL!$C$32, $C$9, 100%, $E$9)</f>
        <v>14.376099999999999</v>
      </c>
      <c r="H859" s="11">
        <f>28.6606 * CHOOSE(CONTROL!$C$32, $C$9, 100%, $E$9)</f>
        <v>28.660599999999999</v>
      </c>
      <c r="I859" s="11">
        <f>28.6659 * CHOOSE(CONTROL!$C$32, $C$9, 100%, $E$9)</f>
        <v>28.665900000000001</v>
      </c>
      <c r="J859" s="11">
        <f>28.6606 * CHOOSE(CONTROL!$C$32, $C$9, 100%, $E$9)</f>
        <v>28.660599999999999</v>
      </c>
      <c r="K859" s="11">
        <f>28.6659 * CHOOSE(CONTROL!$C$32, $C$9, 100%, $E$9)</f>
        <v>28.665900000000001</v>
      </c>
      <c r="L859" s="11">
        <f>14.3708 * CHOOSE(CONTROL!$C$32, $C$9, 100%, $E$9)</f>
        <v>14.370799999999999</v>
      </c>
      <c r="M859" s="11">
        <f>14.3761 * CHOOSE(CONTROL!$C$32, $C$9, 100%, $E$9)</f>
        <v>14.376099999999999</v>
      </c>
      <c r="N859" s="11">
        <f>14.3708 * CHOOSE(CONTROL!$C$32, $C$9, 100%, $E$9)</f>
        <v>14.370799999999999</v>
      </c>
      <c r="O859" s="11">
        <f>14.3761 * CHOOSE(CONTROL!$C$32, $C$9, 100%, $E$9)</f>
        <v>14.376099999999999</v>
      </c>
    </row>
    <row r="860" spans="1:15" ht="15" x14ac:dyDescent="0.2">
      <c r="A860" s="13">
        <v>67023</v>
      </c>
      <c r="B860" s="9">
        <f>12.7253 * CHOOSE(CONTROL!$C$32, $C$9, 100%, $E$9)</f>
        <v>12.725300000000001</v>
      </c>
      <c r="C860" s="9">
        <f>12.7253 * CHOOSE(CONTROL!$C$32, $C$9, 100%, $E$9)</f>
        <v>12.725300000000001</v>
      </c>
      <c r="D860" s="9">
        <f>12.7269 * CHOOSE(CONTROL!$C$32, $C$9, 100%, $E$9)</f>
        <v>12.726900000000001</v>
      </c>
      <c r="E860" s="11">
        <f>14.574 * CHOOSE(CONTROL!$C$32, $C$9, 100%, $E$9)</f>
        <v>14.574</v>
      </c>
      <c r="F860" s="11">
        <f>14.574 * CHOOSE(CONTROL!$C$32, $C$9, 100%, $E$9)</f>
        <v>14.574</v>
      </c>
      <c r="G860" s="11">
        <f>14.5793 * CHOOSE(CONTROL!$C$32, $C$9, 100%, $E$9)</f>
        <v>14.5793</v>
      </c>
      <c r="H860" s="11">
        <f>28.7203 * CHOOSE(CONTROL!$C$32, $C$9, 100%, $E$9)</f>
        <v>28.720300000000002</v>
      </c>
      <c r="I860" s="11">
        <f>28.7256 * CHOOSE(CONTROL!$C$32, $C$9, 100%, $E$9)</f>
        <v>28.7256</v>
      </c>
      <c r="J860" s="11">
        <f>28.7203 * CHOOSE(CONTROL!$C$32, $C$9, 100%, $E$9)</f>
        <v>28.720300000000002</v>
      </c>
      <c r="K860" s="11">
        <f>28.7256 * CHOOSE(CONTROL!$C$32, $C$9, 100%, $E$9)</f>
        <v>28.7256</v>
      </c>
      <c r="L860" s="11">
        <f>14.574 * CHOOSE(CONTROL!$C$32, $C$9, 100%, $E$9)</f>
        <v>14.574</v>
      </c>
      <c r="M860" s="11">
        <f>14.5793 * CHOOSE(CONTROL!$C$32, $C$9, 100%, $E$9)</f>
        <v>14.5793</v>
      </c>
      <c r="N860" s="11">
        <f>14.574 * CHOOSE(CONTROL!$C$32, $C$9, 100%, $E$9)</f>
        <v>14.574</v>
      </c>
      <c r="O860" s="11">
        <f>14.5793 * CHOOSE(CONTROL!$C$32, $C$9, 100%, $E$9)</f>
        <v>14.5793</v>
      </c>
    </row>
    <row r="861" spans="1:15" ht="15" x14ac:dyDescent="0.2">
      <c r="A861" s="13">
        <v>67054</v>
      </c>
      <c r="B861" s="9">
        <f>12.732 * CHOOSE(CONTROL!$C$32, $C$9, 100%, $E$9)</f>
        <v>12.731999999999999</v>
      </c>
      <c r="C861" s="9">
        <f>12.732 * CHOOSE(CONTROL!$C$32, $C$9, 100%, $E$9)</f>
        <v>12.731999999999999</v>
      </c>
      <c r="D861" s="9">
        <f>12.7336 * CHOOSE(CONTROL!$C$32, $C$9, 100%, $E$9)</f>
        <v>12.733599999999999</v>
      </c>
      <c r="E861" s="11">
        <f>14.2158 * CHOOSE(CONTROL!$C$32, $C$9, 100%, $E$9)</f>
        <v>14.2158</v>
      </c>
      <c r="F861" s="11">
        <f>14.2158 * CHOOSE(CONTROL!$C$32, $C$9, 100%, $E$9)</f>
        <v>14.2158</v>
      </c>
      <c r="G861" s="11">
        <f>14.2211 * CHOOSE(CONTROL!$C$32, $C$9, 100%, $E$9)</f>
        <v>14.2211</v>
      </c>
      <c r="H861" s="11">
        <f>28.7801 * CHOOSE(CONTROL!$C$32, $C$9, 100%, $E$9)</f>
        <v>28.780100000000001</v>
      </c>
      <c r="I861" s="11">
        <f>28.7854 * CHOOSE(CONTROL!$C$32, $C$9, 100%, $E$9)</f>
        <v>28.785399999999999</v>
      </c>
      <c r="J861" s="11">
        <f>28.7801 * CHOOSE(CONTROL!$C$32, $C$9, 100%, $E$9)</f>
        <v>28.780100000000001</v>
      </c>
      <c r="K861" s="11">
        <f>28.7854 * CHOOSE(CONTROL!$C$32, $C$9, 100%, $E$9)</f>
        <v>28.785399999999999</v>
      </c>
      <c r="L861" s="11">
        <f>14.2158 * CHOOSE(CONTROL!$C$32, $C$9, 100%, $E$9)</f>
        <v>14.2158</v>
      </c>
      <c r="M861" s="11">
        <f>14.2211 * CHOOSE(CONTROL!$C$32, $C$9, 100%, $E$9)</f>
        <v>14.2211</v>
      </c>
      <c r="N861" s="11">
        <f>14.2158 * CHOOSE(CONTROL!$C$32, $C$9, 100%, $E$9)</f>
        <v>14.2158</v>
      </c>
      <c r="O861" s="11">
        <f>14.2211 * CHOOSE(CONTROL!$C$32, $C$9, 100%, $E$9)</f>
        <v>14.2211</v>
      </c>
    </row>
    <row r="862" spans="1:15" ht="15" x14ac:dyDescent="0.2">
      <c r="A862" s="13">
        <v>67085</v>
      </c>
      <c r="B862" s="9">
        <f>12.7289 * CHOOSE(CONTROL!$C$32, $C$9, 100%, $E$9)</f>
        <v>12.728899999999999</v>
      </c>
      <c r="C862" s="9">
        <f>12.7289 * CHOOSE(CONTROL!$C$32, $C$9, 100%, $E$9)</f>
        <v>12.728899999999999</v>
      </c>
      <c r="D862" s="9">
        <f>12.7305 * CHOOSE(CONTROL!$C$32, $C$9, 100%, $E$9)</f>
        <v>12.730499999999999</v>
      </c>
      <c r="E862" s="11">
        <f>14.1733 * CHOOSE(CONTROL!$C$32, $C$9, 100%, $E$9)</f>
        <v>14.173299999999999</v>
      </c>
      <c r="F862" s="11">
        <f>14.1733 * CHOOSE(CONTROL!$C$32, $C$9, 100%, $E$9)</f>
        <v>14.173299999999999</v>
      </c>
      <c r="G862" s="11">
        <f>14.1786 * CHOOSE(CONTROL!$C$32, $C$9, 100%, $E$9)</f>
        <v>14.178599999999999</v>
      </c>
      <c r="H862" s="11">
        <f>28.8401 * CHOOSE(CONTROL!$C$32, $C$9, 100%, $E$9)</f>
        <v>28.8401</v>
      </c>
      <c r="I862" s="11">
        <f>28.8454 * CHOOSE(CONTROL!$C$32, $C$9, 100%, $E$9)</f>
        <v>28.845400000000001</v>
      </c>
      <c r="J862" s="11">
        <f>28.8401 * CHOOSE(CONTROL!$C$32, $C$9, 100%, $E$9)</f>
        <v>28.8401</v>
      </c>
      <c r="K862" s="11">
        <f>28.8454 * CHOOSE(CONTROL!$C$32, $C$9, 100%, $E$9)</f>
        <v>28.845400000000001</v>
      </c>
      <c r="L862" s="11">
        <f>14.1733 * CHOOSE(CONTROL!$C$32, $C$9, 100%, $E$9)</f>
        <v>14.173299999999999</v>
      </c>
      <c r="M862" s="11">
        <f>14.1786 * CHOOSE(CONTROL!$C$32, $C$9, 100%, $E$9)</f>
        <v>14.178599999999999</v>
      </c>
      <c r="N862" s="11">
        <f>14.1733 * CHOOSE(CONTROL!$C$32, $C$9, 100%, $E$9)</f>
        <v>14.173299999999999</v>
      </c>
      <c r="O862" s="11">
        <f>14.1786 * CHOOSE(CONTROL!$C$32, $C$9, 100%, $E$9)</f>
        <v>14.178599999999999</v>
      </c>
    </row>
    <row r="863" spans="1:15" ht="15" x14ac:dyDescent="0.2">
      <c r="A863" s="13">
        <v>67115</v>
      </c>
      <c r="B863" s="9">
        <f>12.7566 * CHOOSE(CONTROL!$C$32, $C$9, 100%, $E$9)</f>
        <v>12.756600000000001</v>
      </c>
      <c r="C863" s="9">
        <f>12.7566 * CHOOSE(CONTROL!$C$32, $C$9, 100%, $E$9)</f>
        <v>12.756600000000001</v>
      </c>
      <c r="D863" s="9">
        <f>12.7577 * CHOOSE(CONTROL!$C$32, $C$9, 100%, $E$9)</f>
        <v>12.7577</v>
      </c>
      <c r="E863" s="11">
        <f>14.3212 * CHOOSE(CONTROL!$C$32, $C$9, 100%, $E$9)</f>
        <v>14.321199999999999</v>
      </c>
      <c r="F863" s="11">
        <f>14.3212 * CHOOSE(CONTROL!$C$32, $C$9, 100%, $E$9)</f>
        <v>14.321199999999999</v>
      </c>
      <c r="G863" s="11">
        <f>14.3248 * CHOOSE(CONTROL!$C$32, $C$9, 100%, $E$9)</f>
        <v>14.3248</v>
      </c>
      <c r="H863" s="11">
        <f>28.9002 * CHOOSE(CONTROL!$C$32, $C$9, 100%, $E$9)</f>
        <v>28.900200000000002</v>
      </c>
      <c r="I863" s="11">
        <f>28.9038 * CHOOSE(CONTROL!$C$32, $C$9, 100%, $E$9)</f>
        <v>28.9038</v>
      </c>
      <c r="J863" s="11">
        <f>28.9002 * CHOOSE(CONTROL!$C$32, $C$9, 100%, $E$9)</f>
        <v>28.900200000000002</v>
      </c>
      <c r="K863" s="11">
        <f>28.9038 * CHOOSE(CONTROL!$C$32, $C$9, 100%, $E$9)</f>
        <v>28.9038</v>
      </c>
      <c r="L863" s="11">
        <f>14.3212 * CHOOSE(CONTROL!$C$32, $C$9, 100%, $E$9)</f>
        <v>14.321199999999999</v>
      </c>
      <c r="M863" s="11">
        <f>14.3248 * CHOOSE(CONTROL!$C$32, $C$9, 100%, $E$9)</f>
        <v>14.3248</v>
      </c>
      <c r="N863" s="11">
        <f>14.3212 * CHOOSE(CONTROL!$C$32, $C$9, 100%, $E$9)</f>
        <v>14.321199999999999</v>
      </c>
      <c r="O863" s="11">
        <f>14.3248 * CHOOSE(CONTROL!$C$32, $C$9, 100%, $E$9)</f>
        <v>14.3248</v>
      </c>
    </row>
    <row r="864" spans="1:15" ht="15" x14ac:dyDescent="0.2">
      <c r="A864" s="13">
        <v>67146</v>
      </c>
      <c r="B864" s="9">
        <f>12.7597 * CHOOSE(CONTROL!$C$32, $C$9, 100%, $E$9)</f>
        <v>12.7597</v>
      </c>
      <c r="C864" s="9">
        <f>12.7597 * CHOOSE(CONTROL!$C$32, $C$9, 100%, $E$9)</f>
        <v>12.7597</v>
      </c>
      <c r="D864" s="9">
        <f>12.7607 * CHOOSE(CONTROL!$C$32, $C$9, 100%, $E$9)</f>
        <v>12.7607</v>
      </c>
      <c r="E864" s="11">
        <f>14.404 * CHOOSE(CONTROL!$C$32, $C$9, 100%, $E$9)</f>
        <v>14.404</v>
      </c>
      <c r="F864" s="11">
        <f>14.404 * CHOOSE(CONTROL!$C$32, $C$9, 100%, $E$9)</f>
        <v>14.404</v>
      </c>
      <c r="G864" s="11">
        <f>14.4076 * CHOOSE(CONTROL!$C$32, $C$9, 100%, $E$9)</f>
        <v>14.4076</v>
      </c>
      <c r="H864" s="11">
        <f>28.9604 * CHOOSE(CONTROL!$C$32, $C$9, 100%, $E$9)</f>
        <v>28.9604</v>
      </c>
      <c r="I864" s="11">
        <f>28.964 * CHOOSE(CONTROL!$C$32, $C$9, 100%, $E$9)</f>
        <v>28.963999999999999</v>
      </c>
      <c r="J864" s="11">
        <f>28.9604 * CHOOSE(CONTROL!$C$32, $C$9, 100%, $E$9)</f>
        <v>28.9604</v>
      </c>
      <c r="K864" s="11">
        <f>28.964 * CHOOSE(CONTROL!$C$32, $C$9, 100%, $E$9)</f>
        <v>28.963999999999999</v>
      </c>
      <c r="L864" s="11">
        <f>14.404 * CHOOSE(CONTROL!$C$32, $C$9, 100%, $E$9)</f>
        <v>14.404</v>
      </c>
      <c r="M864" s="11">
        <f>14.4076 * CHOOSE(CONTROL!$C$32, $C$9, 100%, $E$9)</f>
        <v>14.4076</v>
      </c>
      <c r="N864" s="11">
        <f>14.404 * CHOOSE(CONTROL!$C$32, $C$9, 100%, $E$9)</f>
        <v>14.404</v>
      </c>
      <c r="O864" s="11">
        <f>14.4076 * CHOOSE(CONTROL!$C$32, $C$9, 100%, $E$9)</f>
        <v>14.4076</v>
      </c>
    </row>
    <row r="865" spans="1:15" ht="15" x14ac:dyDescent="0.2">
      <c r="A865" s="13">
        <v>67176</v>
      </c>
      <c r="B865" s="9">
        <f>12.7597 * CHOOSE(CONTROL!$C$32, $C$9, 100%, $E$9)</f>
        <v>12.7597</v>
      </c>
      <c r="C865" s="9">
        <f>12.7597 * CHOOSE(CONTROL!$C$32, $C$9, 100%, $E$9)</f>
        <v>12.7597</v>
      </c>
      <c r="D865" s="9">
        <f>12.7607 * CHOOSE(CONTROL!$C$32, $C$9, 100%, $E$9)</f>
        <v>12.7607</v>
      </c>
      <c r="E865" s="11">
        <f>14.2024 * CHOOSE(CONTROL!$C$32, $C$9, 100%, $E$9)</f>
        <v>14.202400000000001</v>
      </c>
      <c r="F865" s="11">
        <f>14.2024 * CHOOSE(CONTROL!$C$32, $C$9, 100%, $E$9)</f>
        <v>14.202400000000001</v>
      </c>
      <c r="G865" s="11">
        <f>14.206 * CHOOSE(CONTROL!$C$32, $C$9, 100%, $E$9)</f>
        <v>14.206</v>
      </c>
      <c r="H865" s="11">
        <f>29.0207 * CHOOSE(CONTROL!$C$32, $C$9, 100%, $E$9)</f>
        <v>29.020700000000001</v>
      </c>
      <c r="I865" s="11">
        <f>29.0243 * CHOOSE(CONTROL!$C$32, $C$9, 100%, $E$9)</f>
        <v>29.0243</v>
      </c>
      <c r="J865" s="11">
        <f>29.0207 * CHOOSE(CONTROL!$C$32, $C$9, 100%, $E$9)</f>
        <v>29.020700000000001</v>
      </c>
      <c r="K865" s="11">
        <f>29.0243 * CHOOSE(CONTROL!$C$32, $C$9, 100%, $E$9)</f>
        <v>29.0243</v>
      </c>
      <c r="L865" s="11">
        <f>14.2024 * CHOOSE(CONTROL!$C$32, $C$9, 100%, $E$9)</f>
        <v>14.202400000000001</v>
      </c>
      <c r="M865" s="11">
        <f>14.206 * CHOOSE(CONTROL!$C$32, $C$9, 100%, $E$9)</f>
        <v>14.206</v>
      </c>
      <c r="N865" s="11">
        <f>14.2024 * CHOOSE(CONTROL!$C$32, $C$9, 100%, $E$9)</f>
        <v>14.202400000000001</v>
      </c>
      <c r="O865" s="11">
        <f>14.206 * CHOOSE(CONTROL!$C$32, $C$9, 100%, $E$9)</f>
        <v>14.206</v>
      </c>
    </row>
    <row r="866" spans="1:15" ht="15" x14ac:dyDescent="0.2">
      <c r="A866" s="13">
        <v>67207</v>
      </c>
      <c r="B866" s="9">
        <f>12.7541 * CHOOSE(CONTROL!$C$32, $C$9, 100%, $E$9)</f>
        <v>12.754099999999999</v>
      </c>
      <c r="C866" s="9">
        <f>12.7541 * CHOOSE(CONTROL!$C$32, $C$9, 100%, $E$9)</f>
        <v>12.754099999999999</v>
      </c>
      <c r="D866" s="9">
        <f>12.7552 * CHOOSE(CONTROL!$C$32, $C$9, 100%, $E$9)</f>
        <v>12.7552</v>
      </c>
      <c r="E866" s="11">
        <f>14.3456 * CHOOSE(CONTROL!$C$32, $C$9, 100%, $E$9)</f>
        <v>14.345599999999999</v>
      </c>
      <c r="F866" s="11">
        <f>14.3456 * CHOOSE(CONTROL!$C$32, $C$9, 100%, $E$9)</f>
        <v>14.345599999999999</v>
      </c>
      <c r="G866" s="11">
        <f>14.3492 * CHOOSE(CONTROL!$C$32, $C$9, 100%, $E$9)</f>
        <v>14.3492</v>
      </c>
      <c r="H866" s="11">
        <f>28.8174 * CHOOSE(CONTROL!$C$32, $C$9, 100%, $E$9)</f>
        <v>28.817399999999999</v>
      </c>
      <c r="I866" s="11">
        <f>28.821 * CHOOSE(CONTROL!$C$32, $C$9, 100%, $E$9)</f>
        <v>28.821000000000002</v>
      </c>
      <c r="J866" s="11">
        <f>28.8174 * CHOOSE(CONTROL!$C$32, $C$9, 100%, $E$9)</f>
        <v>28.817399999999999</v>
      </c>
      <c r="K866" s="11">
        <f>28.821 * CHOOSE(CONTROL!$C$32, $C$9, 100%, $E$9)</f>
        <v>28.821000000000002</v>
      </c>
      <c r="L866" s="11">
        <f>14.3456 * CHOOSE(CONTROL!$C$32, $C$9, 100%, $E$9)</f>
        <v>14.345599999999999</v>
      </c>
      <c r="M866" s="11">
        <f>14.3492 * CHOOSE(CONTROL!$C$32, $C$9, 100%, $E$9)</f>
        <v>14.3492</v>
      </c>
      <c r="N866" s="11">
        <f>14.3456 * CHOOSE(CONTROL!$C$32, $C$9, 100%, $E$9)</f>
        <v>14.345599999999999</v>
      </c>
      <c r="O866" s="11">
        <f>14.3492 * CHOOSE(CONTROL!$C$32, $C$9, 100%, $E$9)</f>
        <v>14.3492</v>
      </c>
    </row>
    <row r="867" spans="1:15" ht="15" x14ac:dyDescent="0.2">
      <c r="A867" s="13">
        <v>67238</v>
      </c>
      <c r="B867" s="9">
        <f>12.751 * CHOOSE(CONTROL!$C$32, $C$9, 100%, $E$9)</f>
        <v>12.750999999999999</v>
      </c>
      <c r="C867" s="9">
        <f>12.751 * CHOOSE(CONTROL!$C$32, $C$9, 100%, $E$9)</f>
        <v>12.750999999999999</v>
      </c>
      <c r="D867" s="9">
        <f>12.7521 * CHOOSE(CONTROL!$C$32, $C$9, 100%, $E$9)</f>
        <v>12.7521</v>
      </c>
      <c r="E867" s="11">
        <f>13.9553 * CHOOSE(CONTROL!$C$32, $C$9, 100%, $E$9)</f>
        <v>13.955299999999999</v>
      </c>
      <c r="F867" s="11">
        <f>13.9553 * CHOOSE(CONTROL!$C$32, $C$9, 100%, $E$9)</f>
        <v>13.955299999999999</v>
      </c>
      <c r="G867" s="11">
        <f>13.959 * CHOOSE(CONTROL!$C$32, $C$9, 100%, $E$9)</f>
        <v>13.959</v>
      </c>
      <c r="H867" s="11">
        <f>28.8774 * CHOOSE(CONTROL!$C$32, $C$9, 100%, $E$9)</f>
        <v>28.877400000000002</v>
      </c>
      <c r="I867" s="11">
        <f>28.881 * CHOOSE(CONTROL!$C$32, $C$9, 100%, $E$9)</f>
        <v>28.881</v>
      </c>
      <c r="J867" s="11">
        <f>28.8774 * CHOOSE(CONTROL!$C$32, $C$9, 100%, $E$9)</f>
        <v>28.877400000000002</v>
      </c>
      <c r="K867" s="11">
        <f>28.881 * CHOOSE(CONTROL!$C$32, $C$9, 100%, $E$9)</f>
        <v>28.881</v>
      </c>
      <c r="L867" s="11">
        <f>13.9553 * CHOOSE(CONTROL!$C$32, $C$9, 100%, $E$9)</f>
        <v>13.955299999999999</v>
      </c>
      <c r="M867" s="11">
        <f>13.959 * CHOOSE(CONTROL!$C$32, $C$9, 100%, $E$9)</f>
        <v>13.959</v>
      </c>
      <c r="N867" s="11">
        <f>13.9553 * CHOOSE(CONTROL!$C$32, $C$9, 100%, $E$9)</f>
        <v>13.955299999999999</v>
      </c>
      <c r="O867" s="11">
        <f>13.959 * CHOOSE(CONTROL!$C$32, $C$9, 100%, $E$9)</f>
        <v>13.959</v>
      </c>
    </row>
    <row r="868" spans="1:15" ht="15" x14ac:dyDescent="0.2">
      <c r="A868" s="13">
        <v>67267</v>
      </c>
      <c r="B868" s="9">
        <f>12.748 * CHOOSE(CONTROL!$C$32, $C$9, 100%, $E$9)</f>
        <v>12.747999999999999</v>
      </c>
      <c r="C868" s="9">
        <f>12.748 * CHOOSE(CONTROL!$C$32, $C$9, 100%, $E$9)</f>
        <v>12.747999999999999</v>
      </c>
      <c r="D868" s="9">
        <f>12.7491 * CHOOSE(CONTROL!$C$32, $C$9, 100%, $E$9)</f>
        <v>12.7491</v>
      </c>
      <c r="E868" s="11">
        <f>14.2592 * CHOOSE(CONTROL!$C$32, $C$9, 100%, $E$9)</f>
        <v>14.2592</v>
      </c>
      <c r="F868" s="11">
        <f>14.2592 * CHOOSE(CONTROL!$C$32, $C$9, 100%, $E$9)</f>
        <v>14.2592</v>
      </c>
      <c r="G868" s="11">
        <f>14.2628 * CHOOSE(CONTROL!$C$32, $C$9, 100%, $E$9)</f>
        <v>14.2628</v>
      </c>
      <c r="H868" s="11">
        <f>28.9376 * CHOOSE(CONTROL!$C$32, $C$9, 100%, $E$9)</f>
        <v>28.9376</v>
      </c>
      <c r="I868" s="11">
        <f>28.9412 * CHOOSE(CONTROL!$C$32, $C$9, 100%, $E$9)</f>
        <v>28.941199999999998</v>
      </c>
      <c r="J868" s="11">
        <f>28.9376 * CHOOSE(CONTROL!$C$32, $C$9, 100%, $E$9)</f>
        <v>28.9376</v>
      </c>
      <c r="K868" s="11">
        <f>28.9412 * CHOOSE(CONTROL!$C$32, $C$9, 100%, $E$9)</f>
        <v>28.941199999999998</v>
      </c>
      <c r="L868" s="11">
        <f>14.2592 * CHOOSE(CONTROL!$C$32, $C$9, 100%, $E$9)</f>
        <v>14.2592</v>
      </c>
      <c r="M868" s="11">
        <f>14.2628 * CHOOSE(CONTROL!$C$32, $C$9, 100%, $E$9)</f>
        <v>14.2628</v>
      </c>
      <c r="N868" s="11">
        <f>14.2592 * CHOOSE(CONTROL!$C$32, $C$9, 100%, $E$9)</f>
        <v>14.2592</v>
      </c>
      <c r="O868" s="11">
        <f>14.2628 * CHOOSE(CONTROL!$C$32, $C$9, 100%, $E$9)</f>
        <v>14.2628</v>
      </c>
    </row>
    <row r="869" spans="1:15" ht="15" x14ac:dyDescent="0.2">
      <c r="A869" s="13">
        <v>67298</v>
      </c>
      <c r="B869" s="9">
        <f>12.7541 * CHOOSE(CONTROL!$C$32, $C$9, 100%, $E$9)</f>
        <v>12.754099999999999</v>
      </c>
      <c r="C869" s="9">
        <f>12.7541 * CHOOSE(CONTROL!$C$32, $C$9, 100%, $E$9)</f>
        <v>12.754099999999999</v>
      </c>
      <c r="D869" s="9">
        <f>12.7552 * CHOOSE(CONTROL!$C$32, $C$9, 100%, $E$9)</f>
        <v>12.7552</v>
      </c>
      <c r="E869" s="11">
        <f>14.5835 * CHOOSE(CONTROL!$C$32, $C$9, 100%, $E$9)</f>
        <v>14.583500000000001</v>
      </c>
      <c r="F869" s="11">
        <f>14.5835 * CHOOSE(CONTROL!$C$32, $C$9, 100%, $E$9)</f>
        <v>14.583500000000001</v>
      </c>
      <c r="G869" s="11">
        <f>14.5872 * CHOOSE(CONTROL!$C$32, $C$9, 100%, $E$9)</f>
        <v>14.587199999999999</v>
      </c>
      <c r="H869" s="11">
        <f>28.9979 * CHOOSE(CONTROL!$C$32, $C$9, 100%, $E$9)</f>
        <v>28.997900000000001</v>
      </c>
      <c r="I869" s="11">
        <f>29.0015 * CHOOSE(CONTROL!$C$32, $C$9, 100%, $E$9)</f>
        <v>29.0015</v>
      </c>
      <c r="J869" s="11">
        <f>28.9979 * CHOOSE(CONTROL!$C$32, $C$9, 100%, $E$9)</f>
        <v>28.997900000000001</v>
      </c>
      <c r="K869" s="11">
        <f>29.0015 * CHOOSE(CONTROL!$C$32, $C$9, 100%, $E$9)</f>
        <v>29.0015</v>
      </c>
      <c r="L869" s="11">
        <f>14.5835 * CHOOSE(CONTROL!$C$32, $C$9, 100%, $E$9)</f>
        <v>14.583500000000001</v>
      </c>
      <c r="M869" s="11">
        <f>14.5872 * CHOOSE(CONTROL!$C$32, $C$9, 100%, $E$9)</f>
        <v>14.587199999999999</v>
      </c>
      <c r="N869" s="11">
        <f>14.5835 * CHOOSE(CONTROL!$C$32, $C$9, 100%, $E$9)</f>
        <v>14.583500000000001</v>
      </c>
      <c r="O869" s="11">
        <f>14.5872 * CHOOSE(CONTROL!$C$32, $C$9, 100%, $E$9)</f>
        <v>14.587199999999999</v>
      </c>
    </row>
    <row r="870" spans="1:15" ht="15" x14ac:dyDescent="0.2">
      <c r="A870" s="13">
        <v>67328</v>
      </c>
      <c r="B870" s="9">
        <f>12.7541 * CHOOSE(CONTROL!$C$32, $C$9, 100%, $E$9)</f>
        <v>12.754099999999999</v>
      </c>
      <c r="C870" s="9">
        <f>12.7541 * CHOOSE(CONTROL!$C$32, $C$9, 100%, $E$9)</f>
        <v>12.754099999999999</v>
      </c>
      <c r="D870" s="9">
        <f>12.7557 * CHOOSE(CONTROL!$C$32, $C$9, 100%, $E$9)</f>
        <v>12.755699999999999</v>
      </c>
      <c r="E870" s="11">
        <f>14.7068 * CHOOSE(CONTROL!$C$32, $C$9, 100%, $E$9)</f>
        <v>14.706799999999999</v>
      </c>
      <c r="F870" s="11">
        <f>14.7068 * CHOOSE(CONTROL!$C$32, $C$9, 100%, $E$9)</f>
        <v>14.706799999999999</v>
      </c>
      <c r="G870" s="11">
        <f>14.7121 * CHOOSE(CONTROL!$C$32, $C$9, 100%, $E$9)</f>
        <v>14.7121</v>
      </c>
      <c r="H870" s="11">
        <f>29.0583 * CHOOSE(CONTROL!$C$32, $C$9, 100%, $E$9)</f>
        <v>29.058299999999999</v>
      </c>
      <c r="I870" s="11">
        <f>29.0636 * CHOOSE(CONTROL!$C$32, $C$9, 100%, $E$9)</f>
        <v>29.063600000000001</v>
      </c>
      <c r="J870" s="11">
        <f>29.0583 * CHOOSE(CONTROL!$C$32, $C$9, 100%, $E$9)</f>
        <v>29.058299999999999</v>
      </c>
      <c r="K870" s="11">
        <f>29.0636 * CHOOSE(CONTROL!$C$32, $C$9, 100%, $E$9)</f>
        <v>29.063600000000001</v>
      </c>
      <c r="L870" s="11">
        <f>14.7068 * CHOOSE(CONTROL!$C$32, $C$9, 100%, $E$9)</f>
        <v>14.706799999999999</v>
      </c>
      <c r="M870" s="11">
        <f>14.7121 * CHOOSE(CONTROL!$C$32, $C$9, 100%, $E$9)</f>
        <v>14.7121</v>
      </c>
      <c r="N870" s="11">
        <f>14.7068 * CHOOSE(CONTROL!$C$32, $C$9, 100%, $E$9)</f>
        <v>14.706799999999999</v>
      </c>
      <c r="O870" s="11">
        <f>14.7121 * CHOOSE(CONTROL!$C$32, $C$9, 100%, $E$9)</f>
        <v>14.7121</v>
      </c>
    </row>
    <row r="871" spans="1:15" ht="15" x14ac:dyDescent="0.2">
      <c r="A871" s="13">
        <v>67359</v>
      </c>
      <c r="B871" s="9">
        <f>12.7602 * CHOOSE(CONTROL!$C$32, $C$9, 100%, $E$9)</f>
        <v>12.760199999999999</v>
      </c>
      <c r="C871" s="9">
        <f>12.7602 * CHOOSE(CONTROL!$C$32, $C$9, 100%, $E$9)</f>
        <v>12.760199999999999</v>
      </c>
      <c r="D871" s="9">
        <f>12.7618 * CHOOSE(CONTROL!$C$32, $C$9, 100%, $E$9)</f>
        <v>12.761799999999999</v>
      </c>
      <c r="E871" s="11">
        <f>14.5878 * CHOOSE(CONTROL!$C$32, $C$9, 100%, $E$9)</f>
        <v>14.5878</v>
      </c>
      <c r="F871" s="11">
        <f>14.5878 * CHOOSE(CONTROL!$C$32, $C$9, 100%, $E$9)</f>
        <v>14.5878</v>
      </c>
      <c r="G871" s="11">
        <f>14.5931 * CHOOSE(CONTROL!$C$32, $C$9, 100%, $E$9)</f>
        <v>14.5931</v>
      </c>
      <c r="H871" s="11">
        <f>29.1188 * CHOOSE(CONTROL!$C$32, $C$9, 100%, $E$9)</f>
        <v>29.1188</v>
      </c>
      <c r="I871" s="11">
        <f>29.1241 * CHOOSE(CONTROL!$C$32, $C$9, 100%, $E$9)</f>
        <v>29.124099999999999</v>
      </c>
      <c r="J871" s="11">
        <f>29.1188 * CHOOSE(CONTROL!$C$32, $C$9, 100%, $E$9)</f>
        <v>29.1188</v>
      </c>
      <c r="K871" s="11">
        <f>29.1241 * CHOOSE(CONTROL!$C$32, $C$9, 100%, $E$9)</f>
        <v>29.124099999999999</v>
      </c>
      <c r="L871" s="11">
        <f>14.5878 * CHOOSE(CONTROL!$C$32, $C$9, 100%, $E$9)</f>
        <v>14.5878</v>
      </c>
      <c r="M871" s="11">
        <f>14.5931 * CHOOSE(CONTROL!$C$32, $C$9, 100%, $E$9)</f>
        <v>14.5931</v>
      </c>
      <c r="N871" s="11">
        <f>14.5878 * CHOOSE(CONTROL!$C$32, $C$9, 100%, $E$9)</f>
        <v>14.5878</v>
      </c>
      <c r="O871" s="11">
        <f>14.5931 * CHOOSE(CONTROL!$C$32, $C$9, 100%, $E$9)</f>
        <v>14.5931</v>
      </c>
    </row>
    <row r="872" spans="1:15" ht="15" x14ac:dyDescent="0.2">
      <c r="A872" s="13">
        <v>67389</v>
      </c>
      <c r="B872" s="9">
        <f>12.9149 * CHOOSE(CONTROL!$C$32, $C$9, 100%, $E$9)</f>
        <v>12.914899999999999</v>
      </c>
      <c r="C872" s="9">
        <f>12.9149 * CHOOSE(CONTROL!$C$32, $C$9, 100%, $E$9)</f>
        <v>12.914899999999999</v>
      </c>
      <c r="D872" s="9">
        <f>12.9165 * CHOOSE(CONTROL!$C$32, $C$9, 100%, $E$9)</f>
        <v>12.916499999999999</v>
      </c>
      <c r="E872" s="11">
        <f>14.7942 * CHOOSE(CONTROL!$C$32, $C$9, 100%, $E$9)</f>
        <v>14.7942</v>
      </c>
      <c r="F872" s="11">
        <f>14.7942 * CHOOSE(CONTROL!$C$32, $C$9, 100%, $E$9)</f>
        <v>14.7942</v>
      </c>
      <c r="G872" s="11">
        <f>14.7995 * CHOOSE(CONTROL!$C$32, $C$9, 100%, $E$9)</f>
        <v>14.7995</v>
      </c>
      <c r="H872" s="11">
        <f>29.1795 * CHOOSE(CONTROL!$C$32, $C$9, 100%, $E$9)</f>
        <v>29.179500000000001</v>
      </c>
      <c r="I872" s="11">
        <f>29.1848 * CHOOSE(CONTROL!$C$32, $C$9, 100%, $E$9)</f>
        <v>29.184799999999999</v>
      </c>
      <c r="J872" s="11">
        <f>29.1795 * CHOOSE(CONTROL!$C$32, $C$9, 100%, $E$9)</f>
        <v>29.179500000000001</v>
      </c>
      <c r="K872" s="11">
        <f>29.1848 * CHOOSE(CONTROL!$C$32, $C$9, 100%, $E$9)</f>
        <v>29.184799999999999</v>
      </c>
      <c r="L872" s="11">
        <f>14.7942 * CHOOSE(CONTROL!$C$32, $C$9, 100%, $E$9)</f>
        <v>14.7942</v>
      </c>
      <c r="M872" s="11">
        <f>14.7995 * CHOOSE(CONTROL!$C$32, $C$9, 100%, $E$9)</f>
        <v>14.7995</v>
      </c>
      <c r="N872" s="11">
        <f>14.7942 * CHOOSE(CONTROL!$C$32, $C$9, 100%, $E$9)</f>
        <v>14.7942</v>
      </c>
      <c r="O872" s="11">
        <f>14.7995 * CHOOSE(CONTROL!$C$32, $C$9, 100%, $E$9)</f>
        <v>14.7995</v>
      </c>
    </row>
    <row r="873" spans="1:15" ht="15" x14ac:dyDescent="0.2">
      <c r="A873" s="13">
        <v>67420</v>
      </c>
      <c r="B873" s="9">
        <f>12.9216 * CHOOSE(CONTROL!$C$32, $C$9, 100%, $E$9)</f>
        <v>12.9216</v>
      </c>
      <c r="C873" s="9">
        <f>12.9216 * CHOOSE(CONTROL!$C$32, $C$9, 100%, $E$9)</f>
        <v>12.9216</v>
      </c>
      <c r="D873" s="9">
        <f>12.9231 * CHOOSE(CONTROL!$C$32, $C$9, 100%, $E$9)</f>
        <v>12.9231</v>
      </c>
      <c r="E873" s="11">
        <f>14.4292 * CHOOSE(CONTROL!$C$32, $C$9, 100%, $E$9)</f>
        <v>14.4292</v>
      </c>
      <c r="F873" s="11">
        <f>14.4292 * CHOOSE(CONTROL!$C$32, $C$9, 100%, $E$9)</f>
        <v>14.4292</v>
      </c>
      <c r="G873" s="11">
        <f>14.4345 * CHOOSE(CONTROL!$C$32, $C$9, 100%, $E$9)</f>
        <v>14.4345</v>
      </c>
      <c r="H873" s="11">
        <f>29.2403 * CHOOSE(CONTROL!$C$32, $C$9, 100%, $E$9)</f>
        <v>29.240300000000001</v>
      </c>
      <c r="I873" s="11">
        <f>29.2456 * CHOOSE(CONTROL!$C$32, $C$9, 100%, $E$9)</f>
        <v>29.2456</v>
      </c>
      <c r="J873" s="11">
        <f>29.2403 * CHOOSE(CONTROL!$C$32, $C$9, 100%, $E$9)</f>
        <v>29.240300000000001</v>
      </c>
      <c r="K873" s="11">
        <f>29.2456 * CHOOSE(CONTROL!$C$32, $C$9, 100%, $E$9)</f>
        <v>29.2456</v>
      </c>
      <c r="L873" s="11">
        <f>14.4292 * CHOOSE(CONTROL!$C$32, $C$9, 100%, $E$9)</f>
        <v>14.4292</v>
      </c>
      <c r="M873" s="11">
        <f>14.4345 * CHOOSE(CONTROL!$C$32, $C$9, 100%, $E$9)</f>
        <v>14.4345</v>
      </c>
      <c r="N873" s="11">
        <f>14.4292 * CHOOSE(CONTROL!$C$32, $C$9, 100%, $E$9)</f>
        <v>14.4292</v>
      </c>
      <c r="O873" s="11">
        <f>14.4345 * CHOOSE(CONTROL!$C$32, $C$9, 100%, $E$9)</f>
        <v>14.4345</v>
      </c>
    </row>
    <row r="874" spans="1:15" ht="15" x14ac:dyDescent="0.2">
      <c r="A874" s="13">
        <v>67451</v>
      </c>
      <c r="B874" s="9">
        <f>12.9185 * CHOOSE(CONTROL!$C$32, $C$9, 100%, $E$9)</f>
        <v>12.9185</v>
      </c>
      <c r="C874" s="9">
        <f>12.9185 * CHOOSE(CONTROL!$C$32, $C$9, 100%, $E$9)</f>
        <v>12.9185</v>
      </c>
      <c r="D874" s="9">
        <f>12.9201 * CHOOSE(CONTROL!$C$32, $C$9, 100%, $E$9)</f>
        <v>12.9201</v>
      </c>
      <c r="E874" s="11">
        <f>14.386 * CHOOSE(CONTROL!$C$32, $C$9, 100%, $E$9)</f>
        <v>14.385999999999999</v>
      </c>
      <c r="F874" s="11">
        <f>14.386 * CHOOSE(CONTROL!$C$32, $C$9, 100%, $E$9)</f>
        <v>14.385999999999999</v>
      </c>
      <c r="G874" s="11">
        <f>14.3913 * CHOOSE(CONTROL!$C$32, $C$9, 100%, $E$9)</f>
        <v>14.391299999999999</v>
      </c>
      <c r="H874" s="11">
        <f>29.3012 * CHOOSE(CONTROL!$C$32, $C$9, 100%, $E$9)</f>
        <v>29.301200000000001</v>
      </c>
      <c r="I874" s="11">
        <f>29.3065 * CHOOSE(CONTROL!$C$32, $C$9, 100%, $E$9)</f>
        <v>29.3065</v>
      </c>
      <c r="J874" s="11">
        <f>29.3012 * CHOOSE(CONTROL!$C$32, $C$9, 100%, $E$9)</f>
        <v>29.301200000000001</v>
      </c>
      <c r="K874" s="11">
        <f>29.3065 * CHOOSE(CONTROL!$C$32, $C$9, 100%, $E$9)</f>
        <v>29.3065</v>
      </c>
      <c r="L874" s="11">
        <f>14.386 * CHOOSE(CONTROL!$C$32, $C$9, 100%, $E$9)</f>
        <v>14.385999999999999</v>
      </c>
      <c r="M874" s="11">
        <f>14.3913 * CHOOSE(CONTROL!$C$32, $C$9, 100%, $E$9)</f>
        <v>14.391299999999999</v>
      </c>
      <c r="N874" s="11">
        <f>14.386 * CHOOSE(CONTROL!$C$32, $C$9, 100%, $E$9)</f>
        <v>14.385999999999999</v>
      </c>
      <c r="O874" s="11">
        <f>14.3913 * CHOOSE(CONTROL!$C$32, $C$9, 100%, $E$9)</f>
        <v>14.391299999999999</v>
      </c>
    </row>
    <row r="875" spans="1:15" ht="15" x14ac:dyDescent="0.2">
      <c r="A875" s="13">
        <v>67481</v>
      </c>
      <c r="B875" s="9">
        <f>12.9469 * CHOOSE(CONTROL!$C$32, $C$9, 100%, $E$9)</f>
        <v>12.946899999999999</v>
      </c>
      <c r="C875" s="9">
        <f>12.9469 * CHOOSE(CONTROL!$C$32, $C$9, 100%, $E$9)</f>
        <v>12.946899999999999</v>
      </c>
      <c r="D875" s="9">
        <f>12.948 * CHOOSE(CONTROL!$C$32, $C$9, 100%, $E$9)</f>
        <v>12.948</v>
      </c>
      <c r="E875" s="11">
        <f>14.5369 * CHOOSE(CONTROL!$C$32, $C$9, 100%, $E$9)</f>
        <v>14.536899999999999</v>
      </c>
      <c r="F875" s="11">
        <f>14.5369 * CHOOSE(CONTROL!$C$32, $C$9, 100%, $E$9)</f>
        <v>14.536899999999999</v>
      </c>
      <c r="G875" s="11">
        <f>14.5405 * CHOOSE(CONTROL!$C$32, $C$9, 100%, $E$9)</f>
        <v>14.5405</v>
      </c>
      <c r="H875" s="11">
        <f>29.3622 * CHOOSE(CONTROL!$C$32, $C$9, 100%, $E$9)</f>
        <v>29.362200000000001</v>
      </c>
      <c r="I875" s="11">
        <f>29.3659 * CHOOSE(CONTROL!$C$32, $C$9, 100%, $E$9)</f>
        <v>29.3659</v>
      </c>
      <c r="J875" s="11">
        <f>29.3622 * CHOOSE(CONTROL!$C$32, $C$9, 100%, $E$9)</f>
        <v>29.362200000000001</v>
      </c>
      <c r="K875" s="11">
        <f>29.3659 * CHOOSE(CONTROL!$C$32, $C$9, 100%, $E$9)</f>
        <v>29.3659</v>
      </c>
      <c r="L875" s="11">
        <f>14.5369 * CHOOSE(CONTROL!$C$32, $C$9, 100%, $E$9)</f>
        <v>14.536899999999999</v>
      </c>
      <c r="M875" s="11">
        <f>14.5405 * CHOOSE(CONTROL!$C$32, $C$9, 100%, $E$9)</f>
        <v>14.5405</v>
      </c>
      <c r="N875" s="11">
        <f>14.5369 * CHOOSE(CONTROL!$C$32, $C$9, 100%, $E$9)</f>
        <v>14.536899999999999</v>
      </c>
      <c r="O875" s="11">
        <f>14.5405 * CHOOSE(CONTROL!$C$32, $C$9, 100%, $E$9)</f>
        <v>14.5405</v>
      </c>
    </row>
    <row r="876" spans="1:15" ht="15" x14ac:dyDescent="0.2">
      <c r="A876" s="13">
        <v>67512</v>
      </c>
      <c r="B876" s="9">
        <f>12.95 * CHOOSE(CONTROL!$C$32, $C$9, 100%, $E$9)</f>
        <v>12.95</v>
      </c>
      <c r="C876" s="9">
        <f>12.95 * CHOOSE(CONTROL!$C$32, $C$9, 100%, $E$9)</f>
        <v>12.95</v>
      </c>
      <c r="D876" s="9">
        <f>12.951 * CHOOSE(CONTROL!$C$32, $C$9, 100%, $E$9)</f>
        <v>12.951000000000001</v>
      </c>
      <c r="E876" s="11">
        <f>14.6212 * CHOOSE(CONTROL!$C$32, $C$9, 100%, $E$9)</f>
        <v>14.6212</v>
      </c>
      <c r="F876" s="11">
        <f>14.6212 * CHOOSE(CONTROL!$C$32, $C$9, 100%, $E$9)</f>
        <v>14.6212</v>
      </c>
      <c r="G876" s="11">
        <f>14.6248 * CHOOSE(CONTROL!$C$32, $C$9, 100%, $E$9)</f>
        <v>14.6248</v>
      </c>
      <c r="H876" s="11">
        <f>29.4234 * CHOOSE(CONTROL!$C$32, $C$9, 100%, $E$9)</f>
        <v>29.423400000000001</v>
      </c>
      <c r="I876" s="11">
        <f>29.427 * CHOOSE(CONTROL!$C$32, $C$9, 100%, $E$9)</f>
        <v>29.427</v>
      </c>
      <c r="J876" s="11">
        <f>29.4234 * CHOOSE(CONTROL!$C$32, $C$9, 100%, $E$9)</f>
        <v>29.423400000000001</v>
      </c>
      <c r="K876" s="11">
        <f>29.427 * CHOOSE(CONTROL!$C$32, $C$9, 100%, $E$9)</f>
        <v>29.427</v>
      </c>
      <c r="L876" s="11">
        <f>14.6212 * CHOOSE(CONTROL!$C$32, $C$9, 100%, $E$9)</f>
        <v>14.6212</v>
      </c>
      <c r="M876" s="11">
        <f>14.6248 * CHOOSE(CONTROL!$C$32, $C$9, 100%, $E$9)</f>
        <v>14.6248</v>
      </c>
      <c r="N876" s="11">
        <f>14.6212 * CHOOSE(CONTROL!$C$32, $C$9, 100%, $E$9)</f>
        <v>14.6212</v>
      </c>
      <c r="O876" s="11">
        <f>14.6248 * CHOOSE(CONTROL!$C$32, $C$9, 100%, $E$9)</f>
        <v>14.6248</v>
      </c>
    </row>
    <row r="877" spans="1:15" ht="15" x14ac:dyDescent="0.2">
      <c r="A877" s="13">
        <v>67542</v>
      </c>
      <c r="B877" s="9">
        <f>12.95 * CHOOSE(CONTROL!$C$32, $C$9, 100%, $E$9)</f>
        <v>12.95</v>
      </c>
      <c r="C877" s="9">
        <f>12.95 * CHOOSE(CONTROL!$C$32, $C$9, 100%, $E$9)</f>
        <v>12.95</v>
      </c>
      <c r="D877" s="9">
        <f>12.951 * CHOOSE(CONTROL!$C$32, $C$9, 100%, $E$9)</f>
        <v>12.951000000000001</v>
      </c>
      <c r="E877" s="11">
        <f>14.4158 * CHOOSE(CONTROL!$C$32, $C$9, 100%, $E$9)</f>
        <v>14.415800000000001</v>
      </c>
      <c r="F877" s="11">
        <f>14.4158 * CHOOSE(CONTROL!$C$32, $C$9, 100%, $E$9)</f>
        <v>14.415800000000001</v>
      </c>
      <c r="G877" s="11">
        <f>14.4194 * CHOOSE(CONTROL!$C$32, $C$9, 100%, $E$9)</f>
        <v>14.4194</v>
      </c>
      <c r="H877" s="11">
        <f>29.4847 * CHOOSE(CONTROL!$C$32, $C$9, 100%, $E$9)</f>
        <v>29.4847</v>
      </c>
      <c r="I877" s="11">
        <f>29.4883 * CHOOSE(CONTROL!$C$32, $C$9, 100%, $E$9)</f>
        <v>29.488299999999999</v>
      </c>
      <c r="J877" s="11">
        <f>29.4847 * CHOOSE(CONTROL!$C$32, $C$9, 100%, $E$9)</f>
        <v>29.4847</v>
      </c>
      <c r="K877" s="11">
        <f>29.4883 * CHOOSE(CONTROL!$C$32, $C$9, 100%, $E$9)</f>
        <v>29.488299999999999</v>
      </c>
      <c r="L877" s="11">
        <f>14.4158 * CHOOSE(CONTROL!$C$32, $C$9, 100%, $E$9)</f>
        <v>14.415800000000001</v>
      </c>
      <c r="M877" s="11">
        <f>14.4194 * CHOOSE(CONTROL!$C$32, $C$9, 100%, $E$9)</f>
        <v>14.4194</v>
      </c>
      <c r="N877" s="11">
        <f>14.4158 * CHOOSE(CONTROL!$C$32, $C$9, 100%, $E$9)</f>
        <v>14.415800000000001</v>
      </c>
      <c r="O877" s="11">
        <f>14.4194 * CHOOSE(CONTROL!$C$32, $C$9, 100%, $E$9)</f>
        <v>14.4194</v>
      </c>
    </row>
    <row r="878" spans="1:15" ht="15" x14ac:dyDescent="0.2">
      <c r="A878" s="13">
        <v>67573</v>
      </c>
      <c r="B878" s="9">
        <f>12.9414 * CHOOSE(CONTROL!$C$32, $C$9, 100%, $E$9)</f>
        <v>12.9414</v>
      </c>
      <c r="C878" s="9">
        <f>12.9414 * CHOOSE(CONTROL!$C$32, $C$9, 100%, $E$9)</f>
        <v>12.9414</v>
      </c>
      <c r="D878" s="9">
        <f>12.9425 * CHOOSE(CONTROL!$C$32, $C$9, 100%, $E$9)</f>
        <v>12.942500000000001</v>
      </c>
      <c r="E878" s="11">
        <f>14.5581 * CHOOSE(CONTROL!$C$32, $C$9, 100%, $E$9)</f>
        <v>14.5581</v>
      </c>
      <c r="F878" s="11">
        <f>14.5581 * CHOOSE(CONTROL!$C$32, $C$9, 100%, $E$9)</f>
        <v>14.5581</v>
      </c>
      <c r="G878" s="11">
        <f>14.5617 * CHOOSE(CONTROL!$C$32, $C$9, 100%, $E$9)</f>
        <v>14.5617</v>
      </c>
      <c r="H878" s="11">
        <f>29.2709 * CHOOSE(CONTROL!$C$32, $C$9, 100%, $E$9)</f>
        <v>29.270900000000001</v>
      </c>
      <c r="I878" s="11">
        <f>29.2745 * CHOOSE(CONTROL!$C$32, $C$9, 100%, $E$9)</f>
        <v>29.2745</v>
      </c>
      <c r="J878" s="11">
        <f>29.2709 * CHOOSE(CONTROL!$C$32, $C$9, 100%, $E$9)</f>
        <v>29.270900000000001</v>
      </c>
      <c r="K878" s="11">
        <f>29.2745 * CHOOSE(CONTROL!$C$32, $C$9, 100%, $E$9)</f>
        <v>29.2745</v>
      </c>
      <c r="L878" s="11">
        <f>14.5581 * CHOOSE(CONTROL!$C$32, $C$9, 100%, $E$9)</f>
        <v>14.5581</v>
      </c>
      <c r="M878" s="11">
        <f>14.5617 * CHOOSE(CONTROL!$C$32, $C$9, 100%, $E$9)</f>
        <v>14.5617</v>
      </c>
      <c r="N878" s="11">
        <f>14.5581 * CHOOSE(CONTROL!$C$32, $C$9, 100%, $E$9)</f>
        <v>14.5581</v>
      </c>
      <c r="O878" s="11">
        <f>14.5617 * CHOOSE(CONTROL!$C$32, $C$9, 100%, $E$9)</f>
        <v>14.5617</v>
      </c>
    </row>
    <row r="879" spans="1:15" ht="15" x14ac:dyDescent="0.2">
      <c r="A879" s="13">
        <v>67604</v>
      </c>
      <c r="B879" s="9">
        <f>12.9384 * CHOOSE(CONTROL!$C$32, $C$9, 100%, $E$9)</f>
        <v>12.9384</v>
      </c>
      <c r="C879" s="9">
        <f>12.9384 * CHOOSE(CONTROL!$C$32, $C$9, 100%, $E$9)</f>
        <v>12.9384</v>
      </c>
      <c r="D879" s="9">
        <f>12.9395 * CHOOSE(CONTROL!$C$32, $C$9, 100%, $E$9)</f>
        <v>12.939500000000001</v>
      </c>
      <c r="E879" s="11">
        <f>14.1608 * CHOOSE(CONTROL!$C$32, $C$9, 100%, $E$9)</f>
        <v>14.1608</v>
      </c>
      <c r="F879" s="11">
        <f>14.1608 * CHOOSE(CONTROL!$C$32, $C$9, 100%, $E$9)</f>
        <v>14.1608</v>
      </c>
      <c r="G879" s="11">
        <f>14.1644 * CHOOSE(CONTROL!$C$32, $C$9, 100%, $E$9)</f>
        <v>14.164400000000001</v>
      </c>
      <c r="H879" s="11">
        <f>29.3319 * CHOOSE(CONTROL!$C$32, $C$9, 100%, $E$9)</f>
        <v>29.331900000000001</v>
      </c>
      <c r="I879" s="11">
        <f>29.3355 * CHOOSE(CONTROL!$C$32, $C$9, 100%, $E$9)</f>
        <v>29.3355</v>
      </c>
      <c r="J879" s="11">
        <f>29.3319 * CHOOSE(CONTROL!$C$32, $C$9, 100%, $E$9)</f>
        <v>29.331900000000001</v>
      </c>
      <c r="K879" s="11">
        <f>29.3355 * CHOOSE(CONTROL!$C$32, $C$9, 100%, $E$9)</f>
        <v>29.3355</v>
      </c>
      <c r="L879" s="11">
        <f>14.1608 * CHOOSE(CONTROL!$C$32, $C$9, 100%, $E$9)</f>
        <v>14.1608</v>
      </c>
      <c r="M879" s="11">
        <f>14.1644 * CHOOSE(CONTROL!$C$32, $C$9, 100%, $E$9)</f>
        <v>14.164400000000001</v>
      </c>
      <c r="N879" s="11">
        <f>14.1608 * CHOOSE(CONTROL!$C$32, $C$9, 100%, $E$9)</f>
        <v>14.1608</v>
      </c>
      <c r="O879" s="11">
        <f>14.1644 * CHOOSE(CONTROL!$C$32, $C$9, 100%, $E$9)</f>
        <v>14.164400000000001</v>
      </c>
    </row>
    <row r="880" spans="1:15" ht="15" x14ac:dyDescent="0.2">
      <c r="A880" s="13">
        <v>67632</v>
      </c>
      <c r="B880" s="9">
        <f>12.9354 * CHOOSE(CONTROL!$C$32, $C$9, 100%, $E$9)</f>
        <v>12.9354</v>
      </c>
      <c r="C880" s="9">
        <f>12.9354 * CHOOSE(CONTROL!$C$32, $C$9, 100%, $E$9)</f>
        <v>12.9354</v>
      </c>
      <c r="D880" s="9">
        <f>12.9364 * CHOOSE(CONTROL!$C$32, $C$9, 100%, $E$9)</f>
        <v>12.936400000000001</v>
      </c>
      <c r="E880" s="11">
        <f>14.4702 * CHOOSE(CONTROL!$C$32, $C$9, 100%, $E$9)</f>
        <v>14.4702</v>
      </c>
      <c r="F880" s="11">
        <f>14.4702 * CHOOSE(CONTROL!$C$32, $C$9, 100%, $E$9)</f>
        <v>14.4702</v>
      </c>
      <c r="G880" s="11">
        <f>14.4738 * CHOOSE(CONTROL!$C$32, $C$9, 100%, $E$9)</f>
        <v>14.473800000000001</v>
      </c>
      <c r="H880" s="11">
        <f>29.393 * CHOOSE(CONTROL!$C$32, $C$9, 100%, $E$9)</f>
        <v>29.393000000000001</v>
      </c>
      <c r="I880" s="11">
        <f>29.3966 * CHOOSE(CONTROL!$C$32, $C$9, 100%, $E$9)</f>
        <v>29.396599999999999</v>
      </c>
      <c r="J880" s="11">
        <f>29.393 * CHOOSE(CONTROL!$C$32, $C$9, 100%, $E$9)</f>
        <v>29.393000000000001</v>
      </c>
      <c r="K880" s="11">
        <f>29.3966 * CHOOSE(CONTROL!$C$32, $C$9, 100%, $E$9)</f>
        <v>29.396599999999999</v>
      </c>
      <c r="L880" s="11">
        <f>14.4702 * CHOOSE(CONTROL!$C$32, $C$9, 100%, $E$9)</f>
        <v>14.4702</v>
      </c>
      <c r="M880" s="11">
        <f>14.4738 * CHOOSE(CONTROL!$C$32, $C$9, 100%, $E$9)</f>
        <v>14.473800000000001</v>
      </c>
      <c r="N880" s="11">
        <f>14.4702 * CHOOSE(CONTROL!$C$32, $C$9, 100%, $E$9)</f>
        <v>14.4702</v>
      </c>
      <c r="O880" s="11">
        <f>14.4738 * CHOOSE(CONTROL!$C$32, $C$9, 100%, $E$9)</f>
        <v>14.473800000000001</v>
      </c>
    </row>
    <row r="881" spans="1:15" ht="15" x14ac:dyDescent="0.2">
      <c r="A881" s="13">
        <v>67663</v>
      </c>
      <c r="B881" s="9">
        <f>12.9417 * CHOOSE(CONTROL!$C$32, $C$9, 100%, $E$9)</f>
        <v>12.941700000000001</v>
      </c>
      <c r="C881" s="9">
        <f>12.9417 * CHOOSE(CONTROL!$C$32, $C$9, 100%, $E$9)</f>
        <v>12.941700000000001</v>
      </c>
      <c r="D881" s="9">
        <f>12.9428 * CHOOSE(CONTROL!$C$32, $C$9, 100%, $E$9)</f>
        <v>12.9428</v>
      </c>
      <c r="E881" s="11">
        <f>14.8005 * CHOOSE(CONTROL!$C$32, $C$9, 100%, $E$9)</f>
        <v>14.8005</v>
      </c>
      <c r="F881" s="11">
        <f>14.8005 * CHOOSE(CONTROL!$C$32, $C$9, 100%, $E$9)</f>
        <v>14.8005</v>
      </c>
      <c r="G881" s="11">
        <f>14.8042 * CHOOSE(CONTROL!$C$32, $C$9, 100%, $E$9)</f>
        <v>14.8042</v>
      </c>
      <c r="H881" s="11">
        <f>29.4542 * CHOOSE(CONTROL!$C$32, $C$9, 100%, $E$9)</f>
        <v>29.4542</v>
      </c>
      <c r="I881" s="11">
        <f>29.4578 * CHOOSE(CONTROL!$C$32, $C$9, 100%, $E$9)</f>
        <v>29.457799999999999</v>
      </c>
      <c r="J881" s="11">
        <f>29.4542 * CHOOSE(CONTROL!$C$32, $C$9, 100%, $E$9)</f>
        <v>29.4542</v>
      </c>
      <c r="K881" s="11">
        <f>29.4578 * CHOOSE(CONTROL!$C$32, $C$9, 100%, $E$9)</f>
        <v>29.457799999999999</v>
      </c>
      <c r="L881" s="11">
        <f>14.8005 * CHOOSE(CONTROL!$C$32, $C$9, 100%, $E$9)</f>
        <v>14.8005</v>
      </c>
      <c r="M881" s="11">
        <f>14.8042 * CHOOSE(CONTROL!$C$32, $C$9, 100%, $E$9)</f>
        <v>14.8042</v>
      </c>
      <c r="N881" s="11">
        <f>14.8005 * CHOOSE(CONTROL!$C$32, $C$9, 100%, $E$9)</f>
        <v>14.8005</v>
      </c>
      <c r="O881" s="11">
        <f>14.8042 * CHOOSE(CONTROL!$C$32, $C$9, 100%, $E$9)</f>
        <v>14.8042</v>
      </c>
    </row>
    <row r="882" spans="1:15" ht="15" x14ac:dyDescent="0.2">
      <c r="A882" s="13">
        <v>67693</v>
      </c>
      <c r="B882" s="9">
        <f>12.9417 * CHOOSE(CONTROL!$C$32, $C$9, 100%, $E$9)</f>
        <v>12.941700000000001</v>
      </c>
      <c r="C882" s="9">
        <f>12.9417 * CHOOSE(CONTROL!$C$32, $C$9, 100%, $E$9)</f>
        <v>12.941700000000001</v>
      </c>
      <c r="D882" s="9">
        <f>12.9433 * CHOOSE(CONTROL!$C$32, $C$9, 100%, $E$9)</f>
        <v>12.943300000000001</v>
      </c>
      <c r="E882" s="11">
        <f>14.926 * CHOOSE(CONTROL!$C$32, $C$9, 100%, $E$9)</f>
        <v>14.926</v>
      </c>
      <c r="F882" s="11">
        <f>14.926 * CHOOSE(CONTROL!$C$32, $C$9, 100%, $E$9)</f>
        <v>14.926</v>
      </c>
      <c r="G882" s="11">
        <f>14.9313 * CHOOSE(CONTROL!$C$32, $C$9, 100%, $E$9)</f>
        <v>14.9313</v>
      </c>
      <c r="H882" s="11">
        <f>29.5156 * CHOOSE(CONTROL!$C$32, $C$9, 100%, $E$9)</f>
        <v>29.515599999999999</v>
      </c>
      <c r="I882" s="11">
        <f>29.5209 * CHOOSE(CONTROL!$C$32, $C$9, 100%, $E$9)</f>
        <v>29.520900000000001</v>
      </c>
      <c r="J882" s="11">
        <f>29.5156 * CHOOSE(CONTROL!$C$32, $C$9, 100%, $E$9)</f>
        <v>29.515599999999999</v>
      </c>
      <c r="K882" s="11">
        <f>29.5209 * CHOOSE(CONTROL!$C$32, $C$9, 100%, $E$9)</f>
        <v>29.520900000000001</v>
      </c>
      <c r="L882" s="11">
        <f>14.926 * CHOOSE(CONTROL!$C$32, $C$9, 100%, $E$9)</f>
        <v>14.926</v>
      </c>
      <c r="M882" s="11">
        <f>14.9313 * CHOOSE(CONTROL!$C$32, $C$9, 100%, $E$9)</f>
        <v>14.9313</v>
      </c>
      <c r="N882" s="11">
        <f>14.926 * CHOOSE(CONTROL!$C$32, $C$9, 100%, $E$9)</f>
        <v>14.926</v>
      </c>
      <c r="O882" s="11">
        <f>14.9313 * CHOOSE(CONTROL!$C$32, $C$9, 100%, $E$9)</f>
        <v>14.9313</v>
      </c>
    </row>
    <row r="883" spans="1:15" ht="15" x14ac:dyDescent="0.2">
      <c r="A883" s="13">
        <v>67724</v>
      </c>
      <c r="B883" s="9">
        <f>12.9478 * CHOOSE(CONTROL!$C$32, $C$9, 100%, $E$9)</f>
        <v>12.947800000000001</v>
      </c>
      <c r="C883" s="9">
        <f>12.9478 * CHOOSE(CONTROL!$C$32, $C$9, 100%, $E$9)</f>
        <v>12.947800000000001</v>
      </c>
      <c r="D883" s="9">
        <f>12.9493 * CHOOSE(CONTROL!$C$32, $C$9, 100%, $E$9)</f>
        <v>12.949299999999999</v>
      </c>
      <c r="E883" s="11">
        <f>14.8048 * CHOOSE(CONTROL!$C$32, $C$9, 100%, $E$9)</f>
        <v>14.8048</v>
      </c>
      <c r="F883" s="11">
        <f>14.8048 * CHOOSE(CONTROL!$C$32, $C$9, 100%, $E$9)</f>
        <v>14.8048</v>
      </c>
      <c r="G883" s="11">
        <f>14.8101 * CHOOSE(CONTROL!$C$32, $C$9, 100%, $E$9)</f>
        <v>14.8101</v>
      </c>
      <c r="H883" s="11">
        <f>29.5771 * CHOOSE(CONTROL!$C$32, $C$9, 100%, $E$9)</f>
        <v>29.577100000000002</v>
      </c>
      <c r="I883" s="11">
        <f>29.5824 * CHOOSE(CONTROL!$C$32, $C$9, 100%, $E$9)</f>
        <v>29.5824</v>
      </c>
      <c r="J883" s="11">
        <f>29.5771 * CHOOSE(CONTROL!$C$32, $C$9, 100%, $E$9)</f>
        <v>29.577100000000002</v>
      </c>
      <c r="K883" s="11">
        <f>29.5824 * CHOOSE(CONTROL!$C$32, $C$9, 100%, $E$9)</f>
        <v>29.5824</v>
      </c>
      <c r="L883" s="11">
        <f>14.8048 * CHOOSE(CONTROL!$C$32, $C$9, 100%, $E$9)</f>
        <v>14.8048</v>
      </c>
      <c r="M883" s="11">
        <f>14.8101 * CHOOSE(CONTROL!$C$32, $C$9, 100%, $E$9)</f>
        <v>14.8101</v>
      </c>
      <c r="N883" s="11">
        <f>14.8048 * CHOOSE(CONTROL!$C$32, $C$9, 100%, $E$9)</f>
        <v>14.8048</v>
      </c>
      <c r="O883" s="11">
        <f>14.8101 * CHOOSE(CONTROL!$C$32, $C$9, 100%, $E$9)</f>
        <v>14.8101</v>
      </c>
    </row>
    <row r="884" spans="1:15" ht="15" x14ac:dyDescent="0.2">
      <c r="A884" s="13">
        <v>67754</v>
      </c>
      <c r="B884" s="9">
        <f>13.1045 * CHOOSE(CONTROL!$C$32, $C$9, 100%, $E$9)</f>
        <v>13.1045</v>
      </c>
      <c r="C884" s="9">
        <f>13.1045 * CHOOSE(CONTROL!$C$32, $C$9, 100%, $E$9)</f>
        <v>13.1045</v>
      </c>
      <c r="D884" s="9">
        <f>13.1061 * CHOOSE(CONTROL!$C$32, $C$9, 100%, $E$9)</f>
        <v>13.1061</v>
      </c>
      <c r="E884" s="11">
        <f>15.0144 * CHOOSE(CONTROL!$C$32, $C$9, 100%, $E$9)</f>
        <v>15.0144</v>
      </c>
      <c r="F884" s="11">
        <f>15.0144 * CHOOSE(CONTROL!$C$32, $C$9, 100%, $E$9)</f>
        <v>15.0144</v>
      </c>
      <c r="G884" s="11">
        <f>15.0197 * CHOOSE(CONTROL!$C$32, $C$9, 100%, $E$9)</f>
        <v>15.0197</v>
      </c>
      <c r="H884" s="11">
        <f>29.6387 * CHOOSE(CONTROL!$C$32, $C$9, 100%, $E$9)</f>
        <v>29.6387</v>
      </c>
      <c r="I884" s="11">
        <f>29.644 * CHOOSE(CONTROL!$C$32, $C$9, 100%, $E$9)</f>
        <v>29.643999999999998</v>
      </c>
      <c r="J884" s="11">
        <f>29.6387 * CHOOSE(CONTROL!$C$32, $C$9, 100%, $E$9)</f>
        <v>29.6387</v>
      </c>
      <c r="K884" s="11">
        <f>29.644 * CHOOSE(CONTROL!$C$32, $C$9, 100%, $E$9)</f>
        <v>29.643999999999998</v>
      </c>
      <c r="L884" s="11">
        <f>15.0144 * CHOOSE(CONTROL!$C$32, $C$9, 100%, $E$9)</f>
        <v>15.0144</v>
      </c>
      <c r="M884" s="11">
        <f>15.0197 * CHOOSE(CONTROL!$C$32, $C$9, 100%, $E$9)</f>
        <v>15.0197</v>
      </c>
      <c r="N884" s="11">
        <f>15.0144 * CHOOSE(CONTROL!$C$32, $C$9, 100%, $E$9)</f>
        <v>15.0144</v>
      </c>
      <c r="O884" s="11">
        <f>15.0197 * CHOOSE(CONTROL!$C$32, $C$9, 100%, $E$9)</f>
        <v>15.0197</v>
      </c>
    </row>
    <row r="885" spans="1:15" ht="15" x14ac:dyDescent="0.2">
      <c r="A885" s="13">
        <v>67785</v>
      </c>
      <c r="B885" s="9">
        <f>13.1112 * CHOOSE(CONTROL!$C$32, $C$9, 100%, $E$9)</f>
        <v>13.1112</v>
      </c>
      <c r="C885" s="9">
        <f>13.1112 * CHOOSE(CONTROL!$C$32, $C$9, 100%, $E$9)</f>
        <v>13.1112</v>
      </c>
      <c r="D885" s="9">
        <f>13.1127 * CHOOSE(CONTROL!$C$32, $C$9, 100%, $E$9)</f>
        <v>13.1127</v>
      </c>
      <c r="E885" s="11">
        <f>14.6427 * CHOOSE(CONTROL!$C$32, $C$9, 100%, $E$9)</f>
        <v>14.6427</v>
      </c>
      <c r="F885" s="11">
        <f>14.6427 * CHOOSE(CONTROL!$C$32, $C$9, 100%, $E$9)</f>
        <v>14.6427</v>
      </c>
      <c r="G885" s="11">
        <f>14.6479 * CHOOSE(CONTROL!$C$32, $C$9, 100%, $E$9)</f>
        <v>14.6479</v>
      </c>
      <c r="H885" s="11">
        <f>29.7004 * CHOOSE(CONTROL!$C$32, $C$9, 100%, $E$9)</f>
        <v>29.700399999999998</v>
      </c>
      <c r="I885" s="11">
        <f>29.7057 * CHOOSE(CONTROL!$C$32, $C$9, 100%, $E$9)</f>
        <v>29.7057</v>
      </c>
      <c r="J885" s="11">
        <f>29.7004 * CHOOSE(CONTROL!$C$32, $C$9, 100%, $E$9)</f>
        <v>29.700399999999998</v>
      </c>
      <c r="K885" s="11">
        <f>29.7057 * CHOOSE(CONTROL!$C$32, $C$9, 100%, $E$9)</f>
        <v>29.7057</v>
      </c>
      <c r="L885" s="11">
        <f>14.6427 * CHOOSE(CONTROL!$C$32, $C$9, 100%, $E$9)</f>
        <v>14.6427</v>
      </c>
      <c r="M885" s="11">
        <f>14.6479 * CHOOSE(CONTROL!$C$32, $C$9, 100%, $E$9)</f>
        <v>14.6479</v>
      </c>
      <c r="N885" s="11">
        <f>14.6427 * CHOOSE(CONTROL!$C$32, $C$9, 100%, $E$9)</f>
        <v>14.6427</v>
      </c>
      <c r="O885" s="11">
        <f>14.6479 * CHOOSE(CONTROL!$C$32, $C$9, 100%, $E$9)</f>
        <v>14.6479</v>
      </c>
    </row>
    <row r="886" spans="1:15" ht="15" x14ac:dyDescent="0.2">
      <c r="A886" s="13">
        <v>67816</v>
      </c>
      <c r="B886" s="9">
        <f>13.1081 * CHOOSE(CONTROL!$C$32, $C$9, 100%, $E$9)</f>
        <v>13.1081</v>
      </c>
      <c r="C886" s="9">
        <f>13.1081 * CHOOSE(CONTROL!$C$32, $C$9, 100%, $E$9)</f>
        <v>13.1081</v>
      </c>
      <c r="D886" s="9">
        <f>13.1097 * CHOOSE(CONTROL!$C$32, $C$9, 100%, $E$9)</f>
        <v>13.1097</v>
      </c>
      <c r="E886" s="11">
        <f>14.5987 * CHOOSE(CONTROL!$C$32, $C$9, 100%, $E$9)</f>
        <v>14.598699999999999</v>
      </c>
      <c r="F886" s="11">
        <f>14.5987 * CHOOSE(CONTROL!$C$32, $C$9, 100%, $E$9)</f>
        <v>14.598699999999999</v>
      </c>
      <c r="G886" s="11">
        <f>14.604 * CHOOSE(CONTROL!$C$32, $C$9, 100%, $E$9)</f>
        <v>14.603999999999999</v>
      </c>
      <c r="H886" s="11">
        <f>29.7623 * CHOOSE(CONTROL!$C$32, $C$9, 100%, $E$9)</f>
        <v>29.7623</v>
      </c>
      <c r="I886" s="11">
        <f>29.7676 * CHOOSE(CONTROL!$C$32, $C$9, 100%, $E$9)</f>
        <v>29.767600000000002</v>
      </c>
      <c r="J886" s="11">
        <f>29.7623 * CHOOSE(CONTROL!$C$32, $C$9, 100%, $E$9)</f>
        <v>29.7623</v>
      </c>
      <c r="K886" s="11">
        <f>29.7676 * CHOOSE(CONTROL!$C$32, $C$9, 100%, $E$9)</f>
        <v>29.767600000000002</v>
      </c>
      <c r="L886" s="11">
        <f>14.5987 * CHOOSE(CONTROL!$C$32, $C$9, 100%, $E$9)</f>
        <v>14.598699999999999</v>
      </c>
      <c r="M886" s="11">
        <f>14.604 * CHOOSE(CONTROL!$C$32, $C$9, 100%, $E$9)</f>
        <v>14.603999999999999</v>
      </c>
      <c r="N886" s="11">
        <f>14.5987 * CHOOSE(CONTROL!$C$32, $C$9, 100%, $E$9)</f>
        <v>14.598699999999999</v>
      </c>
      <c r="O886" s="11">
        <f>14.604 * CHOOSE(CONTROL!$C$32, $C$9, 100%, $E$9)</f>
        <v>14.603999999999999</v>
      </c>
    </row>
    <row r="887" spans="1:15" ht="15" x14ac:dyDescent="0.2">
      <c r="A887" s="13">
        <v>67846</v>
      </c>
      <c r="B887" s="9">
        <f>13.1372 * CHOOSE(CONTROL!$C$32, $C$9, 100%, $E$9)</f>
        <v>13.1372</v>
      </c>
      <c r="C887" s="9">
        <f>13.1372 * CHOOSE(CONTROL!$C$32, $C$9, 100%, $E$9)</f>
        <v>13.1372</v>
      </c>
      <c r="D887" s="9">
        <f>13.1383 * CHOOSE(CONTROL!$C$32, $C$9, 100%, $E$9)</f>
        <v>13.138299999999999</v>
      </c>
      <c r="E887" s="11">
        <f>14.7526 * CHOOSE(CONTROL!$C$32, $C$9, 100%, $E$9)</f>
        <v>14.752599999999999</v>
      </c>
      <c r="F887" s="11">
        <f>14.7526 * CHOOSE(CONTROL!$C$32, $C$9, 100%, $E$9)</f>
        <v>14.752599999999999</v>
      </c>
      <c r="G887" s="11">
        <f>14.7562 * CHOOSE(CONTROL!$C$32, $C$9, 100%, $E$9)</f>
        <v>14.7562</v>
      </c>
      <c r="H887" s="11">
        <f>29.8243 * CHOOSE(CONTROL!$C$32, $C$9, 100%, $E$9)</f>
        <v>29.824300000000001</v>
      </c>
      <c r="I887" s="11">
        <f>29.8279 * CHOOSE(CONTROL!$C$32, $C$9, 100%, $E$9)</f>
        <v>29.8279</v>
      </c>
      <c r="J887" s="11">
        <f>29.8243 * CHOOSE(CONTROL!$C$32, $C$9, 100%, $E$9)</f>
        <v>29.824300000000001</v>
      </c>
      <c r="K887" s="11">
        <f>29.8279 * CHOOSE(CONTROL!$C$32, $C$9, 100%, $E$9)</f>
        <v>29.8279</v>
      </c>
      <c r="L887" s="11">
        <f>14.7526 * CHOOSE(CONTROL!$C$32, $C$9, 100%, $E$9)</f>
        <v>14.752599999999999</v>
      </c>
      <c r="M887" s="11">
        <f>14.7562 * CHOOSE(CONTROL!$C$32, $C$9, 100%, $E$9)</f>
        <v>14.7562</v>
      </c>
      <c r="N887" s="11">
        <f>14.7526 * CHOOSE(CONTROL!$C$32, $C$9, 100%, $E$9)</f>
        <v>14.752599999999999</v>
      </c>
      <c r="O887" s="11">
        <f>14.7562 * CHOOSE(CONTROL!$C$32, $C$9, 100%, $E$9)</f>
        <v>14.7562</v>
      </c>
    </row>
    <row r="888" spans="1:15" ht="15" x14ac:dyDescent="0.2">
      <c r="A888" s="13">
        <v>67877</v>
      </c>
      <c r="B888" s="9">
        <f>13.1403 * CHOOSE(CONTROL!$C$32, $C$9, 100%, $E$9)</f>
        <v>13.1403</v>
      </c>
      <c r="C888" s="9">
        <f>13.1403 * CHOOSE(CONTROL!$C$32, $C$9, 100%, $E$9)</f>
        <v>13.1403</v>
      </c>
      <c r="D888" s="9">
        <f>13.1413 * CHOOSE(CONTROL!$C$32, $C$9, 100%, $E$9)</f>
        <v>13.141299999999999</v>
      </c>
      <c r="E888" s="11">
        <f>14.8383 * CHOOSE(CONTROL!$C$32, $C$9, 100%, $E$9)</f>
        <v>14.8383</v>
      </c>
      <c r="F888" s="11">
        <f>14.8383 * CHOOSE(CONTROL!$C$32, $C$9, 100%, $E$9)</f>
        <v>14.8383</v>
      </c>
      <c r="G888" s="11">
        <f>14.842 * CHOOSE(CONTROL!$C$32, $C$9, 100%, $E$9)</f>
        <v>14.842000000000001</v>
      </c>
      <c r="H888" s="11">
        <f>29.8865 * CHOOSE(CONTROL!$C$32, $C$9, 100%, $E$9)</f>
        <v>29.886500000000002</v>
      </c>
      <c r="I888" s="11">
        <f>29.8901 * CHOOSE(CONTROL!$C$32, $C$9, 100%, $E$9)</f>
        <v>29.8901</v>
      </c>
      <c r="J888" s="11">
        <f>29.8865 * CHOOSE(CONTROL!$C$32, $C$9, 100%, $E$9)</f>
        <v>29.886500000000002</v>
      </c>
      <c r="K888" s="11">
        <f>29.8901 * CHOOSE(CONTROL!$C$32, $C$9, 100%, $E$9)</f>
        <v>29.8901</v>
      </c>
      <c r="L888" s="11">
        <f>14.8383 * CHOOSE(CONTROL!$C$32, $C$9, 100%, $E$9)</f>
        <v>14.8383</v>
      </c>
      <c r="M888" s="11">
        <f>14.842 * CHOOSE(CONTROL!$C$32, $C$9, 100%, $E$9)</f>
        <v>14.842000000000001</v>
      </c>
      <c r="N888" s="11">
        <f>14.8383 * CHOOSE(CONTROL!$C$32, $C$9, 100%, $E$9)</f>
        <v>14.8383</v>
      </c>
      <c r="O888" s="11">
        <f>14.842 * CHOOSE(CONTROL!$C$32, $C$9, 100%, $E$9)</f>
        <v>14.842000000000001</v>
      </c>
    </row>
    <row r="889" spans="1:15" ht="15" x14ac:dyDescent="0.2">
      <c r="A889" s="13">
        <v>67907</v>
      </c>
      <c r="B889" s="9">
        <f>13.1403 * CHOOSE(CONTROL!$C$32, $C$9, 100%, $E$9)</f>
        <v>13.1403</v>
      </c>
      <c r="C889" s="9">
        <f>13.1403 * CHOOSE(CONTROL!$C$32, $C$9, 100%, $E$9)</f>
        <v>13.1403</v>
      </c>
      <c r="D889" s="9">
        <f>13.1413 * CHOOSE(CONTROL!$C$32, $C$9, 100%, $E$9)</f>
        <v>13.141299999999999</v>
      </c>
      <c r="E889" s="11">
        <f>14.6292 * CHOOSE(CONTROL!$C$32, $C$9, 100%, $E$9)</f>
        <v>14.629200000000001</v>
      </c>
      <c r="F889" s="11">
        <f>14.6292 * CHOOSE(CONTROL!$C$32, $C$9, 100%, $E$9)</f>
        <v>14.629200000000001</v>
      </c>
      <c r="G889" s="11">
        <f>14.6328 * CHOOSE(CONTROL!$C$32, $C$9, 100%, $E$9)</f>
        <v>14.6328</v>
      </c>
      <c r="H889" s="11">
        <f>29.9487 * CHOOSE(CONTROL!$C$32, $C$9, 100%, $E$9)</f>
        <v>29.948699999999999</v>
      </c>
      <c r="I889" s="11">
        <f>29.9523 * CHOOSE(CONTROL!$C$32, $C$9, 100%, $E$9)</f>
        <v>29.952300000000001</v>
      </c>
      <c r="J889" s="11">
        <f>29.9487 * CHOOSE(CONTROL!$C$32, $C$9, 100%, $E$9)</f>
        <v>29.948699999999999</v>
      </c>
      <c r="K889" s="11">
        <f>29.9523 * CHOOSE(CONTROL!$C$32, $C$9, 100%, $E$9)</f>
        <v>29.952300000000001</v>
      </c>
      <c r="L889" s="11">
        <f>14.6292 * CHOOSE(CONTROL!$C$32, $C$9, 100%, $E$9)</f>
        <v>14.629200000000001</v>
      </c>
      <c r="M889" s="11">
        <f>14.6328 * CHOOSE(CONTROL!$C$32, $C$9, 100%, $E$9)</f>
        <v>14.6328</v>
      </c>
      <c r="N889" s="11">
        <f>14.6292 * CHOOSE(CONTROL!$C$32, $C$9, 100%, $E$9)</f>
        <v>14.629200000000001</v>
      </c>
      <c r="O889" s="11">
        <f>14.6328 * CHOOSE(CONTROL!$C$32, $C$9, 100%, $E$9)</f>
        <v>14.6328</v>
      </c>
    </row>
    <row r="890" spans="1:15" ht="15" x14ac:dyDescent="0.2">
      <c r="A890" s="13">
        <v>67938</v>
      </c>
      <c r="B890" s="9">
        <f>13.1288 * CHOOSE(CONTROL!$C$32, $C$9, 100%, $E$9)</f>
        <v>13.1288</v>
      </c>
      <c r="C890" s="9">
        <f>13.1288 * CHOOSE(CONTROL!$C$32, $C$9, 100%, $E$9)</f>
        <v>13.1288</v>
      </c>
      <c r="D890" s="9">
        <f>13.1299 * CHOOSE(CONTROL!$C$32, $C$9, 100%, $E$9)</f>
        <v>13.129899999999999</v>
      </c>
      <c r="E890" s="11">
        <f>14.7706 * CHOOSE(CONTROL!$C$32, $C$9, 100%, $E$9)</f>
        <v>14.7706</v>
      </c>
      <c r="F890" s="11">
        <f>14.7706 * CHOOSE(CONTROL!$C$32, $C$9, 100%, $E$9)</f>
        <v>14.7706</v>
      </c>
      <c r="G890" s="11">
        <f>14.7742 * CHOOSE(CONTROL!$C$32, $C$9, 100%, $E$9)</f>
        <v>14.7742</v>
      </c>
      <c r="H890" s="11">
        <f>29.7244 * CHOOSE(CONTROL!$C$32, $C$9, 100%, $E$9)</f>
        <v>29.724399999999999</v>
      </c>
      <c r="I890" s="11">
        <f>29.728 * CHOOSE(CONTROL!$C$32, $C$9, 100%, $E$9)</f>
        <v>29.728000000000002</v>
      </c>
      <c r="J890" s="11">
        <f>29.7244 * CHOOSE(CONTROL!$C$32, $C$9, 100%, $E$9)</f>
        <v>29.724399999999999</v>
      </c>
      <c r="K890" s="11">
        <f>29.728 * CHOOSE(CONTROL!$C$32, $C$9, 100%, $E$9)</f>
        <v>29.728000000000002</v>
      </c>
      <c r="L890" s="11">
        <f>14.7706 * CHOOSE(CONTROL!$C$32, $C$9, 100%, $E$9)</f>
        <v>14.7706</v>
      </c>
      <c r="M890" s="11">
        <f>14.7742 * CHOOSE(CONTROL!$C$32, $C$9, 100%, $E$9)</f>
        <v>14.7742</v>
      </c>
      <c r="N890" s="11">
        <f>14.7706 * CHOOSE(CONTROL!$C$32, $C$9, 100%, $E$9)</f>
        <v>14.7706</v>
      </c>
      <c r="O890" s="11">
        <f>14.7742 * CHOOSE(CONTROL!$C$32, $C$9, 100%, $E$9)</f>
        <v>14.7742</v>
      </c>
    </row>
    <row r="891" spans="1:15" ht="15" x14ac:dyDescent="0.2">
      <c r="A891" s="13">
        <v>67969</v>
      </c>
      <c r="B891" s="9">
        <f>13.1258 * CHOOSE(CONTROL!$C$32, $C$9, 100%, $E$9)</f>
        <v>13.1258</v>
      </c>
      <c r="C891" s="9">
        <f>13.1258 * CHOOSE(CONTROL!$C$32, $C$9, 100%, $E$9)</f>
        <v>13.1258</v>
      </c>
      <c r="D891" s="9">
        <f>13.1268 * CHOOSE(CONTROL!$C$32, $C$9, 100%, $E$9)</f>
        <v>13.126799999999999</v>
      </c>
      <c r="E891" s="11">
        <f>14.3662 * CHOOSE(CONTROL!$C$32, $C$9, 100%, $E$9)</f>
        <v>14.366199999999999</v>
      </c>
      <c r="F891" s="11">
        <f>14.3662 * CHOOSE(CONTROL!$C$32, $C$9, 100%, $E$9)</f>
        <v>14.366199999999999</v>
      </c>
      <c r="G891" s="11">
        <f>14.3698 * CHOOSE(CONTROL!$C$32, $C$9, 100%, $E$9)</f>
        <v>14.3698</v>
      </c>
      <c r="H891" s="11">
        <f>29.7863 * CHOOSE(CONTROL!$C$32, $C$9, 100%, $E$9)</f>
        <v>29.786300000000001</v>
      </c>
      <c r="I891" s="11">
        <f>29.7899 * CHOOSE(CONTROL!$C$32, $C$9, 100%, $E$9)</f>
        <v>29.789899999999999</v>
      </c>
      <c r="J891" s="11">
        <f>29.7863 * CHOOSE(CONTROL!$C$32, $C$9, 100%, $E$9)</f>
        <v>29.786300000000001</v>
      </c>
      <c r="K891" s="11">
        <f>29.7899 * CHOOSE(CONTROL!$C$32, $C$9, 100%, $E$9)</f>
        <v>29.789899999999999</v>
      </c>
      <c r="L891" s="11">
        <f>14.3662 * CHOOSE(CONTROL!$C$32, $C$9, 100%, $E$9)</f>
        <v>14.366199999999999</v>
      </c>
      <c r="M891" s="11">
        <f>14.3698 * CHOOSE(CONTROL!$C$32, $C$9, 100%, $E$9)</f>
        <v>14.3698</v>
      </c>
      <c r="N891" s="11">
        <f>14.3662 * CHOOSE(CONTROL!$C$32, $C$9, 100%, $E$9)</f>
        <v>14.366199999999999</v>
      </c>
      <c r="O891" s="11">
        <f>14.3698 * CHOOSE(CONTROL!$C$32, $C$9, 100%, $E$9)</f>
        <v>14.3698</v>
      </c>
    </row>
    <row r="892" spans="1:15" ht="15" x14ac:dyDescent="0.2">
      <c r="A892" s="13">
        <v>67997</v>
      </c>
      <c r="B892" s="9">
        <f>13.1227 * CHOOSE(CONTROL!$C$32, $C$9, 100%, $E$9)</f>
        <v>13.1227</v>
      </c>
      <c r="C892" s="9">
        <f>13.1227 * CHOOSE(CONTROL!$C$32, $C$9, 100%, $E$9)</f>
        <v>13.1227</v>
      </c>
      <c r="D892" s="9">
        <f>13.1238 * CHOOSE(CONTROL!$C$32, $C$9, 100%, $E$9)</f>
        <v>13.123799999999999</v>
      </c>
      <c r="E892" s="11">
        <f>14.6812 * CHOOSE(CONTROL!$C$32, $C$9, 100%, $E$9)</f>
        <v>14.6812</v>
      </c>
      <c r="F892" s="11">
        <f>14.6812 * CHOOSE(CONTROL!$C$32, $C$9, 100%, $E$9)</f>
        <v>14.6812</v>
      </c>
      <c r="G892" s="11">
        <f>14.6848 * CHOOSE(CONTROL!$C$32, $C$9, 100%, $E$9)</f>
        <v>14.684799999999999</v>
      </c>
      <c r="H892" s="11">
        <f>29.8484 * CHOOSE(CONTROL!$C$32, $C$9, 100%, $E$9)</f>
        <v>29.848400000000002</v>
      </c>
      <c r="I892" s="11">
        <f>29.852 * CHOOSE(CONTROL!$C$32, $C$9, 100%, $E$9)</f>
        <v>29.852</v>
      </c>
      <c r="J892" s="11">
        <f>29.8484 * CHOOSE(CONTROL!$C$32, $C$9, 100%, $E$9)</f>
        <v>29.848400000000002</v>
      </c>
      <c r="K892" s="11">
        <f>29.852 * CHOOSE(CONTROL!$C$32, $C$9, 100%, $E$9)</f>
        <v>29.852</v>
      </c>
      <c r="L892" s="11">
        <f>14.6812 * CHOOSE(CONTROL!$C$32, $C$9, 100%, $E$9)</f>
        <v>14.6812</v>
      </c>
      <c r="M892" s="11">
        <f>14.6848 * CHOOSE(CONTROL!$C$32, $C$9, 100%, $E$9)</f>
        <v>14.684799999999999</v>
      </c>
      <c r="N892" s="11">
        <f>14.6812 * CHOOSE(CONTROL!$C$32, $C$9, 100%, $E$9)</f>
        <v>14.6812</v>
      </c>
      <c r="O892" s="11">
        <f>14.6848 * CHOOSE(CONTROL!$C$32, $C$9, 100%, $E$9)</f>
        <v>14.684799999999999</v>
      </c>
    </row>
    <row r="893" spans="1:15" ht="15" x14ac:dyDescent="0.2">
      <c r="A893" s="13">
        <v>68028</v>
      </c>
      <c r="B893" s="9">
        <f>13.1292 * CHOOSE(CONTROL!$C$32, $C$9, 100%, $E$9)</f>
        <v>13.129200000000001</v>
      </c>
      <c r="C893" s="9">
        <f>13.1292 * CHOOSE(CONTROL!$C$32, $C$9, 100%, $E$9)</f>
        <v>13.129200000000001</v>
      </c>
      <c r="D893" s="9">
        <f>13.1303 * CHOOSE(CONTROL!$C$32, $C$9, 100%, $E$9)</f>
        <v>13.1303</v>
      </c>
      <c r="E893" s="11">
        <f>15.0175 * CHOOSE(CONTROL!$C$32, $C$9, 100%, $E$9)</f>
        <v>15.0175</v>
      </c>
      <c r="F893" s="11">
        <f>15.0175 * CHOOSE(CONTROL!$C$32, $C$9, 100%, $E$9)</f>
        <v>15.0175</v>
      </c>
      <c r="G893" s="11">
        <f>15.0212 * CHOOSE(CONTROL!$C$32, $C$9, 100%, $E$9)</f>
        <v>15.0212</v>
      </c>
      <c r="H893" s="11">
        <f>29.9106 * CHOOSE(CONTROL!$C$32, $C$9, 100%, $E$9)</f>
        <v>29.910599999999999</v>
      </c>
      <c r="I893" s="11">
        <f>29.9142 * CHOOSE(CONTROL!$C$32, $C$9, 100%, $E$9)</f>
        <v>29.914200000000001</v>
      </c>
      <c r="J893" s="11">
        <f>29.9106 * CHOOSE(CONTROL!$C$32, $C$9, 100%, $E$9)</f>
        <v>29.910599999999999</v>
      </c>
      <c r="K893" s="11">
        <f>29.9142 * CHOOSE(CONTROL!$C$32, $C$9, 100%, $E$9)</f>
        <v>29.914200000000001</v>
      </c>
      <c r="L893" s="11">
        <f>15.0175 * CHOOSE(CONTROL!$C$32, $C$9, 100%, $E$9)</f>
        <v>15.0175</v>
      </c>
      <c r="M893" s="11">
        <f>15.0212 * CHOOSE(CONTROL!$C$32, $C$9, 100%, $E$9)</f>
        <v>15.0212</v>
      </c>
      <c r="N893" s="11">
        <f>15.0175 * CHOOSE(CONTROL!$C$32, $C$9, 100%, $E$9)</f>
        <v>15.0175</v>
      </c>
      <c r="O893" s="11">
        <f>15.0212 * CHOOSE(CONTROL!$C$32, $C$9, 100%, $E$9)</f>
        <v>15.0212</v>
      </c>
    </row>
    <row r="894" spans="1:15" ht="15" x14ac:dyDescent="0.2">
      <c r="A894" s="13">
        <v>68058</v>
      </c>
      <c r="B894" s="9">
        <f>13.1292 * CHOOSE(CONTROL!$C$32, $C$9, 100%, $E$9)</f>
        <v>13.129200000000001</v>
      </c>
      <c r="C894" s="9">
        <f>13.1292 * CHOOSE(CONTROL!$C$32, $C$9, 100%, $E$9)</f>
        <v>13.129200000000001</v>
      </c>
      <c r="D894" s="9">
        <f>13.1308 * CHOOSE(CONTROL!$C$32, $C$9, 100%, $E$9)</f>
        <v>13.130800000000001</v>
      </c>
      <c r="E894" s="11">
        <f>15.1453 * CHOOSE(CONTROL!$C$32, $C$9, 100%, $E$9)</f>
        <v>15.145300000000001</v>
      </c>
      <c r="F894" s="11">
        <f>15.1453 * CHOOSE(CONTROL!$C$32, $C$9, 100%, $E$9)</f>
        <v>15.145300000000001</v>
      </c>
      <c r="G894" s="11">
        <f>15.1506 * CHOOSE(CONTROL!$C$32, $C$9, 100%, $E$9)</f>
        <v>15.150600000000001</v>
      </c>
      <c r="H894" s="11">
        <f>29.9729 * CHOOSE(CONTROL!$C$32, $C$9, 100%, $E$9)</f>
        <v>29.972899999999999</v>
      </c>
      <c r="I894" s="11">
        <f>29.9782 * CHOOSE(CONTROL!$C$32, $C$9, 100%, $E$9)</f>
        <v>29.978200000000001</v>
      </c>
      <c r="J894" s="11">
        <f>29.9729 * CHOOSE(CONTROL!$C$32, $C$9, 100%, $E$9)</f>
        <v>29.972899999999999</v>
      </c>
      <c r="K894" s="11">
        <f>29.9782 * CHOOSE(CONTROL!$C$32, $C$9, 100%, $E$9)</f>
        <v>29.978200000000001</v>
      </c>
      <c r="L894" s="11">
        <f>15.1453 * CHOOSE(CONTROL!$C$32, $C$9, 100%, $E$9)</f>
        <v>15.145300000000001</v>
      </c>
      <c r="M894" s="11">
        <f>15.1506 * CHOOSE(CONTROL!$C$32, $C$9, 100%, $E$9)</f>
        <v>15.150600000000001</v>
      </c>
      <c r="N894" s="11">
        <f>15.1453 * CHOOSE(CONTROL!$C$32, $C$9, 100%, $E$9)</f>
        <v>15.145300000000001</v>
      </c>
      <c r="O894" s="11">
        <f>15.1506 * CHOOSE(CONTROL!$C$32, $C$9, 100%, $E$9)</f>
        <v>15.150600000000001</v>
      </c>
    </row>
    <row r="895" spans="1:15" ht="15" x14ac:dyDescent="0.2">
      <c r="A895" s="13">
        <v>68089</v>
      </c>
      <c r="B895" s="9">
        <f>13.1353 * CHOOSE(CONTROL!$C$32, $C$9, 100%, $E$9)</f>
        <v>13.135300000000001</v>
      </c>
      <c r="C895" s="9">
        <f>13.1353 * CHOOSE(CONTROL!$C$32, $C$9, 100%, $E$9)</f>
        <v>13.135300000000001</v>
      </c>
      <c r="D895" s="9">
        <f>13.1369 * CHOOSE(CONTROL!$C$32, $C$9, 100%, $E$9)</f>
        <v>13.136900000000001</v>
      </c>
      <c r="E895" s="11">
        <f>15.0218 * CHOOSE(CONTROL!$C$32, $C$9, 100%, $E$9)</f>
        <v>15.021800000000001</v>
      </c>
      <c r="F895" s="11">
        <f>15.0218 * CHOOSE(CONTROL!$C$32, $C$9, 100%, $E$9)</f>
        <v>15.021800000000001</v>
      </c>
      <c r="G895" s="11">
        <f>15.0271 * CHOOSE(CONTROL!$C$32, $C$9, 100%, $E$9)</f>
        <v>15.027100000000001</v>
      </c>
      <c r="H895" s="11">
        <f>30.0353 * CHOOSE(CONTROL!$C$32, $C$9, 100%, $E$9)</f>
        <v>30.035299999999999</v>
      </c>
      <c r="I895" s="11">
        <f>30.0406 * CHOOSE(CONTROL!$C$32, $C$9, 100%, $E$9)</f>
        <v>30.040600000000001</v>
      </c>
      <c r="J895" s="11">
        <f>30.0353 * CHOOSE(CONTROL!$C$32, $C$9, 100%, $E$9)</f>
        <v>30.035299999999999</v>
      </c>
      <c r="K895" s="11">
        <f>30.0406 * CHOOSE(CONTROL!$C$32, $C$9, 100%, $E$9)</f>
        <v>30.040600000000001</v>
      </c>
      <c r="L895" s="11">
        <f>15.0218 * CHOOSE(CONTROL!$C$32, $C$9, 100%, $E$9)</f>
        <v>15.021800000000001</v>
      </c>
      <c r="M895" s="11">
        <f>15.0271 * CHOOSE(CONTROL!$C$32, $C$9, 100%, $E$9)</f>
        <v>15.027100000000001</v>
      </c>
      <c r="N895" s="11">
        <f>15.0218 * CHOOSE(CONTROL!$C$32, $C$9, 100%, $E$9)</f>
        <v>15.021800000000001</v>
      </c>
      <c r="O895" s="11">
        <f>15.0271 * CHOOSE(CONTROL!$C$32, $C$9, 100%, $E$9)</f>
        <v>15.027100000000001</v>
      </c>
    </row>
    <row r="896" spans="1:15" ht="15" x14ac:dyDescent="0.2">
      <c r="A896" s="13">
        <v>68119</v>
      </c>
      <c r="B896" s="9">
        <f>13.2941 * CHOOSE(CONTROL!$C$32, $C$9, 100%, $E$9)</f>
        <v>13.2941</v>
      </c>
      <c r="C896" s="9">
        <f>13.2941 * CHOOSE(CONTROL!$C$32, $C$9, 100%, $E$9)</f>
        <v>13.2941</v>
      </c>
      <c r="D896" s="9">
        <f>13.2957 * CHOOSE(CONTROL!$C$32, $C$9, 100%, $E$9)</f>
        <v>13.2957</v>
      </c>
      <c r="E896" s="11">
        <f>15.2346 * CHOOSE(CONTROL!$C$32, $C$9, 100%, $E$9)</f>
        <v>15.2346</v>
      </c>
      <c r="F896" s="11">
        <f>15.2346 * CHOOSE(CONTROL!$C$32, $C$9, 100%, $E$9)</f>
        <v>15.2346</v>
      </c>
      <c r="G896" s="11">
        <f>15.2399 * CHOOSE(CONTROL!$C$32, $C$9, 100%, $E$9)</f>
        <v>15.2399</v>
      </c>
      <c r="H896" s="11">
        <f>30.0979 * CHOOSE(CONTROL!$C$32, $C$9, 100%, $E$9)</f>
        <v>30.097899999999999</v>
      </c>
      <c r="I896" s="11">
        <f>30.1032 * CHOOSE(CONTROL!$C$32, $C$9, 100%, $E$9)</f>
        <v>30.103200000000001</v>
      </c>
      <c r="J896" s="11">
        <f>30.0979 * CHOOSE(CONTROL!$C$32, $C$9, 100%, $E$9)</f>
        <v>30.097899999999999</v>
      </c>
      <c r="K896" s="11">
        <f>30.1032 * CHOOSE(CONTROL!$C$32, $C$9, 100%, $E$9)</f>
        <v>30.103200000000001</v>
      </c>
      <c r="L896" s="11">
        <f>15.2346 * CHOOSE(CONTROL!$C$32, $C$9, 100%, $E$9)</f>
        <v>15.2346</v>
      </c>
      <c r="M896" s="11">
        <f>15.2399 * CHOOSE(CONTROL!$C$32, $C$9, 100%, $E$9)</f>
        <v>15.2399</v>
      </c>
      <c r="N896" s="11">
        <f>15.2346 * CHOOSE(CONTROL!$C$32, $C$9, 100%, $E$9)</f>
        <v>15.2346</v>
      </c>
      <c r="O896" s="11">
        <f>15.2399 * CHOOSE(CONTROL!$C$32, $C$9, 100%, $E$9)</f>
        <v>15.2399</v>
      </c>
    </row>
    <row r="897" spans="1:15" ht="15" x14ac:dyDescent="0.2">
      <c r="A897" s="13">
        <v>68150</v>
      </c>
      <c r="B897" s="9">
        <f>13.3008 * CHOOSE(CONTROL!$C$32, $C$9, 100%, $E$9)</f>
        <v>13.300800000000001</v>
      </c>
      <c r="C897" s="9">
        <f>13.3008 * CHOOSE(CONTROL!$C$32, $C$9, 100%, $E$9)</f>
        <v>13.300800000000001</v>
      </c>
      <c r="D897" s="9">
        <f>13.3023 * CHOOSE(CONTROL!$C$32, $C$9, 100%, $E$9)</f>
        <v>13.302300000000001</v>
      </c>
      <c r="E897" s="11">
        <f>14.8561 * CHOOSE(CONTROL!$C$32, $C$9, 100%, $E$9)</f>
        <v>14.8561</v>
      </c>
      <c r="F897" s="11">
        <f>14.8561 * CHOOSE(CONTROL!$C$32, $C$9, 100%, $E$9)</f>
        <v>14.8561</v>
      </c>
      <c r="G897" s="11">
        <f>14.8614 * CHOOSE(CONTROL!$C$32, $C$9, 100%, $E$9)</f>
        <v>14.8614</v>
      </c>
      <c r="H897" s="11">
        <f>30.1606 * CHOOSE(CONTROL!$C$32, $C$9, 100%, $E$9)</f>
        <v>30.160599999999999</v>
      </c>
      <c r="I897" s="11">
        <f>30.1659 * CHOOSE(CONTROL!$C$32, $C$9, 100%, $E$9)</f>
        <v>30.165900000000001</v>
      </c>
      <c r="J897" s="11">
        <f>30.1606 * CHOOSE(CONTROL!$C$32, $C$9, 100%, $E$9)</f>
        <v>30.160599999999999</v>
      </c>
      <c r="K897" s="11">
        <f>30.1659 * CHOOSE(CONTROL!$C$32, $C$9, 100%, $E$9)</f>
        <v>30.165900000000001</v>
      </c>
      <c r="L897" s="11">
        <f>14.8561 * CHOOSE(CONTROL!$C$32, $C$9, 100%, $E$9)</f>
        <v>14.8561</v>
      </c>
      <c r="M897" s="11">
        <f>14.8614 * CHOOSE(CONTROL!$C$32, $C$9, 100%, $E$9)</f>
        <v>14.8614</v>
      </c>
      <c r="N897" s="11">
        <f>14.8561 * CHOOSE(CONTROL!$C$32, $C$9, 100%, $E$9)</f>
        <v>14.8561</v>
      </c>
      <c r="O897" s="11">
        <f>14.8614 * CHOOSE(CONTROL!$C$32, $C$9, 100%, $E$9)</f>
        <v>14.8614</v>
      </c>
    </row>
    <row r="898" spans="1:15" ht="15" x14ac:dyDescent="0.2">
      <c r="A898" s="13">
        <v>68181</v>
      </c>
      <c r="B898" s="9">
        <f>13.2977 * CHOOSE(CONTROL!$C$32, $C$9, 100%, $E$9)</f>
        <v>13.297700000000001</v>
      </c>
      <c r="C898" s="9">
        <f>13.2977 * CHOOSE(CONTROL!$C$32, $C$9, 100%, $E$9)</f>
        <v>13.297700000000001</v>
      </c>
      <c r="D898" s="9">
        <f>13.2993 * CHOOSE(CONTROL!$C$32, $C$9, 100%, $E$9)</f>
        <v>13.299300000000001</v>
      </c>
      <c r="E898" s="11">
        <f>14.8114 * CHOOSE(CONTROL!$C$32, $C$9, 100%, $E$9)</f>
        <v>14.811400000000001</v>
      </c>
      <c r="F898" s="11">
        <f>14.8114 * CHOOSE(CONTROL!$C$32, $C$9, 100%, $E$9)</f>
        <v>14.811400000000001</v>
      </c>
      <c r="G898" s="11">
        <f>14.8167 * CHOOSE(CONTROL!$C$32, $C$9, 100%, $E$9)</f>
        <v>14.816700000000001</v>
      </c>
      <c r="H898" s="11">
        <f>30.2234 * CHOOSE(CONTROL!$C$32, $C$9, 100%, $E$9)</f>
        <v>30.223400000000002</v>
      </c>
      <c r="I898" s="11">
        <f>30.2287 * CHOOSE(CONTROL!$C$32, $C$9, 100%, $E$9)</f>
        <v>30.2287</v>
      </c>
      <c r="J898" s="11">
        <f>30.2234 * CHOOSE(CONTROL!$C$32, $C$9, 100%, $E$9)</f>
        <v>30.223400000000002</v>
      </c>
      <c r="K898" s="11">
        <f>30.2287 * CHOOSE(CONTROL!$C$32, $C$9, 100%, $E$9)</f>
        <v>30.2287</v>
      </c>
      <c r="L898" s="11">
        <f>14.8114 * CHOOSE(CONTROL!$C$32, $C$9, 100%, $E$9)</f>
        <v>14.811400000000001</v>
      </c>
      <c r="M898" s="11">
        <f>14.8167 * CHOOSE(CONTROL!$C$32, $C$9, 100%, $E$9)</f>
        <v>14.816700000000001</v>
      </c>
      <c r="N898" s="11">
        <f>14.8114 * CHOOSE(CONTROL!$C$32, $C$9, 100%, $E$9)</f>
        <v>14.811400000000001</v>
      </c>
      <c r="O898" s="11">
        <f>14.8167 * CHOOSE(CONTROL!$C$32, $C$9, 100%, $E$9)</f>
        <v>14.816700000000001</v>
      </c>
    </row>
    <row r="899" spans="1:15" ht="15" x14ac:dyDescent="0.2">
      <c r="A899" s="13">
        <v>68211</v>
      </c>
      <c r="B899" s="9">
        <f>13.3275 * CHOOSE(CONTROL!$C$32, $C$9, 100%, $E$9)</f>
        <v>13.327500000000001</v>
      </c>
      <c r="C899" s="9">
        <f>13.3275 * CHOOSE(CONTROL!$C$32, $C$9, 100%, $E$9)</f>
        <v>13.327500000000001</v>
      </c>
      <c r="D899" s="9">
        <f>13.3286 * CHOOSE(CONTROL!$C$32, $C$9, 100%, $E$9)</f>
        <v>13.3286</v>
      </c>
      <c r="E899" s="11">
        <f>14.9683 * CHOOSE(CONTROL!$C$32, $C$9, 100%, $E$9)</f>
        <v>14.968299999999999</v>
      </c>
      <c r="F899" s="11">
        <f>14.9683 * CHOOSE(CONTROL!$C$32, $C$9, 100%, $E$9)</f>
        <v>14.968299999999999</v>
      </c>
      <c r="G899" s="11">
        <f>14.9719 * CHOOSE(CONTROL!$C$32, $C$9, 100%, $E$9)</f>
        <v>14.9719</v>
      </c>
      <c r="H899" s="11">
        <f>30.2864 * CHOOSE(CONTROL!$C$32, $C$9, 100%, $E$9)</f>
        <v>30.2864</v>
      </c>
      <c r="I899" s="11">
        <f>30.29 * CHOOSE(CONTROL!$C$32, $C$9, 100%, $E$9)</f>
        <v>30.29</v>
      </c>
      <c r="J899" s="11">
        <f>30.2864 * CHOOSE(CONTROL!$C$32, $C$9, 100%, $E$9)</f>
        <v>30.2864</v>
      </c>
      <c r="K899" s="11">
        <f>30.29 * CHOOSE(CONTROL!$C$32, $C$9, 100%, $E$9)</f>
        <v>30.29</v>
      </c>
      <c r="L899" s="11">
        <f>14.9683 * CHOOSE(CONTROL!$C$32, $C$9, 100%, $E$9)</f>
        <v>14.968299999999999</v>
      </c>
      <c r="M899" s="11">
        <f>14.9719 * CHOOSE(CONTROL!$C$32, $C$9, 100%, $E$9)</f>
        <v>14.9719</v>
      </c>
      <c r="N899" s="11">
        <f>14.9683 * CHOOSE(CONTROL!$C$32, $C$9, 100%, $E$9)</f>
        <v>14.968299999999999</v>
      </c>
      <c r="O899" s="11">
        <f>14.9719 * CHOOSE(CONTROL!$C$32, $C$9, 100%, $E$9)</f>
        <v>14.9719</v>
      </c>
    </row>
    <row r="900" spans="1:15" ht="15" x14ac:dyDescent="0.2">
      <c r="A900" s="13">
        <v>68242</v>
      </c>
      <c r="B900" s="9">
        <f>13.3306 * CHOOSE(CONTROL!$C$32, $C$9, 100%, $E$9)</f>
        <v>13.3306</v>
      </c>
      <c r="C900" s="9">
        <f>13.3306 * CHOOSE(CONTROL!$C$32, $C$9, 100%, $E$9)</f>
        <v>13.3306</v>
      </c>
      <c r="D900" s="9">
        <f>13.3317 * CHOOSE(CONTROL!$C$32, $C$9, 100%, $E$9)</f>
        <v>13.3317</v>
      </c>
      <c r="E900" s="11">
        <f>15.0555 * CHOOSE(CONTROL!$C$32, $C$9, 100%, $E$9)</f>
        <v>15.0555</v>
      </c>
      <c r="F900" s="11">
        <f>15.0555 * CHOOSE(CONTROL!$C$32, $C$9, 100%, $E$9)</f>
        <v>15.0555</v>
      </c>
      <c r="G900" s="11">
        <f>15.0591 * CHOOSE(CONTROL!$C$32, $C$9, 100%, $E$9)</f>
        <v>15.059100000000001</v>
      </c>
      <c r="H900" s="11">
        <f>30.3495 * CHOOSE(CONTROL!$C$32, $C$9, 100%, $E$9)</f>
        <v>30.349499999999999</v>
      </c>
      <c r="I900" s="11">
        <f>30.3531 * CHOOSE(CONTROL!$C$32, $C$9, 100%, $E$9)</f>
        <v>30.353100000000001</v>
      </c>
      <c r="J900" s="11">
        <f>30.3495 * CHOOSE(CONTROL!$C$32, $C$9, 100%, $E$9)</f>
        <v>30.349499999999999</v>
      </c>
      <c r="K900" s="11">
        <f>30.3531 * CHOOSE(CONTROL!$C$32, $C$9, 100%, $E$9)</f>
        <v>30.353100000000001</v>
      </c>
      <c r="L900" s="11">
        <f>15.0555 * CHOOSE(CONTROL!$C$32, $C$9, 100%, $E$9)</f>
        <v>15.0555</v>
      </c>
      <c r="M900" s="11">
        <f>15.0591 * CHOOSE(CONTROL!$C$32, $C$9, 100%, $E$9)</f>
        <v>15.059100000000001</v>
      </c>
      <c r="N900" s="11">
        <f>15.0555 * CHOOSE(CONTROL!$C$32, $C$9, 100%, $E$9)</f>
        <v>15.0555</v>
      </c>
      <c r="O900" s="11">
        <f>15.0591 * CHOOSE(CONTROL!$C$32, $C$9, 100%, $E$9)</f>
        <v>15.059100000000001</v>
      </c>
    </row>
    <row r="901" spans="1:15" ht="15" x14ac:dyDescent="0.2">
      <c r="A901" s="13">
        <v>68272</v>
      </c>
      <c r="B901" s="9">
        <f>13.3306 * CHOOSE(CONTROL!$C$32, $C$9, 100%, $E$9)</f>
        <v>13.3306</v>
      </c>
      <c r="C901" s="9">
        <f>13.3306 * CHOOSE(CONTROL!$C$32, $C$9, 100%, $E$9)</f>
        <v>13.3306</v>
      </c>
      <c r="D901" s="9">
        <f>13.3317 * CHOOSE(CONTROL!$C$32, $C$9, 100%, $E$9)</f>
        <v>13.3317</v>
      </c>
      <c r="E901" s="11">
        <f>14.8427 * CHOOSE(CONTROL!$C$32, $C$9, 100%, $E$9)</f>
        <v>14.842700000000001</v>
      </c>
      <c r="F901" s="11">
        <f>14.8427 * CHOOSE(CONTROL!$C$32, $C$9, 100%, $E$9)</f>
        <v>14.842700000000001</v>
      </c>
      <c r="G901" s="11">
        <f>14.8463 * CHOOSE(CONTROL!$C$32, $C$9, 100%, $E$9)</f>
        <v>14.846299999999999</v>
      </c>
      <c r="H901" s="11">
        <f>30.4127 * CHOOSE(CONTROL!$C$32, $C$9, 100%, $E$9)</f>
        <v>30.412700000000001</v>
      </c>
      <c r="I901" s="11">
        <f>30.4163 * CHOOSE(CONTROL!$C$32, $C$9, 100%, $E$9)</f>
        <v>30.4163</v>
      </c>
      <c r="J901" s="11">
        <f>30.4127 * CHOOSE(CONTROL!$C$32, $C$9, 100%, $E$9)</f>
        <v>30.412700000000001</v>
      </c>
      <c r="K901" s="11">
        <f>30.4163 * CHOOSE(CONTROL!$C$32, $C$9, 100%, $E$9)</f>
        <v>30.4163</v>
      </c>
      <c r="L901" s="11">
        <f>14.8427 * CHOOSE(CONTROL!$C$32, $C$9, 100%, $E$9)</f>
        <v>14.842700000000001</v>
      </c>
      <c r="M901" s="11">
        <f>14.8463 * CHOOSE(CONTROL!$C$32, $C$9, 100%, $E$9)</f>
        <v>14.846299999999999</v>
      </c>
      <c r="N901" s="11">
        <f>14.8427 * CHOOSE(CONTROL!$C$32, $C$9, 100%, $E$9)</f>
        <v>14.842700000000001</v>
      </c>
      <c r="O901" s="11">
        <f>14.8463 * CHOOSE(CONTROL!$C$32, $C$9, 100%, $E$9)</f>
        <v>14.846299999999999</v>
      </c>
    </row>
    <row r="902" spans="1:15" ht="15" x14ac:dyDescent="0.2">
      <c r="A902" s="13">
        <v>68303</v>
      </c>
      <c r="B902" s="9">
        <f>13.3162 * CHOOSE(CONTROL!$C$32, $C$9, 100%, $E$9)</f>
        <v>13.3162</v>
      </c>
      <c r="C902" s="9">
        <f>13.3162 * CHOOSE(CONTROL!$C$32, $C$9, 100%, $E$9)</f>
        <v>13.3162</v>
      </c>
      <c r="D902" s="9">
        <f>13.3172 * CHOOSE(CONTROL!$C$32, $C$9, 100%, $E$9)</f>
        <v>13.3172</v>
      </c>
      <c r="E902" s="11">
        <f>14.9831 * CHOOSE(CONTROL!$C$32, $C$9, 100%, $E$9)</f>
        <v>14.9831</v>
      </c>
      <c r="F902" s="11">
        <f>14.9831 * CHOOSE(CONTROL!$C$32, $C$9, 100%, $E$9)</f>
        <v>14.9831</v>
      </c>
      <c r="G902" s="11">
        <f>14.9867 * CHOOSE(CONTROL!$C$32, $C$9, 100%, $E$9)</f>
        <v>14.986700000000001</v>
      </c>
      <c r="H902" s="11">
        <f>30.1779 * CHOOSE(CONTROL!$C$32, $C$9, 100%, $E$9)</f>
        <v>30.177900000000001</v>
      </c>
      <c r="I902" s="11">
        <f>30.1815 * CHOOSE(CONTROL!$C$32, $C$9, 100%, $E$9)</f>
        <v>30.1815</v>
      </c>
      <c r="J902" s="11">
        <f>30.1779 * CHOOSE(CONTROL!$C$32, $C$9, 100%, $E$9)</f>
        <v>30.177900000000001</v>
      </c>
      <c r="K902" s="11">
        <f>30.1815 * CHOOSE(CONTROL!$C$32, $C$9, 100%, $E$9)</f>
        <v>30.1815</v>
      </c>
      <c r="L902" s="11">
        <f>14.9831 * CHOOSE(CONTROL!$C$32, $C$9, 100%, $E$9)</f>
        <v>14.9831</v>
      </c>
      <c r="M902" s="11">
        <f>14.9867 * CHOOSE(CONTROL!$C$32, $C$9, 100%, $E$9)</f>
        <v>14.986700000000001</v>
      </c>
      <c r="N902" s="11">
        <f>14.9831 * CHOOSE(CONTROL!$C$32, $C$9, 100%, $E$9)</f>
        <v>14.9831</v>
      </c>
      <c r="O902" s="11">
        <f>14.9867 * CHOOSE(CONTROL!$C$32, $C$9, 100%, $E$9)</f>
        <v>14.986700000000001</v>
      </c>
    </row>
    <row r="903" spans="1:15" ht="15" x14ac:dyDescent="0.2">
      <c r="A903" s="13">
        <v>68334</v>
      </c>
      <c r="B903" s="9">
        <f>13.3131 * CHOOSE(CONTROL!$C$32, $C$9, 100%, $E$9)</f>
        <v>13.3131</v>
      </c>
      <c r="C903" s="9">
        <f>13.3131 * CHOOSE(CONTROL!$C$32, $C$9, 100%, $E$9)</f>
        <v>13.3131</v>
      </c>
      <c r="D903" s="9">
        <f>13.3142 * CHOOSE(CONTROL!$C$32, $C$9, 100%, $E$9)</f>
        <v>13.3142</v>
      </c>
      <c r="E903" s="11">
        <f>14.5716 * CHOOSE(CONTROL!$C$32, $C$9, 100%, $E$9)</f>
        <v>14.5716</v>
      </c>
      <c r="F903" s="11">
        <f>14.5716 * CHOOSE(CONTROL!$C$32, $C$9, 100%, $E$9)</f>
        <v>14.5716</v>
      </c>
      <c r="G903" s="11">
        <f>14.5752 * CHOOSE(CONTROL!$C$32, $C$9, 100%, $E$9)</f>
        <v>14.575200000000001</v>
      </c>
      <c r="H903" s="11">
        <f>30.2408 * CHOOSE(CONTROL!$C$32, $C$9, 100%, $E$9)</f>
        <v>30.2408</v>
      </c>
      <c r="I903" s="11">
        <f>30.2444 * CHOOSE(CONTROL!$C$32, $C$9, 100%, $E$9)</f>
        <v>30.244399999999999</v>
      </c>
      <c r="J903" s="11">
        <f>30.2408 * CHOOSE(CONTROL!$C$32, $C$9, 100%, $E$9)</f>
        <v>30.2408</v>
      </c>
      <c r="K903" s="11">
        <f>30.2444 * CHOOSE(CONTROL!$C$32, $C$9, 100%, $E$9)</f>
        <v>30.244399999999999</v>
      </c>
      <c r="L903" s="11">
        <f>14.5716 * CHOOSE(CONTROL!$C$32, $C$9, 100%, $E$9)</f>
        <v>14.5716</v>
      </c>
      <c r="M903" s="11">
        <f>14.5752 * CHOOSE(CONTROL!$C$32, $C$9, 100%, $E$9)</f>
        <v>14.575200000000001</v>
      </c>
      <c r="N903" s="11">
        <f>14.5716 * CHOOSE(CONTROL!$C$32, $C$9, 100%, $E$9)</f>
        <v>14.5716</v>
      </c>
      <c r="O903" s="11">
        <f>14.5752 * CHOOSE(CONTROL!$C$32, $C$9, 100%, $E$9)</f>
        <v>14.575200000000001</v>
      </c>
    </row>
    <row r="904" spans="1:15" ht="15" x14ac:dyDescent="0.2">
      <c r="A904" s="13">
        <v>68362</v>
      </c>
      <c r="B904" s="9">
        <f>13.3101 * CHOOSE(CONTROL!$C$32, $C$9, 100%, $E$9)</f>
        <v>13.3101</v>
      </c>
      <c r="C904" s="9">
        <f>13.3101 * CHOOSE(CONTROL!$C$32, $C$9, 100%, $E$9)</f>
        <v>13.3101</v>
      </c>
      <c r="D904" s="9">
        <f>13.3112 * CHOOSE(CONTROL!$C$32, $C$9, 100%, $E$9)</f>
        <v>13.311199999999999</v>
      </c>
      <c r="E904" s="11">
        <f>14.8922 * CHOOSE(CONTROL!$C$32, $C$9, 100%, $E$9)</f>
        <v>14.892200000000001</v>
      </c>
      <c r="F904" s="11">
        <f>14.8922 * CHOOSE(CONTROL!$C$32, $C$9, 100%, $E$9)</f>
        <v>14.892200000000001</v>
      </c>
      <c r="G904" s="11">
        <f>14.8958 * CHOOSE(CONTROL!$C$32, $C$9, 100%, $E$9)</f>
        <v>14.895799999999999</v>
      </c>
      <c r="H904" s="11">
        <f>30.3038 * CHOOSE(CONTROL!$C$32, $C$9, 100%, $E$9)</f>
        <v>30.303799999999999</v>
      </c>
      <c r="I904" s="11">
        <f>30.3074 * CHOOSE(CONTROL!$C$32, $C$9, 100%, $E$9)</f>
        <v>30.307400000000001</v>
      </c>
      <c r="J904" s="11">
        <f>30.3038 * CHOOSE(CONTROL!$C$32, $C$9, 100%, $E$9)</f>
        <v>30.303799999999999</v>
      </c>
      <c r="K904" s="11">
        <f>30.3074 * CHOOSE(CONTROL!$C$32, $C$9, 100%, $E$9)</f>
        <v>30.307400000000001</v>
      </c>
      <c r="L904" s="11">
        <f>14.8922 * CHOOSE(CONTROL!$C$32, $C$9, 100%, $E$9)</f>
        <v>14.892200000000001</v>
      </c>
      <c r="M904" s="11">
        <f>14.8958 * CHOOSE(CONTROL!$C$32, $C$9, 100%, $E$9)</f>
        <v>14.895799999999999</v>
      </c>
      <c r="N904" s="11">
        <f>14.8922 * CHOOSE(CONTROL!$C$32, $C$9, 100%, $E$9)</f>
        <v>14.892200000000001</v>
      </c>
      <c r="O904" s="11">
        <f>14.8958 * CHOOSE(CONTROL!$C$32, $C$9, 100%, $E$9)</f>
        <v>14.895799999999999</v>
      </c>
    </row>
    <row r="905" spans="1:15" ht="15" x14ac:dyDescent="0.2">
      <c r="A905" s="13">
        <v>68393</v>
      </c>
      <c r="B905" s="9">
        <f>13.3168 * CHOOSE(CONTROL!$C$32, $C$9, 100%, $E$9)</f>
        <v>13.316800000000001</v>
      </c>
      <c r="C905" s="9">
        <f>13.3168 * CHOOSE(CONTROL!$C$32, $C$9, 100%, $E$9)</f>
        <v>13.316800000000001</v>
      </c>
      <c r="D905" s="9">
        <f>13.3178 * CHOOSE(CONTROL!$C$32, $C$9, 100%, $E$9)</f>
        <v>13.3178</v>
      </c>
      <c r="E905" s="11">
        <f>15.2346 * CHOOSE(CONTROL!$C$32, $C$9, 100%, $E$9)</f>
        <v>15.2346</v>
      </c>
      <c r="F905" s="11">
        <f>15.2346 * CHOOSE(CONTROL!$C$32, $C$9, 100%, $E$9)</f>
        <v>15.2346</v>
      </c>
      <c r="G905" s="11">
        <f>15.2382 * CHOOSE(CONTROL!$C$32, $C$9, 100%, $E$9)</f>
        <v>15.238200000000001</v>
      </c>
      <c r="H905" s="11">
        <f>30.3669 * CHOOSE(CONTROL!$C$32, $C$9, 100%, $E$9)</f>
        <v>30.366900000000001</v>
      </c>
      <c r="I905" s="11">
        <f>30.3705 * CHOOSE(CONTROL!$C$32, $C$9, 100%, $E$9)</f>
        <v>30.3705</v>
      </c>
      <c r="J905" s="11">
        <f>30.3669 * CHOOSE(CONTROL!$C$32, $C$9, 100%, $E$9)</f>
        <v>30.366900000000001</v>
      </c>
      <c r="K905" s="11">
        <f>30.3705 * CHOOSE(CONTROL!$C$32, $C$9, 100%, $E$9)</f>
        <v>30.3705</v>
      </c>
      <c r="L905" s="11">
        <f>15.2346 * CHOOSE(CONTROL!$C$32, $C$9, 100%, $E$9)</f>
        <v>15.2346</v>
      </c>
      <c r="M905" s="11">
        <f>15.2382 * CHOOSE(CONTROL!$C$32, $C$9, 100%, $E$9)</f>
        <v>15.238200000000001</v>
      </c>
      <c r="N905" s="11">
        <f>15.2346 * CHOOSE(CONTROL!$C$32, $C$9, 100%, $E$9)</f>
        <v>15.2346</v>
      </c>
      <c r="O905" s="11">
        <f>15.2382 * CHOOSE(CONTROL!$C$32, $C$9, 100%, $E$9)</f>
        <v>15.238200000000001</v>
      </c>
    </row>
    <row r="906" spans="1:15" ht="15" x14ac:dyDescent="0.2">
      <c r="A906" s="13">
        <v>68423</v>
      </c>
      <c r="B906" s="9">
        <f>13.3168 * CHOOSE(CONTROL!$C$32, $C$9, 100%, $E$9)</f>
        <v>13.316800000000001</v>
      </c>
      <c r="C906" s="9">
        <f>13.3168 * CHOOSE(CONTROL!$C$32, $C$9, 100%, $E$9)</f>
        <v>13.316800000000001</v>
      </c>
      <c r="D906" s="9">
        <f>13.3183 * CHOOSE(CONTROL!$C$32, $C$9, 100%, $E$9)</f>
        <v>13.318300000000001</v>
      </c>
      <c r="E906" s="11">
        <f>15.3645 * CHOOSE(CONTROL!$C$32, $C$9, 100%, $E$9)</f>
        <v>15.3645</v>
      </c>
      <c r="F906" s="11">
        <f>15.3645 * CHOOSE(CONTROL!$C$32, $C$9, 100%, $E$9)</f>
        <v>15.3645</v>
      </c>
      <c r="G906" s="11">
        <f>15.3698 * CHOOSE(CONTROL!$C$32, $C$9, 100%, $E$9)</f>
        <v>15.3698</v>
      </c>
      <c r="H906" s="11">
        <f>30.4302 * CHOOSE(CONTROL!$C$32, $C$9, 100%, $E$9)</f>
        <v>30.430199999999999</v>
      </c>
      <c r="I906" s="11">
        <f>30.4355 * CHOOSE(CONTROL!$C$32, $C$9, 100%, $E$9)</f>
        <v>30.435500000000001</v>
      </c>
      <c r="J906" s="11">
        <f>30.4302 * CHOOSE(CONTROL!$C$32, $C$9, 100%, $E$9)</f>
        <v>30.430199999999999</v>
      </c>
      <c r="K906" s="11">
        <f>30.4355 * CHOOSE(CONTROL!$C$32, $C$9, 100%, $E$9)</f>
        <v>30.435500000000001</v>
      </c>
      <c r="L906" s="11">
        <f>15.3645 * CHOOSE(CONTROL!$C$32, $C$9, 100%, $E$9)</f>
        <v>15.3645</v>
      </c>
      <c r="M906" s="11">
        <f>15.3698 * CHOOSE(CONTROL!$C$32, $C$9, 100%, $E$9)</f>
        <v>15.3698</v>
      </c>
      <c r="N906" s="11">
        <f>15.3645 * CHOOSE(CONTROL!$C$32, $C$9, 100%, $E$9)</f>
        <v>15.3645</v>
      </c>
      <c r="O906" s="11">
        <f>15.3698 * CHOOSE(CONTROL!$C$32, $C$9, 100%, $E$9)</f>
        <v>15.3698</v>
      </c>
    </row>
    <row r="907" spans="1:15" ht="15" x14ac:dyDescent="0.2">
      <c r="A907" s="13">
        <v>68454</v>
      </c>
      <c r="B907" s="9">
        <f>13.3229 * CHOOSE(CONTROL!$C$32, $C$9, 100%, $E$9)</f>
        <v>13.322900000000001</v>
      </c>
      <c r="C907" s="9">
        <f>13.3229 * CHOOSE(CONTROL!$C$32, $C$9, 100%, $E$9)</f>
        <v>13.322900000000001</v>
      </c>
      <c r="D907" s="9">
        <f>13.3244 * CHOOSE(CONTROL!$C$32, $C$9, 100%, $E$9)</f>
        <v>13.324400000000001</v>
      </c>
      <c r="E907" s="11">
        <f>15.2388 * CHOOSE(CONTROL!$C$32, $C$9, 100%, $E$9)</f>
        <v>15.238799999999999</v>
      </c>
      <c r="F907" s="11">
        <f>15.2388 * CHOOSE(CONTROL!$C$32, $C$9, 100%, $E$9)</f>
        <v>15.238799999999999</v>
      </c>
      <c r="G907" s="11">
        <f>15.2441 * CHOOSE(CONTROL!$C$32, $C$9, 100%, $E$9)</f>
        <v>15.2441</v>
      </c>
      <c r="H907" s="11">
        <f>30.4936 * CHOOSE(CONTROL!$C$32, $C$9, 100%, $E$9)</f>
        <v>30.493600000000001</v>
      </c>
      <c r="I907" s="11">
        <f>30.4989 * CHOOSE(CONTROL!$C$32, $C$9, 100%, $E$9)</f>
        <v>30.498899999999999</v>
      </c>
      <c r="J907" s="11">
        <f>30.4936 * CHOOSE(CONTROL!$C$32, $C$9, 100%, $E$9)</f>
        <v>30.493600000000001</v>
      </c>
      <c r="K907" s="11">
        <f>30.4989 * CHOOSE(CONTROL!$C$32, $C$9, 100%, $E$9)</f>
        <v>30.498899999999999</v>
      </c>
      <c r="L907" s="11">
        <f>15.2388 * CHOOSE(CONTROL!$C$32, $C$9, 100%, $E$9)</f>
        <v>15.238799999999999</v>
      </c>
      <c r="M907" s="11">
        <f>15.2441 * CHOOSE(CONTROL!$C$32, $C$9, 100%, $E$9)</f>
        <v>15.2441</v>
      </c>
      <c r="N907" s="11">
        <f>15.2388 * CHOOSE(CONTROL!$C$32, $C$9, 100%, $E$9)</f>
        <v>15.238799999999999</v>
      </c>
      <c r="O907" s="11">
        <f>15.2441 * CHOOSE(CONTROL!$C$32, $C$9, 100%, $E$9)</f>
        <v>15.2441</v>
      </c>
    </row>
    <row r="908" spans="1:15" ht="15" x14ac:dyDescent="0.2">
      <c r="A908" s="13">
        <v>68484</v>
      </c>
      <c r="B908" s="9">
        <f>13.4837 * CHOOSE(CONTROL!$C$32, $C$9, 100%, $E$9)</f>
        <v>13.483700000000001</v>
      </c>
      <c r="C908" s="9">
        <f>13.4837 * CHOOSE(CONTROL!$C$32, $C$9, 100%, $E$9)</f>
        <v>13.483700000000001</v>
      </c>
      <c r="D908" s="9">
        <f>13.4853 * CHOOSE(CONTROL!$C$32, $C$9, 100%, $E$9)</f>
        <v>13.485300000000001</v>
      </c>
      <c r="E908" s="11">
        <f>15.4548 * CHOOSE(CONTROL!$C$32, $C$9, 100%, $E$9)</f>
        <v>15.454800000000001</v>
      </c>
      <c r="F908" s="11">
        <f>15.4548 * CHOOSE(CONTROL!$C$32, $C$9, 100%, $E$9)</f>
        <v>15.454800000000001</v>
      </c>
      <c r="G908" s="11">
        <f>15.4601 * CHOOSE(CONTROL!$C$32, $C$9, 100%, $E$9)</f>
        <v>15.460100000000001</v>
      </c>
      <c r="H908" s="11">
        <f>30.5571 * CHOOSE(CONTROL!$C$32, $C$9, 100%, $E$9)</f>
        <v>30.557099999999998</v>
      </c>
      <c r="I908" s="11">
        <f>30.5624 * CHOOSE(CONTROL!$C$32, $C$9, 100%, $E$9)</f>
        <v>30.5624</v>
      </c>
      <c r="J908" s="11">
        <f>30.5571 * CHOOSE(CONTROL!$C$32, $C$9, 100%, $E$9)</f>
        <v>30.557099999999998</v>
      </c>
      <c r="K908" s="11">
        <f>30.5624 * CHOOSE(CONTROL!$C$32, $C$9, 100%, $E$9)</f>
        <v>30.5624</v>
      </c>
      <c r="L908" s="11">
        <f>15.4548 * CHOOSE(CONTROL!$C$32, $C$9, 100%, $E$9)</f>
        <v>15.454800000000001</v>
      </c>
      <c r="M908" s="11">
        <f>15.4601 * CHOOSE(CONTROL!$C$32, $C$9, 100%, $E$9)</f>
        <v>15.460100000000001</v>
      </c>
      <c r="N908" s="11">
        <f>15.4548 * CHOOSE(CONTROL!$C$32, $C$9, 100%, $E$9)</f>
        <v>15.454800000000001</v>
      </c>
      <c r="O908" s="11">
        <f>15.4601 * CHOOSE(CONTROL!$C$32, $C$9, 100%, $E$9)</f>
        <v>15.460100000000001</v>
      </c>
    </row>
    <row r="909" spans="1:15" ht="15" x14ac:dyDescent="0.2">
      <c r="A909" s="13">
        <v>68515</v>
      </c>
      <c r="B909" s="9">
        <f>13.4904 * CHOOSE(CONTROL!$C$32, $C$9, 100%, $E$9)</f>
        <v>13.490399999999999</v>
      </c>
      <c r="C909" s="9">
        <f>13.4904 * CHOOSE(CONTROL!$C$32, $C$9, 100%, $E$9)</f>
        <v>13.490399999999999</v>
      </c>
      <c r="D909" s="9">
        <f>13.4919 * CHOOSE(CONTROL!$C$32, $C$9, 100%, $E$9)</f>
        <v>13.491899999999999</v>
      </c>
      <c r="E909" s="11">
        <f>15.0695 * CHOOSE(CONTROL!$C$32, $C$9, 100%, $E$9)</f>
        <v>15.0695</v>
      </c>
      <c r="F909" s="11">
        <f>15.0695 * CHOOSE(CONTROL!$C$32, $C$9, 100%, $E$9)</f>
        <v>15.0695</v>
      </c>
      <c r="G909" s="11">
        <f>15.0748 * CHOOSE(CONTROL!$C$32, $C$9, 100%, $E$9)</f>
        <v>15.0748</v>
      </c>
      <c r="H909" s="11">
        <f>30.6208 * CHOOSE(CONTROL!$C$32, $C$9, 100%, $E$9)</f>
        <v>30.620799999999999</v>
      </c>
      <c r="I909" s="11">
        <f>30.6261 * CHOOSE(CONTROL!$C$32, $C$9, 100%, $E$9)</f>
        <v>30.626100000000001</v>
      </c>
      <c r="J909" s="11">
        <f>30.6208 * CHOOSE(CONTROL!$C$32, $C$9, 100%, $E$9)</f>
        <v>30.620799999999999</v>
      </c>
      <c r="K909" s="11">
        <f>30.6261 * CHOOSE(CONTROL!$C$32, $C$9, 100%, $E$9)</f>
        <v>30.626100000000001</v>
      </c>
      <c r="L909" s="11">
        <f>15.0695 * CHOOSE(CONTROL!$C$32, $C$9, 100%, $E$9)</f>
        <v>15.0695</v>
      </c>
      <c r="M909" s="11">
        <f>15.0748 * CHOOSE(CONTROL!$C$32, $C$9, 100%, $E$9)</f>
        <v>15.0748</v>
      </c>
      <c r="N909" s="11">
        <f>15.0695 * CHOOSE(CONTROL!$C$32, $C$9, 100%, $E$9)</f>
        <v>15.0695</v>
      </c>
      <c r="O909" s="11">
        <f>15.0748 * CHOOSE(CONTROL!$C$32, $C$9, 100%, $E$9)</f>
        <v>15.0748</v>
      </c>
    </row>
    <row r="910" spans="1:15" ht="15" x14ac:dyDescent="0.2">
      <c r="A910" s="13">
        <v>68546</v>
      </c>
      <c r="B910" s="9">
        <f>13.4873 * CHOOSE(CONTROL!$C$32, $C$9, 100%, $E$9)</f>
        <v>13.487299999999999</v>
      </c>
      <c r="C910" s="9">
        <f>13.4873 * CHOOSE(CONTROL!$C$32, $C$9, 100%, $E$9)</f>
        <v>13.487299999999999</v>
      </c>
      <c r="D910" s="9">
        <f>13.4889 * CHOOSE(CONTROL!$C$32, $C$9, 100%, $E$9)</f>
        <v>13.488899999999999</v>
      </c>
      <c r="E910" s="11">
        <f>15.0241 * CHOOSE(CONTROL!$C$32, $C$9, 100%, $E$9)</f>
        <v>15.024100000000001</v>
      </c>
      <c r="F910" s="11">
        <f>15.0241 * CHOOSE(CONTROL!$C$32, $C$9, 100%, $E$9)</f>
        <v>15.024100000000001</v>
      </c>
      <c r="G910" s="11">
        <f>15.0294 * CHOOSE(CONTROL!$C$32, $C$9, 100%, $E$9)</f>
        <v>15.029400000000001</v>
      </c>
      <c r="H910" s="11">
        <f>30.6846 * CHOOSE(CONTROL!$C$32, $C$9, 100%, $E$9)</f>
        <v>30.6846</v>
      </c>
      <c r="I910" s="11">
        <f>30.6898 * CHOOSE(CONTROL!$C$32, $C$9, 100%, $E$9)</f>
        <v>30.689800000000002</v>
      </c>
      <c r="J910" s="11">
        <f>30.6846 * CHOOSE(CONTROL!$C$32, $C$9, 100%, $E$9)</f>
        <v>30.6846</v>
      </c>
      <c r="K910" s="11">
        <f>30.6898 * CHOOSE(CONTROL!$C$32, $C$9, 100%, $E$9)</f>
        <v>30.689800000000002</v>
      </c>
      <c r="L910" s="11">
        <f>15.0241 * CHOOSE(CONTROL!$C$32, $C$9, 100%, $E$9)</f>
        <v>15.024100000000001</v>
      </c>
      <c r="M910" s="11">
        <f>15.0294 * CHOOSE(CONTROL!$C$32, $C$9, 100%, $E$9)</f>
        <v>15.029400000000001</v>
      </c>
      <c r="N910" s="11">
        <f>15.0241 * CHOOSE(CONTROL!$C$32, $C$9, 100%, $E$9)</f>
        <v>15.024100000000001</v>
      </c>
      <c r="O910" s="11">
        <f>15.0294 * CHOOSE(CONTROL!$C$32, $C$9, 100%, $E$9)</f>
        <v>15.029400000000001</v>
      </c>
    </row>
    <row r="911" spans="1:15" ht="15" x14ac:dyDescent="0.2">
      <c r="A911" s="13">
        <v>68576</v>
      </c>
      <c r="B911" s="9">
        <f>13.5179 * CHOOSE(CONTROL!$C$32, $C$9, 100%, $E$9)</f>
        <v>13.517899999999999</v>
      </c>
      <c r="C911" s="9">
        <f>13.5179 * CHOOSE(CONTROL!$C$32, $C$9, 100%, $E$9)</f>
        <v>13.517899999999999</v>
      </c>
      <c r="D911" s="9">
        <f>13.5189 * CHOOSE(CONTROL!$C$32, $C$9, 100%, $E$9)</f>
        <v>13.5189</v>
      </c>
      <c r="E911" s="11">
        <f>15.1839 * CHOOSE(CONTROL!$C$32, $C$9, 100%, $E$9)</f>
        <v>15.1839</v>
      </c>
      <c r="F911" s="11">
        <f>15.1839 * CHOOSE(CONTROL!$C$32, $C$9, 100%, $E$9)</f>
        <v>15.1839</v>
      </c>
      <c r="G911" s="11">
        <f>15.1876 * CHOOSE(CONTROL!$C$32, $C$9, 100%, $E$9)</f>
        <v>15.1876</v>
      </c>
      <c r="H911" s="11">
        <f>30.7485 * CHOOSE(CONTROL!$C$32, $C$9, 100%, $E$9)</f>
        <v>30.7485</v>
      </c>
      <c r="I911" s="11">
        <f>30.7521 * CHOOSE(CONTROL!$C$32, $C$9, 100%, $E$9)</f>
        <v>30.752099999999999</v>
      </c>
      <c r="J911" s="11">
        <f>30.7485 * CHOOSE(CONTROL!$C$32, $C$9, 100%, $E$9)</f>
        <v>30.7485</v>
      </c>
      <c r="K911" s="11">
        <f>30.7521 * CHOOSE(CONTROL!$C$32, $C$9, 100%, $E$9)</f>
        <v>30.752099999999999</v>
      </c>
      <c r="L911" s="11">
        <f>15.1839 * CHOOSE(CONTROL!$C$32, $C$9, 100%, $E$9)</f>
        <v>15.1839</v>
      </c>
      <c r="M911" s="11">
        <f>15.1876 * CHOOSE(CONTROL!$C$32, $C$9, 100%, $E$9)</f>
        <v>15.1876</v>
      </c>
      <c r="N911" s="11">
        <f>15.1839 * CHOOSE(CONTROL!$C$32, $C$9, 100%, $E$9)</f>
        <v>15.1839</v>
      </c>
      <c r="O911" s="11">
        <f>15.1876 * CHOOSE(CONTROL!$C$32, $C$9, 100%, $E$9)</f>
        <v>15.1876</v>
      </c>
    </row>
    <row r="912" spans="1:15" ht="15" x14ac:dyDescent="0.2">
      <c r="A912" s="13">
        <v>68607</v>
      </c>
      <c r="B912" s="9">
        <f>13.5209 * CHOOSE(CONTROL!$C$32, $C$9, 100%, $E$9)</f>
        <v>13.520899999999999</v>
      </c>
      <c r="C912" s="9">
        <f>13.5209 * CHOOSE(CONTROL!$C$32, $C$9, 100%, $E$9)</f>
        <v>13.520899999999999</v>
      </c>
      <c r="D912" s="9">
        <f>13.522 * CHOOSE(CONTROL!$C$32, $C$9, 100%, $E$9)</f>
        <v>13.522</v>
      </c>
      <c r="E912" s="11">
        <f>15.2727 * CHOOSE(CONTROL!$C$32, $C$9, 100%, $E$9)</f>
        <v>15.2727</v>
      </c>
      <c r="F912" s="11">
        <f>15.2727 * CHOOSE(CONTROL!$C$32, $C$9, 100%, $E$9)</f>
        <v>15.2727</v>
      </c>
      <c r="G912" s="11">
        <f>15.2763 * CHOOSE(CONTROL!$C$32, $C$9, 100%, $E$9)</f>
        <v>15.276300000000001</v>
      </c>
      <c r="H912" s="11">
        <f>30.8125 * CHOOSE(CONTROL!$C$32, $C$9, 100%, $E$9)</f>
        <v>30.8125</v>
      </c>
      <c r="I912" s="11">
        <f>30.8162 * CHOOSE(CONTROL!$C$32, $C$9, 100%, $E$9)</f>
        <v>30.816199999999998</v>
      </c>
      <c r="J912" s="11">
        <f>30.8125 * CHOOSE(CONTROL!$C$32, $C$9, 100%, $E$9)</f>
        <v>30.8125</v>
      </c>
      <c r="K912" s="11">
        <f>30.8162 * CHOOSE(CONTROL!$C$32, $C$9, 100%, $E$9)</f>
        <v>30.816199999999998</v>
      </c>
      <c r="L912" s="11">
        <f>15.2727 * CHOOSE(CONTROL!$C$32, $C$9, 100%, $E$9)</f>
        <v>15.2727</v>
      </c>
      <c r="M912" s="11">
        <f>15.2763 * CHOOSE(CONTROL!$C$32, $C$9, 100%, $E$9)</f>
        <v>15.276300000000001</v>
      </c>
      <c r="N912" s="11">
        <f>15.2727 * CHOOSE(CONTROL!$C$32, $C$9, 100%, $E$9)</f>
        <v>15.2727</v>
      </c>
      <c r="O912" s="11">
        <f>15.2763 * CHOOSE(CONTROL!$C$32, $C$9, 100%, $E$9)</f>
        <v>15.276300000000001</v>
      </c>
    </row>
    <row r="913" spans="1:15" ht="15" x14ac:dyDescent="0.2">
      <c r="A913" s="13">
        <v>68637</v>
      </c>
      <c r="B913" s="9">
        <f>13.5209 * CHOOSE(CONTROL!$C$32, $C$9, 100%, $E$9)</f>
        <v>13.520899999999999</v>
      </c>
      <c r="C913" s="9">
        <f>13.5209 * CHOOSE(CONTROL!$C$32, $C$9, 100%, $E$9)</f>
        <v>13.520899999999999</v>
      </c>
      <c r="D913" s="9">
        <f>13.522 * CHOOSE(CONTROL!$C$32, $C$9, 100%, $E$9)</f>
        <v>13.522</v>
      </c>
      <c r="E913" s="11">
        <f>15.0561 * CHOOSE(CONTROL!$C$32, $C$9, 100%, $E$9)</f>
        <v>15.056100000000001</v>
      </c>
      <c r="F913" s="11">
        <f>15.0561 * CHOOSE(CONTROL!$C$32, $C$9, 100%, $E$9)</f>
        <v>15.056100000000001</v>
      </c>
      <c r="G913" s="11">
        <f>15.0597 * CHOOSE(CONTROL!$C$32, $C$9, 100%, $E$9)</f>
        <v>15.059699999999999</v>
      </c>
      <c r="H913" s="11">
        <f>30.8767 * CHOOSE(CONTROL!$C$32, $C$9, 100%, $E$9)</f>
        <v>30.8767</v>
      </c>
      <c r="I913" s="11">
        <f>30.8803 * CHOOSE(CONTROL!$C$32, $C$9, 100%, $E$9)</f>
        <v>30.880299999999998</v>
      </c>
      <c r="J913" s="11">
        <f>30.8767 * CHOOSE(CONTROL!$C$32, $C$9, 100%, $E$9)</f>
        <v>30.8767</v>
      </c>
      <c r="K913" s="11">
        <f>30.8803 * CHOOSE(CONTROL!$C$32, $C$9, 100%, $E$9)</f>
        <v>30.880299999999998</v>
      </c>
      <c r="L913" s="11">
        <f>15.0561 * CHOOSE(CONTROL!$C$32, $C$9, 100%, $E$9)</f>
        <v>15.056100000000001</v>
      </c>
      <c r="M913" s="11">
        <f>15.0597 * CHOOSE(CONTROL!$C$32, $C$9, 100%, $E$9)</f>
        <v>15.059699999999999</v>
      </c>
      <c r="N913" s="11">
        <f>15.0561 * CHOOSE(CONTROL!$C$32, $C$9, 100%, $E$9)</f>
        <v>15.056100000000001</v>
      </c>
      <c r="O913" s="11">
        <f>15.0597 * CHOOSE(CONTROL!$C$32, $C$9, 100%, $E$9)</f>
        <v>15.059699999999999</v>
      </c>
    </row>
    <row r="914" spans="1:15" ht="15" x14ac:dyDescent="0.2">
      <c r="A914" s="13">
        <v>68668</v>
      </c>
      <c r="B914" s="9">
        <f>13.5035 * CHOOSE(CONTROL!$C$32, $C$9, 100%, $E$9)</f>
        <v>13.503500000000001</v>
      </c>
      <c r="C914" s="9">
        <f>13.5035 * CHOOSE(CONTROL!$C$32, $C$9, 100%, $E$9)</f>
        <v>13.503500000000001</v>
      </c>
      <c r="D914" s="9">
        <f>13.5046 * CHOOSE(CONTROL!$C$32, $C$9, 100%, $E$9)</f>
        <v>13.5046</v>
      </c>
      <c r="E914" s="11">
        <f>15.1956 * CHOOSE(CONTROL!$C$32, $C$9, 100%, $E$9)</f>
        <v>15.195600000000001</v>
      </c>
      <c r="F914" s="11">
        <f>15.1956 * CHOOSE(CONTROL!$C$32, $C$9, 100%, $E$9)</f>
        <v>15.195600000000001</v>
      </c>
      <c r="G914" s="11">
        <f>15.1992 * CHOOSE(CONTROL!$C$32, $C$9, 100%, $E$9)</f>
        <v>15.199199999999999</v>
      </c>
      <c r="H914" s="11">
        <f>30.6314 * CHOOSE(CONTROL!$C$32, $C$9, 100%, $E$9)</f>
        <v>30.631399999999999</v>
      </c>
      <c r="I914" s="11">
        <f>30.635 * CHOOSE(CONTROL!$C$32, $C$9, 100%, $E$9)</f>
        <v>30.635000000000002</v>
      </c>
      <c r="J914" s="11">
        <f>30.6314 * CHOOSE(CONTROL!$C$32, $C$9, 100%, $E$9)</f>
        <v>30.631399999999999</v>
      </c>
      <c r="K914" s="11">
        <f>30.635 * CHOOSE(CONTROL!$C$32, $C$9, 100%, $E$9)</f>
        <v>30.635000000000002</v>
      </c>
      <c r="L914" s="11">
        <f>15.1956 * CHOOSE(CONTROL!$C$32, $C$9, 100%, $E$9)</f>
        <v>15.195600000000001</v>
      </c>
      <c r="M914" s="11">
        <f>15.1992 * CHOOSE(CONTROL!$C$32, $C$9, 100%, $E$9)</f>
        <v>15.199199999999999</v>
      </c>
      <c r="N914" s="11">
        <f>15.1956 * CHOOSE(CONTROL!$C$32, $C$9, 100%, $E$9)</f>
        <v>15.195600000000001</v>
      </c>
      <c r="O914" s="11">
        <f>15.1992 * CHOOSE(CONTROL!$C$32, $C$9, 100%, $E$9)</f>
        <v>15.199199999999999</v>
      </c>
    </row>
    <row r="915" spans="1:15" ht="15" x14ac:dyDescent="0.2">
      <c r="A915" s="13">
        <v>68699</v>
      </c>
      <c r="B915" s="9">
        <f>13.5005 * CHOOSE(CONTROL!$C$32, $C$9, 100%, $E$9)</f>
        <v>13.500500000000001</v>
      </c>
      <c r="C915" s="9">
        <f>13.5005 * CHOOSE(CONTROL!$C$32, $C$9, 100%, $E$9)</f>
        <v>13.500500000000001</v>
      </c>
      <c r="D915" s="9">
        <f>13.5016 * CHOOSE(CONTROL!$C$32, $C$9, 100%, $E$9)</f>
        <v>13.5016</v>
      </c>
      <c r="E915" s="11">
        <f>14.777 * CHOOSE(CONTROL!$C$32, $C$9, 100%, $E$9)</f>
        <v>14.776999999999999</v>
      </c>
      <c r="F915" s="11">
        <f>14.777 * CHOOSE(CONTROL!$C$32, $C$9, 100%, $E$9)</f>
        <v>14.776999999999999</v>
      </c>
      <c r="G915" s="11">
        <f>14.7806 * CHOOSE(CONTROL!$C$32, $C$9, 100%, $E$9)</f>
        <v>14.7806</v>
      </c>
      <c r="H915" s="11">
        <f>30.6952 * CHOOSE(CONTROL!$C$32, $C$9, 100%, $E$9)</f>
        <v>30.6952</v>
      </c>
      <c r="I915" s="11">
        <f>30.6988 * CHOOSE(CONTROL!$C$32, $C$9, 100%, $E$9)</f>
        <v>30.698799999999999</v>
      </c>
      <c r="J915" s="11">
        <f>30.6952 * CHOOSE(CONTROL!$C$32, $C$9, 100%, $E$9)</f>
        <v>30.6952</v>
      </c>
      <c r="K915" s="11">
        <f>30.6988 * CHOOSE(CONTROL!$C$32, $C$9, 100%, $E$9)</f>
        <v>30.698799999999999</v>
      </c>
      <c r="L915" s="11">
        <f>14.777 * CHOOSE(CONTROL!$C$32, $C$9, 100%, $E$9)</f>
        <v>14.776999999999999</v>
      </c>
      <c r="M915" s="11">
        <f>14.7806 * CHOOSE(CONTROL!$C$32, $C$9, 100%, $E$9)</f>
        <v>14.7806</v>
      </c>
      <c r="N915" s="11">
        <f>14.777 * CHOOSE(CONTROL!$C$32, $C$9, 100%, $E$9)</f>
        <v>14.776999999999999</v>
      </c>
      <c r="O915" s="11">
        <f>14.7806 * CHOOSE(CONTROL!$C$32, $C$9, 100%, $E$9)</f>
        <v>14.7806</v>
      </c>
    </row>
    <row r="916" spans="1:15" ht="15" x14ac:dyDescent="0.2">
      <c r="A916" s="13">
        <v>68728</v>
      </c>
      <c r="B916" s="9">
        <f>13.4974 * CHOOSE(CONTROL!$C$32, $C$9, 100%, $E$9)</f>
        <v>13.497400000000001</v>
      </c>
      <c r="C916" s="9">
        <f>13.4974 * CHOOSE(CONTROL!$C$32, $C$9, 100%, $E$9)</f>
        <v>13.497400000000001</v>
      </c>
      <c r="D916" s="9">
        <f>13.4985 * CHOOSE(CONTROL!$C$32, $C$9, 100%, $E$9)</f>
        <v>13.4985</v>
      </c>
      <c r="E916" s="11">
        <f>15.1032 * CHOOSE(CONTROL!$C$32, $C$9, 100%, $E$9)</f>
        <v>15.103199999999999</v>
      </c>
      <c r="F916" s="11">
        <f>15.1032 * CHOOSE(CONTROL!$C$32, $C$9, 100%, $E$9)</f>
        <v>15.103199999999999</v>
      </c>
      <c r="G916" s="11">
        <f>15.1068 * CHOOSE(CONTROL!$C$32, $C$9, 100%, $E$9)</f>
        <v>15.1068</v>
      </c>
      <c r="H916" s="11">
        <f>30.7592 * CHOOSE(CONTROL!$C$32, $C$9, 100%, $E$9)</f>
        <v>30.7592</v>
      </c>
      <c r="I916" s="11">
        <f>30.7628 * CHOOSE(CONTROL!$C$32, $C$9, 100%, $E$9)</f>
        <v>30.762799999999999</v>
      </c>
      <c r="J916" s="11">
        <f>30.7592 * CHOOSE(CONTROL!$C$32, $C$9, 100%, $E$9)</f>
        <v>30.7592</v>
      </c>
      <c r="K916" s="11">
        <f>30.7628 * CHOOSE(CONTROL!$C$32, $C$9, 100%, $E$9)</f>
        <v>30.762799999999999</v>
      </c>
      <c r="L916" s="11">
        <f>15.1032 * CHOOSE(CONTROL!$C$32, $C$9, 100%, $E$9)</f>
        <v>15.103199999999999</v>
      </c>
      <c r="M916" s="11">
        <f>15.1068 * CHOOSE(CONTROL!$C$32, $C$9, 100%, $E$9)</f>
        <v>15.1068</v>
      </c>
      <c r="N916" s="11">
        <f>15.1032 * CHOOSE(CONTROL!$C$32, $C$9, 100%, $E$9)</f>
        <v>15.103199999999999</v>
      </c>
      <c r="O916" s="11">
        <f>15.1068 * CHOOSE(CONTROL!$C$32, $C$9, 100%, $E$9)</f>
        <v>15.1068</v>
      </c>
    </row>
    <row r="917" spans="1:15" ht="15" x14ac:dyDescent="0.2">
      <c r="A917" s="13">
        <v>68759</v>
      </c>
      <c r="B917" s="9">
        <f>13.5043 * CHOOSE(CONTROL!$C$32, $C$9, 100%, $E$9)</f>
        <v>13.504300000000001</v>
      </c>
      <c r="C917" s="9">
        <f>13.5043 * CHOOSE(CONTROL!$C$32, $C$9, 100%, $E$9)</f>
        <v>13.504300000000001</v>
      </c>
      <c r="D917" s="9">
        <f>13.5054 * CHOOSE(CONTROL!$C$32, $C$9, 100%, $E$9)</f>
        <v>13.5054</v>
      </c>
      <c r="E917" s="11">
        <f>15.4516 * CHOOSE(CONTROL!$C$32, $C$9, 100%, $E$9)</f>
        <v>15.451599999999999</v>
      </c>
      <c r="F917" s="11">
        <f>15.4516 * CHOOSE(CONTROL!$C$32, $C$9, 100%, $E$9)</f>
        <v>15.451599999999999</v>
      </c>
      <c r="G917" s="11">
        <f>15.4552 * CHOOSE(CONTROL!$C$32, $C$9, 100%, $E$9)</f>
        <v>15.4552</v>
      </c>
      <c r="H917" s="11">
        <f>30.8233 * CHOOSE(CONTROL!$C$32, $C$9, 100%, $E$9)</f>
        <v>30.8233</v>
      </c>
      <c r="I917" s="11">
        <f>30.8269 * CHOOSE(CONTROL!$C$32, $C$9, 100%, $E$9)</f>
        <v>30.826899999999998</v>
      </c>
      <c r="J917" s="11">
        <f>30.8233 * CHOOSE(CONTROL!$C$32, $C$9, 100%, $E$9)</f>
        <v>30.8233</v>
      </c>
      <c r="K917" s="11">
        <f>30.8269 * CHOOSE(CONTROL!$C$32, $C$9, 100%, $E$9)</f>
        <v>30.826899999999998</v>
      </c>
      <c r="L917" s="11">
        <f>15.4516 * CHOOSE(CONTROL!$C$32, $C$9, 100%, $E$9)</f>
        <v>15.451599999999999</v>
      </c>
      <c r="M917" s="11">
        <f>15.4552 * CHOOSE(CONTROL!$C$32, $C$9, 100%, $E$9)</f>
        <v>15.4552</v>
      </c>
      <c r="N917" s="11">
        <f>15.4516 * CHOOSE(CONTROL!$C$32, $C$9, 100%, $E$9)</f>
        <v>15.451599999999999</v>
      </c>
      <c r="O917" s="11">
        <f>15.4552 * CHOOSE(CONTROL!$C$32, $C$9, 100%, $E$9)</f>
        <v>15.4552</v>
      </c>
    </row>
    <row r="918" spans="1:15" ht="15" x14ac:dyDescent="0.2">
      <c r="A918" s="13">
        <v>68789</v>
      </c>
      <c r="B918" s="9">
        <f>13.5043 * CHOOSE(CONTROL!$C$32, $C$9, 100%, $E$9)</f>
        <v>13.504300000000001</v>
      </c>
      <c r="C918" s="9">
        <f>13.5043 * CHOOSE(CONTROL!$C$32, $C$9, 100%, $E$9)</f>
        <v>13.504300000000001</v>
      </c>
      <c r="D918" s="9">
        <f>13.5059 * CHOOSE(CONTROL!$C$32, $C$9, 100%, $E$9)</f>
        <v>13.5059</v>
      </c>
      <c r="E918" s="11">
        <f>15.5838 * CHOOSE(CONTROL!$C$32, $C$9, 100%, $E$9)</f>
        <v>15.5838</v>
      </c>
      <c r="F918" s="11">
        <f>15.5838 * CHOOSE(CONTROL!$C$32, $C$9, 100%, $E$9)</f>
        <v>15.5838</v>
      </c>
      <c r="G918" s="11">
        <f>15.5891 * CHOOSE(CONTROL!$C$32, $C$9, 100%, $E$9)</f>
        <v>15.5891</v>
      </c>
      <c r="H918" s="11">
        <f>30.8875 * CHOOSE(CONTROL!$C$32, $C$9, 100%, $E$9)</f>
        <v>30.887499999999999</v>
      </c>
      <c r="I918" s="11">
        <f>30.8928 * CHOOSE(CONTROL!$C$32, $C$9, 100%, $E$9)</f>
        <v>30.892800000000001</v>
      </c>
      <c r="J918" s="11">
        <f>30.8875 * CHOOSE(CONTROL!$C$32, $C$9, 100%, $E$9)</f>
        <v>30.887499999999999</v>
      </c>
      <c r="K918" s="11">
        <f>30.8928 * CHOOSE(CONTROL!$C$32, $C$9, 100%, $E$9)</f>
        <v>30.892800000000001</v>
      </c>
      <c r="L918" s="11">
        <f>15.5838 * CHOOSE(CONTROL!$C$32, $C$9, 100%, $E$9)</f>
        <v>15.5838</v>
      </c>
      <c r="M918" s="11">
        <f>15.5891 * CHOOSE(CONTROL!$C$32, $C$9, 100%, $E$9)</f>
        <v>15.5891</v>
      </c>
      <c r="N918" s="11">
        <f>15.5838 * CHOOSE(CONTROL!$C$32, $C$9, 100%, $E$9)</f>
        <v>15.5838</v>
      </c>
      <c r="O918" s="11">
        <f>15.5891 * CHOOSE(CONTROL!$C$32, $C$9, 100%, $E$9)</f>
        <v>15.5891</v>
      </c>
    </row>
    <row r="919" spans="1:15" ht="15" x14ac:dyDescent="0.2">
      <c r="A919" s="13">
        <v>68820</v>
      </c>
      <c r="B919" s="9">
        <f>13.5104 * CHOOSE(CONTROL!$C$32, $C$9, 100%, $E$9)</f>
        <v>13.510400000000001</v>
      </c>
      <c r="C919" s="9">
        <f>13.5104 * CHOOSE(CONTROL!$C$32, $C$9, 100%, $E$9)</f>
        <v>13.510400000000001</v>
      </c>
      <c r="D919" s="9">
        <f>13.512 * CHOOSE(CONTROL!$C$32, $C$9, 100%, $E$9)</f>
        <v>13.512</v>
      </c>
      <c r="E919" s="11">
        <f>15.4558 * CHOOSE(CONTROL!$C$32, $C$9, 100%, $E$9)</f>
        <v>15.4558</v>
      </c>
      <c r="F919" s="11">
        <f>15.4558 * CHOOSE(CONTROL!$C$32, $C$9, 100%, $E$9)</f>
        <v>15.4558</v>
      </c>
      <c r="G919" s="11">
        <f>15.4611 * CHOOSE(CONTROL!$C$32, $C$9, 100%, $E$9)</f>
        <v>15.4611</v>
      </c>
      <c r="H919" s="11">
        <f>30.9518 * CHOOSE(CONTROL!$C$32, $C$9, 100%, $E$9)</f>
        <v>30.951799999999999</v>
      </c>
      <c r="I919" s="11">
        <f>30.9571 * CHOOSE(CONTROL!$C$32, $C$9, 100%, $E$9)</f>
        <v>30.957100000000001</v>
      </c>
      <c r="J919" s="11">
        <f>30.9518 * CHOOSE(CONTROL!$C$32, $C$9, 100%, $E$9)</f>
        <v>30.951799999999999</v>
      </c>
      <c r="K919" s="11">
        <f>30.9571 * CHOOSE(CONTROL!$C$32, $C$9, 100%, $E$9)</f>
        <v>30.957100000000001</v>
      </c>
      <c r="L919" s="11">
        <f>15.4558 * CHOOSE(CONTROL!$C$32, $C$9, 100%, $E$9)</f>
        <v>15.4558</v>
      </c>
      <c r="M919" s="11">
        <f>15.4611 * CHOOSE(CONTROL!$C$32, $C$9, 100%, $E$9)</f>
        <v>15.4611</v>
      </c>
      <c r="N919" s="11">
        <f>15.4558 * CHOOSE(CONTROL!$C$32, $C$9, 100%, $E$9)</f>
        <v>15.4558</v>
      </c>
      <c r="O919" s="11">
        <f>15.4611 * CHOOSE(CONTROL!$C$32, $C$9, 100%, $E$9)</f>
        <v>15.4611</v>
      </c>
    </row>
    <row r="920" spans="1:15" ht="15" x14ac:dyDescent="0.2">
      <c r="A920" s="13">
        <v>68850</v>
      </c>
      <c r="B920" s="9">
        <f>13.6733 * CHOOSE(CONTROL!$C$32, $C$9, 100%, $E$9)</f>
        <v>13.673299999999999</v>
      </c>
      <c r="C920" s="9">
        <f>13.6733 * CHOOSE(CONTROL!$C$32, $C$9, 100%, $E$9)</f>
        <v>13.673299999999999</v>
      </c>
      <c r="D920" s="9">
        <f>13.6749 * CHOOSE(CONTROL!$C$32, $C$9, 100%, $E$9)</f>
        <v>13.674899999999999</v>
      </c>
      <c r="E920" s="11">
        <f>15.6749 * CHOOSE(CONTROL!$C$32, $C$9, 100%, $E$9)</f>
        <v>15.674899999999999</v>
      </c>
      <c r="F920" s="11">
        <f>15.6749 * CHOOSE(CONTROL!$C$32, $C$9, 100%, $E$9)</f>
        <v>15.674899999999999</v>
      </c>
      <c r="G920" s="11">
        <f>15.6802 * CHOOSE(CONTROL!$C$32, $C$9, 100%, $E$9)</f>
        <v>15.680199999999999</v>
      </c>
      <c r="H920" s="11">
        <f>31.0163 * CHOOSE(CONTROL!$C$32, $C$9, 100%, $E$9)</f>
        <v>31.016300000000001</v>
      </c>
      <c r="I920" s="11">
        <f>31.0216 * CHOOSE(CONTROL!$C$32, $C$9, 100%, $E$9)</f>
        <v>31.021599999999999</v>
      </c>
      <c r="J920" s="11">
        <f>31.0163 * CHOOSE(CONTROL!$C$32, $C$9, 100%, $E$9)</f>
        <v>31.016300000000001</v>
      </c>
      <c r="K920" s="11">
        <f>31.0216 * CHOOSE(CONTROL!$C$32, $C$9, 100%, $E$9)</f>
        <v>31.021599999999999</v>
      </c>
      <c r="L920" s="11">
        <f>15.6749 * CHOOSE(CONTROL!$C$32, $C$9, 100%, $E$9)</f>
        <v>15.674899999999999</v>
      </c>
      <c r="M920" s="11">
        <f>15.6802 * CHOOSE(CONTROL!$C$32, $C$9, 100%, $E$9)</f>
        <v>15.680199999999999</v>
      </c>
      <c r="N920" s="11">
        <f>15.6749 * CHOOSE(CONTROL!$C$32, $C$9, 100%, $E$9)</f>
        <v>15.674899999999999</v>
      </c>
      <c r="O920" s="11">
        <f>15.6802 * CHOOSE(CONTROL!$C$32, $C$9, 100%, $E$9)</f>
        <v>15.680199999999999</v>
      </c>
    </row>
    <row r="921" spans="1:15" ht="15" x14ac:dyDescent="0.2">
      <c r="A921" s="13">
        <v>68881</v>
      </c>
      <c r="B921" s="9">
        <f>13.68 * CHOOSE(CONTROL!$C$32, $C$9, 100%, $E$9)</f>
        <v>13.68</v>
      </c>
      <c r="C921" s="9">
        <f>13.68 * CHOOSE(CONTROL!$C$32, $C$9, 100%, $E$9)</f>
        <v>13.68</v>
      </c>
      <c r="D921" s="9">
        <f>13.6815 * CHOOSE(CONTROL!$C$32, $C$9, 100%, $E$9)</f>
        <v>13.6815</v>
      </c>
      <c r="E921" s="11">
        <f>15.2829 * CHOOSE(CONTROL!$C$32, $C$9, 100%, $E$9)</f>
        <v>15.2829</v>
      </c>
      <c r="F921" s="11">
        <f>15.2829 * CHOOSE(CONTROL!$C$32, $C$9, 100%, $E$9)</f>
        <v>15.2829</v>
      </c>
      <c r="G921" s="11">
        <f>15.2882 * CHOOSE(CONTROL!$C$32, $C$9, 100%, $E$9)</f>
        <v>15.2882</v>
      </c>
      <c r="H921" s="11">
        <f>31.0809 * CHOOSE(CONTROL!$C$32, $C$9, 100%, $E$9)</f>
        <v>31.0809</v>
      </c>
      <c r="I921" s="11">
        <f>31.0862 * CHOOSE(CONTROL!$C$32, $C$9, 100%, $E$9)</f>
        <v>31.086200000000002</v>
      </c>
      <c r="J921" s="11">
        <f>31.0809 * CHOOSE(CONTROL!$C$32, $C$9, 100%, $E$9)</f>
        <v>31.0809</v>
      </c>
      <c r="K921" s="11">
        <f>31.0862 * CHOOSE(CONTROL!$C$32, $C$9, 100%, $E$9)</f>
        <v>31.086200000000002</v>
      </c>
      <c r="L921" s="11">
        <f>15.2829 * CHOOSE(CONTROL!$C$32, $C$9, 100%, $E$9)</f>
        <v>15.2829</v>
      </c>
      <c r="M921" s="11">
        <f>15.2882 * CHOOSE(CONTROL!$C$32, $C$9, 100%, $E$9)</f>
        <v>15.2882</v>
      </c>
      <c r="N921" s="11">
        <f>15.2829 * CHOOSE(CONTROL!$C$32, $C$9, 100%, $E$9)</f>
        <v>15.2829</v>
      </c>
      <c r="O921" s="11">
        <f>15.2882 * CHOOSE(CONTROL!$C$32, $C$9, 100%, $E$9)</f>
        <v>15.2882</v>
      </c>
    </row>
    <row r="922" spans="1:15" ht="15" x14ac:dyDescent="0.2">
      <c r="A922" s="13">
        <v>68912</v>
      </c>
      <c r="B922" s="9">
        <f>13.6769 * CHOOSE(CONTROL!$C$32, $C$9, 100%, $E$9)</f>
        <v>13.6769</v>
      </c>
      <c r="C922" s="9">
        <f>13.6769 * CHOOSE(CONTROL!$C$32, $C$9, 100%, $E$9)</f>
        <v>13.6769</v>
      </c>
      <c r="D922" s="9">
        <f>13.6785 * CHOOSE(CONTROL!$C$32, $C$9, 100%, $E$9)</f>
        <v>13.6785</v>
      </c>
      <c r="E922" s="11">
        <f>15.2368 * CHOOSE(CONTROL!$C$32, $C$9, 100%, $E$9)</f>
        <v>15.236800000000001</v>
      </c>
      <c r="F922" s="11">
        <f>15.2368 * CHOOSE(CONTROL!$C$32, $C$9, 100%, $E$9)</f>
        <v>15.236800000000001</v>
      </c>
      <c r="G922" s="11">
        <f>15.2421 * CHOOSE(CONTROL!$C$32, $C$9, 100%, $E$9)</f>
        <v>15.242100000000001</v>
      </c>
      <c r="H922" s="11">
        <f>31.1457 * CHOOSE(CONTROL!$C$32, $C$9, 100%, $E$9)</f>
        <v>31.145700000000001</v>
      </c>
      <c r="I922" s="11">
        <f>31.151 * CHOOSE(CONTROL!$C$32, $C$9, 100%, $E$9)</f>
        <v>31.151</v>
      </c>
      <c r="J922" s="11">
        <f>31.1457 * CHOOSE(CONTROL!$C$32, $C$9, 100%, $E$9)</f>
        <v>31.145700000000001</v>
      </c>
      <c r="K922" s="11">
        <f>31.151 * CHOOSE(CONTROL!$C$32, $C$9, 100%, $E$9)</f>
        <v>31.151</v>
      </c>
      <c r="L922" s="11">
        <f>15.2368 * CHOOSE(CONTROL!$C$32, $C$9, 100%, $E$9)</f>
        <v>15.236800000000001</v>
      </c>
      <c r="M922" s="11">
        <f>15.2421 * CHOOSE(CONTROL!$C$32, $C$9, 100%, $E$9)</f>
        <v>15.242100000000001</v>
      </c>
      <c r="N922" s="11">
        <f>15.2368 * CHOOSE(CONTROL!$C$32, $C$9, 100%, $E$9)</f>
        <v>15.236800000000001</v>
      </c>
      <c r="O922" s="11">
        <f>15.2421 * CHOOSE(CONTROL!$C$32, $C$9, 100%, $E$9)</f>
        <v>15.242100000000001</v>
      </c>
    </row>
    <row r="923" spans="1:15" ht="15" x14ac:dyDescent="0.2">
      <c r="A923" s="13">
        <v>68942</v>
      </c>
      <c r="B923" s="9">
        <f>13.7082 * CHOOSE(CONTROL!$C$32, $C$9, 100%, $E$9)</f>
        <v>13.7082</v>
      </c>
      <c r="C923" s="9">
        <f>13.7082 * CHOOSE(CONTROL!$C$32, $C$9, 100%, $E$9)</f>
        <v>13.7082</v>
      </c>
      <c r="D923" s="9">
        <f>13.7092 * CHOOSE(CONTROL!$C$32, $C$9, 100%, $E$9)</f>
        <v>13.709199999999999</v>
      </c>
      <c r="E923" s="11">
        <f>15.3996 * CHOOSE(CONTROL!$C$32, $C$9, 100%, $E$9)</f>
        <v>15.3996</v>
      </c>
      <c r="F923" s="11">
        <f>15.3996 * CHOOSE(CONTROL!$C$32, $C$9, 100%, $E$9)</f>
        <v>15.3996</v>
      </c>
      <c r="G923" s="11">
        <f>15.4032 * CHOOSE(CONTROL!$C$32, $C$9, 100%, $E$9)</f>
        <v>15.4032</v>
      </c>
      <c r="H923" s="11">
        <f>31.2106 * CHOOSE(CONTROL!$C$32, $C$9, 100%, $E$9)</f>
        <v>31.210599999999999</v>
      </c>
      <c r="I923" s="11">
        <f>31.2142 * CHOOSE(CONTROL!$C$32, $C$9, 100%, $E$9)</f>
        <v>31.214200000000002</v>
      </c>
      <c r="J923" s="11">
        <f>31.2106 * CHOOSE(CONTROL!$C$32, $C$9, 100%, $E$9)</f>
        <v>31.210599999999999</v>
      </c>
      <c r="K923" s="11">
        <f>31.2142 * CHOOSE(CONTROL!$C$32, $C$9, 100%, $E$9)</f>
        <v>31.214200000000002</v>
      </c>
      <c r="L923" s="11">
        <f>15.3996 * CHOOSE(CONTROL!$C$32, $C$9, 100%, $E$9)</f>
        <v>15.3996</v>
      </c>
      <c r="M923" s="11">
        <f>15.4032 * CHOOSE(CONTROL!$C$32, $C$9, 100%, $E$9)</f>
        <v>15.4032</v>
      </c>
      <c r="N923" s="11">
        <f>15.3996 * CHOOSE(CONTROL!$C$32, $C$9, 100%, $E$9)</f>
        <v>15.3996</v>
      </c>
      <c r="O923" s="11">
        <f>15.4032 * CHOOSE(CONTROL!$C$32, $C$9, 100%, $E$9)</f>
        <v>15.4032</v>
      </c>
    </row>
    <row r="924" spans="1:15" ht="15" x14ac:dyDescent="0.2">
      <c r="A924" s="13">
        <v>68973</v>
      </c>
      <c r="B924" s="9">
        <f>13.7112 * CHOOSE(CONTROL!$C$32, $C$9, 100%, $E$9)</f>
        <v>13.7112</v>
      </c>
      <c r="C924" s="9">
        <f>13.7112 * CHOOSE(CONTROL!$C$32, $C$9, 100%, $E$9)</f>
        <v>13.7112</v>
      </c>
      <c r="D924" s="9">
        <f>13.7123 * CHOOSE(CONTROL!$C$32, $C$9, 100%, $E$9)</f>
        <v>13.712300000000001</v>
      </c>
      <c r="E924" s="11">
        <f>15.4899 * CHOOSE(CONTROL!$C$32, $C$9, 100%, $E$9)</f>
        <v>15.4899</v>
      </c>
      <c r="F924" s="11">
        <f>15.4899 * CHOOSE(CONTROL!$C$32, $C$9, 100%, $E$9)</f>
        <v>15.4899</v>
      </c>
      <c r="G924" s="11">
        <f>15.4935 * CHOOSE(CONTROL!$C$32, $C$9, 100%, $E$9)</f>
        <v>15.493499999999999</v>
      </c>
      <c r="H924" s="11">
        <f>31.2756 * CHOOSE(CONTROL!$C$32, $C$9, 100%, $E$9)</f>
        <v>31.275600000000001</v>
      </c>
      <c r="I924" s="11">
        <f>31.2792 * CHOOSE(CONTROL!$C$32, $C$9, 100%, $E$9)</f>
        <v>31.279199999999999</v>
      </c>
      <c r="J924" s="11">
        <f>31.2756 * CHOOSE(CONTROL!$C$32, $C$9, 100%, $E$9)</f>
        <v>31.275600000000001</v>
      </c>
      <c r="K924" s="11">
        <f>31.2792 * CHOOSE(CONTROL!$C$32, $C$9, 100%, $E$9)</f>
        <v>31.279199999999999</v>
      </c>
      <c r="L924" s="11">
        <f>15.4899 * CHOOSE(CONTROL!$C$32, $C$9, 100%, $E$9)</f>
        <v>15.4899</v>
      </c>
      <c r="M924" s="11">
        <f>15.4935 * CHOOSE(CONTROL!$C$32, $C$9, 100%, $E$9)</f>
        <v>15.493499999999999</v>
      </c>
      <c r="N924" s="11">
        <f>15.4899 * CHOOSE(CONTROL!$C$32, $C$9, 100%, $E$9)</f>
        <v>15.4899</v>
      </c>
      <c r="O924" s="11">
        <f>15.4935 * CHOOSE(CONTROL!$C$32, $C$9, 100%, $E$9)</f>
        <v>15.493499999999999</v>
      </c>
    </row>
    <row r="925" spans="1:15" ht="15" x14ac:dyDescent="0.2">
      <c r="A925" s="13">
        <v>69003</v>
      </c>
      <c r="B925" s="9">
        <f>13.7112 * CHOOSE(CONTROL!$C$32, $C$9, 100%, $E$9)</f>
        <v>13.7112</v>
      </c>
      <c r="C925" s="9">
        <f>13.7112 * CHOOSE(CONTROL!$C$32, $C$9, 100%, $E$9)</f>
        <v>13.7112</v>
      </c>
      <c r="D925" s="9">
        <f>13.7123 * CHOOSE(CONTROL!$C$32, $C$9, 100%, $E$9)</f>
        <v>13.712300000000001</v>
      </c>
      <c r="E925" s="11">
        <f>15.2695 * CHOOSE(CONTROL!$C$32, $C$9, 100%, $E$9)</f>
        <v>15.269500000000001</v>
      </c>
      <c r="F925" s="11">
        <f>15.2695 * CHOOSE(CONTROL!$C$32, $C$9, 100%, $E$9)</f>
        <v>15.269500000000001</v>
      </c>
      <c r="G925" s="11">
        <f>15.2731 * CHOOSE(CONTROL!$C$32, $C$9, 100%, $E$9)</f>
        <v>15.273099999999999</v>
      </c>
      <c r="H925" s="11">
        <f>31.3407 * CHOOSE(CONTROL!$C$32, $C$9, 100%, $E$9)</f>
        <v>31.340699999999998</v>
      </c>
      <c r="I925" s="11">
        <f>31.3444 * CHOOSE(CONTROL!$C$32, $C$9, 100%, $E$9)</f>
        <v>31.3444</v>
      </c>
      <c r="J925" s="11">
        <f>31.3407 * CHOOSE(CONTROL!$C$32, $C$9, 100%, $E$9)</f>
        <v>31.340699999999998</v>
      </c>
      <c r="K925" s="11">
        <f>31.3444 * CHOOSE(CONTROL!$C$32, $C$9, 100%, $E$9)</f>
        <v>31.3444</v>
      </c>
      <c r="L925" s="11">
        <f>15.2695 * CHOOSE(CONTROL!$C$32, $C$9, 100%, $E$9)</f>
        <v>15.269500000000001</v>
      </c>
      <c r="M925" s="11">
        <f>15.2731 * CHOOSE(CONTROL!$C$32, $C$9, 100%, $E$9)</f>
        <v>15.273099999999999</v>
      </c>
      <c r="N925" s="11">
        <f>15.2695 * CHOOSE(CONTROL!$C$32, $C$9, 100%, $E$9)</f>
        <v>15.269500000000001</v>
      </c>
      <c r="O925" s="11">
        <f>15.2731 * CHOOSE(CONTROL!$C$32, $C$9, 100%, $E$9)</f>
        <v>15.273099999999999</v>
      </c>
    </row>
    <row r="926" spans="1:15" ht="15" x14ac:dyDescent="0.2">
      <c r="A926" s="13">
        <v>69034</v>
      </c>
      <c r="B926" s="9">
        <f>13.6909 * CHOOSE(CONTROL!$C$32, $C$9, 100%, $E$9)</f>
        <v>13.690899999999999</v>
      </c>
      <c r="C926" s="9">
        <f>13.6909 * CHOOSE(CONTROL!$C$32, $C$9, 100%, $E$9)</f>
        <v>13.690899999999999</v>
      </c>
      <c r="D926" s="9">
        <f>13.6919 * CHOOSE(CONTROL!$C$32, $C$9, 100%, $E$9)</f>
        <v>13.6919</v>
      </c>
      <c r="E926" s="11">
        <f>15.4081 * CHOOSE(CONTROL!$C$32, $C$9, 100%, $E$9)</f>
        <v>15.408099999999999</v>
      </c>
      <c r="F926" s="11">
        <f>15.4081 * CHOOSE(CONTROL!$C$32, $C$9, 100%, $E$9)</f>
        <v>15.408099999999999</v>
      </c>
      <c r="G926" s="11">
        <f>15.4117 * CHOOSE(CONTROL!$C$32, $C$9, 100%, $E$9)</f>
        <v>15.4117</v>
      </c>
      <c r="H926" s="11">
        <f>31.0849 * CHOOSE(CONTROL!$C$32, $C$9, 100%, $E$9)</f>
        <v>31.084900000000001</v>
      </c>
      <c r="I926" s="11">
        <f>31.0885 * CHOOSE(CONTROL!$C$32, $C$9, 100%, $E$9)</f>
        <v>31.0885</v>
      </c>
      <c r="J926" s="11">
        <f>31.0849 * CHOOSE(CONTROL!$C$32, $C$9, 100%, $E$9)</f>
        <v>31.084900000000001</v>
      </c>
      <c r="K926" s="11">
        <f>31.0885 * CHOOSE(CONTROL!$C$32, $C$9, 100%, $E$9)</f>
        <v>31.0885</v>
      </c>
      <c r="L926" s="11">
        <f>15.4081 * CHOOSE(CONTROL!$C$32, $C$9, 100%, $E$9)</f>
        <v>15.408099999999999</v>
      </c>
      <c r="M926" s="11">
        <f>15.4117 * CHOOSE(CONTROL!$C$32, $C$9, 100%, $E$9)</f>
        <v>15.4117</v>
      </c>
      <c r="N926" s="11">
        <f>15.4081 * CHOOSE(CONTROL!$C$32, $C$9, 100%, $E$9)</f>
        <v>15.408099999999999</v>
      </c>
      <c r="O926" s="11">
        <f>15.4117 * CHOOSE(CONTROL!$C$32, $C$9, 100%, $E$9)</f>
        <v>15.4117</v>
      </c>
    </row>
    <row r="927" spans="1:15" ht="15" x14ac:dyDescent="0.2">
      <c r="A927" s="13">
        <v>69065</v>
      </c>
      <c r="B927" s="9">
        <f>13.6878 * CHOOSE(CONTROL!$C$32, $C$9, 100%, $E$9)</f>
        <v>13.687799999999999</v>
      </c>
      <c r="C927" s="9">
        <f>13.6878 * CHOOSE(CONTROL!$C$32, $C$9, 100%, $E$9)</f>
        <v>13.687799999999999</v>
      </c>
      <c r="D927" s="9">
        <f>13.6889 * CHOOSE(CONTROL!$C$32, $C$9, 100%, $E$9)</f>
        <v>13.6889</v>
      </c>
      <c r="E927" s="11">
        <f>14.9824 * CHOOSE(CONTROL!$C$32, $C$9, 100%, $E$9)</f>
        <v>14.9824</v>
      </c>
      <c r="F927" s="11">
        <f>14.9824 * CHOOSE(CONTROL!$C$32, $C$9, 100%, $E$9)</f>
        <v>14.9824</v>
      </c>
      <c r="G927" s="11">
        <f>14.9861 * CHOOSE(CONTROL!$C$32, $C$9, 100%, $E$9)</f>
        <v>14.9861</v>
      </c>
      <c r="H927" s="11">
        <f>31.1497 * CHOOSE(CONTROL!$C$32, $C$9, 100%, $E$9)</f>
        <v>31.149699999999999</v>
      </c>
      <c r="I927" s="11">
        <f>31.1533 * CHOOSE(CONTROL!$C$32, $C$9, 100%, $E$9)</f>
        <v>31.153300000000002</v>
      </c>
      <c r="J927" s="11">
        <f>31.1497 * CHOOSE(CONTROL!$C$32, $C$9, 100%, $E$9)</f>
        <v>31.149699999999999</v>
      </c>
      <c r="K927" s="11">
        <f>31.1533 * CHOOSE(CONTROL!$C$32, $C$9, 100%, $E$9)</f>
        <v>31.153300000000002</v>
      </c>
      <c r="L927" s="11">
        <f>14.9824 * CHOOSE(CONTROL!$C$32, $C$9, 100%, $E$9)</f>
        <v>14.9824</v>
      </c>
      <c r="M927" s="11">
        <f>14.9861 * CHOOSE(CONTROL!$C$32, $C$9, 100%, $E$9)</f>
        <v>14.9861</v>
      </c>
      <c r="N927" s="11">
        <f>14.9824 * CHOOSE(CONTROL!$C$32, $C$9, 100%, $E$9)</f>
        <v>14.9824</v>
      </c>
      <c r="O927" s="11">
        <f>14.9861 * CHOOSE(CONTROL!$C$32, $C$9, 100%, $E$9)</f>
        <v>14.9861</v>
      </c>
    </row>
    <row r="928" spans="1:15" ht="15" x14ac:dyDescent="0.2">
      <c r="A928" s="13">
        <v>69093</v>
      </c>
      <c r="B928" s="9">
        <f>13.6848 * CHOOSE(CONTROL!$C$32, $C$9, 100%, $E$9)</f>
        <v>13.684799999999999</v>
      </c>
      <c r="C928" s="9">
        <f>13.6848 * CHOOSE(CONTROL!$C$32, $C$9, 100%, $E$9)</f>
        <v>13.684799999999999</v>
      </c>
      <c r="D928" s="9">
        <f>13.6859 * CHOOSE(CONTROL!$C$32, $C$9, 100%, $E$9)</f>
        <v>13.6859</v>
      </c>
      <c r="E928" s="11">
        <f>15.3142 * CHOOSE(CONTROL!$C$32, $C$9, 100%, $E$9)</f>
        <v>15.3142</v>
      </c>
      <c r="F928" s="11">
        <f>15.3142 * CHOOSE(CONTROL!$C$32, $C$9, 100%, $E$9)</f>
        <v>15.3142</v>
      </c>
      <c r="G928" s="11">
        <f>15.3178 * CHOOSE(CONTROL!$C$32, $C$9, 100%, $E$9)</f>
        <v>15.3178</v>
      </c>
      <c r="H928" s="11">
        <f>31.2146 * CHOOSE(CONTROL!$C$32, $C$9, 100%, $E$9)</f>
        <v>31.214600000000001</v>
      </c>
      <c r="I928" s="11">
        <f>31.2182 * CHOOSE(CONTROL!$C$32, $C$9, 100%, $E$9)</f>
        <v>31.2182</v>
      </c>
      <c r="J928" s="11">
        <f>31.2146 * CHOOSE(CONTROL!$C$32, $C$9, 100%, $E$9)</f>
        <v>31.214600000000001</v>
      </c>
      <c r="K928" s="11">
        <f>31.2182 * CHOOSE(CONTROL!$C$32, $C$9, 100%, $E$9)</f>
        <v>31.2182</v>
      </c>
      <c r="L928" s="11">
        <f>15.3142 * CHOOSE(CONTROL!$C$32, $C$9, 100%, $E$9)</f>
        <v>15.3142</v>
      </c>
      <c r="M928" s="11">
        <f>15.3178 * CHOOSE(CONTROL!$C$32, $C$9, 100%, $E$9)</f>
        <v>15.3178</v>
      </c>
      <c r="N928" s="11">
        <f>15.3142 * CHOOSE(CONTROL!$C$32, $C$9, 100%, $E$9)</f>
        <v>15.3142</v>
      </c>
      <c r="O928" s="11">
        <f>15.3178 * CHOOSE(CONTROL!$C$32, $C$9, 100%, $E$9)</f>
        <v>15.3178</v>
      </c>
    </row>
    <row r="929" spans="1:15" ht="15" x14ac:dyDescent="0.2">
      <c r="A929" s="13">
        <v>69124</v>
      </c>
      <c r="B929" s="9">
        <f>13.6919 * CHOOSE(CONTROL!$C$32, $C$9, 100%, $E$9)</f>
        <v>13.6919</v>
      </c>
      <c r="C929" s="9">
        <f>13.6919 * CHOOSE(CONTROL!$C$32, $C$9, 100%, $E$9)</f>
        <v>13.6919</v>
      </c>
      <c r="D929" s="9">
        <f>13.6929 * CHOOSE(CONTROL!$C$32, $C$9, 100%, $E$9)</f>
        <v>13.6929</v>
      </c>
      <c r="E929" s="11">
        <f>15.6686 * CHOOSE(CONTROL!$C$32, $C$9, 100%, $E$9)</f>
        <v>15.6686</v>
      </c>
      <c r="F929" s="11">
        <f>15.6686 * CHOOSE(CONTROL!$C$32, $C$9, 100%, $E$9)</f>
        <v>15.6686</v>
      </c>
      <c r="G929" s="11">
        <f>15.6722 * CHOOSE(CONTROL!$C$32, $C$9, 100%, $E$9)</f>
        <v>15.6722</v>
      </c>
      <c r="H929" s="11">
        <f>31.2796 * CHOOSE(CONTROL!$C$32, $C$9, 100%, $E$9)</f>
        <v>31.279599999999999</v>
      </c>
      <c r="I929" s="11">
        <f>31.2832 * CHOOSE(CONTROL!$C$32, $C$9, 100%, $E$9)</f>
        <v>31.283200000000001</v>
      </c>
      <c r="J929" s="11">
        <f>31.2796 * CHOOSE(CONTROL!$C$32, $C$9, 100%, $E$9)</f>
        <v>31.279599999999999</v>
      </c>
      <c r="K929" s="11">
        <f>31.2832 * CHOOSE(CONTROL!$C$32, $C$9, 100%, $E$9)</f>
        <v>31.283200000000001</v>
      </c>
      <c r="L929" s="11">
        <f>15.6686 * CHOOSE(CONTROL!$C$32, $C$9, 100%, $E$9)</f>
        <v>15.6686</v>
      </c>
      <c r="M929" s="11">
        <f>15.6722 * CHOOSE(CONTROL!$C$32, $C$9, 100%, $E$9)</f>
        <v>15.6722</v>
      </c>
      <c r="N929" s="11">
        <f>15.6686 * CHOOSE(CONTROL!$C$32, $C$9, 100%, $E$9)</f>
        <v>15.6686</v>
      </c>
      <c r="O929" s="11">
        <f>15.6722 * CHOOSE(CONTROL!$C$32, $C$9, 100%, $E$9)</f>
        <v>15.6722</v>
      </c>
    </row>
    <row r="930" spans="1:15" ht="15" x14ac:dyDescent="0.2">
      <c r="A930" s="13">
        <v>69154</v>
      </c>
      <c r="B930" s="9">
        <f>13.6919 * CHOOSE(CONTROL!$C$32, $C$9, 100%, $E$9)</f>
        <v>13.6919</v>
      </c>
      <c r="C930" s="9">
        <f>13.6919 * CHOOSE(CONTROL!$C$32, $C$9, 100%, $E$9)</f>
        <v>13.6919</v>
      </c>
      <c r="D930" s="9">
        <f>13.6934 * CHOOSE(CONTROL!$C$32, $C$9, 100%, $E$9)</f>
        <v>13.6934</v>
      </c>
      <c r="E930" s="11">
        <f>15.803 * CHOOSE(CONTROL!$C$32, $C$9, 100%, $E$9)</f>
        <v>15.803000000000001</v>
      </c>
      <c r="F930" s="11">
        <f>15.803 * CHOOSE(CONTROL!$C$32, $C$9, 100%, $E$9)</f>
        <v>15.803000000000001</v>
      </c>
      <c r="G930" s="11">
        <f>15.8083 * CHOOSE(CONTROL!$C$32, $C$9, 100%, $E$9)</f>
        <v>15.808299999999999</v>
      </c>
      <c r="H930" s="11">
        <f>31.3448 * CHOOSE(CONTROL!$C$32, $C$9, 100%, $E$9)</f>
        <v>31.344799999999999</v>
      </c>
      <c r="I930" s="11">
        <f>31.3501 * CHOOSE(CONTROL!$C$32, $C$9, 100%, $E$9)</f>
        <v>31.350100000000001</v>
      </c>
      <c r="J930" s="11">
        <f>31.3448 * CHOOSE(CONTROL!$C$32, $C$9, 100%, $E$9)</f>
        <v>31.344799999999999</v>
      </c>
      <c r="K930" s="11">
        <f>31.3501 * CHOOSE(CONTROL!$C$32, $C$9, 100%, $E$9)</f>
        <v>31.350100000000001</v>
      </c>
      <c r="L930" s="11">
        <f>15.803 * CHOOSE(CONTROL!$C$32, $C$9, 100%, $E$9)</f>
        <v>15.803000000000001</v>
      </c>
      <c r="M930" s="11">
        <f>15.8083 * CHOOSE(CONTROL!$C$32, $C$9, 100%, $E$9)</f>
        <v>15.808299999999999</v>
      </c>
      <c r="N930" s="11">
        <f>15.803 * CHOOSE(CONTROL!$C$32, $C$9, 100%, $E$9)</f>
        <v>15.803000000000001</v>
      </c>
      <c r="O930" s="11">
        <f>15.8083 * CHOOSE(CONTROL!$C$32, $C$9, 100%, $E$9)</f>
        <v>15.808299999999999</v>
      </c>
    </row>
    <row r="931" spans="1:15" ht="15" x14ac:dyDescent="0.2">
      <c r="A931" s="13">
        <v>69185</v>
      </c>
      <c r="B931" s="9">
        <f>13.6979 * CHOOSE(CONTROL!$C$32, $C$9, 100%, $E$9)</f>
        <v>13.697900000000001</v>
      </c>
      <c r="C931" s="9">
        <f>13.6979 * CHOOSE(CONTROL!$C$32, $C$9, 100%, $E$9)</f>
        <v>13.697900000000001</v>
      </c>
      <c r="D931" s="9">
        <f>13.6995 * CHOOSE(CONTROL!$C$32, $C$9, 100%, $E$9)</f>
        <v>13.6995</v>
      </c>
      <c r="E931" s="11">
        <f>15.6728 * CHOOSE(CONTROL!$C$32, $C$9, 100%, $E$9)</f>
        <v>15.672800000000001</v>
      </c>
      <c r="F931" s="11">
        <f>15.6728 * CHOOSE(CONTROL!$C$32, $C$9, 100%, $E$9)</f>
        <v>15.672800000000001</v>
      </c>
      <c r="G931" s="11">
        <f>15.6781 * CHOOSE(CONTROL!$C$32, $C$9, 100%, $E$9)</f>
        <v>15.678100000000001</v>
      </c>
      <c r="H931" s="11">
        <f>31.4101 * CHOOSE(CONTROL!$C$32, $C$9, 100%, $E$9)</f>
        <v>31.4101</v>
      </c>
      <c r="I931" s="11">
        <f>31.4154 * CHOOSE(CONTROL!$C$32, $C$9, 100%, $E$9)</f>
        <v>31.415400000000002</v>
      </c>
      <c r="J931" s="11">
        <f>31.4101 * CHOOSE(CONTROL!$C$32, $C$9, 100%, $E$9)</f>
        <v>31.4101</v>
      </c>
      <c r="K931" s="11">
        <f>31.4154 * CHOOSE(CONTROL!$C$32, $C$9, 100%, $E$9)</f>
        <v>31.415400000000002</v>
      </c>
      <c r="L931" s="11">
        <f>15.6728 * CHOOSE(CONTROL!$C$32, $C$9, 100%, $E$9)</f>
        <v>15.672800000000001</v>
      </c>
      <c r="M931" s="11">
        <f>15.6781 * CHOOSE(CONTROL!$C$32, $C$9, 100%, $E$9)</f>
        <v>15.678100000000001</v>
      </c>
      <c r="N931" s="11">
        <f>15.6728 * CHOOSE(CONTROL!$C$32, $C$9, 100%, $E$9)</f>
        <v>15.672800000000001</v>
      </c>
      <c r="O931" s="11">
        <f>15.6781 * CHOOSE(CONTROL!$C$32, $C$9, 100%, $E$9)</f>
        <v>15.678100000000001</v>
      </c>
    </row>
    <row r="932" spans="1:15" ht="15" x14ac:dyDescent="0.2">
      <c r="A932" s="13">
        <v>69215</v>
      </c>
      <c r="B932" s="9">
        <f>13.8629 * CHOOSE(CONTROL!$C$32, $C$9, 100%, $E$9)</f>
        <v>13.8629</v>
      </c>
      <c r="C932" s="9">
        <f>13.8629 * CHOOSE(CONTROL!$C$32, $C$9, 100%, $E$9)</f>
        <v>13.8629</v>
      </c>
      <c r="D932" s="9">
        <f>13.8644 * CHOOSE(CONTROL!$C$32, $C$9, 100%, $E$9)</f>
        <v>13.8644</v>
      </c>
      <c r="E932" s="11">
        <f>15.8951 * CHOOSE(CONTROL!$C$32, $C$9, 100%, $E$9)</f>
        <v>15.895099999999999</v>
      </c>
      <c r="F932" s="11">
        <f>15.8951 * CHOOSE(CONTROL!$C$32, $C$9, 100%, $E$9)</f>
        <v>15.895099999999999</v>
      </c>
      <c r="G932" s="11">
        <f>15.9004 * CHOOSE(CONTROL!$C$32, $C$9, 100%, $E$9)</f>
        <v>15.900399999999999</v>
      </c>
      <c r="H932" s="11">
        <f>31.4755 * CHOOSE(CONTROL!$C$32, $C$9, 100%, $E$9)</f>
        <v>31.4755</v>
      </c>
      <c r="I932" s="11">
        <f>31.4808 * CHOOSE(CONTROL!$C$32, $C$9, 100%, $E$9)</f>
        <v>31.480799999999999</v>
      </c>
      <c r="J932" s="11">
        <f>31.4755 * CHOOSE(CONTROL!$C$32, $C$9, 100%, $E$9)</f>
        <v>31.4755</v>
      </c>
      <c r="K932" s="11">
        <f>31.4808 * CHOOSE(CONTROL!$C$32, $C$9, 100%, $E$9)</f>
        <v>31.480799999999999</v>
      </c>
      <c r="L932" s="11">
        <f>15.8951 * CHOOSE(CONTROL!$C$32, $C$9, 100%, $E$9)</f>
        <v>15.895099999999999</v>
      </c>
      <c r="M932" s="11">
        <f>15.9004 * CHOOSE(CONTROL!$C$32, $C$9, 100%, $E$9)</f>
        <v>15.900399999999999</v>
      </c>
      <c r="N932" s="11">
        <f>15.8951 * CHOOSE(CONTROL!$C$32, $C$9, 100%, $E$9)</f>
        <v>15.895099999999999</v>
      </c>
      <c r="O932" s="11">
        <f>15.9004 * CHOOSE(CONTROL!$C$32, $C$9, 100%, $E$9)</f>
        <v>15.900399999999999</v>
      </c>
    </row>
    <row r="933" spans="1:15" ht="15" x14ac:dyDescent="0.2">
      <c r="A933" s="13">
        <v>69246</v>
      </c>
      <c r="B933" s="9">
        <f>13.8696 * CHOOSE(CONTROL!$C$32, $C$9, 100%, $E$9)</f>
        <v>13.8696</v>
      </c>
      <c r="C933" s="9">
        <f>13.8696 * CHOOSE(CONTROL!$C$32, $C$9, 100%, $E$9)</f>
        <v>13.8696</v>
      </c>
      <c r="D933" s="9">
        <f>13.8711 * CHOOSE(CONTROL!$C$32, $C$9, 100%, $E$9)</f>
        <v>13.8711</v>
      </c>
      <c r="E933" s="11">
        <f>15.4964 * CHOOSE(CONTROL!$C$32, $C$9, 100%, $E$9)</f>
        <v>15.4964</v>
      </c>
      <c r="F933" s="11">
        <f>15.4964 * CHOOSE(CONTROL!$C$32, $C$9, 100%, $E$9)</f>
        <v>15.4964</v>
      </c>
      <c r="G933" s="11">
        <f>15.5017 * CHOOSE(CONTROL!$C$32, $C$9, 100%, $E$9)</f>
        <v>15.5017</v>
      </c>
      <c r="H933" s="11">
        <f>31.5411 * CHOOSE(CONTROL!$C$32, $C$9, 100%, $E$9)</f>
        <v>31.5411</v>
      </c>
      <c r="I933" s="11">
        <f>31.5464 * CHOOSE(CONTROL!$C$32, $C$9, 100%, $E$9)</f>
        <v>31.546399999999998</v>
      </c>
      <c r="J933" s="11">
        <f>31.5411 * CHOOSE(CONTROL!$C$32, $C$9, 100%, $E$9)</f>
        <v>31.5411</v>
      </c>
      <c r="K933" s="11">
        <f>31.5464 * CHOOSE(CONTROL!$C$32, $C$9, 100%, $E$9)</f>
        <v>31.546399999999998</v>
      </c>
      <c r="L933" s="11">
        <f>15.4964 * CHOOSE(CONTROL!$C$32, $C$9, 100%, $E$9)</f>
        <v>15.4964</v>
      </c>
      <c r="M933" s="11">
        <f>15.5017 * CHOOSE(CONTROL!$C$32, $C$9, 100%, $E$9)</f>
        <v>15.5017</v>
      </c>
      <c r="N933" s="11">
        <f>15.4964 * CHOOSE(CONTROL!$C$32, $C$9, 100%, $E$9)</f>
        <v>15.4964</v>
      </c>
      <c r="O933" s="11">
        <f>15.5017 * CHOOSE(CONTROL!$C$32, $C$9, 100%, $E$9)</f>
        <v>15.5017</v>
      </c>
    </row>
    <row r="934" spans="1:15" ht="15" x14ac:dyDescent="0.2">
      <c r="A934" s="13">
        <v>69277</v>
      </c>
      <c r="B934" s="9">
        <f>13.8665 * CHOOSE(CONTROL!$C$32, $C$9, 100%, $E$9)</f>
        <v>13.8665</v>
      </c>
      <c r="C934" s="9">
        <f>13.8665 * CHOOSE(CONTROL!$C$32, $C$9, 100%, $E$9)</f>
        <v>13.8665</v>
      </c>
      <c r="D934" s="9">
        <f>13.8681 * CHOOSE(CONTROL!$C$32, $C$9, 100%, $E$9)</f>
        <v>13.8681</v>
      </c>
      <c r="E934" s="11">
        <f>15.4494 * CHOOSE(CONTROL!$C$32, $C$9, 100%, $E$9)</f>
        <v>15.449400000000001</v>
      </c>
      <c r="F934" s="11">
        <f>15.4494 * CHOOSE(CONTROL!$C$32, $C$9, 100%, $E$9)</f>
        <v>15.449400000000001</v>
      </c>
      <c r="G934" s="11">
        <f>15.4547 * CHOOSE(CONTROL!$C$32, $C$9, 100%, $E$9)</f>
        <v>15.454700000000001</v>
      </c>
      <c r="H934" s="11">
        <f>31.6068 * CHOOSE(CONTROL!$C$32, $C$9, 100%, $E$9)</f>
        <v>31.6068</v>
      </c>
      <c r="I934" s="11">
        <f>31.6121 * CHOOSE(CONTROL!$C$32, $C$9, 100%, $E$9)</f>
        <v>31.612100000000002</v>
      </c>
      <c r="J934" s="11">
        <f>31.6068 * CHOOSE(CONTROL!$C$32, $C$9, 100%, $E$9)</f>
        <v>31.6068</v>
      </c>
      <c r="K934" s="11">
        <f>31.6121 * CHOOSE(CONTROL!$C$32, $C$9, 100%, $E$9)</f>
        <v>31.612100000000002</v>
      </c>
      <c r="L934" s="11">
        <f>15.4494 * CHOOSE(CONTROL!$C$32, $C$9, 100%, $E$9)</f>
        <v>15.449400000000001</v>
      </c>
      <c r="M934" s="11">
        <f>15.4547 * CHOOSE(CONTROL!$C$32, $C$9, 100%, $E$9)</f>
        <v>15.454700000000001</v>
      </c>
      <c r="N934" s="11">
        <f>15.4494 * CHOOSE(CONTROL!$C$32, $C$9, 100%, $E$9)</f>
        <v>15.449400000000001</v>
      </c>
      <c r="O934" s="11">
        <f>15.4547 * CHOOSE(CONTROL!$C$32, $C$9, 100%, $E$9)</f>
        <v>15.454700000000001</v>
      </c>
    </row>
    <row r="935" spans="1:15" ht="15" x14ac:dyDescent="0.2">
      <c r="A935" s="13">
        <v>69307</v>
      </c>
      <c r="B935" s="9">
        <f>13.8985 * CHOOSE(CONTROL!$C$32, $C$9, 100%, $E$9)</f>
        <v>13.8985</v>
      </c>
      <c r="C935" s="9">
        <f>13.8985 * CHOOSE(CONTROL!$C$32, $C$9, 100%, $E$9)</f>
        <v>13.8985</v>
      </c>
      <c r="D935" s="9">
        <f>13.8995 * CHOOSE(CONTROL!$C$32, $C$9, 100%, $E$9)</f>
        <v>13.8995</v>
      </c>
      <c r="E935" s="11">
        <f>15.6153 * CHOOSE(CONTROL!$C$32, $C$9, 100%, $E$9)</f>
        <v>15.6153</v>
      </c>
      <c r="F935" s="11">
        <f>15.6153 * CHOOSE(CONTROL!$C$32, $C$9, 100%, $E$9)</f>
        <v>15.6153</v>
      </c>
      <c r="G935" s="11">
        <f>15.6189 * CHOOSE(CONTROL!$C$32, $C$9, 100%, $E$9)</f>
        <v>15.6189</v>
      </c>
      <c r="H935" s="11">
        <f>31.6726 * CHOOSE(CONTROL!$C$32, $C$9, 100%, $E$9)</f>
        <v>31.672599999999999</v>
      </c>
      <c r="I935" s="11">
        <f>31.6763 * CHOOSE(CONTROL!$C$32, $C$9, 100%, $E$9)</f>
        <v>31.676300000000001</v>
      </c>
      <c r="J935" s="11">
        <f>31.6726 * CHOOSE(CONTROL!$C$32, $C$9, 100%, $E$9)</f>
        <v>31.672599999999999</v>
      </c>
      <c r="K935" s="11">
        <f>31.6763 * CHOOSE(CONTROL!$C$32, $C$9, 100%, $E$9)</f>
        <v>31.676300000000001</v>
      </c>
      <c r="L935" s="11">
        <f>15.6153 * CHOOSE(CONTROL!$C$32, $C$9, 100%, $E$9)</f>
        <v>15.6153</v>
      </c>
      <c r="M935" s="11">
        <f>15.6189 * CHOOSE(CONTROL!$C$32, $C$9, 100%, $E$9)</f>
        <v>15.6189</v>
      </c>
      <c r="N935" s="11">
        <f>15.6153 * CHOOSE(CONTROL!$C$32, $C$9, 100%, $E$9)</f>
        <v>15.6153</v>
      </c>
      <c r="O935" s="11">
        <f>15.6189 * CHOOSE(CONTROL!$C$32, $C$9, 100%, $E$9)</f>
        <v>15.6189</v>
      </c>
    </row>
    <row r="936" spans="1:15" ht="15" x14ac:dyDescent="0.2">
      <c r="A936" s="13">
        <v>69338</v>
      </c>
      <c r="B936" s="9">
        <f>13.9015 * CHOOSE(CONTROL!$C$32, $C$9, 100%, $E$9)</f>
        <v>13.9015</v>
      </c>
      <c r="C936" s="9">
        <f>13.9015 * CHOOSE(CONTROL!$C$32, $C$9, 100%, $E$9)</f>
        <v>13.9015</v>
      </c>
      <c r="D936" s="9">
        <f>13.9026 * CHOOSE(CONTROL!$C$32, $C$9, 100%, $E$9)</f>
        <v>13.9026</v>
      </c>
      <c r="E936" s="11">
        <f>15.7071 * CHOOSE(CONTROL!$C$32, $C$9, 100%, $E$9)</f>
        <v>15.707100000000001</v>
      </c>
      <c r="F936" s="11">
        <f>15.7071 * CHOOSE(CONTROL!$C$32, $C$9, 100%, $E$9)</f>
        <v>15.707100000000001</v>
      </c>
      <c r="G936" s="11">
        <f>15.7107 * CHOOSE(CONTROL!$C$32, $C$9, 100%, $E$9)</f>
        <v>15.710699999999999</v>
      </c>
      <c r="H936" s="11">
        <f>31.7386 * CHOOSE(CONTROL!$C$32, $C$9, 100%, $E$9)</f>
        <v>31.738600000000002</v>
      </c>
      <c r="I936" s="11">
        <f>31.7422 * CHOOSE(CONTROL!$C$32, $C$9, 100%, $E$9)</f>
        <v>31.7422</v>
      </c>
      <c r="J936" s="11">
        <f>31.7386 * CHOOSE(CONTROL!$C$32, $C$9, 100%, $E$9)</f>
        <v>31.738600000000002</v>
      </c>
      <c r="K936" s="11">
        <f>31.7422 * CHOOSE(CONTROL!$C$32, $C$9, 100%, $E$9)</f>
        <v>31.7422</v>
      </c>
      <c r="L936" s="11">
        <f>15.7071 * CHOOSE(CONTROL!$C$32, $C$9, 100%, $E$9)</f>
        <v>15.707100000000001</v>
      </c>
      <c r="M936" s="11">
        <f>15.7107 * CHOOSE(CONTROL!$C$32, $C$9, 100%, $E$9)</f>
        <v>15.710699999999999</v>
      </c>
      <c r="N936" s="11">
        <f>15.7071 * CHOOSE(CONTROL!$C$32, $C$9, 100%, $E$9)</f>
        <v>15.707100000000001</v>
      </c>
      <c r="O936" s="11">
        <f>15.7107 * CHOOSE(CONTROL!$C$32, $C$9, 100%, $E$9)</f>
        <v>15.710699999999999</v>
      </c>
    </row>
    <row r="937" spans="1:15" ht="15" x14ac:dyDescent="0.2">
      <c r="A937" s="13">
        <v>69368</v>
      </c>
      <c r="B937" s="9">
        <f>13.9015 * CHOOSE(CONTROL!$C$32, $C$9, 100%, $E$9)</f>
        <v>13.9015</v>
      </c>
      <c r="C937" s="9">
        <f>13.9015 * CHOOSE(CONTROL!$C$32, $C$9, 100%, $E$9)</f>
        <v>13.9015</v>
      </c>
      <c r="D937" s="9">
        <f>13.9026 * CHOOSE(CONTROL!$C$32, $C$9, 100%, $E$9)</f>
        <v>13.9026</v>
      </c>
      <c r="E937" s="11">
        <f>15.483 * CHOOSE(CONTROL!$C$32, $C$9, 100%, $E$9)</f>
        <v>15.483000000000001</v>
      </c>
      <c r="F937" s="11">
        <f>15.483 * CHOOSE(CONTROL!$C$32, $C$9, 100%, $E$9)</f>
        <v>15.483000000000001</v>
      </c>
      <c r="G937" s="11">
        <f>15.4866 * CHOOSE(CONTROL!$C$32, $C$9, 100%, $E$9)</f>
        <v>15.486599999999999</v>
      </c>
      <c r="H937" s="11">
        <f>31.8047 * CHOOSE(CONTROL!$C$32, $C$9, 100%, $E$9)</f>
        <v>31.8047</v>
      </c>
      <c r="I937" s="11">
        <f>31.8084 * CHOOSE(CONTROL!$C$32, $C$9, 100%, $E$9)</f>
        <v>31.808399999999999</v>
      </c>
      <c r="J937" s="11">
        <f>31.8047 * CHOOSE(CONTROL!$C$32, $C$9, 100%, $E$9)</f>
        <v>31.8047</v>
      </c>
      <c r="K937" s="11">
        <f>31.8084 * CHOOSE(CONTROL!$C$32, $C$9, 100%, $E$9)</f>
        <v>31.808399999999999</v>
      </c>
      <c r="L937" s="11">
        <f>15.483 * CHOOSE(CONTROL!$C$32, $C$9, 100%, $E$9)</f>
        <v>15.483000000000001</v>
      </c>
      <c r="M937" s="11">
        <f>15.4866 * CHOOSE(CONTROL!$C$32, $C$9, 100%, $E$9)</f>
        <v>15.486599999999999</v>
      </c>
      <c r="N937" s="11">
        <f>15.483 * CHOOSE(CONTROL!$C$32, $C$9, 100%, $E$9)</f>
        <v>15.483000000000001</v>
      </c>
      <c r="O937" s="11">
        <f>15.4866 * CHOOSE(CONTROL!$C$32, $C$9, 100%, $E$9)</f>
        <v>15.486599999999999</v>
      </c>
    </row>
    <row r="938" spans="1:15" ht="15" x14ac:dyDescent="0.2">
      <c r="A938" s="13">
        <v>69399</v>
      </c>
      <c r="B938" s="9">
        <f>13.8782 * CHOOSE(CONTROL!$C$32, $C$9, 100%, $E$9)</f>
        <v>13.8782</v>
      </c>
      <c r="C938" s="9">
        <f>13.8782 * CHOOSE(CONTROL!$C$32, $C$9, 100%, $E$9)</f>
        <v>13.8782</v>
      </c>
      <c r="D938" s="9">
        <f>13.8793 * CHOOSE(CONTROL!$C$32, $C$9, 100%, $E$9)</f>
        <v>13.879300000000001</v>
      </c>
      <c r="E938" s="11">
        <f>15.6206 * CHOOSE(CONTROL!$C$32, $C$9, 100%, $E$9)</f>
        <v>15.6206</v>
      </c>
      <c r="F938" s="11">
        <f>15.6206 * CHOOSE(CONTROL!$C$32, $C$9, 100%, $E$9)</f>
        <v>15.6206</v>
      </c>
      <c r="G938" s="11">
        <f>15.6242 * CHOOSE(CONTROL!$C$32, $C$9, 100%, $E$9)</f>
        <v>15.6242</v>
      </c>
      <c r="H938" s="11">
        <f>31.5384 * CHOOSE(CONTROL!$C$32, $C$9, 100%, $E$9)</f>
        <v>31.538399999999999</v>
      </c>
      <c r="I938" s="11">
        <f>31.542 * CHOOSE(CONTROL!$C$32, $C$9, 100%, $E$9)</f>
        <v>31.542000000000002</v>
      </c>
      <c r="J938" s="11">
        <f>31.5384 * CHOOSE(CONTROL!$C$32, $C$9, 100%, $E$9)</f>
        <v>31.538399999999999</v>
      </c>
      <c r="K938" s="11">
        <f>31.542 * CHOOSE(CONTROL!$C$32, $C$9, 100%, $E$9)</f>
        <v>31.542000000000002</v>
      </c>
      <c r="L938" s="11">
        <f>15.6206 * CHOOSE(CONTROL!$C$32, $C$9, 100%, $E$9)</f>
        <v>15.6206</v>
      </c>
      <c r="M938" s="11">
        <f>15.6242 * CHOOSE(CONTROL!$C$32, $C$9, 100%, $E$9)</f>
        <v>15.6242</v>
      </c>
      <c r="N938" s="11">
        <f>15.6206 * CHOOSE(CONTROL!$C$32, $C$9, 100%, $E$9)</f>
        <v>15.6206</v>
      </c>
      <c r="O938" s="11">
        <f>15.6242 * CHOOSE(CONTROL!$C$32, $C$9, 100%, $E$9)</f>
        <v>15.6242</v>
      </c>
    </row>
    <row r="939" spans="1:15" ht="15" x14ac:dyDescent="0.2">
      <c r="A939" s="13">
        <v>69430</v>
      </c>
      <c r="B939" s="9">
        <f>13.8752 * CHOOSE(CONTROL!$C$32, $C$9, 100%, $E$9)</f>
        <v>13.8752</v>
      </c>
      <c r="C939" s="9">
        <f>13.8752 * CHOOSE(CONTROL!$C$32, $C$9, 100%, $E$9)</f>
        <v>13.8752</v>
      </c>
      <c r="D939" s="9">
        <f>13.8763 * CHOOSE(CONTROL!$C$32, $C$9, 100%, $E$9)</f>
        <v>13.876300000000001</v>
      </c>
      <c r="E939" s="11">
        <f>15.1879 * CHOOSE(CONTROL!$C$32, $C$9, 100%, $E$9)</f>
        <v>15.187900000000001</v>
      </c>
      <c r="F939" s="11">
        <f>15.1879 * CHOOSE(CONTROL!$C$32, $C$9, 100%, $E$9)</f>
        <v>15.187900000000001</v>
      </c>
      <c r="G939" s="11">
        <f>15.1915 * CHOOSE(CONTROL!$C$32, $C$9, 100%, $E$9)</f>
        <v>15.1915</v>
      </c>
      <c r="H939" s="11">
        <f>31.6041 * CHOOSE(CONTROL!$C$32, $C$9, 100%, $E$9)</f>
        <v>31.604099999999999</v>
      </c>
      <c r="I939" s="11">
        <f>31.6077 * CHOOSE(CONTROL!$C$32, $C$9, 100%, $E$9)</f>
        <v>31.607700000000001</v>
      </c>
      <c r="J939" s="11">
        <f>31.6041 * CHOOSE(CONTROL!$C$32, $C$9, 100%, $E$9)</f>
        <v>31.604099999999999</v>
      </c>
      <c r="K939" s="11">
        <f>31.6077 * CHOOSE(CONTROL!$C$32, $C$9, 100%, $E$9)</f>
        <v>31.607700000000001</v>
      </c>
      <c r="L939" s="11">
        <f>15.1879 * CHOOSE(CONTROL!$C$32, $C$9, 100%, $E$9)</f>
        <v>15.187900000000001</v>
      </c>
      <c r="M939" s="11">
        <f>15.1915 * CHOOSE(CONTROL!$C$32, $C$9, 100%, $E$9)</f>
        <v>15.1915</v>
      </c>
      <c r="N939" s="11">
        <f>15.1879 * CHOOSE(CONTROL!$C$32, $C$9, 100%, $E$9)</f>
        <v>15.187900000000001</v>
      </c>
      <c r="O939" s="11">
        <f>15.1915 * CHOOSE(CONTROL!$C$32, $C$9, 100%, $E$9)</f>
        <v>15.1915</v>
      </c>
    </row>
    <row r="940" spans="1:15" ht="15" x14ac:dyDescent="0.2">
      <c r="A940" s="13">
        <v>69458</v>
      </c>
      <c r="B940" s="9">
        <f>13.8722 * CHOOSE(CONTROL!$C$32, $C$9, 100%, $E$9)</f>
        <v>13.872199999999999</v>
      </c>
      <c r="C940" s="9">
        <f>13.8722 * CHOOSE(CONTROL!$C$32, $C$9, 100%, $E$9)</f>
        <v>13.872199999999999</v>
      </c>
      <c r="D940" s="9">
        <f>13.8732 * CHOOSE(CONTROL!$C$32, $C$9, 100%, $E$9)</f>
        <v>13.873200000000001</v>
      </c>
      <c r="E940" s="11">
        <f>15.5252 * CHOOSE(CONTROL!$C$32, $C$9, 100%, $E$9)</f>
        <v>15.5252</v>
      </c>
      <c r="F940" s="11">
        <f>15.5252 * CHOOSE(CONTROL!$C$32, $C$9, 100%, $E$9)</f>
        <v>15.5252</v>
      </c>
      <c r="G940" s="11">
        <f>15.5288 * CHOOSE(CONTROL!$C$32, $C$9, 100%, $E$9)</f>
        <v>15.5288</v>
      </c>
      <c r="H940" s="11">
        <f>31.67 * CHOOSE(CONTROL!$C$32, $C$9, 100%, $E$9)</f>
        <v>31.67</v>
      </c>
      <c r="I940" s="11">
        <f>31.6736 * CHOOSE(CONTROL!$C$32, $C$9, 100%, $E$9)</f>
        <v>31.6736</v>
      </c>
      <c r="J940" s="11">
        <f>31.67 * CHOOSE(CONTROL!$C$32, $C$9, 100%, $E$9)</f>
        <v>31.67</v>
      </c>
      <c r="K940" s="11">
        <f>31.6736 * CHOOSE(CONTROL!$C$32, $C$9, 100%, $E$9)</f>
        <v>31.6736</v>
      </c>
      <c r="L940" s="11">
        <f>15.5252 * CHOOSE(CONTROL!$C$32, $C$9, 100%, $E$9)</f>
        <v>15.5252</v>
      </c>
      <c r="M940" s="11">
        <f>15.5288 * CHOOSE(CONTROL!$C$32, $C$9, 100%, $E$9)</f>
        <v>15.5288</v>
      </c>
      <c r="N940" s="11">
        <f>15.5252 * CHOOSE(CONTROL!$C$32, $C$9, 100%, $E$9)</f>
        <v>15.5252</v>
      </c>
      <c r="O940" s="11">
        <f>15.5288 * CHOOSE(CONTROL!$C$32, $C$9, 100%, $E$9)</f>
        <v>15.5288</v>
      </c>
    </row>
    <row r="941" spans="1:15" ht="15" x14ac:dyDescent="0.2">
      <c r="A941" s="13">
        <v>69489</v>
      </c>
      <c r="B941" s="9">
        <f>13.8794 * CHOOSE(CONTROL!$C$32, $C$9, 100%, $E$9)</f>
        <v>13.8794</v>
      </c>
      <c r="C941" s="9">
        <f>13.8794 * CHOOSE(CONTROL!$C$32, $C$9, 100%, $E$9)</f>
        <v>13.8794</v>
      </c>
      <c r="D941" s="9">
        <f>13.8805 * CHOOSE(CONTROL!$C$32, $C$9, 100%, $E$9)</f>
        <v>13.8805</v>
      </c>
      <c r="E941" s="11">
        <f>15.8856 * CHOOSE(CONTROL!$C$32, $C$9, 100%, $E$9)</f>
        <v>15.8856</v>
      </c>
      <c r="F941" s="11">
        <f>15.8856 * CHOOSE(CONTROL!$C$32, $C$9, 100%, $E$9)</f>
        <v>15.8856</v>
      </c>
      <c r="G941" s="11">
        <f>15.8892 * CHOOSE(CONTROL!$C$32, $C$9, 100%, $E$9)</f>
        <v>15.889200000000001</v>
      </c>
      <c r="H941" s="11">
        <f>31.7359 * CHOOSE(CONTROL!$C$32, $C$9, 100%, $E$9)</f>
        <v>31.735900000000001</v>
      </c>
      <c r="I941" s="11">
        <f>31.7396 * CHOOSE(CONTROL!$C$32, $C$9, 100%, $E$9)</f>
        <v>31.739599999999999</v>
      </c>
      <c r="J941" s="11">
        <f>31.7359 * CHOOSE(CONTROL!$C$32, $C$9, 100%, $E$9)</f>
        <v>31.735900000000001</v>
      </c>
      <c r="K941" s="11">
        <f>31.7396 * CHOOSE(CONTROL!$C$32, $C$9, 100%, $E$9)</f>
        <v>31.739599999999999</v>
      </c>
      <c r="L941" s="11">
        <f>15.8856 * CHOOSE(CONTROL!$C$32, $C$9, 100%, $E$9)</f>
        <v>15.8856</v>
      </c>
      <c r="M941" s="11">
        <f>15.8892 * CHOOSE(CONTROL!$C$32, $C$9, 100%, $E$9)</f>
        <v>15.889200000000001</v>
      </c>
      <c r="N941" s="11">
        <f>15.8856 * CHOOSE(CONTROL!$C$32, $C$9, 100%, $E$9)</f>
        <v>15.8856</v>
      </c>
      <c r="O941" s="11">
        <f>15.8892 * CHOOSE(CONTROL!$C$32, $C$9, 100%, $E$9)</f>
        <v>15.889200000000001</v>
      </c>
    </row>
    <row r="942" spans="1:15" ht="15" x14ac:dyDescent="0.2">
      <c r="A942" s="13">
        <v>69519</v>
      </c>
      <c r="B942" s="9">
        <f>13.8794 * CHOOSE(CONTROL!$C$32, $C$9, 100%, $E$9)</f>
        <v>13.8794</v>
      </c>
      <c r="C942" s="9">
        <f>13.8794 * CHOOSE(CONTROL!$C$32, $C$9, 100%, $E$9)</f>
        <v>13.8794</v>
      </c>
      <c r="D942" s="9">
        <f>13.881 * CHOOSE(CONTROL!$C$32, $C$9, 100%, $E$9)</f>
        <v>13.881</v>
      </c>
      <c r="E942" s="11">
        <f>16.0223 * CHOOSE(CONTROL!$C$32, $C$9, 100%, $E$9)</f>
        <v>16.022300000000001</v>
      </c>
      <c r="F942" s="11">
        <f>16.0223 * CHOOSE(CONTROL!$C$32, $C$9, 100%, $E$9)</f>
        <v>16.022300000000001</v>
      </c>
      <c r="G942" s="11">
        <f>16.0276 * CHOOSE(CONTROL!$C$32, $C$9, 100%, $E$9)</f>
        <v>16.0276</v>
      </c>
      <c r="H942" s="11">
        <f>31.8021 * CHOOSE(CONTROL!$C$32, $C$9, 100%, $E$9)</f>
        <v>31.802099999999999</v>
      </c>
      <c r="I942" s="11">
        <f>31.8074 * CHOOSE(CONTROL!$C$32, $C$9, 100%, $E$9)</f>
        <v>31.807400000000001</v>
      </c>
      <c r="J942" s="11">
        <f>31.8021 * CHOOSE(CONTROL!$C$32, $C$9, 100%, $E$9)</f>
        <v>31.802099999999999</v>
      </c>
      <c r="K942" s="11">
        <f>31.8074 * CHOOSE(CONTROL!$C$32, $C$9, 100%, $E$9)</f>
        <v>31.807400000000001</v>
      </c>
      <c r="L942" s="11">
        <f>16.0223 * CHOOSE(CONTROL!$C$32, $C$9, 100%, $E$9)</f>
        <v>16.022300000000001</v>
      </c>
      <c r="M942" s="11">
        <f>16.0276 * CHOOSE(CONTROL!$C$32, $C$9, 100%, $E$9)</f>
        <v>16.0276</v>
      </c>
      <c r="N942" s="11">
        <f>16.0223 * CHOOSE(CONTROL!$C$32, $C$9, 100%, $E$9)</f>
        <v>16.022300000000001</v>
      </c>
      <c r="O942" s="11">
        <f>16.0276 * CHOOSE(CONTROL!$C$32, $C$9, 100%, $E$9)</f>
        <v>16.0276</v>
      </c>
    </row>
    <row r="943" spans="1:15" ht="15" x14ac:dyDescent="0.2">
      <c r="A943" s="13">
        <v>69550</v>
      </c>
      <c r="B943" s="9">
        <f>13.8855 * CHOOSE(CONTROL!$C$32, $C$9, 100%, $E$9)</f>
        <v>13.8855</v>
      </c>
      <c r="C943" s="9">
        <f>13.8855 * CHOOSE(CONTROL!$C$32, $C$9, 100%, $E$9)</f>
        <v>13.8855</v>
      </c>
      <c r="D943" s="9">
        <f>13.8871 * CHOOSE(CONTROL!$C$32, $C$9, 100%, $E$9)</f>
        <v>13.8871</v>
      </c>
      <c r="E943" s="11">
        <f>15.8898 * CHOOSE(CONTROL!$C$32, $C$9, 100%, $E$9)</f>
        <v>15.889799999999999</v>
      </c>
      <c r="F943" s="11">
        <f>15.8898 * CHOOSE(CONTROL!$C$32, $C$9, 100%, $E$9)</f>
        <v>15.889799999999999</v>
      </c>
      <c r="G943" s="11">
        <f>15.8951 * CHOOSE(CONTROL!$C$32, $C$9, 100%, $E$9)</f>
        <v>15.895099999999999</v>
      </c>
      <c r="H943" s="11">
        <f>31.8683 * CHOOSE(CONTROL!$C$32, $C$9, 100%, $E$9)</f>
        <v>31.868300000000001</v>
      </c>
      <c r="I943" s="11">
        <f>31.8736 * CHOOSE(CONTROL!$C$32, $C$9, 100%, $E$9)</f>
        <v>31.8736</v>
      </c>
      <c r="J943" s="11">
        <f>31.8683 * CHOOSE(CONTROL!$C$32, $C$9, 100%, $E$9)</f>
        <v>31.868300000000001</v>
      </c>
      <c r="K943" s="11">
        <f>31.8736 * CHOOSE(CONTROL!$C$32, $C$9, 100%, $E$9)</f>
        <v>31.8736</v>
      </c>
      <c r="L943" s="11">
        <f>15.8898 * CHOOSE(CONTROL!$C$32, $C$9, 100%, $E$9)</f>
        <v>15.889799999999999</v>
      </c>
      <c r="M943" s="11">
        <f>15.8951 * CHOOSE(CONTROL!$C$32, $C$9, 100%, $E$9)</f>
        <v>15.895099999999999</v>
      </c>
      <c r="N943" s="11">
        <f>15.8898 * CHOOSE(CONTROL!$C$32, $C$9, 100%, $E$9)</f>
        <v>15.889799999999999</v>
      </c>
      <c r="O943" s="11">
        <f>15.8951 * CHOOSE(CONTROL!$C$32, $C$9, 100%, $E$9)</f>
        <v>15.895099999999999</v>
      </c>
    </row>
    <row r="944" spans="1:15" ht="15" x14ac:dyDescent="0.2">
      <c r="A944" s="13">
        <v>69580</v>
      </c>
      <c r="B944" s="9">
        <f>14.0525 * CHOOSE(CONTROL!$C$32, $C$9, 100%, $E$9)</f>
        <v>14.0525</v>
      </c>
      <c r="C944" s="9">
        <f>14.0525 * CHOOSE(CONTROL!$C$32, $C$9, 100%, $E$9)</f>
        <v>14.0525</v>
      </c>
      <c r="D944" s="9">
        <f>14.054 * CHOOSE(CONTROL!$C$32, $C$9, 100%, $E$9)</f>
        <v>14.054</v>
      </c>
      <c r="E944" s="11">
        <f>16.1153 * CHOOSE(CONTROL!$C$32, $C$9, 100%, $E$9)</f>
        <v>16.115300000000001</v>
      </c>
      <c r="F944" s="11">
        <f>16.1153 * CHOOSE(CONTROL!$C$32, $C$9, 100%, $E$9)</f>
        <v>16.115300000000001</v>
      </c>
      <c r="G944" s="11">
        <f>16.1206 * CHOOSE(CONTROL!$C$32, $C$9, 100%, $E$9)</f>
        <v>16.1206</v>
      </c>
      <c r="H944" s="11">
        <f>31.9347 * CHOOSE(CONTROL!$C$32, $C$9, 100%, $E$9)</f>
        <v>31.934699999999999</v>
      </c>
      <c r="I944" s="11">
        <f>31.94 * CHOOSE(CONTROL!$C$32, $C$9, 100%, $E$9)</f>
        <v>31.94</v>
      </c>
      <c r="J944" s="11">
        <f>31.9347 * CHOOSE(CONTROL!$C$32, $C$9, 100%, $E$9)</f>
        <v>31.934699999999999</v>
      </c>
      <c r="K944" s="11">
        <f>31.94 * CHOOSE(CONTROL!$C$32, $C$9, 100%, $E$9)</f>
        <v>31.94</v>
      </c>
      <c r="L944" s="11">
        <f>16.1153 * CHOOSE(CONTROL!$C$32, $C$9, 100%, $E$9)</f>
        <v>16.115300000000001</v>
      </c>
      <c r="M944" s="11">
        <f>16.1206 * CHOOSE(CONTROL!$C$32, $C$9, 100%, $E$9)</f>
        <v>16.1206</v>
      </c>
      <c r="N944" s="11">
        <f>16.1153 * CHOOSE(CONTROL!$C$32, $C$9, 100%, $E$9)</f>
        <v>16.115300000000001</v>
      </c>
      <c r="O944" s="11">
        <f>16.1206 * CHOOSE(CONTROL!$C$32, $C$9, 100%, $E$9)</f>
        <v>16.1206</v>
      </c>
    </row>
    <row r="945" spans="1:15" ht="15" x14ac:dyDescent="0.2">
      <c r="A945" s="13">
        <v>69611</v>
      </c>
      <c r="B945" s="9">
        <f>14.0592 * CHOOSE(CONTROL!$C$32, $C$9, 100%, $E$9)</f>
        <v>14.059200000000001</v>
      </c>
      <c r="C945" s="9">
        <f>14.0592 * CHOOSE(CONTROL!$C$32, $C$9, 100%, $E$9)</f>
        <v>14.059200000000001</v>
      </c>
      <c r="D945" s="9">
        <f>14.0607 * CHOOSE(CONTROL!$C$32, $C$9, 100%, $E$9)</f>
        <v>14.060700000000001</v>
      </c>
      <c r="E945" s="11">
        <f>15.7098 * CHOOSE(CONTROL!$C$32, $C$9, 100%, $E$9)</f>
        <v>15.7098</v>
      </c>
      <c r="F945" s="11">
        <f>15.7098 * CHOOSE(CONTROL!$C$32, $C$9, 100%, $E$9)</f>
        <v>15.7098</v>
      </c>
      <c r="G945" s="11">
        <f>15.7151 * CHOOSE(CONTROL!$C$32, $C$9, 100%, $E$9)</f>
        <v>15.7151</v>
      </c>
      <c r="H945" s="11">
        <f>32.0012 * CHOOSE(CONTROL!$C$32, $C$9, 100%, $E$9)</f>
        <v>32.001199999999997</v>
      </c>
      <c r="I945" s="11">
        <f>32.0065 * CHOOSE(CONTROL!$C$32, $C$9, 100%, $E$9)</f>
        <v>32.006500000000003</v>
      </c>
      <c r="J945" s="11">
        <f>32.0012 * CHOOSE(CONTROL!$C$32, $C$9, 100%, $E$9)</f>
        <v>32.001199999999997</v>
      </c>
      <c r="K945" s="11">
        <f>32.0065 * CHOOSE(CONTROL!$C$32, $C$9, 100%, $E$9)</f>
        <v>32.006500000000003</v>
      </c>
      <c r="L945" s="11">
        <f>15.7098 * CHOOSE(CONTROL!$C$32, $C$9, 100%, $E$9)</f>
        <v>15.7098</v>
      </c>
      <c r="M945" s="11">
        <f>15.7151 * CHOOSE(CONTROL!$C$32, $C$9, 100%, $E$9)</f>
        <v>15.7151</v>
      </c>
      <c r="N945" s="11">
        <f>15.7098 * CHOOSE(CONTROL!$C$32, $C$9, 100%, $E$9)</f>
        <v>15.7098</v>
      </c>
      <c r="O945" s="11">
        <f>15.7151 * CHOOSE(CONTROL!$C$32, $C$9, 100%, $E$9)</f>
        <v>15.7151</v>
      </c>
    </row>
    <row r="946" spans="1:15" ht="15" x14ac:dyDescent="0.2">
      <c r="A946" s="13">
        <v>69642</v>
      </c>
      <c r="B946" s="9">
        <f>14.0561 * CHOOSE(CONTROL!$C$32, $C$9, 100%, $E$9)</f>
        <v>14.056100000000001</v>
      </c>
      <c r="C946" s="9">
        <f>14.0561 * CHOOSE(CONTROL!$C$32, $C$9, 100%, $E$9)</f>
        <v>14.056100000000001</v>
      </c>
      <c r="D946" s="9">
        <f>14.0577 * CHOOSE(CONTROL!$C$32, $C$9, 100%, $E$9)</f>
        <v>14.057700000000001</v>
      </c>
      <c r="E946" s="11">
        <f>15.6621 * CHOOSE(CONTROL!$C$32, $C$9, 100%, $E$9)</f>
        <v>15.662100000000001</v>
      </c>
      <c r="F946" s="11">
        <f>15.6621 * CHOOSE(CONTROL!$C$32, $C$9, 100%, $E$9)</f>
        <v>15.662100000000001</v>
      </c>
      <c r="G946" s="11">
        <f>15.6674 * CHOOSE(CONTROL!$C$32, $C$9, 100%, $E$9)</f>
        <v>15.667400000000001</v>
      </c>
      <c r="H946" s="11">
        <f>32.0679 * CHOOSE(CONTROL!$C$32, $C$9, 100%, $E$9)</f>
        <v>32.067900000000002</v>
      </c>
      <c r="I946" s="11">
        <f>32.0732 * CHOOSE(CONTROL!$C$32, $C$9, 100%, $E$9)</f>
        <v>32.0732</v>
      </c>
      <c r="J946" s="11">
        <f>32.0679 * CHOOSE(CONTROL!$C$32, $C$9, 100%, $E$9)</f>
        <v>32.067900000000002</v>
      </c>
      <c r="K946" s="11">
        <f>32.0732 * CHOOSE(CONTROL!$C$32, $C$9, 100%, $E$9)</f>
        <v>32.0732</v>
      </c>
      <c r="L946" s="11">
        <f>15.6621 * CHOOSE(CONTROL!$C$32, $C$9, 100%, $E$9)</f>
        <v>15.662100000000001</v>
      </c>
      <c r="M946" s="11">
        <f>15.6674 * CHOOSE(CONTROL!$C$32, $C$9, 100%, $E$9)</f>
        <v>15.667400000000001</v>
      </c>
      <c r="N946" s="11">
        <f>15.6621 * CHOOSE(CONTROL!$C$32, $C$9, 100%, $E$9)</f>
        <v>15.662100000000001</v>
      </c>
      <c r="O946" s="11">
        <f>15.6674 * CHOOSE(CONTROL!$C$32, $C$9, 100%, $E$9)</f>
        <v>15.667400000000001</v>
      </c>
    </row>
    <row r="947" spans="1:15" ht="15" x14ac:dyDescent="0.2">
      <c r="A947" s="13">
        <v>69672</v>
      </c>
      <c r="B947" s="9">
        <f>14.0888 * CHOOSE(CONTROL!$C$32, $C$9, 100%, $E$9)</f>
        <v>14.088800000000001</v>
      </c>
      <c r="C947" s="9">
        <f>14.0888 * CHOOSE(CONTROL!$C$32, $C$9, 100%, $E$9)</f>
        <v>14.088800000000001</v>
      </c>
      <c r="D947" s="9">
        <f>14.0899 * CHOOSE(CONTROL!$C$32, $C$9, 100%, $E$9)</f>
        <v>14.0899</v>
      </c>
      <c r="E947" s="11">
        <f>15.831 * CHOOSE(CONTROL!$C$32, $C$9, 100%, $E$9)</f>
        <v>15.831</v>
      </c>
      <c r="F947" s="11">
        <f>15.831 * CHOOSE(CONTROL!$C$32, $C$9, 100%, $E$9)</f>
        <v>15.831</v>
      </c>
      <c r="G947" s="11">
        <f>15.8346 * CHOOSE(CONTROL!$C$32, $C$9, 100%, $E$9)</f>
        <v>15.8346</v>
      </c>
      <c r="H947" s="11">
        <f>32.1347 * CHOOSE(CONTROL!$C$32, $C$9, 100%, $E$9)</f>
        <v>32.134700000000002</v>
      </c>
      <c r="I947" s="11">
        <f>32.1383 * CHOOSE(CONTROL!$C$32, $C$9, 100%, $E$9)</f>
        <v>32.138300000000001</v>
      </c>
      <c r="J947" s="11">
        <f>32.1347 * CHOOSE(CONTROL!$C$32, $C$9, 100%, $E$9)</f>
        <v>32.134700000000002</v>
      </c>
      <c r="K947" s="11">
        <f>32.1383 * CHOOSE(CONTROL!$C$32, $C$9, 100%, $E$9)</f>
        <v>32.138300000000001</v>
      </c>
      <c r="L947" s="11">
        <f>15.831 * CHOOSE(CONTROL!$C$32, $C$9, 100%, $E$9)</f>
        <v>15.831</v>
      </c>
      <c r="M947" s="11">
        <f>15.8346 * CHOOSE(CONTROL!$C$32, $C$9, 100%, $E$9)</f>
        <v>15.8346</v>
      </c>
      <c r="N947" s="11">
        <f>15.831 * CHOOSE(CONTROL!$C$32, $C$9, 100%, $E$9)</f>
        <v>15.831</v>
      </c>
      <c r="O947" s="11">
        <f>15.8346 * CHOOSE(CONTROL!$C$32, $C$9, 100%, $E$9)</f>
        <v>15.8346</v>
      </c>
    </row>
    <row r="948" spans="1:15" ht="15" x14ac:dyDescent="0.2">
      <c r="A948" s="13">
        <v>69703</v>
      </c>
      <c r="B948" s="9">
        <f>14.0918 * CHOOSE(CONTROL!$C$32, $C$9, 100%, $E$9)</f>
        <v>14.091799999999999</v>
      </c>
      <c r="C948" s="9">
        <f>14.0918 * CHOOSE(CONTROL!$C$32, $C$9, 100%, $E$9)</f>
        <v>14.091799999999999</v>
      </c>
      <c r="D948" s="9">
        <f>14.0929 * CHOOSE(CONTROL!$C$32, $C$9, 100%, $E$9)</f>
        <v>14.0929</v>
      </c>
      <c r="E948" s="11">
        <f>15.9243 * CHOOSE(CONTROL!$C$32, $C$9, 100%, $E$9)</f>
        <v>15.924300000000001</v>
      </c>
      <c r="F948" s="11">
        <f>15.9243 * CHOOSE(CONTROL!$C$32, $C$9, 100%, $E$9)</f>
        <v>15.924300000000001</v>
      </c>
      <c r="G948" s="11">
        <f>15.9279 * CHOOSE(CONTROL!$C$32, $C$9, 100%, $E$9)</f>
        <v>15.927899999999999</v>
      </c>
      <c r="H948" s="11">
        <f>32.2017 * CHOOSE(CONTROL!$C$32, $C$9, 100%, $E$9)</f>
        <v>32.201700000000002</v>
      </c>
      <c r="I948" s="11">
        <f>32.2053 * CHOOSE(CONTROL!$C$32, $C$9, 100%, $E$9)</f>
        <v>32.205300000000001</v>
      </c>
      <c r="J948" s="11">
        <f>32.2017 * CHOOSE(CONTROL!$C$32, $C$9, 100%, $E$9)</f>
        <v>32.201700000000002</v>
      </c>
      <c r="K948" s="11">
        <f>32.2053 * CHOOSE(CONTROL!$C$32, $C$9, 100%, $E$9)</f>
        <v>32.205300000000001</v>
      </c>
      <c r="L948" s="11">
        <f>15.9243 * CHOOSE(CONTROL!$C$32, $C$9, 100%, $E$9)</f>
        <v>15.924300000000001</v>
      </c>
      <c r="M948" s="11">
        <f>15.9279 * CHOOSE(CONTROL!$C$32, $C$9, 100%, $E$9)</f>
        <v>15.927899999999999</v>
      </c>
      <c r="N948" s="11">
        <f>15.9243 * CHOOSE(CONTROL!$C$32, $C$9, 100%, $E$9)</f>
        <v>15.924300000000001</v>
      </c>
      <c r="O948" s="11">
        <f>15.9279 * CHOOSE(CONTROL!$C$32, $C$9, 100%, $E$9)</f>
        <v>15.927899999999999</v>
      </c>
    </row>
    <row r="949" spans="1:15" ht="15" x14ac:dyDescent="0.2">
      <c r="A949" s="13">
        <v>69733</v>
      </c>
      <c r="B949" s="9">
        <f>14.0918 * CHOOSE(CONTROL!$C$32, $C$9, 100%, $E$9)</f>
        <v>14.091799999999999</v>
      </c>
      <c r="C949" s="9">
        <f>14.0918 * CHOOSE(CONTROL!$C$32, $C$9, 100%, $E$9)</f>
        <v>14.091799999999999</v>
      </c>
      <c r="D949" s="9">
        <f>14.0929 * CHOOSE(CONTROL!$C$32, $C$9, 100%, $E$9)</f>
        <v>14.0929</v>
      </c>
      <c r="E949" s="11">
        <f>15.6964 * CHOOSE(CONTROL!$C$32, $C$9, 100%, $E$9)</f>
        <v>15.696400000000001</v>
      </c>
      <c r="F949" s="11">
        <f>15.6964 * CHOOSE(CONTROL!$C$32, $C$9, 100%, $E$9)</f>
        <v>15.696400000000001</v>
      </c>
      <c r="G949" s="11">
        <f>15.7 * CHOOSE(CONTROL!$C$32, $C$9, 100%, $E$9)</f>
        <v>15.7</v>
      </c>
      <c r="H949" s="11">
        <f>32.2687 * CHOOSE(CONTROL!$C$32, $C$9, 100%, $E$9)</f>
        <v>32.268700000000003</v>
      </c>
      <c r="I949" s="11">
        <f>32.2724 * CHOOSE(CONTROL!$C$32, $C$9, 100%, $E$9)</f>
        <v>32.272399999999998</v>
      </c>
      <c r="J949" s="11">
        <f>32.2687 * CHOOSE(CONTROL!$C$32, $C$9, 100%, $E$9)</f>
        <v>32.268700000000003</v>
      </c>
      <c r="K949" s="11">
        <f>32.2724 * CHOOSE(CONTROL!$C$32, $C$9, 100%, $E$9)</f>
        <v>32.272399999999998</v>
      </c>
      <c r="L949" s="11">
        <f>15.6964 * CHOOSE(CONTROL!$C$32, $C$9, 100%, $E$9)</f>
        <v>15.696400000000001</v>
      </c>
      <c r="M949" s="11">
        <f>15.7 * CHOOSE(CONTROL!$C$32, $C$9, 100%, $E$9)</f>
        <v>15.7</v>
      </c>
      <c r="N949" s="11">
        <f>15.6964 * CHOOSE(CONTROL!$C$32, $C$9, 100%, $E$9)</f>
        <v>15.696400000000001</v>
      </c>
      <c r="O949" s="11">
        <f>15.7 * CHOOSE(CONTROL!$C$32, $C$9, 100%, $E$9)</f>
        <v>15.7</v>
      </c>
    </row>
    <row r="950" spans="1:15" ht="15" x14ac:dyDescent="0.2">
      <c r="A950" s="13">
        <v>69764</v>
      </c>
      <c r="B950" s="9">
        <f>14.0656 * CHOOSE(CONTROL!$C$32, $C$9, 100%, $E$9)</f>
        <v>14.0656</v>
      </c>
      <c r="C950" s="9">
        <f>14.0656 * CHOOSE(CONTROL!$C$32, $C$9, 100%, $E$9)</f>
        <v>14.0656</v>
      </c>
      <c r="D950" s="9">
        <f>14.0667 * CHOOSE(CONTROL!$C$32, $C$9, 100%, $E$9)</f>
        <v>14.066700000000001</v>
      </c>
      <c r="E950" s="11">
        <f>15.8331 * CHOOSE(CONTROL!$C$32, $C$9, 100%, $E$9)</f>
        <v>15.8331</v>
      </c>
      <c r="F950" s="11">
        <f>15.8331 * CHOOSE(CONTROL!$C$32, $C$9, 100%, $E$9)</f>
        <v>15.8331</v>
      </c>
      <c r="G950" s="11">
        <f>15.8367 * CHOOSE(CONTROL!$C$32, $C$9, 100%, $E$9)</f>
        <v>15.8367</v>
      </c>
      <c r="H950" s="11">
        <f>31.9919 * CHOOSE(CONTROL!$C$32, $C$9, 100%, $E$9)</f>
        <v>31.991900000000001</v>
      </c>
      <c r="I950" s="11">
        <f>31.9955 * CHOOSE(CONTROL!$C$32, $C$9, 100%, $E$9)</f>
        <v>31.9955</v>
      </c>
      <c r="J950" s="11">
        <f>31.9919 * CHOOSE(CONTROL!$C$32, $C$9, 100%, $E$9)</f>
        <v>31.991900000000001</v>
      </c>
      <c r="K950" s="11">
        <f>31.9955 * CHOOSE(CONTROL!$C$32, $C$9, 100%, $E$9)</f>
        <v>31.9955</v>
      </c>
      <c r="L950" s="11">
        <f>15.8331 * CHOOSE(CONTROL!$C$32, $C$9, 100%, $E$9)</f>
        <v>15.8331</v>
      </c>
      <c r="M950" s="11">
        <f>15.8367 * CHOOSE(CONTROL!$C$32, $C$9, 100%, $E$9)</f>
        <v>15.8367</v>
      </c>
      <c r="N950" s="11">
        <f>15.8331 * CHOOSE(CONTROL!$C$32, $C$9, 100%, $E$9)</f>
        <v>15.8331</v>
      </c>
      <c r="O950" s="11">
        <f>15.8367 * CHOOSE(CONTROL!$C$32, $C$9, 100%, $E$9)</f>
        <v>15.8367</v>
      </c>
    </row>
    <row r="951" spans="1:15" ht="15" x14ac:dyDescent="0.2">
      <c r="A951" s="13">
        <v>69795</v>
      </c>
      <c r="B951" s="9">
        <f>14.0626 * CHOOSE(CONTROL!$C$32, $C$9, 100%, $E$9)</f>
        <v>14.0626</v>
      </c>
      <c r="C951" s="9">
        <f>14.0626 * CHOOSE(CONTROL!$C$32, $C$9, 100%, $E$9)</f>
        <v>14.0626</v>
      </c>
      <c r="D951" s="9">
        <f>14.0636 * CHOOSE(CONTROL!$C$32, $C$9, 100%, $E$9)</f>
        <v>14.063599999999999</v>
      </c>
      <c r="E951" s="11">
        <f>15.3933 * CHOOSE(CONTROL!$C$32, $C$9, 100%, $E$9)</f>
        <v>15.3933</v>
      </c>
      <c r="F951" s="11">
        <f>15.3933 * CHOOSE(CONTROL!$C$32, $C$9, 100%, $E$9)</f>
        <v>15.3933</v>
      </c>
      <c r="G951" s="11">
        <f>15.3969 * CHOOSE(CONTROL!$C$32, $C$9, 100%, $E$9)</f>
        <v>15.3969</v>
      </c>
      <c r="H951" s="11">
        <f>32.0586 * CHOOSE(CONTROL!$C$32, $C$9, 100%, $E$9)</f>
        <v>32.058599999999998</v>
      </c>
      <c r="I951" s="11">
        <f>32.0622 * CHOOSE(CONTROL!$C$32, $C$9, 100%, $E$9)</f>
        <v>32.062199999999997</v>
      </c>
      <c r="J951" s="11">
        <f>32.0586 * CHOOSE(CONTROL!$C$32, $C$9, 100%, $E$9)</f>
        <v>32.058599999999998</v>
      </c>
      <c r="K951" s="11">
        <f>32.0622 * CHOOSE(CONTROL!$C$32, $C$9, 100%, $E$9)</f>
        <v>32.062199999999997</v>
      </c>
      <c r="L951" s="11">
        <f>15.3933 * CHOOSE(CONTROL!$C$32, $C$9, 100%, $E$9)</f>
        <v>15.3933</v>
      </c>
      <c r="M951" s="11">
        <f>15.3969 * CHOOSE(CONTROL!$C$32, $C$9, 100%, $E$9)</f>
        <v>15.3969</v>
      </c>
      <c r="N951" s="11">
        <f>15.3933 * CHOOSE(CONTROL!$C$32, $C$9, 100%, $E$9)</f>
        <v>15.3933</v>
      </c>
      <c r="O951" s="11">
        <f>15.3969 * CHOOSE(CONTROL!$C$32, $C$9, 100%, $E$9)</f>
        <v>15.3969</v>
      </c>
    </row>
    <row r="952" spans="1:15" ht="15" x14ac:dyDescent="0.2">
      <c r="A952" s="13">
        <v>69823</v>
      </c>
      <c r="B952" s="9">
        <f>14.0595 * CHOOSE(CONTROL!$C$32, $C$9, 100%, $E$9)</f>
        <v>14.0595</v>
      </c>
      <c r="C952" s="9">
        <f>14.0595 * CHOOSE(CONTROL!$C$32, $C$9, 100%, $E$9)</f>
        <v>14.0595</v>
      </c>
      <c r="D952" s="9">
        <f>14.0606 * CHOOSE(CONTROL!$C$32, $C$9, 100%, $E$9)</f>
        <v>14.060600000000001</v>
      </c>
      <c r="E952" s="11">
        <f>15.7362 * CHOOSE(CONTROL!$C$32, $C$9, 100%, $E$9)</f>
        <v>15.7362</v>
      </c>
      <c r="F952" s="11">
        <f>15.7362 * CHOOSE(CONTROL!$C$32, $C$9, 100%, $E$9)</f>
        <v>15.7362</v>
      </c>
      <c r="G952" s="11">
        <f>15.7398 * CHOOSE(CONTROL!$C$32, $C$9, 100%, $E$9)</f>
        <v>15.739800000000001</v>
      </c>
      <c r="H952" s="11">
        <f>32.1254 * CHOOSE(CONTROL!$C$32, $C$9, 100%, $E$9)</f>
        <v>32.125399999999999</v>
      </c>
      <c r="I952" s="11">
        <f>32.129 * CHOOSE(CONTROL!$C$32, $C$9, 100%, $E$9)</f>
        <v>32.128999999999998</v>
      </c>
      <c r="J952" s="11">
        <f>32.1254 * CHOOSE(CONTROL!$C$32, $C$9, 100%, $E$9)</f>
        <v>32.125399999999999</v>
      </c>
      <c r="K952" s="11">
        <f>32.129 * CHOOSE(CONTROL!$C$32, $C$9, 100%, $E$9)</f>
        <v>32.128999999999998</v>
      </c>
      <c r="L952" s="11">
        <f>15.7362 * CHOOSE(CONTROL!$C$32, $C$9, 100%, $E$9)</f>
        <v>15.7362</v>
      </c>
      <c r="M952" s="11">
        <f>15.7398 * CHOOSE(CONTROL!$C$32, $C$9, 100%, $E$9)</f>
        <v>15.739800000000001</v>
      </c>
      <c r="N952" s="11">
        <f>15.7362 * CHOOSE(CONTROL!$C$32, $C$9, 100%, $E$9)</f>
        <v>15.7362</v>
      </c>
      <c r="O952" s="11">
        <f>15.7398 * CHOOSE(CONTROL!$C$32, $C$9, 100%, $E$9)</f>
        <v>15.739800000000001</v>
      </c>
    </row>
    <row r="953" spans="1:15" ht="15" x14ac:dyDescent="0.2">
      <c r="A953" s="13">
        <v>69854</v>
      </c>
      <c r="B953" s="9">
        <f>14.0669 * CHOOSE(CONTROL!$C$32, $C$9, 100%, $E$9)</f>
        <v>14.0669</v>
      </c>
      <c r="C953" s="9">
        <f>14.0669 * CHOOSE(CONTROL!$C$32, $C$9, 100%, $E$9)</f>
        <v>14.0669</v>
      </c>
      <c r="D953" s="9">
        <f>14.068 * CHOOSE(CONTROL!$C$32, $C$9, 100%, $E$9)</f>
        <v>14.068</v>
      </c>
      <c r="E953" s="11">
        <f>16.1026 * CHOOSE(CONTROL!$C$32, $C$9, 100%, $E$9)</f>
        <v>16.102599999999999</v>
      </c>
      <c r="F953" s="11">
        <f>16.1026 * CHOOSE(CONTROL!$C$32, $C$9, 100%, $E$9)</f>
        <v>16.102599999999999</v>
      </c>
      <c r="G953" s="11">
        <f>16.1062 * CHOOSE(CONTROL!$C$32, $C$9, 100%, $E$9)</f>
        <v>16.106200000000001</v>
      </c>
      <c r="H953" s="11">
        <f>32.1923 * CHOOSE(CONTROL!$C$32, $C$9, 100%, $E$9)</f>
        <v>32.192300000000003</v>
      </c>
      <c r="I953" s="11">
        <f>32.1959 * CHOOSE(CONTROL!$C$32, $C$9, 100%, $E$9)</f>
        <v>32.195900000000002</v>
      </c>
      <c r="J953" s="11">
        <f>32.1923 * CHOOSE(CONTROL!$C$32, $C$9, 100%, $E$9)</f>
        <v>32.192300000000003</v>
      </c>
      <c r="K953" s="11">
        <f>32.1959 * CHOOSE(CONTROL!$C$32, $C$9, 100%, $E$9)</f>
        <v>32.195900000000002</v>
      </c>
      <c r="L953" s="11">
        <f>16.1026 * CHOOSE(CONTROL!$C$32, $C$9, 100%, $E$9)</f>
        <v>16.102599999999999</v>
      </c>
      <c r="M953" s="11">
        <f>16.1062 * CHOOSE(CONTROL!$C$32, $C$9, 100%, $E$9)</f>
        <v>16.106200000000001</v>
      </c>
      <c r="N953" s="11">
        <f>16.1026 * CHOOSE(CONTROL!$C$32, $C$9, 100%, $E$9)</f>
        <v>16.102599999999999</v>
      </c>
      <c r="O953" s="11">
        <f>16.1062 * CHOOSE(CONTROL!$C$32, $C$9, 100%, $E$9)</f>
        <v>16.106200000000001</v>
      </c>
    </row>
    <row r="954" spans="1:15" ht="15" x14ac:dyDescent="0.2">
      <c r="A954" s="13">
        <v>69884</v>
      </c>
      <c r="B954" s="9">
        <f>14.0669 * CHOOSE(CONTROL!$C$32, $C$9, 100%, $E$9)</f>
        <v>14.0669</v>
      </c>
      <c r="C954" s="9">
        <f>14.0669 * CHOOSE(CONTROL!$C$32, $C$9, 100%, $E$9)</f>
        <v>14.0669</v>
      </c>
      <c r="D954" s="9">
        <f>14.0685 * CHOOSE(CONTROL!$C$32, $C$9, 100%, $E$9)</f>
        <v>14.0685</v>
      </c>
      <c r="E954" s="11">
        <f>16.2415 * CHOOSE(CONTROL!$C$32, $C$9, 100%, $E$9)</f>
        <v>16.241499999999998</v>
      </c>
      <c r="F954" s="11">
        <f>16.2415 * CHOOSE(CONTROL!$C$32, $C$9, 100%, $E$9)</f>
        <v>16.241499999999998</v>
      </c>
      <c r="G954" s="11">
        <f>16.2468 * CHOOSE(CONTROL!$C$32, $C$9, 100%, $E$9)</f>
        <v>16.2468</v>
      </c>
      <c r="H954" s="11">
        <f>32.2594 * CHOOSE(CONTROL!$C$32, $C$9, 100%, $E$9)</f>
        <v>32.259399999999999</v>
      </c>
      <c r="I954" s="11">
        <f>32.2646 * CHOOSE(CONTROL!$C$32, $C$9, 100%, $E$9)</f>
        <v>32.264600000000002</v>
      </c>
      <c r="J954" s="11">
        <f>32.2594 * CHOOSE(CONTROL!$C$32, $C$9, 100%, $E$9)</f>
        <v>32.259399999999999</v>
      </c>
      <c r="K954" s="11">
        <f>32.2646 * CHOOSE(CONTROL!$C$32, $C$9, 100%, $E$9)</f>
        <v>32.264600000000002</v>
      </c>
      <c r="L954" s="11">
        <f>16.2415 * CHOOSE(CONTROL!$C$32, $C$9, 100%, $E$9)</f>
        <v>16.241499999999998</v>
      </c>
      <c r="M954" s="11">
        <f>16.2468 * CHOOSE(CONTROL!$C$32, $C$9, 100%, $E$9)</f>
        <v>16.2468</v>
      </c>
      <c r="N954" s="11">
        <f>16.2415 * CHOOSE(CONTROL!$C$32, $C$9, 100%, $E$9)</f>
        <v>16.241499999999998</v>
      </c>
      <c r="O954" s="11">
        <f>16.2468 * CHOOSE(CONTROL!$C$32, $C$9, 100%, $E$9)</f>
        <v>16.2468</v>
      </c>
    </row>
    <row r="955" spans="1:15" ht="15" x14ac:dyDescent="0.2">
      <c r="A955" s="13">
        <v>69915</v>
      </c>
      <c r="B955" s="9">
        <f>14.073 * CHOOSE(CONTROL!$C$32, $C$9, 100%, $E$9)</f>
        <v>14.073</v>
      </c>
      <c r="C955" s="9">
        <f>14.073 * CHOOSE(CONTROL!$C$32, $C$9, 100%, $E$9)</f>
        <v>14.073</v>
      </c>
      <c r="D955" s="9">
        <f>14.0746 * CHOOSE(CONTROL!$C$32, $C$9, 100%, $E$9)</f>
        <v>14.0746</v>
      </c>
      <c r="E955" s="11">
        <f>16.1068 * CHOOSE(CONTROL!$C$32, $C$9, 100%, $E$9)</f>
        <v>16.1068</v>
      </c>
      <c r="F955" s="11">
        <f>16.1068 * CHOOSE(CONTROL!$C$32, $C$9, 100%, $E$9)</f>
        <v>16.1068</v>
      </c>
      <c r="G955" s="11">
        <f>16.1121 * CHOOSE(CONTROL!$C$32, $C$9, 100%, $E$9)</f>
        <v>16.112100000000002</v>
      </c>
      <c r="H955" s="11">
        <f>32.3266 * CHOOSE(CONTROL!$C$32, $C$9, 100%, $E$9)</f>
        <v>32.326599999999999</v>
      </c>
      <c r="I955" s="11">
        <f>32.3319 * CHOOSE(CONTROL!$C$32, $C$9, 100%, $E$9)</f>
        <v>32.331899999999997</v>
      </c>
      <c r="J955" s="11">
        <f>32.3266 * CHOOSE(CONTROL!$C$32, $C$9, 100%, $E$9)</f>
        <v>32.326599999999999</v>
      </c>
      <c r="K955" s="11">
        <f>32.3319 * CHOOSE(CONTROL!$C$32, $C$9, 100%, $E$9)</f>
        <v>32.331899999999997</v>
      </c>
      <c r="L955" s="11">
        <f>16.1068 * CHOOSE(CONTROL!$C$32, $C$9, 100%, $E$9)</f>
        <v>16.1068</v>
      </c>
      <c r="M955" s="11">
        <f>16.1121 * CHOOSE(CONTROL!$C$32, $C$9, 100%, $E$9)</f>
        <v>16.112100000000002</v>
      </c>
      <c r="N955" s="11">
        <f>16.1068 * CHOOSE(CONTROL!$C$32, $C$9, 100%, $E$9)</f>
        <v>16.1068</v>
      </c>
      <c r="O955" s="11">
        <f>16.1121 * CHOOSE(CONTROL!$C$32, $C$9, 100%, $E$9)</f>
        <v>16.112100000000002</v>
      </c>
    </row>
    <row r="956" spans="1:15" ht="15" x14ac:dyDescent="0.2">
      <c r="A956" s="13">
        <v>69945</v>
      </c>
      <c r="B956" s="9">
        <f>14.2421 * CHOOSE(CONTROL!$C$32, $C$9, 100%, $E$9)</f>
        <v>14.242100000000001</v>
      </c>
      <c r="C956" s="9">
        <f>14.2421 * CHOOSE(CONTROL!$C$32, $C$9, 100%, $E$9)</f>
        <v>14.242100000000001</v>
      </c>
      <c r="D956" s="9">
        <f>14.2436 * CHOOSE(CONTROL!$C$32, $C$9, 100%, $E$9)</f>
        <v>14.243600000000001</v>
      </c>
      <c r="E956" s="11">
        <f>16.3355 * CHOOSE(CONTROL!$C$32, $C$9, 100%, $E$9)</f>
        <v>16.3355</v>
      </c>
      <c r="F956" s="11">
        <f>16.3355 * CHOOSE(CONTROL!$C$32, $C$9, 100%, $E$9)</f>
        <v>16.3355</v>
      </c>
      <c r="G956" s="11">
        <f>16.3408 * CHOOSE(CONTROL!$C$32, $C$9, 100%, $E$9)</f>
        <v>16.340800000000002</v>
      </c>
      <c r="H956" s="11">
        <f>32.3939 * CHOOSE(CONTROL!$C$32, $C$9, 100%, $E$9)</f>
        <v>32.393900000000002</v>
      </c>
      <c r="I956" s="11">
        <f>32.3992 * CHOOSE(CONTROL!$C$32, $C$9, 100%, $E$9)</f>
        <v>32.3992</v>
      </c>
      <c r="J956" s="11">
        <f>32.3939 * CHOOSE(CONTROL!$C$32, $C$9, 100%, $E$9)</f>
        <v>32.393900000000002</v>
      </c>
      <c r="K956" s="11">
        <f>32.3992 * CHOOSE(CONTROL!$C$32, $C$9, 100%, $E$9)</f>
        <v>32.3992</v>
      </c>
      <c r="L956" s="11">
        <f>16.3355 * CHOOSE(CONTROL!$C$32, $C$9, 100%, $E$9)</f>
        <v>16.3355</v>
      </c>
      <c r="M956" s="11">
        <f>16.3408 * CHOOSE(CONTROL!$C$32, $C$9, 100%, $E$9)</f>
        <v>16.340800000000002</v>
      </c>
      <c r="N956" s="11">
        <f>16.3355 * CHOOSE(CONTROL!$C$32, $C$9, 100%, $E$9)</f>
        <v>16.3355</v>
      </c>
      <c r="O956" s="11">
        <f>16.3408 * CHOOSE(CONTROL!$C$32, $C$9, 100%, $E$9)</f>
        <v>16.340800000000002</v>
      </c>
    </row>
    <row r="957" spans="1:15" ht="15" x14ac:dyDescent="0.2">
      <c r="A957" s="13">
        <v>69976</v>
      </c>
      <c r="B957" s="9">
        <f>14.2488 * CHOOSE(CONTROL!$C$32, $C$9, 100%, $E$9)</f>
        <v>14.248799999999999</v>
      </c>
      <c r="C957" s="9">
        <f>14.2488 * CHOOSE(CONTROL!$C$32, $C$9, 100%, $E$9)</f>
        <v>14.248799999999999</v>
      </c>
      <c r="D957" s="9">
        <f>14.2503 * CHOOSE(CONTROL!$C$32, $C$9, 100%, $E$9)</f>
        <v>14.250299999999999</v>
      </c>
      <c r="E957" s="11">
        <f>15.9232 * CHOOSE(CONTROL!$C$32, $C$9, 100%, $E$9)</f>
        <v>15.9232</v>
      </c>
      <c r="F957" s="11">
        <f>15.9232 * CHOOSE(CONTROL!$C$32, $C$9, 100%, $E$9)</f>
        <v>15.9232</v>
      </c>
      <c r="G957" s="11">
        <f>15.9285 * CHOOSE(CONTROL!$C$32, $C$9, 100%, $E$9)</f>
        <v>15.9285</v>
      </c>
      <c r="H957" s="11">
        <f>32.4614 * CHOOSE(CONTROL!$C$32, $C$9, 100%, $E$9)</f>
        <v>32.461399999999998</v>
      </c>
      <c r="I957" s="11">
        <f>32.4667 * CHOOSE(CONTROL!$C$32, $C$9, 100%, $E$9)</f>
        <v>32.466700000000003</v>
      </c>
      <c r="J957" s="11">
        <f>32.4614 * CHOOSE(CONTROL!$C$32, $C$9, 100%, $E$9)</f>
        <v>32.461399999999998</v>
      </c>
      <c r="K957" s="11">
        <f>32.4667 * CHOOSE(CONTROL!$C$32, $C$9, 100%, $E$9)</f>
        <v>32.466700000000003</v>
      </c>
      <c r="L957" s="11">
        <f>15.9232 * CHOOSE(CONTROL!$C$32, $C$9, 100%, $E$9)</f>
        <v>15.9232</v>
      </c>
      <c r="M957" s="11">
        <f>15.9285 * CHOOSE(CONTROL!$C$32, $C$9, 100%, $E$9)</f>
        <v>15.9285</v>
      </c>
      <c r="N957" s="11">
        <f>15.9232 * CHOOSE(CONTROL!$C$32, $C$9, 100%, $E$9)</f>
        <v>15.9232</v>
      </c>
      <c r="O957" s="11">
        <f>15.9285 * CHOOSE(CONTROL!$C$32, $C$9, 100%, $E$9)</f>
        <v>15.9285</v>
      </c>
    </row>
    <row r="958" spans="1:15" ht="15" x14ac:dyDescent="0.2">
      <c r="A958" s="13">
        <v>70007</v>
      </c>
      <c r="B958" s="9">
        <f>14.2457 * CHOOSE(CONTROL!$C$32, $C$9, 100%, $E$9)</f>
        <v>14.245699999999999</v>
      </c>
      <c r="C958" s="9">
        <f>14.2457 * CHOOSE(CONTROL!$C$32, $C$9, 100%, $E$9)</f>
        <v>14.245699999999999</v>
      </c>
      <c r="D958" s="9">
        <f>14.2473 * CHOOSE(CONTROL!$C$32, $C$9, 100%, $E$9)</f>
        <v>14.247299999999999</v>
      </c>
      <c r="E958" s="11">
        <f>15.8748 * CHOOSE(CONTROL!$C$32, $C$9, 100%, $E$9)</f>
        <v>15.8748</v>
      </c>
      <c r="F958" s="11">
        <f>15.8748 * CHOOSE(CONTROL!$C$32, $C$9, 100%, $E$9)</f>
        <v>15.8748</v>
      </c>
      <c r="G958" s="11">
        <f>15.8801 * CHOOSE(CONTROL!$C$32, $C$9, 100%, $E$9)</f>
        <v>15.880100000000001</v>
      </c>
      <c r="H958" s="11">
        <f>32.529 * CHOOSE(CONTROL!$C$32, $C$9, 100%, $E$9)</f>
        <v>32.529000000000003</v>
      </c>
      <c r="I958" s="11">
        <f>32.5343 * CHOOSE(CONTROL!$C$32, $C$9, 100%, $E$9)</f>
        <v>32.534300000000002</v>
      </c>
      <c r="J958" s="11">
        <f>32.529 * CHOOSE(CONTROL!$C$32, $C$9, 100%, $E$9)</f>
        <v>32.529000000000003</v>
      </c>
      <c r="K958" s="11">
        <f>32.5343 * CHOOSE(CONTROL!$C$32, $C$9, 100%, $E$9)</f>
        <v>32.534300000000002</v>
      </c>
      <c r="L958" s="11">
        <f>15.8748 * CHOOSE(CONTROL!$C$32, $C$9, 100%, $E$9)</f>
        <v>15.8748</v>
      </c>
      <c r="M958" s="11">
        <f>15.8801 * CHOOSE(CONTROL!$C$32, $C$9, 100%, $E$9)</f>
        <v>15.880100000000001</v>
      </c>
      <c r="N958" s="11">
        <f>15.8748 * CHOOSE(CONTROL!$C$32, $C$9, 100%, $E$9)</f>
        <v>15.8748</v>
      </c>
      <c r="O958" s="11">
        <f>15.8801 * CHOOSE(CONTROL!$C$32, $C$9, 100%, $E$9)</f>
        <v>15.880100000000001</v>
      </c>
    </row>
    <row r="959" spans="1:15" ht="15" x14ac:dyDescent="0.2">
      <c r="A959" s="13">
        <v>70037</v>
      </c>
      <c r="B959" s="9">
        <f>14.2791 * CHOOSE(CONTROL!$C$32, $C$9, 100%, $E$9)</f>
        <v>14.2791</v>
      </c>
      <c r="C959" s="9">
        <f>14.2791 * CHOOSE(CONTROL!$C$32, $C$9, 100%, $E$9)</f>
        <v>14.2791</v>
      </c>
      <c r="D959" s="9">
        <f>14.2802 * CHOOSE(CONTROL!$C$32, $C$9, 100%, $E$9)</f>
        <v>14.280200000000001</v>
      </c>
      <c r="E959" s="11">
        <f>16.0467 * CHOOSE(CONTROL!$C$32, $C$9, 100%, $E$9)</f>
        <v>16.046700000000001</v>
      </c>
      <c r="F959" s="11">
        <f>16.0467 * CHOOSE(CONTROL!$C$32, $C$9, 100%, $E$9)</f>
        <v>16.046700000000001</v>
      </c>
      <c r="G959" s="11">
        <f>16.0503 * CHOOSE(CONTROL!$C$32, $C$9, 100%, $E$9)</f>
        <v>16.0503</v>
      </c>
      <c r="H959" s="11">
        <f>32.5968 * CHOOSE(CONTROL!$C$32, $C$9, 100%, $E$9)</f>
        <v>32.596800000000002</v>
      </c>
      <c r="I959" s="11">
        <f>32.6004 * CHOOSE(CONTROL!$C$32, $C$9, 100%, $E$9)</f>
        <v>32.6004</v>
      </c>
      <c r="J959" s="11">
        <f>32.5968 * CHOOSE(CONTROL!$C$32, $C$9, 100%, $E$9)</f>
        <v>32.596800000000002</v>
      </c>
      <c r="K959" s="11">
        <f>32.6004 * CHOOSE(CONTROL!$C$32, $C$9, 100%, $E$9)</f>
        <v>32.6004</v>
      </c>
      <c r="L959" s="11">
        <f>16.0467 * CHOOSE(CONTROL!$C$32, $C$9, 100%, $E$9)</f>
        <v>16.046700000000001</v>
      </c>
      <c r="M959" s="11">
        <f>16.0503 * CHOOSE(CONTROL!$C$32, $C$9, 100%, $E$9)</f>
        <v>16.0503</v>
      </c>
      <c r="N959" s="11">
        <f>16.0467 * CHOOSE(CONTROL!$C$32, $C$9, 100%, $E$9)</f>
        <v>16.046700000000001</v>
      </c>
      <c r="O959" s="11">
        <f>16.0503 * CHOOSE(CONTROL!$C$32, $C$9, 100%, $E$9)</f>
        <v>16.0503</v>
      </c>
    </row>
    <row r="960" spans="1:15" ht="15" x14ac:dyDescent="0.2">
      <c r="A960" s="13">
        <v>70068</v>
      </c>
      <c r="B960" s="9">
        <f>14.2821 * CHOOSE(CONTROL!$C$32, $C$9, 100%, $E$9)</f>
        <v>14.2821</v>
      </c>
      <c r="C960" s="9">
        <f>14.2821 * CHOOSE(CONTROL!$C$32, $C$9, 100%, $E$9)</f>
        <v>14.2821</v>
      </c>
      <c r="D960" s="9">
        <f>14.2832 * CHOOSE(CONTROL!$C$32, $C$9, 100%, $E$9)</f>
        <v>14.283200000000001</v>
      </c>
      <c r="E960" s="11">
        <f>16.1414 * CHOOSE(CONTROL!$C$32, $C$9, 100%, $E$9)</f>
        <v>16.141400000000001</v>
      </c>
      <c r="F960" s="11">
        <f>16.1414 * CHOOSE(CONTROL!$C$32, $C$9, 100%, $E$9)</f>
        <v>16.141400000000001</v>
      </c>
      <c r="G960" s="11">
        <f>16.1451 * CHOOSE(CONTROL!$C$32, $C$9, 100%, $E$9)</f>
        <v>16.145099999999999</v>
      </c>
      <c r="H960" s="11">
        <f>32.6647 * CHOOSE(CONTROL!$C$32, $C$9, 100%, $E$9)</f>
        <v>32.664700000000003</v>
      </c>
      <c r="I960" s="11">
        <f>32.6683 * CHOOSE(CONTROL!$C$32, $C$9, 100%, $E$9)</f>
        <v>32.668300000000002</v>
      </c>
      <c r="J960" s="11">
        <f>32.6647 * CHOOSE(CONTROL!$C$32, $C$9, 100%, $E$9)</f>
        <v>32.664700000000003</v>
      </c>
      <c r="K960" s="11">
        <f>32.6683 * CHOOSE(CONTROL!$C$32, $C$9, 100%, $E$9)</f>
        <v>32.668300000000002</v>
      </c>
      <c r="L960" s="11">
        <f>16.1414 * CHOOSE(CONTROL!$C$32, $C$9, 100%, $E$9)</f>
        <v>16.141400000000001</v>
      </c>
      <c r="M960" s="11">
        <f>16.1451 * CHOOSE(CONTROL!$C$32, $C$9, 100%, $E$9)</f>
        <v>16.145099999999999</v>
      </c>
      <c r="N960" s="11">
        <f>16.1414 * CHOOSE(CONTROL!$C$32, $C$9, 100%, $E$9)</f>
        <v>16.141400000000001</v>
      </c>
      <c r="O960" s="11">
        <f>16.1451 * CHOOSE(CONTROL!$C$32, $C$9, 100%, $E$9)</f>
        <v>16.145099999999999</v>
      </c>
    </row>
    <row r="961" spans="1:15" ht="15" x14ac:dyDescent="0.2">
      <c r="A961" s="13">
        <v>70098</v>
      </c>
      <c r="B961" s="9">
        <f>14.2821 * CHOOSE(CONTROL!$C$32, $C$9, 100%, $E$9)</f>
        <v>14.2821</v>
      </c>
      <c r="C961" s="9">
        <f>14.2821 * CHOOSE(CONTROL!$C$32, $C$9, 100%, $E$9)</f>
        <v>14.2821</v>
      </c>
      <c r="D961" s="9">
        <f>14.2832 * CHOOSE(CONTROL!$C$32, $C$9, 100%, $E$9)</f>
        <v>14.283200000000001</v>
      </c>
      <c r="E961" s="11">
        <f>15.9098 * CHOOSE(CONTROL!$C$32, $C$9, 100%, $E$9)</f>
        <v>15.909800000000001</v>
      </c>
      <c r="F961" s="11">
        <f>15.9098 * CHOOSE(CONTROL!$C$32, $C$9, 100%, $E$9)</f>
        <v>15.909800000000001</v>
      </c>
      <c r="G961" s="11">
        <f>15.9134 * CHOOSE(CONTROL!$C$32, $C$9, 100%, $E$9)</f>
        <v>15.913399999999999</v>
      </c>
      <c r="H961" s="11">
        <f>32.7328 * CHOOSE(CONTROL!$C$32, $C$9, 100%, $E$9)</f>
        <v>32.732799999999997</v>
      </c>
      <c r="I961" s="11">
        <f>32.7364 * CHOOSE(CONTROL!$C$32, $C$9, 100%, $E$9)</f>
        <v>32.736400000000003</v>
      </c>
      <c r="J961" s="11">
        <f>32.7328 * CHOOSE(CONTROL!$C$32, $C$9, 100%, $E$9)</f>
        <v>32.732799999999997</v>
      </c>
      <c r="K961" s="11">
        <f>32.7364 * CHOOSE(CONTROL!$C$32, $C$9, 100%, $E$9)</f>
        <v>32.736400000000003</v>
      </c>
      <c r="L961" s="11">
        <f>15.9098 * CHOOSE(CONTROL!$C$32, $C$9, 100%, $E$9)</f>
        <v>15.909800000000001</v>
      </c>
      <c r="M961" s="11">
        <f>15.9134 * CHOOSE(CONTROL!$C$32, $C$9, 100%, $E$9)</f>
        <v>15.913399999999999</v>
      </c>
      <c r="N961" s="11">
        <f>15.9098 * CHOOSE(CONTROL!$C$32, $C$9, 100%, $E$9)</f>
        <v>15.909800000000001</v>
      </c>
      <c r="O961" s="11">
        <f>15.9134 * CHOOSE(CONTROL!$C$32, $C$9, 100%, $E$9)</f>
        <v>15.913399999999999</v>
      </c>
    </row>
    <row r="962" spans="1:15" ht="15" x14ac:dyDescent="0.2">
      <c r="A962" s="13">
        <v>70129</v>
      </c>
      <c r="B962" s="9">
        <f>14.253 * CHOOSE(CONTROL!$C$32, $C$9, 100%, $E$9)</f>
        <v>14.253</v>
      </c>
      <c r="C962" s="9">
        <f>14.253 * CHOOSE(CONTROL!$C$32, $C$9, 100%, $E$9)</f>
        <v>14.253</v>
      </c>
      <c r="D962" s="9">
        <f>14.254 * CHOOSE(CONTROL!$C$32, $C$9, 100%, $E$9)</f>
        <v>14.254</v>
      </c>
      <c r="E962" s="11">
        <f>16.0456 * CHOOSE(CONTROL!$C$32, $C$9, 100%, $E$9)</f>
        <v>16.0456</v>
      </c>
      <c r="F962" s="11">
        <f>16.0456 * CHOOSE(CONTROL!$C$32, $C$9, 100%, $E$9)</f>
        <v>16.0456</v>
      </c>
      <c r="G962" s="11">
        <f>16.0492 * CHOOSE(CONTROL!$C$32, $C$9, 100%, $E$9)</f>
        <v>16.049199999999999</v>
      </c>
      <c r="H962" s="11">
        <f>32.4454 * CHOOSE(CONTROL!$C$32, $C$9, 100%, $E$9)</f>
        <v>32.445399999999999</v>
      </c>
      <c r="I962" s="11">
        <f>32.449 * CHOOSE(CONTROL!$C$32, $C$9, 100%, $E$9)</f>
        <v>32.448999999999998</v>
      </c>
      <c r="J962" s="11">
        <f>32.4454 * CHOOSE(CONTROL!$C$32, $C$9, 100%, $E$9)</f>
        <v>32.445399999999999</v>
      </c>
      <c r="K962" s="11">
        <f>32.449 * CHOOSE(CONTROL!$C$32, $C$9, 100%, $E$9)</f>
        <v>32.448999999999998</v>
      </c>
      <c r="L962" s="11">
        <f>16.0456 * CHOOSE(CONTROL!$C$32, $C$9, 100%, $E$9)</f>
        <v>16.0456</v>
      </c>
      <c r="M962" s="11">
        <f>16.0492 * CHOOSE(CONTROL!$C$32, $C$9, 100%, $E$9)</f>
        <v>16.049199999999999</v>
      </c>
      <c r="N962" s="11">
        <f>16.0456 * CHOOSE(CONTROL!$C$32, $C$9, 100%, $E$9)</f>
        <v>16.0456</v>
      </c>
      <c r="O962" s="11">
        <f>16.0492 * CHOOSE(CONTROL!$C$32, $C$9, 100%, $E$9)</f>
        <v>16.049199999999999</v>
      </c>
    </row>
    <row r="963" spans="1:15" ht="15" x14ac:dyDescent="0.2">
      <c r="A963" s="13">
        <v>70160</v>
      </c>
      <c r="B963" s="9">
        <f>14.2499 * CHOOSE(CONTROL!$C$32, $C$9, 100%, $E$9)</f>
        <v>14.2499</v>
      </c>
      <c r="C963" s="9">
        <f>14.2499 * CHOOSE(CONTROL!$C$32, $C$9, 100%, $E$9)</f>
        <v>14.2499</v>
      </c>
      <c r="D963" s="9">
        <f>14.251 * CHOOSE(CONTROL!$C$32, $C$9, 100%, $E$9)</f>
        <v>14.250999999999999</v>
      </c>
      <c r="E963" s="11">
        <f>15.5987 * CHOOSE(CONTROL!$C$32, $C$9, 100%, $E$9)</f>
        <v>15.598699999999999</v>
      </c>
      <c r="F963" s="11">
        <f>15.5987 * CHOOSE(CONTROL!$C$32, $C$9, 100%, $E$9)</f>
        <v>15.598699999999999</v>
      </c>
      <c r="G963" s="11">
        <f>15.6023 * CHOOSE(CONTROL!$C$32, $C$9, 100%, $E$9)</f>
        <v>15.6023</v>
      </c>
      <c r="H963" s="11">
        <f>32.513 * CHOOSE(CONTROL!$C$32, $C$9, 100%, $E$9)</f>
        <v>32.512999999999998</v>
      </c>
      <c r="I963" s="11">
        <f>32.5166 * CHOOSE(CONTROL!$C$32, $C$9, 100%, $E$9)</f>
        <v>32.516599999999997</v>
      </c>
      <c r="J963" s="11">
        <f>32.513 * CHOOSE(CONTROL!$C$32, $C$9, 100%, $E$9)</f>
        <v>32.512999999999998</v>
      </c>
      <c r="K963" s="11">
        <f>32.5166 * CHOOSE(CONTROL!$C$32, $C$9, 100%, $E$9)</f>
        <v>32.516599999999997</v>
      </c>
      <c r="L963" s="11">
        <f>15.5987 * CHOOSE(CONTROL!$C$32, $C$9, 100%, $E$9)</f>
        <v>15.598699999999999</v>
      </c>
      <c r="M963" s="11">
        <f>15.6023 * CHOOSE(CONTROL!$C$32, $C$9, 100%, $E$9)</f>
        <v>15.6023</v>
      </c>
      <c r="N963" s="11">
        <f>15.5987 * CHOOSE(CONTROL!$C$32, $C$9, 100%, $E$9)</f>
        <v>15.598699999999999</v>
      </c>
      <c r="O963" s="11">
        <f>15.6023 * CHOOSE(CONTROL!$C$32, $C$9, 100%, $E$9)</f>
        <v>15.6023</v>
      </c>
    </row>
    <row r="964" spans="1:15" ht="15" x14ac:dyDescent="0.2">
      <c r="A964" s="13">
        <v>70189</v>
      </c>
      <c r="B964" s="9">
        <f>14.2469 * CHOOSE(CONTROL!$C$32, $C$9, 100%, $E$9)</f>
        <v>14.2469</v>
      </c>
      <c r="C964" s="9">
        <f>14.2469 * CHOOSE(CONTROL!$C$32, $C$9, 100%, $E$9)</f>
        <v>14.2469</v>
      </c>
      <c r="D964" s="9">
        <f>14.2479 * CHOOSE(CONTROL!$C$32, $C$9, 100%, $E$9)</f>
        <v>14.2479</v>
      </c>
      <c r="E964" s="11">
        <f>15.9472 * CHOOSE(CONTROL!$C$32, $C$9, 100%, $E$9)</f>
        <v>15.9472</v>
      </c>
      <c r="F964" s="11">
        <f>15.9472 * CHOOSE(CONTROL!$C$32, $C$9, 100%, $E$9)</f>
        <v>15.9472</v>
      </c>
      <c r="G964" s="11">
        <f>15.9508 * CHOOSE(CONTROL!$C$32, $C$9, 100%, $E$9)</f>
        <v>15.950799999999999</v>
      </c>
      <c r="H964" s="11">
        <f>32.5808 * CHOOSE(CONTROL!$C$32, $C$9, 100%, $E$9)</f>
        <v>32.580800000000004</v>
      </c>
      <c r="I964" s="11">
        <f>32.5844 * CHOOSE(CONTROL!$C$32, $C$9, 100%, $E$9)</f>
        <v>32.584400000000002</v>
      </c>
      <c r="J964" s="11">
        <f>32.5808 * CHOOSE(CONTROL!$C$32, $C$9, 100%, $E$9)</f>
        <v>32.580800000000004</v>
      </c>
      <c r="K964" s="11">
        <f>32.5844 * CHOOSE(CONTROL!$C$32, $C$9, 100%, $E$9)</f>
        <v>32.584400000000002</v>
      </c>
      <c r="L964" s="11">
        <f>15.9472 * CHOOSE(CONTROL!$C$32, $C$9, 100%, $E$9)</f>
        <v>15.9472</v>
      </c>
      <c r="M964" s="11">
        <f>15.9508 * CHOOSE(CONTROL!$C$32, $C$9, 100%, $E$9)</f>
        <v>15.950799999999999</v>
      </c>
      <c r="N964" s="11">
        <f>15.9472 * CHOOSE(CONTROL!$C$32, $C$9, 100%, $E$9)</f>
        <v>15.9472</v>
      </c>
      <c r="O964" s="11">
        <f>15.9508 * CHOOSE(CONTROL!$C$32, $C$9, 100%, $E$9)</f>
        <v>15.950799999999999</v>
      </c>
    </row>
    <row r="965" spans="1:15" ht="15" x14ac:dyDescent="0.2">
      <c r="A965" s="13">
        <v>70220</v>
      </c>
      <c r="B965" s="9">
        <f>14.2545 * CHOOSE(CONTROL!$C$32, $C$9, 100%, $E$9)</f>
        <v>14.2545</v>
      </c>
      <c r="C965" s="9">
        <f>14.2545 * CHOOSE(CONTROL!$C$32, $C$9, 100%, $E$9)</f>
        <v>14.2545</v>
      </c>
      <c r="D965" s="9">
        <f>14.2555 * CHOOSE(CONTROL!$C$32, $C$9, 100%, $E$9)</f>
        <v>14.2555</v>
      </c>
      <c r="E965" s="11">
        <f>16.3196 * CHOOSE(CONTROL!$C$32, $C$9, 100%, $E$9)</f>
        <v>16.319600000000001</v>
      </c>
      <c r="F965" s="11">
        <f>16.3196 * CHOOSE(CONTROL!$C$32, $C$9, 100%, $E$9)</f>
        <v>16.319600000000001</v>
      </c>
      <c r="G965" s="11">
        <f>16.3232 * CHOOSE(CONTROL!$C$32, $C$9, 100%, $E$9)</f>
        <v>16.3232</v>
      </c>
      <c r="H965" s="11">
        <f>32.6486 * CHOOSE(CONTROL!$C$32, $C$9, 100%, $E$9)</f>
        <v>32.648600000000002</v>
      </c>
      <c r="I965" s="11">
        <f>32.6522 * CHOOSE(CONTROL!$C$32, $C$9, 100%, $E$9)</f>
        <v>32.652200000000001</v>
      </c>
      <c r="J965" s="11">
        <f>32.6486 * CHOOSE(CONTROL!$C$32, $C$9, 100%, $E$9)</f>
        <v>32.648600000000002</v>
      </c>
      <c r="K965" s="11">
        <f>32.6522 * CHOOSE(CONTROL!$C$32, $C$9, 100%, $E$9)</f>
        <v>32.652200000000001</v>
      </c>
      <c r="L965" s="11">
        <f>16.3196 * CHOOSE(CONTROL!$C$32, $C$9, 100%, $E$9)</f>
        <v>16.319600000000001</v>
      </c>
      <c r="M965" s="11">
        <f>16.3232 * CHOOSE(CONTROL!$C$32, $C$9, 100%, $E$9)</f>
        <v>16.3232</v>
      </c>
      <c r="N965" s="11">
        <f>16.3196 * CHOOSE(CONTROL!$C$32, $C$9, 100%, $E$9)</f>
        <v>16.319600000000001</v>
      </c>
      <c r="O965" s="11">
        <f>16.3232 * CHOOSE(CONTROL!$C$32, $C$9, 100%, $E$9)</f>
        <v>16.3232</v>
      </c>
    </row>
    <row r="966" spans="1:15" ht="15" x14ac:dyDescent="0.2">
      <c r="A966" s="13">
        <v>70250</v>
      </c>
      <c r="B966" s="9">
        <f>14.2545 * CHOOSE(CONTROL!$C$32, $C$9, 100%, $E$9)</f>
        <v>14.2545</v>
      </c>
      <c r="C966" s="9">
        <f>14.2545 * CHOOSE(CONTROL!$C$32, $C$9, 100%, $E$9)</f>
        <v>14.2545</v>
      </c>
      <c r="D966" s="9">
        <f>14.2561 * CHOOSE(CONTROL!$C$32, $C$9, 100%, $E$9)</f>
        <v>14.2561</v>
      </c>
      <c r="E966" s="11">
        <f>16.4608 * CHOOSE(CONTROL!$C$32, $C$9, 100%, $E$9)</f>
        <v>16.460799999999999</v>
      </c>
      <c r="F966" s="11">
        <f>16.4608 * CHOOSE(CONTROL!$C$32, $C$9, 100%, $E$9)</f>
        <v>16.460799999999999</v>
      </c>
      <c r="G966" s="11">
        <f>16.4661 * CHOOSE(CONTROL!$C$32, $C$9, 100%, $E$9)</f>
        <v>16.466100000000001</v>
      </c>
      <c r="H966" s="11">
        <f>32.7167 * CHOOSE(CONTROL!$C$32, $C$9, 100%, $E$9)</f>
        <v>32.716700000000003</v>
      </c>
      <c r="I966" s="11">
        <f>32.7219 * CHOOSE(CONTROL!$C$32, $C$9, 100%, $E$9)</f>
        <v>32.721899999999998</v>
      </c>
      <c r="J966" s="11">
        <f>32.7167 * CHOOSE(CONTROL!$C$32, $C$9, 100%, $E$9)</f>
        <v>32.716700000000003</v>
      </c>
      <c r="K966" s="11">
        <f>32.7219 * CHOOSE(CONTROL!$C$32, $C$9, 100%, $E$9)</f>
        <v>32.721899999999998</v>
      </c>
      <c r="L966" s="11">
        <f>16.4608 * CHOOSE(CONTROL!$C$32, $C$9, 100%, $E$9)</f>
        <v>16.460799999999999</v>
      </c>
      <c r="M966" s="11">
        <f>16.4661 * CHOOSE(CONTROL!$C$32, $C$9, 100%, $E$9)</f>
        <v>16.466100000000001</v>
      </c>
      <c r="N966" s="11">
        <f>16.4608 * CHOOSE(CONTROL!$C$32, $C$9, 100%, $E$9)</f>
        <v>16.460799999999999</v>
      </c>
      <c r="O966" s="11">
        <f>16.4661 * CHOOSE(CONTROL!$C$32, $C$9, 100%, $E$9)</f>
        <v>16.466100000000001</v>
      </c>
    </row>
    <row r="967" spans="1:15" ht="15" x14ac:dyDescent="0.2">
      <c r="A967" s="13">
        <v>70281</v>
      </c>
      <c r="B967" s="9">
        <f>14.2606 * CHOOSE(CONTROL!$C$32, $C$9, 100%, $E$9)</f>
        <v>14.2606</v>
      </c>
      <c r="C967" s="9">
        <f>14.2606 * CHOOSE(CONTROL!$C$32, $C$9, 100%, $E$9)</f>
        <v>14.2606</v>
      </c>
      <c r="D967" s="9">
        <f>14.2621 * CHOOSE(CONTROL!$C$32, $C$9, 100%, $E$9)</f>
        <v>14.2621</v>
      </c>
      <c r="E967" s="11">
        <f>16.3238 * CHOOSE(CONTROL!$C$32, $C$9, 100%, $E$9)</f>
        <v>16.323799999999999</v>
      </c>
      <c r="F967" s="11">
        <f>16.3238 * CHOOSE(CONTROL!$C$32, $C$9, 100%, $E$9)</f>
        <v>16.323799999999999</v>
      </c>
      <c r="G967" s="11">
        <f>16.3291 * CHOOSE(CONTROL!$C$32, $C$9, 100%, $E$9)</f>
        <v>16.3291</v>
      </c>
      <c r="H967" s="11">
        <f>32.7848 * CHOOSE(CONTROL!$C$32, $C$9, 100%, $E$9)</f>
        <v>32.784799999999997</v>
      </c>
      <c r="I967" s="11">
        <f>32.7901 * CHOOSE(CONTROL!$C$32, $C$9, 100%, $E$9)</f>
        <v>32.790100000000002</v>
      </c>
      <c r="J967" s="11">
        <f>32.7848 * CHOOSE(CONTROL!$C$32, $C$9, 100%, $E$9)</f>
        <v>32.784799999999997</v>
      </c>
      <c r="K967" s="11">
        <f>32.7901 * CHOOSE(CONTROL!$C$32, $C$9, 100%, $E$9)</f>
        <v>32.790100000000002</v>
      </c>
      <c r="L967" s="11">
        <f>16.3238 * CHOOSE(CONTROL!$C$32, $C$9, 100%, $E$9)</f>
        <v>16.323799999999999</v>
      </c>
      <c r="M967" s="11">
        <f>16.3291 * CHOOSE(CONTROL!$C$32, $C$9, 100%, $E$9)</f>
        <v>16.3291</v>
      </c>
      <c r="N967" s="11">
        <f>16.3238 * CHOOSE(CONTROL!$C$32, $C$9, 100%, $E$9)</f>
        <v>16.323799999999999</v>
      </c>
      <c r="O967" s="11">
        <f>16.3291 * CHOOSE(CONTROL!$C$32, $C$9, 100%, $E$9)</f>
        <v>16.3291</v>
      </c>
    </row>
    <row r="968" spans="1:15" ht="15" x14ac:dyDescent="0.2">
      <c r="A968" s="13">
        <v>70311</v>
      </c>
      <c r="B968" s="9">
        <f>14.4317 * CHOOSE(CONTROL!$C$32, $C$9, 100%, $E$9)</f>
        <v>14.431699999999999</v>
      </c>
      <c r="C968" s="9">
        <f>14.4317 * CHOOSE(CONTROL!$C$32, $C$9, 100%, $E$9)</f>
        <v>14.431699999999999</v>
      </c>
      <c r="D968" s="9">
        <f>14.4332 * CHOOSE(CONTROL!$C$32, $C$9, 100%, $E$9)</f>
        <v>14.433199999999999</v>
      </c>
      <c r="E968" s="11">
        <f>16.5557 * CHOOSE(CONTROL!$C$32, $C$9, 100%, $E$9)</f>
        <v>16.555700000000002</v>
      </c>
      <c r="F968" s="11">
        <f>16.5557 * CHOOSE(CONTROL!$C$32, $C$9, 100%, $E$9)</f>
        <v>16.555700000000002</v>
      </c>
      <c r="G968" s="11">
        <f>16.561 * CHOOSE(CONTROL!$C$32, $C$9, 100%, $E$9)</f>
        <v>16.561</v>
      </c>
      <c r="H968" s="11">
        <f>32.8531 * CHOOSE(CONTROL!$C$32, $C$9, 100%, $E$9)</f>
        <v>32.853099999999998</v>
      </c>
      <c r="I968" s="11">
        <f>32.8584 * CHOOSE(CONTROL!$C$32, $C$9, 100%, $E$9)</f>
        <v>32.858400000000003</v>
      </c>
      <c r="J968" s="11">
        <f>32.8531 * CHOOSE(CONTROL!$C$32, $C$9, 100%, $E$9)</f>
        <v>32.853099999999998</v>
      </c>
      <c r="K968" s="11">
        <f>32.8584 * CHOOSE(CONTROL!$C$32, $C$9, 100%, $E$9)</f>
        <v>32.858400000000003</v>
      </c>
      <c r="L968" s="11">
        <f>16.5557 * CHOOSE(CONTROL!$C$32, $C$9, 100%, $E$9)</f>
        <v>16.555700000000002</v>
      </c>
      <c r="M968" s="11">
        <f>16.561 * CHOOSE(CONTROL!$C$32, $C$9, 100%, $E$9)</f>
        <v>16.561</v>
      </c>
      <c r="N968" s="11">
        <f>16.5557 * CHOOSE(CONTROL!$C$32, $C$9, 100%, $E$9)</f>
        <v>16.555700000000002</v>
      </c>
      <c r="O968" s="11">
        <f>16.561 * CHOOSE(CONTROL!$C$32, $C$9, 100%, $E$9)</f>
        <v>16.561</v>
      </c>
    </row>
    <row r="969" spans="1:15" ht="15" x14ac:dyDescent="0.2">
      <c r="A969" s="13">
        <v>70342</v>
      </c>
      <c r="B969" s="9">
        <f>14.4384 * CHOOSE(CONTROL!$C$32, $C$9, 100%, $E$9)</f>
        <v>14.4384</v>
      </c>
      <c r="C969" s="9">
        <f>14.4384 * CHOOSE(CONTROL!$C$32, $C$9, 100%, $E$9)</f>
        <v>14.4384</v>
      </c>
      <c r="D969" s="9">
        <f>14.4399 * CHOOSE(CONTROL!$C$32, $C$9, 100%, $E$9)</f>
        <v>14.4399</v>
      </c>
      <c r="E969" s="11">
        <f>16.1367 * CHOOSE(CONTROL!$C$32, $C$9, 100%, $E$9)</f>
        <v>16.136700000000001</v>
      </c>
      <c r="F969" s="11">
        <f>16.1367 * CHOOSE(CONTROL!$C$32, $C$9, 100%, $E$9)</f>
        <v>16.136700000000001</v>
      </c>
      <c r="G969" s="11">
        <f>16.142 * CHOOSE(CONTROL!$C$32, $C$9, 100%, $E$9)</f>
        <v>16.141999999999999</v>
      </c>
      <c r="H969" s="11">
        <f>32.9216 * CHOOSE(CONTROL!$C$32, $C$9, 100%, $E$9)</f>
        <v>32.921599999999998</v>
      </c>
      <c r="I969" s="11">
        <f>32.9269 * CHOOSE(CONTROL!$C$32, $C$9, 100%, $E$9)</f>
        <v>32.926900000000003</v>
      </c>
      <c r="J969" s="11">
        <f>32.9216 * CHOOSE(CONTROL!$C$32, $C$9, 100%, $E$9)</f>
        <v>32.921599999999998</v>
      </c>
      <c r="K969" s="11">
        <f>32.9269 * CHOOSE(CONTROL!$C$32, $C$9, 100%, $E$9)</f>
        <v>32.926900000000003</v>
      </c>
      <c r="L969" s="11">
        <f>16.1367 * CHOOSE(CONTROL!$C$32, $C$9, 100%, $E$9)</f>
        <v>16.136700000000001</v>
      </c>
      <c r="M969" s="11">
        <f>16.142 * CHOOSE(CONTROL!$C$32, $C$9, 100%, $E$9)</f>
        <v>16.141999999999999</v>
      </c>
      <c r="N969" s="11">
        <f>16.1367 * CHOOSE(CONTROL!$C$32, $C$9, 100%, $E$9)</f>
        <v>16.136700000000001</v>
      </c>
      <c r="O969" s="11">
        <f>16.142 * CHOOSE(CONTROL!$C$32, $C$9, 100%, $E$9)</f>
        <v>16.141999999999999</v>
      </c>
    </row>
    <row r="970" spans="1:15" ht="15" x14ac:dyDescent="0.2">
      <c r="A970" s="13">
        <v>70373</v>
      </c>
      <c r="B970" s="9">
        <f>14.4353 * CHOOSE(CONTROL!$C$32, $C$9, 100%, $E$9)</f>
        <v>14.4353</v>
      </c>
      <c r="C970" s="9">
        <f>14.4353 * CHOOSE(CONTROL!$C$32, $C$9, 100%, $E$9)</f>
        <v>14.4353</v>
      </c>
      <c r="D970" s="9">
        <f>14.4369 * CHOOSE(CONTROL!$C$32, $C$9, 100%, $E$9)</f>
        <v>14.4369</v>
      </c>
      <c r="E970" s="11">
        <f>16.0875 * CHOOSE(CONTROL!$C$32, $C$9, 100%, $E$9)</f>
        <v>16.087499999999999</v>
      </c>
      <c r="F970" s="11">
        <f>16.0875 * CHOOSE(CONTROL!$C$32, $C$9, 100%, $E$9)</f>
        <v>16.087499999999999</v>
      </c>
      <c r="G970" s="11">
        <f>16.0928 * CHOOSE(CONTROL!$C$32, $C$9, 100%, $E$9)</f>
        <v>16.0928</v>
      </c>
      <c r="H970" s="11">
        <f>32.9901 * CHOOSE(CONTROL!$C$32, $C$9, 100%, $E$9)</f>
        <v>32.990099999999998</v>
      </c>
      <c r="I970" s="11">
        <f>32.9954 * CHOOSE(CONTROL!$C$32, $C$9, 100%, $E$9)</f>
        <v>32.995399999999997</v>
      </c>
      <c r="J970" s="11">
        <f>32.9901 * CHOOSE(CONTROL!$C$32, $C$9, 100%, $E$9)</f>
        <v>32.990099999999998</v>
      </c>
      <c r="K970" s="11">
        <f>32.9954 * CHOOSE(CONTROL!$C$32, $C$9, 100%, $E$9)</f>
        <v>32.995399999999997</v>
      </c>
      <c r="L970" s="11">
        <f>16.0875 * CHOOSE(CONTROL!$C$32, $C$9, 100%, $E$9)</f>
        <v>16.087499999999999</v>
      </c>
      <c r="M970" s="11">
        <f>16.0928 * CHOOSE(CONTROL!$C$32, $C$9, 100%, $E$9)</f>
        <v>16.0928</v>
      </c>
      <c r="N970" s="11">
        <f>16.0875 * CHOOSE(CONTROL!$C$32, $C$9, 100%, $E$9)</f>
        <v>16.087499999999999</v>
      </c>
      <c r="O970" s="11">
        <f>16.0928 * CHOOSE(CONTROL!$C$32, $C$9, 100%, $E$9)</f>
        <v>16.0928</v>
      </c>
    </row>
    <row r="971" spans="1:15" ht="15" x14ac:dyDescent="0.2">
      <c r="A971" s="13">
        <v>70403</v>
      </c>
      <c r="B971" s="9">
        <f>14.4694 * CHOOSE(CONTROL!$C$32, $C$9, 100%, $E$9)</f>
        <v>14.4694</v>
      </c>
      <c r="C971" s="9">
        <f>14.4694 * CHOOSE(CONTROL!$C$32, $C$9, 100%, $E$9)</f>
        <v>14.4694</v>
      </c>
      <c r="D971" s="9">
        <f>14.4705 * CHOOSE(CONTROL!$C$32, $C$9, 100%, $E$9)</f>
        <v>14.470499999999999</v>
      </c>
      <c r="E971" s="11">
        <f>16.2624 * CHOOSE(CONTROL!$C$32, $C$9, 100%, $E$9)</f>
        <v>16.2624</v>
      </c>
      <c r="F971" s="11">
        <f>16.2624 * CHOOSE(CONTROL!$C$32, $C$9, 100%, $E$9)</f>
        <v>16.2624</v>
      </c>
      <c r="G971" s="11">
        <f>16.266 * CHOOSE(CONTROL!$C$32, $C$9, 100%, $E$9)</f>
        <v>16.265999999999998</v>
      </c>
      <c r="H971" s="11">
        <f>33.0589 * CHOOSE(CONTROL!$C$32, $C$9, 100%, $E$9)</f>
        <v>33.058900000000001</v>
      </c>
      <c r="I971" s="11">
        <f>33.0625 * CHOOSE(CONTROL!$C$32, $C$9, 100%, $E$9)</f>
        <v>33.0625</v>
      </c>
      <c r="J971" s="11">
        <f>33.0589 * CHOOSE(CONTROL!$C$32, $C$9, 100%, $E$9)</f>
        <v>33.058900000000001</v>
      </c>
      <c r="K971" s="11">
        <f>33.0625 * CHOOSE(CONTROL!$C$32, $C$9, 100%, $E$9)</f>
        <v>33.0625</v>
      </c>
      <c r="L971" s="11">
        <f>16.2624 * CHOOSE(CONTROL!$C$32, $C$9, 100%, $E$9)</f>
        <v>16.2624</v>
      </c>
      <c r="M971" s="11">
        <f>16.266 * CHOOSE(CONTROL!$C$32, $C$9, 100%, $E$9)</f>
        <v>16.265999999999998</v>
      </c>
      <c r="N971" s="11">
        <f>16.2624 * CHOOSE(CONTROL!$C$32, $C$9, 100%, $E$9)</f>
        <v>16.2624</v>
      </c>
      <c r="O971" s="11">
        <f>16.266 * CHOOSE(CONTROL!$C$32, $C$9, 100%, $E$9)</f>
        <v>16.265999999999998</v>
      </c>
    </row>
    <row r="972" spans="1:15" ht="15" x14ac:dyDescent="0.2">
      <c r="A972" s="13">
        <v>70434</v>
      </c>
      <c r="B972" s="9">
        <f>14.4724 * CHOOSE(CONTROL!$C$32, $C$9, 100%, $E$9)</f>
        <v>14.4724</v>
      </c>
      <c r="C972" s="9">
        <f>14.4724 * CHOOSE(CONTROL!$C$32, $C$9, 100%, $E$9)</f>
        <v>14.4724</v>
      </c>
      <c r="D972" s="9">
        <f>14.4735 * CHOOSE(CONTROL!$C$32, $C$9, 100%, $E$9)</f>
        <v>14.4735</v>
      </c>
      <c r="E972" s="11">
        <f>16.3586 * CHOOSE(CONTROL!$C$32, $C$9, 100%, $E$9)</f>
        <v>16.358599999999999</v>
      </c>
      <c r="F972" s="11">
        <f>16.3586 * CHOOSE(CONTROL!$C$32, $C$9, 100%, $E$9)</f>
        <v>16.358599999999999</v>
      </c>
      <c r="G972" s="11">
        <f>16.3622 * CHOOSE(CONTROL!$C$32, $C$9, 100%, $E$9)</f>
        <v>16.362200000000001</v>
      </c>
      <c r="H972" s="11">
        <f>33.1277 * CHOOSE(CONTROL!$C$32, $C$9, 100%, $E$9)</f>
        <v>33.127699999999997</v>
      </c>
      <c r="I972" s="11">
        <f>33.1314 * CHOOSE(CONTROL!$C$32, $C$9, 100%, $E$9)</f>
        <v>33.131399999999999</v>
      </c>
      <c r="J972" s="11">
        <f>33.1277 * CHOOSE(CONTROL!$C$32, $C$9, 100%, $E$9)</f>
        <v>33.127699999999997</v>
      </c>
      <c r="K972" s="11">
        <f>33.1314 * CHOOSE(CONTROL!$C$32, $C$9, 100%, $E$9)</f>
        <v>33.131399999999999</v>
      </c>
      <c r="L972" s="11">
        <f>16.3586 * CHOOSE(CONTROL!$C$32, $C$9, 100%, $E$9)</f>
        <v>16.358599999999999</v>
      </c>
      <c r="M972" s="11">
        <f>16.3622 * CHOOSE(CONTROL!$C$32, $C$9, 100%, $E$9)</f>
        <v>16.362200000000001</v>
      </c>
      <c r="N972" s="11">
        <f>16.3586 * CHOOSE(CONTROL!$C$32, $C$9, 100%, $E$9)</f>
        <v>16.358599999999999</v>
      </c>
      <c r="O972" s="11">
        <f>16.3622 * CHOOSE(CONTROL!$C$32, $C$9, 100%, $E$9)</f>
        <v>16.362200000000001</v>
      </c>
    </row>
    <row r="973" spans="1:15" ht="15" x14ac:dyDescent="0.2">
      <c r="A973" s="13">
        <v>70464</v>
      </c>
      <c r="B973" s="9">
        <f>14.4724 * CHOOSE(CONTROL!$C$32, $C$9, 100%, $E$9)</f>
        <v>14.4724</v>
      </c>
      <c r="C973" s="9">
        <f>14.4724 * CHOOSE(CONTROL!$C$32, $C$9, 100%, $E$9)</f>
        <v>14.4724</v>
      </c>
      <c r="D973" s="9">
        <f>14.4735 * CHOOSE(CONTROL!$C$32, $C$9, 100%, $E$9)</f>
        <v>14.4735</v>
      </c>
      <c r="E973" s="11">
        <f>16.1233 * CHOOSE(CONTROL!$C$32, $C$9, 100%, $E$9)</f>
        <v>16.1233</v>
      </c>
      <c r="F973" s="11">
        <f>16.1233 * CHOOSE(CONTROL!$C$32, $C$9, 100%, $E$9)</f>
        <v>16.1233</v>
      </c>
      <c r="G973" s="11">
        <f>16.1269 * CHOOSE(CONTROL!$C$32, $C$9, 100%, $E$9)</f>
        <v>16.126899999999999</v>
      </c>
      <c r="H973" s="11">
        <f>33.1968 * CHOOSE(CONTROL!$C$32, $C$9, 100%, $E$9)</f>
        <v>33.196800000000003</v>
      </c>
      <c r="I973" s="11">
        <f>33.2004 * CHOOSE(CONTROL!$C$32, $C$9, 100%, $E$9)</f>
        <v>33.200400000000002</v>
      </c>
      <c r="J973" s="11">
        <f>33.1968 * CHOOSE(CONTROL!$C$32, $C$9, 100%, $E$9)</f>
        <v>33.196800000000003</v>
      </c>
      <c r="K973" s="11">
        <f>33.2004 * CHOOSE(CONTROL!$C$32, $C$9, 100%, $E$9)</f>
        <v>33.200400000000002</v>
      </c>
      <c r="L973" s="11">
        <f>16.1233 * CHOOSE(CONTROL!$C$32, $C$9, 100%, $E$9)</f>
        <v>16.1233</v>
      </c>
      <c r="M973" s="11">
        <f>16.1269 * CHOOSE(CONTROL!$C$32, $C$9, 100%, $E$9)</f>
        <v>16.126899999999999</v>
      </c>
      <c r="N973" s="11">
        <f>16.1233 * CHOOSE(CONTROL!$C$32, $C$9, 100%, $E$9)</f>
        <v>16.1233</v>
      </c>
      <c r="O973" s="11">
        <f>16.1269 * CHOOSE(CONTROL!$C$32, $C$9, 100%, $E$9)</f>
        <v>16.126899999999999</v>
      </c>
    </row>
    <row r="974" spans="1:15" ht="15" x14ac:dyDescent="0.2">
      <c r="A974" s="13">
        <v>70495</v>
      </c>
      <c r="B974" s="9">
        <f>14.4403 * CHOOSE(CONTROL!$C$32, $C$9, 100%, $E$9)</f>
        <v>14.440300000000001</v>
      </c>
      <c r="C974" s="9">
        <f>14.4403 * CHOOSE(CONTROL!$C$32, $C$9, 100%, $E$9)</f>
        <v>14.440300000000001</v>
      </c>
      <c r="D974" s="9">
        <f>14.4414 * CHOOSE(CONTROL!$C$32, $C$9, 100%, $E$9)</f>
        <v>14.4414</v>
      </c>
      <c r="E974" s="11">
        <f>16.2581 * CHOOSE(CONTROL!$C$32, $C$9, 100%, $E$9)</f>
        <v>16.258099999999999</v>
      </c>
      <c r="F974" s="11">
        <f>16.2581 * CHOOSE(CONTROL!$C$32, $C$9, 100%, $E$9)</f>
        <v>16.258099999999999</v>
      </c>
      <c r="G974" s="11">
        <f>16.2617 * CHOOSE(CONTROL!$C$32, $C$9, 100%, $E$9)</f>
        <v>16.261700000000001</v>
      </c>
      <c r="H974" s="11">
        <f>32.8989 * CHOOSE(CONTROL!$C$32, $C$9, 100%, $E$9)</f>
        <v>32.898899999999998</v>
      </c>
      <c r="I974" s="11">
        <f>32.9025 * CHOOSE(CONTROL!$C$32, $C$9, 100%, $E$9)</f>
        <v>32.902500000000003</v>
      </c>
      <c r="J974" s="11">
        <f>32.8989 * CHOOSE(CONTROL!$C$32, $C$9, 100%, $E$9)</f>
        <v>32.898899999999998</v>
      </c>
      <c r="K974" s="11">
        <f>32.9025 * CHOOSE(CONTROL!$C$32, $C$9, 100%, $E$9)</f>
        <v>32.902500000000003</v>
      </c>
      <c r="L974" s="11">
        <f>16.2581 * CHOOSE(CONTROL!$C$32, $C$9, 100%, $E$9)</f>
        <v>16.258099999999999</v>
      </c>
      <c r="M974" s="11">
        <f>16.2617 * CHOOSE(CONTROL!$C$32, $C$9, 100%, $E$9)</f>
        <v>16.261700000000001</v>
      </c>
      <c r="N974" s="11">
        <f>16.2581 * CHOOSE(CONTROL!$C$32, $C$9, 100%, $E$9)</f>
        <v>16.258099999999999</v>
      </c>
      <c r="O974" s="11">
        <f>16.2617 * CHOOSE(CONTROL!$C$32, $C$9, 100%, $E$9)</f>
        <v>16.261700000000001</v>
      </c>
    </row>
    <row r="975" spans="1:15" ht="15" x14ac:dyDescent="0.2">
      <c r="A975" s="13">
        <v>70526</v>
      </c>
      <c r="B975" s="9">
        <f>14.4373 * CHOOSE(CONTROL!$C$32, $C$9, 100%, $E$9)</f>
        <v>14.4373</v>
      </c>
      <c r="C975" s="9">
        <f>14.4373 * CHOOSE(CONTROL!$C$32, $C$9, 100%, $E$9)</f>
        <v>14.4373</v>
      </c>
      <c r="D975" s="9">
        <f>14.4383 * CHOOSE(CONTROL!$C$32, $C$9, 100%, $E$9)</f>
        <v>14.4383</v>
      </c>
      <c r="E975" s="11">
        <f>15.8041 * CHOOSE(CONTROL!$C$32, $C$9, 100%, $E$9)</f>
        <v>15.8041</v>
      </c>
      <c r="F975" s="11">
        <f>15.8041 * CHOOSE(CONTROL!$C$32, $C$9, 100%, $E$9)</f>
        <v>15.8041</v>
      </c>
      <c r="G975" s="11">
        <f>15.8077 * CHOOSE(CONTROL!$C$32, $C$9, 100%, $E$9)</f>
        <v>15.807700000000001</v>
      </c>
      <c r="H975" s="11">
        <f>32.9675 * CHOOSE(CONTROL!$C$32, $C$9, 100%, $E$9)</f>
        <v>32.967500000000001</v>
      </c>
      <c r="I975" s="11">
        <f>32.9711 * CHOOSE(CONTROL!$C$32, $C$9, 100%, $E$9)</f>
        <v>32.9711</v>
      </c>
      <c r="J975" s="11">
        <f>32.9675 * CHOOSE(CONTROL!$C$32, $C$9, 100%, $E$9)</f>
        <v>32.967500000000001</v>
      </c>
      <c r="K975" s="11">
        <f>32.9711 * CHOOSE(CONTROL!$C$32, $C$9, 100%, $E$9)</f>
        <v>32.9711</v>
      </c>
      <c r="L975" s="11">
        <f>15.8041 * CHOOSE(CONTROL!$C$32, $C$9, 100%, $E$9)</f>
        <v>15.8041</v>
      </c>
      <c r="M975" s="11">
        <f>15.8077 * CHOOSE(CONTROL!$C$32, $C$9, 100%, $E$9)</f>
        <v>15.807700000000001</v>
      </c>
      <c r="N975" s="11">
        <f>15.8041 * CHOOSE(CONTROL!$C$32, $C$9, 100%, $E$9)</f>
        <v>15.8041</v>
      </c>
      <c r="O975" s="11">
        <f>15.8077 * CHOOSE(CONTROL!$C$32, $C$9, 100%, $E$9)</f>
        <v>15.807700000000001</v>
      </c>
    </row>
    <row r="976" spans="1:15" ht="15" x14ac:dyDescent="0.2">
      <c r="A976" s="13">
        <v>70554</v>
      </c>
      <c r="B976" s="9">
        <f>14.4342 * CHOOSE(CONTROL!$C$32, $C$9, 100%, $E$9)</f>
        <v>14.434200000000001</v>
      </c>
      <c r="C976" s="9">
        <f>14.4342 * CHOOSE(CONTROL!$C$32, $C$9, 100%, $E$9)</f>
        <v>14.434200000000001</v>
      </c>
      <c r="D976" s="9">
        <f>14.4353 * CHOOSE(CONTROL!$C$32, $C$9, 100%, $E$9)</f>
        <v>14.4353</v>
      </c>
      <c r="E976" s="11">
        <f>16.1582 * CHOOSE(CONTROL!$C$32, $C$9, 100%, $E$9)</f>
        <v>16.158200000000001</v>
      </c>
      <c r="F976" s="11">
        <f>16.1582 * CHOOSE(CONTROL!$C$32, $C$9, 100%, $E$9)</f>
        <v>16.158200000000001</v>
      </c>
      <c r="G976" s="11">
        <f>16.1618 * CHOOSE(CONTROL!$C$32, $C$9, 100%, $E$9)</f>
        <v>16.161799999999999</v>
      </c>
      <c r="H976" s="11">
        <f>33.0362 * CHOOSE(CONTROL!$C$32, $C$9, 100%, $E$9)</f>
        <v>33.036200000000001</v>
      </c>
      <c r="I976" s="11">
        <f>33.0398 * CHOOSE(CONTROL!$C$32, $C$9, 100%, $E$9)</f>
        <v>33.0398</v>
      </c>
      <c r="J976" s="11">
        <f>33.0362 * CHOOSE(CONTROL!$C$32, $C$9, 100%, $E$9)</f>
        <v>33.036200000000001</v>
      </c>
      <c r="K976" s="11">
        <f>33.0398 * CHOOSE(CONTROL!$C$32, $C$9, 100%, $E$9)</f>
        <v>33.0398</v>
      </c>
      <c r="L976" s="11">
        <f>16.1582 * CHOOSE(CONTROL!$C$32, $C$9, 100%, $E$9)</f>
        <v>16.158200000000001</v>
      </c>
      <c r="M976" s="11">
        <f>16.1618 * CHOOSE(CONTROL!$C$32, $C$9, 100%, $E$9)</f>
        <v>16.161799999999999</v>
      </c>
      <c r="N976" s="11">
        <f>16.1582 * CHOOSE(CONTROL!$C$32, $C$9, 100%, $E$9)</f>
        <v>16.158200000000001</v>
      </c>
      <c r="O976" s="11">
        <f>16.1618 * CHOOSE(CONTROL!$C$32, $C$9, 100%, $E$9)</f>
        <v>16.161799999999999</v>
      </c>
    </row>
    <row r="977" spans="1:15" ht="15" x14ac:dyDescent="0.2">
      <c r="A977" s="13">
        <v>70585</v>
      </c>
      <c r="B977" s="9">
        <f>14.442 * CHOOSE(CONTROL!$C$32, $C$9, 100%, $E$9)</f>
        <v>14.442</v>
      </c>
      <c r="C977" s="9">
        <f>14.442 * CHOOSE(CONTROL!$C$32, $C$9, 100%, $E$9)</f>
        <v>14.442</v>
      </c>
      <c r="D977" s="9">
        <f>14.4431 * CHOOSE(CONTROL!$C$32, $C$9, 100%, $E$9)</f>
        <v>14.443099999999999</v>
      </c>
      <c r="E977" s="11">
        <f>16.5366 * CHOOSE(CONTROL!$C$32, $C$9, 100%, $E$9)</f>
        <v>16.5366</v>
      </c>
      <c r="F977" s="11">
        <f>16.5366 * CHOOSE(CONTROL!$C$32, $C$9, 100%, $E$9)</f>
        <v>16.5366</v>
      </c>
      <c r="G977" s="11">
        <f>16.5402 * CHOOSE(CONTROL!$C$32, $C$9, 100%, $E$9)</f>
        <v>16.540199999999999</v>
      </c>
      <c r="H977" s="11">
        <f>33.105 * CHOOSE(CONTROL!$C$32, $C$9, 100%, $E$9)</f>
        <v>33.104999999999997</v>
      </c>
      <c r="I977" s="11">
        <f>33.1086 * CHOOSE(CONTROL!$C$32, $C$9, 100%, $E$9)</f>
        <v>33.108600000000003</v>
      </c>
      <c r="J977" s="11">
        <f>33.105 * CHOOSE(CONTROL!$C$32, $C$9, 100%, $E$9)</f>
        <v>33.104999999999997</v>
      </c>
      <c r="K977" s="11">
        <f>33.1086 * CHOOSE(CONTROL!$C$32, $C$9, 100%, $E$9)</f>
        <v>33.108600000000003</v>
      </c>
      <c r="L977" s="11">
        <f>16.5366 * CHOOSE(CONTROL!$C$32, $C$9, 100%, $E$9)</f>
        <v>16.5366</v>
      </c>
      <c r="M977" s="11">
        <f>16.5402 * CHOOSE(CONTROL!$C$32, $C$9, 100%, $E$9)</f>
        <v>16.540199999999999</v>
      </c>
      <c r="N977" s="11">
        <f>16.5366 * CHOOSE(CONTROL!$C$32, $C$9, 100%, $E$9)</f>
        <v>16.5366</v>
      </c>
      <c r="O977" s="11">
        <f>16.5402 * CHOOSE(CONTROL!$C$32, $C$9, 100%, $E$9)</f>
        <v>16.540199999999999</v>
      </c>
    </row>
    <row r="978" spans="1:15" ht="15" x14ac:dyDescent="0.2">
      <c r="A978" s="13">
        <v>70615</v>
      </c>
      <c r="B978" s="9">
        <f>14.442 * CHOOSE(CONTROL!$C$32, $C$9, 100%, $E$9)</f>
        <v>14.442</v>
      </c>
      <c r="C978" s="9">
        <f>14.442 * CHOOSE(CONTROL!$C$32, $C$9, 100%, $E$9)</f>
        <v>14.442</v>
      </c>
      <c r="D978" s="9">
        <f>14.4436 * CHOOSE(CONTROL!$C$32, $C$9, 100%, $E$9)</f>
        <v>14.4436</v>
      </c>
      <c r="E978" s="11">
        <f>16.68 * CHOOSE(CONTROL!$C$32, $C$9, 100%, $E$9)</f>
        <v>16.68</v>
      </c>
      <c r="F978" s="11">
        <f>16.68 * CHOOSE(CONTROL!$C$32, $C$9, 100%, $E$9)</f>
        <v>16.68</v>
      </c>
      <c r="G978" s="11">
        <f>16.6853 * CHOOSE(CONTROL!$C$32, $C$9, 100%, $E$9)</f>
        <v>16.685300000000002</v>
      </c>
      <c r="H978" s="11">
        <f>33.1739 * CHOOSE(CONTROL!$C$32, $C$9, 100%, $E$9)</f>
        <v>33.173900000000003</v>
      </c>
      <c r="I978" s="11">
        <f>33.1792 * CHOOSE(CONTROL!$C$32, $C$9, 100%, $E$9)</f>
        <v>33.179200000000002</v>
      </c>
      <c r="J978" s="11">
        <f>33.1739 * CHOOSE(CONTROL!$C$32, $C$9, 100%, $E$9)</f>
        <v>33.173900000000003</v>
      </c>
      <c r="K978" s="11">
        <f>33.1792 * CHOOSE(CONTROL!$C$32, $C$9, 100%, $E$9)</f>
        <v>33.179200000000002</v>
      </c>
      <c r="L978" s="11">
        <f>16.68 * CHOOSE(CONTROL!$C$32, $C$9, 100%, $E$9)</f>
        <v>16.68</v>
      </c>
      <c r="M978" s="11">
        <f>16.6853 * CHOOSE(CONTROL!$C$32, $C$9, 100%, $E$9)</f>
        <v>16.685300000000002</v>
      </c>
      <c r="N978" s="11">
        <f>16.68 * CHOOSE(CONTROL!$C$32, $C$9, 100%, $E$9)</f>
        <v>16.68</v>
      </c>
      <c r="O978" s="11">
        <f>16.6853 * CHOOSE(CONTROL!$C$32, $C$9, 100%, $E$9)</f>
        <v>16.685300000000002</v>
      </c>
    </row>
    <row r="979" spans="1:15" ht="15" x14ac:dyDescent="0.2">
      <c r="A979" s="13">
        <v>70646</v>
      </c>
      <c r="B979" s="9">
        <f>14.4481 * CHOOSE(CONTROL!$C$32, $C$9, 100%, $E$9)</f>
        <v>14.4481</v>
      </c>
      <c r="C979" s="9">
        <f>14.4481 * CHOOSE(CONTROL!$C$32, $C$9, 100%, $E$9)</f>
        <v>14.4481</v>
      </c>
      <c r="D979" s="9">
        <f>14.4497 * CHOOSE(CONTROL!$C$32, $C$9, 100%, $E$9)</f>
        <v>14.4497</v>
      </c>
      <c r="E979" s="11">
        <f>16.5408 * CHOOSE(CONTROL!$C$32, $C$9, 100%, $E$9)</f>
        <v>16.540800000000001</v>
      </c>
      <c r="F979" s="11">
        <f>16.5408 * CHOOSE(CONTROL!$C$32, $C$9, 100%, $E$9)</f>
        <v>16.540800000000001</v>
      </c>
      <c r="G979" s="11">
        <f>16.5461 * CHOOSE(CONTROL!$C$32, $C$9, 100%, $E$9)</f>
        <v>16.546099999999999</v>
      </c>
      <c r="H979" s="11">
        <f>33.2431 * CHOOSE(CONTROL!$C$32, $C$9, 100%, $E$9)</f>
        <v>33.243099999999998</v>
      </c>
      <c r="I979" s="11">
        <f>33.2484 * CHOOSE(CONTROL!$C$32, $C$9, 100%, $E$9)</f>
        <v>33.248399999999997</v>
      </c>
      <c r="J979" s="11">
        <f>33.2431 * CHOOSE(CONTROL!$C$32, $C$9, 100%, $E$9)</f>
        <v>33.243099999999998</v>
      </c>
      <c r="K979" s="11">
        <f>33.2484 * CHOOSE(CONTROL!$C$32, $C$9, 100%, $E$9)</f>
        <v>33.248399999999997</v>
      </c>
      <c r="L979" s="11">
        <f>16.5408 * CHOOSE(CONTROL!$C$32, $C$9, 100%, $E$9)</f>
        <v>16.540800000000001</v>
      </c>
      <c r="M979" s="11">
        <f>16.5461 * CHOOSE(CONTROL!$C$32, $C$9, 100%, $E$9)</f>
        <v>16.546099999999999</v>
      </c>
      <c r="N979" s="11">
        <f>16.5408 * CHOOSE(CONTROL!$C$32, $C$9, 100%, $E$9)</f>
        <v>16.540800000000001</v>
      </c>
      <c r="O979" s="11">
        <f>16.5461 * CHOOSE(CONTROL!$C$32, $C$9, 100%, $E$9)</f>
        <v>16.546099999999999</v>
      </c>
    </row>
    <row r="980" spans="1:15" ht="15" x14ac:dyDescent="0.2">
      <c r="A980" s="13">
        <v>70676</v>
      </c>
      <c r="B980" s="9">
        <f>14.6213 * CHOOSE(CONTROL!$C$32, $C$9, 100%, $E$9)</f>
        <v>14.6213</v>
      </c>
      <c r="C980" s="9">
        <f>14.6213 * CHOOSE(CONTROL!$C$32, $C$9, 100%, $E$9)</f>
        <v>14.6213</v>
      </c>
      <c r="D980" s="9">
        <f>14.6228 * CHOOSE(CONTROL!$C$32, $C$9, 100%, $E$9)</f>
        <v>14.6228</v>
      </c>
      <c r="E980" s="11">
        <f>16.7759 * CHOOSE(CONTROL!$C$32, $C$9, 100%, $E$9)</f>
        <v>16.7759</v>
      </c>
      <c r="F980" s="11">
        <f>16.7759 * CHOOSE(CONTROL!$C$32, $C$9, 100%, $E$9)</f>
        <v>16.7759</v>
      </c>
      <c r="G980" s="11">
        <f>16.7811 * CHOOSE(CONTROL!$C$32, $C$9, 100%, $E$9)</f>
        <v>16.781099999999999</v>
      </c>
      <c r="H980" s="11">
        <f>33.3123 * CHOOSE(CONTROL!$C$32, $C$9, 100%, $E$9)</f>
        <v>33.3123</v>
      </c>
      <c r="I980" s="11">
        <f>33.3176 * CHOOSE(CONTROL!$C$32, $C$9, 100%, $E$9)</f>
        <v>33.317599999999999</v>
      </c>
      <c r="J980" s="11">
        <f>33.3123 * CHOOSE(CONTROL!$C$32, $C$9, 100%, $E$9)</f>
        <v>33.3123</v>
      </c>
      <c r="K980" s="11">
        <f>33.3176 * CHOOSE(CONTROL!$C$32, $C$9, 100%, $E$9)</f>
        <v>33.317599999999999</v>
      </c>
      <c r="L980" s="11">
        <f>16.7759 * CHOOSE(CONTROL!$C$32, $C$9, 100%, $E$9)</f>
        <v>16.7759</v>
      </c>
      <c r="M980" s="11">
        <f>16.7811 * CHOOSE(CONTROL!$C$32, $C$9, 100%, $E$9)</f>
        <v>16.781099999999999</v>
      </c>
      <c r="N980" s="11">
        <f>16.7759 * CHOOSE(CONTROL!$C$32, $C$9, 100%, $E$9)</f>
        <v>16.7759</v>
      </c>
      <c r="O980" s="11">
        <f>16.7811 * CHOOSE(CONTROL!$C$32, $C$9, 100%, $E$9)</f>
        <v>16.781099999999999</v>
      </c>
    </row>
    <row r="981" spans="1:15" ht="15" x14ac:dyDescent="0.2">
      <c r="A981" s="13">
        <v>70707</v>
      </c>
      <c r="B981" s="9">
        <f>14.6279 * CHOOSE(CONTROL!$C$32, $C$9, 100%, $E$9)</f>
        <v>14.6279</v>
      </c>
      <c r="C981" s="9">
        <f>14.6279 * CHOOSE(CONTROL!$C$32, $C$9, 100%, $E$9)</f>
        <v>14.6279</v>
      </c>
      <c r="D981" s="9">
        <f>14.6295 * CHOOSE(CONTROL!$C$32, $C$9, 100%, $E$9)</f>
        <v>14.6295</v>
      </c>
      <c r="E981" s="11">
        <f>16.3501 * CHOOSE(CONTROL!$C$32, $C$9, 100%, $E$9)</f>
        <v>16.350100000000001</v>
      </c>
      <c r="F981" s="11">
        <f>16.3501 * CHOOSE(CONTROL!$C$32, $C$9, 100%, $E$9)</f>
        <v>16.350100000000001</v>
      </c>
      <c r="G981" s="11">
        <f>16.3554 * CHOOSE(CONTROL!$C$32, $C$9, 100%, $E$9)</f>
        <v>16.355399999999999</v>
      </c>
      <c r="H981" s="11">
        <f>33.3817 * CHOOSE(CONTROL!$C$32, $C$9, 100%, $E$9)</f>
        <v>33.381700000000002</v>
      </c>
      <c r="I981" s="11">
        <f>33.387 * CHOOSE(CONTROL!$C$32, $C$9, 100%, $E$9)</f>
        <v>33.387</v>
      </c>
      <c r="J981" s="11">
        <f>33.3817 * CHOOSE(CONTROL!$C$32, $C$9, 100%, $E$9)</f>
        <v>33.381700000000002</v>
      </c>
      <c r="K981" s="11">
        <f>33.387 * CHOOSE(CONTROL!$C$32, $C$9, 100%, $E$9)</f>
        <v>33.387</v>
      </c>
      <c r="L981" s="11">
        <f>16.3501 * CHOOSE(CONTROL!$C$32, $C$9, 100%, $E$9)</f>
        <v>16.350100000000001</v>
      </c>
      <c r="M981" s="11">
        <f>16.3554 * CHOOSE(CONTROL!$C$32, $C$9, 100%, $E$9)</f>
        <v>16.355399999999999</v>
      </c>
      <c r="N981" s="11">
        <f>16.3501 * CHOOSE(CONTROL!$C$32, $C$9, 100%, $E$9)</f>
        <v>16.350100000000001</v>
      </c>
      <c r="O981" s="11">
        <f>16.3554 * CHOOSE(CONTROL!$C$32, $C$9, 100%, $E$9)</f>
        <v>16.355399999999999</v>
      </c>
    </row>
    <row r="982" spans="1:15" ht="15" x14ac:dyDescent="0.2">
      <c r="A982" s="13">
        <v>70738</v>
      </c>
      <c r="B982" s="9">
        <f>14.6249 * CHOOSE(CONTROL!$C$32, $C$9, 100%, $E$9)</f>
        <v>14.6249</v>
      </c>
      <c r="C982" s="9">
        <f>14.6249 * CHOOSE(CONTROL!$C$32, $C$9, 100%, $E$9)</f>
        <v>14.6249</v>
      </c>
      <c r="D982" s="9">
        <f>14.6265 * CHOOSE(CONTROL!$C$32, $C$9, 100%, $E$9)</f>
        <v>14.6265</v>
      </c>
      <c r="E982" s="11">
        <f>16.3002 * CHOOSE(CONTROL!$C$32, $C$9, 100%, $E$9)</f>
        <v>16.3002</v>
      </c>
      <c r="F982" s="11">
        <f>16.3002 * CHOOSE(CONTROL!$C$32, $C$9, 100%, $E$9)</f>
        <v>16.3002</v>
      </c>
      <c r="G982" s="11">
        <f>16.3055 * CHOOSE(CONTROL!$C$32, $C$9, 100%, $E$9)</f>
        <v>16.305499999999999</v>
      </c>
      <c r="H982" s="11">
        <f>33.4513 * CHOOSE(CONTROL!$C$32, $C$9, 100%, $E$9)</f>
        <v>33.451300000000003</v>
      </c>
      <c r="I982" s="11">
        <f>33.4566 * CHOOSE(CONTROL!$C$32, $C$9, 100%, $E$9)</f>
        <v>33.456600000000002</v>
      </c>
      <c r="J982" s="11">
        <f>33.4513 * CHOOSE(CONTROL!$C$32, $C$9, 100%, $E$9)</f>
        <v>33.451300000000003</v>
      </c>
      <c r="K982" s="11">
        <f>33.4566 * CHOOSE(CONTROL!$C$32, $C$9, 100%, $E$9)</f>
        <v>33.456600000000002</v>
      </c>
      <c r="L982" s="11">
        <f>16.3002 * CHOOSE(CONTROL!$C$32, $C$9, 100%, $E$9)</f>
        <v>16.3002</v>
      </c>
      <c r="M982" s="11">
        <f>16.3055 * CHOOSE(CONTROL!$C$32, $C$9, 100%, $E$9)</f>
        <v>16.305499999999999</v>
      </c>
      <c r="N982" s="11">
        <f>16.3002 * CHOOSE(CONTROL!$C$32, $C$9, 100%, $E$9)</f>
        <v>16.3002</v>
      </c>
      <c r="O982" s="11">
        <f>16.3055 * CHOOSE(CONTROL!$C$32, $C$9, 100%, $E$9)</f>
        <v>16.305499999999999</v>
      </c>
    </row>
    <row r="983" spans="1:15" ht="15" x14ac:dyDescent="0.2">
      <c r="A983" s="13">
        <v>70768</v>
      </c>
      <c r="B983" s="9">
        <f>14.6597 * CHOOSE(CONTROL!$C$32, $C$9, 100%, $E$9)</f>
        <v>14.659700000000001</v>
      </c>
      <c r="C983" s="9">
        <f>14.6597 * CHOOSE(CONTROL!$C$32, $C$9, 100%, $E$9)</f>
        <v>14.659700000000001</v>
      </c>
      <c r="D983" s="9">
        <f>14.6608 * CHOOSE(CONTROL!$C$32, $C$9, 100%, $E$9)</f>
        <v>14.6608</v>
      </c>
      <c r="E983" s="11">
        <f>16.478 * CHOOSE(CONTROL!$C$32, $C$9, 100%, $E$9)</f>
        <v>16.478000000000002</v>
      </c>
      <c r="F983" s="11">
        <f>16.478 * CHOOSE(CONTROL!$C$32, $C$9, 100%, $E$9)</f>
        <v>16.478000000000002</v>
      </c>
      <c r="G983" s="11">
        <f>16.4817 * CHOOSE(CONTROL!$C$32, $C$9, 100%, $E$9)</f>
        <v>16.4817</v>
      </c>
      <c r="H983" s="11">
        <f>33.521 * CHOOSE(CONTROL!$C$32, $C$9, 100%, $E$9)</f>
        <v>33.521000000000001</v>
      </c>
      <c r="I983" s="11">
        <f>33.5246 * CHOOSE(CONTROL!$C$32, $C$9, 100%, $E$9)</f>
        <v>33.5246</v>
      </c>
      <c r="J983" s="11">
        <f>33.521 * CHOOSE(CONTROL!$C$32, $C$9, 100%, $E$9)</f>
        <v>33.521000000000001</v>
      </c>
      <c r="K983" s="11">
        <f>33.5246 * CHOOSE(CONTROL!$C$32, $C$9, 100%, $E$9)</f>
        <v>33.5246</v>
      </c>
      <c r="L983" s="11">
        <f>16.478 * CHOOSE(CONTROL!$C$32, $C$9, 100%, $E$9)</f>
        <v>16.478000000000002</v>
      </c>
      <c r="M983" s="11">
        <f>16.4817 * CHOOSE(CONTROL!$C$32, $C$9, 100%, $E$9)</f>
        <v>16.4817</v>
      </c>
      <c r="N983" s="11">
        <f>16.478 * CHOOSE(CONTROL!$C$32, $C$9, 100%, $E$9)</f>
        <v>16.478000000000002</v>
      </c>
      <c r="O983" s="11">
        <f>16.4817 * CHOOSE(CONTROL!$C$32, $C$9, 100%, $E$9)</f>
        <v>16.4817</v>
      </c>
    </row>
    <row r="984" spans="1:15" ht="15" x14ac:dyDescent="0.2">
      <c r="A984" s="13">
        <v>70799</v>
      </c>
      <c r="B984" s="9">
        <f>14.6627 * CHOOSE(CONTROL!$C$32, $C$9, 100%, $E$9)</f>
        <v>14.662699999999999</v>
      </c>
      <c r="C984" s="9">
        <f>14.6627 * CHOOSE(CONTROL!$C$32, $C$9, 100%, $E$9)</f>
        <v>14.662699999999999</v>
      </c>
      <c r="D984" s="9">
        <f>14.6638 * CHOOSE(CONTROL!$C$32, $C$9, 100%, $E$9)</f>
        <v>14.6638</v>
      </c>
      <c r="E984" s="11">
        <f>16.5758 * CHOOSE(CONTROL!$C$32, $C$9, 100%, $E$9)</f>
        <v>16.575800000000001</v>
      </c>
      <c r="F984" s="11">
        <f>16.5758 * CHOOSE(CONTROL!$C$32, $C$9, 100%, $E$9)</f>
        <v>16.575800000000001</v>
      </c>
      <c r="G984" s="11">
        <f>16.5794 * CHOOSE(CONTROL!$C$32, $C$9, 100%, $E$9)</f>
        <v>16.5794</v>
      </c>
      <c r="H984" s="11">
        <f>33.5908 * CHOOSE(CONTROL!$C$32, $C$9, 100%, $E$9)</f>
        <v>33.590800000000002</v>
      </c>
      <c r="I984" s="11">
        <f>33.5944 * CHOOSE(CONTROL!$C$32, $C$9, 100%, $E$9)</f>
        <v>33.5944</v>
      </c>
      <c r="J984" s="11">
        <f>33.5908 * CHOOSE(CONTROL!$C$32, $C$9, 100%, $E$9)</f>
        <v>33.590800000000002</v>
      </c>
      <c r="K984" s="11">
        <f>33.5944 * CHOOSE(CONTROL!$C$32, $C$9, 100%, $E$9)</f>
        <v>33.5944</v>
      </c>
      <c r="L984" s="11">
        <f>16.5758 * CHOOSE(CONTROL!$C$32, $C$9, 100%, $E$9)</f>
        <v>16.575800000000001</v>
      </c>
      <c r="M984" s="11">
        <f>16.5794 * CHOOSE(CONTROL!$C$32, $C$9, 100%, $E$9)</f>
        <v>16.5794</v>
      </c>
      <c r="N984" s="11">
        <f>16.5758 * CHOOSE(CONTROL!$C$32, $C$9, 100%, $E$9)</f>
        <v>16.575800000000001</v>
      </c>
      <c r="O984" s="11">
        <f>16.5794 * CHOOSE(CONTROL!$C$32, $C$9, 100%, $E$9)</f>
        <v>16.5794</v>
      </c>
    </row>
    <row r="985" spans="1:15" ht="15" x14ac:dyDescent="0.2">
      <c r="A985" s="13">
        <v>70829</v>
      </c>
      <c r="B985" s="9">
        <f>14.6627 * CHOOSE(CONTROL!$C$32, $C$9, 100%, $E$9)</f>
        <v>14.662699999999999</v>
      </c>
      <c r="C985" s="9">
        <f>14.6627 * CHOOSE(CONTROL!$C$32, $C$9, 100%, $E$9)</f>
        <v>14.662699999999999</v>
      </c>
      <c r="D985" s="9">
        <f>14.6638 * CHOOSE(CONTROL!$C$32, $C$9, 100%, $E$9)</f>
        <v>14.6638</v>
      </c>
      <c r="E985" s="11">
        <f>16.3367 * CHOOSE(CONTROL!$C$32, $C$9, 100%, $E$9)</f>
        <v>16.3367</v>
      </c>
      <c r="F985" s="11">
        <f>16.3367 * CHOOSE(CONTROL!$C$32, $C$9, 100%, $E$9)</f>
        <v>16.3367</v>
      </c>
      <c r="G985" s="11">
        <f>16.3403 * CHOOSE(CONTROL!$C$32, $C$9, 100%, $E$9)</f>
        <v>16.340299999999999</v>
      </c>
      <c r="H985" s="11">
        <f>33.6608 * CHOOSE(CONTROL!$C$32, $C$9, 100%, $E$9)</f>
        <v>33.660800000000002</v>
      </c>
      <c r="I985" s="11">
        <f>33.6644 * CHOOSE(CONTROL!$C$32, $C$9, 100%, $E$9)</f>
        <v>33.664400000000001</v>
      </c>
      <c r="J985" s="11">
        <f>33.6608 * CHOOSE(CONTROL!$C$32, $C$9, 100%, $E$9)</f>
        <v>33.660800000000002</v>
      </c>
      <c r="K985" s="11">
        <f>33.6644 * CHOOSE(CONTROL!$C$32, $C$9, 100%, $E$9)</f>
        <v>33.664400000000001</v>
      </c>
      <c r="L985" s="11">
        <f>16.3367 * CHOOSE(CONTROL!$C$32, $C$9, 100%, $E$9)</f>
        <v>16.3367</v>
      </c>
      <c r="M985" s="11">
        <f>16.3403 * CHOOSE(CONTROL!$C$32, $C$9, 100%, $E$9)</f>
        <v>16.340299999999999</v>
      </c>
      <c r="N985" s="11">
        <f>16.3367 * CHOOSE(CONTROL!$C$32, $C$9, 100%, $E$9)</f>
        <v>16.3367</v>
      </c>
      <c r="O985" s="11">
        <f>16.3403 * CHOOSE(CONTROL!$C$32, $C$9, 100%, $E$9)</f>
        <v>16.340299999999999</v>
      </c>
    </row>
    <row r="986" spans="1:15" ht="15" x14ac:dyDescent="0.2">
      <c r="A986" s="13">
        <v>70860</v>
      </c>
      <c r="B986" s="9">
        <f>14.6277 * CHOOSE(CONTROL!$C$32, $C$9, 100%, $E$9)</f>
        <v>14.627700000000001</v>
      </c>
      <c r="C986" s="9">
        <f>14.6277 * CHOOSE(CONTROL!$C$32, $C$9, 100%, $E$9)</f>
        <v>14.627700000000001</v>
      </c>
      <c r="D986" s="9">
        <f>14.6287 * CHOOSE(CONTROL!$C$32, $C$9, 100%, $E$9)</f>
        <v>14.6287</v>
      </c>
      <c r="E986" s="11">
        <f>16.4706 * CHOOSE(CONTROL!$C$32, $C$9, 100%, $E$9)</f>
        <v>16.470600000000001</v>
      </c>
      <c r="F986" s="11">
        <f>16.4706 * CHOOSE(CONTROL!$C$32, $C$9, 100%, $E$9)</f>
        <v>16.470600000000001</v>
      </c>
      <c r="G986" s="11">
        <f>16.4742 * CHOOSE(CONTROL!$C$32, $C$9, 100%, $E$9)</f>
        <v>16.4742</v>
      </c>
      <c r="H986" s="11">
        <f>33.3524 * CHOOSE(CONTROL!$C$32, $C$9, 100%, $E$9)</f>
        <v>33.352400000000003</v>
      </c>
      <c r="I986" s="11">
        <f>33.3561 * CHOOSE(CONTROL!$C$32, $C$9, 100%, $E$9)</f>
        <v>33.356099999999998</v>
      </c>
      <c r="J986" s="11">
        <f>33.3524 * CHOOSE(CONTROL!$C$32, $C$9, 100%, $E$9)</f>
        <v>33.352400000000003</v>
      </c>
      <c r="K986" s="11">
        <f>33.3561 * CHOOSE(CONTROL!$C$32, $C$9, 100%, $E$9)</f>
        <v>33.356099999999998</v>
      </c>
      <c r="L986" s="11">
        <f>16.4706 * CHOOSE(CONTROL!$C$32, $C$9, 100%, $E$9)</f>
        <v>16.470600000000001</v>
      </c>
      <c r="M986" s="11">
        <f>16.4742 * CHOOSE(CONTROL!$C$32, $C$9, 100%, $E$9)</f>
        <v>16.4742</v>
      </c>
      <c r="N986" s="11">
        <f>16.4706 * CHOOSE(CONTROL!$C$32, $C$9, 100%, $E$9)</f>
        <v>16.470600000000001</v>
      </c>
      <c r="O986" s="11">
        <f>16.4742 * CHOOSE(CONTROL!$C$32, $C$9, 100%, $E$9)</f>
        <v>16.4742</v>
      </c>
    </row>
    <row r="987" spans="1:15" ht="15" x14ac:dyDescent="0.2">
      <c r="A987" s="13">
        <v>70891</v>
      </c>
      <c r="B987" s="9">
        <f>14.6246 * CHOOSE(CONTROL!$C$32, $C$9, 100%, $E$9)</f>
        <v>14.624599999999999</v>
      </c>
      <c r="C987" s="9">
        <f>14.6246 * CHOOSE(CONTROL!$C$32, $C$9, 100%, $E$9)</f>
        <v>14.624599999999999</v>
      </c>
      <c r="D987" s="9">
        <f>14.6257 * CHOOSE(CONTROL!$C$32, $C$9, 100%, $E$9)</f>
        <v>14.6257</v>
      </c>
      <c r="E987" s="11">
        <f>16.0095 * CHOOSE(CONTROL!$C$32, $C$9, 100%, $E$9)</f>
        <v>16.009499999999999</v>
      </c>
      <c r="F987" s="11">
        <f>16.0095 * CHOOSE(CONTROL!$C$32, $C$9, 100%, $E$9)</f>
        <v>16.009499999999999</v>
      </c>
      <c r="G987" s="11">
        <f>16.0132 * CHOOSE(CONTROL!$C$32, $C$9, 100%, $E$9)</f>
        <v>16.013200000000001</v>
      </c>
      <c r="H987" s="11">
        <f>33.4219 * CHOOSE(CONTROL!$C$32, $C$9, 100%, $E$9)</f>
        <v>33.421900000000001</v>
      </c>
      <c r="I987" s="11">
        <f>33.4255 * CHOOSE(CONTROL!$C$32, $C$9, 100%, $E$9)</f>
        <v>33.4255</v>
      </c>
      <c r="J987" s="11">
        <f>33.4219 * CHOOSE(CONTROL!$C$32, $C$9, 100%, $E$9)</f>
        <v>33.421900000000001</v>
      </c>
      <c r="K987" s="11">
        <f>33.4255 * CHOOSE(CONTROL!$C$32, $C$9, 100%, $E$9)</f>
        <v>33.4255</v>
      </c>
      <c r="L987" s="11">
        <f>16.0095 * CHOOSE(CONTROL!$C$32, $C$9, 100%, $E$9)</f>
        <v>16.009499999999999</v>
      </c>
      <c r="M987" s="11">
        <f>16.0132 * CHOOSE(CONTROL!$C$32, $C$9, 100%, $E$9)</f>
        <v>16.013200000000001</v>
      </c>
      <c r="N987" s="11">
        <f>16.0095 * CHOOSE(CONTROL!$C$32, $C$9, 100%, $E$9)</f>
        <v>16.009499999999999</v>
      </c>
      <c r="O987" s="11">
        <f>16.0132 * CHOOSE(CONTROL!$C$32, $C$9, 100%, $E$9)</f>
        <v>16.013200000000001</v>
      </c>
    </row>
    <row r="988" spans="1:15" ht="15" x14ac:dyDescent="0.2">
      <c r="A988" s="13">
        <v>70919</v>
      </c>
      <c r="B988" s="9">
        <f>14.6216 * CHOOSE(CONTROL!$C$32, $C$9, 100%, $E$9)</f>
        <v>14.621600000000001</v>
      </c>
      <c r="C988" s="9">
        <f>14.6216 * CHOOSE(CONTROL!$C$32, $C$9, 100%, $E$9)</f>
        <v>14.621600000000001</v>
      </c>
      <c r="D988" s="9">
        <f>14.6227 * CHOOSE(CONTROL!$C$32, $C$9, 100%, $E$9)</f>
        <v>14.6227</v>
      </c>
      <c r="E988" s="11">
        <f>16.3692 * CHOOSE(CONTROL!$C$32, $C$9, 100%, $E$9)</f>
        <v>16.369199999999999</v>
      </c>
      <c r="F988" s="11">
        <f>16.3692 * CHOOSE(CONTROL!$C$32, $C$9, 100%, $E$9)</f>
        <v>16.369199999999999</v>
      </c>
      <c r="G988" s="11">
        <f>16.3729 * CHOOSE(CONTROL!$C$32, $C$9, 100%, $E$9)</f>
        <v>16.372900000000001</v>
      </c>
      <c r="H988" s="11">
        <f>33.4915 * CHOOSE(CONTROL!$C$32, $C$9, 100%, $E$9)</f>
        <v>33.491500000000002</v>
      </c>
      <c r="I988" s="11">
        <f>33.4952 * CHOOSE(CONTROL!$C$32, $C$9, 100%, $E$9)</f>
        <v>33.495199999999997</v>
      </c>
      <c r="J988" s="11">
        <f>33.4915 * CHOOSE(CONTROL!$C$32, $C$9, 100%, $E$9)</f>
        <v>33.491500000000002</v>
      </c>
      <c r="K988" s="11">
        <f>33.4952 * CHOOSE(CONTROL!$C$32, $C$9, 100%, $E$9)</f>
        <v>33.495199999999997</v>
      </c>
      <c r="L988" s="11">
        <f>16.3692 * CHOOSE(CONTROL!$C$32, $C$9, 100%, $E$9)</f>
        <v>16.369199999999999</v>
      </c>
      <c r="M988" s="11">
        <f>16.3729 * CHOOSE(CONTROL!$C$32, $C$9, 100%, $E$9)</f>
        <v>16.372900000000001</v>
      </c>
      <c r="N988" s="11">
        <f>16.3692 * CHOOSE(CONTROL!$C$32, $C$9, 100%, $E$9)</f>
        <v>16.369199999999999</v>
      </c>
      <c r="O988" s="11">
        <f>16.3729 * CHOOSE(CONTROL!$C$32, $C$9, 100%, $E$9)</f>
        <v>16.372900000000001</v>
      </c>
    </row>
    <row r="989" spans="1:15" ht="15" x14ac:dyDescent="0.2">
      <c r="A989" s="13">
        <v>70950</v>
      </c>
      <c r="B989" s="9">
        <f>14.6296 * CHOOSE(CONTROL!$C$32, $C$9, 100%, $E$9)</f>
        <v>14.6296</v>
      </c>
      <c r="C989" s="9">
        <f>14.6296 * CHOOSE(CONTROL!$C$32, $C$9, 100%, $E$9)</f>
        <v>14.6296</v>
      </c>
      <c r="D989" s="9">
        <f>14.6306 * CHOOSE(CONTROL!$C$32, $C$9, 100%, $E$9)</f>
        <v>14.630599999999999</v>
      </c>
      <c r="E989" s="11">
        <f>16.7536 * CHOOSE(CONTROL!$C$32, $C$9, 100%, $E$9)</f>
        <v>16.753599999999999</v>
      </c>
      <c r="F989" s="11">
        <f>16.7536 * CHOOSE(CONTROL!$C$32, $C$9, 100%, $E$9)</f>
        <v>16.753599999999999</v>
      </c>
      <c r="G989" s="11">
        <f>16.7572 * CHOOSE(CONTROL!$C$32, $C$9, 100%, $E$9)</f>
        <v>16.757200000000001</v>
      </c>
      <c r="H989" s="11">
        <f>33.5613 * CHOOSE(CONTROL!$C$32, $C$9, 100%, $E$9)</f>
        <v>33.561300000000003</v>
      </c>
      <c r="I989" s="11">
        <f>33.5649 * CHOOSE(CONTROL!$C$32, $C$9, 100%, $E$9)</f>
        <v>33.564900000000002</v>
      </c>
      <c r="J989" s="11">
        <f>33.5613 * CHOOSE(CONTROL!$C$32, $C$9, 100%, $E$9)</f>
        <v>33.561300000000003</v>
      </c>
      <c r="K989" s="11">
        <f>33.5649 * CHOOSE(CONTROL!$C$32, $C$9, 100%, $E$9)</f>
        <v>33.564900000000002</v>
      </c>
      <c r="L989" s="11">
        <f>16.7536 * CHOOSE(CONTROL!$C$32, $C$9, 100%, $E$9)</f>
        <v>16.753599999999999</v>
      </c>
      <c r="M989" s="11">
        <f>16.7572 * CHOOSE(CONTROL!$C$32, $C$9, 100%, $E$9)</f>
        <v>16.757200000000001</v>
      </c>
      <c r="N989" s="11">
        <f>16.7536 * CHOOSE(CONTROL!$C$32, $C$9, 100%, $E$9)</f>
        <v>16.753599999999999</v>
      </c>
      <c r="O989" s="11">
        <f>16.7572 * CHOOSE(CONTROL!$C$32, $C$9, 100%, $E$9)</f>
        <v>16.757200000000001</v>
      </c>
    </row>
    <row r="990" spans="1:15" ht="15" x14ac:dyDescent="0.2">
      <c r="A990" s="13">
        <v>70980</v>
      </c>
      <c r="B990" s="9">
        <f>14.6296 * CHOOSE(CONTROL!$C$32, $C$9, 100%, $E$9)</f>
        <v>14.6296</v>
      </c>
      <c r="C990" s="9">
        <f>14.6296 * CHOOSE(CONTROL!$C$32, $C$9, 100%, $E$9)</f>
        <v>14.6296</v>
      </c>
      <c r="D990" s="9">
        <f>14.6311 * CHOOSE(CONTROL!$C$32, $C$9, 100%, $E$9)</f>
        <v>14.6311</v>
      </c>
      <c r="E990" s="11">
        <f>16.8993 * CHOOSE(CONTROL!$C$32, $C$9, 100%, $E$9)</f>
        <v>16.8993</v>
      </c>
      <c r="F990" s="11">
        <f>16.8993 * CHOOSE(CONTROL!$C$32, $C$9, 100%, $E$9)</f>
        <v>16.8993</v>
      </c>
      <c r="G990" s="11">
        <f>16.9046 * CHOOSE(CONTROL!$C$32, $C$9, 100%, $E$9)</f>
        <v>16.904599999999999</v>
      </c>
      <c r="H990" s="11">
        <f>33.6312 * CHOOSE(CONTROL!$C$32, $C$9, 100%, $E$9)</f>
        <v>33.6312</v>
      </c>
      <c r="I990" s="11">
        <f>33.6365 * CHOOSE(CONTROL!$C$32, $C$9, 100%, $E$9)</f>
        <v>33.636499999999998</v>
      </c>
      <c r="J990" s="11">
        <f>33.6312 * CHOOSE(CONTROL!$C$32, $C$9, 100%, $E$9)</f>
        <v>33.6312</v>
      </c>
      <c r="K990" s="11">
        <f>33.6365 * CHOOSE(CONTROL!$C$32, $C$9, 100%, $E$9)</f>
        <v>33.636499999999998</v>
      </c>
      <c r="L990" s="11">
        <f>16.8993 * CHOOSE(CONTROL!$C$32, $C$9, 100%, $E$9)</f>
        <v>16.8993</v>
      </c>
      <c r="M990" s="11">
        <f>16.9046 * CHOOSE(CONTROL!$C$32, $C$9, 100%, $E$9)</f>
        <v>16.904599999999999</v>
      </c>
      <c r="N990" s="11">
        <f>16.8993 * CHOOSE(CONTROL!$C$32, $C$9, 100%, $E$9)</f>
        <v>16.8993</v>
      </c>
      <c r="O990" s="11">
        <f>16.9046 * CHOOSE(CONTROL!$C$32, $C$9, 100%, $E$9)</f>
        <v>16.904599999999999</v>
      </c>
    </row>
    <row r="991" spans="1:15" ht="15" x14ac:dyDescent="0.2">
      <c r="A991" s="13">
        <v>71011</v>
      </c>
      <c r="B991" s="9">
        <f>14.6356 * CHOOSE(CONTROL!$C$32, $C$9, 100%, $E$9)</f>
        <v>14.6356</v>
      </c>
      <c r="C991" s="9">
        <f>14.6356 * CHOOSE(CONTROL!$C$32, $C$9, 100%, $E$9)</f>
        <v>14.6356</v>
      </c>
      <c r="D991" s="9">
        <f>14.6372 * CHOOSE(CONTROL!$C$32, $C$9, 100%, $E$9)</f>
        <v>14.6372</v>
      </c>
      <c r="E991" s="11">
        <f>16.7578 * CHOOSE(CONTROL!$C$32, $C$9, 100%, $E$9)</f>
        <v>16.7578</v>
      </c>
      <c r="F991" s="11">
        <f>16.7578 * CHOOSE(CONTROL!$C$32, $C$9, 100%, $E$9)</f>
        <v>16.7578</v>
      </c>
      <c r="G991" s="11">
        <f>16.7631 * CHOOSE(CONTROL!$C$32, $C$9, 100%, $E$9)</f>
        <v>16.763100000000001</v>
      </c>
      <c r="H991" s="11">
        <f>33.7013 * CHOOSE(CONTROL!$C$32, $C$9, 100%, $E$9)</f>
        <v>33.701300000000003</v>
      </c>
      <c r="I991" s="11">
        <f>33.7066 * CHOOSE(CONTROL!$C$32, $C$9, 100%, $E$9)</f>
        <v>33.706600000000002</v>
      </c>
      <c r="J991" s="11">
        <f>33.7013 * CHOOSE(CONTROL!$C$32, $C$9, 100%, $E$9)</f>
        <v>33.701300000000003</v>
      </c>
      <c r="K991" s="11">
        <f>33.7066 * CHOOSE(CONTROL!$C$32, $C$9, 100%, $E$9)</f>
        <v>33.706600000000002</v>
      </c>
      <c r="L991" s="11">
        <f>16.7578 * CHOOSE(CONTROL!$C$32, $C$9, 100%, $E$9)</f>
        <v>16.7578</v>
      </c>
      <c r="M991" s="11">
        <f>16.7631 * CHOOSE(CONTROL!$C$32, $C$9, 100%, $E$9)</f>
        <v>16.763100000000001</v>
      </c>
      <c r="N991" s="11">
        <f>16.7578 * CHOOSE(CONTROL!$C$32, $C$9, 100%, $E$9)</f>
        <v>16.7578</v>
      </c>
      <c r="O991" s="11">
        <f>16.7631 * CHOOSE(CONTROL!$C$32, $C$9, 100%, $E$9)</f>
        <v>16.763100000000001</v>
      </c>
    </row>
    <row r="992" spans="1:15" ht="15" x14ac:dyDescent="0.2">
      <c r="A992" s="13">
        <v>71041</v>
      </c>
      <c r="B992" s="9">
        <f>14.8109 * CHOOSE(CONTROL!$C$32, $C$9, 100%, $E$9)</f>
        <v>14.8109</v>
      </c>
      <c r="C992" s="9">
        <f>14.8109 * CHOOSE(CONTROL!$C$32, $C$9, 100%, $E$9)</f>
        <v>14.8109</v>
      </c>
      <c r="D992" s="9">
        <f>14.8124 * CHOOSE(CONTROL!$C$32, $C$9, 100%, $E$9)</f>
        <v>14.8124</v>
      </c>
      <c r="E992" s="11">
        <f>16.996 * CHOOSE(CONTROL!$C$32, $C$9, 100%, $E$9)</f>
        <v>16.995999999999999</v>
      </c>
      <c r="F992" s="11">
        <f>16.996 * CHOOSE(CONTROL!$C$32, $C$9, 100%, $E$9)</f>
        <v>16.995999999999999</v>
      </c>
      <c r="G992" s="11">
        <f>17.0013 * CHOOSE(CONTROL!$C$32, $C$9, 100%, $E$9)</f>
        <v>17.001300000000001</v>
      </c>
      <c r="H992" s="11">
        <f>33.7715 * CHOOSE(CONTROL!$C$32, $C$9, 100%, $E$9)</f>
        <v>33.771500000000003</v>
      </c>
      <c r="I992" s="11">
        <f>33.7768 * CHOOSE(CONTROL!$C$32, $C$9, 100%, $E$9)</f>
        <v>33.776800000000001</v>
      </c>
      <c r="J992" s="11">
        <f>33.7715 * CHOOSE(CONTROL!$C$32, $C$9, 100%, $E$9)</f>
        <v>33.771500000000003</v>
      </c>
      <c r="K992" s="11">
        <f>33.7768 * CHOOSE(CONTROL!$C$32, $C$9, 100%, $E$9)</f>
        <v>33.776800000000001</v>
      </c>
      <c r="L992" s="11">
        <f>16.996 * CHOOSE(CONTROL!$C$32, $C$9, 100%, $E$9)</f>
        <v>16.995999999999999</v>
      </c>
      <c r="M992" s="11">
        <f>17.0013 * CHOOSE(CONTROL!$C$32, $C$9, 100%, $E$9)</f>
        <v>17.001300000000001</v>
      </c>
      <c r="N992" s="11">
        <f>16.996 * CHOOSE(CONTROL!$C$32, $C$9, 100%, $E$9)</f>
        <v>16.995999999999999</v>
      </c>
      <c r="O992" s="11">
        <f>17.0013 * CHOOSE(CONTROL!$C$32, $C$9, 100%, $E$9)</f>
        <v>17.001300000000001</v>
      </c>
    </row>
    <row r="993" spans="1:15" ht="15" x14ac:dyDescent="0.2">
      <c r="A993" s="13">
        <v>71072</v>
      </c>
      <c r="B993" s="9">
        <f>14.8175 * CHOOSE(CONTROL!$C$32, $C$9, 100%, $E$9)</f>
        <v>14.817500000000001</v>
      </c>
      <c r="C993" s="9">
        <f>14.8175 * CHOOSE(CONTROL!$C$32, $C$9, 100%, $E$9)</f>
        <v>14.817500000000001</v>
      </c>
      <c r="D993" s="9">
        <f>14.8191 * CHOOSE(CONTROL!$C$32, $C$9, 100%, $E$9)</f>
        <v>14.819100000000001</v>
      </c>
      <c r="E993" s="11">
        <f>16.5635 * CHOOSE(CONTROL!$C$32, $C$9, 100%, $E$9)</f>
        <v>16.563500000000001</v>
      </c>
      <c r="F993" s="11">
        <f>16.5635 * CHOOSE(CONTROL!$C$32, $C$9, 100%, $E$9)</f>
        <v>16.563500000000001</v>
      </c>
      <c r="G993" s="11">
        <f>16.5688 * CHOOSE(CONTROL!$C$32, $C$9, 100%, $E$9)</f>
        <v>16.5688</v>
      </c>
      <c r="H993" s="11">
        <f>33.8419 * CHOOSE(CONTROL!$C$32, $C$9, 100%, $E$9)</f>
        <v>33.841900000000003</v>
      </c>
      <c r="I993" s="11">
        <f>33.8472 * CHOOSE(CONTROL!$C$32, $C$9, 100%, $E$9)</f>
        <v>33.847200000000001</v>
      </c>
      <c r="J993" s="11">
        <f>33.8419 * CHOOSE(CONTROL!$C$32, $C$9, 100%, $E$9)</f>
        <v>33.841900000000003</v>
      </c>
      <c r="K993" s="11">
        <f>33.8472 * CHOOSE(CONTROL!$C$32, $C$9, 100%, $E$9)</f>
        <v>33.847200000000001</v>
      </c>
      <c r="L993" s="11">
        <f>16.5635 * CHOOSE(CONTROL!$C$32, $C$9, 100%, $E$9)</f>
        <v>16.563500000000001</v>
      </c>
      <c r="M993" s="11">
        <f>16.5688 * CHOOSE(CONTROL!$C$32, $C$9, 100%, $E$9)</f>
        <v>16.5688</v>
      </c>
      <c r="N993" s="11">
        <f>16.5635 * CHOOSE(CONTROL!$C$32, $C$9, 100%, $E$9)</f>
        <v>16.563500000000001</v>
      </c>
      <c r="O993" s="11">
        <f>16.5688 * CHOOSE(CONTROL!$C$32, $C$9, 100%, $E$9)</f>
        <v>16.5688</v>
      </c>
    </row>
    <row r="994" spans="1:15" ht="15" x14ac:dyDescent="0.2">
      <c r="A994" s="13">
        <v>71103</v>
      </c>
      <c r="B994" s="9">
        <f>14.8145 * CHOOSE(CONTROL!$C$32, $C$9, 100%, $E$9)</f>
        <v>14.814500000000001</v>
      </c>
      <c r="C994" s="9">
        <f>14.8145 * CHOOSE(CONTROL!$C$32, $C$9, 100%, $E$9)</f>
        <v>14.814500000000001</v>
      </c>
      <c r="D994" s="9">
        <f>14.8161 * CHOOSE(CONTROL!$C$32, $C$9, 100%, $E$9)</f>
        <v>14.8161</v>
      </c>
      <c r="E994" s="11">
        <f>16.5129 * CHOOSE(CONTROL!$C$32, $C$9, 100%, $E$9)</f>
        <v>16.512899999999998</v>
      </c>
      <c r="F994" s="11">
        <f>16.5129 * CHOOSE(CONTROL!$C$32, $C$9, 100%, $E$9)</f>
        <v>16.512899999999998</v>
      </c>
      <c r="G994" s="11">
        <f>16.5181 * CHOOSE(CONTROL!$C$32, $C$9, 100%, $E$9)</f>
        <v>16.5181</v>
      </c>
      <c r="H994" s="11">
        <f>33.9124 * CHOOSE(CONTROL!$C$32, $C$9, 100%, $E$9)</f>
        <v>33.912399999999998</v>
      </c>
      <c r="I994" s="11">
        <f>33.9177 * CHOOSE(CONTROL!$C$32, $C$9, 100%, $E$9)</f>
        <v>33.917700000000004</v>
      </c>
      <c r="J994" s="11">
        <f>33.9124 * CHOOSE(CONTROL!$C$32, $C$9, 100%, $E$9)</f>
        <v>33.912399999999998</v>
      </c>
      <c r="K994" s="11">
        <f>33.9177 * CHOOSE(CONTROL!$C$32, $C$9, 100%, $E$9)</f>
        <v>33.917700000000004</v>
      </c>
      <c r="L994" s="11">
        <f>16.5129 * CHOOSE(CONTROL!$C$32, $C$9, 100%, $E$9)</f>
        <v>16.512899999999998</v>
      </c>
      <c r="M994" s="11">
        <f>16.5181 * CHOOSE(CONTROL!$C$32, $C$9, 100%, $E$9)</f>
        <v>16.5181</v>
      </c>
      <c r="N994" s="11">
        <f>16.5129 * CHOOSE(CONTROL!$C$32, $C$9, 100%, $E$9)</f>
        <v>16.512899999999998</v>
      </c>
      <c r="O994" s="11">
        <f>16.5181 * CHOOSE(CONTROL!$C$32, $C$9, 100%, $E$9)</f>
        <v>16.5181</v>
      </c>
    </row>
    <row r="995" spans="1:15" ht="15" x14ac:dyDescent="0.2">
      <c r="A995" s="13">
        <v>71133</v>
      </c>
      <c r="B995" s="9">
        <f>14.85 * CHOOSE(CONTROL!$C$32, $C$9, 100%, $E$9)</f>
        <v>14.85</v>
      </c>
      <c r="C995" s="9">
        <f>14.85 * CHOOSE(CONTROL!$C$32, $C$9, 100%, $E$9)</f>
        <v>14.85</v>
      </c>
      <c r="D995" s="9">
        <f>14.8511 * CHOOSE(CONTROL!$C$32, $C$9, 100%, $E$9)</f>
        <v>14.851100000000001</v>
      </c>
      <c r="E995" s="11">
        <f>16.6937 * CHOOSE(CONTROL!$C$32, $C$9, 100%, $E$9)</f>
        <v>16.6937</v>
      </c>
      <c r="F995" s="11">
        <f>16.6937 * CHOOSE(CONTROL!$C$32, $C$9, 100%, $E$9)</f>
        <v>16.6937</v>
      </c>
      <c r="G995" s="11">
        <f>16.6973 * CHOOSE(CONTROL!$C$32, $C$9, 100%, $E$9)</f>
        <v>16.697299999999998</v>
      </c>
      <c r="H995" s="11">
        <f>33.983 * CHOOSE(CONTROL!$C$32, $C$9, 100%, $E$9)</f>
        <v>33.982999999999997</v>
      </c>
      <c r="I995" s="11">
        <f>33.9866 * CHOOSE(CONTROL!$C$32, $C$9, 100%, $E$9)</f>
        <v>33.986600000000003</v>
      </c>
      <c r="J995" s="11">
        <f>33.983 * CHOOSE(CONTROL!$C$32, $C$9, 100%, $E$9)</f>
        <v>33.982999999999997</v>
      </c>
      <c r="K995" s="11">
        <f>33.9866 * CHOOSE(CONTROL!$C$32, $C$9, 100%, $E$9)</f>
        <v>33.986600000000003</v>
      </c>
      <c r="L995" s="11">
        <f>16.6937 * CHOOSE(CONTROL!$C$32, $C$9, 100%, $E$9)</f>
        <v>16.6937</v>
      </c>
      <c r="M995" s="11">
        <f>16.6973 * CHOOSE(CONTROL!$C$32, $C$9, 100%, $E$9)</f>
        <v>16.697299999999998</v>
      </c>
      <c r="N995" s="11">
        <f>16.6937 * CHOOSE(CONTROL!$C$32, $C$9, 100%, $E$9)</f>
        <v>16.6937</v>
      </c>
      <c r="O995" s="11">
        <f>16.6973 * CHOOSE(CONTROL!$C$32, $C$9, 100%, $E$9)</f>
        <v>16.697299999999998</v>
      </c>
    </row>
    <row r="996" spans="1:15" ht="15" x14ac:dyDescent="0.2">
      <c r="A996" s="13">
        <v>71164</v>
      </c>
      <c r="B996" s="9">
        <f>14.8531 * CHOOSE(CONTROL!$C$32, $C$9, 100%, $E$9)</f>
        <v>14.8531</v>
      </c>
      <c r="C996" s="9">
        <f>14.8531 * CHOOSE(CONTROL!$C$32, $C$9, 100%, $E$9)</f>
        <v>14.8531</v>
      </c>
      <c r="D996" s="9">
        <f>14.8541 * CHOOSE(CONTROL!$C$32, $C$9, 100%, $E$9)</f>
        <v>14.854100000000001</v>
      </c>
      <c r="E996" s="11">
        <f>16.793 * CHOOSE(CONTROL!$C$32, $C$9, 100%, $E$9)</f>
        <v>16.792999999999999</v>
      </c>
      <c r="F996" s="11">
        <f>16.793 * CHOOSE(CONTROL!$C$32, $C$9, 100%, $E$9)</f>
        <v>16.792999999999999</v>
      </c>
      <c r="G996" s="11">
        <f>16.7966 * CHOOSE(CONTROL!$C$32, $C$9, 100%, $E$9)</f>
        <v>16.796600000000002</v>
      </c>
      <c r="H996" s="11">
        <f>34.0538 * CHOOSE(CONTROL!$C$32, $C$9, 100%, $E$9)</f>
        <v>34.053800000000003</v>
      </c>
      <c r="I996" s="11">
        <f>34.0574 * CHOOSE(CONTROL!$C$32, $C$9, 100%, $E$9)</f>
        <v>34.057400000000001</v>
      </c>
      <c r="J996" s="11">
        <f>34.0538 * CHOOSE(CONTROL!$C$32, $C$9, 100%, $E$9)</f>
        <v>34.053800000000003</v>
      </c>
      <c r="K996" s="11">
        <f>34.0574 * CHOOSE(CONTROL!$C$32, $C$9, 100%, $E$9)</f>
        <v>34.057400000000001</v>
      </c>
      <c r="L996" s="11">
        <f>16.793 * CHOOSE(CONTROL!$C$32, $C$9, 100%, $E$9)</f>
        <v>16.792999999999999</v>
      </c>
      <c r="M996" s="11">
        <f>16.7966 * CHOOSE(CONTROL!$C$32, $C$9, 100%, $E$9)</f>
        <v>16.796600000000002</v>
      </c>
      <c r="N996" s="11">
        <f>16.793 * CHOOSE(CONTROL!$C$32, $C$9, 100%, $E$9)</f>
        <v>16.792999999999999</v>
      </c>
      <c r="O996" s="11">
        <f>16.7966 * CHOOSE(CONTROL!$C$32, $C$9, 100%, $E$9)</f>
        <v>16.796600000000002</v>
      </c>
    </row>
    <row r="997" spans="1:15" ht="15" x14ac:dyDescent="0.2">
      <c r="A997" s="13">
        <v>71194</v>
      </c>
      <c r="B997" s="9">
        <f>14.8531 * CHOOSE(CONTROL!$C$32, $C$9, 100%, $E$9)</f>
        <v>14.8531</v>
      </c>
      <c r="C997" s="9">
        <f>14.8531 * CHOOSE(CONTROL!$C$32, $C$9, 100%, $E$9)</f>
        <v>14.8531</v>
      </c>
      <c r="D997" s="9">
        <f>14.8541 * CHOOSE(CONTROL!$C$32, $C$9, 100%, $E$9)</f>
        <v>14.854100000000001</v>
      </c>
      <c r="E997" s="11">
        <f>16.5501 * CHOOSE(CONTROL!$C$32, $C$9, 100%, $E$9)</f>
        <v>16.5501</v>
      </c>
      <c r="F997" s="11">
        <f>16.5501 * CHOOSE(CONTROL!$C$32, $C$9, 100%, $E$9)</f>
        <v>16.5501</v>
      </c>
      <c r="G997" s="11">
        <f>16.5537 * CHOOSE(CONTROL!$C$32, $C$9, 100%, $E$9)</f>
        <v>16.553699999999999</v>
      </c>
      <c r="H997" s="11">
        <f>34.1248 * CHOOSE(CONTROL!$C$32, $C$9, 100%, $E$9)</f>
        <v>34.1248</v>
      </c>
      <c r="I997" s="11">
        <f>34.1284 * CHOOSE(CONTROL!$C$32, $C$9, 100%, $E$9)</f>
        <v>34.128399999999999</v>
      </c>
      <c r="J997" s="11">
        <f>34.1248 * CHOOSE(CONTROL!$C$32, $C$9, 100%, $E$9)</f>
        <v>34.1248</v>
      </c>
      <c r="K997" s="11">
        <f>34.1284 * CHOOSE(CONTROL!$C$32, $C$9, 100%, $E$9)</f>
        <v>34.128399999999999</v>
      </c>
      <c r="L997" s="11">
        <f>16.5501 * CHOOSE(CONTROL!$C$32, $C$9, 100%, $E$9)</f>
        <v>16.5501</v>
      </c>
      <c r="M997" s="11">
        <f>16.5537 * CHOOSE(CONTROL!$C$32, $C$9, 100%, $E$9)</f>
        <v>16.553699999999999</v>
      </c>
      <c r="N997" s="11">
        <f>16.5501 * CHOOSE(CONTROL!$C$32, $C$9, 100%, $E$9)</f>
        <v>16.5501</v>
      </c>
      <c r="O997" s="11">
        <f>16.5537 * CHOOSE(CONTROL!$C$32, $C$9, 100%, $E$9)</f>
        <v>16.553699999999999</v>
      </c>
    </row>
    <row r="998" spans="1:15" ht="15" x14ac:dyDescent="0.2">
      <c r="A998" s="13">
        <v>71225</v>
      </c>
      <c r="B998" s="9">
        <f>14.815 * CHOOSE(CONTROL!$C$32, $C$9, 100%, $E$9)</f>
        <v>14.815</v>
      </c>
      <c r="C998" s="9">
        <f>14.815 * CHOOSE(CONTROL!$C$32, $C$9, 100%, $E$9)</f>
        <v>14.815</v>
      </c>
      <c r="D998" s="9">
        <f>14.8161 * CHOOSE(CONTROL!$C$32, $C$9, 100%, $E$9)</f>
        <v>14.8161</v>
      </c>
      <c r="E998" s="11">
        <f>16.6831 * CHOOSE(CONTROL!$C$32, $C$9, 100%, $E$9)</f>
        <v>16.6831</v>
      </c>
      <c r="F998" s="11">
        <f>16.6831 * CHOOSE(CONTROL!$C$32, $C$9, 100%, $E$9)</f>
        <v>16.6831</v>
      </c>
      <c r="G998" s="11">
        <f>16.6867 * CHOOSE(CONTROL!$C$32, $C$9, 100%, $E$9)</f>
        <v>16.686699999999998</v>
      </c>
      <c r="H998" s="11">
        <f>33.8059 * CHOOSE(CONTROL!$C$32, $C$9, 100%, $E$9)</f>
        <v>33.805900000000001</v>
      </c>
      <c r="I998" s="11">
        <f>33.8096 * CHOOSE(CONTROL!$C$32, $C$9, 100%, $E$9)</f>
        <v>33.809600000000003</v>
      </c>
      <c r="J998" s="11">
        <f>33.8059 * CHOOSE(CONTROL!$C$32, $C$9, 100%, $E$9)</f>
        <v>33.805900000000001</v>
      </c>
      <c r="K998" s="11">
        <f>33.8096 * CHOOSE(CONTROL!$C$32, $C$9, 100%, $E$9)</f>
        <v>33.809600000000003</v>
      </c>
      <c r="L998" s="11">
        <f>16.6831 * CHOOSE(CONTROL!$C$32, $C$9, 100%, $E$9)</f>
        <v>16.6831</v>
      </c>
      <c r="M998" s="11">
        <f>16.6867 * CHOOSE(CONTROL!$C$32, $C$9, 100%, $E$9)</f>
        <v>16.686699999999998</v>
      </c>
      <c r="N998" s="11">
        <f>16.6831 * CHOOSE(CONTROL!$C$32, $C$9, 100%, $E$9)</f>
        <v>16.6831</v>
      </c>
      <c r="O998" s="11">
        <f>16.6867 * CHOOSE(CONTROL!$C$32, $C$9, 100%, $E$9)</f>
        <v>16.686699999999998</v>
      </c>
    </row>
    <row r="999" spans="1:15" ht="15" x14ac:dyDescent="0.2">
      <c r="A999" s="13">
        <v>71256</v>
      </c>
      <c r="B999" s="9">
        <f>14.812 * CHOOSE(CONTROL!$C$32, $C$9, 100%, $E$9)</f>
        <v>14.811999999999999</v>
      </c>
      <c r="C999" s="9">
        <f>14.812 * CHOOSE(CONTROL!$C$32, $C$9, 100%, $E$9)</f>
        <v>14.811999999999999</v>
      </c>
      <c r="D999" s="9">
        <f>14.8131 * CHOOSE(CONTROL!$C$32, $C$9, 100%, $E$9)</f>
        <v>14.8131</v>
      </c>
      <c r="E999" s="11">
        <f>16.215 * CHOOSE(CONTROL!$C$32, $C$9, 100%, $E$9)</f>
        <v>16.215</v>
      </c>
      <c r="F999" s="11">
        <f>16.215 * CHOOSE(CONTROL!$C$32, $C$9, 100%, $E$9)</f>
        <v>16.215</v>
      </c>
      <c r="G999" s="11">
        <f>16.2186 * CHOOSE(CONTROL!$C$32, $C$9, 100%, $E$9)</f>
        <v>16.218599999999999</v>
      </c>
      <c r="H999" s="11">
        <f>33.8764 * CHOOSE(CONTROL!$C$32, $C$9, 100%, $E$9)</f>
        <v>33.876399999999997</v>
      </c>
      <c r="I999" s="11">
        <f>33.88 * CHOOSE(CONTROL!$C$32, $C$9, 100%, $E$9)</f>
        <v>33.880000000000003</v>
      </c>
      <c r="J999" s="11">
        <f>33.8764 * CHOOSE(CONTROL!$C$32, $C$9, 100%, $E$9)</f>
        <v>33.876399999999997</v>
      </c>
      <c r="K999" s="11">
        <f>33.88 * CHOOSE(CONTROL!$C$32, $C$9, 100%, $E$9)</f>
        <v>33.880000000000003</v>
      </c>
      <c r="L999" s="11">
        <f>16.215 * CHOOSE(CONTROL!$C$32, $C$9, 100%, $E$9)</f>
        <v>16.215</v>
      </c>
      <c r="M999" s="11">
        <f>16.2186 * CHOOSE(CONTROL!$C$32, $C$9, 100%, $E$9)</f>
        <v>16.218599999999999</v>
      </c>
      <c r="N999" s="11">
        <f>16.215 * CHOOSE(CONTROL!$C$32, $C$9, 100%, $E$9)</f>
        <v>16.215</v>
      </c>
      <c r="O999" s="11">
        <f>16.2186 * CHOOSE(CONTROL!$C$32, $C$9, 100%, $E$9)</f>
        <v>16.218599999999999</v>
      </c>
    </row>
    <row r="1000" spans="1:15" ht="15" x14ac:dyDescent="0.2">
      <c r="A1000" s="13">
        <v>71284</v>
      </c>
      <c r="B1000" s="9">
        <f>14.8089 * CHOOSE(CONTROL!$C$32, $C$9, 100%, $E$9)</f>
        <v>14.8089</v>
      </c>
      <c r="C1000" s="9">
        <f>14.8089 * CHOOSE(CONTROL!$C$32, $C$9, 100%, $E$9)</f>
        <v>14.8089</v>
      </c>
      <c r="D1000" s="9">
        <f>14.81 * CHOOSE(CONTROL!$C$32, $C$9, 100%, $E$9)</f>
        <v>14.81</v>
      </c>
      <c r="E1000" s="11">
        <f>16.5802 * CHOOSE(CONTROL!$C$32, $C$9, 100%, $E$9)</f>
        <v>16.580200000000001</v>
      </c>
      <c r="F1000" s="11">
        <f>16.5802 * CHOOSE(CONTROL!$C$32, $C$9, 100%, $E$9)</f>
        <v>16.580200000000001</v>
      </c>
      <c r="G1000" s="11">
        <f>16.5839 * CHOOSE(CONTROL!$C$32, $C$9, 100%, $E$9)</f>
        <v>16.5839</v>
      </c>
      <c r="H1000" s="11">
        <f>33.9469 * CHOOSE(CONTROL!$C$32, $C$9, 100%, $E$9)</f>
        <v>33.946899999999999</v>
      </c>
      <c r="I1000" s="11">
        <f>33.9506 * CHOOSE(CONTROL!$C$32, $C$9, 100%, $E$9)</f>
        <v>33.950600000000001</v>
      </c>
      <c r="J1000" s="11">
        <f>33.9469 * CHOOSE(CONTROL!$C$32, $C$9, 100%, $E$9)</f>
        <v>33.946899999999999</v>
      </c>
      <c r="K1000" s="11">
        <f>33.9506 * CHOOSE(CONTROL!$C$32, $C$9, 100%, $E$9)</f>
        <v>33.950600000000001</v>
      </c>
      <c r="L1000" s="11">
        <f>16.5802 * CHOOSE(CONTROL!$C$32, $C$9, 100%, $E$9)</f>
        <v>16.580200000000001</v>
      </c>
      <c r="M1000" s="11">
        <f>16.5839 * CHOOSE(CONTROL!$C$32, $C$9, 100%, $E$9)</f>
        <v>16.5839</v>
      </c>
      <c r="N1000" s="11">
        <f>16.5802 * CHOOSE(CONTROL!$C$32, $C$9, 100%, $E$9)</f>
        <v>16.580200000000001</v>
      </c>
      <c r="O1000" s="11">
        <f>16.5839 * CHOOSE(CONTROL!$C$32, $C$9, 100%, $E$9)</f>
        <v>16.5839</v>
      </c>
    </row>
    <row r="1001" spans="1:15" ht="15" x14ac:dyDescent="0.2">
      <c r="A1001" s="13">
        <v>71315</v>
      </c>
      <c r="B1001" s="9">
        <f>14.8171 * CHOOSE(CONTROL!$C$32, $C$9, 100%, $E$9)</f>
        <v>14.8171</v>
      </c>
      <c r="C1001" s="9">
        <f>14.8171 * CHOOSE(CONTROL!$C$32, $C$9, 100%, $E$9)</f>
        <v>14.8171</v>
      </c>
      <c r="D1001" s="9">
        <f>14.8182 * CHOOSE(CONTROL!$C$32, $C$9, 100%, $E$9)</f>
        <v>14.818199999999999</v>
      </c>
      <c r="E1001" s="11">
        <f>16.9706 * CHOOSE(CONTROL!$C$32, $C$9, 100%, $E$9)</f>
        <v>16.970600000000001</v>
      </c>
      <c r="F1001" s="11">
        <f>16.9706 * CHOOSE(CONTROL!$C$32, $C$9, 100%, $E$9)</f>
        <v>16.970600000000001</v>
      </c>
      <c r="G1001" s="11">
        <f>16.9742 * CHOOSE(CONTROL!$C$32, $C$9, 100%, $E$9)</f>
        <v>16.9742</v>
      </c>
      <c r="H1001" s="11">
        <f>34.0177 * CHOOSE(CONTROL!$C$32, $C$9, 100%, $E$9)</f>
        <v>34.017699999999998</v>
      </c>
      <c r="I1001" s="11">
        <f>34.0213 * CHOOSE(CONTROL!$C$32, $C$9, 100%, $E$9)</f>
        <v>34.021299999999997</v>
      </c>
      <c r="J1001" s="11">
        <f>34.0177 * CHOOSE(CONTROL!$C$32, $C$9, 100%, $E$9)</f>
        <v>34.017699999999998</v>
      </c>
      <c r="K1001" s="11">
        <f>34.0213 * CHOOSE(CONTROL!$C$32, $C$9, 100%, $E$9)</f>
        <v>34.021299999999997</v>
      </c>
      <c r="L1001" s="11">
        <f>16.9706 * CHOOSE(CONTROL!$C$32, $C$9, 100%, $E$9)</f>
        <v>16.970600000000001</v>
      </c>
      <c r="M1001" s="11">
        <f>16.9742 * CHOOSE(CONTROL!$C$32, $C$9, 100%, $E$9)</f>
        <v>16.9742</v>
      </c>
      <c r="N1001" s="11">
        <f>16.9706 * CHOOSE(CONTROL!$C$32, $C$9, 100%, $E$9)</f>
        <v>16.970600000000001</v>
      </c>
      <c r="O1001" s="11">
        <f>16.9742 * CHOOSE(CONTROL!$C$32, $C$9, 100%, $E$9)</f>
        <v>16.9742</v>
      </c>
    </row>
    <row r="1002" spans="1:15" ht="15" x14ac:dyDescent="0.2">
      <c r="A1002" s="13">
        <v>71345</v>
      </c>
      <c r="B1002" s="9">
        <f>14.8171 * CHOOSE(CONTROL!$C$32, $C$9, 100%, $E$9)</f>
        <v>14.8171</v>
      </c>
      <c r="C1002" s="9">
        <f>14.8171 * CHOOSE(CONTROL!$C$32, $C$9, 100%, $E$9)</f>
        <v>14.8171</v>
      </c>
      <c r="D1002" s="9">
        <f>14.8187 * CHOOSE(CONTROL!$C$32, $C$9, 100%, $E$9)</f>
        <v>14.8187</v>
      </c>
      <c r="E1002" s="11">
        <f>17.1185 * CHOOSE(CONTROL!$C$32, $C$9, 100%, $E$9)</f>
        <v>17.118500000000001</v>
      </c>
      <c r="F1002" s="11">
        <f>17.1185 * CHOOSE(CONTROL!$C$32, $C$9, 100%, $E$9)</f>
        <v>17.118500000000001</v>
      </c>
      <c r="G1002" s="11">
        <f>17.1238 * CHOOSE(CONTROL!$C$32, $C$9, 100%, $E$9)</f>
        <v>17.123799999999999</v>
      </c>
      <c r="H1002" s="11">
        <f>34.0885 * CHOOSE(CONTROL!$C$32, $C$9, 100%, $E$9)</f>
        <v>34.088500000000003</v>
      </c>
      <c r="I1002" s="11">
        <f>34.0938 * CHOOSE(CONTROL!$C$32, $C$9, 100%, $E$9)</f>
        <v>34.093800000000002</v>
      </c>
      <c r="J1002" s="11">
        <f>34.0885 * CHOOSE(CONTROL!$C$32, $C$9, 100%, $E$9)</f>
        <v>34.088500000000003</v>
      </c>
      <c r="K1002" s="11">
        <f>34.0938 * CHOOSE(CONTROL!$C$32, $C$9, 100%, $E$9)</f>
        <v>34.093800000000002</v>
      </c>
      <c r="L1002" s="11">
        <f>17.1185 * CHOOSE(CONTROL!$C$32, $C$9, 100%, $E$9)</f>
        <v>17.118500000000001</v>
      </c>
      <c r="M1002" s="11">
        <f>17.1238 * CHOOSE(CONTROL!$C$32, $C$9, 100%, $E$9)</f>
        <v>17.123799999999999</v>
      </c>
      <c r="N1002" s="11">
        <f>17.1185 * CHOOSE(CONTROL!$C$32, $C$9, 100%, $E$9)</f>
        <v>17.118500000000001</v>
      </c>
      <c r="O1002" s="11">
        <f>17.1238 * CHOOSE(CONTROL!$C$32, $C$9, 100%, $E$9)</f>
        <v>17.123799999999999</v>
      </c>
    </row>
    <row r="1003" spans="1:15" ht="15" x14ac:dyDescent="0.2">
      <c r="A1003" s="13">
        <v>71376</v>
      </c>
      <c r="B1003" s="9">
        <f>14.8232 * CHOOSE(CONTROL!$C$32, $C$9, 100%, $E$9)</f>
        <v>14.8232</v>
      </c>
      <c r="C1003" s="9">
        <f>14.8232 * CHOOSE(CONTROL!$C$32, $C$9, 100%, $E$9)</f>
        <v>14.8232</v>
      </c>
      <c r="D1003" s="9">
        <f>14.8248 * CHOOSE(CONTROL!$C$32, $C$9, 100%, $E$9)</f>
        <v>14.8248</v>
      </c>
      <c r="E1003" s="11">
        <f>16.9748 * CHOOSE(CONTROL!$C$32, $C$9, 100%, $E$9)</f>
        <v>16.974799999999998</v>
      </c>
      <c r="F1003" s="11">
        <f>16.9748 * CHOOSE(CONTROL!$C$32, $C$9, 100%, $E$9)</f>
        <v>16.974799999999998</v>
      </c>
      <c r="G1003" s="11">
        <f>16.9801 * CHOOSE(CONTROL!$C$32, $C$9, 100%, $E$9)</f>
        <v>16.9801</v>
      </c>
      <c r="H1003" s="11">
        <f>34.1596 * CHOOSE(CONTROL!$C$32, $C$9, 100%, $E$9)</f>
        <v>34.159599999999998</v>
      </c>
      <c r="I1003" s="11">
        <f>34.1649 * CHOOSE(CONTROL!$C$32, $C$9, 100%, $E$9)</f>
        <v>34.164900000000003</v>
      </c>
      <c r="J1003" s="11">
        <f>34.1596 * CHOOSE(CONTROL!$C$32, $C$9, 100%, $E$9)</f>
        <v>34.159599999999998</v>
      </c>
      <c r="K1003" s="11">
        <f>34.1649 * CHOOSE(CONTROL!$C$32, $C$9, 100%, $E$9)</f>
        <v>34.164900000000003</v>
      </c>
      <c r="L1003" s="11">
        <f>16.9748 * CHOOSE(CONTROL!$C$32, $C$9, 100%, $E$9)</f>
        <v>16.974799999999998</v>
      </c>
      <c r="M1003" s="11">
        <f>16.9801 * CHOOSE(CONTROL!$C$32, $C$9, 100%, $E$9)</f>
        <v>16.9801</v>
      </c>
      <c r="N1003" s="11">
        <f>16.9748 * CHOOSE(CONTROL!$C$32, $C$9, 100%, $E$9)</f>
        <v>16.974799999999998</v>
      </c>
      <c r="O1003" s="11">
        <f>16.9801 * CHOOSE(CONTROL!$C$32, $C$9, 100%, $E$9)</f>
        <v>16.9801</v>
      </c>
    </row>
    <row r="1004" spans="1:15" ht="15" x14ac:dyDescent="0.2">
      <c r="A1004" s="13">
        <v>71406</v>
      </c>
      <c r="B1004" s="9">
        <f>15.0005 * CHOOSE(CONTROL!$C$32, $C$9, 100%, $E$9)</f>
        <v>15.000500000000001</v>
      </c>
      <c r="C1004" s="9">
        <f>15.0005 * CHOOSE(CONTROL!$C$32, $C$9, 100%, $E$9)</f>
        <v>15.000500000000001</v>
      </c>
      <c r="D1004" s="9">
        <f>15.002 * CHOOSE(CONTROL!$C$32, $C$9, 100%, $E$9)</f>
        <v>15.002000000000001</v>
      </c>
      <c r="E1004" s="11">
        <f>17.2162 * CHOOSE(CONTROL!$C$32, $C$9, 100%, $E$9)</f>
        <v>17.216200000000001</v>
      </c>
      <c r="F1004" s="11">
        <f>17.2162 * CHOOSE(CONTROL!$C$32, $C$9, 100%, $E$9)</f>
        <v>17.216200000000001</v>
      </c>
      <c r="G1004" s="11">
        <f>17.2215 * CHOOSE(CONTROL!$C$32, $C$9, 100%, $E$9)</f>
        <v>17.221499999999999</v>
      </c>
      <c r="H1004" s="11">
        <f>34.2307 * CHOOSE(CONTROL!$C$32, $C$9, 100%, $E$9)</f>
        <v>34.230699999999999</v>
      </c>
      <c r="I1004" s="11">
        <f>34.236 * CHOOSE(CONTROL!$C$32, $C$9, 100%, $E$9)</f>
        <v>34.235999999999997</v>
      </c>
      <c r="J1004" s="11">
        <f>34.2307 * CHOOSE(CONTROL!$C$32, $C$9, 100%, $E$9)</f>
        <v>34.230699999999999</v>
      </c>
      <c r="K1004" s="11">
        <f>34.236 * CHOOSE(CONTROL!$C$32, $C$9, 100%, $E$9)</f>
        <v>34.235999999999997</v>
      </c>
      <c r="L1004" s="11">
        <f>17.2162 * CHOOSE(CONTROL!$C$32, $C$9, 100%, $E$9)</f>
        <v>17.216200000000001</v>
      </c>
      <c r="M1004" s="11">
        <f>17.2215 * CHOOSE(CONTROL!$C$32, $C$9, 100%, $E$9)</f>
        <v>17.221499999999999</v>
      </c>
      <c r="N1004" s="11">
        <f>17.2162 * CHOOSE(CONTROL!$C$32, $C$9, 100%, $E$9)</f>
        <v>17.216200000000001</v>
      </c>
      <c r="O1004" s="11">
        <f>17.2215 * CHOOSE(CONTROL!$C$32, $C$9, 100%, $E$9)</f>
        <v>17.221499999999999</v>
      </c>
    </row>
    <row r="1005" spans="1:15" ht="15" x14ac:dyDescent="0.2">
      <c r="A1005" s="13">
        <v>71437</v>
      </c>
      <c r="B1005" s="9">
        <f>15.0071 * CHOOSE(CONTROL!$C$32, $C$9, 100%, $E$9)</f>
        <v>15.007099999999999</v>
      </c>
      <c r="C1005" s="9">
        <f>15.0071 * CHOOSE(CONTROL!$C$32, $C$9, 100%, $E$9)</f>
        <v>15.007099999999999</v>
      </c>
      <c r="D1005" s="9">
        <f>15.0087 * CHOOSE(CONTROL!$C$32, $C$9, 100%, $E$9)</f>
        <v>15.008699999999999</v>
      </c>
      <c r="E1005" s="11">
        <f>16.777 * CHOOSE(CONTROL!$C$32, $C$9, 100%, $E$9)</f>
        <v>16.777000000000001</v>
      </c>
      <c r="F1005" s="11">
        <f>16.777 * CHOOSE(CONTROL!$C$32, $C$9, 100%, $E$9)</f>
        <v>16.777000000000001</v>
      </c>
      <c r="G1005" s="11">
        <f>16.7823 * CHOOSE(CONTROL!$C$32, $C$9, 100%, $E$9)</f>
        <v>16.782299999999999</v>
      </c>
      <c r="H1005" s="11">
        <f>34.302 * CHOOSE(CONTROL!$C$32, $C$9, 100%, $E$9)</f>
        <v>34.302</v>
      </c>
      <c r="I1005" s="11">
        <f>34.3073 * CHOOSE(CONTROL!$C$32, $C$9, 100%, $E$9)</f>
        <v>34.307299999999998</v>
      </c>
      <c r="J1005" s="11">
        <f>34.302 * CHOOSE(CONTROL!$C$32, $C$9, 100%, $E$9)</f>
        <v>34.302</v>
      </c>
      <c r="K1005" s="11">
        <f>34.3073 * CHOOSE(CONTROL!$C$32, $C$9, 100%, $E$9)</f>
        <v>34.307299999999998</v>
      </c>
      <c r="L1005" s="11">
        <f>16.777 * CHOOSE(CONTROL!$C$32, $C$9, 100%, $E$9)</f>
        <v>16.777000000000001</v>
      </c>
      <c r="M1005" s="11">
        <f>16.7823 * CHOOSE(CONTROL!$C$32, $C$9, 100%, $E$9)</f>
        <v>16.782299999999999</v>
      </c>
      <c r="N1005" s="11">
        <f>16.777 * CHOOSE(CONTROL!$C$32, $C$9, 100%, $E$9)</f>
        <v>16.777000000000001</v>
      </c>
      <c r="O1005" s="11">
        <f>16.7823 * CHOOSE(CONTROL!$C$32, $C$9, 100%, $E$9)</f>
        <v>16.782299999999999</v>
      </c>
    </row>
    <row r="1006" spans="1:15" ht="15" x14ac:dyDescent="0.2">
      <c r="A1006" s="13">
        <v>71468</v>
      </c>
      <c r="B1006" s="9">
        <f>15.0041 * CHOOSE(CONTROL!$C$32, $C$9, 100%, $E$9)</f>
        <v>15.004099999999999</v>
      </c>
      <c r="C1006" s="9">
        <f>15.0041 * CHOOSE(CONTROL!$C$32, $C$9, 100%, $E$9)</f>
        <v>15.004099999999999</v>
      </c>
      <c r="D1006" s="9">
        <f>15.0057 * CHOOSE(CONTROL!$C$32, $C$9, 100%, $E$9)</f>
        <v>15.005699999999999</v>
      </c>
      <c r="E1006" s="11">
        <f>16.7255 * CHOOSE(CONTROL!$C$32, $C$9, 100%, $E$9)</f>
        <v>16.7255</v>
      </c>
      <c r="F1006" s="11">
        <f>16.7255 * CHOOSE(CONTROL!$C$32, $C$9, 100%, $E$9)</f>
        <v>16.7255</v>
      </c>
      <c r="G1006" s="11">
        <f>16.7308 * CHOOSE(CONTROL!$C$32, $C$9, 100%, $E$9)</f>
        <v>16.730799999999999</v>
      </c>
      <c r="H1006" s="11">
        <f>34.3735 * CHOOSE(CONTROL!$C$32, $C$9, 100%, $E$9)</f>
        <v>34.3735</v>
      </c>
      <c r="I1006" s="11">
        <f>34.3788 * CHOOSE(CONTROL!$C$32, $C$9, 100%, $E$9)</f>
        <v>34.378799999999998</v>
      </c>
      <c r="J1006" s="11">
        <f>34.3735 * CHOOSE(CONTROL!$C$32, $C$9, 100%, $E$9)</f>
        <v>34.3735</v>
      </c>
      <c r="K1006" s="11">
        <f>34.3788 * CHOOSE(CONTROL!$C$32, $C$9, 100%, $E$9)</f>
        <v>34.378799999999998</v>
      </c>
      <c r="L1006" s="11">
        <f>16.7255 * CHOOSE(CONTROL!$C$32, $C$9, 100%, $E$9)</f>
        <v>16.7255</v>
      </c>
      <c r="M1006" s="11">
        <f>16.7308 * CHOOSE(CONTROL!$C$32, $C$9, 100%, $E$9)</f>
        <v>16.730799999999999</v>
      </c>
      <c r="N1006" s="11">
        <f>16.7255 * CHOOSE(CONTROL!$C$32, $C$9, 100%, $E$9)</f>
        <v>16.7255</v>
      </c>
      <c r="O1006" s="11">
        <f>16.7308 * CHOOSE(CONTROL!$C$32, $C$9, 100%, $E$9)</f>
        <v>16.730799999999999</v>
      </c>
    </row>
    <row r="1007" spans="1:15" ht="15" x14ac:dyDescent="0.2">
      <c r="A1007" s="13">
        <v>71498</v>
      </c>
      <c r="B1007" s="9">
        <f>15.0403 * CHOOSE(CONTROL!$C$32, $C$9, 100%, $E$9)</f>
        <v>15.0403</v>
      </c>
      <c r="C1007" s="9">
        <f>15.0403 * CHOOSE(CONTROL!$C$32, $C$9, 100%, $E$9)</f>
        <v>15.0403</v>
      </c>
      <c r="D1007" s="9">
        <f>15.0414 * CHOOSE(CONTROL!$C$32, $C$9, 100%, $E$9)</f>
        <v>15.041399999999999</v>
      </c>
      <c r="E1007" s="11">
        <f>16.9094 * CHOOSE(CONTROL!$C$32, $C$9, 100%, $E$9)</f>
        <v>16.909400000000002</v>
      </c>
      <c r="F1007" s="11">
        <f>16.9094 * CHOOSE(CONTROL!$C$32, $C$9, 100%, $E$9)</f>
        <v>16.909400000000002</v>
      </c>
      <c r="G1007" s="11">
        <f>16.913 * CHOOSE(CONTROL!$C$32, $C$9, 100%, $E$9)</f>
        <v>16.913</v>
      </c>
      <c r="H1007" s="11">
        <f>34.4451 * CHOOSE(CONTROL!$C$32, $C$9, 100%, $E$9)</f>
        <v>34.445099999999996</v>
      </c>
      <c r="I1007" s="11">
        <f>34.4487 * CHOOSE(CONTROL!$C$32, $C$9, 100%, $E$9)</f>
        <v>34.448700000000002</v>
      </c>
      <c r="J1007" s="11">
        <f>34.4451 * CHOOSE(CONTROL!$C$32, $C$9, 100%, $E$9)</f>
        <v>34.445099999999996</v>
      </c>
      <c r="K1007" s="11">
        <f>34.4487 * CHOOSE(CONTROL!$C$32, $C$9, 100%, $E$9)</f>
        <v>34.448700000000002</v>
      </c>
      <c r="L1007" s="11">
        <f>16.9094 * CHOOSE(CONTROL!$C$32, $C$9, 100%, $E$9)</f>
        <v>16.909400000000002</v>
      </c>
      <c r="M1007" s="11">
        <f>16.913 * CHOOSE(CONTROL!$C$32, $C$9, 100%, $E$9)</f>
        <v>16.913</v>
      </c>
      <c r="N1007" s="11">
        <f>16.9094 * CHOOSE(CONTROL!$C$32, $C$9, 100%, $E$9)</f>
        <v>16.909400000000002</v>
      </c>
      <c r="O1007" s="11">
        <f>16.913 * CHOOSE(CONTROL!$C$32, $C$9, 100%, $E$9)</f>
        <v>16.913</v>
      </c>
    </row>
    <row r="1008" spans="1:15" ht="15" x14ac:dyDescent="0.2">
      <c r="A1008" s="13">
        <v>71529</v>
      </c>
      <c r="B1008" s="9">
        <f>15.0434 * CHOOSE(CONTROL!$C$32, $C$9, 100%, $E$9)</f>
        <v>15.0434</v>
      </c>
      <c r="C1008" s="9">
        <f>15.0434 * CHOOSE(CONTROL!$C$32, $C$9, 100%, $E$9)</f>
        <v>15.0434</v>
      </c>
      <c r="D1008" s="9">
        <f>15.0444 * CHOOSE(CONTROL!$C$32, $C$9, 100%, $E$9)</f>
        <v>15.0444</v>
      </c>
      <c r="E1008" s="11">
        <f>17.0102 * CHOOSE(CONTROL!$C$32, $C$9, 100%, $E$9)</f>
        <v>17.010200000000001</v>
      </c>
      <c r="F1008" s="11">
        <f>17.0102 * CHOOSE(CONTROL!$C$32, $C$9, 100%, $E$9)</f>
        <v>17.010200000000001</v>
      </c>
      <c r="G1008" s="11">
        <f>17.0138 * CHOOSE(CONTROL!$C$32, $C$9, 100%, $E$9)</f>
        <v>17.0138</v>
      </c>
      <c r="H1008" s="11">
        <f>34.5169 * CHOOSE(CONTROL!$C$32, $C$9, 100%, $E$9)</f>
        <v>34.5169</v>
      </c>
      <c r="I1008" s="11">
        <f>34.5205 * CHOOSE(CONTROL!$C$32, $C$9, 100%, $E$9)</f>
        <v>34.520499999999998</v>
      </c>
      <c r="J1008" s="11">
        <f>34.5169 * CHOOSE(CONTROL!$C$32, $C$9, 100%, $E$9)</f>
        <v>34.5169</v>
      </c>
      <c r="K1008" s="11">
        <f>34.5205 * CHOOSE(CONTROL!$C$32, $C$9, 100%, $E$9)</f>
        <v>34.520499999999998</v>
      </c>
      <c r="L1008" s="11">
        <f>17.0102 * CHOOSE(CONTROL!$C$32, $C$9, 100%, $E$9)</f>
        <v>17.010200000000001</v>
      </c>
      <c r="M1008" s="11">
        <f>17.0138 * CHOOSE(CONTROL!$C$32, $C$9, 100%, $E$9)</f>
        <v>17.0138</v>
      </c>
      <c r="N1008" s="11">
        <f>17.0102 * CHOOSE(CONTROL!$C$32, $C$9, 100%, $E$9)</f>
        <v>17.010200000000001</v>
      </c>
      <c r="O1008" s="11">
        <f>17.0138 * CHOOSE(CONTROL!$C$32, $C$9, 100%, $E$9)</f>
        <v>17.0138</v>
      </c>
    </row>
    <row r="1009" spans="1:15" ht="15" x14ac:dyDescent="0.2">
      <c r="A1009" s="13">
        <v>71559</v>
      </c>
      <c r="B1009" s="9">
        <f>15.0434 * CHOOSE(CONTROL!$C$32, $C$9, 100%, $E$9)</f>
        <v>15.0434</v>
      </c>
      <c r="C1009" s="9">
        <f>15.0434 * CHOOSE(CONTROL!$C$32, $C$9, 100%, $E$9)</f>
        <v>15.0434</v>
      </c>
      <c r="D1009" s="9">
        <f>15.0444 * CHOOSE(CONTROL!$C$32, $C$9, 100%, $E$9)</f>
        <v>15.0444</v>
      </c>
      <c r="E1009" s="11">
        <f>16.7636 * CHOOSE(CONTROL!$C$32, $C$9, 100%, $E$9)</f>
        <v>16.7636</v>
      </c>
      <c r="F1009" s="11">
        <f>16.7636 * CHOOSE(CONTROL!$C$32, $C$9, 100%, $E$9)</f>
        <v>16.7636</v>
      </c>
      <c r="G1009" s="11">
        <f>16.7672 * CHOOSE(CONTROL!$C$32, $C$9, 100%, $E$9)</f>
        <v>16.767199999999999</v>
      </c>
      <c r="H1009" s="11">
        <f>34.5888 * CHOOSE(CONTROL!$C$32, $C$9, 100%, $E$9)</f>
        <v>34.588799999999999</v>
      </c>
      <c r="I1009" s="11">
        <f>34.5924 * CHOOSE(CONTROL!$C$32, $C$9, 100%, $E$9)</f>
        <v>34.592399999999998</v>
      </c>
      <c r="J1009" s="11">
        <f>34.5888 * CHOOSE(CONTROL!$C$32, $C$9, 100%, $E$9)</f>
        <v>34.588799999999999</v>
      </c>
      <c r="K1009" s="11">
        <f>34.5924 * CHOOSE(CONTROL!$C$32, $C$9, 100%, $E$9)</f>
        <v>34.592399999999998</v>
      </c>
      <c r="L1009" s="11">
        <f>16.7636 * CHOOSE(CONTROL!$C$32, $C$9, 100%, $E$9)</f>
        <v>16.7636</v>
      </c>
      <c r="M1009" s="11">
        <f>16.7672 * CHOOSE(CONTROL!$C$32, $C$9, 100%, $E$9)</f>
        <v>16.767199999999999</v>
      </c>
      <c r="N1009" s="11">
        <f>16.7636 * CHOOSE(CONTROL!$C$32, $C$9, 100%, $E$9)</f>
        <v>16.7636</v>
      </c>
      <c r="O1009" s="11">
        <f>16.7672 * CHOOSE(CONTROL!$C$32, $C$9, 100%, $E$9)</f>
        <v>16.767199999999999</v>
      </c>
    </row>
    <row r="1010" spans="1:15" ht="15" x14ac:dyDescent="0.2">
      <c r="A1010" s="13">
        <v>71590</v>
      </c>
      <c r="B1010" s="9">
        <f>15.0024 * CHOOSE(CONTROL!$C$32, $C$9, 100%, $E$9)</f>
        <v>15.0024</v>
      </c>
      <c r="C1010" s="9">
        <f>15.0024 * CHOOSE(CONTROL!$C$32, $C$9, 100%, $E$9)</f>
        <v>15.0024</v>
      </c>
      <c r="D1010" s="9">
        <f>15.0035 * CHOOSE(CONTROL!$C$32, $C$9, 100%, $E$9)</f>
        <v>15.003500000000001</v>
      </c>
      <c r="E1010" s="11">
        <f>16.8956 * CHOOSE(CONTROL!$C$32, $C$9, 100%, $E$9)</f>
        <v>16.895600000000002</v>
      </c>
      <c r="F1010" s="11">
        <f>16.8956 * CHOOSE(CONTROL!$C$32, $C$9, 100%, $E$9)</f>
        <v>16.895600000000002</v>
      </c>
      <c r="G1010" s="11">
        <f>16.8992 * CHOOSE(CONTROL!$C$32, $C$9, 100%, $E$9)</f>
        <v>16.8992</v>
      </c>
      <c r="H1010" s="11">
        <f>34.2594 * CHOOSE(CONTROL!$C$32, $C$9, 100%, $E$9)</f>
        <v>34.259399999999999</v>
      </c>
      <c r="I1010" s="11">
        <f>34.2631 * CHOOSE(CONTROL!$C$32, $C$9, 100%, $E$9)</f>
        <v>34.263100000000001</v>
      </c>
      <c r="J1010" s="11">
        <f>34.2594 * CHOOSE(CONTROL!$C$32, $C$9, 100%, $E$9)</f>
        <v>34.259399999999999</v>
      </c>
      <c r="K1010" s="11">
        <f>34.2631 * CHOOSE(CONTROL!$C$32, $C$9, 100%, $E$9)</f>
        <v>34.263100000000001</v>
      </c>
      <c r="L1010" s="11">
        <f>16.8956 * CHOOSE(CONTROL!$C$32, $C$9, 100%, $E$9)</f>
        <v>16.895600000000002</v>
      </c>
      <c r="M1010" s="11">
        <f>16.8992 * CHOOSE(CONTROL!$C$32, $C$9, 100%, $E$9)</f>
        <v>16.8992</v>
      </c>
      <c r="N1010" s="11">
        <f>16.8956 * CHOOSE(CONTROL!$C$32, $C$9, 100%, $E$9)</f>
        <v>16.895600000000002</v>
      </c>
      <c r="O1010" s="11">
        <f>16.8992 * CHOOSE(CONTROL!$C$32, $C$9, 100%, $E$9)</f>
        <v>16.8992</v>
      </c>
    </row>
    <row r="1011" spans="1:15" ht="15" x14ac:dyDescent="0.2">
      <c r="A1011" s="13">
        <v>71621</v>
      </c>
      <c r="B1011" s="9">
        <f>14.9993 * CHOOSE(CONTROL!$C$32, $C$9, 100%, $E$9)</f>
        <v>14.9993</v>
      </c>
      <c r="C1011" s="9">
        <f>14.9993 * CHOOSE(CONTROL!$C$32, $C$9, 100%, $E$9)</f>
        <v>14.9993</v>
      </c>
      <c r="D1011" s="9">
        <f>15.0004 * CHOOSE(CONTROL!$C$32, $C$9, 100%, $E$9)</f>
        <v>15.000400000000001</v>
      </c>
      <c r="E1011" s="11">
        <f>16.4204 * CHOOSE(CONTROL!$C$32, $C$9, 100%, $E$9)</f>
        <v>16.420400000000001</v>
      </c>
      <c r="F1011" s="11">
        <f>16.4204 * CHOOSE(CONTROL!$C$32, $C$9, 100%, $E$9)</f>
        <v>16.420400000000001</v>
      </c>
      <c r="G1011" s="11">
        <f>16.424 * CHOOSE(CONTROL!$C$32, $C$9, 100%, $E$9)</f>
        <v>16.423999999999999</v>
      </c>
      <c r="H1011" s="11">
        <f>34.3308 * CHOOSE(CONTROL!$C$32, $C$9, 100%, $E$9)</f>
        <v>34.330800000000004</v>
      </c>
      <c r="I1011" s="11">
        <f>34.3344 * CHOOSE(CONTROL!$C$32, $C$9, 100%, $E$9)</f>
        <v>34.334400000000002</v>
      </c>
      <c r="J1011" s="11">
        <f>34.3308 * CHOOSE(CONTROL!$C$32, $C$9, 100%, $E$9)</f>
        <v>34.330800000000004</v>
      </c>
      <c r="K1011" s="11">
        <f>34.3344 * CHOOSE(CONTROL!$C$32, $C$9, 100%, $E$9)</f>
        <v>34.334400000000002</v>
      </c>
      <c r="L1011" s="11">
        <f>16.4204 * CHOOSE(CONTROL!$C$32, $C$9, 100%, $E$9)</f>
        <v>16.420400000000001</v>
      </c>
      <c r="M1011" s="11">
        <f>16.424 * CHOOSE(CONTROL!$C$32, $C$9, 100%, $E$9)</f>
        <v>16.423999999999999</v>
      </c>
      <c r="N1011" s="11">
        <f>16.4204 * CHOOSE(CONTROL!$C$32, $C$9, 100%, $E$9)</f>
        <v>16.420400000000001</v>
      </c>
      <c r="O1011" s="11">
        <f>16.424 * CHOOSE(CONTROL!$C$32, $C$9, 100%, $E$9)</f>
        <v>16.423999999999999</v>
      </c>
    </row>
    <row r="1012" spans="1:15" ht="15" x14ac:dyDescent="0.2">
      <c r="A1012" s="13">
        <v>71650</v>
      </c>
      <c r="B1012" s="9">
        <f>14.9963 * CHOOSE(CONTROL!$C$32, $C$9, 100%, $E$9)</f>
        <v>14.9963</v>
      </c>
      <c r="C1012" s="9">
        <f>14.9963 * CHOOSE(CONTROL!$C$32, $C$9, 100%, $E$9)</f>
        <v>14.9963</v>
      </c>
      <c r="D1012" s="9">
        <f>14.9974 * CHOOSE(CONTROL!$C$32, $C$9, 100%, $E$9)</f>
        <v>14.997400000000001</v>
      </c>
      <c r="E1012" s="11">
        <f>16.7912 * CHOOSE(CONTROL!$C$32, $C$9, 100%, $E$9)</f>
        <v>16.7912</v>
      </c>
      <c r="F1012" s="11">
        <f>16.7912 * CHOOSE(CONTROL!$C$32, $C$9, 100%, $E$9)</f>
        <v>16.7912</v>
      </c>
      <c r="G1012" s="11">
        <f>16.7949 * CHOOSE(CONTROL!$C$32, $C$9, 100%, $E$9)</f>
        <v>16.794899999999998</v>
      </c>
      <c r="H1012" s="11">
        <f>34.4023 * CHOOSE(CONTROL!$C$32, $C$9, 100%, $E$9)</f>
        <v>34.402299999999997</v>
      </c>
      <c r="I1012" s="11">
        <f>34.406 * CHOOSE(CONTROL!$C$32, $C$9, 100%, $E$9)</f>
        <v>34.405999999999999</v>
      </c>
      <c r="J1012" s="11">
        <f>34.4023 * CHOOSE(CONTROL!$C$32, $C$9, 100%, $E$9)</f>
        <v>34.402299999999997</v>
      </c>
      <c r="K1012" s="11">
        <f>34.406 * CHOOSE(CONTROL!$C$32, $C$9, 100%, $E$9)</f>
        <v>34.405999999999999</v>
      </c>
      <c r="L1012" s="11">
        <f>16.7912 * CHOOSE(CONTROL!$C$32, $C$9, 100%, $E$9)</f>
        <v>16.7912</v>
      </c>
      <c r="M1012" s="11">
        <f>16.7949 * CHOOSE(CONTROL!$C$32, $C$9, 100%, $E$9)</f>
        <v>16.794899999999998</v>
      </c>
      <c r="N1012" s="11">
        <f>16.7912 * CHOOSE(CONTROL!$C$32, $C$9, 100%, $E$9)</f>
        <v>16.7912</v>
      </c>
      <c r="O1012" s="11">
        <f>16.7949 * CHOOSE(CONTROL!$C$32, $C$9, 100%, $E$9)</f>
        <v>16.794899999999998</v>
      </c>
    </row>
    <row r="1013" spans="1:15" ht="15" x14ac:dyDescent="0.2">
      <c r="A1013" s="13">
        <v>71681</v>
      </c>
      <c r="B1013" s="9">
        <f>15.0046 * CHOOSE(CONTROL!$C$32, $C$9, 100%, $E$9)</f>
        <v>15.0046</v>
      </c>
      <c r="C1013" s="9">
        <f>15.0046 * CHOOSE(CONTROL!$C$32, $C$9, 100%, $E$9)</f>
        <v>15.0046</v>
      </c>
      <c r="D1013" s="9">
        <f>15.0057 * CHOOSE(CONTROL!$C$32, $C$9, 100%, $E$9)</f>
        <v>15.005699999999999</v>
      </c>
      <c r="E1013" s="11">
        <f>17.1876 * CHOOSE(CONTROL!$C$32, $C$9, 100%, $E$9)</f>
        <v>17.1876</v>
      </c>
      <c r="F1013" s="11">
        <f>17.1876 * CHOOSE(CONTROL!$C$32, $C$9, 100%, $E$9)</f>
        <v>17.1876</v>
      </c>
      <c r="G1013" s="11">
        <f>17.1912 * CHOOSE(CONTROL!$C$32, $C$9, 100%, $E$9)</f>
        <v>17.191199999999998</v>
      </c>
      <c r="H1013" s="11">
        <f>34.474 * CHOOSE(CONTROL!$C$32, $C$9, 100%, $E$9)</f>
        <v>34.473999999999997</v>
      </c>
      <c r="I1013" s="11">
        <f>34.4776 * CHOOSE(CONTROL!$C$32, $C$9, 100%, $E$9)</f>
        <v>34.477600000000002</v>
      </c>
      <c r="J1013" s="11">
        <f>34.474 * CHOOSE(CONTROL!$C$32, $C$9, 100%, $E$9)</f>
        <v>34.473999999999997</v>
      </c>
      <c r="K1013" s="11">
        <f>34.4776 * CHOOSE(CONTROL!$C$32, $C$9, 100%, $E$9)</f>
        <v>34.477600000000002</v>
      </c>
      <c r="L1013" s="11">
        <f>17.1876 * CHOOSE(CONTROL!$C$32, $C$9, 100%, $E$9)</f>
        <v>17.1876</v>
      </c>
      <c r="M1013" s="11">
        <f>17.1912 * CHOOSE(CONTROL!$C$32, $C$9, 100%, $E$9)</f>
        <v>17.191199999999998</v>
      </c>
      <c r="N1013" s="11">
        <f>17.1876 * CHOOSE(CONTROL!$C$32, $C$9, 100%, $E$9)</f>
        <v>17.1876</v>
      </c>
      <c r="O1013" s="11">
        <f>17.1912 * CHOOSE(CONTROL!$C$32, $C$9, 100%, $E$9)</f>
        <v>17.191199999999998</v>
      </c>
    </row>
    <row r="1014" spans="1:15" ht="15" x14ac:dyDescent="0.2">
      <c r="A1014" s="13">
        <v>71711</v>
      </c>
      <c r="B1014" s="9">
        <f>15.0046 * CHOOSE(CONTROL!$C$32, $C$9, 100%, $E$9)</f>
        <v>15.0046</v>
      </c>
      <c r="C1014" s="9">
        <f>15.0046 * CHOOSE(CONTROL!$C$32, $C$9, 100%, $E$9)</f>
        <v>15.0046</v>
      </c>
      <c r="D1014" s="9">
        <f>15.0062 * CHOOSE(CONTROL!$C$32, $C$9, 100%, $E$9)</f>
        <v>15.0062</v>
      </c>
      <c r="E1014" s="11">
        <f>17.3378 * CHOOSE(CONTROL!$C$32, $C$9, 100%, $E$9)</f>
        <v>17.337800000000001</v>
      </c>
      <c r="F1014" s="11">
        <f>17.3378 * CHOOSE(CONTROL!$C$32, $C$9, 100%, $E$9)</f>
        <v>17.337800000000001</v>
      </c>
      <c r="G1014" s="11">
        <f>17.3431 * CHOOSE(CONTROL!$C$32, $C$9, 100%, $E$9)</f>
        <v>17.3431</v>
      </c>
      <c r="H1014" s="11">
        <f>34.5458 * CHOOSE(CONTROL!$C$32, $C$9, 100%, $E$9)</f>
        <v>34.5458</v>
      </c>
      <c r="I1014" s="11">
        <f>34.5511 * CHOOSE(CONTROL!$C$32, $C$9, 100%, $E$9)</f>
        <v>34.551099999999998</v>
      </c>
      <c r="J1014" s="11">
        <f>34.5458 * CHOOSE(CONTROL!$C$32, $C$9, 100%, $E$9)</f>
        <v>34.5458</v>
      </c>
      <c r="K1014" s="11">
        <f>34.5511 * CHOOSE(CONTROL!$C$32, $C$9, 100%, $E$9)</f>
        <v>34.551099999999998</v>
      </c>
      <c r="L1014" s="11">
        <f>17.3378 * CHOOSE(CONTROL!$C$32, $C$9, 100%, $E$9)</f>
        <v>17.337800000000001</v>
      </c>
      <c r="M1014" s="11">
        <f>17.3431 * CHOOSE(CONTROL!$C$32, $C$9, 100%, $E$9)</f>
        <v>17.3431</v>
      </c>
      <c r="N1014" s="11">
        <f>17.3378 * CHOOSE(CONTROL!$C$32, $C$9, 100%, $E$9)</f>
        <v>17.337800000000001</v>
      </c>
      <c r="O1014" s="11">
        <f>17.3431 * CHOOSE(CONTROL!$C$32, $C$9, 100%, $E$9)</f>
        <v>17.3431</v>
      </c>
    </row>
    <row r="1015" spans="1:15" ht="15" x14ac:dyDescent="0.2">
      <c r="A1015" s="13">
        <v>71742</v>
      </c>
      <c r="B1015" s="9">
        <f>15.0107 * CHOOSE(CONTROL!$C$32, $C$9, 100%, $E$9)</f>
        <v>15.0107</v>
      </c>
      <c r="C1015" s="9">
        <f>15.0107 * CHOOSE(CONTROL!$C$32, $C$9, 100%, $E$9)</f>
        <v>15.0107</v>
      </c>
      <c r="D1015" s="9">
        <f>15.0123 * CHOOSE(CONTROL!$C$32, $C$9, 100%, $E$9)</f>
        <v>15.0123</v>
      </c>
      <c r="E1015" s="11">
        <f>17.1918 * CHOOSE(CONTROL!$C$32, $C$9, 100%, $E$9)</f>
        <v>17.191800000000001</v>
      </c>
      <c r="F1015" s="11">
        <f>17.1918 * CHOOSE(CONTROL!$C$32, $C$9, 100%, $E$9)</f>
        <v>17.191800000000001</v>
      </c>
      <c r="G1015" s="11">
        <f>17.1971 * CHOOSE(CONTROL!$C$32, $C$9, 100%, $E$9)</f>
        <v>17.197099999999999</v>
      </c>
      <c r="H1015" s="11">
        <f>34.6178 * CHOOSE(CONTROL!$C$32, $C$9, 100%, $E$9)</f>
        <v>34.617800000000003</v>
      </c>
      <c r="I1015" s="11">
        <f>34.6231 * CHOOSE(CONTROL!$C$32, $C$9, 100%, $E$9)</f>
        <v>34.623100000000001</v>
      </c>
      <c r="J1015" s="11">
        <f>34.6178 * CHOOSE(CONTROL!$C$32, $C$9, 100%, $E$9)</f>
        <v>34.617800000000003</v>
      </c>
      <c r="K1015" s="11">
        <f>34.6231 * CHOOSE(CONTROL!$C$32, $C$9, 100%, $E$9)</f>
        <v>34.623100000000001</v>
      </c>
      <c r="L1015" s="11">
        <f>17.1918 * CHOOSE(CONTROL!$C$32, $C$9, 100%, $E$9)</f>
        <v>17.191800000000001</v>
      </c>
      <c r="M1015" s="11">
        <f>17.1971 * CHOOSE(CONTROL!$C$32, $C$9, 100%, $E$9)</f>
        <v>17.197099999999999</v>
      </c>
      <c r="N1015" s="11">
        <f>17.1918 * CHOOSE(CONTROL!$C$32, $C$9, 100%, $E$9)</f>
        <v>17.191800000000001</v>
      </c>
      <c r="O1015" s="11">
        <f>17.1971 * CHOOSE(CONTROL!$C$32, $C$9, 100%, $E$9)</f>
        <v>17.197099999999999</v>
      </c>
    </row>
    <row r="1016" spans="1:15" ht="15" x14ac:dyDescent="0.2">
      <c r="A1016" s="13">
        <v>71772</v>
      </c>
      <c r="B1016" s="9">
        <f>15.1901 * CHOOSE(CONTROL!$C$32, $C$9, 100%, $E$9)</f>
        <v>15.190099999999999</v>
      </c>
      <c r="C1016" s="9">
        <f>15.1901 * CHOOSE(CONTROL!$C$32, $C$9, 100%, $E$9)</f>
        <v>15.190099999999999</v>
      </c>
      <c r="D1016" s="9">
        <f>15.1916 * CHOOSE(CONTROL!$C$32, $C$9, 100%, $E$9)</f>
        <v>15.191599999999999</v>
      </c>
      <c r="E1016" s="11">
        <f>17.4364 * CHOOSE(CONTROL!$C$32, $C$9, 100%, $E$9)</f>
        <v>17.436399999999999</v>
      </c>
      <c r="F1016" s="11">
        <f>17.4364 * CHOOSE(CONTROL!$C$32, $C$9, 100%, $E$9)</f>
        <v>17.436399999999999</v>
      </c>
      <c r="G1016" s="11">
        <f>17.4417 * CHOOSE(CONTROL!$C$32, $C$9, 100%, $E$9)</f>
        <v>17.441700000000001</v>
      </c>
      <c r="H1016" s="11">
        <f>34.6899 * CHOOSE(CONTROL!$C$32, $C$9, 100%, $E$9)</f>
        <v>34.689900000000002</v>
      </c>
      <c r="I1016" s="11">
        <f>34.6952 * CHOOSE(CONTROL!$C$32, $C$9, 100%, $E$9)</f>
        <v>34.6952</v>
      </c>
      <c r="J1016" s="11">
        <f>34.6899 * CHOOSE(CONTROL!$C$32, $C$9, 100%, $E$9)</f>
        <v>34.689900000000002</v>
      </c>
      <c r="K1016" s="11">
        <f>34.6952 * CHOOSE(CONTROL!$C$32, $C$9, 100%, $E$9)</f>
        <v>34.6952</v>
      </c>
      <c r="L1016" s="11">
        <f>17.4364 * CHOOSE(CONTROL!$C$32, $C$9, 100%, $E$9)</f>
        <v>17.436399999999999</v>
      </c>
      <c r="M1016" s="11">
        <f>17.4417 * CHOOSE(CONTROL!$C$32, $C$9, 100%, $E$9)</f>
        <v>17.441700000000001</v>
      </c>
      <c r="N1016" s="11">
        <f>17.4364 * CHOOSE(CONTROL!$C$32, $C$9, 100%, $E$9)</f>
        <v>17.436399999999999</v>
      </c>
      <c r="O1016" s="11">
        <f>17.4417 * CHOOSE(CONTROL!$C$32, $C$9, 100%, $E$9)</f>
        <v>17.441700000000001</v>
      </c>
    </row>
    <row r="1017" spans="1:15" ht="15" x14ac:dyDescent="0.2">
      <c r="A1017" s="13">
        <v>71803</v>
      </c>
      <c r="B1017" s="9">
        <f>15.1967 * CHOOSE(CONTROL!$C$32, $C$9, 100%, $E$9)</f>
        <v>15.1967</v>
      </c>
      <c r="C1017" s="9">
        <f>15.1967 * CHOOSE(CONTROL!$C$32, $C$9, 100%, $E$9)</f>
        <v>15.1967</v>
      </c>
      <c r="D1017" s="9">
        <f>15.1983 * CHOOSE(CONTROL!$C$32, $C$9, 100%, $E$9)</f>
        <v>15.1983</v>
      </c>
      <c r="E1017" s="11">
        <f>16.9904 * CHOOSE(CONTROL!$C$32, $C$9, 100%, $E$9)</f>
        <v>16.990400000000001</v>
      </c>
      <c r="F1017" s="11">
        <f>16.9904 * CHOOSE(CONTROL!$C$32, $C$9, 100%, $E$9)</f>
        <v>16.990400000000001</v>
      </c>
      <c r="G1017" s="11">
        <f>16.9957 * CHOOSE(CONTROL!$C$32, $C$9, 100%, $E$9)</f>
        <v>16.995699999999999</v>
      </c>
      <c r="H1017" s="11">
        <f>34.7622 * CHOOSE(CONTROL!$C$32, $C$9, 100%, $E$9)</f>
        <v>34.7622</v>
      </c>
      <c r="I1017" s="11">
        <f>34.7675 * CHOOSE(CONTROL!$C$32, $C$9, 100%, $E$9)</f>
        <v>34.767499999999998</v>
      </c>
      <c r="J1017" s="11">
        <f>34.7622 * CHOOSE(CONTROL!$C$32, $C$9, 100%, $E$9)</f>
        <v>34.7622</v>
      </c>
      <c r="K1017" s="11">
        <f>34.7675 * CHOOSE(CONTROL!$C$32, $C$9, 100%, $E$9)</f>
        <v>34.767499999999998</v>
      </c>
      <c r="L1017" s="11">
        <f>16.9904 * CHOOSE(CONTROL!$C$32, $C$9, 100%, $E$9)</f>
        <v>16.990400000000001</v>
      </c>
      <c r="M1017" s="11">
        <f>16.9957 * CHOOSE(CONTROL!$C$32, $C$9, 100%, $E$9)</f>
        <v>16.995699999999999</v>
      </c>
      <c r="N1017" s="11">
        <f>16.9904 * CHOOSE(CONTROL!$C$32, $C$9, 100%, $E$9)</f>
        <v>16.990400000000001</v>
      </c>
      <c r="O1017" s="11">
        <f>16.9957 * CHOOSE(CONTROL!$C$32, $C$9, 100%, $E$9)</f>
        <v>16.995699999999999</v>
      </c>
    </row>
    <row r="1018" spans="1:15" ht="15" x14ac:dyDescent="0.2">
      <c r="A1018" s="13">
        <v>71834</v>
      </c>
      <c r="B1018" s="9">
        <f>15.1937 * CHOOSE(CONTROL!$C$32, $C$9, 100%, $E$9)</f>
        <v>15.1937</v>
      </c>
      <c r="C1018" s="9">
        <f>15.1937 * CHOOSE(CONTROL!$C$32, $C$9, 100%, $E$9)</f>
        <v>15.1937</v>
      </c>
      <c r="D1018" s="9">
        <f>15.1953 * CHOOSE(CONTROL!$C$32, $C$9, 100%, $E$9)</f>
        <v>15.1953</v>
      </c>
      <c r="E1018" s="11">
        <f>16.9382 * CHOOSE(CONTROL!$C$32, $C$9, 100%, $E$9)</f>
        <v>16.938199999999998</v>
      </c>
      <c r="F1018" s="11">
        <f>16.9382 * CHOOSE(CONTROL!$C$32, $C$9, 100%, $E$9)</f>
        <v>16.938199999999998</v>
      </c>
      <c r="G1018" s="11">
        <f>16.9435 * CHOOSE(CONTROL!$C$32, $C$9, 100%, $E$9)</f>
        <v>16.9435</v>
      </c>
      <c r="H1018" s="11">
        <f>34.8346 * CHOOSE(CONTROL!$C$32, $C$9, 100%, $E$9)</f>
        <v>34.834600000000002</v>
      </c>
      <c r="I1018" s="11">
        <f>34.8399 * CHOOSE(CONTROL!$C$32, $C$9, 100%, $E$9)</f>
        <v>34.8399</v>
      </c>
      <c r="J1018" s="11">
        <f>34.8346 * CHOOSE(CONTROL!$C$32, $C$9, 100%, $E$9)</f>
        <v>34.834600000000002</v>
      </c>
      <c r="K1018" s="11">
        <f>34.8399 * CHOOSE(CONTROL!$C$32, $C$9, 100%, $E$9)</f>
        <v>34.8399</v>
      </c>
      <c r="L1018" s="11">
        <f>16.9382 * CHOOSE(CONTROL!$C$32, $C$9, 100%, $E$9)</f>
        <v>16.938199999999998</v>
      </c>
      <c r="M1018" s="11">
        <f>16.9435 * CHOOSE(CONTROL!$C$32, $C$9, 100%, $E$9)</f>
        <v>16.9435</v>
      </c>
      <c r="N1018" s="11">
        <f>16.9382 * CHOOSE(CONTROL!$C$32, $C$9, 100%, $E$9)</f>
        <v>16.938199999999998</v>
      </c>
      <c r="O1018" s="11">
        <f>16.9435 * CHOOSE(CONTROL!$C$32, $C$9, 100%, $E$9)</f>
        <v>16.9435</v>
      </c>
    </row>
    <row r="1019" spans="1:15" ht="15" x14ac:dyDescent="0.2">
      <c r="A1019" s="13">
        <v>71864</v>
      </c>
      <c r="B1019" s="9">
        <f>15.2306 * CHOOSE(CONTROL!$C$32, $C$9, 100%, $E$9)</f>
        <v>15.230600000000001</v>
      </c>
      <c r="C1019" s="9">
        <f>15.2306 * CHOOSE(CONTROL!$C$32, $C$9, 100%, $E$9)</f>
        <v>15.230600000000001</v>
      </c>
      <c r="D1019" s="9">
        <f>15.2317 * CHOOSE(CONTROL!$C$32, $C$9, 100%, $E$9)</f>
        <v>15.2317</v>
      </c>
      <c r="E1019" s="11">
        <f>17.1251 * CHOOSE(CONTROL!$C$32, $C$9, 100%, $E$9)</f>
        <v>17.1251</v>
      </c>
      <c r="F1019" s="11">
        <f>17.1251 * CHOOSE(CONTROL!$C$32, $C$9, 100%, $E$9)</f>
        <v>17.1251</v>
      </c>
      <c r="G1019" s="11">
        <f>17.1287 * CHOOSE(CONTROL!$C$32, $C$9, 100%, $E$9)</f>
        <v>17.128699999999998</v>
      </c>
      <c r="H1019" s="11">
        <f>34.9072 * CHOOSE(CONTROL!$C$32, $C$9, 100%, $E$9)</f>
        <v>34.907200000000003</v>
      </c>
      <c r="I1019" s="11">
        <f>34.9108 * CHOOSE(CONTROL!$C$32, $C$9, 100%, $E$9)</f>
        <v>34.910800000000002</v>
      </c>
      <c r="J1019" s="11">
        <f>34.9072 * CHOOSE(CONTROL!$C$32, $C$9, 100%, $E$9)</f>
        <v>34.907200000000003</v>
      </c>
      <c r="K1019" s="11">
        <f>34.9108 * CHOOSE(CONTROL!$C$32, $C$9, 100%, $E$9)</f>
        <v>34.910800000000002</v>
      </c>
      <c r="L1019" s="11">
        <f>17.1251 * CHOOSE(CONTROL!$C$32, $C$9, 100%, $E$9)</f>
        <v>17.1251</v>
      </c>
      <c r="M1019" s="11">
        <f>17.1287 * CHOOSE(CONTROL!$C$32, $C$9, 100%, $E$9)</f>
        <v>17.128699999999998</v>
      </c>
      <c r="N1019" s="11">
        <f>17.1251 * CHOOSE(CONTROL!$C$32, $C$9, 100%, $E$9)</f>
        <v>17.1251</v>
      </c>
      <c r="O1019" s="11">
        <f>17.1287 * CHOOSE(CONTROL!$C$32, $C$9, 100%, $E$9)</f>
        <v>17.128699999999998</v>
      </c>
    </row>
    <row r="1020" spans="1:15" ht="15" x14ac:dyDescent="0.2">
      <c r="A1020" s="13">
        <v>71895</v>
      </c>
      <c r="B1020" s="9">
        <f>15.2337 * CHOOSE(CONTROL!$C$32, $C$9, 100%, $E$9)</f>
        <v>15.233700000000001</v>
      </c>
      <c r="C1020" s="9">
        <f>15.2337 * CHOOSE(CONTROL!$C$32, $C$9, 100%, $E$9)</f>
        <v>15.233700000000001</v>
      </c>
      <c r="D1020" s="9">
        <f>15.2347 * CHOOSE(CONTROL!$C$32, $C$9, 100%, $E$9)</f>
        <v>15.2347</v>
      </c>
      <c r="E1020" s="11">
        <f>17.2274 * CHOOSE(CONTROL!$C$32, $C$9, 100%, $E$9)</f>
        <v>17.227399999999999</v>
      </c>
      <c r="F1020" s="11">
        <f>17.2274 * CHOOSE(CONTROL!$C$32, $C$9, 100%, $E$9)</f>
        <v>17.227399999999999</v>
      </c>
      <c r="G1020" s="11">
        <f>17.231 * CHOOSE(CONTROL!$C$32, $C$9, 100%, $E$9)</f>
        <v>17.231000000000002</v>
      </c>
      <c r="H1020" s="11">
        <f>34.9799 * CHOOSE(CONTROL!$C$32, $C$9, 100%, $E$9)</f>
        <v>34.979900000000001</v>
      </c>
      <c r="I1020" s="11">
        <f>34.9835 * CHOOSE(CONTROL!$C$32, $C$9, 100%, $E$9)</f>
        <v>34.983499999999999</v>
      </c>
      <c r="J1020" s="11">
        <f>34.9799 * CHOOSE(CONTROL!$C$32, $C$9, 100%, $E$9)</f>
        <v>34.979900000000001</v>
      </c>
      <c r="K1020" s="11">
        <f>34.9835 * CHOOSE(CONTROL!$C$32, $C$9, 100%, $E$9)</f>
        <v>34.983499999999999</v>
      </c>
      <c r="L1020" s="11">
        <f>17.2274 * CHOOSE(CONTROL!$C$32, $C$9, 100%, $E$9)</f>
        <v>17.227399999999999</v>
      </c>
      <c r="M1020" s="11">
        <f>17.231 * CHOOSE(CONTROL!$C$32, $C$9, 100%, $E$9)</f>
        <v>17.231000000000002</v>
      </c>
      <c r="N1020" s="11">
        <f>17.2274 * CHOOSE(CONTROL!$C$32, $C$9, 100%, $E$9)</f>
        <v>17.227399999999999</v>
      </c>
      <c r="O1020" s="11">
        <f>17.231 * CHOOSE(CONTROL!$C$32, $C$9, 100%, $E$9)</f>
        <v>17.231000000000002</v>
      </c>
    </row>
    <row r="1021" spans="1:15" ht="15" x14ac:dyDescent="0.2">
      <c r="A1021" s="13">
        <v>71925</v>
      </c>
      <c r="B1021" s="9">
        <f>15.2337 * CHOOSE(CONTROL!$C$32, $C$9, 100%, $E$9)</f>
        <v>15.233700000000001</v>
      </c>
      <c r="C1021" s="9">
        <f>15.2337 * CHOOSE(CONTROL!$C$32, $C$9, 100%, $E$9)</f>
        <v>15.233700000000001</v>
      </c>
      <c r="D1021" s="9">
        <f>15.2347 * CHOOSE(CONTROL!$C$32, $C$9, 100%, $E$9)</f>
        <v>15.2347</v>
      </c>
      <c r="E1021" s="11">
        <f>16.977 * CHOOSE(CONTROL!$C$32, $C$9, 100%, $E$9)</f>
        <v>16.977</v>
      </c>
      <c r="F1021" s="11">
        <f>16.977 * CHOOSE(CONTROL!$C$32, $C$9, 100%, $E$9)</f>
        <v>16.977</v>
      </c>
      <c r="G1021" s="11">
        <f>16.9806 * CHOOSE(CONTROL!$C$32, $C$9, 100%, $E$9)</f>
        <v>16.980599999999999</v>
      </c>
      <c r="H1021" s="11">
        <f>35.0528 * CHOOSE(CONTROL!$C$32, $C$9, 100%, $E$9)</f>
        <v>35.052799999999998</v>
      </c>
      <c r="I1021" s="11">
        <f>35.0564 * CHOOSE(CONTROL!$C$32, $C$9, 100%, $E$9)</f>
        <v>35.056399999999996</v>
      </c>
      <c r="J1021" s="11">
        <f>35.0528 * CHOOSE(CONTROL!$C$32, $C$9, 100%, $E$9)</f>
        <v>35.052799999999998</v>
      </c>
      <c r="K1021" s="11">
        <f>35.0564 * CHOOSE(CONTROL!$C$32, $C$9, 100%, $E$9)</f>
        <v>35.056399999999996</v>
      </c>
      <c r="L1021" s="11">
        <f>16.977 * CHOOSE(CONTROL!$C$32, $C$9, 100%, $E$9)</f>
        <v>16.977</v>
      </c>
      <c r="M1021" s="11">
        <f>16.9806 * CHOOSE(CONTROL!$C$32, $C$9, 100%, $E$9)</f>
        <v>16.980599999999999</v>
      </c>
      <c r="N1021" s="11">
        <f>16.977 * CHOOSE(CONTROL!$C$32, $C$9, 100%, $E$9)</f>
        <v>16.977</v>
      </c>
      <c r="O1021" s="11">
        <f>16.9806 * CHOOSE(CONTROL!$C$32, $C$9, 100%, $E$9)</f>
        <v>16.980599999999999</v>
      </c>
    </row>
    <row r="1022" spans="1:15" ht="15" x14ac:dyDescent="0.2">
      <c r="A1022" s="13">
        <v>71956</v>
      </c>
      <c r="B1022" s="9">
        <f>15.1897 * CHOOSE(CONTROL!$C$32, $C$9, 100%, $E$9)</f>
        <v>15.1897</v>
      </c>
      <c r="C1022" s="9">
        <f>15.1897 * CHOOSE(CONTROL!$C$32, $C$9, 100%, $E$9)</f>
        <v>15.1897</v>
      </c>
      <c r="D1022" s="9">
        <f>15.1908 * CHOOSE(CONTROL!$C$32, $C$9, 100%, $E$9)</f>
        <v>15.190799999999999</v>
      </c>
      <c r="E1022" s="11">
        <f>17.1081 * CHOOSE(CONTROL!$C$32, $C$9, 100%, $E$9)</f>
        <v>17.1081</v>
      </c>
      <c r="F1022" s="11">
        <f>17.1081 * CHOOSE(CONTROL!$C$32, $C$9, 100%, $E$9)</f>
        <v>17.1081</v>
      </c>
      <c r="G1022" s="11">
        <f>17.1117 * CHOOSE(CONTROL!$C$32, $C$9, 100%, $E$9)</f>
        <v>17.111699999999999</v>
      </c>
      <c r="H1022" s="11">
        <f>34.713 * CHOOSE(CONTROL!$C$32, $C$9, 100%, $E$9)</f>
        <v>34.713000000000001</v>
      </c>
      <c r="I1022" s="11">
        <f>34.7166 * CHOOSE(CONTROL!$C$32, $C$9, 100%, $E$9)</f>
        <v>34.7166</v>
      </c>
      <c r="J1022" s="11">
        <f>34.713 * CHOOSE(CONTROL!$C$32, $C$9, 100%, $E$9)</f>
        <v>34.713000000000001</v>
      </c>
      <c r="K1022" s="11">
        <f>34.7166 * CHOOSE(CONTROL!$C$32, $C$9, 100%, $E$9)</f>
        <v>34.7166</v>
      </c>
      <c r="L1022" s="11">
        <f>17.1081 * CHOOSE(CONTROL!$C$32, $C$9, 100%, $E$9)</f>
        <v>17.1081</v>
      </c>
      <c r="M1022" s="11">
        <f>17.1117 * CHOOSE(CONTROL!$C$32, $C$9, 100%, $E$9)</f>
        <v>17.111699999999999</v>
      </c>
      <c r="N1022" s="11">
        <f>17.1081 * CHOOSE(CONTROL!$C$32, $C$9, 100%, $E$9)</f>
        <v>17.1081</v>
      </c>
      <c r="O1022" s="11">
        <f>17.1117 * CHOOSE(CONTROL!$C$32, $C$9, 100%, $E$9)</f>
        <v>17.111699999999999</v>
      </c>
    </row>
    <row r="1023" spans="1:15" ht="15" x14ac:dyDescent="0.2">
      <c r="A1023" s="13">
        <v>71987</v>
      </c>
      <c r="B1023" s="9">
        <f>15.1867 * CHOOSE(CONTROL!$C$32, $C$9, 100%, $E$9)</f>
        <v>15.1867</v>
      </c>
      <c r="C1023" s="9">
        <f>15.1867 * CHOOSE(CONTROL!$C$32, $C$9, 100%, $E$9)</f>
        <v>15.1867</v>
      </c>
      <c r="D1023" s="9">
        <f>15.1878 * CHOOSE(CONTROL!$C$32, $C$9, 100%, $E$9)</f>
        <v>15.187799999999999</v>
      </c>
      <c r="E1023" s="11">
        <f>16.6258 * CHOOSE(CONTROL!$C$32, $C$9, 100%, $E$9)</f>
        <v>16.625800000000002</v>
      </c>
      <c r="F1023" s="11">
        <f>16.6258 * CHOOSE(CONTROL!$C$32, $C$9, 100%, $E$9)</f>
        <v>16.625800000000002</v>
      </c>
      <c r="G1023" s="11">
        <f>16.6294 * CHOOSE(CONTROL!$C$32, $C$9, 100%, $E$9)</f>
        <v>16.6294</v>
      </c>
      <c r="H1023" s="11">
        <f>34.7853 * CHOOSE(CONTROL!$C$32, $C$9, 100%, $E$9)</f>
        <v>34.785299999999999</v>
      </c>
      <c r="I1023" s="11">
        <f>34.7889 * CHOOSE(CONTROL!$C$32, $C$9, 100%, $E$9)</f>
        <v>34.788899999999998</v>
      </c>
      <c r="J1023" s="11">
        <f>34.7853 * CHOOSE(CONTROL!$C$32, $C$9, 100%, $E$9)</f>
        <v>34.785299999999999</v>
      </c>
      <c r="K1023" s="11">
        <f>34.7889 * CHOOSE(CONTROL!$C$32, $C$9, 100%, $E$9)</f>
        <v>34.788899999999998</v>
      </c>
      <c r="L1023" s="11">
        <f>16.6258 * CHOOSE(CONTROL!$C$32, $C$9, 100%, $E$9)</f>
        <v>16.625800000000002</v>
      </c>
      <c r="M1023" s="11">
        <f>16.6294 * CHOOSE(CONTROL!$C$32, $C$9, 100%, $E$9)</f>
        <v>16.6294</v>
      </c>
      <c r="N1023" s="11">
        <f>16.6258 * CHOOSE(CONTROL!$C$32, $C$9, 100%, $E$9)</f>
        <v>16.625800000000002</v>
      </c>
      <c r="O1023" s="11">
        <f>16.6294 * CHOOSE(CONTROL!$C$32, $C$9, 100%, $E$9)</f>
        <v>16.6294</v>
      </c>
    </row>
    <row r="1024" spans="1:15" ht="15" x14ac:dyDescent="0.2">
      <c r="A1024" s="13">
        <v>72015</v>
      </c>
      <c r="B1024" s="9">
        <f>15.1837 * CHOOSE(CONTROL!$C$32, $C$9, 100%, $E$9)</f>
        <v>15.1837</v>
      </c>
      <c r="C1024" s="9">
        <f>15.1837 * CHOOSE(CONTROL!$C$32, $C$9, 100%, $E$9)</f>
        <v>15.1837</v>
      </c>
      <c r="D1024" s="9">
        <f>15.1847 * CHOOSE(CONTROL!$C$32, $C$9, 100%, $E$9)</f>
        <v>15.184699999999999</v>
      </c>
      <c r="E1024" s="11">
        <f>17.0022 * CHOOSE(CONTROL!$C$32, $C$9, 100%, $E$9)</f>
        <v>17.002199999999998</v>
      </c>
      <c r="F1024" s="11">
        <f>17.0022 * CHOOSE(CONTROL!$C$32, $C$9, 100%, $E$9)</f>
        <v>17.002199999999998</v>
      </c>
      <c r="G1024" s="11">
        <f>17.0059 * CHOOSE(CONTROL!$C$32, $C$9, 100%, $E$9)</f>
        <v>17.0059</v>
      </c>
      <c r="H1024" s="11">
        <f>34.8577 * CHOOSE(CONTROL!$C$32, $C$9, 100%, $E$9)</f>
        <v>34.857700000000001</v>
      </c>
      <c r="I1024" s="11">
        <f>34.8614 * CHOOSE(CONTROL!$C$32, $C$9, 100%, $E$9)</f>
        <v>34.861400000000003</v>
      </c>
      <c r="J1024" s="11">
        <f>34.8577 * CHOOSE(CONTROL!$C$32, $C$9, 100%, $E$9)</f>
        <v>34.857700000000001</v>
      </c>
      <c r="K1024" s="11">
        <f>34.8614 * CHOOSE(CONTROL!$C$32, $C$9, 100%, $E$9)</f>
        <v>34.861400000000003</v>
      </c>
      <c r="L1024" s="11">
        <f>17.0022 * CHOOSE(CONTROL!$C$32, $C$9, 100%, $E$9)</f>
        <v>17.002199999999998</v>
      </c>
      <c r="M1024" s="11">
        <f>17.0059 * CHOOSE(CONTROL!$C$32, $C$9, 100%, $E$9)</f>
        <v>17.0059</v>
      </c>
      <c r="N1024" s="11">
        <f>17.0022 * CHOOSE(CONTROL!$C$32, $C$9, 100%, $E$9)</f>
        <v>17.002199999999998</v>
      </c>
      <c r="O1024" s="11">
        <f>17.0059 * CHOOSE(CONTROL!$C$32, $C$9, 100%, $E$9)</f>
        <v>17.0059</v>
      </c>
    </row>
    <row r="1025" spans="1:15" ht="15" x14ac:dyDescent="0.2">
      <c r="A1025" s="13">
        <v>72046</v>
      </c>
      <c r="B1025" s="9">
        <f>15.1922 * CHOOSE(CONTROL!$C$32, $C$9, 100%, $E$9)</f>
        <v>15.1922</v>
      </c>
      <c r="C1025" s="9">
        <f>15.1922 * CHOOSE(CONTROL!$C$32, $C$9, 100%, $E$9)</f>
        <v>15.1922</v>
      </c>
      <c r="D1025" s="9">
        <f>15.1932 * CHOOSE(CONTROL!$C$32, $C$9, 100%, $E$9)</f>
        <v>15.193199999999999</v>
      </c>
      <c r="E1025" s="11">
        <f>17.4046 * CHOOSE(CONTROL!$C$32, $C$9, 100%, $E$9)</f>
        <v>17.404599999999999</v>
      </c>
      <c r="F1025" s="11">
        <f>17.4046 * CHOOSE(CONTROL!$C$32, $C$9, 100%, $E$9)</f>
        <v>17.404599999999999</v>
      </c>
      <c r="G1025" s="11">
        <f>17.4082 * CHOOSE(CONTROL!$C$32, $C$9, 100%, $E$9)</f>
        <v>17.408200000000001</v>
      </c>
      <c r="H1025" s="11">
        <f>34.9304 * CHOOSE(CONTROL!$C$32, $C$9, 100%, $E$9)</f>
        <v>34.930399999999999</v>
      </c>
      <c r="I1025" s="11">
        <f>34.934 * CHOOSE(CONTROL!$C$32, $C$9, 100%, $E$9)</f>
        <v>34.933999999999997</v>
      </c>
      <c r="J1025" s="11">
        <f>34.9304 * CHOOSE(CONTROL!$C$32, $C$9, 100%, $E$9)</f>
        <v>34.930399999999999</v>
      </c>
      <c r="K1025" s="11">
        <f>34.934 * CHOOSE(CONTROL!$C$32, $C$9, 100%, $E$9)</f>
        <v>34.933999999999997</v>
      </c>
      <c r="L1025" s="11">
        <f>17.4046 * CHOOSE(CONTROL!$C$32, $C$9, 100%, $E$9)</f>
        <v>17.404599999999999</v>
      </c>
      <c r="M1025" s="11">
        <f>17.4082 * CHOOSE(CONTROL!$C$32, $C$9, 100%, $E$9)</f>
        <v>17.408200000000001</v>
      </c>
      <c r="N1025" s="11">
        <f>17.4046 * CHOOSE(CONTROL!$C$32, $C$9, 100%, $E$9)</f>
        <v>17.404599999999999</v>
      </c>
      <c r="O1025" s="11">
        <f>17.4082 * CHOOSE(CONTROL!$C$32, $C$9, 100%, $E$9)</f>
        <v>17.408200000000001</v>
      </c>
    </row>
    <row r="1026" spans="1:15" ht="15" x14ac:dyDescent="0.2">
      <c r="A1026" s="13">
        <v>72076</v>
      </c>
      <c r="B1026" s="9">
        <f>15.1922 * CHOOSE(CONTROL!$C$32, $C$9, 100%, $E$9)</f>
        <v>15.1922</v>
      </c>
      <c r="C1026" s="9">
        <f>15.1922 * CHOOSE(CONTROL!$C$32, $C$9, 100%, $E$9)</f>
        <v>15.1922</v>
      </c>
      <c r="D1026" s="9">
        <f>15.1938 * CHOOSE(CONTROL!$C$32, $C$9, 100%, $E$9)</f>
        <v>15.1938</v>
      </c>
      <c r="E1026" s="11">
        <f>17.5571 * CHOOSE(CONTROL!$C$32, $C$9, 100%, $E$9)</f>
        <v>17.557099999999998</v>
      </c>
      <c r="F1026" s="11">
        <f>17.5571 * CHOOSE(CONTROL!$C$32, $C$9, 100%, $E$9)</f>
        <v>17.557099999999998</v>
      </c>
      <c r="G1026" s="11">
        <f>17.5623 * CHOOSE(CONTROL!$C$32, $C$9, 100%, $E$9)</f>
        <v>17.5623</v>
      </c>
      <c r="H1026" s="11">
        <f>35.0031 * CHOOSE(CONTROL!$C$32, $C$9, 100%, $E$9)</f>
        <v>35.003100000000003</v>
      </c>
      <c r="I1026" s="11">
        <f>35.0084 * CHOOSE(CONTROL!$C$32, $C$9, 100%, $E$9)</f>
        <v>35.008400000000002</v>
      </c>
      <c r="J1026" s="11">
        <f>35.0031 * CHOOSE(CONTROL!$C$32, $C$9, 100%, $E$9)</f>
        <v>35.003100000000003</v>
      </c>
      <c r="K1026" s="11">
        <f>35.0084 * CHOOSE(CONTROL!$C$32, $C$9, 100%, $E$9)</f>
        <v>35.008400000000002</v>
      </c>
      <c r="L1026" s="11">
        <f>17.5571 * CHOOSE(CONTROL!$C$32, $C$9, 100%, $E$9)</f>
        <v>17.557099999999998</v>
      </c>
      <c r="M1026" s="11">
        <f>17.5623 * CHOOSE(CONTROL!$C$32, $C$9, 100%, $E$9)</f>
        <v>17.5623</v>
      </c>
      <c r="N1026" s="11">
        <f>17.5571 * CHOOSE(CONTROL!$C$32, $C$9, 100%, $E$9)</f>
        <v>17.557099999999998</v>
      </c>
      <c r="O1026" s="11">
        <f>17.5623 * CHOOSE(CONTROL!$C$32, $C$9, 100%, $E$9)</f>
        <v>17.5623</v>
      </c>
    </row>
    <row r="1027" spans="1:15" ht="15" x14ac:dyDescent="0.2">
      <c r="A1027" s="13">
        <v>72107</v>
      </c>
      <c r="B1027" s="9">
        <f>15.1983 * CHOOSE(CONTROL!$C$32, $C$9, 100%, $E$9)</f>
        <v>15.1983</v>
      </c>
      <c r="C1027" s="9">
        <f>15.1983 * CHOOSE(CONTROL!$C$32, $C$9, 100%, $E$9)</f>
        <v>15.1983</v>
      </c>
      <c r="D1027" s="9">
        <f>15.1998 * CHOOSE(CONTROL!$C$32, $C$9, 100%, $E$9)</f>
        <v>15.1998</v>
      </c>
      <c r="E1027" s="11">
        <f>17.4088 * CHOOSE(CONTROL!$C$32, $C$9, 100%, $E$9)</f>
        <v>17.408799999999999</v>
      </c>
      <c r="F1027" s="11">
        <f>17.4088 * CHOOSE(CONTROL!$C$32, $C$9, 100%, $E$9)</f>
        <v>17.408799999999999</v>
      </c>
      <c r="G1027" s="11">
        <f>17.4141 * CHOOSE(CONTROL!$C$32, $C$9, 100%, $E$9)</f>
        <v>17.414100000000001</v>
      </c>
      <c r="H1027" s="11">
        <f>35.0761 * CHOOSE(CONTROL!$C$32, $C$9, 100%, $E$9)</f>
        <v>35.076099999999997</v>
      </c>
      <c r="I1027" s="11">
        <f>35.0813 * CHOOSE(CONTROL!$C$32, $C$9, 100%, $E$9)</f>
        <v>35.081299999999999</v>
      </c>
      <c r="J1027" s="11">
        <f>35.0761 * CHOOSE(CONTROL!$C$32, $C$9, 100%, $E$9)</f>
        <v>35.076099999999997</v>
      </c>
      <c r="K1027" s="11">
        <f>35.0813 * CHOOSE(CONTROL!$C$32, $C$9, 100%, $E$9)</f>
        <v>35.081299999999999</v>
      </c>
      <c r="L1027" s="11">
        <f>17.4088 * CHOOSE(CONTROL!$C$32, $C$9, 100%, $E$9)</f>
        <v>17.408799999999999</v>
      </c>
      <c r="M1027" s="11">
        <f>17.4141 * CHOOSE(CONTROL!$C$32, $C$9, 100%, $E$9)</f>
        <v>17.414100000000001</v>
      </c>
      <c r="N1027" s="11">
        <f>17.4088 * CHOOSE(CONTROL!$C$32, $C$9, 100%, $E$9)</f>
        <v>17.408799999999999</v>
      </c>
      <c r="O1027" s="11">
        <f>17.4141 * CHOOSE(CONTROL!$C$32, $C$9, 100%, $E$9)</f>
        <v>17.414100000000001</v>
      </c>
    </row>
    <row r="1028" spans="1:15" ht="15" x14ac:dyDescent="0.2">
      <c r="A1028" s="13">
        <v>72137</v>
      </c>
      <c r="B1028" s="9">
        <f>15.3797 * CHOOSE(CONTROL!$C$32, $C$9, 100%, $E$9)</f>
        <v>15.3797</v>
      </c>
      <c r="C1028" s="9">
        <f>15.3797 * CHOOSE(CONTROL!$C$32, $C$9, 100%, $E$9)</f>
        <v>15.3797</v>
      </c>
      <c r="D1028" s="9">
        <f>15.3812 * CHOOSE(CONTROL!$C$32, $C$9, 100%, $E$9)</f>
        <v>15.3812</v>
      </c>
      <c r="E1028" s="11">
        <f>17.6566 * CHOOSE(CONTROL!$C$32, $C$9, 100%, $E$9)</f>
        <v>17.656600000000001</v>
      </c>
      <c r="F1028" s="11">
        <f>17.6566 * CHOOSE(CONTROL!$C$32, $C$9, 100%, $E$9)</f>
        <v>17.656600000000001</v>
      </c>
      <c r="G1028" s="11">
        <f>17.6619 * CHOOSE(CONTROL!$C$32, $C$9, 100%, $E$9)</f>
        <v>17.661899999999999</v>
      </c>
      <c r="H1028" s="11">
        <f>35.1491 * CHOOSE(CONTROL!$C$32, $C$9, 100%, $E$9)</f>
        <v>35.149099999999997</v>
      </c>
      <c r="I1028" s="11">
        <f>35.1544 * CHOOSE(CONTROL!$C$32, $C$9, 100%, $E$9)</f>
        <v>35.154400000000003</v>
      </c>
      <c r="J1028" s="11">
        <f>35.1491 * CHOOSE(CONTROL!$C$32, $C$9, 100%, $E$9)</f>
        <v>35.149099999999997</v>
      </c>
      <c r="K1028" s="11">
        <f>35.1544 * CHOOSE(CONTROL!$C$32, $C$9, 100%, $E$9)</f>
        <v>35.154400000000003</v>
      </c>
      <c r="L1028" s="11">
        <f>17.6566 * CHOOSE(CONTROL!$C$32, $C$9, 100%, $E$9)</f>
        <v>17.656600000000001</v>
      </c>
      <c r="M1028" s="11">
        <f>17.6619 * CHOOSE(CONTROL!$C$32, $C$9, 100%, $E$9)</f>
        <v>17.661899999999999</v>
      </c>
      <c r="N1028" s="11">
        <f>17.6566 * CHOOSE(CONTROL!$C$32, $C$9, 100%, $E$9)</f>
        <v>17.656600000000001</v>
      </c>
      <c r="O1028" s="11">
        <f>17.6619 * CHOOSE(CONTROL!$C$32, $C$9, 100%, $E$9)</f>
        <v>17.661899999999999</v>
      </c>
    </row>
    <row r="1029" spans="1:15" ht="15" x14ac:dyDescent="0.2">
      <c r="A1029" s="13">
        <v>72168</v>
      </c>
      <c r="B1029" s="9">
        <f>15.3863 * CHOOSE(CONTROL!$C$32, $C$9, 100%, $E$9)</f>
        <v>15.3863</v>
      </c>
      <c r="C1029" s="9">
        <f>15.3863 * CHOOSE(CONTROL!$C$32, $C$9, 100%, $E$9)</f>
        <v>15.3863</v>
      </c>
      <c r="D1029" s="9">
        <f>15.3879 * CHOOSE(CONTROL!$C$32, $C$9, 100%, $E$9)</f>
        <v>15.3879</v>
      </c>
      <c r="E1029" s="11">
        <f>17.2038 * CHOOSE(CONTROL!$C$32, $C$9, 100%, $E$9)</f>
        <v>17.203800000000001</v>
      </c>
      <c r="F1029" s="11">
        <f>17.2038 * CHOOSE(CONTROL!$C$32, $C$9, 100%, $E$9)</f>
        <v>17.203800000000001</v>
      </c>
      <c r="G1029" s="11">
        <f>17.2091 * CHOOSE(CONTROL!$C$32, $C$9, 100%, $E$9)</f>
        <v>17.209099999999999</v>
      </c>
      <c r="H1029" s="11">
        <f>35.2224 * CHOOSE(CONTROL!$C$32, $C$9, 100%, $E$9)</f>
        <v>35.2224</v>
      </c>
      <c r="I1029" s="11">
        <f>35.2276 * CHOOSE(CONTROL!$C$32, $C$9, 100%, $E$9)</f>
        <v>35.227600000000002</v>
      </c>
      <c r="J1029" s="11">
        <f>35.2224 * CHOOSE(CONTROL!$C$32, $C$9, 100%, $E$9)</f>
        <v>35.2224</v>
      </c>
      <c r="K1029" s="11">
        <f>35.2276 * CHOOSE(CONTROL!$C$32, $C$9, 100%, $E$9)</f>
        <v>35.227600000000002</v>
      </c>
      <c r="L1029" s="11">
        <f>17.2038 * CHOOSE(CONTROL!$C$32, $C$9, 100%, $E$9)</f>
        <v>17.203800000000001</v>
      </c>
      <c r="M1029" s="11">
        <f>17.2091 * CHOOSE(CONTROL!$C$32, $C$9, 100%, $E$9)</f>
        <v>17.209099999999999</v>
      </c>
      <c r="N1029" s="11">
        <f>17.2038 * CHOOSE(CONTROL!$C$32, $C$9, 100%, $E$9)</f>
        <v>17.203800000000001</v>
      </c>
      <c r="O1029" s="11">
        <f>17.2091 * CHOOSE(CONTROL!$C$32, $C$9, 100%, $E$9)</f>
        <v>17.209099999999999</v>
      </c>
    </row>
    <row r="1030" spans="1:15" ht="15" x14ac:dyDescent="0.2">
      <c r="A1030" s="13">
        <v>72199</v>
      </c>
      <c r="B1030" s="9">
        <f>15.3833 * CHOOSE(CONTROL!$C$32, $C$9, 100%, $E$9)</f>
        <v>15.3833</v>
      </c>
      <c r="C1030" s="9">
        <f>15.3833 * CHOOSE(CONTROL!$C$32, $C$9, 100%, $E$9)</f>
        <v>15.3833</v>
      </c>
      <c r="D1030" s="9">
        <f>15.3849 * CHOOSE(CONTROL!$C$32, $C$9, 100%, $E$9)</f>
        <v>15.3849</v>
      </c>
      <c r="E1030" s="11">
        <f>17.1509 * CHOOSE(CONTROL!$C$32, $C$9, 100%, $E$9)</f>
        <v>17.1509</v>
      </c>
      <c r="F1030" s="11">
        <f>17.1509 * CHOOSE(CONTROL!$C$32, $C$9, 100%, $E$9)</f>
        <v>17.1509</v>
      </c>
      <c r="G1030" s="11">
        <f>17.1562 * CHOOSE(CONTROL!$C$32, $C$9, 100%, $E$9)</f>
        <v>17.156199999999998</v>
      </c>
      <c r="H1030" s="11">
        <f>35.2957 * CHOOSE(CONTROL!$C$32, $C$9, 100%, $E$9)</f>
        <v>35.295699999999997</v>
      </c>
      <c r="I1030" s="11">
        <f>35.301 * CHOOSE(CONTROL!$C$32, $C$9, 100%, $E$9)</f>
        <v>35.301000000000002</v>
      </c>
      <c r="J1030" s="11">
        <f>35.2957 * CHOOSE(CONTROL!$C$32, $C$9, 100%, $E$9)</f>
        <v>35.295699999999997</v>
      </c>
      <c r="K1030" s="11">
        <f>35.301 * CHOOSE(CONTROL!$C$32, $C$9, 100%, $E$9)</f>
        <v>35.301000000000002</v>
      </c>
      <c r="L1030" s="11">
        <f>17.1509 * CHOOSE(CONTROL!$C$32, $C$9, 100%, $E$9)</f>
        <v>17.1509</v>
      </c>
      <c r="M1030" s="11">
        <f>17.1562 * CHOOSE(CONTROL!$C$32, $C$9, 100%, $E$9)</f>
        <v>17.156199999999998</v>
      </c>
      <c r="N1030" s="11">
        <f>17.1509 * CHOOSE(CONTROL!$C$32, $C$9, 100%, $E$9)</f>
        <v>17.1509</v>
      </c>
      <c r="O1030" s="11">
        <f>17.1562 * CHOOSE(CONTROL!$C$32, $C$9, 100%, $E$9)</f>
        <v>17.156199999999998</v>
      </c>
    </row>
    <row r="1031" spans="1:15" ht="15" x14ac:dyDescent="0.2">
      <c r="A1031" s="13">
        <v>72229</v>
      </c>
      <c r="B1031" s="9">
        <f>15.4209 * CHOOSE(CONTROL!$C$32, $C$9, 100%, $E$9)</f>
        <v>15.4209</v>
      </c>
      <c r="C1031" s="9">
        <f>15.4209 * CHOOSE(CONTROL!$C$32, $C$9, 100%, $E$9)</f>
        <v>15.4209</v>
      </c>
      <c r="D1031" s="9">
        <f>15.422 * CHOOSE(CONTROL!$C$32, $C$9, 100%, $E$9)</f>
        <v>15.422000000000001</v>
      </c>
      <c r="E1031" s="11">
        <f>17.3408 * CHOOSE(CONTROL!$C$32, $C$9, 100%, $E$9)</f>
        <v>17.340800000000002</v>
      </c>
      <c r="F1031" s="11">
        <f>17.3408 * CHOOSE(CONTROL!$C$32, $C$9, 100%, $E$9)</f>
        <v>17.340800000000002</v>
      </c>
      <c r="G1031" s="11">
        <f>17.3444 * CHOOSE(CONTROL!$C$32, $C$9, 100%, $E$9)</f>
        <v>17.3444</v>
      </c>
      <c r="H1031" s="11">
        <f>35.3693 * CHOOSE(CONTROL!$C$32, $C$9, 100%, $E$9)</f>
        <v>35.369300000000003</v>
      </c>
      <c r="I1031" s="11">
        <f>35.3729 * CHOOSE(CONTROL!$C$32, $C$9, 100%, $E$9)</f>
        <v>35.372900000000001</v>
      </c>
      <c r="J1031" s="11">
        <f>35.3693 * CHOOSE(CONTROL!$C$32, $C$9, 100%, $E$9)</f>
        <v>35.369300000000003</v>
      </c>
      <c r="K1031" s="11">
        <f>35.3729 * CHOOSE(CONTROL!$C$32, $C$9, 100%, $E$9)</f>
        <v>35.372900000000001</v>
      </c>
      <c r="L1031" s="11">
        <f>17.3408 * CHOOSE(CONTROL!$C$32, $C$9, 100%, $E$9)</f>
        <v>17.340800000000002</v>
      </c>
      <c r="M1031" s="11">
        <f>17.3444 * CHOOSE(CONTROL!$C$32, $C$9, 100%, $E$9)</f>
        <v>17.3444</v>
      </c>
      <c r="N1031" s="11">
        <f>17.3408 * CHOOSE(CONTROL!$C$32, $C$9, 100%, $E$9)</f>
        <v>17.340800000000002</v>
      </c>
      <c r="O1031" s="11">
        <f>17.3444 * CHOOSE(CONTROL!$C$32, $C$9, 100%, $E$9)</f>
        <v>17.3444</v>
      </c>
    </row>
    <row r="1032" spans="1:15" ht="15" x14ac:dyDescent="0.2">
      <c r="A1032" s="13">
        <v>72260</v>
      </c>
      <c r="B1032" s="9">
        <f>15.424 * CHOOSE(CONTROL!$C$32, $C$9, 100%, $E$9)</f>
        <v>15.423999999999999</v>
      </c>
      <c r="C1032" s="9">
        <f>15.424 * CHOOSE(CONTROL!$C$32, $C$9, 100%, $E$9)</f>
        <v>15.423999999999999</v>
      </c>
      <c r="D1032" s="9">
        <f>15.425 * CHOOSE(CONTROL!$C$32, $C$9, 100%, $E$9)</f>
        <v>15.425000000000001</v>
      </c>
      <c r="E1032" s="11">
        <f>17.4445 * CHOOSE(CONTROL!$C$32, $C$9, 100%, $E$9)</f>
        <v>17.444500000000001</v>
      </c>
      <c r="F1032" s="11">
        <f>17.4445 * CHOOSE(CONTROL!$C$32, $C$9, 100%, $E$9)</f>
        <v>17.444500000000001</v>
      </c>
      <c r="G1032" s="11">
        <f>17.4482 * CHOOSE(CONTROL!$C$32, $C$9, 100%, $E$9)</f>
        <v>17.4482</v>
      </c>
      <c r="H1032" s="11">
        <f>35.443 * CHOOSE(CONTROL!$C$32, $C$9, 100%, $E$9)</f>
        <v>35.442999999999998</v>
      </c>
      <c r="I1032" s="11">
        <f>35.4466 * CHOOSE(CONTROL!$C$32, $C$9, 100%, $E$9)</f>
        <v>35.446599999999997</v>
      </c>
      <c r="J1032" s="11">
        <f>35.443 * CHOOSE(CONTROL!$C$32, $C$9, 100%, $E$9)</f>
        <v>35.442999999999998</v>
      </c>
      <c r="K1032" s="11">
        <f>35.4466 * CHOOSE(CONTROL!$C$32, $C$9, 100%, $E$9)</f>
        <v>35.446599999999997</v>
      </c>
      <c r="L1032" s="11">
        <f>17.4445 * CHOOSE(CONTROL!$C$32, $C$9, 100%, $E$9)</f>
        <v>17.444500000000001</v>
      </c>
      <c r="M1032" s="11">
        <f>17.4482 * CHOOSE(CONTROL!$C$32, $C$9, 100%, $E$9)</f>
        <v>17.4482</v>
      </c>
      <c r="N1032" s="11">
        <f>17.4445 * CHOOSE(CONTROL!$C$32, $C$9, 100%, $E$9)</f>
        <v>17.444500000000001</v>
      </c>
      <c r="O1032" s="11">
        <f>17.4482 * CHOOSE(CONTROL!$C$32, $C$9, 100%, $E$9)</f>
        <v>17.4482</v>
      </c>
    </row>
    <row r="1033" spans="1:15" ht="15" x14ac:dyDescent="0.2">
      <c r="A1033" s="13">
        <v>72290</v>
      </c>
      <c r="B1033" s="9">
        <f>15.424 * CHOOSE(CONTROL!$C$32, $C$9, 100%, $E$9)</f>
        <v>15.423999999999999</v>
      </c>
      <c r="C1033" s="9">
        <f>15.424 * CHOOSE(CONTROL!$C$32, $C$9, 100%, $E$9)</f>
        <v>15.423999999999999</v>
      </c>
      <c r="D1033" s="9">
        <f>15.425 * CHOOSE(CONTROL!$C$32, $C$9, 100%, $E$9)</f>
        <v>15.425000000000001</v>
      </c>
      <c r="E1033" s="11">
        <f>17.1904 * CHOOSE(CONTROL!$C$32, $C$9, 100%, $E$9)</f>
        <v>17.1904</v>
      </c>
      <c r="F1033" s="11">
        <f>17.1904 * CHOOSE(CONTROL!$C$32, $C$9, 100%, $E$9)</f>
        <v>17.1904</v>
      </c>
      <c r="G1033" s="11">
        <f>17.194 * CHOOSE(CONTROL!$C$32, $C$9, 100%, $E$9)</f>
        <v>17.193999999999999</v>
      </c>
      <c r="H1033" s="11">
        <f>35.5168 * CHOOSE(CONTROL!$C$32, $C$9, 100%, $E$9)</f>
        <v>35.516800000000003</v>
      </c>
      <c r="I1033" s="11">
        <f>35.5204 * CHOOSE(CONTROL!$C$32, $C$9, 100%, $E$9)</f>
        <v>35.520400000000002</v>
      </c>
      <c r="J1033" s="11">
        <f>35.5168 * CHOOSE(CONTROL!$C$32, $C$9, 100%, $E$9)</f>
        <v>35.516800000000003</v>
      </c>
      <c r="K1033" s="11">
        <f>35.5204 * CHOOSE(CONTROL!$C$32, $C$9, 100%, $E$9)</f>
        <v>35.520400000000002</v>
      </c>
      <c r="L1033" s="11">
        <f>17.1904 * CHOOSE(CONTROL!$C$32, $C$9, 100%, $E$9)</f>
        <v>17.1904</v>
      </c>
      <c r="M1033" s="11">
        <f>17.194 * CHOOSE(CONTROL!$C$32, $C$9, 100%, $E$9)</f>
        <v>17.193999999999999</v>
      </c>
      <c r="N1033" s="11">
        <f>17.1904 * CHOOSE(CONTROL!$C$32, $C$9, 100%, $E$9)</f>
        <v>17.1904</v>
      </c>
      <c r="O1033" s="11">
        <f>17.194 * CHOOSE(CONTROL!$C$32, $C$9, 100%, $E$9)</f>
        <v>17.193999999999999</v>
      </c>
    </row>
    <row r="1034" spans="1:15" ht="15" x14ac:dyDescent="0.2">
      <c r="A1034" s="13">
        <v>72321</v>
      </c>
      <c r="B1034" s="9">
        <f>15.3771 * CHOOSE(CONTROL!$C$32, $C$9, 100%, $E$9)</f>
        <v>15.3771</v>
      </c>
      <c r="C1034" s="9">
        <f>15.3771 * CHOOSE(CONTROL!$C$32, $C$9, 100%, $E$9)</f>
        <v>15.3771</v>
      </c>
      <c r="D1034" s="9">
        <f>15.3782 * CHOOSE(CONTROL!$C$32, $C$9, 100%, $E$9)</f>
        <v>15.3782</v>
      </c>
      <c r="E1034" s="11">
        <f>17.3206 * CHOOSE(CONTROL!$C$32, $C$9, 100%, $E$9)</f>
        <v>17.320599999999999</v>
      </c>
      <c r="F1034" s="11">
        <f>17.3206 * CHOOSE(CONTROL!$C$32, $C$9, 100%, $E$9)</f>
        <v>17.320599999999999</v>
      </c>
      <c r="G1034" s="11">
        <f>17.3243 * CHOOSE(CONTROL!$C$32, $C$9, 100%, $E$9)</f>
        <v>17.324300000000001</v>
      </c>
      <c r="H1034" s="11">
        <f>35.1665 * CHOOSE(CONTROL!$C$32, $C$9, 100%, $E$9)</f>
        <v>35.166499999999999</v>
      </c>
      <c r="I1034" s="11">
        <f>35.1701 * CHOOSE(CONTROL!$C$32, $C$9, 100%, $E$9)</f>
        <v>35.170099999999998</v>
      </c>
      <c r="J1034" s="11">
        <f>35.1665 * CHOOSE(CONTROL!$C$32, $C$9, 100%, $E$9)</f>
        <v>35.166499999999999</v>
      </c>
      <c r="K1034" s="11">
        <f>35.1701 * CHOOSE(CONTROL!$C$32, $C$9, 100%, $E$9)</f>
        <v>35.170099999999998</v>
      </c>
      <c r="L1034" s="11">
        <f>17.3206 * CHOOSE(CONTROL!$C$32, $C$9, 100%, $E$9)</f>
        <v>17.320599999999999</v>
      </c>
      <c r="M1034" s="11">
        <f>17.3243 * CHOOSE(CONTROL!$C$32, $C$9, 100%, $E$9)</f>
        <v>17.324300000000001</v>
      </c>
      <c r="N1034" s="11">
        <f>17.3206 * CHOOSE(CONTROL!$C$32, $C$9, 100%, $E$9)</f>
        <v>17.320599999999999</v>
      </c>
      <c r="O1034" s="11">
        <f>17.3243 * CHOOSE(CONTROL!$C$32, $C$9, 100%, $E$9)</f>
        <v>17.324300000000001</v>
      </c>
    </row>
    <row r="1035" spans="1:15" ht="15" x14ac:dyDescent="0.2">
      <c r="A1035" s="13">
        <v>72352</v>
      </c>
      <c r="B1035" s="9">
        <f>15.3741 * CHOOSE(CONTROL!$C$32, $C$9, 100%, $E$9)</f>
        <v>15.3741</v>
      </c>
      <c r="C1035" s="9">
        <f>15.3741 * CHOOSE(CONTROL!$C$32, $C$9, 100%, $E$9)</f>
        <v>15.3741</v>
      </c>
      <c r="D1035" s="9">
        <f>15.3751 * CHOOSE(CONTROL!$C$32, $C$9, 100%, $E$9)</f>
        <v>15.3751</v>
      </c>
      <c r="E1035" s="11">
        <f>16.8312 * CHOOSE(CONTROL!$C$32, $C$9, 100%, $E$9)</f>
        <v>16.831199999999999</v>
      </c>
      <c r="F1035" s="11">
        <f>16.8312 * CHOOSE(CONTROL!$C$32, $C$9, 100%, $E$9)</f>
        <v>16.831199999999999</v>
      </c>
      <c r="G1035" s="11">
        <f>16.8348 * CHOOSE(CONTROL!$C$32, $C$9, 100%, $E$9)</f>
        <v>16.834800000000001</v>
      </c>
      <c r="H1035" s="11">
        <f>35.2397 * CHOOSE(CONTROL!$C$32, $C$9, 100%, $E$9)</f>
        <v>35.239699999999999</v>
      </c>
      <c r="I1035" s="11">
        <f>35.2433 * CHOOSE(CONTROL!$C$32, $C$9, 100%, $E$9)</f>
        <v>35.243299999999998</v>
      </c>
      <c r="J1035" s="11">
        <f>35.2397 * CHOOSE(CONTROL!$C$32, $C$9, 100%, $E$9)</f>
        <v>35.239699999999999</v>
      </c>
      <c r="K1035" s="11">
        <f>35.2433 * CHOOSE(CONTROL!$C$32, $C$9, 100%, $E$9)</f>
        <v>35.243299999999998</v>
      </c>
      <c r="L1035" s="11">
        <f>16.8312 * CHOOSE(CONTROL!$C$32, $C$9, 100%, $E$9)</f>
        <v>16.831199999999999</v>
      </c>
      <c r="M1035" s="11">
        <f>16.8348 * CHOOSE(CONTROL!$C$32, $C$9, 100%, $E$9)</f>
        <v>16.834800000000001</v>
      </c>
      <c r="N1035" s="11">
        <f>16.8312 * CHOOSE(CONTROL!$C$32, $C$9, 100%, $E$9)</f>
        <v>16.831199999999999</v>
      </c>
      <c r="O1035" s="11">
        <f>16.8348 * CHOOSE(CONTROL!$C$32, $C$9, 100%, $E$9)</f>
        <v>16.834800000000001</v>
      </c>
    </row>
    <row r="1036" spans="1:15" ht="15" x14ac:dyDescent="0.2">
      <c r="A1036" s="13">
        <v>72380</v>
      </c>
      <c r="B1036" s="9">
        <f>15.371 * CHOOSE(CONTROL!$C$32, $C$9, 100%, $E$9)</f>
        <v>15.371</v>
      </c>
      <c r="C1036" s="9">
        <f>15.371 * CHOOSE(CONTROL!$C$32, $C$9, 100%, $E$9)</f>
        <v>15.371</v>
      </c>
      <c r="D1036" s="9">
        <f>15.3721 * CHOOSE(CONTROL!$C$32, $C$9, 100%, $E$9)</f>
        <v>15.3721</v>
      </c>
      <c r="E1036" s="11">
        <f>17.2133 * CHOOSE(CONTROL!$C$32, $C$9, 100%, $E$9)</f>
        <v>17.2133</v>
      </c>
      <c r="F1036" s="11">
        <f>17.2133 * CHOOSE(CONTROL!$C$32, $C$9, 100%, $E$9)</f>
        <v>17.2133</v>
      </c>
      <c r="G1036" s="11">
        <f>17.2169 * CHOOSE(CONTROL!$C$32, $C$9, 100%, $E$9)</f>
        <v>17.216899999999999</v>
      </c>
      <c r="H1036" s="11">
        <f>35.3131 * CHOOSE(CONTROL!$C$32, $C$9, 100%, $E$9)</f>
        <v>35.313099999999999</v>
      </c>
      <c r="I1036" s="11">
        <f>35.3168 * CHOOSE(CONTROL!$C$32, $C$9, 100%, $E$9)</f>
        <v>35.316800000000001</v>
      </c>
      <c r="J1036" s="11">
        <f>35.3131 * CHOOSE(CONTROL!$C$32, $C$9, 100%, $E$9)</f>
        <v>35.313099999999999</v>
      </c>
      <c r="K1036" s="11">
        <f>35.3168 * CHOOSE(CONTROL!$C$32, $C$9, 100%, $E$9)</f>
        <v>35.316800000000001</v>
      </c>
      <c r="L1036" s="11">
        <f>17.2133 * CHOOSE(CONTROL!$C$32, $C$9, 100%, $E$9)</f>
        <v>17.2133</v>
      </c>
      <c r="M1036" s="11">
        <f>17.2169 * CHOOSE(CONTROL!$C$32, $C$9, 100%, $E$9)</f>
        <v>17.216899999999999</v>
      </c>
      <c r="N1036" s="11">
        <f>17.2133 * CHOOSE(CONTROL!$C$32, $C$9, 100%, $E$9)</f>
        <v>17.2133</v>
      </c>
      <c r="O1036" s="11">
        <f>17.2169 * CHOOSE(CONTROL!$C$32, $C$9, 100%, $E$9)</f>
        <v>17.216899999999999</v>
      </c>
    </row>
    <row r="1037" spans="1:15" ht="15" x14ac:dyDescent="0.2">
      <c r="A1037" s="13">
        <v>72411</v>
      </c>
      <c r="B1037" s="9">
        <f>15.3797 * CHOOSE(CONTROL!$C$32, $C$9, 100%, $E$9)</f>
        <v>15.3797</v>
      </c>
      <c r="C1037" s="9">
        <f>15.3797 * CHOOSE(CONTROL!$C$32, $C$9, 100%, $E$9)</f>
        <v>15.3797</v>
      </c>
      <c r="D1037" s="9">
        <f>15.3808 * CHOOSE(CONTROL!$C$32, $C$9, 100%, $E$9)</f>
        <v>15.380800000000001</v>
      </c>
      <c r="E1037" s="11">
        <f>17.6216 * CHOOSE(CONTROL!$C$32, $C$9, 100%, $E$9)</f>
        <v>17.621600000000001</v>
      </c>
      <c r="F1037" s="11">
        <f>17.6216 * CHOOSE(CONTROL!$C$32, $C$9, 100%, $E$9)</f>
        <v>17.621600000000001</v>
      </c>
      <c r="G1037" s="11">
        <f>17.6252 * CHOOSE(CONTROL!$C$32, $C$9, 100%, $E$9)</f>
        <v>17.6252</v>
      </c>
      <c r="H1037" s="11">
        <f>35.3867 * CHOOSE(CONTROL!$C$32, $C$9, 100%, $E$9)</f>
        <v>35.386699999999998</v>
      </c>
      <c r="I1037" s="11">
        <f>35.3903 * CHOOSE(CONTROL!$C$32, $C$9, 100%, $E$9)</f>
        <v>35.390300000000003</v>
      </c>
      <c r="J1037" s="11">
        <f>35.3867 * CHOOSE(CONTROL!$C$32, $C$9, 100%, $E$9)</f>
        <v>35.386699999999998</v>
      </c>
      <c r="K1037" s="11">
        <f>35.3903 * CHOOSE(CONTROL!$C$32, $C$9, 100%, $E$9)</f>
        <v>35.390300000000003</v>
      </c>
      <c r="L1037" s="11">
        <f>17.6216 * CHOOSE(CONTROL!$C$32, $C$9, 100%, $E$9)</f>
        <v>17.621600000000001</v>
      </c>
      <c r="M1037" s="11">
        <f>17.6252 * CHOOSE(CONTROL!$C$32, $C$9, 100%, $E$9)</f>
        <v>17.6252</v>
      </c>
      <c r="N1037" s="11">
        <f>17.6216 * CHOOSE(CONTROL!$C$32, $C$9, 100%, $E$9)</f>
        <v>17.621600000000001</v>
      </c>
      <c r="O1037" s="11">
        <f>17.6252 * CHOOSE(CONTROL!$C$32, $C$9, 100%, $E$9)</f>
        <v>17.6252</v>
      </c>
    </row>
    <row r="1038" spans="1:15" ht="15" x14ac:dyDescent="0.2">
      <c r="A1038" s="13">
        <v>72441</v>
      </c>
      <c r="B1038" s="9">
        <f>15.3797 * CHOOSE(CONTROL!$C$32, $C$9, 100%, $E$9)</f>
        <v>15.3797</v>
      </c>
      <c r="C1038" s="9">
        <f>15.3797 * CHOOSE(CONTROL!$C$32, $C$9, 100%, $E$9)</f>
        <v>15.3797</v>
      </c>
      <c r="D1038" s="9">
        <f>15.3813 * CHOOSE(CONTROL!$C$32, $C$9, 100%, $E$9)</f>
        <v>15.3813</v>
      </c>
      <c r="E1038" s="11">
        <f>17.7763 * CHOOSE(CONTROL!$C$32, $C$9, 100%, $E$9)</f>
        <v>17.776299999999999</v>
      </c>
      <c r="F1038" s="11">
        <f>17.7763 * CHOOSE(CONTROL!$C$32, $C$9, 100%, $E$9)</f>
        <v>17.776299999999999</v>
      </c>
      <c r="G1038" s="11">
        <f>17.7816 * CHOOSE(CONTROL!$C$32, $C$9, 100%, $E$9)</f>
        <v>17.781600000000001</v>
      </c>
      <c r="H1038" s="11">
        <f>35.4604 * CHOOSE(CONTROL!$C$32, $C$9, 100%, $E$9)</f>
        <v>35.4604</v>
      </c>
      <c r="I1038" s="11">
        <f>35.4657 * CHOOSE(CONTROL!$C$32, $C$9, 100%, $E$9)</f>
        <v>35.465699999999998</v>
      </c>
      <c r="J1038" s="11">
        <f>35.4604 * CHOOSE(CONTROL!$C$32, $C$9, 100%, $E$9)</f>
        <v>35.4604</v>
      </c>
      <c r="K1038" s="11">
        <f>35.4657 * CHOOSE(CONTROL!$C$32, $C$9, 100%, $E$9)</f>
        <v>35.465699999999998</v>
      </c>
      <c r="L1038" s="11">
        <f>17.7763 * CHOOSE(CONTROL!$C$32, $C$9, 100%, $E$9)</f>
        <v>17.776299999999999</v>
      </c>
      <c r="M1038" s="11">
        <f>17.7816 * CHOOSE(CONTROL!$C$32, $C$9, 100%, $E$9)</f>
        <v>17.781600000000001</v>
      </c>
      <c r="N1038" s="11">
        <f>17.7763 * CHOOSE(CONTROL!$C$32, $C$9, 100%, $E$9)</f>
        <v>17.776299999999999</v>
      </c>
      <c r="O1038" s="11">
        <f>17.7816 * CHOOSE(CONTROL!$C$32, $C$9, 100%, $E$9)</f>
        <v>17.781600000000001</v>
      </c>
    </row>
    <row r="1039" spans="1:15" ht="15" x14ac:dyDescent="0.2">
      <c r="A1039" s="13">
        <v>72472</v>
      </c>
      <c r="B1039" s="9">
        <f>15.3858 * CHOOSE(CONTROL!$C$32, $C$9, 100%, $E$9)</f>
        <v>15.3858</v>
      </c>
      <c r="C1039" s="9">
        <f>15.3858 * CHOOSE(CONTROL!$C$32, $C$9, 100%, $E$9)</f>
        <v>15.3858</v>
      </c>
      <c r="D1039" s="9">
        <f>15.3874 * CHOOSE(CONTROL!$C$32, $C$9, 100%, $E$9)</f>
        <v>15.3874</v>
      </c>
      <c r="E1039" s="11">
        <f>17.6258 * CHOOSE(CONTROL!$C$32, $C$9, 100%, $E$9)</f>
        <v>17.625800000000002</v>
      </c>
      <c r="F1039" s="11">
        <f>17.6258 * CHOOSE(CONTROL!$C$32, $C$9, 100%, $E$9)</f>
        <v>17.625800000000002</v>
      </c>
      <c r="G1039" s="11">
        <f>17.6311 * CHOOSE(CONTROL!$C$32, $C$9, 100%, $E$9)</f>
        <v>17.6311</v>
      </c>
      <c r="H1039" s="11">
        <f>35.5343 * CHOOSE(CONTROL!$C$32, $C$9, 100%, $E$9)</f>
        <v>35.534300000000002</v>
      </c>
      <c r="I1039" s="11">
        <f>35.5396 * CHOOSE(CONTROL!$C$32, $C$9, 100%, $E$9)</f>
        <v>35.5396</v>
      </c>
      <c r="J1039" s="11">
        <f>35.5343 * CHOOSE(CONTROL!$C$32, $C$9, 100%, $E$9)</f>
        <v>35.534300000000002</v>
      </c>
      <c r="K1039" s="11">
        <f>35.5396 * CHOOSE(CONTROL!$C$32, $C$9, 100%, $E$9)</f>
        <v>35.5396</v>
      </c>
      <c r="L1039" s="11">
        <f>17.6258 * CHOOSE(CONTROL!$C$32, $C$9, 100%, $E$9)</f>
        <v>17.625800000000002</v>
      </c>
      <c r="M1039" s="11">
        <f>17.6311 * CHOOSE(CONTROL!$C$32, $C$9, 100%, $E$9)</f>
        <v>17.6311</v>
      </c>
      <c r="N1039" s="11">
        <f>17.6258 * CHOOSE(CONTROL!$C$32, $C$9, 100%, $E$9)</f>
        <v>17.625800000000002</v>
      </c>
      <c r="O1039" s="11">
        <f>17.6311 * CHOOSE(CONTROL!$C$32, $C$9, 100%, $E$9)</f>
        <v>17.6311</v>
      </c>
    </row>
    <row r="1040" spans="1:15" ht="15" x14ac:dyDescent="0.2">
      <c r="A1040" s="13">
        <v>72502</v>
      </c>
      <c r="B1040" s="9">
        <f>15.5692 * CHOOSE(CONTROL!$C$32, $C$9, 100%, $E$9)</f>
        <v>15.5692</v>
      </c>
      <c r="C1040" s="9">
        <f>15.5692 * CHOOSE(CONTROL!$C$32, $C$9, 100%, $E$9)</f>
        <v>15.5692</v>
      </c>
      <c r="D1040" s="9">
        <f>15.5708 * CHOOSE(CONTROL!$C$32, $C$9, 100%, $E$9)</f>
        <v>15.5708</v>
      </c>
      <c r="E1040" s="11">
        <f>17.8768 * CHOOSE(CONTROL!$C$32, $C$9, 100%, $E$9)</f>
        <v>17.876799999999999</v>
      </c>
      <c r="F1040" s="11">
        <f>17.8768 * CHOOSE(CONTROL!$C$32, $C$9, 100%, $E$9)</f>
        <v>17.876799999999999</v>
      </c>
      <c r="G1040" s="11">
        <f>17.8821 * CHOOSE(CONTROL!$C$32, $C$9, 100%, $E$9)</f>
        <v>17.882100000000001</v>
      </c>
      <c r="H1040" s="11">
        <f>35.6083 * CHOOSE(CONTROL!$C$32, $C$9, 100%, $E$9)</f>
        <v>35.6083</v>
      </c>
      <c r="I1040" s="11">
        <f>35.6136 * CHOOSE(CONTROL!$C$32, $C$9, 100%, $E$9)</f>
        <v>35.613599999999998</v>
      </c>
      <c r="J1040" s="11">
        <f>35.6083 * CHOOSE(CONTROL!$C$32, $C$9, 100%, $E$9)</f>
        <v>35.6083</v>
      </c>
      <c r="K1040" s="11">
        <f>35.6136 * CHOOSE(CONTROL!$C$32, $C$9, 100%, $E$9)</f>
        <v>35.613599999999998</v>
      </c>
      <c r="L1040" s="11">
        <f>17.8768 * CHOOSE(CONTROL!$C$32, $C$9, 100%, $E$9)</f>
        <v>17.876799999999999</v>
      </c>
      <c r="M1040" s="11">
        <f>17.8821 * CHOOSE(CONTROL!$C$32, $C$9, 100%, $E$9)</f>
        <v>17.882100000000001</v>
      </c>
      <c r="N1040" s="11">
        <f>17.8768 * CHOOSE(CONTROL!$C$32, $C$9, 100%, $E$9)</f>
        <v>17.876799999999999</v>
      </c>
      <c r="O1040" s="11">
        <f>17.8821 * CHOOSE(CONTROL!$C$32, $C$9, 100%, $E$9)</f>
        <v>17.882100000000001</v>
      </c>
    </row>
    <row r="1041" spans="1:15" ht="15" x14ac:dyDescent="0.2">
      <c r="A1041" s="13">
        <v>72533</v>
      </c>
      <c r="B1041" s="9">
        <f>15.5759 * CHOOSE(CONTROL!$C$32, $C$9, 100%, $E$9)</f>
        <v>15.575900000000001</v>
      </c>
      <c r="C1041" s="9">
        <f>15.5759 * CHOOSE(CONTROL!$C$32, $C$9, 100%, $E$9)</f>
        <v>15.575900000000001</v>
      </c>
      <c r="D1041" s="9">
        <f>15.5775 * CHOOSE(CONTROL!$C$32, $C$9, 100%, $E$9)</f>
        <v>15.577500000000001</v>
      </c>
      <c r="E1041" s="11">
        <f>17.4173 * CHOOSE(CONTROL!$C$32, $C$9, 100%, $E$9)</f>
        <v>17.417300000000001</v>
      </c>
      <c r="F1041" s="11">
        <f>17.4173 * CHOOSE(CONTROL!$C$32, $C$9, 100%, $E$9)</f>
        <v>17.417300000000001</v>
      </c>
      <c r="G1041" s="11">
        <f>17.4226 * CHOOSE(CONTROL!$C$32, $C$9, 100%, $E$9)</f>
        <v>17.422599999999999</v>
      </c>
      <c r="H1041" s="11">
        <f>35.6825 * CHOOSE(CONTROL!$C$32, $C$9, 100%, $E$9)</f>
        <v>35.682499999999997</v>
      </c>
      <c r="I1041" s="11">
        <f>35.6878 * CHOOSE(CONTROL!$C$32, $C$9, 100%, $E$9)</f>
        <v>35.687800000000003</v>
      </c>
      <c r="J1041" s="11">
        <f>35.6825 * CHOOSE(CONTROL!$C$32, $C$9, 100%, $E$9)</f>
        <v>35.682499999999997</v>
      </c>
      <c r="K1041" s="11">
        <f>35.6878 * CHOOSE(CONTROL!$C$32, $C$9, 100%, $E$9)</f>
        <v>35.687800000000003</v>
      </c>
      <c r="L1041" s="11">
        <f>17.4173 * CHOOSE(CONTROL!$C$32, $C$9, 100%, $E$9)</f>
        <v>17.417300000000001</v>
      </c>
      <c r="M1041" s="11">
        <f>17.4226 * CHOOSE(CONTROL!$C$32, $C$9, 100%, $E$9)</f>
        <v>17.422599999999999</v>
      </c>
      <c r="N1041" s="11">
        <f>17.4173 * CHOOSE(CONTROL!$C$32, $C$9, 100%, $E$9)</f>
        <v>17.417300000000001</v>
      </c>
      <c r="O1041" s="11">
        <f>17.4226 * CHOOSE(CONTROL!$C$32, $C$9, 100%, $E$9)</f>
        <v>17.422599999999999</v>
      </c>
    </row>
    <row r="1042" spans="1:15" ht="15" x14ac:dyDescent="0.2">
      <c r="A1042" s="13">
        <v>72564</v>
      </c>
      <c r="B1042" s="9">
        <f>15.5729 * CHOOSE(CONTROL!$C$32, $C$9, 100%, $E$9)</f>
        <v>15.572900000000001</v>
      </c>
      <c r="C1042" s="9">
        <f>15.5729 * CHOOSE(CONTROL!$C$32, $C$9, 100%, $E$9)</f>
        <v>15.572900000000001</v>
      </c>
      <c r="D1042" s="9">
        <f>15.5745 * CHOOSE(CONTROL!$C$32, $C$9, 100%, $E$9)</f>
        <v>15.5745</v>
      </c>
      <c r="E1042" s="11">
        <f>17.3636 * CHOOSE(CONTROL!$C$32, $C$9, 100%, $E$9)</f>
        <v>17.363600000000002</v>
      </c>
      <c r="F1042" s="11">
        <f>17.3636 * CHOOSE(CONTROL!$C$32, $C$9, 100%, $E$9)</f>
        <v>17.363600000000002</v>
      </c>
      <c r="G1042" s="11">
        <f>17.3689 * CHOOSE(CONTROL!$C$32, $C$9, 100%, $E$9)</f>
        <v>17.3689</v>
      </c>
      <c r="H1042" s="11">
        <f>35.7569 * CHOOSE(CONTROL!$C$32, $C$9, 100%, $E$9)</f>
        <v>35.756900000000002</v>
      </c>
      <c r="I1042" s="11">
        <f>35.7621 * CHOOSE(CONTROL!$C$32, $C$9, 100%, $E$9)</f>
        <v>35.762099999999997</v>
      </c>
      <c r="J1042" s="11">
        <f>35.7569 * CHOOSE(CONTROL!$C$32, $C$9, 100%, $E$9)</f>
        <v>35.756900000000002</v>
      </c>
      <c r="K1042" s="11">
        <f>35.7621 * CHOOSE(CONTROL!$C$32, $C$9, 100%, $E$9)</f>
        <v>35.762099999999997</v>
      </c>
      <c r="L1042" s="11">
        <f>17.3636 * CHOOSE(CONTROL!$C$32, $C$9, 100%, $E$9)</f>
        <v>17.363600000000002</v>
      </c>
      <c r="M1042" s="11">
        <f>17.3689 * CHOOSE(CONTROL!$C$32, $C$9, 100%, $E$9)</f>
        <v>17.3689</v>
      </c>
      <c r="N1042" s="11">
        <f>17.3636 * CHOOSE(CONTROL!$C$32, $C$9, 100%, $E$9)</f>
        <v>17.363600000000002</v>
      </c>
      <c r="O1042" s="11">
        <f>17.3689 * CHOOSE(CONTROL!$C$32, $C$9, 100%, $E$9)</f>
        <v>17.3689</v>
      </c>
    </row>
    <row r="1043" spans="1:15" ht="15" x14ac:dyDescent="0.2">
      <c r="A1043" s="13">
        <v>72594</v>
      </c>
      <c r="B1043" s="9">
        <f>15.6112 * CHOOSE(CONTROL!$C$32, $C$9, 100%, $E$9)</f>
        <v>15.6112</v>
      </c>
      <c r="C1043" s="9">
        <f>15.6112 * CHOOSE(CONTROL!$C$32, $C$9, 100%, $E$9)</f>
        <v>15.6112</v>
      </c>
      <c r="D1043" s="9">
        <f>15.6123 * CHOOSE(CONTROL!$C$32, $C$9, 100%, $E$9)</f>
        <v>15.612299999999999</v>
      </c>
      <c r="E1043" s="11">
        <f>17.5565 * CHOOSE(CONTROL!$C$32, $C$9, 100%, $E$9)</f>
        <v>17.5565</v>
      </c>
      <c r="F1043" s="11">
        <f>17.5565 * CHOOSE(CONTROL!$C$32, $C$9, 100%, $E$9)</f>
        <v>17.5565</v>
      </c>
      <c r="G1043" s="11">
        <f>17.5601 * CHOOSE(CONTROL!$C$32, $C$9, 100%, $E$9)</f>
        <v>17.560099999999998</v>
      </c>
      <c r="H1043" s="11">
        <f>35.8313 * CHOOSE(CONTROL!$C$32, $C$9, 100%, $E$9)</f>
        <v>35.831299999999999</v>
      </c>
      <c r="I1043" s="11">
        <f>35.835 * CHOOSE(CONTROL!$C$32, $C$9, 100%, $E$9)</f>
        <v>35.835000000000001</v>
      </c>
      <c r="J1043" s="11">
        <f>35.8313 * CHOOSE(CONTROL!$C$32, $C$9, 100%, $E$9)</f>
        <v>35.831299999999999</v>
      </c>
      <c r="K1043" s="11">
        <f>35.835 * CHOOSE(CONTROL!$C$32, $C$9, 100%, $E$9)</f>
        <v>35.835000000000001</v>
      </c>
      <c r="L1043" s="11">
        <f>17.5565 * CHOOSE(CONTROL!$C$32, $C$9, 100%, $E$9)</f>
        <v>17.5565</v>
      </c>
      <c r="M1043" s="11">
        <f>17.5601 * CHOOSE(CONTROL!$C$32, $C$9, 100%, $E$9)</f>
        <v>17.560099999999998</v>
      </c>
      <c r="N1043" s="11">
        <f>17.5565 * CHOOSE(CONTROL!$C$32, $C$9, 100%, $E$9)</f>
        <v>17.5565</v>
      </c>
      <c r="O1043" s="11">
        <f>17.5601 * CHOOSE(CONTROL!$C$32, $C$9, 100%, $E$9)</f>
        <v>17.560099999999998</v>
      </c>
    </row>
    <row r="1044" spans="1:15" ht="15" x14ac:dyDescent="0.2">
      <c r="A1044" s="13">
        <v>72625</v>
      </c>
      <c r="B1044" s="9">
        <f>15.6143 * CHOOSE(CONTROL!$C$32, $C$9, 100%, $E$9)</f>
        <v>15.6143</v>
      </c>
      <c r="C1044" s="9">
        <f>15.6143 * CHOOSE(CONTROL!$C$32, $C$9, 100%, $E$9)</f>
        <v>15.6143</v>
      </c>
      <c r="D1044" s="9">
        <f>15.6154 * CHOOSE(CONTROL!$C$32, $C$9, 100%, $E$9)</f>
        <v>15.615399999999999</v>
      </c>
      <c r="E1044" s="11">
        <f>17.6617 * CHOOSE(CONTROL!$C$32, $C$9, 100%, $E$9)</f>
        <v>17.6617</v>
      </c>
      <c r="F1044" s="11">
        <f>17.6617 * CHOOSE(CONTROL!$C$32, $C$9, 100%, $E$9)</f>
        <v>17.6617</v>
      </c>
      <c r="G1044" s="11">
        <f>17.6653 * CHOOSE(CONTROL!$C$32, $C$9, 100%, $E$9)</f>
        <v>17.665299999999998</v>
      </c>
      <c r="H1044" s="11">
        <f>35.906 * CHOOSE(CONTROL!$C$32, $C$9, 100%, $E$9)</f>
        <v>35.905999999999999</v>
      </c>
      <c r="I1044" s="11">
        <f>35.9096 * CHOOSE(CONTROL!$C$32, $C$9, 100%, $E$9)</f>
        <v>35.909599999999998</v>
      </c>
      <c r="J1044" s="11">
        <f>35.906 * CHOOSE(CONTROL!$C$32, $C$9, 100%, $E$9)</f>
        <v>35.905999999999999</v>
      </c>
      <c r="K1044" s="11">
        <f>35.9096 * CHOOSE(CONTROL!$C$32, $C$9, 100%, $E$9)</f>
        <v>35.909599999999998</v>
      </c>
      <c r="L1044" s="11">
        <f>17.6617 * CHOOSE(CONTROL!$C$32, $C$9, 100%, $E$9)</f>
        <v>17.6617</v>
      </c>
      <c r="M1044" s="11">
        <f>17.6653 * CHOOSE(CONTROL!$C$32, $C$9, 100%, $E$9)</f>
        <v>17.665299999999998</v>
      </c>
      <c r="N1044" s="11">
        <f>17.6617 * CHOOSE(CONTROL!$C$32, $C$9, 100%, $E$9)</f>
        <v>17.6617</v>
      </c>
      <c r="O1044" s="11">
        <f>17.6653 * CHOOSE(CONTROL!$C$32, $C$9, 100%, $E$9)</f>
        <v>17.665299999999998</v>
      </c>
    </row>
    <row r="1045" spans="1:15" ht="15" x14ac:dyDescent="0.2">
      <c r="A1045" s="13">
        <v>72655</v>
      </c>
      <c r="B1045" s="9">
        <f>15.6143 * CHOOSE(CONTROL!$C$32, $C$9, 100%, $E$9)</f>
        <v>15.6143</v>
      </c>
      <c r="C1045" s="9">
        <f>15.6143 * CHOOSE(CONTROL!$C$32, $C$9, 100%, $E$9)</f>
        <v>15.6143</v>
      </c>
      <c r="D1045" s="9">
        <f>15.6154 * CHOOSE(CONTROL!$C$32, $C$9, 100%, $E$9)</f>
        <v>15.615399999999999</v>
      </c>
      <c r="E1045" s="11">
        <f>17.4039 * CHOOSE(CONTROL!$C$32, $C$9, 100%, $E$9)</f>
        <v>17.4039</v>
      </c>
      <c r="F1045" s="11">
        <f>17.4039 * CHOOSE(CONTROL!$C$32, $C$9, 100%, $E$9)</f>
        <v>17.4039</v>
      </c>
      <c r="G1045" s="11">
        <f>17.4075 * CHOOSE(CONTROL!$C$32, $C$9, 100%, $E$9)</f>
        <v>17.407499999999999</v>
      </c>
      <c r="H1045" s="11">
        <f>35.9808 * CHOOSE(CONTROL!$C$32, $C$9, 100%, $E$9)</f>
        <v>35.980800000000002</v>
      </c>
      <c r="I1045" s="11">
        <f>35.9844 * CHOOSE(CONTROL!$C$32, $C$9, 100%, $E$9)</f>
        <v>35.984400000000001</v>
      </c>
      <c r="J1045" s="11">
        <f>35.9808 * CHOOSE(CONTROL!$C$32, $C$9, 100%, $E$9)</f>
        <v>35.980800000000002</v>
      </c>
      <c r="K1045" s="11">
        <f>35.9844 * CHOOSE(CONTROL!$C$32, $C$9, 100%, $E$9)</f>
        <v>35.984400000000001</v>
      </c>
      <c r="L1045" s="11">
        <f>17.4039 * CHOOSE(CONTROL!$C$32, $C$9, 100%, $E$9)</f>
        <v>17.4039</v>
      </c>
      <c r="M1045" s="11">
        <f>17.4075 * CHOOSE(CONTROL!$C$32, $C$9, 100%, $E$9)</f>
        <v>17.407499999999999</v>
      </c>
      <c r="N1045" s="11">
        <f>17.4039 * CHOOSE(CONTROL!$C$32, $C$9, 100%, $E$9)</f>
        <v>17.4039</v>
      </c>
      <c r="O1045" s="11">
        <f>17.4075 * CHOOSE(CONTROL!$C$32, $C$9, 100%, $E$9)</f>
        <v>17.407499999999999</v>
      </c>
    </row>
    <row r="1046" spans="1:15" ht="15" x14ac:dyDescent="0.2">
      <c r="A1046" s="13">
        <v>72686</v>
      </c>
      <c r="B1046" s="9">
        <f>15.5645 * CHOOSE(CONTROL!$C$32, $C$9, 100%, $E$9)</f>
        <v>15.564500000000001</v>
      </c>
      <c r="C1046" s="9">
        <f>15.5645 * CHOOSE(CONTROL!$C$32, $C$9, 100%, $E$9)</f>
        <v>15.564500000000001</v>
      </c>
      <c r="D1046" s="9">
        <f>15.5655 * CHOOSE(CONTROL!$C$32, $C$9, 100%, $E$9)</f>
        <v>15.5655</v>
      </c>
      <c r="E1046" s="11">
        <f>17.5331 * CHOOSE(CONTROL!$C$32, $C$9, 100%, $E$9)</f>
        <v>17.533100000000001</v>
      </c>
      <c r="F1046" s="11">
        <f>17.5331 * CHOOSE(CONTROL!$C$32, $C$9, 100%, $E$9)</f>
        <v>17.533100000000001</v>
      </c>
      <c r="G1046" s="11">
        <f>17.5368 * CHOOSE(CONTROL!$C$32, $C$9, 100%, $E$9)</f>
        <v>17.536799999999999</v>
      </c>
      <c r="H1046" s="11">
        <f>35.62 * CHOOSE(CONTROL!$C$32, $C$9, 100%, $E$9)</f>
        <v>35.619999999999997</v>
      </c>
      <c r="I1046" s="11">
        <f>35.6236 * CHOOSE(CONTROL!$C$32, $C$9, 100%, $E$9)</f>
        <v>35.623600000000003</v>
      </c>
      <c r="J1046" s="11">
        <f>35.62 * CHOOSE(CONTROL!$C$32, $C$9, 100%, $E$9)</f>
        <v>35.619999999999997</v>
      </c>
      <c r="K1046" s="11">
        <f>35.6236 * CHOOSE(CONTROL!$C$32, $C$9, 100%, $E$9)</f>
        <v>35.623600000000003</v>
      </c>
      <c r="L1046" s="11">
        <f>17.5331 * CHOOSE(CONTROL!$C$32, $C$9, 100%, $E$9)</f>
        <v>17.533100000000001</v>
      </c>
      <c r="M1046" s="11">
        <f>17.5368 * CHOOSE(CONTROL!$C$32, $C$9, 100%, $E$9)</f>
        <v>17.536799999999999</v>
      </c>
      <c r="N1046" s="11">
        <f>17.5331 * CHOOSE(CONTROL!$C$32, $C$9, 100%, $E$9)</f>
        <v>17.533100000000001</v>
      </c>
      <c r="O1046" s="11">
        <f>17.5368 * CHOOSE(CONTROL!$C$32, $C$9, 100%, $E$9)</f>
        <v>17.536799999999999</v>
      </c>
    </row>
    <row r="1047" spans="1:15" ht="15" x14ac:dyDescent="0.2">
      <c r="A1047" s="13">
        <v>72717</v>
      </c>
      <c r="B1047" s="9">
        <f>15.5614 * CHOOSE(CONTROL!$C$32, $C$9, 100%, $E$9)</f>
        <v>15.561400000000001</v>
      </c>
      <c r="C1047" s="9">
        <f>15.5614 * CHOOSE(CONTROL!$C$32, $C$9, 100%, $E$9)</f>
        <v>15.561400000000001</v>
      </c>
      <c r="D1047" s="9">
        <f>15.5625 * CHOOSE(CONTROL!$C$32, $C$9, 100%, $E$9)</f>
        <v>15.5625</v>
      </c>
      <c r="E1047" s="11">
        <f>17.0366 * CHOOSE(CONTROL!$C$32, $C$9, 100%, $E$9)</f>
        <v>17.0366</v>
      </c>
      <c r="F1047" s="11">
        <f>17.0366 * CHOOSE(CONTROL!$C$32, $C$9, 100%, $E$9)</f>
        <v>17.0366</v>
      </c>
      <c r="G1047" s="11">
        <f>17.0402 * CHOOSE(CONTROL!$C$32, $C$9, 100%, $E$9)</f>
        <v>17.040199999999999</v>
      </c>
      <c r="H1047" s="11">
        <f>35.6942 * CHOOSE(CONTROL!$C$32, $C$9, 100%, $E$9)</f>
        <v>35.694200000000002</v>
      </c>
      <c r="I1047" s="11">
        <f>35.6978 * CHOOSE(CONTROL!$C$32, $C$9, 100%, $E$9)</f>
        <v>35.697800000000001</v>
      </c>
      <c r="J1047" s="11">
        <f>35.6942 * CHOOSE(CONTROL!$C$32, $C$9, 100%, $E$9)</f>
        <v>35.694200000000002</v>
      </c>
      <c r="K1047" s="11">
        <f>35.6978 * CHOOSE(CONTROL!$C$32, $C$9, 100%, $E$9)</f>
        <v>35.697800000000001</v>
      </c>
      <c r="L1047" s="11">
        <f>17.0366 * CHOOSE(CONTROL!$C$32, $C$9, 100%, $E$9)</f>
        <v>17.0366</v>
      </c>
      <c r="M1047" s="11">
        <f>17.0402 * CHOOSE(CONTROL!$C$32, $C$9, 100%, $E$9)</f>
        <v>17.040199999999999</v>
      </c>
      <c r="N1047" s="11">
        <f>17.0366 * CHOOSE(CONTROL!$C$32, $C$9, 100%, $E$9)</f>
        <v>17.0366</v>
      </c>
      <c r="O1047" s="11">
        <f>17.0402 * CHOOSE(CONTROL!$C$32, $C$9, 100%, $E$9)</f>
        <v>17.040199999999999</v>
      </c>
    </row>
    <row r="1048" spans="1:15" ht="15" x14ac:dyDescent="0.2">
      <c r="A1048" s="13">
        <v>72745</v>
      </c>
      <c r="B1048" s="9">
        <f>15.5584 * CHOOSE(CONTROL!$C$32, $C$9, 100%, $E$9)</f>
        <v>15.558400000000001</v>
      </c>
      <c r="C1048" s="9">
        <f>15.5584 * CHOOSE(CONTROL!$C$32, $C$9, 100%, $E$9)</f>
        <v>15.558400000000001</v>
      </c>
      <c r="D1048" s="9">
        <f>15.5595 * CHOOSE(CONTROL!$C$32, $C$9, 100%, $E$9)</f>
        <v>15.5595</v>
      </c>
      <c r="E1048" s="11">
        <f>17.4243 * CHOOSE(CONTROL!$C$32, $C$9, 100%, $E$9)</f>
        <v>17.424299999999999</v>
      </c>
      <c r="F1048" s="11">
        <f>17.4243 * CHOOSE(CONTROL!$C$32, $C$9, 100%, $E$9)</f>
        <v>17.424299999999999</v>
      </c>
      <c r="G1048" s="11">
        <f>17.4279 * CHOOSE(CONTROL!$C$32, $C$9, 100%, $E$9)</f>
        <v>17.427900000000001</v>
      </c>
      <c r="H1048" s="11">
        <f>35.7685 * CHOOSE(CONTROL!$C$32, $C$9, 100%, $E$9)</f>
        <v>35.768500000000003</v>
      </c>
      <c r="I1048" s="11">
        <f>35.7721 * CHOOSE(CONTROL!$C$32, $C$9, 100%, $E$9)</f>
        <v>35.772100000000002</v>
      </c>
      <c r="J1048" s="11">
        <f>35.7685 * CHOOSE(CONTROL!$C$32, $C$9, 100%, $E$9)</f>
        <v>35.768500000000003</v>
      </c>
      <c r="K1048" s="11">
        <f>35.7721 * CHOOSE(CONTROL!$C$32, $C$9, 100%, $E$9)</f>
        <v>35.772100000000002</v>
      </c>
      <c r="L1048" s="11">
        <f>17.4243 * CHOOSE(CONTROL!$C$32, $C$9, 100%, $E$9)</f>
        <v>17.424299999999999</v>
      </c>
      <c r="M1048" s="11">
        <f>17.4279 * CHOOSE(CONTROL!$C$32, $C$9, 100%, $E$9)</f>
        <v>17.427900000000001</v>
      </c>
      <c r="N1048" s="11">
        <f>17.4243 * CHOOSE(CONTROL!$C$32, $C$9, 100%, $E$9)</f>
        <v>17.424299999999999</v>
      </c>
      <c r="O1048" s="11">
        <f>17.4279 * CHOOSE(CONTROL!$C$32, $C$9, 100%, $E$9)</f>
        <v>17.427900000000001</v>
      </c>
    </row>
    <row r="1049" spans="1:15" ht="15" x14ac:dyDescent="0.2">
      <c r="A1049" s="13">
        <v>72776</v>
      </c>
      <c r="B1049" s="9">
        <f>15.5673 * CHOOSE(CONTROL!$C$32, $C$9, 100%, $E$9)</f>
        <v>15.567299999999999</v>
      </c>
      <c r="C1049" s="9">
        <f>15.5673 * CHOOSE(CONTROL!$C$32, $C$9, 100%, $E$9)</f>
        <v>15.567299999999999</v>
      </c>
      <c r="D1049" s="9">
        <f>15.5683 * CHOOSE(CONTROL!$C$32, $C$9, 100%, $E$9)</f>
        <v>15.568300000000001</v>
      </c>
      <c r="E1049" s="11">
        <f>17.8386 * CHOOSE(CONTROL!$C$32, $C$9, 100%, $E$9)</f>
        <v>17.8386</v>
      </c>
      <c r="F1049" s="11">
        <f>17.8386 * CHOOSE(CONTROL!$C$32, $C$9, 100%, $E$9)</f>
        <v>17.8386</v>
      </c>
      <c r="G1049" s="11">
        <f>17.8422 * CHOOSE(CONTROL!$C$32, $C$9, 100%, $E$9)</f>
        <v>17.842199999999998</v>
      </c>
      <c r="H1049" s="11">
        <f>35.843 * CHOOSE(CONTROL!$C$32, $C$9, 100%, $E$9)</f>
        <v>35.843000000000004</v>
      </c>
      <c r="I1049" s="11">
        <f>35.8467 * CHOOSE(CONTROL!$C$32, $C$9, 100%, $E$9)</f>
        <v>35.846699999999998</v>
      </c>
      <c r="J1049" s="11">
        <f>35.843 * CHOOSE(CONTROL!$C$32, $C$9, 100%, $E$9)</f>
        <v>35.843000000000004</v>
      </c>
      <c r="K1049" s="11">
        <f>35.8467 * CHOOSE(CONTROL!$C$32, $C$9, 100%, $E$9)</f>
        <v>35.846699999999998</v>
      </c>
      <c r="L1049" s="11">
        <f>17.8386 * CHOOSE(CONTROL!$C$32, $C$9, 100%, $E$9)</f>
        <v>17.8386</v>
      </c>
      <c r="M1049" s="11">
        <f>17.8422 * CHOOSE(CONTROL!$C$32, $C$9, 100%, $E$9)</f>
        <v>17.842199999999998</v>
      </c>
      <c r="N1049" s="11">
        <f>17.8386 * CHOOSE(CONTROL!$C$32, $C$9, 100%, $E$9)</f>
        <v>17.8386</v>
      </c>
      <c r="O1049" s="11">
        <f>17.8422 * CHOOSE(CONTROL!$C$32, $C$9, 100%, $E$9)</f>
        <v>17.842199999999998</v>
      </c>
    </row>
    <row r="1050" spans="1:15" ht="15" x14ac:dyDescent="0.2">
      <c r="A1050" s="13">
        <v>72806</v>
      </c>
      <c r="B1050" s="9">
        <f>15.5673 * CHOOSE(CONTROL!$C$32, $C$9, 100%, $E$9)</f>
        <v>15.567299999999999</v>
      </c>
      <c r="C1050" s="9">
        <f>15.5673 * CHOOSE(CONTROL!$C$32, $C$9, 100%, $E$9)</f>
        <v>15.567299999999999</v>
      </c>
      <c r="D1050" s="9">
        <f>15.5688 * CHOOSE(CONTROL!$C$32, $C$9, 100%, $E$9)</f>
        <v>15.5688</v>
      </c>
      <c r="E1050" s="11">
        <f>17.9956 * CHOOSE(CONTROL!$C$32, $C$9, 100%, $E$9)</f>
        <v>17.9956</v>
      </c>
      <c r="F1050" s="11">
        <f>17.9956 * CHOOSE(CONTROL!$C$32, $C$9, 100%, $E$9)</f>
        <v>17.9956</v>
      </c>
      <c r="G1050" s="11">
        <f>18.0009 * CHOOSE(CONTROL!$C$32, $C$9, 100%, $E$9)</f>
        <v>18.000900000000001</v>
      </c>
      <c r="H1050" s="11">
        <f>35.9177 * CHOOSE(CONTROL!$C$32, $C$9, 100%, $E$9)</f>
        <v>35.917700000000004</v>
      </c>
      <c r="I1050" s="11">
        <f>35.923 * CHOOSE(CONTROL!$C$32, $C$9, 100%, $E$9)</f>
        <v>35.923000000000002</v>
      </c>
      <c r="J1050" s="11">
        <f>35.9177 * CHOOSE(CONTROL!$C$32, $C$9, 100%, $E$9)</f>
        <v>35.917700000000004</v>
      </c>
      <c r="K1050" s="11">
        <f>35.923 * CHOOSE(CONTROL!$C$32, $C$9, 100%, $E$9)</f>
        <v>35.923000000000002</v>
      </c>
      <c r="L1050" s="11">
        <f>17.9956 * CHOOSE(CONTROL!$C$32, $C$9, 100%, $E$9)</f>
        <v>17.9956</v>
      </c>
      <c r="M1050" s="11">
        <f>18.0009 * CHOOSE(CONTROL!$C$32, $C$9, 100%, $E$9)</f>
        <v>18.000900000000001</v>
      </c>
      <c r="N1050" s="11">
        <f>17.9956 * CHOOSE(CONTROL!$C$32, $C$9, 100%, $E$9)</f>
        <v>17.9956</v>
      </c>
      <c r="O1050" s="11">
        <f>18.0009 * CHOOSE(CONTROL!$C$32, $C$9, 100%, $E$9)</f>
        <v>18.000900000000001</v>
      </c>
    </row>
    <row r="1051" spans="1:15" ht="15" x14ac:dyDescent="0.2">
      <c r="A1051" s="13">
        <v>72837</v>
      </c>
      <c r="B1051" s="9">
        <f>15.5733 * CHOOSE(CONTROL!$C$32, $C$9, 100%, $E$9)</f>
        <v>15.5733</v>
      </c>
      <c r="C1051" s="9">
        <f>15.5733 * CHOOSE(CONTROL!$C$32, $C$9, 100%, $E$9)</f>
        <v>15.5733</v>
      </c>
      <c r="D1051" s="9">
        <f>15.5749 * CHOOSE(CONTROL!$C$32, $C$9, 100%, $E$9)</f>
        <v>15.5749</v>
      </c>
      <c r="E1051" s="11">
        <f>17.8428 * CHOOSE(CONTROL!$C$32, $C$9, 100%, $E$9)</f>
        <v>17.8428</v>
      </c>
      <c r="F1051" s="11">
        <f>17.8428 * CHOOSE(CONTROL!$C$32, $C$9, 100%, $E$9)</f>
        <v>17.8428</v>
      </c>
      <c r="G1051" s="11">
        <f>17.8481 * CHOOSE(CONTROL!$C$32, $C$9, 100%, $E$9)</f>
        <v>17.848099999999999</v>
      </c>
      <c r="H1051" s="11">
        <f>35.9926 * CHOOSE(CONTROL!$C$32, $C$9, 100%, $E$9)</f>
        <v>35.992600000000003</v>
      </c>
      <c r="I1051" s="11">
        <f>35.9978 * CHOOSE(CONTROL!$C$32, $C$9, 100%, $E$9)</f>
        <v>35.997799999999998</v>
      </c>
      <c r="J1051" s="11">
        <f>35.9926 * CHOOSE(CONTROL!$C$32, $C$9, 100%, $E$9)</f>
        <v>35.992600000000003</v>
      </c>
      <c r="K1051" s="11">
        <f>35.9978 * CHOOSE(CONTROL!$C$32, $C$9, 100%, $E$9)</f>
        <v>35.997799999999998</v>
      </c>
      <c r="L1051" s="11">
        <f>17.8428 * CHOOSE(CONTROL!$C$32, $C$9, 100%, $E$9)</f>
        <v>17.8428</v>
      </c>
      <c r="M1051" s="11">
        <f>17.8481 * CHOOSE(CONTROL!$C$32, $C$9, 100%, $E$9)</f>
        <v>17.848099999999999</v>
      </c>
      <c r="N1051" s="11">
        <f>17.8428 * CHOOSE(CONTROL!$C$32, $C$9, 100%, $E$9)</f>
        <v>17.8428</v>
      </c>
      <c r="O1051" s="11">
        <f>17.8481 * CHOOSE(CONTROL!$C$32, $C$9, 100%, $E$9)</f>
        <v>17.848099999999999</v>
      </c>
    </row>
    <row r="1052" spans="1:15" ht="15" x14ac:dyDescent="0.2">
      <c r="A1052" s="13">
        <v>72867</v>
      </c>
      <c r="B1052" s="9">
        <f>15.7588 * CHOOSE(CONTROL!$C$32, $C$9, 100%, $E$9)</f>
        <v>15.758800000000001</v>
      </c>
      <c r="C1052" s="9">
        <f>15.7588 * CHOOSE(CONTROL!$C$32, $C$9, 100%, $E$9)</f>
        <v>15.758800000000001</v>
      </c>
      <c r="D1052" s="9">
        <f>15.7604 * CHOOSE(CONTROL!$C$32, $C$9, 100%, $E$9)</f>
        <v>15.760400000000001</v>
      </c>
      <c r="E1052" s="11">
        <f>18.0969 * CHOOSE(CONTROL!$C$32, $C$9, 100%, $E$9)</f>
        <v>18.096900000000002</v>
      </c>
      <c r="F1052" s="11">
        <f>18.0969 * CHOOSE(CONTROL!$C$32, $C$9, 100%, $E$9)</f>
        <v>18.096900000000002</v>
      </c>
      <c r="G1052" s="11">
        <f>18.1022 * CHOOSE(CONTROL!$C$32, $C$9, 100%, $E$9)</f>
        <v>18.1022</v>
      </c>
      <c r="H1052" s="11">
        <f>36.0675 * CHOOSE(CONTROL!$C$32, $C$9, 100%, $E$9)</f>
        <v>36.067500000000003</v>
      </c>
      <c r="I1052" s="11">
        <f>36.0728 * CHOOSE(CONTROL!$C$32, $C$9, 100%, $E$9)</f>
        <v>36.072800000000001</v>
      </c>
      <c r="J1052" s="11">
        <f>36.0675 * CHOOSE(CONTROL!$C$32, $C$9, 100%, $E$9)</f>
        <v>36.067500000000003</v>
      </c>
      <c r="K1052" s="11">
        <f>36.0728 * CHOOSE(CONTROL!$C$32, $C$9, 100%, $E$9)</f>
        <v>36.072800000000001</v>
      </c>
      <c r="L1052" s="11">
        <f>18.0969 * CHOOSE(CONTROL!$C$32, $C$9, 100%, $E$9)</f>
        <v>18.096900000000002</v>
      </c>
      <c r="M1052" s="11">
        <f>18.1022 * CHOOSE(CONTROL!$C$32, $C$9, 100%, $E$9)</f>
        <v>18.1022</v>
      </c>
      <c r="N1052" s="11">
        <f>18.0969 * CHOOSE(CONTROL!$C$32, $C$9, 100%, $E$9)</f>
        <v>18.096900000000002</v>
      </c>
      <c r="O1052" s="11">
        <f>18.1022 * CHOOSE(CONTROL!$C$32, $C$9, 100%, $E$9)</f>
        <v>18.1022</v>
      </c>
    </row>
    <row r="1053" spans="1:15" ht="15" x14ac:dyDescent="0.2">
      <c r="A1053" s="13">
        <v>72898</v>
      </c>
      <c r="B1053" s="9">
        <f>15.7655 * CHOOSE(CONTROL!$C$32, $C$9, 100%, $E$9)</f>
        <v>15.765499999999999</v>
      </c>
      <c r="C1053" s="9">
        <f>15.7655 * CHOOSE(CONTROL!$C$32, $C$9, 100%, $E$9)</f>
        <v>15.765499999999999</v>
      </c>
      <c r="D1053" s="9">
        <f>15.7671 * CHOOSE(CONTROL!$C$32, $C$9, 100%, $E$9)</f>
        <v>15.767099999999999</v>
      </c>
      <c r="E1053" s="11">
        <f>17.6307 * CHOOSE(CONTROL!$C$32, $C$9, 100%, $E$9)</f>
        <v>17.630700000000001</v>
      </c>
      <c r="F1053" s="11">
        <f>17.6307 * CHOOSE(CONTROL!$C$32, $C$9, 100%, $E$9)</f>
        <v>17.630700000000001</v>
      </c>
      <c r="G1053" s="11">
        <f>17.636 * CHOOSE(CONTROL!$C$32, $C$9, 100%, $E$9)</f>
        <v>17.635999999999999</v>
      </c>
      <c r="H1053" s="11">
        <f>36.1427 * CHOOSE(CONTROL!$C$32, $C$9, 100%, $E$9)</f>
        <v>36.142699999999998</v>
      </c>
      <c r="I1053" s="11">
        <f>36.148 * CHOOSE(CONTROL!$C$32, $C$9, 100%, $E$9)</f>
        <v>36.148000000000003</v>
      </c>
      <c r="J1053" s="11">
        <f>36.1427 * CHOOSE(CONTROL!$C$32, $C$9, 100%, $E$9)</f>
        <v>36.142699999999998</v>
      </c>
      <c r="K1053" s="11">
        <f>36.148 * CHOOSE(CONTROL!$C$32, $C$9, 100%, $E$9)</f>
        <v>36.148000000000003</v>
      </c>
      <c r="L1053" s="11">
        <f>17.6307 * CHOOSE(CONTROL!$C$32, $C$9, 100%, $E$9)</f>
        <v>17.630700000000001</v>
      </c>
      <c r="M1053" s="11">
        <f>17.636 * CHOOSE(CONTROL!$C$32, $C$9, 100%, $E$9)</f>
        <v>17.635999999999999</v>
      </c>
      <c r="N1053" s="11">
        <f>17.6307 * CHOOSE(CONTROL!$C$32, $C$9, 100%, $E$9)</f>
        <v>17.630700000000001</v>
      </c>
      <c r="O1053" s="11">
        <f>17.636 * CHOOSE(CONTROL!$C$32, $C$9, 100%, $E$9)</f>
        <v>17.635999999999999</v>
      </c>
    </row>
    <row r="1054" spans="1:15" ht="15" x14ac:dyDescent="0.2">
      <c r="A1054" s="13">
        <v>72929</v>
      </c>
      <c r="B1054" s="9">
        <f>15.7625 * CHOOSE(CONTROL!$C$32, $C$9, 100%, $E$9)</f>
        <v>15.762499999999999</v>
      </c>
      <c r="C1054" s="9">
        <f>15.7625 * CHOOSE(CONTROL!$C$32, $C$9, 100%, $E$9)</f>
        <v>15.762499999999999</v>
      </c>
      <c r="D1054" s="9">
        <f>15.7641 * CHOOSE(CONTROL!$C$32, $C$9, 100%, $E$9)</f>
        <v>15.764099999999999</v>
      </c>
      <c r="E1054" s="11">
        <f>17.5763 * CHOOSE(CONTROL!$C$32, $C$9, 100%, $E$9)</f>
        <v>17.5763</v>
      </c>
      <c r="F1054" s="11">
        <f>17.5763 * CHOOSE(CONTROL!$C$32, $C$9, 100%, $E$9)</f>
        <v>17.5763</v>
      </c>
      <c r="G1054" s="11">
        <f>17.5816 * CHOOSE(CONTROL!$C$32, $C$9, 100%, $E$9)</f>
        <v>17.581600000000002</v>
      </c>
      <c r="H1054" s="11">
        <f>36.218 * CHOOSE(CONTROL!$C$32, $C$9, 100%, $E$9)</f>
        <v>36.218000000000004</v>
      </c>
      <c r="I1054" s="11">
        <f>36.2233 * CHOOSE(CONTROL!$C$32, $C$9, 100%, $E$9)</f>
        <v>36.223300000000002</v>
      </c>
      <c r="J1054" s="11">
        <f>36.218 * CHOOSE(CONTROL!$C$32, $C$9, 100%, $E$9)</f>
        <v>36.218000000000004</v>
      </c>
      <c r="K1054" s="11">
        <f>36.2233 * CHOOSE(CONTROL!$C$32, $C$9, 100%, $E$9)</f>
        <v>36.223300000000002</v>
      </c>
      <c r="L1054" s="11">
        <f>17.5763 * CHOOSE(CONTROL!$C$32, $C$9, 100%, $E$9)</f>
        <v>17.5763</v>
      </c>
      <c r="M1054" s="11">
        <f>17.5816 * CHOOSE(CONTROL!$C$32, $C$9, 100%, $E$9)</f>
        <v>17.581600000000002</v>
      </c>
      <c r="N1054" s="11">
        <f>17.5763 * CHOOSE(CONTROL!$C$32, $C$9, 100%, $E$9)</f>
        <v>17.5763</v>
      </c>
      <c r="O1054" s="11">
        <f>17.5816 * CHOOSE(CONTROL!$C$32, $C$9, 100%, $E$9)</f>
        <v>17.581600000000002</v>
      </c>
    </row>
    <row r="1055" spans="1:15" ht="15" x14ac:dyDescent="0.2">
      <c r="A1055" s="13">
        <v>72959</v>
      </c>
      <c r="B1055" s="9">
        <f>15.8016 * CHOOSE(CONTROL!$C$32, $C$9, 100%, $E$9)</f>
        <v>15.801600000000001</v>
      </c>
      <c r="C1055" s="9">
        <f>15.8016 * CHOOSE(CONTROL!$C$32, $C$9, 100%, $E$9)</f>
        <v>15.801600000000001</v>
      </c>
      <c r="D1055" s="9">
        <f>15.8026 * CHOOSE(CONTROL!$C$32, $C$9, 100%, $E$9)</f>
        <v>15.8026</v>
      </c>
      <c r="E1055" s="11">
        <f>17.7721 * CHOOSE(CONTROL!$C$32, $C$9, 100%, $E$9)</f>
        <v>17.772099999999998</v>
      </c>
      <c r="F1055" s="11">
        <f>17.7721 * CHOOSE(CONTROL!$C$32, $C$9, 100%, $E$9)</f>
        <v>17.772099999999998</v>
      </c>
      <c r="G1055" s="11">
        <f>17.7758 * CHOOSE(CONTROL!$C$32, $C$9, 100%, $E$9)</f>
        <v>17.7758</v>
      </c>
      <c r="H1055" s="11">
        <f>36.2934 * CHOOSE(CONTROL!$C$32, $C$9, 100%, $E$9)</f>
        <v>36.293399999999998</v>
      </c>
      <c r="I1055" s="11">
        <f>36.297 * CHOOSE(CONTROL!$C$32, $C$9, 100%, $E$9)</f>
        <v>36.296999999999997</v>
      </c>
      <c r="J1055" s="11">
        <f>36.2934 * CHOOSE(CONTROL!$C$32, $C$9, 100%, $E$9)</f>
        <v>36.293399999999998</v>
      </c>
      <c r="K1055" s="11">
        <f>36.297 * CHOOSE(CONTROL!$C$32, $C$9, 100%, $E$9)</f>
        <v>36.296999999999997</v>
      </c>
      <c r="L1055" s="11">
        <f>17.7721 * CHOOSE(CONTROL!$C$32, $C$9, 100%, $E$9)</f>
        <v>17.772099999999998</v>
      </c>
      <c r="M1055" s="11">
        <f>17.7758 * CHOOSE(CONTROL!$C$32, $C$9, 100%, $E$9)</f>
        <v>17.7758</v>
      </c>
      <c r="N1055" s="11">
        <f>17.7721 * CHOOSE(CONTROL!$C$32, $C$9, 100%, $E$9)</f>
        <v>17.772099999999998</v>
      </c>
      <c r="O1055" s="11">
        <f>17.7758 * CHOOSE(CONTROL!$C$32, $C$9, 100%, $E$9)</f>
        <v>17.7758</v>
      </c>
    </row>
    <row r="1056" spans="1:15" ht="15" x14ac:dyDescent="0.2">
      <c r="A1056" s="13">
        <v>72990</v>
      </c>
      <c r="B1056" s="9">
        <f>15.8046 * CHOOSE(CONTROL!$C$32, $C$9, 100%, $E$9)</f>
        <v>15.804600000000001</v>
      </c>
      <c r="C1056" s="9">
        <f>15.8046 * CHOOSE(CONTROL!$C$32, $C$9, 100%, $E$9)</f>
        <v>15.804600000000001</v>
      </c>
      <c r="D1056" s="9">
        <f>15.8057 * CHOOSE(CONTROL!$C$32, $C$9, 100%, $E$9)</f>
        <v>15.8057</v>
      </c>
      <c r="E1056" s="11">
        <f>17.8789 * CHOOSE(CONTROL!$C$32, $C$9, 100%, $E$9)</f>
        <v>17.878900000000002</v>
      </c>
      <c r="F1056" s="11">
        <f>17.8789 * CHOOSE(CONTROL!$C$32, $C$9, 100%, $E$9)</f>
        <v>17.878900000000002</v>
      </c>
      <c r="G1056" s="11">
        <f>17.8825 * CHOOSE(CONTROL!$C$32, $C$9, 100%, $E$9)</f>
        <v>17.8825</v>
      </c>
      <c r="H1056" s="11">
        <f>36.369 * CHOOSE(CONTROL!$C$32, $C$9, 100%, $E$9)</f>
        <v>36.369</v>
      </c>
      <c r="I1056" s="11">
        <f>36.3727 * CHOOSE(CONTROL!$C$32, $C$9, 100%, $E$9)</f>
        <v>36.372700000000002</v>
      </c>
      <c r="J1056" s="11">
        <f>36.369 * CHOOSE(CONTROL!$C$32, $C$9, 100%, $E$9)</f>
        <v>36.369</v>
      </c>
      <c r="K1056" s="11">
        <f>36.3727 * CHOOSE(CONTROL!$C$32, $C$9, 100%, $E$9)</f>
        <v>36.372700000000002</v>
      </c>
      <c r="L1056" s="11">
        <f>17.8789 * CHOOSE(CONTROL!$C$32, $C$9, 100%, $E$9)</f>
        <v>17.878900000000002</v>
      </c>
      <c r="M1056" s="11">
        <f>17.8825 * CHOOSE(CONTROL!$C$32, $C$9, 100%, $E$9)</f>
        <v>17.8825</v>
      </c>
      <c r="N1056" s="11">
        <f>17.8789 * CHOOSE(CONTROL!$C$32, $C$9, 100%, $E$9)</f>
        <v>17.878900000000002</v>
      </c>
      <c r="O1056" s="11">
        <f>17.8825 * CHOOSE(CONTROL!$C$32, $C$9, 100%, $E$9)</f>
        <v>17.8825</v>
      </c>
    </row>
    <row r="1057" spans="1:15" ht="15" x14ac:dyDescent="0.2">
      <c r="A1057" s="13">
        <v>73020</v>
      </c>
      <c r="B1057" s="9">
        <f>15.8046 * CHOOSE(CONTROL!$C$32, $C$9, 100%, $E$9)</f>
        <v>15.804600000000001</v>
      </c>
      <c r="C1057" s="9">
        <f>15.8046 * CHOOSE(CONTROL!$C$32, $C$9, 100%, $E$9)</f>
        <v>15.804600000000001</v>
      </c>
      <c r="D1057" s="9">
        <f>15.8057 * CHOOSE(CONTROL!$C$32, $C$9, 100%, $E$9)</f>
        <v>15.8057</v>
      </c>
      <c r="E1057" s="11">
        <f>17.6173 * CHOOSE(CONTROL!$C$32, $C$9, 100%, $E$9)</f>
        <v>17.6173</v>
      </c>
      <c r="F1057" s="11">
        <f>17.6173 * CHOOSE(CONTROL!$C$32, $C$9, 100%, $E$9)</f>
        <v>17.6173</v>
      </c>
      <c r="G1057" s="11">
        <f>17.6209 * CHOOSE(CONTROL!$C$32, $C$9, 100%, $E$9)</f>
        <v>17.620899999999999</v>
      </c>
      <c r="H1057" s="11">
        <f>36.4448 * CHOOSE(CONTROL!$C$32, $C$9, 100%, $E$9)</f>
        <v>36.444800000000001</v>
      </c>
      <c r="I1057" s="11">
        <f>36.4484 * CHOOSE(CONTROL!$C$32, $C$9, 100%, $E$9)</f>
        <v>36.448399999999999</v>
      </c>
      <c r="J1057" s="11">
        <f>36.4448 * CHOOSE(CONTROL!$C$32, $C$9, 100%, $E$9)</f>
        <v>36.444800000000001</v>
      </c>
      <c r="K1057" s="11">
        <f>36.4484 * CHOOSE(CONTROL!$C$32, $C$9, 100%, $E$9)</f>
        <v>36.448399999999999</v>
      </c>
      <c r="L1057" s="11">
        <f>17.6173 * CHOOSE(CONTROL!$C$32, $C$9, 100%, $E$9)</f>
        <v>17.6173</v>
      </c>
      <c r="M1057" s="11">
        <f>17.6209 * CHOOSE(CONTROL!$C$32, $C$9, 100%, $E$9)</f>
        <v>17.620899999999999</v>
      </c>
      <c r="N1057" s="11">
        <f>17.6173 * CHOOSE(CONTROL!$C$32, $C$9, 100%, $E$9)</f>
        <v>17.6173</v>
      </c>
      <c r="O1057" s="11">
        <f>17.6209 * CHOOSE(CONTROL!$C$32, $C$9, 100%, $E$9)</f>
        <v>17.620899999999999</v>
      </c>
    </row>
    <row r="1058" spans="1:15" ht="15" x14ac:dyDescent="0.2">
      <c r="A1058" s="13">
        <v>73051</v>
      </c>
      <c r="B1058" s="9">
        <f>15.7518 * CHOOSE(CONTROL!$C$32, $C$9, 100%, $E$9)</f>
        <v>15.751799999999999</v>
      </c>
      <c r="C1058" s="9">
        <f>15.7518 * CHOOSE(CONTROL!$C$32, $C$9, 100%, $E$9)</f>
        <v>15.751799999999999</v>
      </c>
      <c r="D1058" s="9">
        <f>15.7529 * CHOOSE(CONTROL!$C$32, $C$9, 100%, $E$9)</f>
        <v>15.7529</v>
      </c>
      <c r="E1058" s="11">
        <f>17.7456 * CHOOSE(CONTROL!$C$32, $C$9, 100%, $E$9)</f>
        <v>17.7456</v>
      </c>
      <c r="F1058" s="11">
        <f>17.7456 * CHOOSE(CONTROL!$C$32, $C$9, 100%, $E$9)</f>
        <v>17.7456</v>
      </c>
      <c r="G1058" s="11">
        <f>17.7493 * CHOOSE(CONTROL!$C$32, $C$9, 100%, $E$9)</f>
        <v>17.749300000000002</v>
      </c>
      <c r="H1058" s="11">
        <f>36.0735 * CHOOSE(CONTROL!$C$32, $C$9, 100%, $E$9)</f>
        <v>36.073500000000003</v>
      </c>
      <c r="I1058" s="11">
        <f>36.0771 * CHOOSE(CONTROL!$C$32, $C$9, 100%, $E$9)</f>
        <v>36.077100000000002</v>
      </c>
      <c r="J1058" s="11">
        <f>36.0735 * CHOOSE(CONTROL!$C$32, $C$9, 100%, $E$9)</f>
        <v>36.073500000000003</v>
      </c>
      <c r="K1058" s="11">
        <f>36.0771 * CHOOSE(CONTROL!$C$32, $C$9, 100%, $E$9)</f>
        <v>36.077100000000002</v>
      </c>
      <c r="L1058" s="11">
        <f>17.7456 * CHOOSE(CONTROL!$C$32, $C$9, 100%, $E$9)</f>
        <v>17.7456</v>
      </c>
      <c r="M1058" s="11">
        <f>17.7493 * CHOOSE(CONTROL!$C$32, $C$9, 100%, $E$9)</f>
        <v>17.749300000000002</v>
      </c>
      <c r="N1058" s="11">
        <f>17.7456 * CHOOSE(CONTROL!$C$32, $C$9, 100%, $E$9)</f>
        <v>17.7456</v>
      </c>
      <c r="O1058" s="11">
        <f>17.7493 * CHOOSE(CONTROL!$C$32, $C$9, 100%, $E$9)</f>
        <v>17.749300000000002</v>
      </c>
    </row>
    <row r="1059" spans="1:15" ht="15" x14ac:dyDescent="0.2">
      <c r="A1059" s="13">
        <v>73082</v>
      </c>
      <c r="B1059" s="9">
        <f>15.7488 * CHOOSE(CONTROL!$C$32, $C$9, 100%, $E$9)</f>
        <v>15.748799999999999</v>
      </c>
      <c r="C1059" s="9">
        <f>15.7488 * CHOOSE(CONTROL!$C$32, $C$9, 100%, $E$9)</f>
        <v>15.748799999999999</v>
      </c>
      <c r="D1059" s="9">
        <f>15.7498 * CHOOSE(CONTROL!$C$32, $C$9, 100%, $E$9)</f>
        <v>15.7498</v>
      </c>
      <c r="E1059" s="11">
        <f>17.242 * CHOOSE(CONTROL!$C$32, $C$9, 100%, $E$9)</f>
        <v>17.242000000000001</v>
      </c>
      <c r="F1059" s="11">
        <f>17.242 * CHOOSE(CONTROL!$C$32, $C$9, 100%, $E$9)</f>
        <v>17.242000000000001</v>
      </c>
      <c r="G1059" s="11">
        <f>17.2457 * CHOOSE(CONTROL!$C$32, $C$9, 100%, $E$9)</f>
        <v>17.245699999999999</v>
      </c>
      <c r="H1059" s="11">
        <f>36.1486 * CHOOSE(CONTROL!$C$32, $C$9, 100%, $E$9)</f>
        <v>36.148600000000002</v>
      </c>
      <c r="I1059" s="11">
        <f>36.1522 * CHOOSE(CONTROL!$C$32, $C$9, 100%, $E$9)</f>
        <v>36.152200000000001</v>
      </c>
      <c r="J1059" s="11">
        <f>36.1486 * CHOOSE(CONTROL!$C$32, $C$9, 100%, $E$9)</f>
        <v>36.148600000000002</v>
      </c>
      <c r="K1059" s="11">
        <f>36.1522 * CHOOSE(CONTROL!$C$32, $C$9, 100%, $E$9)</f>
        <v>36.152200000000001</v>
      </c>
      <c r="L1059" s="11">
        <f>17.242 * CHOOSE(CONTROL!$C$32, $C$9, 100%, $E$9)</f>
        <v>17.242000000000001</v>
      </c>
      <c r="M1059" s="11">
        <f>17.2457 * CHOOSE(CONTROL!$C$32, $C$9, 100%, $E$9)</f>
        <v>17.245699999999999</v>
      </c>
      <c r="N1059" s="11">
        <f>17.242 * CHOOSE(CONTROL!$C$32, $C$9, 100%, $E$9)</f>
        <v>17.242000000000001</v>
      </c>
      <c r="O1059" s="11">
        <f>17.2457 * CHOOSE(CONTROL!$C$32, $C$9, 100%, $E$9)</f>
        <v>17.245699999999999</v>
      </c>
    </row>
    <row r="1060" spans="1:15" ht="15" x14ac:dyDescent="0.2">
      <c r="A1060" s="13">
        <v>73110</v>
      </c>
      <c r="B1060" s="9">
        <f>15.7457 * CHOOSE(CONTROL!$C$32, $C$9, 100%, $E$9)</f>
        <v>15.745699999999999</v>
      </c>
      <c r="C1060" s="9">
        <f>15.7457 * CHOOSE(CONTROL!$C$32, $C$9, 100%, $E$9)</f>
        <v>15.745699999999999</v>
      </c>
      <c r="D1060" s="9">
        <f>15.7468 * CHOOSE(CONTROL!$C$32, $C$9, 100%, $E$9)</f>
        <v>15.7468</v>
      </c>
      <c r="E1060" s="11">
        <f>17.6353 * CHOOSE(CONTROL!$C$32, $C$9, 100%, $E$9)</f>
        <v>17.635300000000001</v>
      </c>
      <c r="F1060" s="11">
        <f>17.6353 * CHOOSE(CONTROL!$C$32, $C$9, 100%, $E$9)</f>
        <v>17.635300000000001</v>
      </c>
      <c r="G1060" s="11">
        <f>17.6389 * CHOOSE(CONTROL!$C$32, $C$9, 100%, $E$9)</f>
        <v>17.6389</v>
      </c>
      <c r="H1060" s="11">
        <f>36.2239 * CHOOSE(CONTROL!$C$32, $C$9, 100%, $E$9)</f>
        <v>36.2239</v>
      </c>
      <c r="I1060" s="11">
        <f>36.2275 * CHOOSE(CONTROL!$C$32, $C$9, 100%, $E$9)</f>
        <v>36.227499999999999</v>
      </c>
      <c r="J1060" s="11">
        <f>36.2239 * CHOOSE(CONTROL!$C$32, $C$9, 100%, $E$9)</f>
        <v>36.2239</v>
      </c>
      <c r="K1060" s="11">
        <f>36.2275 * CHOOSE(CONTROL!$C$32, $C$9, 100%, $E$9)</f>
        <v>36.227499999999999</v>
      </c>
      <c r="L1060" s="11">
        <f>17.6353 * CHOOSE(CONTROL!$C$32, $C$9, 100%, $E$9)</f>
        <v>17.635300000000001</v>
      </c>
      <c r="M1060" s="11">
        <f>17.6389 * CHOOSE(CONTROL!$C$32, $C$9, 100%, $E$9)</f>
        <v>17.6389</v>
      </c>
      <c r="N1060" s="11">
        <f>17.6353 * CHOOSE(CONTROL!$C$32, $C$9, 100%, $E$9)</f>
        <v>17.635300000000001</v>
      </c>
      <c r="O1060" s="11">
        <f>17.6389 * CHOOSE(CONTROL!$C$32, $C$9, 100%, $E$9)</f>
        <v>17.6389</v>
      </c>
    </row>
    <row r="1061" spans="1:15" ht="15" x14ac:dyDescent="0.2">
      <c r="A1061" s="13">
        <v>73141</v>
      </c>
      <c r="B1061" s="9">
        <f>15.7548 * CHOOSE(CONTROL!$C$32, $C$9, 100%, $E$9)</f>
        <v>15.754799999999999</v>
      </c>
      <c r="C1061" s="9">
        <f>15.7548 * CHOOSE(CONTROL!$C$32, $C$9, 100%, $E$9)</f>
        <v>15.754799999999999</v>
      </c>
      <c r="D1061" s="9">
        <f>15.7559 * CHOOSE(CONTROL!$C$32, $C$9, 100%, $E$9)</f>
        <v>15.7559</v>
      </c>
      <c r="E1061" s="11">
        <f>18.0556 * CHOOSE(CONTROL!$C$32, $C$9, 100%, $E$9)</f>
        <v>18.055599999999998</v>
      </c>
      <c r="F1061" s="11">
        <f>18.0556 * CHOOSE(CONTROL!$C$32, $C$9, 100%, $E$9)</f>
        <v>18.055599999999998</v>
      </c>
      <c r="G1061" s="11">
        <f>18.0592 * CHOOSE(CONTROL!$C$32, $C$9, 100%, $E$9)</f>
        <v>18.059200000000001</v>
      </c>
      <c r="H1061" s="11">
        <f>36.2994 * CHOOSE(CONTROL!$C$32, $C$9, 100%, $E$9)</f>
        <v>36.299399999999999</v>
      </c>
      <c r="I1061" s="11">
        <f>36.303 * CHOOSE(CONTROL!$C$32, $C$9, 100%, $E$9)</f>
        <v>36.302999999999997</v>
      </c>
      <c r="J1061" s="11">
        <f>36.2994 * CHOOSE(CONTROL!$C$32, $C$9, 100%, $E$9)</f>
        <v>36.299399999999999</v>
      </c>
      <c r="K1061" s="11">
        <f>36.303 * CHOOSE(CONTROL!$C$32, $C$9, 100%, $E$9)</f>
        <v>36.302999999999997</v>
      </c>
      <c r="L1061" s="11">
        <f>18.0556 * CHOOSE(CONTROL!$C$32, $C$9, 100%, $E$9)</f>
        <v>18.055599999999998</v>
      </c>
      <c r="M1061" s="11">
        <f>18.0592 * CHOOSE(CONTROL!$C$32, $C$9, 100%, $E$9)</f>
        <v>18.059200000000001</v>
      </c>
      <c r="N1061" s="11">
        <f>18.0556 * CHOOSE(CONTROL!$C$32, $C$9, 100%, $E$9)</f>
        <v>18.055599999999998</v>
      </c>
      <c r="O1061" s="11">
        <f>18.0592 * CHOOSE(CONTROL!$C$32, $C$9, 100%, $E$9)</f>
        <v>18.059200000000001</v>
      </c>
    </row>
    <row r="1062" spans="1:15" ht="15" x14ac:dyDescent="0.2">
      <c r="A1062" s="13">
        <v>73171</v>
      </c>
      <c r="B1062" s="9">
        <f>15.7548 * CHOOSE(CONTROL!$C$32, $C$9, 100%, $E$9)</f>
        <v>15.754799999999999</v>
      </c>
      <c r="C1062" s="9">
        <f>15.7548 * CHOOSE(CONTROL!$C$32, $C$9, 100%, $E$9)</f>
        <v>15.754799999999999</v>
      </c>
      <c r="D1062" s="9">
        <f>15.7564 * CHOOSE(CONTROL!$C$32, $C$9, 100%, $E$9)</f>
        <v>15.756399999999999</v>
      </c>
      <c r="E1062" s="11">
        <f>18.2148 * CHOOSE(CONTROL!$C$32, $C$9, 100%, $E$9)</f>
        <v>18.2148</v>
      </c>
      <c r="F1062" s="11">
        <f>18.2148 * CHOOSE(CONTROL!$C$32, $C$9, 100%, $E$9)</f>
        <v>18.2148</v>
      </c>
      <c r="G1062" s="11">
        <f>18.2201 * CHOOSE(CONTROL!$C$32, $C$9, 100%, $E$9)</f>
        <v>18.220099999999999</v>
      </c>
      <c r="H1062" s="11">
        <f>36.375 * CHOOSE(CONTROL!$C$32, $C$9, 100%, $E$9)</f>
        <v>36.375</v>
      </c>
      <c r="I1062" s="11">
        <f>36.3803 * CHOOSE(CONTROL!$C$32, $C$9, 100%, $E$9)</f>
        <v>36.380299999999998</v>
      </c>
      <c r="J1062" s="11">
        <f>36.375 * CHOOSE(CONTROL!$C$32, $C$9, 100%, $E$9)</f>
        <v>36.375</v>
      </c>
      <c r="K1062" s="11">
        <f>36.3803 * CHOOSE(CONTROL!$C$32, $C$9, 100%, $E$9)</f>
        <v>36.380299999999998</v>
      </c>
      <c r="L1062" s="11">
        <f>18.2148 * CHOOSE(CONTROL!$C$32, $C$9, 100%, $E$9)</f>
        <v>18.2148</v>
      </c>
      <c r="M1062" s="11">
        <f>18.2201 * CHOOSE(CONTROL!$C$32, $C$9, 100%, $E$9)</f>
        <v>18.220099999999999</v>
      </c>
      <c r="N1062" s="11">
        <f>18.2148 * CHOOSE(CONTROL!$C$32, $C$9, 100%, $E$9)</f>
        <v>18.2148</v>
      </c>
      <c r="O1062" s="11">
        <f>18.2201 * CHOOSE(CONTROL!$C$32, $C$9, 100%, $E$9)</f>
        <v>18.220099999999999</v>
      </c>
    </row>
    <row r="1063" spans="1:15" ht="15" x14ac:dyDescent="0.2">
      <c r="A1063" s="13">
        <v>73202</v>
      </c>
      <c r="B1063" s="9">
        <f>15.7609 * CHOOSE(CONTROL!$C$32, $C$9, 100%, $E$9)</f>
        <v>15.760899999999999</v>
      </c>
      <c r="C1063" s="9">
        <f>15.7609 * CHOOSE(CONTROL!$C$32, $C$9, 100%, $E$9)</f>
        <v>15.760899999999999</v>
      </c>
      <c r="D1063" s="9">
        <f>15.7625 * CHOOSE(CONTROL!$C$32, $C$9, 100%, $E$9)</f>
        <v>15.762499999999999</v>
      </c>
      <c r="E1063" s="11">
        <f>18.0598 * CHOOSE(CONTROL!$C$32, $C$9, 100%, $E$9)</f>
        <v>18.059799999999999</v>
      </c>
      <c r="F1063" s="11">
        <f>18.0598 * CHOOSE(CONTROL!$C$32, $C$9, 100%, $E$9)</f>
        <v>18.059799999999999</v>
      </c>
      <c r="G1063" s="11">
        <f>18.0651 * CHOOSE(CONTROL!$C$32, $C$9, 100%, $E$9)</f>
        <v>18.065100000000001</v>
      </c>
      <c r="H1063" s="11">
        <f>36.4508 * CHOOSE(CONTROL!$C$32, $C$9, 100%, $E$9)</f>
        <v>36.450800000000001</v>
      </c>
      <c r="I1063" s="11">
        <f>36.4561 * CHOOSE(CONTROL!$C$32, $C$9, 100%, $E$9)</f>
        <v>36.456099999999999</v>
      </c>
      <c r="J1063" s="11">
        <f>36.4508 * CHOOSE(CONTROL!$C$32, $C$9, 100%, $E$9)</f>
        <v>36.450800000000001</v>
      </c>
      <c r="K1063" s="11">
        <f>36.4561 * CHOOSE(CONTROL!$C$32, $C$9, 100%, $E$9)</f>
        <v>36.456099999999999</v>
      </c>
      <c r="L1063" s="11">
        <f>18.0598 * CHOOSE(CONTROL!$C$32, $C$9, 100%, $E$9)</f>
        <v>18.059799999999999</v>
      </c>
      <c r="M1063" s="11">
        <f>18.0651 * CHOOSE(CONTROL!$C$32, $C$9, 100%, $E$9)</f>
        <v>18.065100000000001</v>
      </c>
      <c r="N1063" s="11">
        <f>18.0598 * CHOOSE(CONTROL!$C$32, $C$9, 100%, $E$9)</f>
        <v>18.059799999999999</v>
      </c>
      <c r="O1063" s="11">
        <f>18.0651 * CHOOSE(CONTROL!$C$32, $C$9, 100%, $E$9)</f>
        <v>18.065100000000001</v>
      </c>
    </row>
    <row r="1064" spans="1:15" ht="15" x14ac:dyDescent="0.2">
      <c r="A1064" s="13">
        <v>73232</v>
      </c>
      <c r="B1064" s="9">
        <f>15.9484 * CHOOSE(CONTROL!$C$32, $C$9, 100%, $E$9)</f>
        <v>15.948399999999999</v>
      </c>
      <c r="C1064" s="9">
        <f>15.9484 * CHOOSE(CONTROL!$C$32, $C$9, 100%, $E$9)</f>
        <v>15.948399999999999</v>
      </c>
      <c r="D1064" s="9">
        <f>15.95 * CHOOSE(CONTROL!$C$32, $C$9, 100%, $E$9)</f>
        <v>15.95</v>
      </c>
      <c r="E1064" s="11">
        <f>18.3171 * CHOOSE(CONTROL!$C$32, $C$9, 100%, $E$9)</f>
        <v>18.3171</v>
      </c>
      <c r="F1064" s="11">
        <f>18.3171 * CHOOSE(CONTROL!$C$32, $C$9, 100%, $E$9)</f>
        <v>18.3171</v>
      </c>
      <c r="G1064" s="11">
        <f>18.3224 * CHOOSE(CONTROL!$C$32, $C$9, 100%, $E$9)</f>
        <v>18.322399999999998</v>
      </c>
      <c r="H1064" s="11">
        <f>36.5267 * CHOOSE(CONTROL!$C$32, $C$9, 100%, $E$9)</f>
        <v>36.526699999999998</v>
      </c>
      <c r="I1064" s="11">
        <f>36.532 * CHOOSE(CONTROL!$C$32, $C$9, 100%, $E$9)</f>
        <v>36.531999999999996</v>
      </c>
      <c r="J1064" s="11">
        <f>36.5267 * CHOOSE(CONTROL!$C$32, $C$9, 100%, $E$9)</f>
        <v>36.526699999999998</v>
      </c>
      <c r="K1064" s="11">
        <f>36.532 * CHOOSE(CONTROL!$C$32, $C$9, 100%, $E$9)</f>
        <v>36.531999999999996</v>
      </c>
      <c r="L1064" s="11">
        <f>18.3171 * CHOOSE(CONTROL!$C$32, $C$9, 100%, $E$9)</f>
        <v>18.3171</v>
      </c>
      <c r="M1064" s="11">
        <f>18.3224 * CHOOSE(CONTROL!$C$32, $C$9, 100%, $E$9)</f>
        <v>18.322399999999998</v>
      </c>
      <c r="N1064" s="11">
        <f>18.3171 * CHOOSE(CONTROL!$C$32, $C$9, 100%, $E$9)</f>
        <v>18.3171</v>
      </c>
      <c r="O1064" s="11">
        <f>18.3224 * CHOOSE(CONTROL!$C$32, $C$9, 100%, $E$9)</f>
        <v>18.322399999999998</v>
      </c>
    </row>
    <row r="1065" spans="1:15" ht="15" x14ac:dyDescent="0.2">
      <c r="A1065" s="13">
        <v>73263</v>
      </c>
      <c r="B1065" s="9">
        <f>15.9551 * CHOOSE(CONTROL!$C$32, $C$9, 100%, $E$9)</f>
        <v>15.9551</v>
      </c>
      <c r="C1065" s="9">
        <f>15.9551 * CHOOSE(CONTROL!$C$32, $C$9, 100%, $E$9)</f>
        <v>15.9551</v>
      </c>
      <c r="D1065" s="9">
        <f>15.9567 * CHOOSE(CONTROL!$C$32, $C$9, 100%, $E$9)</f>
        <v>15.9567</v>
      </c>
      <c r="E1065" s="11">
        <f>17.8441 * CHOOSE(CONTROL!$C$32, $C$9, 100%, $E$9)</f>
        <v>17.844100000000001</v>
      </c>
      <c r="F1065" s="11">
        <f>17.8441 * CHOOSE(CONTROL!$C$32, $C$9, 100%, $E$9)</f>
        <v>17.844100000000001</v>
      </c>
      <c r="G1065" s="11">
        <f>17.8494 * CHOOSE(CONTROL!$C$32, $C$9, 100%, $E$9)</f>
        <v>17.849399999999999</v>
      </c>
      <c r="H1065" s="11">
        <f>36.6028 * CHOOSE(CONTROL!$C$32, $C$9, 100%, $E$9)</f>
        <v>36.602800000000002</v>
      </c>
      <c r="I1065" s="11">
        <f>36.6081 * CHOOSE(CONTROL!$C$32, $C$9, 100%, $E$9)</f>
        <v>36.6081</v>
      </c>
      <c r="J1065" s="11">
        <f>36.6028 * CHOOSE(CONTROL!$C$32, $C$9, 100%, $E$9)</f>
        <v>36.602800000000002</v>
      </c>
      <c r="K1065" s="11">
        <f>36.6081 * CHOOSE(CONTROL!$C$32, $C$9, 100%, $E$9)</f>
        <v>36.6081</v>
      </c>
      <c r="L1065" s="11">
        <f>17.8441 * CHOOSE(CONTROL!$C$32, $C$9, 100%, $E$9)</f>
        <v>17.844100000000001</v>
      </c>
      <c r="M1065" s="11">
        <f>17.8494 * CHOOSE(CONTROL!$C$32, $C$9, 100%, $E$9)</f>
        <v>17.849399999999999</v>
      </c>
      <c r="N1065" s="11">
        <f>17.8441 * CHOOSE(CONTROL!$C$32, $C$9, 100%, $E$9)</f>
        <v>17.844100000000001</v>
      </c>
      <c r="O1065" s="11">
        <f>17.8494 * CHOOSE(CONTROL!$C$32, $C$9, 100%, $E$9)</f>
        <v>17.849399999999999</v>
      </c>
    </row>
    <row r="1066" spans="1:15" ht="15" x14ac:dyDescent="0.2">
      <c r="A1066" s="13">
        <v>73294</v>
      </c>
      <c r="B1066" s="9">
        <f>15.9521 * CHOOSE(CONTROL!$C$32, $C$9, 100%, $E$9)</f>
        <v>15.9521</v>
      </c>
      <c r="C1066" s="9">
        <f>15.9521 * CHOOSE(CONTROL!$C$32, $C$9, 100%, $E$9)</f>
        <v>15.9521</v>
      </c>
      <c r="D1066" s="9">
        <f>15.9537 * CHOOSE(CONTROL!$C$32, $C$9, 100%, $E$9)</f>
        <v>15.9537</v>
      </c>
      <c r="E1066" s="11">
        <f>17.789 * CHOOSE(CONTROL!$C$32, $C$9, 100%, $E$9)</f>
        <v>17.789000000000001</v>
      </c>
      <c r="F1066" s="11">
        <f>17.789 * CHOOSE(CONTROL!$C$32, $C$9, 100%, $E$9)</f>
        <v>17.789000000000001</v>
      </c>
      <c r="G1066" s="11">
        <f>17.7942 * CHOOSE(CONTROL!$C$32, $C$9, 100%, $E$9)</f>
        <v>17.7942</v>
      </c>
      <c r="H1066" s="11">
        <f>36.6791 * CHOOSE(CONTROL!$C$32, $C$9, 100%, $E$9)</f>
        <v>36.679099999999998</v>
      </c>
      <c r="I1066" s="11">
        <f>36.6844 * CHOOSE(CONTROL!$C$32, $C$9, 100%, $E$9)</f>
        <v>36.684399999999997</v>
      </c>
      <c r="J1066" s="11">
        <f>36.6791 * CHOOSE(CONTROL!$C$32, $C$9, 100%, $E$9)</f>
        <v>36.679099999999998</v>
      </c>
      <c r="K1066" s="11">
        <f>36.6844 * CHOOSE(CONTROL!$C$32, $C$9, 100%, $E$9)</f>
        <v>36.684399999999997</v>
      </c>
      <c r="L1066" s="11">
        <f>17.789 * CHOOSE(CONTROL!$C$32, $C$9, 100%, $E$9)</f>
        <v>17.789000000000001</v>
      </c>
      <c r="M1066" s="11">
        <f>17.7942 * CHOOSE(CONTROL!$C$32, $C$9, 100%, $E$9)</f>
        <v>17.7942</v>
      </c>
      <c r="N1066" s="11">
        <f>17.789 * CHOOSE(CONTROL!$C$32, $C$9, 100%, $E$9)</f>
        <v>17.789000000000001</v>
      </c>
      <c r="O1066" s="11">
        <f>17.7942 * CHOOSE(CONTROL!$C$32, $C$9, 100%, $E$9)</f>
        <v>17.7942</v>
      </c>
    </row>
    <row r="1067" spans="1:15" ht="15" x14ac:dyDescent="0.2">
      <c r="A1067" s="13">
        <v>73324</v>
      </c>
      <c r="B1067" s="9">
        <f>15.9919 * CHOOSE(CONTROL!$C$32, $C$9, 100%, $E$9)</f>
        <v>15.991899999999999</v>
      </c>
      <c r="C1067" s="9">
        <f>15.9919 * CHOOSE(CONTROL!$C$32, $C$9, 100%, $E$9)</f>
        <v>15.991899999999999</v>
      </c>
      <c r="D1067" s="9">
        <f>15.9929 * CHOOSE(CONTROL!$C$32, $C$9, 100%, $E$9)</f>
        <v>15.992900000000001</v>
      </c>
      <c r="E1067" s="11">
        <f>17.9878 * CHOOSE(CONTROL!$C$32, $C$9, 100%, $E$9)</f>
        <v>17.9878</v>
      </c>
      <c r="F1067" s="11">
        <f>17.9878 * CHOOSE(CONTROL!$C$32, $C$9, 100%, $E$9)</f>
        <v>17.9878</v>
      </c>
      <c r="G1067" s="11">
        <f>17.9914 * CHOOSE(CONTROL!$C$32, $C$9, 100%, $E$9)</f>
        <v>17.991399999999999</v>
      </c>
      <c r="H1067" s="11">
        <f>36.7555 * CHOOSE(CONTROL!$C$32, $C$9, 100%, $E$9)</f>
        <v>36.755499999999998</v>
      </c>
      <c r="I1067" s="11">
        <f>36.7591 * CHOOSE(CONTROL!$C$32, $C$9, 100%, $E$9)</f>
        <v>36.759099999999997</v>
      </c>
      <c r="J1067" s="11">
        <f>36.7555 * CHOOSE(CONTROL!$C$32, $C$9, 100%, $E$9)</f>
        <v>36.755499999999998</v>
      </c>
      <c r="K1067" s="11">
        <f>36.7591 * CHOOSE(CONTROL!$C$32, $C$9, 100%, $E$9)</f>
        <v>36.759099999999997</v>
      </c>
      <c r="L1067" s="11">
        <f>17.9878 * CHOOSE(CONTROL!$C$32, $C$9, 100%, $E$9)</f>
        <v>17.9878</v>
      </c>
      <c r="M1067" s="11">
        <f>17.9914 * CHOOSE(CONTROL!$C$32, $C$9, 100%, $E$9)</f>
        <v>17.991399999999999</v>
      </c>
      <c r="N1067" s="11">
        <f>17.9878 * CHOOSE(CONTROL!$C$32, $C$9, 100%, $E$9)</f>
        <v>17.9878</v>
      </c>
      <c r="O1067" s="11">
        <f>17.9914 * CHOOSE(CONTROL!$C$32, $C$9, 100%, $E$9)</f>
        <v>17.991399999999999</v>
      </c>
    </row>
    <row r="1068" spans="1:15" ht="15" x14ac:dyDescent="0.2">
      <c r="A1068" s="13">
        <v>73355</v>
      </c>
      <c r="B1068" s="9">
        <f>15.9949 * CHOOSE(CONTROL!$C$32, $C$9, 100%, $E$9)</f>
        <v>15.994899999999999</v>
      </c>
      <c r="C1068" s="9">
        <f>15.9949 * CHOOSE(CONTROL!$C$32, $C$9, 100%, $E$9)</f>
        <v>15.994899999999999</v>
      </c>
      <c r="D1068" s="9">
        <f>15.996 * CHOOSE(CONTROL!$C$32, $C$9, 100%, $E$9)</f>
        <v>15.996</v>
      </c>
      <c r="E1068" s="11">
        <f>18.0961 * CHOOSE(CONTROL!$C$32, $C$9, 100%, $E$9)</f>
        <v>18.0961</v>
      </c>
      <c r="F1068" s="11">
        <f>18.0961 * CHOOSE(CONTROL!$C$32, $C$9, 100%, $E$9)</f>
        <v>18.0961</v>
      </c>
      <c r="G1068" s="11">
        <f>18.0997 * CHOOSE(CONTROL!$C$32, $C$9, 100%, $E$9)</f>
        <v>18.099699999999999</v>
      </c>
      <c r="H1068" s="11">
        <f>36.8321 * CHOOSE(CONTROL!$C$32, $C$9, 100%, $E$9)</f>
        <v>36.832099999999997</v>
      </c>
      <c r="I1068" s="11">
        <f>36.8357 * CHOOSE(CONTROL!$C$32, $C$9, 100%, $E$9)</f>
        <v>36.835700000000003</v>
      </c>
      <c r="J1068" s="11">
        <f>36.8321 * CHOOSE(CONTROL!$C$32, $C$9, 100%, $E$9)</f>
        <v>36.832099999999997</v>
      </c>
      <c r="K1068" s="11">
        <f>36.8357 * CHOOSE(CONTROL!$C$32, $C$9, 100%, $E$9)</f>
        <v>36.835700000000003</v>
      </c>
      <c r="L1068" s="11">
        <f>18.0961 * CHOOSE(CONTROL!$C$32, $C$9, 100%, $E$9)</f>
        <v>18.0961</v>
      </c>
      <c r="M1068" s="11">
        <f>18.0997 * CHOOSE(CONTROL!$C$32, $C$9, 100%, $E$9)</f>
        <v>18.099699999999999</v>
      </c>
      <c r="N1068" s="11">
        <f>18.0961 * CHOOSE(CONTROL!$C$32, $C$9, 100%, $E$9)</f>
        <v>18.0961</v>
      </c>
      <c r="O1068" s="11">
        <f>18.0997 * CHOOSE(CONTROL!$C$32, $C$9, 100%, $E$9)</f>
        <v>18.099699999999999</v>
      </c>
    </row>
    <row r="1069" spans="1:15" ht="15" x14ac:dyDescent="0.2">
      <c r="A1069" s="13">
        <v>73385</v>
      </c>
      <c r="B1069" s="9">
        <f>15.9949 * CHOOSE(CONTROL!$C$32, $C$9, 100%, $E$9)</f>
        <v>15.994899999999999</v>
      </c>
      <c r="C1069" s="9">
        <f>15.9949 * CHOOSE(CONTROL!$C$32, $C$9, 100%, $E$9)</f>
        <v>15.994899999999999</v>
      </c>
      <c r="D1069" s="9">
        <f>15.996 * CHOOSE(CONTROL!$C$32, $C$9, 100%, $E$9)</f>
        <v>15.996</v>
      </c>
      <c r="E1069" s="11">
        <f>17.8307 * CHOOSE(CONTROL!$C$32, $C$9, 100%, $E$9)</f>
        <v>17.8307</v>
      </c>
      <c r="F1069" s="11">
        <f>17.8307 * CHOOSE(CONTROL!$C$32, $C$9, 100%, $E$9)</f>
        <v>17.8307</v>
      </c>
      <c r="G1069" s="11">
        <f>17.8343 * CHOOSE(CONTROL!$C$32, $C$9, 100%, $E$9)</f>
        <v>17.834299999999999</v>
      </c>
      <c r="H1069" s="11">
        <f>36.9088 * CHOOSE(CONTROL!$C$32, $C$9, 100%, $E$9)</f>
        <v>36.908799999999999</v>
      </c>
      <c r="I1069" s="11">
        <f>36.9124 * CHOOSE(CONTROL!$C$32, $C$9, 100%, $E$9)</f>
        <v>36.912399999999998</v>
      </c>
      <c r="J1069" s="11">
        <f>36.9088 * CHOOSE(CONTROL!$C$32, $C$9, 100%, $E$9)</f>
        <v>36.908799999999999</v>
      </c>
      <c r="K1069" s="11">
        <f>36.9124 * CHOOSE(CONTROL!$C$32, $C$9, 100%, $E$9)</f>
        <v>36.912399999999998</v>
      </c>
      <c r="L1069" s="11">
        <f>17.8307 * CHOOSE(CONTROL!$C$32, $C$9, 100%, $E$9)</f>
        <v>17.8307</v>
      </c>
      <c r="M1069" s="11">
        <f>17.8343 * CHOOSE(CONTROL!$C$32, $C$9, 100%, $E$9)</f>
        <v>17.834299999999999</v>
      </c>
      <c r="N1069" s="11">
        <f>17.8307 * CHOOSE(CONTROL!$C$32, $C$9, 100%, $E$9)</f>
        <v>17.8307</v>
      </c>
      <c r="O1069" s="11">
        <f>17.8343 * CHOOSE(CONTROL!$C$32, $C$9, 100%, $E$9)</f>
        <v>17.834299999999999</v>
      </c>
    </row>
    <row r="1070" spans="1:15" ht="15" x14ac:dyDescent="0.2">
      <c r="A1070" s="12"/>
      <c r="B1070" s="9"/>
      <c r="C1070" s="9"/>
      <c r="D1070" s="9"/>
      <c r="E1070" s="11"/>
      <c r="F1070" s="11"/>
      <c r="G1070" s="11"/>
      <c r="H1070" s="11"/>
      <c r="I1070" s="11"/>
      <c r="J1070" s="11"/>
      <c r="K1070" s="11"/>
      <c r="L1070" s="11"/>
      <c r="M1070" s="11"/>
      <c r="N1070" s="11"/>
      <c r="O1070" s="11"/>
    </row>
    <row r="1071" spans="1:15" ht="15" x14ac:dyDescent="0.2">
      <c r="A1071" s="10">
        <v>2013</v>
      </c>
      <c r="B1071" s="9">
        <f t="shared" ref="B1071:O1071" si="0">AVERAGE(B14:B25)</f>
        <v>2.2966500000000001</v>
      </c>
      <c r="C1071" s="9">
        <f t="shared" si="0"/>
        <v>2.2232833333333333</v>
      </c>
      <c r="D1071" s="9">
        <f t="shared" si="0"/>
        <v>2.2699416666666665</v>
      </c>
      <c r="E1071" s="9">
        <f t="shared" si="0"/>
        <v>3.4876333333333331</v>
      </c>
      <c r="F1071" s="9">
        <f t="shared" si="0"/>
        <v>3.1494</v>
      </c>
      <c r="G1071" s="9">
        <f t="shared" si="0"/>
        <v>3.164908333333333</v>
      </c>
      <c r="H1071" s="9">
        <f t="shared" si="0"/>
        <v>5.7296249999999995</v>
      </c>
      <c r="I1071" s="9">
        <f t="shared" si="0"/>
        <v>5.7451333333333325</v>
      </c>
      <c r="J1071" s="9">
        <f t="shared" si="0"/>
        <v>5.7296249999999995</v>
      </c>
      <c r="K1071" s="9">
        <f t="shared" si="0"/>
        <v>5.7451333333333325</v>
      </c>
      <c r="L1071" s="9">
        <f t="shared" si="0"/>
        <v>3.4876333333333331</v>
      </c>
      <c r="M1071" s="9">
        <f t="shared" si="0"/>
        <v>3.5031166666666671</v>
      </c>
      <c r="N1071" s="9">
        <f t="shared" si="0"/>
        <v>3.4876333333333331</v>
      </c>
      <c r="O1071" s="9">
        <f t="shared" si="0"/>
        <v>3.5031166666666671</v>
      </c>
    </row>
    <row r="1072" spans="1:15" ht="15" x14ac:dyDescent="0.2">
      <c r="A1072" s="10">
        <v>2014</v>
      </c>
      <c r="B1072" s="9">
        <f t="shared" ref="B1072:O1072" si="1">AVERAGE(B26:B37)</f>
        <v>2.3654999999999995</v>
      </c>
      <c r="C1072" s="9">
        <f t="shared" si="1"/>
        <v>2.3576916666666663</v>
      </c>
      <c r="D1072" s="9">
        <f t="shared" si="1"/>
        <v>2.40435</v>
      </c>
      <c r="E1072" s="9">
        <f t="shared" si="1"/>
        <v>3.460575</v>
      </c>
      <c r="F1072" s="9">
        <f t="shared" si="1"/>
        <v>3.3780666666666668</v>
      </c>
      <c r="G1072" s="9">
        <f t="shared" si="1"/>
        <v>3.3935666666666671</v>
      </c>
      <c r="H1072" s="9">
        <f t="shared" si="1"/>
        <v>5.7507333333333337</v>
      </c>
      <c r="I1072" s="9">
        <f t="shared" si="1"/>
        <v>5.7662083333333323</v>
      </c>
      <c r="J1072" s="9">
        <f t="shared" si="1"/>
        <v>5.7507333333333337</v>
      </c>
      <c r="K1072" s="9">
        <f t="shared" si="1"/>
        <v>5.7662083333333323</v>
      </c>
      <c r="L1072" s="9">
        <f t="shared" si="1"/>
        <v>3.460575</v>
      </c>
      <c r="M1072" s="9">
        <f t="shared" si="1"/>
        <v>3.4760500000000003</v>
      </c>
      <c r="N1072" s="9">
        <f t="shared" si="1"/>
        <v>3.460575</v>
      </c>
      <c r="O1072" s="9">
        <f t="shared" si="1"/>
        <v>3.4760500000000003</v>
      </c>
    </row>
    <row r="1073" spans="1:15" ht="15" x14ac:dyDescent="0.2">
      <c r="A1073" s="10">
        <v>2015</v>
      </c>
      <c r="B1073" s="9">
        <f t="shared" ref="B1073:O1073" si="2">AVERAGE(B38:B49)</f>
        <v>2.483975</v>
      </c>
      <c r="C1073" s="9">
        <f t="shared" si="2"/>
        <v>2.483975</v>
      </c>
      <c r="D1073" s="9">
        <f t="shared" si="2"/>
        <v>2.485233333333333</v>
      </c>
      <c r="E1073" s="9">
        <f t="shared" si="2"/>
        <v>3.8020250000000004</v>
      </c>
      <c r="F1073" s="9">
        <f t="shared" si="2"/>
        <v>3.5835999999999992</v>
      </c>
      <c r="G1073" s="9">
        <f t="shared" si="2"/>
        <v>3.5879083333333335</v>
      </c>
      <c r="H1073" s="9">
        <f t="shared" si="2"/>
        <v>5.8961499999999987</v>
      </c>
      <c r="I1073" s="9">
        <f t="shared" si="2"/>
        <v>5.9004666666666665</v>
      </c>
      <c r="J1073" s="9">
        <f t="shared" si="2"/>
        <v>5.8961499999999987</v>
      </c>
      <c r="K1073" s="9">
        <f t="shared" si="2"/>
        <v>5.9004666666666665</v>
      </c>
      <c r="L1073" s="9">
        <f t="shared" si="2"/>
        <v>3.8020250000000004</v>
      </c>
      <c r="M1073" s="9">
        <f t="shared" si="2"/>
        <v>3.8063333333333329</v>
      </c>
      <c r="N1073" s="9">
        <f t="shared" si="2"/>
        <v>3.8020250000000004</v>
      </c>
      <c r="O1073" s="9">
        <f t="shared" si="2"/>
        <v>3.8063333333333329</v>
      </c>
    </row>
    <row r="1074" spans="1:15" ht="15" x14ac:dyDescent="0.2">
      <c r="A1074" s="10">
        <v>2016</v>
      </c>
      <c r="B1074" s="9">
        <f t="shared" ref="B1074:O1074" si="3">AVERAGE(B50:B61)</f>
        <v>3.2759166666666668</v>
      </c>
      <c r="C1074" s="9">
        <f t="shared" si="3"/>
        <v>3.2759166666666668</v>
      </c>
      <c r="D1074" s="9">
        <f t="shared" si="3"/>
        <v>3.2771833333333338</v>
      </c>
      <c r="E1074" s="9">
        <f t="shared" si="3"/>
        <v>3.9337</v>
      </c>
      <c r="F1074" s="9">
        <f t="shared" si="3"/>
        <v>3.6856000000000004</v>
      </c>
      <c r="G1074" s="9">
        <f t="shared" si="3"/>
        <v>3.6899083333333333</v>
      </c>
      <c r="H1074" s="9">
        <f t="shared" si="3"/>
        <v>6.045258333333333</v>
      </c>
      <c r="I1074" s="9">
        <f t="shared" si="3"/>
        <v>6.0495666666666663</v>
      </c>
      <c r="J1074" s="9">
        <f t="shared" si="3"/>
        <v>6.045258333333333</v>
      </c>
      <c r="K1074" s="9">
        <f t="shared" si="3"/>
        <v>6.0495666666666663</v>
      </c>
      <c r="L1074" s="9">
        <f t="shared" si="3"/>
        <v>3.9337</v>
      </c>
      <c r="M1074" s="9">
        <f t="shared" si="3"/>
        <v>3.9380083333333329</v>
      </c>
      <c r="N1074" s="9">
        <f t="shared" si="3"/>
        <v>3.9337</v>
      </c>
      <c r="O1074" s="9">
        <f t="shared" si="3"/>
        <v>3.9380083333333329</v>
      </c>
    </row>
    <row r="1075" spans="1:15" ht="15" x14ac:dyDescent="0.2">
      <c r="A1075" s="10">
        <v>2017</v>
      </c>
      <c r="B1075" s="9">
        <f t="shared" ref="B1075:O1075" si="4">AVERAGE(B62:B73)</f>
        <v>3.3130666666666659</v>
      </c>
      <c r="C1075" s="9">
        <f t="shared" si="4"/>
        <v>3.3130666666666659</v>
      </c>
      <c r="D1075" s="9">
        <f t="shared" si="4"/>
        <v>3.3143583333333329</v>
      </c>
      <c r="E1075" s="9">
        <f t="shared" si="4"/>
        <v>3.8792333333333331</v>
      </c>
      <c r="F1075" s="9">
        <f t="shared" si="4"/>
        <v>3.8792333333333331</v>
      </c>
      <c r="G1075" s="9">
        <f t="shared" si="4"/>
        <v>3.8835499999999996</v>
      </c>
      <c r="H1075" s="9">
        <f t="shared" si="4"/>
        <v>6.1981333333333337</v>
      </c>
      <c r="I1075" s="9">
        <f t="shared" si="4"/>
        <v>6.2024333333333344</v>
      </c>
      <c r="J1075" s="9">
        <f t="shared" si="4"/>
        <v>6.1981333333333337</v>
      </c>
      <c r="K1075" s="9">
        <f t="shared" si="4"/>
        <v>6.2024333333333344</v>
      </c>
      <c r="L1075" s="9">
        <f t="shared" si="4"/>
        <v>3.8792333333333331</v>
      </c>
      <c r="M1075" s="9">
        <f t="shared" si="4"/>
        <v>3.8835499999999996</v>
      </c>
      <c r="N1075" s="9">
        <f t="shared" si="4"/>
        <v>3.8792333333333331</v>
      </c>
      <c r="O1075" s="9">
        <f t="shared" si="4"/>
        <v>3.8835499999999996</v>
      </c>
    </row>
    <row r="1076" spans="1:15" ht="15" x14ac:dyDescent="0.2">
      <c r="A1076" s="10">
        <v>2018</v>
      </c>
      <c r="B1076" s="9">
        <f t="shared" ref="B1076:O1076" si="5">AVERAGE(B74:B85)</f>
        <v>3.4019250000000003</v>
      </c>
      <c r="C1076" s="9">
        <f t="shared" si="5"/>
        <v>3.4019250000000003</v>
      </c>
      <c r="D1076" s="9">
        <f t="shared" si="5"/>
        <v>3.4032166666666659</v>
      </c>
      <c r="E1076" s="9">
        <f t="shared" si="5"/>
        <v>3.9989833333333333</v>
      </c>
      <c r="F1076" s="9">
        <f t="shared" si="5"/>
        <v>3.9989833333333333</v>
      </c>
      <c r="G1076" s="9">
        <f t="shared" si="5"/>
        <v>4.0033166666666666</v>
      </c>
      <c r="H1076" s="9">
        <f t="shared" si="5"/>
        <v>6.3548833333333334</v>
      </c>
      <c r="I1076" s="9">
        <f t="shared" si="5"/>
        <v>6.3592000000000004</v>
      </c>
      <c r="J1076" s="9">
        <f t="shared" si="5"/>
        <v>6.3548833333333334</v>
      </c>
      <c r="K1076" s="9">
        <f t="shared" si="5"/>
        <v>6.3592000000000004</v>
      </c>
      <c r="L1076" s="9">
        <f t="shared" si="5"/>
        <v>3.9989833333333333</v>
      </c>
      <c r="M1076" s="9">
        <f t="shared" si="5"/>
        <v>4.0033166666666666</v>
      </c>
      <c r="N1076" s="9">
        <f t="shared" si="5"/>
        <v>3.9989833333333333</v>
      </c>
      <c r="O1076" s="9">
        <f t="shared" si="5"/>
        <v>4.0033166666666666</v>
      </c>
    </row>
    <row r="1077" spans="1:15" ht="15" x14ac:dyDescent="0.2">
      <c r="A1077" s="10">
        <v>2019</v>
      </c>
      <c r="B1077" s="9">
        <f t="shared" ref="B1077:O1077" si="6">AVERAGE(B86:B97)</f>
        <v>3.2222999999999993</v>
      </c>
      <c r="C1077" s="9">
        <f t="shared" si="6"/>
        <v>3.2222999999999993</v>
      </c>
      <c r="D1077" s="9">
        <f t="shared" si="6"/>
        <v>3.2235916666666671</v>
      </c>
      <c r="E1077" s="9">
        <f t="shared" si="6"/>
        <v>4.0889833333333341</v>
      </c>
      <c r="F1077" s="9">
        <f t="shared" si="6"/>
        <v>4.0889833333333341</v>
      </c>
      <c r="G1077" s="9">
        <f t="shared" si="6"/>
        <v>4.0932916666666666</v>
      </c>
      <c r="H1077" s="9">
        <f t="shared" si="6"/>
        <v>6.515575000000001</v>
      </c>
      <c r="I1077" s="9">
        <f t="shared" si="6"/>
        <v>6.5198916666666653</v>
      </c>
      <c r="J1077" s="9">
        <f t="shared" si="6"/>
        <v>6.515575000000001</v>
      </c>
      <c r="K1077" s="9">
        <f t="shared" si="6"/>
        <v>6.5198916666666653</v>
      </c>
      <c r="L1077" s="9">
        <f t="shared" si="6"/>
        <v>4.0889833333333341</v>
      </c>
      <c r="M1077" s="9">
        <f t="shared" si="6"/>
        <v>4.0932916666666666</v>
      </c>
      <c r="N1077" s="9">
        <f t="shared" si="6"/>
        <v>4.0889833333333341</v>
      </c>
      <c r="O1077" s="9">
        <f t="shared" si="6"/>
        <v>4.0932916666666666</v>
      </c>
    </row>
    <row r="1078" spans="1:15" ht="15" x14ac:dyDescent="0.2">
      <c r="A1078" s="10">
        <v>2020</v>
      </c>
      <c r="B1078" s="9">
        <f t="shared" ref="B1078:O1078" si="7">AVERAGE(B98:B109)</f>
        <v>3.286566666666666</v>
      </c>
      <c r="C1078" s="9">
        <f t="shared" si="7"/>
        <v>3.286566666666666</v>
      </c>
      <c r="D1078" s="9">
        <f t="shared" si="7"/>
        <v>3.2878583333333329</v>
      </c>
      <c r="E1078" s="9">
        <f t="shared" si="7"/>
        <v>4.1808833333333331</v>
      </c>
      <c r="F1078" s="9">
        <f t="shared" si="7"/>
        <v>4.1808833333333331</v>
      </c>
      <c r="G1078" s="9">
        <f t="shared" si="7"/>
        <v>4.1851916666666664</v>
      </c>
      <c r="H1078" s="9">
        <f t="shared" si="7"/>
        <v>6.6803416666666662</v>
      </c>
      <c r="I1078" s="9">
        <f t="shared" si="7"/>
        <v>6.6846500000000004</v>
      </c>
      <c r="J1078" s="9">
        <f t="shared" si="7"/>
        <v>6.6803416666666662</v>
      </c>
      <c r="K1078" s="9">
        <f t="shared" si="7"/>
        <v>6.6846500000000004</v>
      </c>
      <c r="L1078" s="9">
        <f t="shared" si="7"/>
        <v>4.1808833333333331</v>
      </c>
      <c r="M1078" s="9">
        <f t="shared" si="7"/>
        <v>4.1851916666666664</v>
      </c>
      <c r="N1078" s="9">
        <f t="shared" si="7"/>
        <v>4.1808833333333331</v>
      </c>
      <c r="O1078" s="9">
        <f t="shared" si="7"/>
        <v>4.1851916666666664</v>
      </c>
    </row>
    <row r="1079" spans="1:15" ht="15" x14ac:dyDescent="0.2">
      <c r="A1079" s="10">
        <v>2021</v>
      </c>
      <c r="B1079" s="9">
        <f t="shared" ref="B1079:O1079" si="8">AVERAGE(B110:B121)</f>
        <v>3.3671249999999993</v>
      </c>
      <c r="C1079" s="9">
        <f t="shared" si="8"/>
        <v>3.3671249999999993</v>
      </c>
      <c r="D1079" s="9">
        <f t="shared" si="8"/>
        <v>3.3684250000000002</v>
      </c>
      <c r="E1079" s="9">
        <f t="shared" si="8"/>
        <v>4.2754583333333338</v>
      </c>
      <c r="F1079" s="9">
        <f t="shared" si="8"/>
        <v>4.2754583333333338</v>
      </c>
      <c r="G1079" s="9">
        <f t="shared" si="8"/>
        <v>4.2797916666666671</v>
      </c>
      <c r="H1079" s="9">
        <f t="shared" si="8"/>
        <v>6.8492999999999995</v>
      </c>
      <c r="I1079" s="9">
        <f t="shared" si="8"/>
        <v>6.8536083333333329</v>
      </c>
      <c r="J1079" s="9">
        <f t="shared" si="8"/>
        <v>6.8492999999999995</v>
      </c>
      <c r="K1079" s="9">
        <f t="shared" si="8"/>
        <v>6.8536083333333329</v>
      </c>
      <c r="L1079" s="9">
        <f t="shared" si="8"/>
        <v>4.2754583333333338</v>
      </c>
      <c r="M1079" s="9">
        <f t="shared" si="8"/>
        <v>4.2797916666666671</v>
      </c>
      <c r="N1079" s="9">
        <f t="shared" si="8"/>
        <v>4.2754583333333338</v>
      </c>
      <c r="O1079" s="9">
        <f t="shared" si="8"/>
        <v>4.2797916666666671</v>
      </c>
    </row>
    <row r="1080" spans="1:15" ht="15" x14ac:dyDescent="0.2">
      <c r="A1080" s="10">
        <v>2022</v>
      </c>
      <c r="B1080" s="9">
        <f t="shared" ref="B1080:O1080" si="9">AVERAGE(B122:B133)</f>
        <v>3.4470750000000003</v>
      </c>
      <c r="C1080" s="9">
        <f t="shared" si="9"/>
        <v>3.4470750000000003</v>
      </c>
      <c r="D1080" s="9">
        <f t="shared" si="9"/>
        <v>3.4483666666666668</v>
      </c>
      <c r="E1080" s="9">
        <f t="shared" si="9"/>
        <v>4.3818083333333337</v>
      </c>
      <c r="F1080" s="9">
        <f t="shared" si="9"/>
        <v>4.3818083333333337</v>
      </c>
      <c r="G1080" s="9">
        <f t="shared" si="9"/>
        <v>4.3861166666666671</v>
      </c>
      <c r="H1080" s="9">
        <f t="shared" si="9"/>
        <v>7.0224916666666681</v>
      </c>
      <c r="I1080" s="9">
        <f t="shared" si="9"/>
        <v>7.026816666666666</v>
      </c>
      <c r="J1080" s="9">
        <f t="shared" si="9"/>
        <v>7.0224916666666681</v>
      </c>
      <c r="K1080" s="9">
        <f t="shared" si="9"/>
        <v>7.026816666666666</v>
      </c>
      <c r="L1080" s="9">
        <f t="shared" si="9"/>
        <v>4.3818083333333337</v>
      </c>
      <c r="M1080" s="9">
        <f t="shared" si="9"/>
        <v>4.3861166666666671</v>
      </c>
      <c r="N1080" s="9">
        <f t="shared" si="9"/>
        <v>4.3818083333333337</v>
      </c>
      <c r="O1080" s="9">
        <f t="shared" si="9"/>
        <v>4.3861166666666671</v>
      </c>
    </row>
    <row r="1081" spans="1:15" ht="15" x14ac:dyDescent="0.2">
      <c r="A1081" s="10">
        <v>2023</v>
      </c>
      <c r="B1081" s="9">
        <f t="shared" ref="B1081:O1081" si="10">AVERAGE(B134:B145)</f>
        <v>3.5408249999999994</v>
      </c>
      <c r="C1081" s="9">
        <f t="shared" si="10"/>
        <v>3.5408249999999994</v>
      </c>
      <c r="D1081" s="9">
        <f t="shared" si="10"/>
        <v>3.5421166666666668</v>
      </c>
      <c r="E1081" s="9">
        <f t="shared" si="10"/>
        <v>4.490308333333334</v>
      </c>
      <c r="F1081" s="9">
        <f t="shared" si="10"/>
        <v>4.490308333333334</v>
      </c>
      <c r="G1081" s="9">
        <f t="shared" si="10"/>
        <v>4.4946166666666665</v>
      </c>
      <c r="H1081" s="9">
        <f t="shared" si="10"/>
        <v>7.2000833333333327</v>
      </c>
      <c r="I1081" s="9">
        <f t="shared" si="10"/>
        <v>7.2043916666666661</v>
      </c>
      <c r="J1081" s="9">
        <f t="shared" si="10"/>
        <v>7.2000833333333327</v>
      </c>
      <c r="K1081" s="9">
        <f t="shared" si="10"/>
        <v>7.2043916666666661</v>
      </c>
      <c r="L1081" s="9">
        <f t="shared" si="10"/>
        <v>4.490308333333334</v>
      </c>
      <c r="M1081" s="9">
        <f t="shared" si="10"/>
        <v>4.4946166666666665</v>
      </c>
      <c r="N1081" s="9">
        <f t="shared" si="10"/>
        <v>4.490308333333334</v>
      </c>
      <c r="O1081" s="9">
        <f t="shared" si="10"/>
        <v>4.4946166666666665</v>
      </c>
    </row>
    <row r="1082" spans="1:15" ht="15" x14ac:dyDescent="0.2">
      <c r="A1082" s="10">
        <v>2024</v>
      </c>
      <c r="B1082" s="9">
        <f t="shared" ref="B1082:O1082" si="11">AVERAGE(B146:B157)</f>
        <v>3.6291499999999997</v>
      </c>
      <c r="C1082" s="9">
        <f t="shared" si="11"/>
        <v>3.6291499999999997</v>
      </c>
      <c r="D1082" s="9">
        <f t="shared" si="11"/>
        <v>3.6304500000000002</v>
      </c>
      <c r="E1082" s="9">
        <f t="shared" si="11"/>
        <v>4.6075583333333325</v>
      </c>
      <c r="F1082" s="9">
        <f t="shared" si="11"/>
        <v>4.6075583333333325</v>
      </c>
      <c r="G1082" s="9">
        <f t="shared" si="11"/>
        <v>4.6118500000000004</v>
      </c>
      <c r="H1082" s="9">
        <f t="shared" si="11"/>
        <v>7.3821750000000002</v>
      </c>
      <c r="I1082" s="9">
        <f t="shared" si="11"/>
        <v>7.3864833333333335</v>
      </c>
      <c r="J1082" s="9">
        <f t="shared" si="11"/>
        <v>7.3821750000000002</v>
      </c>
      <c r="K1082" s="9">
        <f t="shared" si="11"/>
        <v>7.3864833333333335</v>
      </c>
      <c r="L1082" s="9">
        <f t="shared" si="11"/>
        <v>4.6075583333333325</v>
      </c>
      <c r="M1082" s="9">
        <f t="shared" si="11"/>
        <v>4.6118500000000004</v>
      </c>
      <c r="N1082" s="9">
        <f t="shared" si="11"/>
        <v>4.6075583333333325</v>
      </c>
      <c r="O1082" s="9">
        <f t="shared" si="11"/>
        <v>4.6118500000000004</v>
      </c>
    </row>
    <row r="1083" spans="1:15" ht="15" x14ac:dyDescent="0.2">
      <c r="A1083" s="10">
        <v>2025</v>
      </c>
      <c r="B1083" s="9">
        <f t="shared" ref="B1083:O1083" si="12">AVERAGE(B158:B169)</f>
        <v>3.7209500000000002</v>
      </c>
      <c r="C1083" s="9">
        <f t="shared" si="12"/>
        <v>3.7209500000000002</v>
      </c>
      <c r="D1083" s="9">
        <f t="shared" si="12"/>
        <v>3.7222416666666676</v>
      </c>
      <c r="E1083" s="9">
        <f t="shared" si="12"/>
        <v>4.7325583333333325</v>
      </c>
      <c r="F1083" s="9">
        <f t="shared" si="12"/>
        <v>4.7325583333333325</v>
      </c>
      <c r="G1083" s="9">
        <f t="shared" si="12"/>
        <v>4.7368916666666667</v>
      </c>
      <c r="H1083" s="9">
        <f t="shared" si="12"/>
        <v>7.5688499999999985</v>
      </c>
      <c r="I1083" s="9">
        <f t="shared" si="12"/>
        <v>7.5731583333333345</v>
      </c>
      <c r="J1083" s="9">
        <f t="shared" si="12"/>
        <v>7.5688499999999985</v>
      </c>
      <c r="K1083" s="9">
        <f t="shared" si="12"/>
        <v>7.5731583333333345</v>
      </c>
      <c r="L1083" s="9">
        <f t="shared" si="12"/>
        <v>4.7325583333333325</v>
      </c>
      <c r="M1083" s="9">
        <f t="shared" si="12"/>
        <v>4.7368916666666667</v>
      </c>
      <c r="N1083" s="9">
        <f t="shared" si="12"/>
        <v>4.7325583333333325</v>
      </c>
      <c r="O1083" s="9">
        <f t="shared" si="12"/>
        <v>4.7368916666666667</v>
      </c>
    </row>
    <row r="1084" spans="1:15" ht="15" x14ac:dyDescent="0.2">
      <c r="A1084" s="10">
        <v>2026</v>
      </c>
      <c r="B1084" s="9">
        <f t="shared" ref="B1084:O1084" si="13">AVERAGE(B170:B181)</f>
        <v>3.8184083333333336</v>
      </c>
      <c r="C1084" s="9">
        <f t="shared" si="13"/>
        <v>3.8184083333333336</v>
      </c>
      <c r="D1084" s="9">
        <f t="shared" si="13"/>
        <v>3.8196916666666669</v>
      </c>
      <c r="E1084" s="9">
        <f t="shared" si="13"/>
        <v>4.8625583333333324</v>
      </c>
      <c r="F1084" s="9">
        <f t="shared" si="13"/>
        <v>4.8625583333333324</v>
      </c>
      <c r="G1084" s="9">
        <f t="shared" si="13"/>
        <v>4.8668749999999994</v>
      </c>
      <c r="H1084" s="9">
        <f t="shared" si="13"/>
        <v>7.7602500000000001</v>
      </c>
      <c r="I1084" s="9">
        <f t="shared" si="13"/>
        <v>7.7645583333333343</v>
      </c>
      <c r="J1084" s="9">
        <f t="shared" si="13"/>
        <v>7.7602500000000001</v>
      </c>
      <c r="K1084" s="9">
        <f t="shared" si="13"/>
        <v>7.7645583333333343</v>
      </c>
      <c r="L1084" s="9">
        <f t="shared" si="13"/>
        <v>4.8625583333333324</v>
      </c>
      <c r="M1084" s="9">
        <f t="shared" si="13"/>
        <v>4.8668749999999994</v>
      </c>
      <c r="N1084" s="9">
        <f t="shared" si="13"/>
        <v>4.8625583333333324</v>
      </c>
      <c r="O1084" s="9">
        <f t="shared" si="13"/>
        <v>4.8668749999999994</v>
      </c>
    </row>
    <row r="1085" spans="1:15" ht="15" x14ac:dyDescent="0.2">
      <c r="A1085" s="10">
        <v>2027</v>
      </c>
      <c r="B1085" s="9">
        <f t="shared" ref="B1085:O1085" si="14">AVERAGE(B182:B193)</f>
        <v>3.9176666666666669</v>
      </c>
      <c r="C1085" s="9">
        <f t="shared" si="14"/>
        <v>3.9176666666666669</v>
      </c>
      <c r="D1085" s="9">
        <f t="shared" si="14"/>
        <v>3.9189416666666665</v>
      </c>
      <c r="E1085" s="9">
        <f t="shared" si="14"/>
        <v>4.9883083333333325</v>
      </c>
      <c r="F1085" s="9">
        <f t="shared" si="14"/>
        <v>4.9883083333333325</v>
      </c>
      <c r="G1085" s="9">
        <f t="shared" si="14"/>
        <v>4.9926166666666658</v>
      </c>
      <c r="H1085" s="9">
        <f t="shared" si="14"/>
        <v>7.9564916666666656</v>
      </c>
      <c r="I1085" s="9">
        <f t="shared" si="14"/>
        <v>7.9608250000000007</v>
      </c>
      <c r="J1085" s="9">
        <f t="shared" si="14"/>
        <v>7.9564916666666656</v>
      </c>
      <c r="K1085" s="9">
        <f t="shared" si="14"/>
        <v>7.9608250000000007</v>
      </c>
      <c r="L1085" s="9">
        <f t="shared" si="14"/>
        <v>4.9883083333333325</v>
      </c>
      <c r="M1085" s="9">
        <f t="shared" si="14"/>
        <v>4.9926166666666658</v>
      </c>
      <c r="N1085" s="9">
        <f t="shared" si="14"/>
        <v>4.9883083333333325</v>
      </c>
      <c r="O1085" s="9">
        <f t="shared" si="14"/>
        <v>4.9926166666666658</v>
      </c>
    </row>
    <row r="1086" spans="1:15" ht="15" x14ac:dyDescent="0.2">
      <c r="A1086" s="10">
        <v>2028</v>
      </c>
      <c r="B1086" s="9">
        <f t="shared" ref="B1086:O1086" si="15">AVERAGE(B194:B205)</f>
        <v>4.0231749999999984</v>
      </c>
      <c r="C1086" s="9">
        <f t="shared" si="15"/>
        <v>4.0231749999999984</v>
      </c>
      <c r="D1086" s="9">
        <f t="shared" si="15"/>
        <v>4.0244666666666662</v>
      </c>
      <c r="E1086" s="9">
        <f t="shared" si="15"/>
        <v>5.121858333333333</v>
      </c>
      <c r="F1086" s="9">
        <f t="shared" si="15"/>
        <v>5.121858333333333</v>
      </c>
      <c r="G1086" s="9">
        <f t="shared" si="15"/>
        <v>5.1261666666666663</v>
      </c>
      <c r="H1086" s="9">
        <f t="shared" si="15"/>
        <v>8.1576916666666666</v>
      </c>
      <c r="I1086" s="9">
        <f t="shared" si="15"/>
        <v>8.1620249999999999</v>
      </c>
      <c r="J1086" s="9">
        <f t="shared" si="15"/>
        <v>8.1576916666666666</v>
      </c>
      <c r="K1086" s="9">
        <f t="shared" si="15"/>
        <v>8.1620249999999999</v>
      </c>
      <c r="L1086" s="9">
        <f t="shared" si="15"/>
        <v>5.121858333333333</v>
      </c>
      <c r="M1086" s="9">
        <f t="shared" si="15"/>
        <v>5.1261666666666663</v>
      </c>
      <c r="N1086" s="9">
        <f t="shared" si="15"/>
        <v>5.121858333333333</v>
      </c>
      <c r="O1086" s="9">
        <f t="shared" si="15"/>
        <v>5.1261666666666663</v>
      </c>
    </row>
    <row r="1087" spans="1:15" ht="15" x14ac:dyDescent="0.2">
      <c r="A1087" s="10">
        <v>2029</v>
      </c>
      <c r="B1087" s="9">
        <f t="shared" ref="B1087:O1087" si="16">AVERAGE(B206:B217)</f>
        <v>4.1202916666666676</v>
      </c>
      <c r="C1087" s="9">
        <f t="shared" si="16"/>
        <v>4.1202916666666676</v>
      </c>
      <c r="D1087" s="9">
        <f t="shared" si="16"/>
        <v>4.1215583333333337</v>
      </c>
      <c r="E1087" s="9">
        <f t="shared" si="16"/>
        <v>5.2511833333333335</v>
      </c>
      <c r="F1087" s="9">
        <f t="shared" si="16"/>
        <v>5.2511833333333335</v>
      </c>
      <c r="G1087" s="9">
        <f t="shared" si="16"/>
        <v>5.2554916666666669</v>
      </c>
      <c r="H1087" s="9">
        <f t="shared" si="16"/>
        <v>8.363999999999999</v>
      </c>
      <c r="I1087" s="9">
        <f t="shared" si="16"/>
        <v>8.3683083333333332</v>
      </c>
      <c r="J1087" s="9">
        <f t="shared" si="16"/>
        <v>8.363999999999999</v>
      </c>
      <c r="K1087" s="9">
        <f t="shared" si="16"/>
        <v>8.3683083333333332</v>
      </c>
      <c r="L1087" s="9">
        <f t="shared" si="16"/>
        <v>5.2511833333333335</v>
      </c>
      <c r="M1087" s="9">
        <f t="shared" si="16"/>
        <v>5.2554916666666669</v>
      </c>
      <c r="N1087" s="9">
        <f t="shared" si="16"/>
        <v>5.2511833333333335</v>
      </c>
      <c r="O1087" s="9">
        <f t="shared" si="16"/>
        <v>5.2554916666666669</v>
      </c>
    </row>
    <row r="1088" spans="1:15" ht="15" x14ac:dyDescent="0.2">
      <c r="A1088" s="10">
        <v>2030</v>
      </c>
      <c r="B1088" s="9">
        <f t="shared" ref="B1088:O1088" si="17">AVERAGE(B218:B229)</f>
        <v>4.2197500000000003</v>
      </c>
      <c r="C1088" s="9">
        <f t="shared" si="17"/>
        <v>4.2197500000000003</v>
      </c>
      <c r="D1088" s="9">
        <f t="shared" si="17"/>
        <v>4.2210416666666664</v>
      </c>
      <c r="E1088" s="9">
        <f t="shared" si="17"/>
        <v>5.3853833333333334</v>
      </c>
      <c r="F1088" s="9">
        <f t="shared" si="17"/>
        <v>5.3853833333333334</v>
      </c>
      <c r="G1088" s="9">
        <f t="shared" si="17"/>
        <v>5.3897166666666676</v>
      </c>
      <c r="H1088" s="9">
        <f t="shared" si="17"/>
        <v>8.5755250000000007</v>
      </c>
      <c r="I1088" s="9">
        <f t="shared" si="17"/>
        <v>8.5798333333333314</v>
      </c>
      <c r="J1088" s="9">
        <f t="shared" si="17"/>
        <v>8.5755250000000007</v>
      </c>
      <c r="K1088" s="9">
        <f t="shared" si="17"/>
        <v>8.5798333333333314</v>
      </c>
      <c r="L1088" s="9">
        <f t="shared" si="17"/>
        <v>5.3853833333333334</v>
      </c>
      <c r="M1088" s="9">
        <f t="shared" si="17"/>
        <v>5.3897166666666676</v>
      </c>
      <c r="N1088" s="9">
        <f t="shared" si="17"/>
        <v>5.3853833333333334</v>
      </c>
      <c r="O1088" s="9">
        <f t="shared" si="17"/>
        <v>5.3897166666666676</v>
      </c>
    </row>
    <row r="1089" spans="1:15" ht="15" x14ac:dyDescent="0.2">
      <c r="A1089" s="10">
        <v>2031</v>
      </c>
      <c r="B1089" s="9">
        <f t="shared" ref="B1089:O1089" si="18">AVERAGE(B230:B241)</f>
        <v>4.319983333333334</v>
      </c>
      <c r="C1089" s="9">
        <f t="shared" si="18"/>
        <v>4.319983333333334</v>
      </c>
      <c r="D1089" s="9">
        <f t="shared" si="18"/>
        <v>4.321275</v>
      </c>
      <c r="E1089" s="9">
        <f t="shared" si="18"/>
        <v>5.5212583333333329</v>
      </c>
      <c r="F1089" s="9">
        <f t="shared" si="18"/>
        <v>5.5212583333333329</v>
      </c>
      <c r="G1089" s="9">
        <f t="shared" si="18"/>
        <v>5.5255916666666671</v>
      </c>
      <c r="H1089" s="9">
        <f t="shared" si="18"/>
        <v>8.7923666666666644</v>
      </c>
      <c r="I1089" s="9">
        <f t="shared" si="18"/>
        <v>8.7966750000000005</v>
      </c>
      <c r="J1089" s="9">
        <f t="shared" si="18"/>
        <v>8.7923666666666644</v>
      </c>
      <c r="K1089" s="9">
        <f t="shared" si="18"/>
        <v>8.7966750000000005</v>
      </c>
      <c r="L1089" s="9">
        <f t="shared" si="18"/>
        <v>5.5212583333333329</v>
      </c>
      <c r="M1089" s="9">
        <f t="shared" si="18"/>
        <v>5.5255916666666671</v>
      </c>
      <c r="N1089" s="9">
        <f t="shared" si="18"/>
        <v>5.5212583333333329</v>
      </c>
      <c r="O1089" s="9">
        <f t="shared" si="18"/>
        <v>5.5255916666666671</v>
      </c>
    </row>
    <row r="1090" spans="1:15" ht="15" x14ac:dyDescent="0.2">
      <c r="A1090" s="10">
        <v>2032</v>
      </c>
      <c r="B1090" s="9">
        <f t="shared" ref="B1090:O1090" si="19">AVERAGE(B242:B253)</f>
        <v>4.4233666666666664</v>
      </c>
      <c r="C1090" s="9">
        <f t="shared" si="19"/>
        <v>4.4233666666666664</v>
      </c>
      <c r="D1090" s="9">
        <f t="shared" si="19"/>
        <v>4.4246499999999997</v>
      </c>
      <c r="E1090" s="9">
        <f t="shared" si="19"/>
        <v>5.6636583333333341</v>
      </c>
      <c r="F1090" s="9">
        <f t="shared" si="19"/>
        <v>5.6636583333333341</v>
      </c>
      <c r="G1090" s="9">
        <f t="shared" si="19"/>
        <v>5.6679666666666675</v>
      </c>
      <c r="H1090" s="9">
        <f t="shared" si="19"/>
        <v>9.0147333333333322</v>
      </c>
      <c r="I1090" s="9">
        <f t="shared" si="19"/>
        <v>9.0190416666666682</v>
      </c>
      <c r="J1090" s="9">
        <f t="shared" si="19"/>
        <v>9.0147333333333322</v>
      </c>
      <c r="K1090" s="9">
        <f t="shared" si="19"/>
        <v>9.0190416666666682</v>
      </c>
      <c r="L1090" s="9">
        <f t="shared" si="19"/>
        <v>5.6636583333333341</v>
      </c>
      <c r="M1090" s="9">
        <f t="shared" si="19"/>
        <v>5.6679666666666675</v>
      </c>
      <c r="N1090" s="9">
        <f t="shared" si="19"/>
        <v>5.6636583333333341</v>
      </c>
      <c r="O1090" s="9">
        <f t="shared" si="19"/>
        <v>5.6679666666666675</v>
      </c>
    </row>
    <row r="1091" spans="1:15" ht="15" x14ac:dyDescent="0.2">
      <c r="A1091" s="10">
        <v>2033</v>
      </c>
      <c r="B1091" s="9">
        <f t="shared" ref="B1091:O1091" si="20">AVERAGE(B254:B265)</f>
        <v>4.5277250000000011</v>
      </c>
      <c r="C1091" s="9">
        <f t="shared" si="20"/>
        <v>4.5277250000000011</v>
      </c>
      <c r="D1091" s="9">
        <f t="shared" si="20"/>
        <v>4.5290083333333335</v>
      </c>
      <c r="E1091" s="9">
        <f t="shared" si="20"/>
        <v>5.8086833333333336</v>
      </c>
      <c r="F1091" s="9">
        <f t="shared" si="20"/>
        <v>5.8086833333333336</v>
      </c>
      <c r="G1091" s="9">
        <f t="shared" si="20"/>
        <v>5.8129750000000016</v>
      </c>
      <c r="H1091" s="9">
        <f t="shared" si="20"/>
        <v>9.2426833333333338</v>
      </c>
      <c r="I1091" s="9">
        <f t="shared" si="20"/>
        <v>9.2469999999999999</v>
      </c>
      <c r="J1091" s="9">
        <f t="shared" si="20"/>
        <v>9.2426833333333338</v>
      </c>
      <c r="K1091" s="9">
        <f t="shared" si="20"/>
        <v>9.2469999999999999</v>
      </c>
      <c r="L1091" s="9">
        <f t="shared" si="20"/>
        <v>5.8086833333333336</v>
      </c>
      <c r="M1091" s="9">
        <f t="shared" si="20"/>
        <v>5.8129750000000016</v>
      </c>
      <c r="N1091" s="9">
        <f t="shared" si="20"/>
        <v>5.8086833333333336</v>
      </c>
      <c r="O1091" s="9">
        <f t="shared" si="20"/>
        <v>5.8129750000000016</v>
      </c>
    </row>
    <row r="1092" spans="1:15" ht="15" x14ac:dyDescent="0.2">
      <c r="A1092" s="10">
        <v>2034</v>
      </c>
      <c r="B1092" s="9">
        <f t="shared" ref="B1092:O1092" si="21">AVERAGE(B266:B277)</f>
        <v>4.6365749999999997</v>
      </c>
      <c r="C1092" s="9">
        <f t="shared" si="21"/>
        <v>4.6365749999999997</v>
      </c>
      <c r="D1092" s="9">
        <f t="shared" si="21"/>
        <v>4.6378583333333339</v>
      </c>
      <c r="E1092" s="9">
        <f t="shared" si="21"/>
        <v>5.9626083333333346</v>
      </c>
      <c r="F1092" s="9">
        <f t="shared" si="21"/>
        <v>5.9626083333333346</v>
      </c>
      <c r="G1092" s="9">
        <f t="shared" si="21"/>
        <v>5.966941666666667</v>
      </c>
      <c r="H1092" s="9">
        <f t="shared" si="21"/>
        <v>9.4764000000000017</v>
      </c>
      <c r="I1092" s="9">
        <f t="shared" si="21"/>
        <v>9.4807333333333332</v>
      </c>
      <c r="J1092" s="9">
        <f t="shared" si="21"/>
        <v>9.4764000000000017</v>
      </c>
      <c r="K1092" s="9">
        <f t="shared" si="21"/>
        <v>9.4807333333333332</v>
      </c>
      <c r="L1092" s="9">
        <f t="shared" si="21"/>
        <v>5.9626083333333346</v>
      </c>
      <c r="M1092" s="9">
        <f t="shared" si="21"/>
        <v>5.966941666666667</v>
      </c>
      <c r="N1092" s="9">
        <f t="shared" si="21"/>
        <v>5.9626083333333346</v>
      </c>
      <c r="O1092" s="9">
        <f t="shared" si="21"/>
        <v>5.966941666666667</v>
      </c>
    </row>
    <row r="1093" spans="1:15" ht="15" x14ac:dyDescent="0.2">
      <c r="A1093" s="10">
        <v>2035</v>
      </c>
      <c r="B1093" s="9">
        <f t="shared" ref="B1093:O1093" si="22">AVERAGE(B278:B289)</f>
        <v>4.7452499999999995</v>
      </c>
      <c r="C1093" s="9">
        <f t="shared" si="22"/>
        <v>4.7452499999999995</v>
      </c>
      <c r="D1093" s="9">
        <f t="shared" si="22"/>
        <v>4.7465333333333337</v>
      </c>
      <c r="E1093" s="9">
        <f t="shared" si="22"/>
        <v>6.2283083333333344</v>
      </c>
      <c r="F1093" s="9">
        <f t="shared" si="22"/>
        <v>6.2283083333333344</v>
      </c>
      <c r="G1093" s="9">
        <f t="shared" si="22"/>
        <v>6.2326249999999996</v>
      </c>
      <c r="H1093" s="9">
        <f t="shared" si="22"/>
        <v>9.7160499999999974</v>
      </c>
      <c r="I1093" s="9">
        <f t="shared" si="22"/>
        <v>9.7203749999999989</v>
      </c>
      <c r="J1093" s="9">
        <f t="shared" si="22"/>
        <v>9.7160499999999974</v>
      </c>
      <c r="K1093" s="9">
        <f t="shared" si="22"/>
        <v>9.7203749999999989</v>
      </c>
      <c r="L1093" s="9">
        <f t="shared" si="22"/>
        <v>6.2283083333333344</v>
      </c>
      <c r="M1093" s="9">
        <f t="shared" si="22"/>
        <v>6.2326249999999996</v>
      </c>
      <c r="N1093" s="9">
        <f t="shared" si="22"/>
        <v>6.2283083333333344</v>
      </c>
      <c r="O1093" s="9">
        <f t="shared" si="22"/>
        <v>6.2326249999999996</v>
      </c>
    </row>
    <row r="1094" spans="1:15" ht="15" x14ac:dyDescent="0.2">
      <c r="A1094" s="10">
        <v>2036</v>
      </c>
      <c r="B1094" s="9">
        <f t="shared" ref="B1094:O1094" si="23">AVERAGE(B290:B301)</f>
        <v>4.8552916666666661</v>
      </c>
      <c r="C1094" s="9">
        <f t="shared" si="23"/>
        <v>4.8552916666666661</v>
      </c>
      <c r="D1094" s="9">
        <f t="shared" si="23"/>
        <v>4.8565666666666667</v>
      </c>
      <c r="E1094" s="9">
        <f t="shared" si="23"/>
        <v>6.4622250000000001</v>
      </c>
      <c r="F1094" s="9">
        <f t="shared" si="23"/>
        <v>6.4622250000000001</v>
      </c>
      <c r="G1094" s="9">
        <f t="shared" si="23"/>
        <v>6.4665333333333317</v>
      </c>
      <c r="H1094" s="9">
        <f t="shared" si="23"/>
        <v>9.9617666666666675</v>
      </c>
      <c r="I1094" s="9">
        <f t="shared" si="23"/>
        <v>9.9660833333333319</v>
      </c>
      <c r="J1094" s="9">
        <f t="shared" si="23"/>
        <v>9.9617666666666675</v>
      </c>
      <c r="K1094" s="9">
        <f t="shared" si="23"/>
        <v>9.9660833333333319</v>
      </c>
      <c r="L1094" s="9">
        <f t="shared" si="23"/>
        <v>6.4622250000000001</v>
      </c>
      <c r="M1094" s="9">
        <f t="shared" si="23"/>
        <v>6.4665333333333317</v>
      </c>
      <c r="N1094" s="9">
        <f t="shared" si="23"/>
        <v>6.4622250000000001</v>
      </c>
      <c r="O1094" s="9">
        <f t="shared" si="23"/>
        <v>6.4665333333333317</v>
      </c>
    </row>
    <row r="1095" spans="1:15" ht="15" x14ac:dyDescent="0.2">
      <c r="A1095" s="10">
        <v>2037</v>
      </c>
      <c r="B1095" s="9">
        <f t="shared" ref="B1095:O1095" si="24">AVERAGE(B302:B313)</f>
        <v>4.964783333333334</v>
      </c>
      <c r="C1095" s="9">
        <f t="shared" si="24"/>
        <v>4.964783333333334</v>
      </c>
      <c r="D1095" s="9">
        <f t="shared" si="24"/>
        <v>4.9660833333333327</v>
      </c>
      <c r="E1095" s="9">
        <f t="shared" si="24"/>
        <v>6.5224749999999991</v>
      </c>
      <c r="F1095" s="9">
        <f t="shared" si="24"/>
        <v>6.5224749999999991</v>
      </c>
      <c r="G1095" s="9">
        <f t="shared" si="24"/>
        <v>6.5267833333333343</v>
      </c>
      <c r="H1095" s="9">
        <f t="shared" si="24"/>
        <v>10.213691666666668</v>
      </c>
      <c r="I1095" s="9">
        <f t="shared" si="24"/>
        <v>10.217983333333335</v>
      </c>
      <c r="J1095" s="9">
        <f t="shared" si="24"/>
        <v>10.213691666666668</v>
      </c>
      <c r="K1095" s="9">
        <f t="shared" si="24"/>
        <v>10.217983333333335</v>
      </c>
      <c r="L1095" s="9">
        <f t="shared" si="24"/>
        <v>6.5224749999999991</v>
      </c>
      <c r="M1095" s="9">
        <f t="shared" si="24"/>
        <v>6.5267833333333343</v>
      </c>
      <c r="N1095" s="9">
        <f t="shared" si="24"/>
        <v>6.5224749999999991</v>
      </c>
      <c r="O1095" s="9">
        <f t="shared" si="24"/>
        <v>6.5267833333333343</v>
      </c>
    </row>
    <row r="1096" spans="1:15" ht="15" x14ac:dyDescent="0.2">
      <c r="A1096" s="10">
        <v>2038</v>
      </c>
      <c r="B1096" s="9">
        <f t="shared" ref="B1096:O1096" si="25">AVERAGE(B314:B325)</f>
        <v>5.078008333333333</v>
      </c>
      <c r="C1096" s="9">
        <f t="shared" si="25"/>
        <v>5.078008333333333</v>
      </c>
      <c r="D1096" s="9">
        <f t="shared" si="25"/>
        <v>5.0792916666666663</v>
      </c>
      <c r="E1096" s="9">
        <f t="shared" si="25"/>
        <v>6.5534166666666671</v>
      </c>
      <c r="F1096" s="9">
        <f t="shared" si="25"/>
        <v>6.5534166666666671</v>
      </c>
      <c r="G1096" s="9">
        <f t="shared" si="25"/>
        <v>6.5577499999999995</v>
      </c>
      <c r="H1096" s="9">
        <f t="shared" si="25"/>
        <v>10.471974999999999</v>
      </c>
      <c r="I1096" s="9">
        <f t="shared" si="25"/>
        <v>10.476283333333333</v>
      </c>
      <c r="J1096" s="9">
        <f t="shared" si="25"/>
        <v>10.471974999999999</v>
      </c>
      <c r="K1096" s="9">
        <f t="shared" si="25"/>
        <v>10.476283333333333</v>
      </c>
      <c r="L1096" s="9">
        <f t="shared" si="25"/>
        <v>6.5534166666666671</v>
      </c>
      <c r="M1096" s="9">
        <f t="shared" si="25"/>
        <v>6.5577499999999995</v>
      </c>
      <c r="N1096" s="9">
        <f t="shared" si="25"/>
        <v>6.5534166666666671</v>
      </c>
      <c r="O1096" s="9">
        <f t="shared" si="25"/>
        <v>6.5577499999999995</v>
      </c>
    </row>
    <row r="1097" spans="1:15" ht="15" x14ac:dyDescent="0.2">
      <c r="A1097" s="10">
        <v>2039</v>
      </c>
      <c r="B1097" s="9">
        <f t="shared" ref="B1097:O1097" si="26">AVERAGE(B326:B337)</f>
        <v>5.1910833333333333</v>
      </c>
      <c r="C1097" s="9">
        <f t="shared" si="26"/>
        <v>5.1910833333333333</v>
      </c>
      <c r="D1097" s="9">
        <f t="shared" si="26"/>
        <v>5.1923583333333339</v>
      </c>
      <c r="E1097" s="9">
        <f t="shared" si="26"/>
        <v>6.5795250000000003</v>
      </c>
      <c r="F1097" s="9">
        <f t="shared" si="26"/>
        <v>6.5795250000000003</v>
      </c>
      <c r="G1097" s="9">
        <f t="shared" si="26"/>
        <v>6.5838416666666655</v>
      </c>
      <c r="H1097" s="9">
        <f t="shared" si="26"/>
        <v>10.736775</v>
      </c>
      <c r="I1097" s="9">
        <f t="shared" si="26"/>
        <v>10.741091666666668</v>
      </c>
      <c r="J1097" s="9">
        <f t="shared" si="26"/>
        <v>10.736775</v>
      </c>
      <c r="K1097" s="9">
        <f t="shared" si="26"/>
        <v>10.741091666666668</v>
      </c>
      <c r="L1097" s="9">
        <f t="shared" si="26"/>
        <v>6.5795250000000003</v>
      </c>
      <c r="M1097" s="9">
        <f t="shared" si="26"/>
        <v>6.5838416666666655</v>
      </c>
      <c r="N1097" s="9">
        <f t="shared" si="26"/>
        <v>6.5795250000000003</v>
      </c>
      <c r="O1097" s="9">
        <f t="shared" si="26"/>
        <v>6.5838416666666655</v>
      </c>
    </row>
    <row r="1098" spans="1:15" ht="15" x14ac:dyDescent="0.2">
      <c r="A1098" s="10">
        <v>2040</v>
      </c>
      <c r="B1098" s="9">
        <f t="shared" ref="B1098:O1098" si="27">AVERAGE(B338:B349)</f>
        <v>5.3088083333333334</v>
      </c>
      <c r="C1098" s="9">
        <f t="shared" si="27"/>
        <v>5.3088083333333334</v>
      </c>
      <c r="D1098" s="9">
        <f t="shared" si="27"/>
        <v>5.3100916666666675</v>
      </c>
      <c r="E1098" s="9">
        <f t="shared" si="27"/>
        <v>6.6098166666666671</v>
      </c>
      <c r="F1098" s="9">
        <f t="shared" si="27"/>
        <v>6.6098166666666671</v>
      </c>
      <c r="G1098" s="9">
        <f t="shared" si="27"/>
        <v>6.6141166666666669</v>
      </c>
      <c r="H1098" s="9">
        <f t="shared" si="27"/>
        <v>11.008291666666667</v>
      </c>
      <c r="I1098" s="9">
        <f t="shared" si="27"/>
        <v>11.012616666666666</v>
      </c>
      <c r="J1098" s="9">
        <f t="shared" si="27"/>
        <v>11.008291666666667</v>
      </c>
      <c r="K1098" s="9">
        <f t="shared" si="27"/>
        <v>11.012616666666666</v>
      </c>
      <c r="L1098" s="9">
        <f t="shared" si="27"/>
        <v>6.6098166666666671</v>
      </c>
      <c r="M1098" s="9">
        <f t="shared" si="27"/>
        <v>6.6141166666666669</v>
      </c>
      <c r="N1098" s="9">
        <f t="shared" si="27"/>
        <v>6.6098166666666671</v>
      </c>
      <c r="O1098" s="9">
        <f t="shared" si="27"/>
        <v>6.6141166666666669</v>
      </c>
    </row>
    <row r="1099" spans="1:15" ht="15" x14ac:dyDescent="0.2">
      <c r="A1099" s="10">
        <v>2041</v>
      </c>
      <c r="B1099" s="9">
        <f t="shared" ref="B1099:O1099" si="28">AVERAGE(B350:B361)</f>
        <v>5.4292249999999989</v>
      </c>
      <c r="C1099" s="9">
        <f t="shared" si="28"/>
        <v>5.4292249999999989</v>
      </c>
      <c r="D1099" s="9">
        <f t="shared" si="28"/>
        <v>5.430483333333334</v>
      </c>
      <c r="E1099" s="9">
        <f t="shared" si="28"/>
        <v>6.6440333333333328</v>
      </c>
      <c r="F1099" s="9">
        <f t="shared" si="28"/>
        <v>6.6440333333333328</v>
      </c>
      <c r="G1099" s="9">
        <f t="shared" si="28"/>
        <v>6.6483583333333343</v>
      </c>
      <c r="H1099" s="9">
        <f t="shared" si="28"/>
        <v>11.286683333333334</v>
      </c>
      <c r="I1099" s="9">
        <f t="shared" si="28"/>
        <v>11.291000000000002</v>
      </c>
      <c r="J1099" s="9">
        <f t="shared" si="28"/>
        <v>11.286683333333334</v>
      </c>
      <c r="K1099" s="9">
        <f t="shared" si="28"/>
        <v>11.291000000000002</v>
      </c>
      <c r="L1099" s="9">
        <f t="shared" si="28"/>
        <v>6.6440333333333328</v>
      </c>
      <c r="M1099" s="9">
        <f t="shared" si="28"/>
        <v>6.6483583333333343</v>
      </c>
      <c r="N1099" s="9">
        <f t="shared" si="28"/>
        <v>6.6440333333333328</v>
      </c>
      <c r="O1099" s="9">
        <f t="shared" si="28"/>
        <v>6.6483583333333343</v>
      </c>
    </row>
    <row r="1100" spans="1:15" ht="15" x14ac:dyDescent="0.2">
      <c r="A1100" s="10">
        <v>2042</v>
      </c>
      <c r="B1100" s="9">
        <f t="shared" ref="B1100:O1100" si="29">AVERAGE(B362:B373)</f>
        <v>5.5523500000000006</v>
      </c>
      <c r="C1100" s="9">
        <f t="shared" si="29"/>
        <v>5.5523500000000006</v>
      </c>
      <c r="D1100" s="9">
        <f t="shared" si="29"/>
        <v>5.5536416666666675</v>
      </c>
      <c r="E1100" s="9">
        <f t="shared" si="29"/>
        <v>6.6822333333333335</v>
      </c>
      <c r="F1100" s="9">
        <f t="shared" si="29"/>
        <v>6.6822333333333335</v>
      </c>
      <c r="G1100" s="9">
        <f t="shared" si="29"/>
        <v>6.6865499999999995</v>
      </c>
      <c r="H1100" s="9">
        <f t="shared" si="29"/>
        <v>11.572108333333334</v>
      </c>
      <c r="I1100" s="9">
        <f t="shared" si="29"/>
        <v>11.576424999999999</v>
      </c>
      <c r="J1100" s="9">
        <f t="shared" si="29"/>
        <v>11.572108333333334</v>
      </c>
      <c r="K1100" s="9">
        <f t="shared" si="29"/>
        <v>11.576424999999999</v>
      </c>
      <c r="L1100" s="9">
        <f t="shared" si="29"/>
        <v>6.6822333333333335</v>
      </c>
      <c r="M1100" s="9">
        <f t="shared" si="29"/>
        <v>6.6865499999999995</v>
      </c>
      <c r="N1100" s="9">
        <f t="shared" si="29"/>
        <v>6.6822333333333335</v>
      </c>
      <c r="O1100" s="9">
        <f t="shared" si="29"/>
        <v>6.6865499999999995</v>
      </c>
    </row>
    <row r="1101" spans="1:15" ht="15" x14ac:dyDescent="0.2">
      <c r="A1101" s="10">
        <v>2043</v>
      </c>
      <c r="B1101" s="9">
        <f t="shared" ref="B1101:O1101" si="30">AVERAGE(B374:B385)</f>
        <v>5.6783000000000001</v>
      </c>
      <c r="C1101" s="9">
        <f t="shared" si="30"/>
        <v>5.6783000000000001</v>
      </c>
      <c r="D1101" s="9">
        <f t="shared" si="30"/>
        <v>5.6795749999999998</v>
      </c>
      <c r="E1101" s="9">
        <f t="shared" si="30"/>
        <v>6.72445</v>
      </c>
      <c r="F1101" s="9">
        <f t="shared" si="30"/>
        <v>6.72445</v>
      </c>
      <c r="G1101" s="9">
        <f t="shared" si="30"/>
        <v>6.7287666666666661</v>
      </c>
      <c r="H1101" s="9">
        <f t="shared" si="30"/>
        <v>11.864750000000001</v>
      </c>
      <c r="I1101" s="9">
        <f t="shared" si="30"/>
        <v>11.869066666666669</v>
      </c>
      <c r="J1101" s="9">
        <f t="shared" si="30"/>
        <v>11.864750000000001</v>
      </c>
      <c r="K1101" s="9">
        <f t="shared" si="30"/>
        <v>11.869066666666669</v>
      </c>
      <c r="L1101" s="9">
        <f t="shared" si="30"/>
        <v>6.72445</v>
      </c>
      <c r="M1101" s="9">
        <f t="shared" si="30"/>
        <v>6.7287666666666661</v>
      </c>
      <c r="N1101" s="9">
        <f t="shared" si="30"/>
        <v>6.72445</v>
      </c>
      <c r="O1101" s="9">
        <f t="shared" si="30"/>
        <v>6.7287666666666661</v>
      </c>
    </row>
    <row r="1102" spans="1:15" ht="15" x14ac:dyDescent="0.2">
      <c r="A1102" s="10">
        <v>2044</v>
      </c>
      <c r="B1102" s="9">
        <f t="shared" ref="B1102:O1102" si="31">AVERAGE(B386:B397)</f>
        <v>5.807083333333332</v>
      </c>
      <c r="C1102" s="9">
        <f t="shared" si="31"/>
        <v>5.807083333333332</v>
      </c>
      <c r="D1102" s="9">
        <f t="shared" si="31"/>
        <v>5.8083583333333335</v>
      </c>
      <c r="E1102" s="9">
        <f t="shared" si="31"/>
        <v>6.774516666666667</v>
      </c>
      <c r="F1102" s="9">
        <f t="shared" si="31"/>
        <v>6.774516666666667</v>
      </c>
      <c r="G1102" s="9">
        <f t="shared" si="31"/>
        <v>6.7788249999999985</v>
      </c>
      <c r="H1102" s="9">
        <f t="shared" si="31"/>
        <v>12.164783333333332</v>
      </c>
      <c r="I1102" s="9">
        <f t="shared" si="31"/>
        <v>12.169108333333334</v>
      </c>
      <c r="J1102" s="9">
        <f t="shared" si="31"/>
        <v>12.164783333333332</v>
      </c>
      <c r="K1102" s="9">
        <f t="shared" si="31"/>
        <v>12.169108333333334</v>
      </c>
      <c r="L1102" s="9">
        <f t="shared" si="31"/>
        <v>6.774516666666667</v>
      </c>
      <c r="M1102" s="9">
        <f t="shared" si="31"/>
        <v>6.7788249999999985</v>
      </c>
      <c r="N1102" s="9">
        <f t="shared" si="31"/>
        <v>6.774516666666667</v>
      </c>
      <c r="O1102" s="9">
        <f t="shared" si="31"/>
        <v>6.7788249999999985</v>
      </c>
    </row>
    <row r="1103" spans="1:15" ht="15" x14ac:dyDescent="0.2">
      <c r="A1103" s="10">
        <v>2045</v>
      </c>
      <c r="B1103" s="9">
        <f t="shared" ref="B1103:O1103" si="32">AVERAGE(B398:B409)</f>
        <v>5.9387999999999996</v>
      </c>
      <c r="C1103" s="9">
        <f t="shared" si="32"/>
        <v>5.9387999999999996</v>
      </c>
      <c r="D1103" s="9">
        <f t="shared" si="32"/>
        <v>5.9400916666666665</v>
      </c>
      <c r="E1103" s="9">
        <f t="shared" si="32"/>
        <v>6.8389249999999997</v>
      </c>
      <c r="F1103" s="9">
        <f t="shared" si="32"/>
        <v>6.8389249999999997</v>
      </c>
      <c r="G1103" s="9">
        <f t="shared" si="32"/>
        <v>6.8432416666666676</v>
      </c>
      <c r="H1103" s="9">
        <f t="shared" si="32"/>
        <v>12.472433333333333</v>
      </c>
      <c r="I1103" s="9">
        <f t="shared" si="32"/>
        <v>12.476750000000001</v>
      </c>
      <c r="J1103" s="9">
        <f t="shared" si="32"/>
        <v>12.472433333333333</v>
      </c>
      <c r="K1103" s="9">
        <f t="shared" si="32"/>
        <v>12.476750000000001</v>
      </c>
      <c r="L1103" s="9">
        <f t="shared" si="32"/>
        <v>6.8389249999999997</v>
      </c>
      <c r="M1103" s="9">
        <f t="shared" si="32"/>
        <v>6.8432416666666676</v>
      </c>
      <c r="N1103" s="9">
        <f t="shared" si="32"/>
        <v>6.8389249999999997</v>
      </c>
      <c r="O1103" s="9">
        <f t="shared" si="32"/>
        <v>6.8432416666666676</v>
      </c>
    </row>
    <row r="1104" spans="1:15" ht="15" x14ac:dyDescent="0.2">
      <c r="A1104" s="10">
        <v>2046</v>
      </c>
      <c r="B1104" s="9">
        <f t="shared" ref="B1104:O1104" si="33">AVERAGE(B410:B421)</f>
        <v>6.073525000000001</v>
      </c>
      <c r="C1104" s="9">
        <f t="shared" si="33"/>
        <v>6.073525000000001</v>
      </c>
      <c r="D1104" s="9">
        <f t="shared" si="33"/>
        <v>6.0748083333333343</v>
      </c>
      <c r="E1104" s="9">
        <f t="shared" si="33"/>
        <v>6.9243500000000004</v>
      </c>
      <c r="F1104" s="9">
        <f t="shared" si="33"/>
        <v>6.9243500000000004</v>
      </c>
      <c r="G1104" s="9">
        <f t="shared" si="33"/>
        <v>6.9286583333333338</v>
      </c>
      <c r="H1104" s="9">
        <f t="shared" si="33"/>
        <v>12.787824999999998</v>
      </c>
      <c r="I1104" s="9">
        <f t="shared" si="33"/>
        <v>12.792141666666668</v>
      </c>
      <c r="J1104" s="9">
        <f t="shared" si="33"/>
        <v>12.787824999999998</v>
      </c>
      <c r="K1104" s="9">
        <f t="shared" si="33"/>
        <v>12.792141666666668</v>
      </c>
      <c r="L1104" s="9">
        <f t="shared" si="33"/>
        <v>6.9243500000000004</v>
      </c>
      <c r="M1104" s="9">
        <f t="shared" si="33"/>
        <v>6.9286583333333338</v>
      </c>
      <c r="N1104" s="9">
        <f t="shared" si="33"/>
        <v>6.9243500000000004</v>
      </c>
      <c r="O1104" s="9">
        <f t="shared" si="33"/>
        <v>6.9286583333333338</v>
      </c>
    </row>
    <row r="1105" spans="1:15" ht="15" x14ac:dyDescent="0.2">
      <c r="A1105" s="10">
        <v>2047</v>
      </c>
      <c r="B1105" s="9">
        <f t="shared" ref="B1105:O1105" si="34">AVERAGE(B422:B433)</f>
        <v>6.2112833333333333</v>
      </c>
      <c r="C1105" s="9">
        <f t="shared" si="34"/>
        <v>6.2112833333333333</v>
      </c>
      <c r="D1105" s="9">
        <f t="shared" si="34"/>
        <v>6.2125750000000011</v>
      </c>
      <c r="E1105" s="9">
        <f t="shared" si="34"/>
        <v>7.0300916666666664</v>
      </c>
      <c r="F1105" s="9">
        <f t="shared" si="34"/>
        <v>7.0300916666666664</v>
      </c>
      <c r="G1105" s="9">
        <f t="shared" si="34"/>
        <v>7.0343999999999989</v>
      </c>
      <c r="H1105" s="9">
        <f t="shared" si="34"/>
        <v>13.111208333333332</v>
      </c>
      <c r="I1105" s="9">
        <f t="shared" si="34"/>
        <v>13.115533333333333</v>
      </c>
      <c r="J1105" s="9">
        <f t="shared" si="34"/>
        <v>13.111208333333332</v>
      </c>
      <c r="K1105" s="9">
        <f t="shared" si="34"/>
        <v>13.115533333333333</v>
      </c>
      <c r="L1105" s="9">
        <f t="shared" si="34"/>
        <v>7.0300916666666664</v>
      </c>
      <c r="M1105" s="9">
        <f t="shared" si="34"/>
        <v>7.0343999999999989</v>
      </c>
      <c r="N1105" s="9">
        <f t="shared" si="34"/>
        <v>7.0300916666666664</v>
      </c>
      <c r="O1105" s="9">
        <f t="shared" si="34"/>
        <v>7.0343999999999989</v>
      </c>
    </row>
    <row r="1106" spans="1:15" ht="15" x14ac:dyDescent="0.2">
      <c r="A1106" s="10">
        <v>2048</v>
      </c>
      <c r="B1106" s="9">
        <f t="shared" ref="B1106:O1106" si="35">AVERAGE(B434:B445)</f>
        <v>6.3522166666666671</v>
      </c>
      <c r="C1106" s="9">
        <f t="shared" si="35"/>
        <v>6.3522166666666671</v>
      </c>
      <c r="D1106" s="9">
        <f t="shared" si="35"/>
        <v>6.3534666666666668</v>
      </c>
      <c r="E1106" s="9">
        <f t="shared" si="35"/>
        <v>7.1572916666666666</v>
      </c>
      <c r="F1106" s="9">
        <f t="shared" si="35"/>
        <v>7.1572916666666666</v>
      </c>
      <c r="G1106" s="9">
        <f t="shared" si="35"/>
        <v>7.1615916666666672</v>
      </c>
      <c r="H1106" s="9">
        <f t="shared" si="35"/>
        <v>13.442783333333333</v>
      </c>
      <c r="I1106" s="9">
        <f t="shared" si="35"/>
        <v>13.447083333333332</v>
      </c>
      <c r="J1106" s="9">
        <f t="shared" si="35"/>
        <v>13.442783333333333</v>
      </c>
      <c r="K1106" s="9">
        <f t="shared" si="35"/>
        <v>13.447083333333332</v>
      </c>
      <c r="L1106" s="9">
        <f t="shared" si="35"/>
        <v>7.1572916666666666</v>
      </c>
      <c r="M1106" s="9">
        <f t="shared" si="35"/>
        <v>7.1615916666666672</v>
      </c>
      <c r="N1106" s="9">
        <f t="shared" si="35"/>
        <v>7.1572916666666666</v>
      </c>
      <c r="O1106" s="9">
        <f t="shared" si="35"/>
        <v>7.1615916666666672</v>
      </c>
    </row>
    <row r="1107" spans="1:15" ht="15" x14ac:dyDescent="0.2">
      <c r="A1107" s="10">
        <v>2049</v>
      </c>
      <c r="B1107" s="9">
        <f t="shared" ref="B1107:O1107" si="36">AVERAGE(B446:B457)</f>
        <v>6.4963166666666652</v>
      </c>
      <c r="C1107" s="9">
        <f t="shared" si="36"/>
        <v>6.4963166666666652</v>
      </c>
      <c r="D1107" s="9">
        <f t="shared" si="36"/>
        <v>6.4976000000000012</v>
      </c>
      <c r="E1107" s="9">
        <f t="shared" si="36"/>
        <v>7.3044833333333328</v>
      </c>
      <c r="F1107" s="9">
        <f t="shared" si="36"/>
        <v>7.3044833333333328</v>
      </c>
      <c r="G1107" s="9">
        <f t="shared" si="36"/>
        <v>7.3087833333333334</v>
      </c>
      <c r="H1107" s="9">
        <f t="shared" si="36"/>
        <v>13.782716666666667</v>
      </c>
      <c r="I1107" s="9">
        <f t="shared" si="36"/>
        <v>13.787050000000001</v>
      </c>
      <c r="J1107" s="9">
        <f t="shared" si="36"/>
        <v>13.782716666666667</v>
      </c>
      <c r="K1107" s="9">
        <f t="shared" si="36"/>
        <v>13.787050000000001</v>
      </c>
      <c r="L1107" s="9">
        <f t="shared" si="36"/>
        <v>7.3044833333333328</v>
      </c>
      <c r="M1107" s="9">
        <f t="shared" si="36"/>
        <v>7.3087833333333334</v>
      </c>
      <c r="N1107" s="9">
        <f t="shared" si="36"/>
        <v>7.3044833333333328</v>
      </c>
      <c r="O1107" s="9">
        <f t="shared" si="36"/>
        <v>7.3087833333333334</v>
      </c>
    </row>
    <row r="1108" spans="1:15" ht="15" x14ac:dyDescent="0.2">
      <c r="A1108" s="10">
        <v>2050</v>
      </c>
      <c r="B1108" s="9">
        <f t="shared" ref="B1108:O1108" si="37">AVERAGE(B458:B469)</f>
        <v>6.6436749999999982</v>
      </c>
      <c r="C1108" s="9">
        <f t="shared" si="37"/>
        <v>6.6436749999999982</v>
      </c>
      <c r="D1108" s="9">
        <f t="shared" si="37"/>
        <v>6.6449666666666678</v>
      </c>
      <c r="E1108" s="9">
        <f t="shared" si="37"/>
        <v>7.4640833333333338</v>
      </c>
      <c r="F1108" s="9">
        <f t="shared" si="37"/>
        <v>7.4640833333333338</v>
      </c>
      <c r="G1108" s="9">
        <f t="shared" si="37"/>
        <v>7.4683916666666663</v>
      </c>
      <c r="H1108" s="9">
        <f t="shared" si="37"/>
        <v>14.131275</v>
      </c>
      <c r="I1108" s="9">
        <f t="shared" si="37"/>
        <v>14.13559166666667</v>
      </c>
      <c r="J1108" s="9">
        <f t="shared" si="37"/>
        <v>14.131275</v>
      </c>
      <c r="K1108" s="9">
        <f t="shared" si="37"/>
        <v>14.13559166666667</v>
      </c>
      <c r="L1108" s="9">
        <f t="shared" si="37"/>
        <v>7.4640833333333338</v>
      </c>
      <c r="M1108" s="9">
        <f t="shared" si="37"/>
        <v>7.4683916666666663</v>
      </c>
      <c r="N1108" s="9">
        <f t="shared" si="37"/>
        <v>7.4640833333333338</v>
      </c>
      <c r="O1108" s="9">
        <f t="shared" si="37"/>
        <v>7.4683916666666663</v>
      </c>
    </row>
    <row r="1109" spans="1:15" ht="15" x14ac:dyDescent="0.2">
      <c r="A1109" s="10">
        <v>2051</v>
      </c>
      <c r="B1109" s="9">
        <f t="shared" ref="B1109:O1109" si="38">AVERAGE(B470:B481)</f>
        <v>6.7943916666666659</v>
      </c>
      <c r="C1109" s="9">
        <f t="shared" si="38"/>
        <v>6.7943916666666659</v>
      </c>
      <c r="D1109" s="9">
        <f t="shared" si="38"/>
        <v>6.7957000000000001</v>
      </c>
      <c r="E1109" s="9">
        <f t="shared" si="38"/>
        <v>7.627958333333333</v>
      </c>
      <c r="F1109" s="9">
        <f t="shared" si="38"/>
        <v>7.627958333333333</v>
      </c>
      <c r="G1109" s="9">
        <f t="shared" si="38"/>
        <v>7.6322916666666671</v>
      </c>
      <c r="H1109" s="9">
        <f t="shared" si="38"/>
        <v>14.488633333333333</v>
      </c>
      <c r="I1109" s="9">
        <f t="shared" si="38"/>
        <v>14.492941666666667</v>
      </c>
      <c r="J1109" s="9">
        <f t="shared" si="38"/>
        <v>14.488633333333333</v>
      </c>
      <c r="K1109" s="9">
        <f t="shared" si="38"/>
        <v>14.492941666666667</v>
      </c>
      <c r="L1109" s="9">
        <f t="shared" si="38"/>
        <v>7.627958333333333</v>
      </c>
      <c r="M1109" s="9">
        <f t="shared" si="38"/>
        <v>7.6322916666666671</v>
      </c>
      <c r="N1109" s="9">
        <f t="shared" si="38"/>
        <v>7.627958333333333</v>
      </c>
      <c r="O1109" s="9">
        <f t="shared" si="38"/>
        <v>7.6322916666666671</v>
      </c>
    </row>
    <row r="1110" spans="1:15" ht="15" x14ac:dyDescent="0.2">
      <c r="A1110" s="10">
        <v>2052</v>
      </c>
      <c r="B1110" s="9">
        <f t="shared" ref="B1110:O1110" si="39">AVERAGE(B482:B493)</f>
        <v>6.9485583333333336</v>
      </c>
      <c r="C1110" s="9">
        <f t="shared" si="39"/>
        <v>6.9485583333333336</v>
      </c>
      <c r="D1110" s="9">
        <f t="shared" si="39"/>
        <v>6.9498499999999988</v>
      </c>
      <c r="E1110" s="9">
        <f t="shared" si="39"/>
        <v>7.7962999999999996</v>
      </c>
      <c r="F1110" s="9">
        <f t="shared" si="39"/>
        <v>7.7962999999999996</v>
      </c>
      <c r="G1110" s="9">
        <f t="shared" si="39"/>
        <v>7.8006083333333338</v>
      </c>
      <c r="H1110" s="9">
        <f t="shared" si="39"/>
        <v>14.855016666666669</v>
      </c>
      <c r="I1110" s="9">
        <f t="shared" si="39"/>
        <v>14.859341666666667</v>
      </c>
      <c r="J1110" s="9">
        <f t="shared" si="39"/>
        <v>14.855016666666669</v>
      </c>
      <c r="K1110" s="9">
        <f t="shared" si="39"/>
        <v>14.859341666666667</v>
      </c>
      <c r="L1110" s="9">
        <f t="shared" si="39"/>
        <v>7.7962999999999996</v>
      </c>
      <c r="M1110" s="9">
        <f t="shared" si="39"/>
        <v>7.8006083333333338</v>
      </c>
      <c r="N1110" s="9">
        <f t="shared" si="39"/>
        <v>7.7962999999999996</v>
      </c>
      <c r="O1110" s="9">
        <f t="shared" si="39"/>
        <v>7.8006083333333338</v>
      </c>
    </row>
    <row r="1111" spans="1:15" ht="15" x14ac:dyDescent="0.2">
      <c r="A1111" s="10">
        <v>2053</v>
      </c>
      <c r="B1111" s="9">
        <f t="shared" ref="B1111:O1111" si="40">AVERAGE(B494:B505)</f>
        <v>7.1062166666666675</v>
      </c>
      <c r="C1111" s="9">
        <f t="shared" si="40"/>
        <v>7.1062166666666675</v>
      </c>
      <c r="D1111" s="9">
        <f t="shared" si="40"/>
        <v>7.1075000000000008</v>
      </c>
      <c r="E1111" s="9">
        <f t="shared" si="40"/>
        <v>7.9691916666666662</v>
      </c>
      <c r="F1111" s="9">
        <f t="shared" si="40"/>
        <v>7.9691916666666662</v>
      </c>
      <c r="G1111" s="9">
        <f t="shared" si="40"/>
        <v>7.9735166666666659</v>
      </c>
      <c r="H1111" s="9">
        <f t="shared" si="40"/>
        <v>15.230683333333333</v>
      </c>
      <c r="I1111" s="9">
        <f t="shared" si="40"/>
        <v>15.234991666666668</v>
      </c>
      <c r="J1111" s="9">
        <f t="shared" si="40"/>
        <v>15.230683333333333</v>
      </c>
      <c r="K1111" s="9">
        <f t="shared" si="40"/>
        <v>15.234991666666668</v>
      </c>
      <c r="L1111" s="9">
        <f t="shared" si="40"/>
        <v>7.9691916666666662</v>
      </c>
      <c r="M1111" s="9">
        <f t="shared" si="40"/>
        <v>7.9735166666666659</v>
      </c>
      <c r="N1111" s="9">
        <f t="shared" si="40"/>
        <v>7.9691916666666662</v>
      </c>
      <c r="O1111" s="9">
        <f t="shared" si="40"/>
        <v>7.9735166666666659</v>
      </c>
    </row>
    <row r="1112" spans="1:15" ht="15" x14ac:dyDescent="0.2">
      <c r="A1112" s="10">
        <v>2054</v>
      </c>
      <c r="B1112" s="9">
        <f t="shared" ref="B1112:O1112" si="41">AVERAGE(B506:B517)</f>
        <v>7.2674666666666674</v>
      </c>
      <c r="C1112" s="9">
        <f t="shared" si="41"/>
        <v>7.2674666666666674</v>
      </c>
      <c r="D1112" s="9">
        <f t="shared" si="41"/>
        <v>7.2687416666666671</v>
      </c>
      <c r="E1112" s="9">
        <f t="shared" si="41"/>
        <v>8.1467749999999999</v>
      </c>
      <c r="F1112" s="9">
        <f t="shared" si="41"/>
        <v>8.1467749999999999</v>
      </c>
      <c r="G1112" s="9">
        <f t="shared" si="41"/>
        <v>8.151091666666666</v>
      </c>
      <c r="H1112" s="9">
        <f t="shared" si="41"/>
        <v>15.615849999999996</v>
      </c>
      <c r="I1112" s="9">
        <f t="shared" si="41"/>
        <v>15.620158333333334</v>
      </c>
      <c r="J1112" s="9">
        <f t="shared" si="41"/>
        <v>15.615849999999996</v>
      </c>
      <c r="K1112" s="9">
        <f t="shared" si="41"/>
        <v>15.620158333333334</v>
      </c>
      <c r="L1112" s="9">
        <f t="shared" si="41"/>
        <v>8.1467749999999999</v>
      </c>
      <c r="M1112" s="9">
        <f t="shared" si="41"/>
        <v>8.151091666666666</v>
      </c>
      <c r="N1112" s="9">
        <f t="shared" si="41"/>
        <v>8.1467749999999999</v>
      </c>
      <c r="O1112" s="9">
        <f t="shared" si="41"/>
        <v>8.151091666666666</v>
      </c>
    </row>
    <row r="1113" spans="1:15" ht="15" x14ac:dyDescent="0.2">
      <c r="A1113" s="10">
        <v>2055</v>
      </c>
      <c r="B1113" s="9">
        <f t="shared" ref="B1113:O1113" si="42">AVERAGE(B18:B529)</f>
        <v>4.7923289062500007</v>
      </c>
      <c r="C1113" s="9">
        <f t="shared" si="42"/>
        <v>4.7910062500000006</v>
      </c>
      <c r="D1113" s="9">
        <f t="shared" si="42"/>
        <v>4.7941232421875002</v>
      </c>
      <c r="E1113" s="9">
        <f t="shared" si="42"/>
        <v>5.8382347656249998</v>
      </c>
      <c r="F1113" s="9">
        <f t="shared" si="42"/>
        <v>5.8204392578124997</v>
      </c>
      <c r="G1113" s="9">
        <f t="shared" si="42"/>
        <v>5.825210937500005</v>
      </c>
      <c r="H1113" s="9">
        <f t="shared" si="42"/>
        <v>9.9732779296874963</v>
      </c>
      <c r="I1113" s="9">
        <f t="shared" si="42"/>
        <v>9.9780501953125</v>
      </c>
      <c r="J1113" s="9">
        <f t="shared" si="42"/>
        <v>9.9732779296874963</v>
      </c>
      <c r="K1113" s="9">
        <f t="shared" si="42"/>
        <v>9.9780501953125</v>
      </c>
      <c r="L1113" s="9">
        <f t="shared" si="42"/>
        <v>5.8382347656249998</v>
      </c>
      <c r="M1113" s="9">
        <f t="shared" si="42"/>
        <v>5.843004687500005</v>
      </c>
      <c r="N1113" s="9">
        <f t="shared" si="42"/>
        <v>5.8382347656249998</v>
      </c>
      <c r="O1113" s="9">
        <f t="shared" si="42"/>
        <v>5.843004687500005</v>
      </c>
    </row>
    <row r="1114" spans="1:15" ht="15" x14ac:dyDescent="0.2">
      <c r="A1114" s="10">
        <v>2056</v>
      </c>
      <c r="B1114" s="9">
        <f t="shared" ref="B1114:O1114" si="43">AVERAGE(B530:B541)</f>
        <v>7.6010166666666663</v>
      </c>
      <c r="C1114" s="9">
        <f t="shared" si="43"/>
        <v>7.6010166666666663</v>
      </c>
      <c r="D1114" s="9">
        <f t="shared" si="43"/>
        <v>7.6022833333333333</v>
      </c>
      <c r="E1114" s="9">
        <f t="shared" si="43"/>
        <v>8.5165749999999996</v>
      </c>
      <c r="F1114" s="9">
        <f t="shared" si="43"/>
        <v>8.5165749999999996</v>
      </c>
      <c r="G1114" s="9">
        <f t="shared" si="43"/>
        <v>8.5208916666666674</v>
      </c>
      <c r="H1114" s="9">
        <f t="shared" si="43"/>
        <v>16.415625000000002</v>
      </c>
      <c r="I1114" s="9">
        <f t="shared" si="43"/>
        <v>16.419933333333333</v>
      </c>
      <c r="J1114" s="9">
        <f t="shared" si="43"/>
        <v>16.415625000000002</v>
      </c>
      <c r="K1114" s="9">
        <f t="shared" si="43"/>
        <v>16.419933333333333</v>
      </c>
      <c r="L1114" s="9">
        <f t="shared" si="43"/>
        <v>8.5165749999999996</v>
      </c>
      <c r="M1114" s="9">
        <f t="shared" si="43"/>
        <v>8.5208916666666674</v>
      </c>
      <c r="N1114" s="9">
        <f t="shared" si="43"/>
        <v>8.5165749999999996</v>
      </c>
      <c r="O1114" s="9">
        <f t="shared" si="43"/>
        <v>8.5208916666666674</v>
      </c>
    </row>
    <row r="1115" spans="1:15" ht="15" x14ac:dyDescent="0.2">
      <c r="A1115" s="10">
        <v>2057</v>
      </c>
      <c r="B1115" s="9">
        <f t="shared" ref="B1115:O1115" si="44">AVERAGE(B542:B553)</f>
        <v>7.7734750000000012</v>
      </c>
      <c r="C1115" s="9">
        <f t="shared" si="44"/>
        <v>7.7734750000000012</v>
      </c>
      <c r="D1115" s="9">
        <f t="shared" si="44"/>
        <v>7.7747666666666655</v>
      </c>
      <c r="E1115" s="9">
        <f t="shared" si="44"/>
        <v>8.7090916666666676</v>
      </c>
      <c r="F1115" s="9">
        <f t="shared" si="44"/>
        <v>8.7090916666666676</v>
      </c>
      <c r="G1115" s="9">
        <f t="shared" si="44"/>
        <v>8.7134166666666655</v>
      </c>
      <c r="H1115" s="9">
        <f t="shared" si="44"/>
        <v>16.830758333333332</v>
      </c>
      <c r="I1115" s="9">
        <f t="shared" si="44"/>
        <v>16.835075</v>
      </c>
      <c r="J1115" s="9">
        <f t="shared" si="44"/>
        <v>16.830758333333332</v>
      </c>
      <c r="K1115" s="9">
        <f t="shared" si="44"/>
        <v>16.835075</v>
      </c>
      <c r="L1115" s="9">
        <f t="shared" si="44"/>
        <v>8.7090916666666676</v>
      </c>
      <c r="M1115" s="9">
        <f t="shared" si="44"/>
        <v>8.7134166666666655</v>
      </c>
      <c r="N1115" s="9">
        <f t="shared" si="44"/>
        <v>8.7090916666666676</v>
      </c>
      <c r="O1115" s="9">
        <f t="shared" si="44"/>
        <v>8.7134166666666655</v>
      </c>
    </row>
    <row r="1116" spans="1:15" ht="15" x14ac:dyDescent="0.2">
      <c r="A1116" s="10">
        <v>2058</v>
      </c>
      <c r="B1116" s="9">
        <f t="shared" ref="B1116:O1116" si="45">AVERAGE(B554:B565)</f>
        <v>7.9498749999999996</v>
      </c>
      <c r="C1116" s="9">
        <f t="shared" si="45"/>
        <v>7.9498749999999996</v>
      </c>
      <c r="D1116" s="9">
        <f t="shared" si="45"/>
        <v>7.9511750000000019</v>
      </c>
      <c r="E1116" s="9">
        <f t="shared" si="45"/>
        <v>8.9068749999999994</v>
      </c>
      <c r="F1116" s="9">
        <f t="shared" si="45"/>
        <v>8.9068749999999994</v>
      </c>
      <c r="G1116" s="9">
        <f t="shared" si="45"/>
        <v>8.9111916666666673</v>
      </c>
      <c r="H1116" s="9">
        <f t="shared" si="45"/>
        <v>17.256391666666669</v>
      </c>
      <c r="I1116" s="9">
        <f t="shared" si="45"/>
        <v>17.260691666666666</v>
      </c>
      <c r="J1116" s="9">
        <f t="shared" si="45"/>
        <v>17.256391666666669</v>
      </c>
      <c r="K1116" s="9">
        <f t="shared" si="45"/>
        <v>17.260691666666666</v>
      </c>
      <c r="L1116" s="9">
        <f t="shared" si="45"/>
        <v>8.9068749999999994</v>
      </c>
      <c r="M1116" s="9">
        <f t="shared" si="45"/>
        <v>8.9111916666666673</v>
      </c>
      <c r="N1116" s="9">
        <f t="shared" si="45"/>
        <v>8.9068749999999994</v>
      </c>
      <c r="O1116" s="9">
        <f t="shared" si="45"/>
        <v>8.9111916666666673</v>
      </c>
    </row>
    <row r="1117" spans="1:15" ht="15" x14ac:dyDescent="0.2">
      <c r="A1117" s="10">
        <v>2059</v>
      </c>
      <c r="B1117" s="9">
        <f t="shared" ref="B1117:O1117" si="46">AVERAGE(B566:B577)</f>
        <v>8.1302916666666665</v>
      </c>
      <c r="C1117" s="9">
        <f t="shared" si="46"/>
        <v>8.1302916666666665</v>
      </c>
      <c r="D1117" s="9">
        <f t="shared" si="46"/>
        <v>8.1315833333333334</v>
      </c>
      <c r="E1117" s="9">
        <f t="shared" si="46"/>
        <v>9.1100750000000001</v>
      </c>
      <c r="F1117" s="9">
        <f t="shared" si="46"/>
        <v>9.1100750000000001</v>
      </c>
      <c r="G1117" s="9">
        <f t="shared" si="46"/>
        <v>9.1143999999999981</v>
      </c>
      <c r="H1117" s="9">
        <f t="shared" si="46"/>
        <v>17.692775000000001</v>
      </c>
      <c r="I1117" s="9">
        <f t="shared" si="46"/>
        <v>17.697083333333335</v>
      </c>
      <c r="J1117" s="9">
        <f t="shared" si="46"/>
        <v>17.692775000000001</v>
      </c>
      <c r="K1117" s="9">
        <f t="shared" si="46"/>
        <v>17.697083333333335</v>
      </c>
      <c r="L1117" s="9">
        <f t="shared" si="46"/>
        <v>9.1100750000000001</v>
      </c>
      <c r="M1117" s="9">
        <f t="shared" si="46"/>
        <v>9.1143999999999981</v>
      </c>
      <c r="N1117" s="9">
        <f t="shared" si="46"/>
        <v>9.1100750000000001</v>
      </c>
      <c r="O1117" s="9">
        <f t="shared" si="46"/>
        <v>9.1143999999999981</v>
      </c>
    </row>
    <row r="1118" spans="1:15" ht="15" x14ac:dyDescent="0.2">
      <c r="A1118" s="10">
        <v>2060</v>
      </c>
      <c r="B1118" s="9">
        <f t="shared" ref="B1118:O1118" si="47">AVERAGE(B578:B589)</f>
        <v>8.3147999999999982</v>
      </c>
      <c r="C1118" s="9">
        <f t="shared" si="47"/>
        <v>8.3147999999999982</v>
      </c>
      <c r="D1118" s="9">
        <f t="shared" si="47"/>
        <v>8.3160749999999997</v>
      </c>
      <c r="E1118" s="9">
        <f t="shared" si="47"/>
        <v>9.3188999999999993</v>
      </c>
      <c r="F1118" s="9">
        <f t="shared" si="47"/>
        <v>9.3188999999999993</v>
      </c>
      <c r="G1118" s="9">
        <f t="shared" si="47"/>
        <v>9.3232000000000017</v>
      </c>
      <c r="H1118" s="9">
        <f t="shared" si="47"/>
        <v>18.14019166666667</v>
      </c>
      <c r="I1118" s="9">
        <f t="shared" si="47"/>
        <v>18.144516666666664</v>
      </c>
      <c r="J1118" s="9">
        <f t="shared" si="47"/>
        <v>18.14019166666667</v>
      </c>
      <c r="K1118" s="9">
        <f t="shared" si="47"/>
        <v>18.144516666666664</v>
      </c>
      <c r="L1118" s="9">
        <f t="shared" si="47"/>
        <v>9.3188999999999993</v>
      </c>
      <c r="M1118" s="9">
        <f t="shared" si="47"/>
        <v>9.3232000000000017</v>
      </c>
      <c r="N1118" s="9">
        <f t="shared" si="47"/>
        <v>9.3188999999999993</v>
      </c>
      <c r="O1118" s="9">
        <f t="shared" si="47"/>
        <v>9.3232000000000017</v>
      </c>
    </row>
    <row r="1119" spans="1:15" ht="15" x14ac:dyDescent="0.2">
      <c r="A1119" s="10">
        <v>2061</v>
      </c>
      <c r="B1119" s="9">
        <f t="shared" ref="B1119:O1119" si="48">AVERAGE(B590:B601)</f>
        <v>8.5034916666666671</v>
      </c>
      <c r="C1119" s="9">
        <f t="shared" si="48"/>
        <v>8.5034916666666671</v>
      </c>
      <c r="D1119" s="9">
        <f t="shared" si="48"/>
        <v>8.5047749999999986</v>
      </c>
      <c r="E1119" s="9">
        <f t="shared" si="48"/>
        <v>9.5334583333333338</v>
      </c>
      <c r="F1119" s="9">
        <f t="shared" si="48"/>
        <v>9.5334583333333338</v>
      </c>
      <c r="G1119" s="9">
        <f t="shared" si="48"/>
        <v>9.5377750000000017</v>
      </c>
      <c r="H1119" s="9">
        <f t="shared" si="48"/>
        <v>18.598933333333335</v>
      </c>
      <c r="I1119" s="9">
        <f t="shared" si="48"/>
        <v>18.603258333333333</v>
      </c>
      <c r="J1119" s="9">
        <f t="shared" si="48"/>
        <v>18.598933333333335</v>
      </c>
      <c r="K1119" s="9">
        <f t="shared" si="48"/>
        <v>18.603258333333333</v>
      </c>
      <c r="L1119" s="9">
        <f t="shared" si="48"/>
        <v>9.5334583333333338</v>
      </c>
      <c r="M1119" s="9">
        <f t="shared" si="48"/>
        <v>9.5377750000000017</v>
      </c>
      <c r="N1119" s="9">
        <f t="shared" si="48"/>
        <v>9.5334583333333338</v>
      </c>
      <c r="O1119" s="9">
        <f t="shared" si="48"/>
        <v>9.5377750000000017</v>
      </c>
    </row>
    <row r="1120" spans="1:15" ht="15" x14ac:dyDescent="0.2">
      <c r="A1120" s="10">
        <v>2062</v>
      </c>
      <c r="B1120" s="9">
        <f t="shared" ref="B1120:O1129" ca="1" si="49">AVERAGE(OFFSET(B$602,($A1120-$A$1120)*12,0,12,1))</f>
        <v>8.6921999999999979</v>
      </c>
      <c r="C1120" s="9">
        <f t="shared" ca="1" si="49"/>
        <v>8.6921999999999979</v>
      </c>
      <c r="D1120" s="9">
        <f t="shared" ca="1" si="49"/>
        <v>8.6934833333333348</v>
      </c>
      <c r="E1120" s="9">
        <f t="shared" ca="1" si="49"/>
        <v>9.7480333333333338</v>
      </c>
      <c r="F1120" s="9">
        <f t="shared" ca="1" si="49"/>
        <v>9.7480333333333338</v>
      </c>
      <c r="G1120" s="9">
        <f t="shared" ca="1" si="49"/>
        <v>9.7523500000000016</v>
      </c>
      <c r="H1120" s="9">
        <f t="shared" ca="1" si="49"/>
        <v>19.057683333333333</v>
      </c>
      <c r="I1120" s="9">
        <f t="shared" ca="1" si="49"/>
        <v>19.061983333333334</v>
      </c>
      <c r="J1120" s="9">
        <f t="shared" ca="1" si="49"/>
        <v>19.057683333333333</v>
      </c>
      <c r="K1120" s="9">
        <f t="shared" ca="1" si="49"/>
        <v>19.061983333333334</v>
      </c>
      <c r="L1120" s="9">
        <f t="shared" ca="1" si="49"/>
        <v>9.7480333333333338</v>
      </c>
      <c r="M1120" s="9">
        <f t="shared" ca="1" si="49"/>
        <v>9.7523500000000016</v>
      </c>
      <c r="N1120" s="9">
        <f t="shared" ca="1" si="49"/>
        <v>9.7480333333333338</v>
      </c>
      <c r="O1120" s="9">
        <f t="shared" ca="1" si="49"/>
        <v>9.7523500000000016</v>
      </c>
    </row>
    <row r="1121" spans="1:15" ht="15" x14ac:dyDescent="0.2">
      <c r="A1121" s="10">
        <v>2063</v>
      </c>
      <c r="B1121" s="9">
        <f t="shared" ca="1" si="49"/>
        <v>8.8809083333333341</v>
      </c>
      <c r="C1121" s="9">
        <f t="shared" ca="1" si="49"/>
        <v>8.8809083333333341</v>
      </c>
      <c r="D1121" s="9">
        <f t="shared" ca="1" si="49"/>
        <v>8.8821999999999992</v>
      </c>
      <c r="E1121" s="9">
        <f t="shared" ca="1" si="49"/>
        <v>9.9625916666666665</v>
      </c>
      <c r="F1121" s="9">
        <f t="shared" ca="1" si="49"/>
        <v>9.9625916666666665</v>
      </c>
      <c r="G1121" s="9">
        <f t="shared" ca="1" si="49"/>
        <v>9.9669083333333344</v>
      </c>
      <c r="H1121" s="9">
        <f t="shared" ca="1" si="49"/>
        <v>19.516408333333331</v>
      </c>
      <c r="I1121" s="9">
        <f t="shared" ca="1" si="49"/>
        <v>19.520716666666665</v>
      </c>
      <c r="J1121" s="9">
        <f t="shared" ca="1" si="49"/>
        <v>19.516408333333331</v>
      </c>
      <c r="K1121" s="9">
        <f t="shared" ca="1" si="49"/>
        <v>19.520716666666665</v>
      </c>
      <c r="L1121" s="9">
        <f t="shared" ca="1" si="49"/>
        <v>9.9625916666666665</v>
      </c>
      <c r="M1121" s="9">
        <f t="shared" ca="1" si="49"/>
        <v>9.9669083333333344</v>
      </c>
      <c r="N1121" s="9">
        <f t="shared" ca="1" si="49"/>
        <v>9.9625916666666665</v>
      </c>
      <c r="O1121" s="9">
        <f t="shared" ca="1" si="49"/>
        <v>9.9669083333333344</v>
      </c>
    </row>
    <row r="1122" spans="1:15" ht="15" x14ac:dyDescent="0.2">
      <c r="A1122" s="10">
        <v>2064</v>
      </c>
      <c r="B1122" s="9">
        <f t="shared" ca="1" si="49"/>
        <v>9.0695916666666658</v>
      </c>
      <c r="C1122" s="9">
        <f t="shared" ca="1" si="49"/>
        <v>9.0695916666666658</v>
      </c>
      <c r="D1122" s="9">
        <f t="shared" ca="1" si="49"/>
        <v>9.0708916666666664</v>
      </c>
      <c r="E1122" s="9">
        <f t="shared" ca="1" si="49"/>
        <v>10.177166666666666</v>
      </c>
      <c r="F1122" s="9">
        <f t="shared" ca="1" si="49"/>
        <v>10.177166666666666</v>
      </c>
      <c r="G1122" s="9">
        <f t="shared" ca="1" si="49"/>
        <v>10.181483333333334</v>
      </c>
      <c r="H1122" s="9">
        <f t="shared" ca="1" si="49"/>
        <v>19.975158333333333</v>
      </c>
      <c r="I1122" s="9">
        <f t="shared" ca="1" si="49"/>
        <v>19.979458333333337</v>
      </c>
      <c r="J1122" s="9">
        <f t="shared" ca="1" si="49"/>
        <v>19.975158333333333</v>
      </c>
      <c r="K1122" s="9">
        <f t="shared" ca="1" si="49"/>
        <v>19.979458333333337</v>
      </c>
      <c r="L1122" s="9">
        <f t="shared" ca="1" si="49"/>
        <v>10.177166666666666</v>
      </c>
      <c r="M1122" s="9">
        <f t="shared" ca="1" si="49"/>
        <v>10.181483333333334</v>
      </c>
      <c r="N1122" s="9">
        <f t="shared" ca="1" si="49"/>
        <v>10.177166666666666</v>
      </c>
      <c r="O1122" s="9">
        <f t="shared" ca="1" si="49"/>
        <v>10.181483333333334</v>
      </c>
    </row>
    <row r="1123" spans="1:15" ht="15" x14ac:dyDescent="0.2">
      <c r="A1123" s="10">
        <v>2065</v>
      </c>
      <c r="B1123" s="9">
        <f t="shared" ca="1" si="49"/>
        <v>9.2583083333333338</v>
      </c>
      <c r="C1123" s="9">
        <f t="shared" ca="1" si="49"/>
        <v>9.2583083333333338</v>
      </c>
      <c r="D1123" s="9">
        <f t="shared" ca="1" si="49"/>
        <v>9.2596000000000007</v>
      </c>
      <c r="E1123" s="9">
        <f t="shared" ca="1" si="49"/>
        <v>10.391724999999999</v>
      </c>
      <c r="F1123" s="9">
        <f t="shared" ca="1" si="49"/>
        <v>10.391724999999999</v>
      </c>
      <c r="G1123" s="9">
        <f t="shared" ca="1" si="49"/>
        <v>10.396033333333333</v>
      </c>
      <c r="H1123" s="9">
        <f t="shared" ca="1" si="49"/>
        <v>20.433874999999997</v>
      </c>
      <c r="I1123" s="9">
        <f t="shared" ca="1" si="49"/>
        <v>20.438191666666665</v>
      </c>
      <c r="J1123" s="9">
        <f t="shared" ca="1" si="49"/>
        <v>20.433874999999997</v>
      </c>
      <c r="K1123" s="9">
        <f t="shared" ca="1" si="49"/>
        <v>20.438191666666665</v>
      </c>
      <c r="L1123" s="9">
        <f t="shared" ca="1" si="49"/>
        <v>10.391724999999999</v>
      </c>
      <c r="M1123" s="9">
        <f t="shared" ca="1" si="49"/>
        <v>10.396033333333333</v>
      </c>
      <c r="N1123" s="9">
        <f t="shared" ca="1" si="49"/>
        <v>10.391724999999999</v>
      </c>
      <c r="O1123" s="9">
        <f t="shared" ca="1" si="49"/>
        <v>10.396033333333333</v>
      </c>
    </row>
    <row r="1124" spans="1:15" ht="15" x14ac:dyDescent="0.2">
      <c r="A1124" s="10">
        <v>2066</v>
      </c>
      <c r="B1124" s="9">
        <f t="shared" ca="1" si="49"/>
        <v>9.447000000000001</v>
      </c>
      <c r="C1124" s="9">
        <f t="shared" ca="1" si="49"/>
        <v>9.447000000000001</v>
      </c>
      <c r="D1124" s="9">
        <f t="shared" ca="1" si="49"/>
        <v>9.4483000000000015</v>
      </c>
      <c r="E1124" s="9">
        <f t="shared" ca="1" si="49"/>
        <v>10.606275</v>
      </c>
      <c r="F1124" s="9">
        <f t="shared" ca="1" si="49"/>
        <v>10.606275</v>
      </c>
      <c r="G1124" s="9">
        <f t="shared" ca="1" si="49"/>
        <v>10.610583333333336</v>
      </c>
      <c r="H1124" s="9">
        <f t="shared" ca="1" si="49"/>
        <v>20.892624999999999</v>
      </c>
      <c r="I1124" s="9">
        <f t="shared" ca="1" si="49"/>
        <v>20.896933333333337</v>
      </c>
      <c r="J1124" s="9">
        <f t="shared" ca="1" si="49"/>
        <v>20.892624999999999</v>
      </c>
      <c r="K1124" s="9">
        <f t="shared" ca="1" si="49"/>
        <v>20.896933333333337</v>
      </c>
      <c r="L1124" s="9">
        <f t="shared" ca="1" si="49"/>
        <v>10.606275</v>
      </c>
      <c r="M1124" s="9">
        <f t="shared" ca="1" si="49"/>
        <v>10.610583333333336</v>
      </c>
      <c r="N1124" s="9">
        <f t="shared" ca="1" si="49"/>
        <v>10.606275</v>
      </c>
      <c r="O1124" s="9">
        <f t="shared" ca="1" si="49"/>
        <v>10.610583333333336</v>
      </c>
    </row>
    <row r="1125" spans="1:15" ht="15" x14ac:dyDescent="0.2">
      <c r="A1125" s="10">
        <v>2067</v>
      </c>
      <c r="B1125" s="9">
        <f t="shared" ca="1" si="49"/>
        <v>9.6357083333333335</v>
      </c>
      <c r="C1125" s="9">
        <f t="shared" ca="1" si="49"/>
        <v>9.6357083333333335</v>
      </c>
      <c r="D1125" s="9">
        <f t="shared" ca="1" si="49"/>
        <v>9.6369916666666686</v>
      </c>
      <c r="E1125" s="9">
        <f t="shared" ca="1" si="49"/>
        <v>10.82085</v>
      </c>
      <c r="F1125" s="9">
        <f t="shared" ca="1" si="49"/>
        <v>10.82085</v>
      </c>
      <c r="G1125" s="9">
        <f t="shared" ca="1" si="49"/>
        <v>10.825175000000002</v>
      </c>
      <c r="H1125" s="9">
        <f t="shared" ca="1" si="49"/>
        <v>21.351358333333334</v>
      </c>
      <c r="I1125" s="9">
        <f t="shared" ca="1" si="49"/>
        <v>21.355666666666668</v>
      </c>
      <c r="J1125" s="9">
        <f t="shared" ca="1" si="49"/>
        <v>21.351358333333334</v>
      </c>
      <c r="K1125" s="9">
        <f t="shared" ca="1" si="49"/>
        <v>21.355666666666668</v>
      </c>
      <c r="L1125" s="9">
        <f t="shared" ca="1" si="49"/>
        <v>10.82085</v>
      </c>
      <c r="M1125" s="9">
        <f t="shared" ca="1" si="49"/>
        <v>10.825175000000002</v>
      </c>
      <c r="N1125" s="9">
        <f t="shared" ca="1" si="49"/>
        <v>10.82085</v>
      </c>
      <c r="O1125" s="9">
        <f t="shared" ca="1" si="49"/>
        <v>10.825175000000002</v>
      </c>
    </row>
    <row r="1126" spans="1:15" ht="15" x14ac:dyDescent="0.2">
      <c r="A1126" s="10">
        <v>2068</v>
      </c>
      <c r="B1126" s="9">
        <f t="shared" ca="1" si="49"/>
        <v>9.8244083333333343</v>
      </c>
      <c r="C1126" s="9">
        <f t="shared" ca="1" si="49"/>
        <v>9.8244083333333343</v>
      </c>
      <c r="D1126" s="9">
        <f t="shared" ca="1" si="49"/>
        <v>9.8256916666666658</v>
      </c>
      <c r="E1126" s="9">
        <f t="shared" ca="1" si="49"/>
        <v>11.035424999999998</v>
      </c>
      <c r="F1126" s="9">
        <f t="shared" ca="1" si="49"/>
        <v>11.035424999999998</v>
      </c>
      <c r="G1126" s="9">
        <f t="shared" ca="1" si="49"/>
        <v>11.039733333333333</v>
      </c>
      <c r="H1126" s="9">
        <f t="shared" ca="1" si="49"/>
        <v>21.810083333333335</v>
      </c>
      <c r="I1126" s="9">
        <f t="shared" ca="1" si="49"/>
        <v>21.814399999999996</v>
      </c>
      <c r="J1126" s="9">
        <f t="shared" ca="1" si="49"/>
        <v>21.810083333333335</v>
      </c>
      <c r="K1126" s="9">
        <f t="shared" ca="1" si="49"/>
        <v>21.814399999999996</v>
      </c>
      <c r="L1126" s="9">
        <f t="shared" ca="1" si="49"/>
        <v>11.035424999999998</v>
      </c>
      <c r="M1126" s="9">
        <f t="shared" ca="1" si="49"/>
        <v>11.039733333333333</v>
      </c>
      <c r="N1126" s="9">
        <f t="shared" ca="1" si="49"/>
        <v>11.035424999999998</v>
      </c>
      <c r="O1126" s="9">
        <f t="shared" ca="1" si="49"/>
        <v>11.039733333333333</v>
      </c>
    </row>
    <row r="1127" spans="1:15" ht="15" x14ac:dyDescent="0.2">
      <c r="A1127" s="10">
        <v>2069</v>
      </c>
      <c r="B1127" s="9">
        <f t="shared" ca="1" si="49"/>
        <v>10.013091666666666</v>
      </c>
      <c r="C1127" s="9">
        <f t="shared" ca="1" si="49"/>
        <v>10.013091666666666</v>
      </c>
      <c r="D1127" s="9">
        <f t="shared" ca="1" si="49"/>
        <v>10.014383333333335</v>
      </c>
      <c r="E1127" s="9">
        <f t="shared" ca="1" si="49"/>
        <v>11.249983333333333</v>
      </c>
      <c r="F1127" s="9">
        <f t="shared" ca="1" si="49"/>
        <v>11.249983333333333</v>
      </c>
      <c r="G1127" s="9">
        <f t="shared" ca="1" si="49"/>
        <v>11.254300000000001</v>
      </c>
      <c r="H1127" s="9">
        <f t="shared" ca="1" si="49"/>
        <v>22.268825000000003</v>
      </c>
      <c r="I1127" s="9">
        <f t="shared" ca="1" si="49"/>
        <v>22.273141666666664</v>
      </c>
      <c r="J1127" s="9">
        <f t="shared" ca="1" si="49"/>
        <v>22.268825000000003</v>
      </c>
      <c r="K1127" s="9">
        <f t="shared" ca="1" si="49"/>
        <v>22.273141666666664</v>
      </c>
      <c r="L1127" s="9">
        <f t="shared" ca="1" si="49"/>
        <v>11.249983333333333</v>
      </c>
      <c r="M1127" s="9">
        <f t="shared" ca="1" si="49"/>
        <v>11.254300000000001</v>
      </c>
      <c r="N1127" s="9">
        <f t="shared" ca="1" si="49"/>
        <v>11.249983333333333</v>
      </c>
      <c r="O1127" s="9">
        <f t="shared" ca="1" si="49"/>
        <v>11.254300000000001</v>
      </c>
    </row>
    <row r="1128" spans="1:15" ht="15" x14ac:dyDescent="0.2">
      <c r="A1128" s="10">
        <v>2070</v>
      </c>
      <c r="B1128" s="9">
        <f t="shared" ca="1" si="49"/>
        <v>10.201825000000001</v>
      </c>
      <c r="C1128" s="9">
        <f t="shared" ca="1" si="49"/>
        <v>10.201825000000001</v>
      </c>
      <c r="D1128" s="9">
        <f t="shared" ca="1" si="49"/>
        <v>10.203091666666666</v>
      </c>
      <c r="E1128" s="9">
        <f t="shared" ca="1" si="49"/>
        <v>11.464541666666667</v>
      </c>
      <c r="F1128" s="9">
        <f t="shared" ca="1" si="49"/>
        <v>11.464541666666667</v>
      </c>
      <c r="G1128" s="9">
        <f t="shared" ca="1" si="49"/>
        <v>11.468866666666665</v>
      </c>
      <c r="H1128" s="9">
        <f t="shared" ca="1" si="49"/>
        <v>22.72753333333333</v>
      </c>
      <c r="I1128" s="9">
        <f t="shared" ca="1" si="49"/>
        <v>22.731858333333335</v>
      </c>
      <c r="J1128" s="9">
        <f t="shared" ca="1" si="49"/>
        <v>22.72753333333333</v>
      </c>
      <c r="K1128" s="9">
        <f t="shared" ca="1" si="49"/>
        <v>22.731858333333335</v>
      </c>
      <c r="L1128" s="9">
        <f t="shared" ca="1" si="49"/>
        <v>11.464541666666667</v>
      </c>
      <c r="M1128" s="9">
        <f t="shared" ca="1" si="49"/>
        <v>11.468866666666665</v>
      </c>
      <c r="N1128" s="9">
        <f t="shared" ca="1" si="49"/>
        <v>11.464541666666667</v>
      </c>
      <c r="O1128" s="9">
        <f t="shared" ca="1" si="49"/>
        <v>11.468866666666665</v>
      </c>
    </row>
    <row r="1129" spans="1:15" ht="15" x14ac:dyDescent="0.2">
      <c r="A1129" s="10">
        <v>2071</v>
      </c>
      <c r="B1129" s="9">
        <f t="shared" ca="1" si="49"/>
        <v>10.390508333333333</v>
      </c>
      <c r="C1129" s="9">
        <f t="shared" ca="1" si="49"/>
        <v>10.390508333333333</v>
      </c>
      <c r="D1129" s="9">
        <f t="shared" ca="1" si="49"/>
        <v>10.391791666666666</v>
      </c>
      <c r="E1129" s="9">
        <f t="shared" ca="1" si="49"/>
        <v>11.679108333333334</v>
      </c>
      <c r="F1129" s="9">
        <f t="shared" ca="1" si="49"/>
        <v>11.679108333333334</v>
      </c>
      <c r="G1129" s="9">
        <f t="shared" ca="1" si="49"/>
        <v>11.683416666666668</v>
      </c>
      <c r="H1129" s="9">
        <f t="shared" ca="1" si="49"/>
        <v>23.186299999999999</v>
      </c>
      <c r="I1129" s="9">
        <f t="shared" ca="1" si="49"/>
        <v>23.190600000000003</v>
      </c>
      <c r="J1129" s="9">
        <f t="shared" ca="1" si="49"/>
        <v>23.186299999999999</v>
      </c>
      <c r="K1129" s="9">
        <f t="shared" ca="1" si="49"/>
        <v>23.190600000000003</v>
      </c>
      <c r="L1129" s="9">
        <f t="shared" ca="1" si="49"/>
        <v>11.679108333333334</v>
      </c>
      <c r="M1129" s="9">
        <f t="shared" ca="1" si="49"/>
        <v>11.683416666666668</v>
      </c>
      <c r="N1129" s="9">
        <f t="shared" ca="1" si="49"/>
        <v>11.679108333333334</v>
      </c>
      <c r="O1129" s="9">
        <f t="shared" ca="1" si="49"/>
        <v>11.683416666666668</v>
      </c>
    </row>
    <row r="1130" spans="1:15" ht="15" x14ac:dyDescent="0.2">
      <c r="A1130" s="10">
        <v>2072</v>
      </c>
      <c r="B1130" s="9">
        <f t="shared" ref="B1130:O1139" ca="1" si="50">AVERAGE(OFFSET(B$602,($A1130-$A$1120)*12,0,12,1))</f>
        <v>10.579216666666667</v>
      </c>
      <c r="C1130" s="9">
        <f t="shared" ca="1" si="50"/>
        <v>10.579216666666667</v>
      </c>
      <c r="D1130" s="9">
        <f t="shared" ca="1" si="50"/>
        <v>10.580483333333332</v>
      </c>
      <c r="E1130" s="9">
        <f t="shared" ca="1" si="50"/>
        <v>11.893658333333335</v>
      </c>
      <c r="F1130" s="9">
        <f t="shared" ca="1" si="50"/>
        <v>11.893658333333335</v>
      </c>
      <c r="G1130" s="9">
        <f t="shared" ca="1" si="50"/>
        <v>11.897975000000002</v>
      </c>
      <c r="H1130" s="9">
        <f t="shared" ca="1" si="50"/>
        <v>23.645025</v>
      </c>
      <c r="I1130" s="9">
        <f t="shared" ca="1" si="50"/>
        <v>23.649333333333335</v>
      </c>
      <c r="J1130" s="9">
        <f t="shared" ca="1" si="50"/>
        <v>23.645025</v>
      </c>
      <c r="K1130" s="9">
        <f t="shared" ca="1" si="50"/>
        <v>23.649333333333335</v>
      </c>
      <c r="L1130" s="9">
        <f t="shared" ca="1" si="50"/>
        <v>11.893658333333335</v>
      </c>
      <c r="M1130" s="9">
        <f t="shared" ca="1" si="50"/>
        <v>11.897975000000002</v>
      </c>
      <c r="N1130" s="9">
        <f t="shared" ca="1" si="50"/>
        <v>11.893658333333335</v>
      </c>
      <c r="O1130" s="9">
        <f t="shared" ca="1" si="50"/>
        <v>11.897975000000002</v>
      </c>
    </row>
    <row r="1131" spans="1:15" ht="15" x14ac:dyDescent="0.2">
      <c r="A1131" s="10">
        <v>2073</v>
      </c>
      <c r="B1131" s="9">
        <f t="shared" ca="1" si="50"/>
        <v>10.767916666666666</v>
      </c>
      <c r="C1131" s="9">
        <f t="shared" ca="1" si="50"/>
        <v>10.767916666666666</v>
      </c>
      <c r="D1131" s="9">
        <f t="shared" ca="1" si="50"/>
        <v>10.769191666666666</v>
      </c>
      <c r="E1131" s="9">
        <f t="shared" ca="1" si="50"/>
        <v>12.108233333333333</v>
      </c>
      <c r="F1131" s="9">
        <f t="shared" ca="1" si="50"/>
        <v>12.108233333333333</v>
      </c>
      <c r="G1131" s="9">
        <f t="shared" ca="1" si="50"/>
        <v>12.112566666666666</v>
      </c>
      <c r="H1131" s="9">
        <f t="shared" ca="1" si="50"/>
        <v>24.103775000000002</v>
      </c>
      <c r="I1131" s="9">
        <f t="shared" ca="1" si="50"/>
        <v>24.108099999999997</v>
      </c>
      <c r="J1131" s="9">
        <f t="shared" ca="1" si="50"/>
        <v>24.103775000000002</v>
      </c>
      <c r="K1131" s="9">
        <f t="shared" ca="1" si="50"/>
        <v>24.108099999999997</v>
      </c>
      <c r="L1131" s="9">
        <f t="shared" ca="1" si="50"/>
        <v>12.108233333333333</v>
      </c>
      <c r="M1131" s="9">
        <f t="shared" ca="1" si="50"/>
        <v>12.112566666666666</v>
      </c>
      <c r="N1131" s="9">
        <f t="shared" ca="1" si="50"/>
        <v>12.108233333333333</v>
      </c>
      <c r="O1131" s="9">
        <f t="shared" ca="1" si="50"/>
        <v>12.112566666666666</v>
      </c>
    </row>
    <row r="1132" spans="1:15" ht="15" x14ac:dyDescent="0.2">
      <c r="A1132" s="10">
        <v>2074</v>
      </c>
      <c r="B1132" s="9">
        <f t="shared" ca="1" si="50"/>
        <v>10.956608333333334</v>
      </c>
      <c r="C1132" s="9">
        <f t="shared" ca="1" si="50"/>
        <v>10.956608333333334</v>
      </c>
      <c r="D1132" s="9">
        <f t="shared" ca="1" si="50"/>
        <v>10.9579</v>
      </c>
      <c r="E1132" s="9">
        <f t="shared" ca="1" si="50"/>
        <v>12.322799999999999</v>
      </c>
      <c r="F1132" s="9">
        <f t="shared" ca="1" si="50"/>
        <v>12.322799999999999</v>
      </c>
      <c r="G1132" s="9">
        <f t="shared" ca="1" si="50"/>
        <v>12.327133333333334</v>
      </c>
      <c r="H1132" s="9">
        <f t="shared" ca="1" si="50"/>
        <v>24.5625</v>
      </c>
      <c r="I1132" s="9">
        <f t="shared" ca="1" si="50"/>
        <v>24.566825000000005</v>
      </c>
      <c r="J1132" s="9">
        <f t="shared" ca="1" si="50"/>
        <v>24.5625</v>
      </c>
      <c r="K1132" s="9">
        <f t="shared" ca="1" si="50"/>
        <v>24.566825000000005</v>
      </c>
      <c r="L1132" s="9">
        <f t="shared" ca="1" si="50"/>
        <v>12.322799999999999</v>
      </c>
      <c r="M1132" s="9">
        <f t="shared" ca="1" si="50"/>
        <v>12.327133333333334</v>
      </c>
      <c r="N1132" s="9">
        <f t="shared" ca="1" si="50"/>
        <v>12.322799999999999</v>
      </c>
      <c r="O1132" s="9">
        <f t="shared" ca="1" si="50"/>
        <v>12.327133333333334</v>
      </c>
    </row>
    <row r="1133" spans="1:15" ht="15" x14ac:dyDescent="0.2">
      <c r="A1133" s="10">
        <v>2075</v>
      </c>
      <c r="B1133" s="9">
        <f t="shared" ca="1" si="50"/>
        <v>11.145333333333332</v>
      </c>
      <c r="C1133" s="9">
        <f t="shared" ca="1" si="50"/>
        <v>11.145333333333332</v>
      </c>
      <c r="D1133" s="9">
        <f t="shared" ca="1" si="50"/>
        <v>11.146608333333333</v>
      </c>
      <c r="E1133" s="9">
        <f t="shared" ca="1" si="50"/>
        <v>12.537374999999999</v>
      </c>
      <c r="F1133" s="9">
        <f t="shared" ca="1" si="50"/>
        <v>12.537374999999999</v>
      </c>
      <c r="G1133" s="9">
        <f t="shared" ca="1" si="50"/>
        <v>12.541691666666665</v>
      </c>
      <c r="H1133" s="9">
        <f t="shared" ca="1" si="50"/>
        <v>25.021241666666668</v>
      </c>
      <c r="I1133" s="9">
        <f t="shared" ca="1" si="50"/>
        <v>25.025566666666663</v>
      </c>
      <c r="J1133" s="9">
        <f t="shared" ca="1" si="50"/>
        <v>25.021241666666668</v>
      </c>
      <c r="K1133" s="9">
        <f t="shared" ca="1" si="50"/>
        <v>25.025566666666663</v>
      </c>
      <c r="L1133" s="9">
        <f t="shared" ca="1" si="50"/>
        <v>12.537374999999999</v>
      </c>
      <c r="M1133" s="9">
        <f t="shared" ca="1" si="50"/>
        <v>12.541691666666665</v>
      </c>
      <c r="N1133" s="9">
        <f t="shared" ca="1" si="50"/>
        <v>12.537374999999999</v>
      </c>
      <c r="O1133" s="9">
        <f t="shared" ca="1" si="50"/>
        <v>12.541691666666665</v>
      </c>
    </row>
    <row r="1134" spans="1:15" ht="15" x14ac:dyDescent="0.2">
      <c r="A1134" s="10">
        <v>2076</v>
      </c>
      <c r="B1134" s="9">
        <f t="shared" ca="1" si="50"/>
        <v>11.334016666666665</v>
      </c>
      <c r="C1134" s="9">
        <f t="shared" ca="1" si="50"/>
        <v>11.334016666666665</v>
      </c>
      <c r="D1134" s="9">
        <f t="shared" ca="1" si="50"/>
        <v>11.335308333333332</v>
      </c>
      <c r="E1134" s="9">
        <f t="shared" ca="1" si="50"/>
        <v>12.751941666666667</v>
      </c>
      <c r="F1134" s="9">
        <f t="shared" ca="1" si="50"/>
        <v>12.751941666666667</v>
      </c>
      <c r="G1134" s="9">
        <f t="shared" ca="1" si="50"/>
        <v>12.756258333333333</v>
      </c>
      <c r="H1134" s="9">
        <f t="shared" ca="1" si="50"/>
        <v>25.479983333333333</v>
      </c>
      <c r="I1134" s="9">
        <f t="shared" ca="1" si="50"/>
        <v>25.484300000000001</v>
      </c>
      <c r="J1134" s="9">
        <f t="shared" ca="1" si="50"/>
        <v>25.479983333333333</v>
      </c>
      <c r="K1134" s="9">
        <f t="shared" ca="1" si="50"/>
        <v>25.484300000000001</v>
      </c>
      <c r="L1134" s="9">
        <f t="shared" ca="1" si="50"/>
        <v>12.751941666666667</v>
      </c>
      <c r="M1134" s="9">
        <f t="shared" ca="1" si="50"/>
        <v>12.756258333333333</v>
      </c>
      <c r="N1134" s="9">
        <f t="shared" ca="1" si="50"/>
        <v>12.751941666666667</v>
      </c>
      <c r="O1134" s="9">
        <f t="shared" ca="1" si="50"/>
        <v>12.756258333333333</v>
      </c>
    </row>
    <row r="1135" spans="1:15" ht="15" x14ac:dyDescent="0.2">
      <c r="A1135" s="10">
        <v>2077</v>
      </c>
      <c r="B1135" s="9">
        <f t="shared" ca="1" si="50"/>
        <v>11.522716666666668</v>
      </c>
      <c r="C1135" s="9">
        <f t="shared" ca="1" si="50"/>
        <v>11.522716666666668</v>
      </c>
      <c r="D1135" s="9">
        <f t="shared" ca="1" si="50"/>
        <v>11.523991666666666</v>
      </c>
      <c r="E1135" s="9">
        <f t="shared" ca="1" si="50"/>
        <v>12.966499999999998</v>
      </c>
      <c r="F1135" s="9">
        <f t="shared" ca="1" si="50"/>
        <v>12.966499999999998</v>
      </c>
      <c r="G1135" s="9">
        <f t="shared" ca="1" si="50"/>
        <v>12.970808333333332</v>
      </c>
      <c r="H1135" s="9">
        <f t="shared" ca="1" si="50"/>
        <v>25.938749999999999</v>
      </c>
      <c r="I1135" s="9">
        <f t="shared" ca="1" si="50"/>
        <v>25.943058333333337</v>
      </c>
      <c r="J1135" s="9">
        <f t="shared" ca="1" si="50"/>
        <v>25.938749999999999</v>
      </c>
      <c r="K1135" s="9">
        <f t="shared" ca="1" si="50"/>
        <v>25.943058333333337</v>
      </c>
      <c r="L1135" s="9">
        <f t="shared" ca="1" si="50"/>
        <v>12.966499999999998</v>
      </c>
      <c r="M1135" s="9">
        <f t="shared" ca="1" si="50"/>
        <v>12.970808333333332</v>
      </c>
      <c r="N1135" s="9">
        <f t="shared" ca="1" si="50"/>
        <v>12.966499999999998</v>
      </c>
      <c r="O1135" s="9">
        <f t="shared" ca="1" si="50"/>
        <v>12.970808333333332</v>
      </c>
    </row>
    <row r="1136" spans="1:15" ht="15" x14ac:dyDescent="0.2">
      <c r="A1136" s="10">
        <v>2078</v>
      </c>
      <c r="B1136" s="9">
        <f t="shared" ca="1" si="50"/>
        <v>11.711416666666667</v>
      </c>
      <c r="C1136" s="9">
        <f t="shared" ca="1" si="50"/>
        <v>11.711416666666667</v>
      </c>
      <c r="D1136" s="9">
        <f t="shared" ca="1" si="50"/>
        <v>11.712716666666667</v>
      </c>
      <c r="E1136" s="9">
        <f t="shared" ca="1" si="50"/>
        <v>13.181066666666664</v>
      </c>
      <c r="F1136" s="9">
        <f t="shared" ca="1" si="50"/>
        <v>13.181066666666664</v>
      </c>
      <c r="G1136" s="9">
        <f t="shared" ca="1" si="50"/>
        <v>13.185383333333334</v>
      </c>
      <c r="H1136" s="9">
        <f t="shared" ca="1" si="50"/>
        <v>26.397475</v>
      </c>
      <c r="I1136" s="9">
        <f t="shared" ca="1" si="50"/>
        <v>26.401783333333331</v>
      </c>
      <c r="J1136" s="9">
        <f t="shared" ca="1" si="50"/>
        <v>26.397475</v>
      </c>
      <c r="K1136" s="9">
        <f t="shared" ca="1" si="50"/>
        <v>26.401783333333331</v>
      </c>
      <c r="L1136" s="9">
        <f t="shared" ca="1" si="50"/>
        <v>13.181066666666664</v>
      </c>
      <c r="M1136" s="9">
        <f t="shared" ca="1" si="50"/>
        <v>13.185383333333334</v>
      </c>
      <c r="N1136" s="9">
        <f t="shared" ca="1" si="50"/>
        <v>13.181066666666664</v>
      </c>
      <c r="O1136" s="9">
        <f t="shared" ca="1" si="50"/>
        <v>13.185383333333334</v>
      </c>
    </row>
    <row r="1137" spans="1:15" ht="15" x14ac:dyDescent="0.2">
      <c r="A1137" s="10">
        <v>2079</v>
      </c>
      <c r="B1137" s="9">
        <f t="shared" ca="1" si="50"/>
        <v>11.900108333333334</v>
      </c>
      <c r="C1137" s="9">
        <f t="shared" ca="1" si="50"/>
        <v>11.900108333333334</v>
      </c>
      <c r="D1137" s="9">
        <f t="shared" ca="1" si="50"/>
        <v>11.901408333333334</v>
      </c>
      <c r="E1137" s="9">
        <f t="shared" ca="1" si="50"/>
        <v>13.395650000000002</v>
      </c>
      <c r="F1137" s="9">
        <f t="shared" ca="1" si="50"/>
        <v>13.395650000000002</v>
      </c>
      <c r="G1137" s="9">
        <f t="shared" ca="1" si="50"/>
        <v>13.399958333333336</v>
      </c>
      <c r="H1137" s="9">
        <f t="shared" ca="1" si="50"/>
        <v>26.856208333333331</v>
      </c>
      <c r="I1137" s="9">
        <f t="shared" ca="1" si="50"/>
        <v>26.860533333333333</v>
      </c>
      <c r="J1137" s="9">
        <f t="shared" ca="1" si="50"/>
        <v>26.856208333333331</v>
      </c>
      <c r="K1137" s="9">
        <f t="shared" ca="1" si="50"/>
        <v>26.860533333333333</v>
      </c>
      <c r="L1137" s="9">
        <f t="shared" ca="1" si="50"/>
        <v>13.395650000000002</v>
      </c>
      <c r="M1137" s="9">
        <f t="shared" ca="1" si="50"/>
        <v>13.399958333333336</v>
      </c>
      <c r="N1137" s="9">
        <f t="shared" ca="1" si="50"/>
        <v>13.395650000000002</v>
      </c>
      <c r="O1137" s="9">
        <f t="shared" ca="1" si="50"/>
        <v>13.399958333333336</v>
      </c>
    </row>
    <row r="1138" spans="1:15" ht="15" x14ac:dyDescent="0.2">
      <c r="A1138" s="10">
        <v>2080</v>
      </c>
      <c r="B1138" s="9">
        <f t="shared" ca="1" si="50"/>
        <v>12.088825</v>
      </c>
      <c r="C1138" s="9">
        <f t="shared" ca="1" si="50"/>
        <v>12.088825</v>
      </c>
      <c r="D1138" s="9">
        <f t="shared" ca="1" si="50"/>
        <v>12.090108333333333</v>
      </c>
      <c r="E1138" s="9">
        <f t="shared" ca="1" si="50"/>
        <v>13.610216666666666</v>
      </c>
      <c r="F1138" s="9">
        <f t="shared" ca="1" si="50"/>
        <v>13.610216666666666</v>
      </c>
      <c r="G1138" s="9">
        <f t="shared" ca="1" si="50"/>
        <v>13.614524999999999</v>
      </c>
      <c r="H1138" s="9">
        <f t="shared" ca="1" si="50"/>
        <v>27.314933333333329</v>
      </c>
      <c r="I1138" s="9">
        <f t="shared" ca="1" si="50"/>
        <v>27.319249999999997</v>
      </c>
      <c r="J1138" s="9">
        <f t="shared" ca="1" si="50"/>
        <v>27.314933333333329</v>
      </c>
      <c r="K1138" s="9">
        <f t="shared" ca="1" si="50"/>
        <v>27.319249999999997</v>
      </c>
      <c r="L1138" s="9">
        <f t="shared" ca="1" si="50"/>
        <v>13.610216666666666</v>
      </c>
      <c r="M1138" s="9">
        <f t="shared" ca="1" si="50"/>
        <v>13.614524999999999</v>
      </c>
      <c r="N1138" s="9">
        <f t="shared" ca="1" si="50"/>
        <v>13.610216666666666</v>
      </c>
      <c r="O1138" s="9">
        <f t="shared" ca="1" si="50"/>
        <v>13.614524999999999</v>
      </c>
    </row>
    <row r="1139" spans="1:15" ht="15" x14ac:dyDescent="0.2">
      <c r="A1139" s="10">
        <v>2081</v>
      </c>
      <c r="B1139" s="9">
        <f t="shared" ca="1" si="50"/>
        <v>12.277508333333332</v>
      </c>
      <c r="C1139" s="9">
        <f t="shared" ca="1" si="50"/>
        <v>12.277508333333332</v>
      </c>
      <c r="D1139" s="9">
        <f t="shared" ca="1" si="50"/>
        <v>12.278808333333332</v>
      </c>
      <c r="E1139" s="9">
        <f t="shared" ca="1" si="50"/>
        <v>13.824775000000001</v>
      </c>
      <c r="F1139" s="9">
        <f t="shared" ca="1" si="50"/>
        <v>13.824775000000001</v>
      </c>
      <c r="G1139" s="9">
        <f t="shared" ca="1" si="50"/>
        <v>13.829083333333331</v>
      </c>
      <c r="H1139" s="9">
        <f t="shared" ca="1" si="50"/>
        <v>27.773683333333334</v>
      </c>
      <c r="I1139" s="9">
        <f t="shared" ca="1" si="50"/>
        <v>27.777999999999995</v>
      </c>
      <c r="J1139" s="9">
        <f t="shared" ca="1" si="50"/>
        <v>27.773683333333334</v>
      </c>
      <c r="K1139" s="9">
        <f t="shared" ca="1" si="50"/>
        <v>27.777999999999995</v>
      </c>
      <c r="L1139" s="9">
        <f t="shared" ca="1" si="50"/>
        <v>13.824775000000001</v>
      </c>
      <c r="M1139" s="9">
        <f t="shared" ca="1" si="50"/>
        <v>13.829083333333331</v>
      </c>
      <c r="N1139" s="9">
        <f t="shared" ca="1" si="50"/>
        <v>13.824775000000001</v>
      </c>
      <c r="O1139" s="9">
        <f t="shared" ca="1" si="50"/>
        <v>13.829083333333331</v>
      </c>
    </row>
    <row r="1140" spans="1:15" ht="15" x14ac:dyDescent="0.2">
      <c r="A1140" s="10">
        <v>2082</v>
      </c>
      <c r="B1140" s="9">
        <f t="shared" ref="B1140:O1149" ca="1" si="51">AVERAGE(OFFSET(B$602,($A1140-$A$1120)*12,0,12,1))</f>
        <v>12.466233333333333</v>
      </c>
      <c r="C1140" s="9">
        <f t="shared" ca="1" si="51"/>
        <v>12.466233333333333</v>
      </c>
      <c r="D1140" s="9">
        <f t="shared" ca="1" si="51"/>
        <v>12.467500000000001</v>
      </c>
      <c r="E1140" s="9">
        <f t="shared" ca="1" si="51"/>
        <v>14.039341666666667</v>
      </c>
      <c r="F1140" s="9">
        <f t="shared" ca="1" si="51"/>
        <v>14.039341666666667</v>
      </c>
      <c r="G1140" s="9">
        <f t="shared" ca="1" si="51"/>
        <v>14.043658333333333</v>
      </c>
      <c r="H1140" s="9">
        <f t="shared" ca="1" si="51"/>
        <v>28.232424999999996</v>
      </c>
      <c r="I1140" s="9">
        <f t="shared" ca="1" si="51"/>
        <v>28.236733333333333</v>
      </c>
      <c r="J1140" s="9">
        <f t="shared" ca="1" si="51"/>
        <v>28.232424999999996</v>
      </c>
      <c r="K1140" s="9">
        <f t="shared" ca="1" si="51"/>
        <v>28.236733333333333</v>
      </c>
      <c r="L1140" s="9">
        <f t="shared" ca="1" si="51"/>
        <v>14.039341666666667</v>
      </c>
      <c r="M1140" s="9">
        <f t="shared" ca="1" si="51"/>
        <v>14.043658333333333</v>
      </c>
      <c r="N1140" s="9">
        <f t="shared" ca="1" si="51"/>
        <v>14.039341666666667</v>
      </c>
      <c r="O1140" s="9">
        <f t="shared" ca="1" si="51"/>
        <v>14.043658333333333</v>
      </c>
    </row>
    <row r="1141" spans="1:15" ht="15" x14ac:dyDescent="0.2">
      <c r="A1141" s="10">
        <v>2083</v>
      </c>
      <c r="B1141" s="9">
        <f t="shared" ca="1" si="51"/>
        <v>12.654925</v>
      </c>
      <c r="C1141" s="9">
        <f t="shared" ca="1" si="51"/>
        <v>12.654925</v>
      </c>
      <c r="D1141" s="9">
        <f t="shared" ca="1" si="51"/>
        <v>12.656216666666666</v>
      </c>
      <c r="E1141" s="9">
        <f t="shared" ca="1" si="51"/>
        <v>14.253891666666668</v>
      </c>
      <c r="F1141" s="9">
        <f t="shared" ca="1" si="51"/>
        <v>14.253891666666668</v>
      </c>
      <c r="G1141" s="9">
        <f t="shared" ca="1" si="51"/>
        <v>14.258208333333334</v>
      </c>
      <c r="H1141" s="9">
        <f t="shared" ca="1" si="51"/>
        <v>28.691166666666664</v>
      </c>
      <c r="I1141" s="9">
        <f t="shared" ca="1" si="51"/>
        <v>28.695474999999998</v>
      </c>
      <c r="J1141" s="9">
        <f t="shared" ca="1" si="51"/>
        <v>28.691166666666664</v>
      </c>
      <c r="K1141" s="9">
        <f t="shared" ca="1" si="51"/>
        <v>28.695474999999998</v>
      </c>
      <c r="L1141" s="9">
        <f t="shared" ca="1" si="51"/>
        <v>14.253891666666668</v>
      </c>
      <c r="M1141" s="9">
        <f t="shared" ca="1" si="51"/>
        <v>14.258208333333334</v>
      </c>
      <c r="N1141" s="9">
        <f t="shared" ca="1" si="51"/>
        <v>14.253891666666668</v>
      </c>
      <c r="O1141" s="9">
        <f t="shared" ca="1" si="51"/>
        <v>14.258208333333334</v>
      </c>
    </row>
    <row r="1142" spans="1:15" ht="15" x14ac:dyDescent="0.2">
      <c r="A1142" s="10">
        <v>2084</v>
      </c>
      <c r="B1142" s="9">
        <f t="shared" ca="1" si="51"/>
        <v>12.843616666666664</v>
      </c>
      <c r="C1142" s="9">
        <f t="shared" ca="1" si="51"/>
        <v>12.843616666666664</v>
      </c>
      <c r="D1142" s="9">
        <f t="shared" ca="1" si="51"/>
        <v>12.844900000000001</v>
      </c>
      <c r="E1142" s="9">
        <f t="shared" ca="1" si="51"/>
        <v>14.468458333333331</v>
      </c>
      <c r="F1142" s="9">
        <f t="shared" ca="1" si="51"/>
        <v>14.468458333333331</v>
      </c>
      <c r="G1142" s="9">
        <f t="shared" ca="1" si="51"/>
        <v>14.47278333333333</v>
      </c>
      <c r="H1142" s="9">
        <f t="shared" ca="1" si="51"/>
        <v>29.149891666666662</v>
      </c>
      <c r="I1142" s="9">
        <f t="shared" ca="1" si="51"/>
        <v>29.154208333333333</v>
      </c>
      <c r="J1142" s="9">
        <f t="shared" ca="1" si="51"/>
        <v>29.149891666666662</v>
      </c>
      <c r="K1142" s="9">
        <f t="shared" ca="1" si="51"/>
        <v>29.154208333333333</v>
      </c>
      <c r="L1142" s="9">
        <f t="shared" ca="1" si="51"/>
        <v>14.468458333333331</v>
      </c>
      <c r="M1142" s="9">
        <f t="shared" ca="1" si="51"/>
        <v>14.47278333333333</v>
      </c>
      <c r="N1142" s="9">
        <f t="shared" ca="1" si="51"/>
        <v>14.468458333333331</v>
      </c>
      <c r="O1142" s="9">
        <f t="shared" ca="1" si="51"/>
        <v>14.47278333333333</v>
      </c>
    </row>
    <row r="1143" spans="1:15" ht="15" x14ac:dyDescent="0.2">
      <c r="A1143" s="10">
        <v>2085</v>
      </c>
      <c r="B1143" s="9">
        <f t="shared" ca="1" si="51"/>
        <v>13.032333333333334</v>
      </c>
      <c r="C1143" s="9">
        <f t="shared" ca="1" si="51"/>
        <v>13.032333333333334</v>
      </c>
      <c r="D1143" s="9">
        <f t="shared" ca="1" si="51"/>
        <v>13.0336</v>
      </c>
      <c r="E1143" s="9">
        <f t="shared" ca="1" si="51"/>
        <v>14.683025000000001</v>
      </c>
      <c r="F1143" s="9">
        <f t="shared" ca="1" si="51"/>
        <v>14.683025000000001</v>
      </c>
      <c r="G1143" s="9">
        <f t="shared" ca="1" si="51"/>
        <v>14.68734166666667</v>
      </c>
      <c r="H1143" s="9">
        <f t="shared" ca="1" si="51"/>
        <v>29.60863333333333</v>
      </c>
      <c r="I1143" s="9">
        <f t="shared" ca="1" si="51"/>
        <v>29.612941666666668</v>
      </c>
      <c r="J1143" s="9">
        <f t="shared" ca="1" si="51"/>
        <v>29.60863333333333</v>
      </c>
      <c r="K1143" s="9">
        <f t="shared" ca="1" si="51"/>
        <v>29.612941666666668</v>
      </c>
      <c r="L1143" s="9">
        <f t="shared" ca="1" si="51"/>
        <v>14.683025000000001</v>
      </c>
      <c r="M1143" s="9">
        <f t="shared" ca="1" si="51"/>
        <v>14.68734166666667</v>
      </c>
      <c r="N1143" s="9">
        <f t="shared" ca="1" si="51"/>
        <v>14.683025000000001</v>
      </c>
      <c r="O1143" s="9">
        <f t="shared" ca="1" si="51"/>
        <v>14.68734166666667</v>
      </c>
    </row>
    <row r="1144" spans="1:15" ht="15" x14ac:dyDescent="0.2">
      <c r="A1144" s="10">
        <v>2086</v>
      </c>
      <c r="B1144" s="9">
        <f t="shared" ca="1" si="51"/>
        <v>13.221025000000003</v>
      </c>
      <c r="C1144" s="9">
        <f t="shared" ca="1" si="51"/>
        <v>13.221025000000003</v>
      </c>
      <c r="D1144" s="9">
        <f t="shared" ca="1" si="51"/>
        <v>13.22231666666667</v>
      </c>
      <c r="E1144" s="9">
        <f t="shared" ca="1" si="51"/>
        <v>14.897599999999999</v>
      </c>
      <c r="F1144" s="9">
        <f t="shared" ca="1" si="51"/>
        <v>14.897599999999999</v>
      </c>
      <c r="G1144" s="9">
        <f t="shared" ca="1" si="51"/>
        <v>14.90191666666667</v>
      </c>
      <c r="H1144" s="9">
        <f t="shared" ca="1" si="51"/>
        <v>30.067366666666668</v>
      </c>
      <c r="I1144" s="9">
        <f t="shared" ca="1" si="51"/>
        <v>30.071674999999995</v>
      </c>
      <c r="J1144" s="9">
        <f t="shared" ca="1" si="51"/>
        <v>30.067366666666668</v>
      </c>
      <c r="K1144" s="9">
        <f t="shared" ca="1" si="51"/>
        <v>30.071674999999995</v>
      </c>
      <c r="L1144" s="9">
        <f t="shared" ca="1" si="51"/>
        <v>14.897599999999999</v>
      </c>
      <c r="M1144" s="9">
        <f t="shared" ca="1" si="51"/>
        <v>14.90191666666667</v>
      </c>
      <c r="N1144" s="9">
        <f t="shared" ca="1" si="51"/>
        <v>14.897599999999999</v>
      </c>
      <c r="O1144" s="9">
        <f t="shared" ca="1" si="51"/>
        <v>14.90191666666667</v>
      </c>
    </row>
    <row r="1145" spans="1:15" ht="15" x14ac:dyDescent="0.2">
      <c r="A1145" s="10">
        <v>2087</v>
      </c>
      <c r="B1145" s="9">
        <f t="shared" ca="1" si="51"/>
        <v>13.409750000000003</v>
      </c>
      <c r="C1145" s="9">
        <f t="shared" ca="1" si="51"/>
        <v>13.409750000000003</v>
      </c>
      <c r="D1145" s="9">
        <f t="shared" ca="1" si="51"/>
        <v>13.41100833333333</v>
      </c>
      <c r="E1145" s="9">
        <f t="shared" ca="1" si="51"/>
        <v>15.112158333333335</v>
      </c>
      <c r="F1145" s="9">
        <f t="shared" ca="1" si="51"/>
        <v>15.112158333333335</v>
      </c>
      <c r="G1145" s="9">
        <f t="shared" ca="1" si="51"/>
        <v>15.116474999999999</v>
      </c>
      <c r="H1145" s="9">
        <f t="shared" ca="1" si="51"/>
        <v>30.526116666666667</v>
      </c>
      <c r="I1145" s="9">
        <f t="shared" ca="1" si="51"/>
        <v>30.530424999999994</v>
      </c>
      <c r="J1145" s="9">
        <f t="shared" ca="1" si="51"/>
        <v>30.526116666666667</v>
      </c>
      <c r="K1145" s="9">
        <f t="shared" ca="1" si="51"/>
        <v>30.530424999999994</v>
      </c>
      <c r="L1145" s="9">
        <f t="shared" ca="1" si="51"/>
        <v>15.112158333333335</v>
      </c>
      <c r="M1145" s="9">
        <f t="shared" ca="1" si="51"/>
        <v>15.116474999999999</v>
      </c>
      <c r="N1145" s="9">
        <f t="shared" ca="1" si="51"/>
        <v>15.112158333333335</v>
      </c>
      <c r="O1145" s="9">
        <f t="shared" ca="1" si="51"/>
        <v>15.116474999999999</v>
      </c>
    </row>
    <row r="1146" spans="1:15" ht="15" x14ac:dyDescent="0.2">
      <c r="A1146" s="10">
        <v>2088</v>
      </c>
      <c r="B1146" s="9">
        <f t="shared" ca="1" si="51"/>
        <v>13.598433333333332</v>
      </c>
      <c r="C1146" s="9">
        <f t="shared" ca="1" si="51"/>
        <v>13.598433333333332</v>
      </c>
      <c r="D1146" s="9">
        <f t="shared" ca="1" si="51"/>
        <v>13.599724999999999</v>
      </c>
      <c r="E1146" s="9">
        <f t="shared" ca="1" si="51"/>
        <v>15.326716666666664</v>
      </c>
      <c r="F1146" s="9">
        <f t="shared" ca="1" si="51"/>
        <v>15.326716666666664</v>
      </c>
      <c r="G1146" s="9">
        <f t="shared" ca="1" si="51"/>
        <v>15.331025000000002</v>
      </c>
      <c r="H1146" s="9">
        <f t="shared" ca="1" si="51"/>
        <v>30.984849999999994</v>
      </c>
      <c r="I1146" s="9">
        <f t="shared" ca="1" si="51"/>
        <v>30.989166666666666</v>
      </c>
      <c r="J1146" s="9">
        <f t="shared" ca="1" si="51"/>
        <v>30.984849999999994</v>
      </c>
      <c r="K1146" s="9">
        <f t="shared" ca="1" si="51"/>
        <v>30.989166666666666</v>
      </c>
      <c r="L1146" s="9">
        <f t="shared" ca="1" si="51"/>
        <v>15.326716666666664</v>
      </c>
      <c r="M1146" s="9">
        <f t="shared" ca="1" si="51"/>
        <v>15.331025000000002</v>
      </c>
      <c r="N1146" s="9">
        <f t="shared" ca="1" si="51"/>
        <v>15.326716666666664</v>
      </c>
      <c r="O1146" s="9">
        <f t="shared" ca="1" si="51"/>
        <v>15.331025000000002</v>
      </c>
    </row>
    <row r="1147" spans="1:15" ht="15" x14ac:dyDescent="0.2">
      <c r="A1147" s="10">
        <v>2089</v>
      </c>
      <c r="B1147" s="9">
        <f t="shared" ca="1" si="51"/>
        <v>13.787141666666669</v>
      </c>
      <c r="C1147" s="9">
        <f t="shared" ca="1" si="51"/>
        <v>13.787141666666669</v>
      </c>
      <c r="D1147" s="9">
        <f t="shared" ca="1" si="51"/>
        <v>13.788400000000001</v>
      </c>
      <c r="E1147" s="9">
        <f t="shared" ca="1" si="51"/>
        <v>15.541283333333332</v>
      </c>
      <c r="F1147" s="9">
        <f t="shared" ca="1" si="51"/>
        <v>15.541283333333332</v>
      </c>
      <c r="G1147" s="9">
        <f t="shared" ca="1" si="51"/>
        <v>15.5456</v>
      </c>
      <c r="H1147" s="9">
        <f t="shared" ca="1" si="51"/>
        <v>31.443583333333336</v>
      </c>
      <c r="I1147" s="9">
        <f t="shared" ca="1" si="51"/>
        <v>31.447908333333341</v>
      </c>
      <c r="J1147" s="9">
        <f t="shared" ca="1" si="51"/>
        <v>31.443583333333336</v>
      </c>
      <c r="K1147" s="9">
        <f t="shared" ca="1" si="51"/>
        <v>31.447908333333341</v>
      </c>
      <c r="L1147" s="9">
        <f t="shared" ca="1" si="51"/>
        <v>15.541283333333332</v>
      </c>
      <c r="M1147" s="9">
        <f t="shared" ca="1" si="51"/>
        <v>15.5456</v>
      </c>
      <c r="N1147" s="9">
        <f t="shared" ca="1" si="51"/>
        <v>15.541283333333332</v>
      </c>
      <c r="O1147" s="9">
        <f t="shared" ca="1" si="51"/>
        <v>15.5456</v>
      </c>
    </row>
    <row r="1148" spans="1:15" ht="15" x14ac:dyDescent="0.2">
      <c r="A1148" s="10">
        <v>2090</v>
      </c>
      <c r="B1148" s="9">
        <f t="shared" ca="1" si="51"/>
        <v>13.975841666666668</v>
      </c>
      <c r="C1148" s="9">
        <f t="shared" ca="1" si="51"/>
        <v>13.975841666666668</v>
      </c>
      <c r="D1148" s="9">
        <f t="shared" ca="1" si="51"/>
        <v>13.977124999999996</v>
      </c>
      <c r="E1148" s="9">
        <f t="shared" ca="1" si="51"/>
        <v>15.755858333333334</v>
      </c>
      <c r="F1148" s="9">
        <f t="shared" ca="1" si="51"/>
        <v>15.755858333333334</v>
      </c>
      <c r="G1148" s="9">
        <f t="shared" ca="1" si="51"/>
        <v>15.760166666666663</v>
      </c>
      <c r="H1148" s="9">
        <f t="shared" ca="1" si="51"/>
        <v>31.902308333333337</v>
      </c>
      <c r="I1148" s="9">
        <f t="shared" ca="1" si="51"/>
        <v>31.906633333333335</v>
      </c>
      <c r="J1148" s="9">
        <f t="shared" ca="1" si="51"/>
        <v>31.902308333333337</v>
      </c>
      <c r="K1148" s="9">
        <f t="shared" ca="1" si="51"/>
        <v>31.906633333333335</v>
      </c>
      <c r="L1148" s="9">
        <f t="shared" ca="1" si="51"/>
        <v>15.755858333333334</v>
      </c>
      <c r="M1148" s="9">
        <f t="shared" ca="1" si="51"/>
        <v>15.760166666666663</v>
      </c>
      <c r="N1148" s="9">
        <f t="shared" ca="1" si="51"/>
        <v>15.755858333333334</v>
      </c>
      <c r="O1148" s="9">
        <f t="shared" ca="1" si="51"/>
        <v>15.760166666666663</v>
      </c>
    </row>
    <row r="1149" spans="1:15" ht="15" x14ac:dyDescent="0.2">
      <c r="A1149" s="10">
        <v>2091</v>
      </c>
      <c r="B1149" s="9">
        <f t="shared" ca="1" si="51"/>
        <v>14.164533333333333</v>
      </c>
      <c r="C1149" s="9">
        <f t="shared" ca="1" si="51"/>
        <v>14.164533333333333</v>
      </c>
      <c r="D1149" s="9">
        <f t="shared" ca="1" si="51"/>
        <v>14.165816666666665</v>
      </c>
      <c r="E1149" s="9">
        <f t="shared" ca="1" si="51"/>
        <v>15.970408333333333</v>
      </c>
      <c r="F1149" s="9">
        <f t="shared" ca="1" si="51"/>
        <v>15.970408333333333</v>
      </c>
      <c r="G1149" s="9">
        <f t="shared" ca="1" si="51"/>
        <v>15.974724999999999</v>
      </c>
      <c r="H1149" s="9">
        <f t="shared" ca="1" si="51"/>
        <v>32.361066666666666</v>
      </c>
      <c r="I1149" s="9">
        <f t="shared" ca="1" si="51"/>
        <v>32.365366666666667</v>
      </c>
      <c r="J1149" s="9">
        <f t="shared" ca="1" si="51"/>
        <v>32.361066666666666</v>
      </c>
      <c r="K1149" s="9">
        <f t="shared" ca="1" si="51"/>
        <v>32.365366666666667</v>
      </c>
      <c r="L1149" s="9">
        <f t="shared" ca="1" si="51"/>
        <v>15.970408333333333</v>
      </c>
      <c r="M1149" s="9">
        <f t="shared" ca="1" si="51"/>
        <v>15.974724999999999</v>
      </c>
      <c r="N1149" s="9">
        <f t="shared" ca="1" si="51"/>
        <v>15.970408333333333</v>
      </c>
      <c r="O1149" s="9">
        <f t="shared" ca="1" si="51"/>
        <v>15.974724999999999</v>
      </c>
    </row>
    <row r="1150" spans="1:15" ht="15" x14ac:dyDescent="0.2">
      <c r="A1150" s="10">
        <v>2092</v>
      </c>
      <c r="B1150" s="9">
        <f t="shared" ref="B1150:O1158" ca="1" si="52">AVERAGE(OFFSET(B$602,($A1150-$A$1120)*12,0,12,1))</f>
        <v>14.353250000000001</v>
      </c>
      <c r="C1150" s="9">
        <f t="shared" ca="1" si="52"/>
        <v>14.353250000000001</v>
      </c>
      <c r="D1150" s="9">
        <f t="shared" ca="1" si="52"/>
        <v>14.354508333333333</v>
      </c>
      <c r="E1150" s="9">
        <f t="shared" ca="1" si="52"/>
        <v>16.184991666666665</v>
      </c>
      <c r="F1150" s="9">
        <f t="shared" ca="1" si="52"/>
        <v>16.184991666666665</v>
      </c>
      <c r="G1150" s="9">
        <f t="shared" ca="1" si="52"/>
        <v>16.189299999999999</v>
      </c>
      <c r="H1150" s="9">
        <f t="shared" ca="1" si="52"/>
        <v>32.819791666666667</v>
      </c>
      <c r="I1150" s="9">
        <f t="shared" ca="1" si="52"/>
        <v>32.824100000000001</v>
      </c>
      <c r="J1150" s="9">
        <f t="shared" ca="1" si="52"/>
        <v>32.819791666666667</v>
      </c>
      <c r="K1150" s="9">
        <f t="shared" ca="1" si="52"/>
        <v>32.824100000000001</v>
      </c>
      <c r="L1150" s="9">
        <f t="shared" ca="1" si="52"/>
        <v>16.184991666666665</v>
      </c>
      <c r="M1150" s="9">
        <f t="shared" ca="1" si="52"/>
        <v>16.189299999999999</v>
      </c>
      <c r="N1150" s="9">
        <f t="shared" ca="1" si="52"/>
        <v>16.184991666666665</v>
      </c>
      <c r="O1150" s="9">
        <f t="shared" ca="1" si="52"/>
        <v>16.189299999999999</v>
      </c>
    </row>
    <row r="1151" spans="1:15" ht="15" x14ac:dyDescent="0.2">
      <c r="A1151" s="10">
        <v>2093</v>
      </c>
      <c r="B1151" s="9">
        <f t="shared" ca="1" si="52"/>
        <v>14.541925000000001</v>
      </c>
      <c r="C1151" s="9">
        <f t="shared" ca="1" si="52"/>
        <v>14.541925000000001</v>
      </c>
      <c r="D1151" s="9">
        <f t="shared" ca="1" si="52"/>
        <v>14.543216666666666</v>
      </c>
      <c r="E1151" s="9">
        <f t="shared" ca="1" si="52"/>
        <v>16.399541666666668</v>
      </c>
      <c r="F1151" s="9">
        <f t="shared" ca="1" si="52"/>
        <v>16.399541666666668</v>
      </c>
      <c r="G1151" s="9">
        <f t="shared" ca="1" si="52"/>
        <v>16.403849999999995</v>
      </c>
      <c r="H1151" s="9">
        <f t="shared" ca="1" si="52"/>
        <v>33.278541666666669</v>
      </c>
      <c r="I1151" s="9">
        <f t="shared" ca="1" si="52"/>
        <v>33.282850000000003</v>
      </c>
      <c r="J1151" s="9">
        <f t="shared" ca="1" si="52"/>
        <v>33.278541666666669</v>
      </c>
      <c r="K1151" s="9">
        <f t="shared" ca="1" si="52"/>
        <v>33.282850000000003</v>
      </c>
      <c r="L1151" s="9">
        <f t="shared" ca="1" si="52"/>
        <v>16.399541666666668</v>
      </c>
      <c r="M1151" s="9">
        <f t="shared" ca="1" si="52"/>
        <v>16.403849999999995</v>
      </c>
      <c r="N1151" s="9">
        <f t="shared" ca="1" si="52"/>
        <v>16.399541666666668</v>
      </c>
      <c r="O1151" s="9">
        <f t="shared" ca="1" si="52"/>
        <v>16.403849999999995</v>
      </c>
    </row>
    <row r="1152" spans="1:15" ht="15" x14ac:dyDescent="0.2">
      <c r="A1152" s="10">
        <v>2094</v>
      </c>
      <c r="B1152" s="9">
        <f t="shared" ca="1" si="52"/>
        <v>14.730650000000002</v>
      </c>
      <c r="C1152" s="9">
        <f t="shared" ca="1" si="52"/>
        <v>14.730650000000002</v>
      </c>
      <c r="D1152" s="9">
        <f t="shared" ca="1" si="52"/>
        <v>14.731908333333331</v>
      </c>
      <c r="E1152" s="9">
        <f t="shared" ca="1" si="52"/>
        <v>16.614100000000004</v>
      </c>
      <c r="F1152" s="9">
        <f t="shared" ca="1" si="52"/>
        <v>16.614100000000004</v>
      </c>
      <c r="G1152" s="9">
        <f t="shared" ca="1" si="52"/>
        <v>16.618416666666665</v>
      </c>
      <c r="H1152" s="9">
        <f t="shared" ca="1" si="52"/>
        <v>33.737250000000003</v>
      </c>
      <c r="I1152" s="9">
        <f t="shared" ca="1" si="52"/>
        <v>33.741575000000005</v>
      </c>
      <c r="J1152" s="9">
        <f t="shared" ca="1" si="52"/>
        <v>33.737250000000003</v>
      </c>
      <c r="K1152" s="9">
        <f t="shared" ca="1" si="52"/>
        <v>33.741575000000005</v>
      </c>
      <c r="L1152" s="9">
        <f t="shared" ca="1" si="52"/>
        <v>16.614100000000004</v>
      </c>
      <c r="M1152" s="9">
        <f t="shared" ca="1" si="52"/>
        <v>16.618416666666665</v>
      </c>
      <c r="N1152" s="9">
        <f t="shared" ca="1" si="52"/>
        <v>16.614100000000004</v>
      </c>
      <c r="O1152" s="9">
        <f t="shared" ca="1" si="52"/>
        <v>16.618416666666665</v>
      </c>
    </row>
    <row r="1153" spans="1:15" ht="15" x14ac:dyDescent="0.2">
      <c r="A1153" s="10">
        <v>2095</v>
      </c>
      <c r="B1153" s="9">
        <f t="shared" ca="1" si="52"/>
        <v>14.919341666666666</v>
      </c>
      <c r="C1153" s="9">
        <f t="shared" ca="1" si="52"/>
        <v>14.919341666666666</v>
      </c>
      <c r="D1153" s="9">
        <f t="shared" ca="1" si="52"/>
        <v>14.920624999999999</v>
      </c>
      <c r="E1153" s="9">
        <f t="shared" ca="1" si="52"/>
        <v>16.828675</v>
      </c>
      <c r="F1153" s="9">
        <f t="shared" ca="1" si="52"/>
        <v>16.828675</v>
      </c>
      <c r="G1153" s="9">
        <f t="shared" ca="1" si="52"/>
        <v>16.832991666666665</v>
      </c>
      <c r="H1153" s="9">
        <f t="shared" ca="1" si="52"/>
        <v>34.196000000000005</v>
      </c>
      <c r="I1153" s="9">
        <f t="shared" ca="1" si="52"/>
        <v>34.200324999999999</v>
      </c>
      <c r="J1153" s="9">
        <f t="shared" ca="1" si="52"/>
        <v>34.196000000000005</v>
      </c>
      <c r="K1153" s="9">
        <f t="shared" ca="1" si="52"/>
        <v>34.200324999999999</v>
      </c>
      <c r="L1153" s="9">
        <f t="shared" ca="1" si="52"/>
        <v>16.828675</v>
      </c>
      <c r="M1153" s="9">
        <f t="shared" ca="1" si="52"/>
        <v>16.832991666666665</v>
      </c>
      <c r="N1153" s="9">
        <f t="shared" ca="1" si="52"/>
        <v>16.828675</v>
      </c>
      <c r="O1153" s="9">
        <f t="shared" ca="1" si="52"/>
        <v>16.832991666666665</v>
      </c>
    </row>
    <row r="1154" spans="1:15" ht="15" x14ac:dyDescent="0.2">
      <c r="A1154" s="10">
        <v>2096</v>
      </c>
      <c r="B1154" s="9">
        <f t="shared" ca="1" si="52"/>
        <v>15.108033333333333</v>
      </c>
      <c r="C1154" s="9">
        <f t="shared" ca="1" si="52"/>
        <v>15.108033333333333</v>
      </c>
      <c r="D1154" s="9">
        <f t="shared" ca="1" si="52"/>
        <v>15.109316666666665</v>
      </c>
      <c r="E1154" s="9">
        <f t="shared" ca="1" si="52"/>
        <v>17.043241666666667</v>
      </c>
      <c r="F1154" s="9">
        <f t="shared" ca="1" si="52"/>
        <v>17.043241666666667</v>
      </c>
      <c r="G1154" s="9">
        <f t="shared" ca="1" si="52"/>
        <v>17.047558333333335</v>
      </c>
      <c r="H1154" s="9">
        <f t="shared" ca="1" si="52"/>
        <v>34.654724999999992</v>
      </c>
      <c r="I1154" s="9">
        <f t="shared" ca="1" si="52"/>
        <v>34.659050000000001</v>
      </c>
      <c r="J1154" s="9">
        <f t="shared" ca="1" si="52"/>
        <v>34.654724999999992</v>
      </c>
      <c r="K1154" s="9">
        <f t="shared" ca="1" si="52"/>
        <v>34.659050000000001</v>
      </c>
      <c r="L1154" s="9">
        <f t="shared" ca="1" si="52"/>
        <v>17.043241666666667</v>
      </c>
      <c r="M1154" s="9">
        <f t="shared" ca="1" si="52"/>
        <v>17.047558333333335</v>
      </c>
      <c r="N1154" s="9">
        <f t="shared" ca="1" si="52"/>
        <v>17.043241666666667</v>
      </c>
      <c r="O1154" s="9">
        <f t="shared" ca="1" si="52"/>
        <v>17.047558333333335</v>
      </c>
    </row>
    <row r="1155" spans="1:15" ht="15" x14ac:dyDescent="0.2">
      <c r="A1155" s="10">
        <v>2097</v>
      </c>
      <c r="B1155" s="9">
        <f t="shared" ca="1" si="52"/>
        <v>15.296750000000001</v>
      </c>
      <c r="C1155" s="9">
        <f t="shared" ca="1" si="52"/>
        <v>15.296750000000001</v>
      </c>
      <c r="D1155" s="9">
        <f t="shared" ca="1" si="52"/>
        <v>15.298008333333334</v>
      </c>
      <c r="E1155" s="9">
        <f t="shared" ca="1" si="52"/>
        <v>17.2578</v>
      </c>
      <c r="F1155" s="9">
        <f t="shared" ca="1" si="52"/>
        <v>17.2578</v>
      </c>
      <c r="G1155" s="9">
        <f t="shared" ca="1" si="52"/>
        <v>17.262116666666664</v>
      </c>
      <c r="H1155" s="9">
        <f t="shared" ca="1" si="52"/>
        <v>35.113491666666668</v>
      </c>
      <c r="I1155" s="9">
        <f t="shared" ca="1" si="52"/>
        <v>35.117791666666669</v>
      </c>
      <c r="J1155" s="9">
        <f t="shared" ca="1" si="52"/>
        <v>35.113491666666668</v>
      </c>
      <c r="K1155" s="9">
        <f t="shared" ca="1" si="52"/>
        <v>35.117791666666669</v>
      </c>
      <c r="L1155" s="9">
        <f t="shared" ca="1" si="52"/>
        <v>17.2578</v>
      </c>
      <c r="M1155" s="9">
        <f t="shared" ca="1" si="52"/>
        <v>17.262116666666664</v>
      </c>
      <c r="N1155" s="9">
        <f t="shared" ca="1" si="52"/>
        <v>17.2578</v>
      </c>
      <c r="O1155" s="9">
        <f t="shared" ca="1" si="52"/>
        <v>17.262116666666664</v>
      </c>
    </row>
    <row r="1156" spans="1:15" ht="15" x14ac:dyDescent="0.2">
      <c r="A1156" s="10">
        <v>2098</v>
      </c>
      <c r="B1156" s="9">
        <f t="shared" ca="1" si="52"/>
        <v>15.485433333333333</v>
      </c>
      <c r="C1156" s="9">
        <f t="shared" ca="1" si="52"/>
        <v>15.485433333333333</v>
      </c>
      <c r="D1156" s="9">
        <f t="shared" ca="1" si="52"/>
        <v>15.486733333333333</v>
      </c>
      <c r="E1156" s="9">
        <f t="shared" ca="1" si="52"/>
        <v>17.472383333333333</v>
      </c>
      <c r="F1156" s="9">
        <f t="shared" ca="1" si="52"/>
        <v>17.472383333333333</v>
      </c>
      <c r="G1156" s="9">
        <f t="shared" ca="1" si="52"/>
        <v>17.476700000000001</v>
      </c>
      <c r="H1156" s="9">
        <f t="shared" ca="1" si="52"/>
        <v>35.572208333333336</v>
      </c>
      <c r="I1156" s="9">
        <f t="shared" ca="1" si="52"/>
        <v>35.576524999999997</v>
      </c>
      <c r="J1156" s="9">
        <f t="shared" ca="1" si="52"/>
        <v>35.572208333333336</v>
      </c>
      <c r="K1156" s="9">
        <f t="shared" ca="1" si="52"/>
        <v>35.576524999999997</v>
      </c>
      <c r="L1156" s="9">
        <f t="shared" ca="1" si="52"/>
        <v>17.472383333333333</v>
      </c>
      <c r="M1156" s="9">
        <f t="shared" ca="1" si="52"/>
        <v>17.476700000000001</v>
      </c>
      <c r="N1156" s="9">
        <f t="shared" ca="1" si="52"/>
        <v>17.472383333333333</v>
      </c>
      <c r="O1156" s="9">
        <f t="shared" ca="1" si="52"/>
        <v>17.476700000000001</v>
      </c>
    </row>
    <row r="1157" spans="1:15" ht="15" x14ac:dyDescent="0.2">
      <c r="A1157" s="10">
        <v>2099</v>
      </c>
      <c r="B1157" s="9">
        <f t="shared" ca="1" si="52"/>
        <v>15.674149999999999</v>
      </c>
      <c r="C1157" s="9">
        <f t="shared" ca="1" si="52"/>
        <v>15.674149999999999</v>
      </c>
      <c r="D1157" s="9">
        <f t="shared" ca="1" si="52"/>
        <v>15.675425000000002</v>
      </c>
      <c r="E1157" s="9">
        <f t="shared" ca="1" si="52"/>
        <v>17.686933333333332</v>
      </c>
      <c r="F1157" s="9">
        <f t="shared" ca="1" si="52"/>
        <v>17.686933333333332</v>
      </c>
      <c r="G1157" s="9">
        <f t="shared" ca="1" si="52"/>
        <v>17.691258333333334</v>
      </c>
      <c r="H1157" s="9">
        <f t="shared" ca="1" si="52"/>
        <v>36.030949999999997</v>
      </c>
      <c r="I1157" s="9">
        <f t="shared" ca="1" si="52"/>
        <v>36.035266666666665</v>
      </c>
      <c r="J1157" s="9">
        <f t="shared" ca="1" si="52"/>
        <v>36.030949999999997</v>
      </c>
      <c r="K1157" s="9">
        <f t="shared" ca="1" si="52"/>
        <v>36.035266666666665</v>
      </c>
      <c r="L1157" s="9">
        <f t="shared" ca="1" si="52"/>
        <v>17.686933333333332</v>
      </c>
      <c r="M1157" s="9">
        <f t="shared" ca="1" si="52"/>
        <v>17.691258333333334</v>
      </c>
      <c r="N1157" s="9">
        <f t="shared" ca="1" si="52"/>
        <v>17.686933333333332</v>
      </c>
      <c r="O1157" s="9">
        <f t="shared" ca="1" si="52"/>
        <v>17.691258333333334</v>
      </c>
    </row>
    <row r="1158" spans="1:15" ht="15" x14ac:dyDescent="0.2">
      <c r="A1158" s="10">
        <v>2100</v>
      </c>
      <c r="B1158" s="9">
        <f t="shared" ca="1" si="52"/>
        <v>15.862841666666663</v>
      </c>
      <c r="C1158" s="9">
        <f t="shared" ca="1" si="52"/>
        <v>15.862841666666663</v>
      </c>
      <c r="D1158" s="9">
        <f t="shared" ca="1" si="52"/>
        <v>15.864133333333335</v>
      </c>
      <c r="E1158" s="9">
        <f t="shared" ca="1" si="52"/>
        <v>17.901491666666669</v>
      </c>
      <c r="F1158" s="9">
        <f t="shared" ca="1" si="52"/>
        <v>17.901491666666669</v>
      </c>
      <c r="G1158" s="9">
        <f t="shared" ca="1" si="52"/>
        <v>17.905808333333329</v>
      </c>
      <c r="H1158" s="9">
        <f t="shared" ca="1" si="52"/>
        <v>36.489683333333332</v>
      </c>
      <c r="I1158" s="9">
        <f t="shared" ca="1" si="52"/>
        <v>36.493991666666666</v>
      </c>
      <c r="J1158" s="9">
        <f t="shared" ca="1" si="52"/>
        <v>36.489683333333332</v>
      </c>
      <c r="K1158" s="9">
        <f t="shared" ca="1" si="52"/>
        <v>36.493991666666666</v>
      </c>
      <c r="L1158" s="9">
        <f t="shared" ca="1" si="52"/>
        <v>17.901491666666669</v>
      </c>
      <c r="M1158" s="9">
        <f t="shared" ca="1" si="52"/>
        <v>17.905808333333329</v>
      </c>
      <c r="N1158" s="9">
        <f t="shared" ca="1" si="52"/>
        <v>17.901491666666669</v>
      </c>
      <c r="O1158" s="9">
        <f t="shared" ca="1" si="52"/>
        <v>17.905808333333329</v>
      </c>
    </row>
  </sheetData>
  <mergeCells count="7">
    <mergeCell ref="B10:D10"/>
    <mergeCell ref="P10:Q10"/>
    <mergeCell ref="R10:S10"/>
    <mergeCell ref="P9:S9"/>
    <mergeCell ref="E10:G10"/>
    <mergeCell ref="H10:K10"/>
    <mergeCell ref="L10:O10"/>
  </mergeCells>
  <pageMargins left="0.25" right="0.25" top="0.5" bottom="0.5" header="0.25" footer="0.25"/>
  <pageSetup paperSize="17" scale="60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locked="0" defaultSize="0" autoLine="0" autoPict="0">
                <anchor moveWithCells="1">
                  <from>
                    <xdr:col>5</xdr:col>
                    <xdr:colOff>371475</xdr:colOff>
                    <xdr:row>7</xdr:row>
                    <xdr:rowOff>38100</xdr:rowOff>
                  </from>
                  <to>
                    <xdr:col>6</xdr:col>
                    <xdr:colOff>381000</xdr:colOff>
                    <xdr:row>8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Q1176"/>
  <sheetViews>
    <sheetView zoomScale="70" zoomScaleNormal="70" workbookViewId="0">
      <pane xSplit="1" ySplit="11" topLeftCell="B12" activePane="bottomRight" state="frozen"/>
      <selection activeCell="A4" sqref="A4:XFD6"/>
      <selection pane="topRight" activeCell="A4" sqref="A4:XFD6"/>
      <selection pane="bottomLeft" activeCell="A4" sqref="A4:XFD6"/>
      <selection pane="bottomRight" activeCell="B12" sqref="B12"/>
    </sheetView>
  </sheetViews>
  <sheetFormatPr defaultColWidth="7.109375" defaultRowHeight="12.75" x14ac:dyDescent="0.2"/>
  <cols>
    <col min="1" max="1" width="19.77734375" style="31" customWidth="1"/>
    <col min="2" max="4" width="16.109375" style="31" customWidth="1"/>
    <col min="5" max="5" width="21" style="31" customWidth="1"/>
    <col min="6" max="9" width="16.109375" style="31" customWidth="1"/>
    <col min="10" max="10" width="12.33203125" style="8" customWidth="1"/>
    <col min="11" max="11" width="10.77734375" style="8" customWidth="1"/>
    <col min="12" max="12" width="11.6640625" style="8" customWidth="1"/>
    <col min="13" max="16384" width="7.109375" style="8"/>
  </cols>
  <sheetData>
    <row r="1" spans="1:17" ht="15.75" x14ac:dyDescent="0.25">
      <c r="A1" s="108" t="s">
        <v>91</v>
      </c>
    </row>
    <row r="2" spans="1:17" ht="15.75" x14ac:dyDescent="0.25">
      <c r="A2" s="108" t="s">
        <v>92</v>
      </c>
    </row>
    <row r="3" spans="1:17" ht="15.75" x14ac:dyDescent="0.25">
      <c r="A3" s="108" t="s">
        <v>93</v>
      </c>
    </row>
    <row r="4" spans="1:17" ht="15.75" x14ac:dyDescent="0.25">
      <c r="A4" s="108" t="s">
        <v>94</v>
      </c>
    </row>
    <row r="5" spans="1:17" ht="15.75" x14ac:dyDescent="0.25">
      <c r="A5" s="108" t="s">
        <v>96</v>
      </c>
    </row>
    <row r="6" spans="1:17" ht="15.75" x14ac:dyDescent="0.25">
      <c r="A6" s="108" t="s">
        <v>98</v>
      </c>
    </row>
    <row r="8" spans="1:17" ht="15.75" x14ac:dyDescent="0.25">
      <c r="A8" s="43" t="s">
        <v>27</v>
      </c>
      <c r="B8" s="8"/>
      <c r="C8" s="8"/>
      <c r="D8" s="8"/>
      <c r="E8" s="8"/>
      <c r="F8" s="8"/>
      <c r="G8" s="8"/>
      <c r="H8" s="8"/>
      <c r="I8" s="8"/>
    </row>
    <row r="9" spans="1:17" ht="15.75" x14ac:dyDescent="0.25">
      <c r="A9" s="43"/>
      <c r="B9" s="42"/>
      <c r="C9" s="41" t="s">
        <v>25</v>
      </c>
      <c r="D9" s="40">
        <f>1-0.273</f>
        <v>0.72699999999999998</v>
      </c>
      <c r="E9" s="41" t="s">
        <v>24</v>
      </c>
      <c r="F9" s="40">
        <f>1+0.273</f>
        <v>1.2730000000000001</v>
      </c>
      <c r="G9" s="8"/>
      <c r="H9" s="8"/>
      <c r="I9" s="8"/>
    </row>
    <row r="10" spans="1:17" s="36" customFormat="1" ht="21" customHeight="1" x14ac:dyDescent="0.25">
      <c r="B10" s="37" t="s">
        <v>37</v>
      </c>
      <c r="C10" s="37" t="s">
        <v>36</v>
      </c>
      <c r="D10" s="37" t="s">
        <v>35</v>
      </c>
      <c r="E10" s="39" t="s">
        <v>34</v>
      </c>
      <c r="F10" s="37" t="s">
        <v>33</v>
      </c>
      <c r="G10" s="39" t="s">
        <v>32</v>
      </c>
      <c r="H10" s="39" t="s">
        <v>31</v>
      </c>
      <c r="I10" s="37" t="s">
        <v>30</v>
      </c>
      <c r="J10" s="37" t="s">
        <v>29</v>
      </c>
      <c r="K10" s="37" t="s">
        <v>28</v>
      </c>
      <c r="L10" s="37"/>
    </row>
    <row r="11" spans="1:17" s="36" customFormat="1" ht="19.5" customHeight="1" x14ac:dyDescent="0.25">
      <c r="A11" s="38" t="s">
        <v>15</v>
      </c>
      <c r="B11" s="37" t="s">
        <v>14</v>
      </c>
      <c r="C11" s="37" t="s">
        <v>14</v>
      </c>
      <c r="D11" s="37" t="s">
        <v>14</v>
      </c>
      <c r="E11" s="37" t="s">
        <v>14</v>
      </c>
      <c r="F11" s="37" t="s">
        <v>14</v>
      </c>
      <c r="G11" s="37" t="s">
        <v>14</v>
      </c>
      <c r="H11" s="37" t="s">
        <v>14</v>
      </c>
      <c r="I11" s="37" t="s">
        <v>14</v>
      </c>
      <c r="J11" s="37" t="s">
        <v>14</v>
      </c>
      <c r="K11" s="37" t="s">
        <v>14</v>
      </c>
      <c r="L11" s="37"/>
    </row>
    <row r="12" spans="1:17" ht="15" x14ac:dyDescent="0.2">
      <c r="A12" s="13">
        <v>41275</v>
      </c>
      <c r="B12" s="14">
        <v>24.537438554750199</v>
      </c>
      <c r="C12" s="14">
        <v>24.1051915564654</v>
      </c>
      <c r="D12" s="14">
        <v>24.1051915564654</v>
      </c>
      <c r="E12" s="14">
        <v>23.9685330658994</v>
      </c>
      <c r="F12" s="14">
        <v>23.9685330658994</v>
      </c>
      <c r="G12" s="14">
        <v>24.239908537597501</v>
      </c>
      <c r="H12" s="14">
        <v>24.1051915564654</v>
      </c>
      <c r="I12" s="14">
        <v>24.1051915564654</v>
      </c>
      <c r="J12" s="14">
        <v>23.744985724561499</v>
      </c>
      <c r="K12" s="14">
        <v>24.1051915564654</v>
      </c>
      <c r="L12" s="14"/>
      <c r="M12" s="35"/>
      <c r="N12" s="35"/>
      <c r="O12" s="35"/>
      <c r="P12" s="35"/>
      <c r="Q12" s="35"/>
    </row>
    <row r="13" spans="1:17" ht="15" x14ac:dyDescent="0.2">
      <c r="A13" s="13">
        <v>41306</v>
      </c>
      <c r="B13" s="14">
        <v>25.612662092624401</v>
      </c>
      <c r="C13" s="14">
        <v>25.180415094339601</v>
      </c>
      <c r="D13" s="14">
        <v>25.180415094339601</v>
      </c>
      <c r="E13" s="14">
        <v>25.043756603773598</v>
      </c>
      <c r="F13" s="14">
        <v>25.043756603773598</v>
      </c>
      <c r="G13" s="14">
        <v>25.315132075471698</v>
      </c>
      <c r="H13" s="14">
        <v>25.180415094339601</v>
      </c>
      <c r="I13" s="14">
        <v>25.180415094339601</v>
      </c>
      <c r="J13" s="14">
        <v>24.8202092624357</v>
      </c>
      <c r="K13" s="14">
        <v>25.180415094339601</v>
      </c>
      <c r="L13" s="14"/>
      <c r="M13" s="35"/>
      <c r="N13" s="35"/>
      <c r="O13" s="35"/>
      <c r="P13" s="35"/>
      <c r="Q13" s="35"/>
    </row>
    <row r="14" spans="1:17" ht="15" x14ac:dyDescent="0.2">
      <c r="A14" s="13">
        <v>41334</v>
      </c>
      <c r="B14" s="14">
        <v>23.994085486637498</v>
      </c>
      <c r="C14" s="14">
        <v>23.561838488352802</v>
      </c>
      <c r="D14" s="14">
        <v>23.561838488352802</v>
      </c>
      <c r="E14" s="14">
        <v>23.425179997786799</v>
      </c>
      <c r="F14" s="14">
        <v>23.425179997786799</v>
      </c>
      <c r="G14" s="14">
        <v>23.696555469484899</v>
      </c>
      <c r="H14" s="14">
        <v>23.561838488352802</v>
      </c>
      <c r="I14" s="14">
        <v>23.561838488352802</v>
      </c>
      <c r="J14" s="14">
        <v>23.201632656448801</v>
      </c>
      <c r="K14" s="14">
        <v>23.561838488352802</v>
      </c>
      <c r="L14" s="14"/>
      <c r="M14" s="35"/>
      <c r="N14" s="35"/>
      <c r="O14" s="35"/>
      <c r="P14" s="35"/>
      <c r="Q14" s="35"/>
    </row>
    <row r="15" spans="1:17" ht="15" x14ac:dyDescent="0.2">
      <c r="A15" s="13">
        <v>41365</v>
      </c>
      <c r="B15" s="14">
        <v>22.9189005145798</v>
      </c>
      <c r="C15" s="14">
        <v>22.486653516295</v>
      </c>
      <c r="D15" s="14">
        <v>22.486653516295</v>
      </c>
      <c r="E15" s="14">
        <v>22.349995025729001</v>
      </c>
      <c r="F15" s="14">
        <v>22.349995025729001</v>
      </c>
      <c r="G15" s="14">
        <v>22.621370497427101</v>
      </c>
      <c r="H15" s="14">
        <v>22.486653516295</v>
      </c>
      <c r="I15" s="14">
        <v>22.486653516295</v>
      </c>
      <c r="J15" s="14">
        <v>22.126447684391099</v>
      </c>
      <c r="K15" s="14">
        <v>22.486653516295</v>
      </c>
      <c r="L15" s="14"/>
      <c r="M15" s="35"/>
      <c r="N15" s="35"/>
      <c r="O15" s="35"/>
      <c r="P15" s="35"/>
      <c r="Q15" s="35"/>
    </row>
    <row r="16" spans="1:17" ht="15" x14ac:dyDescent="0.2">
      <c r="A16" s="13">
        <v>41395</v>
      </c>
      <c r="B16" s="14">
        <v>22.8476548995739</v>
      </c>
      <c r="C16" s="14">
        <v>22.4154079012892</v>
      </c>
      <c r="D16" s="14">
        <v>22.4154079012892</v>
      </c>
      <c r="E16" s="14">
        <v>22.278749410723201</v>
      </c>
      <c r="F16" s="14">
        <v>22.278749410723201</v>
      </c>
      <c r="G16" s="14">
        <v>22.550124882421301</v>
      </c>
      <c r="H16" s="14">
        <v>22.4154079012892</v>
      </c>
      <c r="I16" s="14">
        <v>22.4154079012892</v>
      </c>
      <c r="J16" s="14">
        <v>22.055202069385299</v>
      </c>
      <c r="K16" s="14">
        <v>22.4154079012892</v>
      </c>
      <c r="L16" s="14"/>
      <c r="M16" s="35"/>
      <c r="N16" s="35"/>
      <c r="O16" s="35"/>
      <c r="P16" s="35"/>
      <c r="Q16" s="35"/>
    </row>
    <row r="17" spans="1:17" ht="15" x14ac:dyDescent="0.2">
      <c r="A17" s="13">
        <v>41426</v>
      </c>
      <c r="B17" s="14">
        <v>22.7692229845626</v>
      </c>
      <c r="C17" s="14">
        <v>22.336975986277899</v>
      </c>
      <c r="D17" s="14">
        <v>22.336975986277899</v>
      </c>
      <c r="E17" s="14">
        <v>22.200317495711801</v>
      </c>
      <c r="F17" s="14">
        <v>22.200317495711801</v>
      </c>
      <c r="G17" s="14">
        <v>22.471692967409901</v>
      </c>
      <c r="H17" s="14">
        <v>22.336975986277899</v>
      </c>
      <c r="I17" s="14">
        <v>22.336975986277899</v>
      </c>
      <c r="J17" s="14">
        <v>21.976770154373899</v>
      </c>
      <c r="K17" s="14">
        <v>22.336975986277899</v>
      </c>
      <c r="L17" s="14"/>
      <c r="M17" s="35"/>
      <c r="N17" s="35"/>
      <c r="O17" s="35"/>
      <c r="P17" s="35"/>
      <c r="Q17" s="35"/>
    </row>
    <row r="18" spans="1:17" ht="15" x14ac:dyDescent="0.2">
      <c r="A18" s="13">
        <v>41456</v>
      </c>
      <c r="B18" s="14">
        <v>23.7831210645715</v>
      </c>
      <c r="C18" s="14">
        <v>23.3508740662867</v>
      </c>
      <c r="D18" s="14">
        <v>23.3508740662867</v>
      </c>
      <c r="E18" s="14">
        <v>23.214215575720701</v>
      </c>
      <c r="F18" s="14">
        <v>23.214215575720701</v>
      </c>
      <c r="G18" s="14">
        <v>23.485591047418801</v>
      </c>
      <c r="H18" s="14">
        <v>23.3508740662867</v>
      </c>
      <c r="I18" s="14">
        <v>23.3508740662867</v>
      </c>
      <c r="J18" s="14">
        <v>22.990668234382799</v>
      </c>
      <c r="K18" s="14">
        <v>23.3508740662867</v>
      </c>
      <c r="L18" s="14"/>
      <c r="M18" s="35"/>
      <c r="N18" s="35"/>
      <c r="O18" s="35"/>
      <c r="P18" s="35"/>
      <c r="Q18" s="35"/>
    </row>
    <row r="19" spans="1:17" ht="15" x14ac:dyDescent="0.2">
      <c r="A19" s="13">
        <v>41487</v>
      </c>
      <c r="B19" s="14">
        <v>24.150252144082302</v>
      </c>
      <c r="C19" s="14">
        <v>23.718005145797601</v>
      </c>
      <c r="D19" s="14">
        <v>23.718005145797601</v>
      </c>
      <c r="E19" s="14">
        <v>23.581346655231599</v>
      </c>
      <c r="F19" s="14">
        <v>23.581346655231599</v>
      </c>
      <c r="G19" s="14">
        <v>23.852722126929699</v>
      </c>
      <c r="H19" s="14">
        <v>23.718005145797601</v>
      </c>
      <c r="I19" s="14">
        <v>23.718005145797601</v>
      </c>
      <c r="J19" s="14">
        <v>23.3577993138937</v>
      </c>
      <c r="K19" s="14">
        <v>23.718005145797601</v>
      </c>
      <c r="L19" s="14"/>
      <c r="M19" s="35"/>
      <c r="N19" s="35"/>
      <c r="O19" s="35"/>
      <c r="P19" s="35"/>
      <c r="Q19" s="35"/>
    </row>
    <row r="20" spans="1:17" ht="15" x14ac:dyDescent="0.2">
      <c r="A20" s="13">
        <v>41518</v>
      </c>
      <c r="B20" s="14">
        <f>24.2808 * CHOOSE(CONTROL!$C$9, $D$9, 100%, $F$9) + CHOOSE(CONTROL!$C$27, 0.0021, 0)</f>
        <v>24.282899999999998</v>
      </c>
      <c r="C20" s="14">
        <f>23.8485 * CHOOSE(CONTROL!$C$9, $D$9, 100%, $F$9) + CHOOSE(CONTROL!$C$27, 0.0021, 0)</f>
        <v>23.8506</v>
      </c>
      <c r="D20" s="14">
        <f>23.8485 * CHOOSE(CONTROL!$C$9, $D$9, 100%, $F$9) + CHOOSE(CONTROL!$C$27, 0.0021, 0)</f>
        <v>23.8506</v>
      </c>
      <c r="E20" s="14">
        <f>23.7118 * CHOOSE(CONTROL!$C$9, $D$9, 100%, $F$9) + CHOOSE(CONTROL!$C$27, 0.0021, 0)</f>
        <v>23.713899999999999</v>
      </c>
      <c r="F20" s="14">
        <f>23.7118 * CHOOSE(CONTROL!$C$9, $D$9, 100%, $F$9) + CHOOSE(CONTROL!$C$27, 0.0021, 0)</f>
        <v>23.713899999999999</v>
      </c>
      <c r="G20" s="14">
        <f>23.9832 * CHOOSE(CONTROL!$C$9, $D$9, 100%, $F$9) + CHOOSE(CONTROL!$C$27, 0.0021, 0)</f>
        <v>23.985299999999999</v>
      </c>
      <c r="H20" s="14">
        <f>23.8485 * CHOOSE(CONTROL!$C$9, $D$9, 100%, $F$9) + CHOOSE(CONTROL!$C$27, 0.0021, 0)</f>
        <v>23.8506</v>
      </c>
      <c r="I20" s="14">
        <f>23.8485 * CHOOSE(CONTROL!$C$9, $D$9, 100%, $F$9) + CHOOSE(CONTROL!$C$27, 0.0021, 0)</f>
        <v>23.8506</v>
      </c>
      <c r="J20" s="14">
        <f>23.4883 * CHOOSE(CONTROL!$C$9, $D$9, 100%, $F$9) + CHOOSE(CONTROL!$C$27, 0.0021, 0)</f>
        <v>23.490399999999998</v>
      </c>
      <c r="K20" s="14">
        <f>23.8485 * CHOOSE(CONTROL!$C$9, $D$9, 100%, $F$9) + CHOOSE(CONTROL!$C$27, 0.0021, 0)</f>
        <v>23.8506</v>
      </c>
      <c r="L20" s="14"/>
      <c r="M20" s="35"/>
      <c r="N20" s="35"/>
      <c r="O20" s="35"/>
      <c r="P20" s="35"/>
      <c r="Q20" s="35"/>
    </row>
    <row r="21" spans="1:17" ht="15" x14ac:dyDescent="0.2">
      <c r="A21" s="13">
        <v>41548</v>
      </c>
      <c r="B21" s="14">
        <f>24.3168 * CHOOSE(CONTROL!$C$9, $D$9, 100%, $F$9) + CHOOSE(CONTROL!$C$27, 0.0021, 0)</f>
        <v>24.318899999999999</v>
      </c>
      <c r="C21" s="14">
        <f>23.8845 * CHOOSE(CONTROL!$C$9, $D$9, 100%, $F$9) + CHOOSE(CONTROL!$C$27, 0.0021, 0)</f>
        <v>23.886599999999998</v>
      </c>
      <c r="D21" s="14">
        <f>23.8845 * CHOOSE(CONTROL!$C$9, $D$9, 100%, $F$9) + CHOOSE(CONTROL!$C$27, 0.0021, 0)</f>
        <v>23.886599999999998</v>
      </c>
      <c r="E21" s="14">
        <f>23.7479 * CHOOSE(CONTROL!$C$9, $D$9, 100%, $F$9) + CHOOSE(CONTROL!$C$27, 0.0021, 0)</f>
        <v>23.75</v>
      </c>
      <c r="F21" s="14">
        <f>23.7479 * CHOOSE(CONTROL!$C$9, $D$9, 100%, $F$9) + CHOOSE(CONTROL!$C$27, 0.0021, 0)</f>
        <v>23.75</v>
      </c>
      <c r="G21" s="14">
        <f>24.0192 * CHOOSE(CONTROL!$C$9, $D$9, 100%, $F$9) + CHOOSE(CONTROL!$C$27, 0.0021, 0)</f>
        <v>24.0213</v>
      </c>
      <c r="H21" s="14">
        <f>23.8845 * CHOOSE(CONTROL!$C$9, $D$9, 100%, $F$9) + CHOOSE(CONTROL!$C$27, 0.0021, 0)</f>
        <v>23.886599999999998</v>
      </c>
      <c r="I21" s="14">
        <f>23.8845 * CHOOSE(CONTROL!$C$9, $D$9, 100%, $F$9) + CHOOSE(CONTROL!$C$27, 0.0021, 0)</f>
        <v>23.886599999999998</v>
      </c>
      <c r="J21" s="14">
        <f>23.5243 * CHOOSE(CONTROL!$C$9, $D$9, 100%, $F$9) + CHOOSE(CONTROL!$C$27, 0.0021, 0)</f>
        <v>23.526399999999999</v>
      </c>
      <c r="K21" s="14">
        <f>23.8845 * CHOOSE(CONTROL!$C$9, $D$9, 100%, $F$9) + CHOOSE(CONTROL!$C$27, 0.0021, 0)</f>
        <v>23.886599999999998</v>
      </c>
      <c r="L21" s="14"/>
      <c r="M21" s="35"/>
      <c r="N21" s="35"/>
      <c r="O21" s="35"/>
      <c r="P21" s="35"/>
      <c r="Q21" s="35"/>
    </row>
    <row r="22" spans="1:17" ht="15" x14ac:dyDescent="0.2">
      <c r="A22" s="13">
        <v>41579</v>
      </c>
      <c r="B22" s="14">
        <f>24.3319 * CHOOSE(CONTROL!$C$9, $D$9, 100%, $F$9) + CHOOSE(CONTROL!$C$27, 0.0021, 0)</f>
        <v>24.334</v>
      </c>
      <c r="C22" s="14">
        <f>23.8997 * CHOOSE(CONTROL!$C$9, $D$9, 100%, $F$9) + CHOOSE(CONTROL!$C$27, 0.0021, 0)</f>
        <v>23.901799999999998</v>
      </c>
      <c r="D22" s="14">
        <f>23.8997 * CHOOSE(CONTROL!$C$9, $D$9, 100%, $F$9) + CHOOSE(CONTROL!$C$27, 0.0021, 0)</f>
        <v>23.901799999999998</v>
      </c>
      <c r="E22" s="14">
        <f>23.763 * CHOOSE(CONTROL!$C$9, $D$9, 100%, $F$9) + CHOOSE(CONTROL!$C$27, 0.0021, 0)</f>
        <v>23.7651</v>
      </c>
      <c r="F22" s="14">
        <f>23.763 * CHOOSE(CONTROL!$C$9, $D$9, 100%, $F$9) + CHOOSE(CONTROL!$C$27, 0.0021, 0)</f>
        <v>23.7651</v>
      </c>
      <c r="G22" s="14">
        <f>24.0344 * CHOOSE(CONTROL!$C$9, $D$9, 100%, $F$9) + CHOOSE(CONTROL!$C$27, 0.0021, 0)</f>
        <v>24.0365</v>
      </c>
      <c r="H22" s="14">
        <f>23.8997 * CHOOSE(CONTROL!$C$9, $D$9, 100%, $F$9) + CHOOSE(CONTROL!$C$27, 0.0021, 0)</f>
        <v>23.901799999999998</v>
      </c>
      <c r="I22" s="14">
        <f>23.8997 * CHOOSE(CONTROL!$C$9, $D$9, 100%, $F$9) + CHOOSE(CONTROL!$C$27, 0.0021, 0)</f>
        <v>23.901799999999998</v>
      </c>
      <c r="J22" s="14">
        <f>23.5395 * CHOOSE(CONTROL!$C$9, $D$9, 100%, $F$9) + CHOOSE(CONTROL!$C$27, 0.0021, 0)</f>
        <v>23.541599999999999</v>
      </c>
      <c r="K22" s="14">
        <f>23.8997 * CHOOSE(CONTROL!$C$9, $D$9, 100%, $F$9) + CHOOSE(CONTROL!$C$27, 0.0021, 0)</f>
        <v>23.901799999999998</v>
      </c>
      <c r="L22" s="14"/>
      <c r="M22" s="35"/>
      <c r="N22" s="35"/>
      <c r="O22" s="35"/>
      <c r="P22" s="35"/>
      <c r="Q22" s="35"/>
    </row>
    <row r="23" spans="1:17" ht="15" x14ac:dyDescent="0.2">
      <c r="A23" s="13">
        <v>41609</v>
      </c>
      <c r="B23" s="14">
        <f>24.3197 * CHOOSE(CONTROL!$C$9, $D$9, 100%, $F$9) + CHOOSE(CONTROL!$C$27, 0.0021, 0)</f>
        <v>24.3218</v>
      </c>
      <c r="C23" s="14">
        <f>23.8874 * CHOOSE(CONTROL!$C$9, $D$9, 100%, $F$9) + CHOOSE(CONTROL!$C$27, 0.0021, 0)</f>
        <v>23.889499999999998</v>
      </c>
      <c r="D23" s="14">
        <f>23.8874 * CHOOSE(CONTROL!$C$9, $D$9, 100%, $F$9) + CHOOSE(CONTROL!$C$27, 0.0021, 0)</f>
        <v>23.889499999999998</v>
      </c>
      <c r="E23" s="14">
        <f>23.7508 * CHOOSE(CONTROL!$C$9, $D$9, 100%, $F$9) + CHOOSE(CONTROL!$C$27, 0.0021, 0)</f>
        <v>23.7529</v>
      </c>
      <c r="F23" s="14">
        <f>23.7508 * CHOOSE(CONTROL!$C$9, $D$9, 100%, $F$9) + CHOOSE(CONTROL!$C$27, 0.0021, 0)</f>
        <v>23.7529</v>
      </c>
      <c r="G23" s="14">
        <f>24.0221 * CHOOSE(CONTROL!$C$9, $D$9, 100%, $F$9) + CHOOSE(CONTROL!$C$27, 0.0021, 0)</f>
        <v>24.024199999999997</v>
      </c>
      <c r="H23" s="14">
        <f>23.8874 * CHOOSE(CONTROL!$C$9, $D$9, 100%, $F$9) + CHOOSE(CONTROL!$C$27, 0.0021, 0)</f>
        <v>23.889499999999998</v>
      </c>
      <c r="I23" s="14">
        <f>23.8874 * CHOOSE(CONTROL!$C$9, $D$9, 100%, $F$9) + CHOOSE(CONTROL!$C$27, 0.0021, 0)</f>
        <v>23.889499999999998</v>
      </c>
      <c r="J23" s="14">
        <f>23.5272 * CHOOSE(CONTROL!$C$9, $D$9, 100%, $F$9) + CHOOSE(CONTROL!$C$27, 0.0021, 0)</f>
        <v>23.529299999999999</v>
      </c>
      <c r="K23" s="14">
        <f>23.8874 * CHOOSE(CONTROL!$C$9, $D$9, 100%, $F$9) + CHOOSE(CONTROL!$C$27, 0.0021, 0)</f>
        <v>23.889499999999998</v>
      </c>
      <c r="L23" s="14"/>
      <c r="M23" s="35"/>
      <c r="N23" s="35"/>
      <c r="O23" s="35"/>
      <c r="P23" s="35"/>
      <c r="Q23" s="35"/>
    </row>
    <row r="24" spans="1:17" ht="15" x14ac:dyDescent="0.2">
      <c r="A24" s="13">
        <v>41640</v>
      </c>
      <c r="B24" s="14">
        <f>24.3146 * CHOOSE(CONTROL!$C$9, $D$9, 100%, $F$9) + CHOOSE(CONTROL!$C$27, 0.0021, 0)</f>
        <v>24.316699999999997</v>
      </c>
      <c r="C24" s="14">
        <f>23.8824 * CHOOSE(CONTROL!$C$9, $D$9, 100%, $F$9) + CHOOSE(CONTROL!$C$27, 0.0021, 0)</f>
        <v>23.884499999999999</v>
      </c>
      <c r="D24" s="14">
        <f>23.8824 * CHOOSE(CONTROL!$C$9, $D$9, 100%, $F$9) + CHOOSE(CONTROL!$C$27, 0.0021, 0)</f>
        <v>23.884499999999999</v>
      </c>
      <c r="E24" s="14">
        <f>23.7457 * CHOOSE(CONTROL!$C$9, $D$9, 100%, $F$9) + CHOOSE(CONTROL!$C$27, 0.0021, 0)</f>
        <v>23.747799999999998</v>
      </c>
      <c r="F24" s="14">
        <f>23.7457 * CHOOSE(CONTROL!$C$9, $D$9, 100%, $F$9) + CHOOSE(CONTROL!$C$27, 0.0021, 0)</f>
        <v>23.747799999999998</v>
      </c>
      <c r="G24" s="14">
        <f>24.0171 * CHOOSE(CONTROL!$C$9, $D$9, 100%, $F$9) + CHOOSE(CONTROL!$C$27, 0.0021, 0)</f>
        <v>24.019199999999998</v>
      </c>
      <c r="H24" s="14">
        <f>23.8824 * CHOOSE(CONTROL!$C$9, $D$9, 100%, $F$9) + CHOOSE(CONTROL!$C$27, 0.0021, 0)</f>
        <v>23.884499999999999</v>
      </c>
      <c r="I24" s="14">
        <f>23.8824 * CHOOSE(CONTROL!$C$9, $D$9, 100%, $F$9) + CHOOSE(CONTROL!$C$27, 0.0021, 0)</f>
        <v>23.884499999999999</v>
      </c>
      <c r="J24" s="14">
        <f>23.5222 * CHOOSE(CONTROL!$C$9, $D$9, 100%, $F$9) + CHOOSE(CONTROL!$C$27, 0.0021, 0)</f>
        <v>23.5243</v>
      </c>
      <c r="K24" s="14">
        <f>23.8824 * CHOOSE(CONTROL!$C$9, $D$9, 100%, $F$9) + CHOOSE(CONTROL!$C$27, 0.0021, 0)</f>
        <v>23.884499999999999</v>
      </c>
      <c r="L24" s="14"/>
      <c r="M24" s="35"/>
      <c r="N24" s="35"/>
      <c r="O24" s="35"/>
      <c r="P24" s="35"/>
      <c r="Q24" s="35"/>
    </row>
    <row r="25" spans="1:17" ht="15" x14ac:dyDescent="0.2">
      <c r="A25" s="13">
        <v>41671</v>
      </c>
      <c r="B25" s="14">
        <f>24.2599 * CHOOSE(CONTROL!$C$9, $D$9, 100%, $F$9) + CHOOSE(CONTROL!$C$27, 0.0021, 0)</f>
        <v>24.261999999999997</v>
      </c>
      <c r="C25" s="14">
        <f>23.8276 * CHOOSE(CONTROL!$C$9, $D$9, 100%, $F$9) + CHOOSE(CONTROL!$C$27, 0.0021, 0)</f>
        <v>23.829699999999999</v>
      </c>
      <c r="D25" s="14">
        <f>23.8276 * CHOOSE(CONTROL!$C$9, $D$9, 100%, $F$9) + CHOOSE(CONTROL!$C$27, 0.0021, 0)</f>
        <v>23.829699999999999</v>
      </c>
      <c r="E25" s="14">
        <f>23.691 * CHOOSE(CONTROL!$C$9, $D$9, 100%, $F$9) + CHOOSE(CONTROL!$C$27, 0.0021, 0)</f>
        <v>23.693099999999998</v>
      </c>
      <c r="F25" s="14">
        <f>23.691 * CHOOSE(CONTROL!$C$9, $D$9, 100%, $F$9) + CHOOSE(CONTROL!$C$27, 0.0021, 0)</f>
        <v>23.693099999999998</v>
      </c>
      <c r="G25" s="14">
        <f>23.9623 * CHOOSE(CONTROL!$C$9, $D$9, 100%, $F$9) + CHOOSE(CONTROL!$C$27, 0.0021, 0)</f>
        <v>23.964399999999998</v>
      </c>
      <c r="H25" s="14">
        <f>23.8276 * CHOOSE(CONTROL!$C$9, $D$9, 100%, $F$9) + CHOOSE(CONTROL!$C$27, 0.0021, 0)</f>
        <v>23.829699999999999</v>
      </c>
      <c r="I25" s="14">
        <f>23.8276 * CHOOSE(CONTROL!$C$9, $D$9, 100%, $F$9) + CHOOSE(CONTROL!$C$27, 0.0021, 0)</f>
        <v>23.829699999999999</v>
      </c>
      <c r="J25" s="14">
        <f>23.4674 * CHOOSE(CONTROL!$C$9, $D$9, 100%, $F$9) + CHOOSE(CONTROL!$C$27, 0.0021, 0)</f>
        <v>23.4695</v>
      </c>
      <c r="K25" s="14">
        <f>23.8276 * CHOOSE(CONTROL!$C$9, $D$9, 100%, $F$9) + CHOOSE(CONTROL!$C$27, 0.0021, 0)</f>
        <v>23.829699999999999</v>
      </c>
      <c r="L25" s="14"/>
      <c r="M25" s="35"/>
      <c r="N25" s="35"/>
      <c r="O25" s="35"/>
      <c r="P25" s="35"/>
      <c r="Q25" s="35"/>
    </row>
    <row r="26" spans="1:17" ht="15" x14ac:dyDescent="0.2">
      <c r="A26" s="13">
        <v>41699</v>
      </c>
      <c r="B26" s="14">
        <f>24.136 * CHOOSE(CONTROL!$C$9, $D$9, 100%, $F$9) + CHOOSE(CONTROL!$C$27, 0.0021, 0)</f>
        <v>24.138099999999998</v>
      </c>
      <c r="C26" s="14">
        <f>23.7037 * CHOOSE(CONTROL!$C$9, $D$9, 100%, $F$9) + CHOOSE(CONTROL!$C$27, 0.0021, 0)</f>
        <v>23.7058</v>
      </c>
      <c r="D26" s="14">
        <f>23.7037 * CHOOSE(CONTROL!$C$9, $D$9, 100%, $F$9) + CHOOSE(CONTROL!$C$27, 0.0021, 0)</f>
        <v>23.7058</v>
      </c>
      <c r="E26" s="14">
        <f>23.567 * CHOOSE(CONTROL!$C$9, $D$9, 100%, $F$9) + CHOOSE(CONTROL!$C$27, 0.0021, 0)</f>
        <v>23.569099999999999</v>
      </c>
      <c r="F26" s="14">
        <f>23.567 * CHOOSE(CONTROL!$C$9, $D$9, 100%, $F$9) + CHOOSE(CONTROL!$C$27, 0.0021, 0)</f>
        <v>23.569099999999999</v>
      </c>
      <c r="G26" s="14">
        <f>23.8384 * CHOOSE(CONTROL!$C$9, $D$9, 100%, $F$9) + CHOOSE(CONTROL!$C$27, 0.0021, 0)</f>
        <v>23.840499999999999</v>
      </c>
      <c r="H26" s="14">
        <f>23.7037 * CHOOSE(CONTROL!$C$9, $D$9, 100%, $F$9) + CHOOSE(CONTROL!$C$27, 0.0021, 0)</f>
        <v>23.7058</v>
      </c>
      <c r="I26" s="14">
        <f>23.7037 * CHOOSE(CONTROL!$C$9, $D$9, 100%, $F$9) + CHOOSE(CONTROL!$C$27, 0.0021, 0)</f>
        <v>23.7058</v>
      </c>
      <c r="J26" s="14">
        <f>23.3435 * CHOOSE(CONTROL!$C$9, $D$9, 100%, $F$9) + CHOOSE(CONTROL!$C$27, 0.0021, 0)</f>
        <v>23.345599999999997</v>
      </c>
      <c r="K26" s="14">
        <f>23.7037 * CHOOSE(CONTROL!$C$9, $D$9, 100%, $F$9) + CHOOSE(CONTROL!$C$27, 0.0021, 0)</f>
        <v>23.7058</v>
      </c>
      <c r="L26" s="14"/>
      <c r="M26" s="35"/>
      <c r="N26" s="35"/>
      <c r="O26" s="35"/>
      <c r="P26" s="35"/>
      <c r="Q26" s="35"/>
    </row>
    <row r="27" spans="1:17" ht="15" x14ac:dyDescent="0.2">
      <c r="A27" s="13">
        <v>41730</v>
      </c>
      <c r="B27" s="14">
        <f>23.9969 * CHOOSE(CONTROL!$C$9, $D$9, 100%, $F$9) + CHOOSE(CONTROL!$C$27, 0.0021, 0)</f>
        <v>23.998999999999999</v>
      </c>
      <c r="C27" s="14">
        <f>23.5647 * CHOOSE(CONTROL!$C$9, $D$9, 100%, $F$9) + CHOOSE(CONTROL!$C$27, 0.0021, 0)</f>
        <v>23.566799999999997</v>
      </c>
      <c r="D27" s="14">
        <f>23.5647 * CHOOSE(CONTROL!$C$9, $D$9, 100%, $F$9) + CHOOSE(CONTROL!$C$27, 0.0021, 0)</f>
        <v>23.566799999999997</v>
      </c>
      <c r="E27" s="14">
        <f>23.428 * CHOOSE(CONTROL!$C$9, $D$9, 100%, $F$9) + CHOOSE(CONTROL!$C$27, 0.0021, 0)</f>
        <v>23.430099999999999</v>
      </c>
      <c r="F27" s="14">
        <f>23.428 * CHOOSE(CONTROL!$C$9, $D$9, 100%, $F$9) + CHOOSE(CONTROL!$C$27, 0.0021, 0)</f>
        <v>23.430099999999999</v>
      </c>
      <c r="G27" s="14">
        <f>23.6994 * CHOOSE(CONTROL!$C$9, $D$9, 100%, $F$9) + CHOOSE(CONTROL!$C$27, 0.0021, 0)</f>
        <v>23.701499999999999</v>
      </c>
      <c r="H27" s="14">
        <f>23.5647 * CHOOSE(CONTROL!$C$9, $D$9, 100%, $F$9) + CHOOSE(CONTROL!$C$27, 0.0021, 0)</f>
        <v>23.566799999999997</v>
      </c>
      <c r="I27" s="14">
        <f>23.5647 * CHOOSE(CONTROL!$C$9, $D$9, 100%, $F$9) + CHOOSE(CONTROL!$C$27, 0.0021, 0)</f>
        <v>23.566799999999997</v>
      </c>
      <c r="J27" s="14">
        <f>23.2045 * CHOOSE(CONTROL!$C$9, $D$9, 100%, $F$9) + CHOOSE(CONTROL!$C$27, 0.0021, 0)</f>
        <v>23.206599999999998</v>
      </c>
      <c r="K27" s="14">
        <f>23.5647 * CHOOSE(CONTROL!$C$9, $D$9, 100%, $F$9) + CHOOSE(CONTROL!$C$27, 0.0021, 0)</f>
        <v>23.566799999999997</v>
      </c>
      <c r="L27" s="14"/>
      <c r="M27" s="35"/>
      <c r="N27" s="35"/>
      <c r="O27" s="35"/>
      <c r="P27" s="35"/>
      <c r="Q27" s="35"/>
    </row>
    <row r="28" spans="1:17" ht="15" x14ac:dyDescent="0.2">
      <c r="A28" s="13">
        <v>41760</v>
      </c>
      <c r="B28" s="14">
        <f>23.8795 * CHOOSE(CONTROL!$C$9, $D$9, 100%, $F$9) + CHOOSE(CONTROL!$C$27, 0.0021, 0)</f>
        <v>23.881599999999999</v>
      </c>
      <c r="C28" s="14">
        <f>23.4472 * CHOOSE(CONTROL!$C$9, $D$9, 100%, $F$9) + CHOOSE(CONTROL!$C$27, 0.0021, 0)</f>
        <v>23.449299999999997</v>
      </c>
      <c r="D28" s="14">
        <f>23.4472 * CHOOSE(CONTROL!$C$9, $D$9, 100%, $F$9) + CHOOSE(CONTROL!$C$27, 0.0021, 0)</f>
        <v>23.449299999999997</v>
      </c>
      <c r="E28" s="14">
        <f>23.3106 * CHOOSE(CONTROL!$C$9, $D$9, 100%, $F$9) + CHOOSE(CONTROL!$C$27, 0.0021, 0)</f>
        <v>23.3127</v>
      </c>
      <c r="F28" s="14">
        <f>23.3106 * CHOOSE(CONTROL!$C$9, $D$9, 100%, $F$9) + CHOOSE(CONTROL!$C$27, 0.0021, 0)</f>
        <v>23.3127</v>
      </c>
      <c r="G28" s="14">
        <f>23.582 * CHOOSE(CONTROL!$C$9, $D$9, 100%, $F$9) + CHOOSE(CONTROL!$C$27, 0.0021, 0)</f>
        <v>23.584099999999999</v>
      </c>
      <c r="H28" s="14">
        <f>23.4472 * CHOOSE(CONTROL!$C$9, $D$9, 100%, $F$9) + CHOOSE(CONTROL!$C$27, 0.0021, 0)</f>
        <v>23.449299999999997</v>
      </c>
      <c r="I28" s="14">
        <f>23.4472 * CHOOSE(CONTROL!$C$9, $D$9, 100%, $F$9) + CHOOSE(CONTROL!$C$27, 0.0021, 0)</f>
        <v>23.449299999999997</v>
      </c>
      <c r="J28" s="14">
        <f>23.087 * CHOOSE(CONTROL!$C$9, $D$9, 100%, $F$9) + CHOOSE(CONTROL!$C$27, 0.0021, 0)</f>
        <v>23.089099999999998</v>
      </c>
      <c r="K28" s="14">
        <f>23.4472 * CHOOSE(CONTROL!$C$9, $D$9, 100%, $F$9) + CHOOSE(CONTROL!$C$27, 0.0021, 0)</f>
        <v>23.449299999999997</v>
      </c>
      <c r="L28" s="14"/>
      <c r="M28" s="35"/>
      <c r="N28" s="35"/>
      <c r="O28" s="35"/>
      <c r="P28" s="35"/>
      <c r="Q28" s="35"/>
    </row>
    <row r="29" spans="1:17" ht="15" x14ac:dyDescent="0.2">
      <c r="A29" s="13">
        <v>41791</v>
      </c>
      <c r="B29" s="14">
        <f>23.7635 * CHOOSE(CONTROL!$C$9, $D$9, 100%, $F$9) + CHOOSE(CONTROL!$C$27, 0.0021, 0)</f>
        <v>23.765599999999999</v>
      </c>
      <c r="C29" s="14">
        <f>23.3313 * CHOOSE(CONTROL!$C$9, $D$9, 100%, $F$9) + CHOOSE(CONTROL!$C$27, 0.0021, 0)</f>
        <v>23.333399999999997</v>
      </c>
      <c r="D29" s="14">
        <f>23.3313 * CHOOSE(CONTROL!$C$9, $D$9, 100%, $F$9) + CHOOSE(CONTROL!$C$27, 0.0021, 0)</f>
        <v>23.333399999999997</v>
      </c>
      <c r="E29" s="14">
        <f>23.1946 * CHOOSE(CONTROL!$C$9, $D$9, 100%, $F$9) + CHOOSE(CONTROL!$C$27, 0.0021, 0)</f>
        <v>23.1967</v>
      </c>
      <c r="F29" s="14">
        <f>23.1946 * CHOOSE(CONTROL!$C$9, $D$9, 100%, $F$9) + CHOOSE(CONTROL!$C$27, 0.0021, 0)</f>
        <v>23.1967</v>
      </c>
      <c r="G29" s="14">
        <f>23.466 * CHOOSE(CONTROL!$C$9, $D$9, 100%, $F$9) + CHOOSE(CONTROL!$C$27, 0.0021, 0)</f>
        <v>23.4681</v>
      </c>
      <c r="H29" s="14">
        <f>23.3313 * CHOOSE(CONTROL!$C$9, $D$9, 100%, $F$9) + CHOOSE(CONTROL!$C$27, 0.0021, 0)</f>
        <v>23.333399999999997</v>
      </c>
      <c r="I29" s="14">
        <f>23.3313 * CHOOSE(CONTROL!$C$9, $D$9, 100%, $F$9) + CHOOSE(CONTROL!$C$27, 0.0021, 0)</f>
        <v>23.333399999999997</v>
      </c>
      <c r="J29" s="14">
        <f>22.971 * CHOOSE(CONTROL!$C$9, $D$9, 100%, $F$9) + CHOOSE(CONTROL!$C$27, 0.0021, 0)</f>
        <v>22.973099999999999</v>
      </c>
      <c r="K29" s="14">
        <f>23.3313 * CHOOSE(CONTROL!$C$9, $D$9, 100%, $F$9) + CHOOSE(CONTROL!$C$27, 0.0021, 0)</f>
        <v>23.333399999999997</v>
      </c>
      <c r="L29" s="14"/>
      <c r="M29" s="35"/>
      <c r="N29" s="35"/>
      <c r="O29" s="35"/>
      <c r="P29" s="35"/>
      <c r="Q29" s="35"/>
    </row>
    <row r="30" spans="1:17" ht="15" x14ac:dyDescent="0.2">
      <c r="A30" s="13">
        <v>41821</v>
      </c>
      <c r="B30" s="14">
        <f>23.6929 * CHOOSE(CONTROL!$C$9, $D$9, 100%, $F$9) + CHOOSE(CONTROL!$C$27, 0.0021, 0)</f>
        <v>23.695</v>
      </c>
      <c r="C30" s="14">
        <f>23.2607 * CHOOSE(CONTROL!$C$9, $D$9, 100%, $F$9) + CHOOSE(CONTROL!$C$27, 0.0021, 0)</f>
        <v>23.262799999999999</v>
      </c>
      <c r="D30" s="14">
        <f>23.2607 * CHOOSE(CONTROL!$C$9, $D$9, 100%, $F$9) + CHOOSE(CONTROL!$C$27, 0.0021, 0)</f>
        <v>23.262799999999999</v>
      </c>
      <c r="E30" s="14">
        <f>23.124 * CHOOSE(CONTROL!$C$9, $D$9, 100%, $F$9) + CHOOSE(CONTROL!$C$27, 0.0021, 0)</f>
        <v>23.126099999999997</v>
      </c>
      <c r="F30" s="14">
        <f>23.124 * CHOOSE(CONTROL!$C$9, $D$9, 100%, $F$9) + CHOOSE(CONTROL!$C$27, 0.0021, 0)</f>
        <v>23.126099999999997</v>
      </c>
      <c r="G30" s="14">
        <f>23.3954 * CHOOSE(CONTROL!$C$9, $D$9, 100%, $F$9) + CHOOSE(CONTROL!$C$27, 0.0021, 0)</f>
        <v>23.397499999999997</v>
      </c>
      <c r="H30" s="14">
        <f>23.2607 * CHOOSE(CONTROL!$C$9, $D$9, 100%, $F$9) + CHOOSE(CONTROL!$C$27, 0.0021, 0)</f>
        <v>23.262799999999999</v>
      </c>
      <c r="I30" s="14">
        <f>23.2607 * CHOOSE(CONTROL!$C$9, $D$9, 100%, $F$9) + CHOOSE(CONTROL!$C$27, 0.0021, 0)</f>
        <v>23.262799999999999</v>
      </c>
      <c r="J30" s="14">
        <f>22.9004 * CHOOSE(CONTROL!$C$9, $D$9, 100%, $F$9) + CHOOSE(CONTROL!$C$27, 0.0021, 0)</f>
        <v>22.9025</v>
      </c>
      <c r="K30" s="14">
        <f>23.2607 * CHOOSE(CONTROL!$C$9, $D$9, 100%, $F$9) + CHOOSE(CONTROL!$C$27, 0.0021, 0)</f>
        <v>23.262799999999999</v>
      </c>
      <c r="L30" s="14"/>
      <c r="M30" s="35"/>
      <c r="N30" s="35"/>
      <c r="O30" s="35"/>
      <c r="P30" s="35"/>
      <c r="Q30" s="35"/>
    </row>
    <row r="31" spans="1:17" ht="15" x14ac:dyDescent="0.2">
      <c r="A31" s="13">
        <v>41852</v>
      </c>
      <c r="B31" s="14">
        <f>23.6353 * CHOOSE(CONTROL!$C$9, $D$9, 100%, $F$9) + CHOOSE(CONTROL!$C$27, 0.0021, 0)</f>
        <v>23.6374</v>
      </c>
      <c r="C31" s="14">
        <f>23.203 * CHOOSE(CONTROL!$C$9, $D$9, 100%, $F$9) + CHOOSE(CONTROL!$C$27, 0.0021, 0)</f>
        <v>23.205099999999998</v>
      </c>
      <c r="D31" s="14">
        <f>23.203 * CHOOSE(CONTROL!$C$9, $D$9, 100%, $F$9) + CHOOSE(CONTROL!$C$27, 0.0021, 0)</f>
        <v>23.205099999999998</v>
      </c>
      <c r="E31" s="14">
        <f>23.0664 * CHOOSE(CONTROL!$C$9, $D$9, 100%, $F$9) + CHOOSE(CONTROL!$C$27, 0.0021, 0)</f>
        <v>23.0685</v>
      </c>
      <c r="F31" s="14">
        <f>23.0664 * CHOOSE(CONTROL!$C$9, $D$9, 100%, $F$9) + CHOOSE(CONTROL!$C$27, 0.0021, 0)</f>
        <v>23.0685</v>
      </c>
      <c r="G31" s="14">
        <f>23.3377 * CHOOSE(CONTROL!$C$9, $D$9, 100%, $F$9) + CHOOSE(CONTROL!$C$27, 0.0021, 0)</f>
        <v>23.3398</v>
      </c>
      <c r="H31" s="14">
        <f>23.203 * CHOOSE(CONTROL!$C$9, $D$9, 100%, $F$9) + CHOOSE(CONTROL!$C$27, 0.0021, 0)</f>
        <v>23.205099999999998</v>
      </c>
      <c r="I31" s="14">
        <f>23.203 * CHOOSE(CONTROL!$C$9, $D$9, 100%, $F$9) + CHOOSE(CONTROL!$C$27, 0.0021, 0)</f>
        <v>23.205099999999998</v>
      </c>
      <c r="J31" s="14">
        <f>22.8428 * CHOOSE(CONTROL!$C$9, $D$9, 100%, $F$9) + CHOOSE(CONTROL!$C$27, 0.0021, 0)</f>
        <v>22.844899999999999</v>
      </c>
      <c r="K31" s="14">
        <f>23.203 * CHOOSE(CONTROL!$C$9, $D$9, 100%, $F$9) + CHOOSE(CONTROL!$C$27, 0.0021, 0)</f>
        <v>23.205099999999998</v>
      </c>
      <c r="L31" s="14"/>
      <c r="M31" s="35"/>
      <c r="N31" s="35"/>
      <c r="O31" s="35"/>
      <c r="P31" s="35"/>
      <c r="Q31" s="35"/>
    </row>
    <row r="32" spans="1:17" ht="15" x14ac:dyDescent="0.2">
      <c r="A32" s="13">
        <v>41883</v>
      </c>
      <c r="B32" s="14">
        <f>23.6043 * CHOOSE(CONTROL!$C$9, $D$9, 100%, $F$9) + CHOOSE(CONTROL!$C$27, 0.0021, 0)</f>
        <v>23.606399999999997</v>
      </c>
      <c r="C32" s="14">
        <f>23.172 * CHOOSE(CONTROL!$C$9, $D$9, 100%, $F$9) + CHOOSE(CONTROL!$C$27, 0.0021, 0)</f>
        <v>23.174099999999999</v>
      </c>
      <c r="D32" s="14">
        <f>23.172 * CHOOSE(CONTROL!$C$9, $D$9, 100%, $F$9) + CHOOSE(CONTROL!$C$27, 0.0021, 0)</f>
        <v>23.174099999999999</v>
      </c>
      <c r="E32" s="14">
        <f>23.0354 * CHOOSE(CONTROL!$C$9, $D$9, 100%, $F$9) + CHOOSE(CONTROL!$C$27, 0.0021, 0)</f>
        <v>23.037499999999998</v>
      </c>
      <c r="F32" s="14">
        <f>23.0354 * CHOOSE(CONTROL!$C$9, $D$9, 100%, $F$9) + CHOOSE(CONTROL!$C$27, 0.0021, 0)</f>
        <v>23.037499999999998</v>
      </c>
      <c r="G32" s="14">
        <f>23.3068 * CHOOSE(CONTROL!$C$9, $D$9, 100%, $F$9) + CHOOSE(CONTROL!$C$27, 0.0021, 0)</f>
        <v>23.308899999999998</v>
      </c>
      <c r="H32" s="14">
        <f>23.172 * CHOOSE(CONTROL!$C$9, $D$9, 100%, $F$9) + CHOOSE(CONTROL!$C$27, 0.0021, 0)</f>
        <v>23.174099999999999</v>
      </c>
      <c r="I32" s="14">
        <f>23.172 * CHOOSE(CONTROL!$C$9, $D$9, 100%, $F$9) + CHOOSE(CONTROL!$C$27, 0.0021, 0)</f>
        <v>23.174099999999999</v>
      </c>
      <c r="J32" s="14">
        <f>22.8118 * CHOOSE(CONTROL!$C$9, $D$9, 100%, $F$9) + CHOOSE(CONTROL!$C$27, 0.0021, 0)</f>
        <v>22.8139</v>
      </c>
      <c r="K32" s="14">
        <f>23.172 * CHOOSE(CONTROL!$C$9, $D$9, 100%, $F$9) + CHOOSE(CONTROL!$C$27, 0.0021, 0)</f>
        <v>23.174099999999999</v>
      </c>
      <c r="L32" s="14"/>
      <c r="M32" s="35"/>
      <c r="N32" s="35"/>
      <c r="O32" s="35"/>
      <c r="P32" s="35"/>
      <c r="Q32" s="35"/>
    </row>
    <row r="33" spans="1:17" ht="15" x14ac:dyDescent="0.2">
      <c r="A33" s="13">
        <v>41913</v>
      </c>
      <c r="B33" s="14">
        <f>23.5683 * CHOOSE(CONTROL!$C$9, $D$9, 100%, $F$9) + CHOOSE(CONTROL!$C$27, 0.0021, 0)</f>
        <v>23.570399999999999</v>
      </c>
      <c r="C33" s="14">
        <f>23.136 * CHOOSE(CONTROL!$C$9, $D$9, 100%, $F$9) + CHOOSE(CONTROL!$C$27, 0.0021, 0)</f>
        <v>23.138099999999998</v>
      </c>
      <c r="D33" s="14">
        <f>23.136 * CHOOSE(CONTROL!$C$9, $D$9, 100%, $F$9) + CHOOSE(CONTROL!$C$27, 0.0021, 0)</f>
        <v>23.138099999999998</v>
      </c>
      <c r="E33" s="14">
        <f>22.9994 * CHOOSE(CONTROL!$C$9, $D$9, 100%, $F$9) + CHOOSE(CONTROL!$C$27, 0.0021, 0)</f>
        <v>23.0015</v>
      </c>
      <c r="F33" s="14">
        <f>22.9994 * CHOOSE(CONTROL!$C$9, $D$9, 100%, $F$9) + CHOOSE(CONTROL!$C$27, 0.0021, 0)</f>
        <v>23.0015</v>
      </c>
      <c r="G33" s="14">
        <f>23.2707 * CHOOSE(CONTROL!$C$9, $D$9, 100%, $F$9) + CHOOSE(CONTROL!$C$27, 0.0021, 0)</f>
        <v>23.2728</v>
      </c>
      <c r="H33" s="14">
        <f>23.136 * CHOOSE(CONTROL!$C$9, $D$9, 100%, $F$9) + CHOOSE(CONTROL!$C$27, 0.0021, 0)</f>
        <v>23.138099999999998</v>
      </c>
      <c r="I33" s="14">
        <f>23.136 * CHOOSE(CONTROL!$C$9, $D$9, 100%, $F$9) + CHOOSE(CONTROL!$C$27, 0.0021, 0)</f>
        <v>23.138099999999998</v>
      </c>
      <c r="J33" s="14">
        <f>22.7758 * CHOOSE(CONTROL!$C$9, $D$9, 100%, $F$9) + CHOOSE(CONTROL!$C$27, 0.0021, 0)</f>
        <v>22.777899999999999</v>
      </c>
      <c r="K33" s="14">
        <f>23.136 * CHOOSE(CONTROL!$C$9, $D$9, 100%, $F$9) + CHOOSE(CONTROL!$C$27, 0.0021, 0)</f>
        <v>23.138099999999998</v>
      </c>
      <c r="L33" s="14"/>
      <c r="M33" s="35"/>
      <c r="N33" s="35"/>
      <c r="O33" s="35"/>
      <c r="P33" s="35"/>
      <c r="Q33" s="35"/>
    </row>
    <row r="34" spans="1:17" ht="15" x14ac:dyDescent="0.2">
      <c r="A34" s="13">
        <v>41944</v>
      </c>
      <c r="B34" s="14">
        <f>23.5128 * CHOOSE(CONTROL!$C$9, $D$9, 100%, $F$9) + CHOOSE(CONTROL!$C$27, 0.0021, 0)</f>
        <v>23.514899999999997</v>
      </c>
      <c r="C34" s="14">
        <f>23.0805 * CHOOSE(CONTROL!$C$9, $D$9, 100%, $F$9) + CHOOSE(CONTROL!$C$27, 0.0021, 0)</f>
        <v>23.082599999999999</v>
      </c>
      <c r="D34" s="14">
        <f>23.0805 * CHOOSE(CONTROL!$C$9, $D$9, 100%, $F$9) + CHOOSE(CONTROL!$C$27, 0.0021, 0)</f>
        <v>23.082599999999999</v>
      </c>
      <c r="E34" s="14">
        <f>22.9439 * CHOOSE(CONTROL!$C$9, $D$9, 100%, $F$9) + CHOOSE(CONTROL!$C$27, 0.0021, 0)</f>
        <v>22.945999999999998</v>
      </c>
      <c r="F34" s="14">
        <f>22.9439 * CHOOSE(CONTROL!$C$9, $D$9, 100%, $F$9) + CHOOSE(CONTROL!$C$27, 0.0021, 0)</f>
        <v>22.945999999999998</v>
      </c>
      <c r="G34" s="14">
        <f>23.2153 * CHOOSE(CONTROL!$C$9, $D$9, 100%, $F$9) + CHOOSE(CONTROL!$C$27, 0.0021, 0)</f>
        <v>23.217399999999998</v>
      </c>
      <c r="H34" s="14">
        <f>23.0805 * CHOOSE(CONTROL!$C$9, $D$9, 100%, $F$9) + CHOOSE(CONTROL!$C$27, 0.0021, 0)</f>
        <v>23.082599999999999</v>
      </c>
      <c r="I34" s="14">
        <f>23.0805 * CHOOSE(CONTROL!$C$9, $D$9, 100%, $F$9) + CHOOSE(CONTROL!$C$27, 0.0021, 0)</f>
        <v>23.082599999999999</v>
      </c>
      <c r="J34" s="14">
        <f>22.7203 * CHOOSE(CONTROL!$C$9, $D$9, 100%, $F$9) + CHOOSE(CONTROL!$C$27, 0.0021, 0)</f>
        <v>22.7224</v>
      </c>
      <c r="K34" s="14">
        <f>23.0805 * CHOOSE(CONTROL!$C$9, $D$9, 100%, $F$9) + CHOOSE(CONTROL!$C$27, 0.0021, 0)</f>
        <v>23.082599999999999</v>
      </c>
      <c r="L34" s="14"/>
      <c r="M34" s="35"/>
      <c r="N34" s="35"/>
      <c r="O34" s="35"/>
      <c r="P34" s="35"/>
      <c r="Q34" s="35"/>
    </row>
    <row r="35" spans="1:17" ht="15" x14ac:dyDescent="0.2">
      <c r="A35" s="13">
        <v>41974</v>
      </c>
      <c r="B35" s="14">
        <f>23.4573 * CHOOSE(CONTROL!$C$9, $D$9, 100%, $F$9) + CHOOSE(CONTROL!$C$27, 0.0021, 0)</f>
        <v>23.459399999999999</v>
      </c>
      <c r="C35" s="14">
        <f>23.0251 * CHOOSE(CONTROL!$C$9, $D$9, 100%, $F$9) + CHOOSE(CONTROL!$C$27, 0.0021, 0)</f>
        <v>23.027199999999997</v>
      </c>
      <c r="D35" s="14">
        <f>23.0251 * CHOOSE(CONTROL!$C$9, $D$9, 100%, $F$9) + CHOOSE(CONTROL!$C$27, 0.0021, 0)</f>
        <v>23.027199999999997</v>
      </c>
      <c r="E35" s="14">
        <f>22.8884 * CHOOSE(CONTROL!$C$9, $D$9, 100%, $F$9) + CHOOSE(CONTROL!$C$27, 0.0021, 0)</f>
        <v>22.890499999999999</v>
      </c>
      <c r="F35" s="14">
        <f>22.8884 * CHOOSE(CONTROL!$C$9, $D$9, 100%, $F$9) + CHOOSE(CONTROL!$C$27, 0.0021, 0)</f>
        <v>22.890499999999999</v>
      </c>
      <c r="G35" s="14">
        <f>23.1598 * CHOOSE(CONTROL!$C$9, $D$9, 100%, $F$9) + CHOOSE(CONTROL!$C$27, 0.0021, 0)</f>
        <v>23.161899999999999</v>
      </c>
      <c r="H35" s="14">
        <f>23.0251 * CHOOSE(CONTROL!$C$9, $D$9, 100%, $F$9) + CHOOSE(CONTROL!$C$27, 0.0021, 0)</f>
        <v>23.027199999999997</v>
      </c>
      <c r="I35" s="14">
        <f>23.0251 * CHOOSE(CONTROL!$C$9, $D$9, 100%, $F$9) + CHOOSE(CONTROL!$C$27, 0.0021, 0)</f>
        <v>23.027199999999997</v>
      </c>
      <c r="J35" s="14">
        <f>22.6649 * CHOOSE(CONTROL!$C$9, $D$9, 100%, $F$9) + CHOOSE(CONTROL!$C$27, 0.0021, 0)</f>
        <v>22.666999999999998</v>
      </c>
      <c r="K35" s="14">
        <f>23.0251 * CHOOSE(CONTROL!$C$9, $D$9, 100%, $F$9) + CHOOSE(CONTROL!$C$27, 0.0021, 0)</f>
        <v>23.027199999999997</v>
      </c>
      <c r="L35" s="14"/>
      <c r="M35" s="35"/>
      <c r="N35" s="35"/>
      <c r="O35" s="35"/>
      <c r="P35" s="35"/>
      <c r="Q35" s="35"/>
    </row>
    <row r="36" spans="1:17" ht="15" x14ac:dyDescent="0.2">
      <c r="A36" s="13">
        <v>42005</v>
      </c>
      <c r="B36" s="14">
        <f>23.4321 * CHOOSE(CONTROL!$C$9, $D$9, 100%, $F$9) + CHOOSE(CONTROL!$C$27, 0.0021, 0)</f>
        <v>23.434199999999997</v>
      </c>
      <c r="C36" s="14">
        <f>22.9999 * CHOOSE(CONTROL!$C$9, $D$9, 100%, $F$9) + CHOOSE(CONTROL!$C$27, 0.0021, 0)</f>
        <v>23.001999999999999</v>
      </c>
      <c r="D36" s="14">
        <f>22.9999 * CHOOSE(CONTROL!$C$9, $D$9, 100%, $F$9) + CHOOSE(CONTROL!$C$27, 0.0021, 0)</f>
        <v>23.001999999999999</v>
      </c>
      <c r="E36" s="14">
        <f>22.8632 * CHOOSE(CONTROL!$C$9, $D$9, 100%, $F$9) + CHOOSE(CONTROL!$C$27, 0.0021, 0)</f>
        <v>22.865299999999998</v>
      </c>
      <c r="F36" s="14">
        <f>22.8632 * CHOOSE(CONTROL!$C$9, $D$9, 100%, $F$9) + CHOOSE(CONTROL!$C$27, 0.0021, 0)</f>
        <v>22.865299999999998</v>
      </c>
      <c r="G36" s="14">
        <f>23.1346 * CHOOSE(CONTROL!$C$9, $D$9, 100%, $F$9) + CHOOSE(CONTROL!$C$27, 0.0021, 0)</f>
        <v>23.136699999999998</v>
      </c>
      <c r="H36" s="14">
        <f>22.9999 * CHOOSE(CONTROL!$C$9, $D$9, 100%, $F$9) + CHOOSE(CONTROL!$C$27, 0.0021, 0)</f>
        <v>23.001999999999999</v>
      </c>
      <c r="I36" s="14">
        <f>22.9999 * CHOOSE(CONTROL!$C$9, $D$9, 100%, $F$9) + CHOOSE(CONTROL!$C$27, 0.0021, 0)</f>
        <v>23.001999999999999</v>
      </c>
      <c r="J36" s="14">
        <f>22.9999 * CHOOSE(CONTROL!$C$9, $D$9, 100%, $F$9) + CHOOSE(CONTROL!$C$27, 0.0021, 0)</f>
        <v>23.001999999999999</v>
      </c>
      <c r="K36" s="14">
        <f>22.9999 * CHOOSE(CONTROL!$C$9, $D$9, 100%, $F$9) + CHOOSE(CONTROL!$C$27, 0.0021, 0)</f>
        <v>23.001999999999999</v>
      </c>
      <c r="L36" s="14"/>
      <c r="M36" s="35"/>
      <c r="N36" s="35"/>
      <c r="O36" s="35"/>
      <c r="P36" s="35"/>
      <c r="Q36" s="35"/>
    </row>
    <row r="37" spans="1:17" ht="15" x14ac:dyDescent="0.2">
      <c r="A37" s="13">
        <v>42036</v>
      </c>
      <c r="B37" s="14">
        <f>23.3817 * CHOOSE(CONTROL!$C$9, $D$9, 100%, $F$9) + CHOOSE(CONTROL!$C$27, 0.0021, 0)</f>
        <v>23.383799999999997</v>
      </c>
      <c r="C37" s="14">
        <f>22.9494 * CHOOSE(CONTROL!$C$9, $D$9, 100%, $F$9) + CHOOSE(CONTROL!$C$27, 0.0021, 0)</f>
        <v>22.951499999999999</v>
      </c>
      <c r="D37" s="14">
        <f>22.9494 * CHOOSE(CONTROL!$C$9, $D$9, 100%, $F$9) + CHOOSE(CONTROL!$C$27, 0.0021, 0)</f>
        <v>22.951499999999999</v>
      </c>
      <c r="E37" s="14">
        <f>22.8128 * CHOOSE(CONTROL!$C$9, $D$9, 100%, $F$9) + CHOOSE(CONTROL!$C$27, 0.0021, 0)</f>
        <v>22.814899999999998</v>
      </c>
      <c r="F37" s="14">
        <f>22.8128 * CHOOSE(CONTROL!$C$9, $D$9, 100%, $F$9) + CHOOSE(CONTROL!$C$27, 0.0021, 0)</f>
        <v>22.814899999999998</v>
      </c>
      <c r="G37" s="14">
        <f>23.0842 * CHOOSE(CONTROL!$C$9, $D$9, 100%, $F$9) + CHOOSE(CONTROL!$C$27, 0.0021, 0)</f>
        <v>23.086299999999998</v>
      </c>
      <c r="H37" s="14">
        <f>22.9494 * CHOOSE(CONTROL!$C$9, $D$9, 100%, $F$9) + CHOOSE(CONTROL!$C$27, 0.0021, 0)</f>
        <v>22.951499999999999</v>
      </c>
      <c r="I37" s="14">
        <f>22.9494 * CHOOSE(CONTROL!$C$9, $D$9, 100%, $F$9) + CHOOSE(CONTROL!$C$27, 0.0021, 0)</f>
        <v>22.951499999999999</v>
      </c>
      <c r="J37" s="14">
        <f>22.9494 * CHOOSE(CONTROL!$C$9, $D$9, 100%, $F$9) + CHOOSE(CONTROL!$C$27, 0.0021, 0)</f>
        <v>22.951499999999999</v>
      </c>
      <c r="K37" s="14">
        <f>22.9494 * CHOOSE(CONTROL!$C$9, $D$9, 100%, $F$9) + CHOOSE(CONTROL!$C$27, 0.0021, 0)</f>
        <v>22.951499999999999</v>
      </c>
      <c r="L37" s="14"/>
      <c r="M37" s="35"/>
      <c r="N37" s="35"/>
      <c r="O37" s="35"/>
      <c r="P37" s="35"/>
      <c r="Q37" s="35"/>
    </row>
    <row r="38" spans="1:17" ht="15" x14ac:dyDescent="0.2">
      <c r="A38" s="13">
        <v>42064</v>
      </c>
      <c r="B38" s="14">
        <f>23.3277 * CHOOSE(CONTROL!$C$9, $D$9, 100%, $F$9) + CHOOSE(CONTROL!$C$27, 0.0021, 0)</f>
        <v>23.329799999999999</v>
      </c>
      <c r="C38" s="14">
        <f>22.8954 * CHOOSE(CONTROL!$C$9, $D$9, 100%, $F$9) + CHOOSE(CONTROL!$C$27, 0.0021, 0)</f>
        <v>22.897499999999997</v>
      </c>
      <c r="D38" s="14">
        <f>22.8954 * CHOOSE(CONTROL!$C$9, $D$9, 100%, $F$9) + CHOOSE(CONTROL!$C$27, 0.0021, 0)</f>
        <v>22.897499999999997</v>
      </c>
      <c r="E38" s="14">
        <f>22.7587 * CHOOSE(CONTROL!$C$9, $D$9, 100%, $F$9) + CHOOSE(CONTROL!$C$27, 0.0021, 0)</f>
        <v>22.7608</v>
      </c>
      <c r="F38" s="14">
        <f>22.7587 * CHOOSE(CONTROL!$C$9, $D$9, 100%, $F$9) + CHOOSE(CONTROL!$C$27, 0.0021, 0)</f>
        <v>22.7608</v>
      </c>
      <c r="G38" s="14">
        <f>23.0301 * CHOOSE(CONTROL!$C$9, $D$9, 100%, $F$9) + CHOOSE(CONTROL!$C$27, 0.0021, 0)</f>
        <v>23.0322</v>
      </c>
      <c r="H38" s="14">
        <f>22.8954 * CHOOSE(CONTROL!$C$9, $D$9, 100%, $F$9) + CHOOSE(CONTROL!$C$27, 0.0021, 0)</f>
        <v>22.897499999999997</v>
      </c>
      <c r="I38" s="14">
        <f>22.8954 * CHOOSE(CONTROL!$C$9, $D$9, 100%, $F$9) + CHOOSE(CONTROL!$C$27, 0.0021, 0)</f>
        <v>22.897499999999997</v>
      </c>
      <c r="J38" s="14">
        <f>22.8954 * CHOOSE(CONTROL!$C$9, $D$9, 100%, $F$9) + CHOOSE(CONTROL!$C$27, 0.0021, 0)</f>
        <v>22.897499999999997</v>
      </c>
      <c r="K38" s="14">
        <f>22.8954 * CHOOSE(CONTROL!$C$9, $D$9, 100%, $F$9) + CHOOSE(CONTROL!$C$27, 0.0021, 0)</f>
        <v>22.897499999999997</v>
      </c>
      <c r="L38" s="14"/>
      <c r="M38" s="35"/>
      <c r="N38" s="35"/>
      <c r="O38" s="35"/>
      <c r="P38" s="35"/>
      <c r="Q38" s="35"/>
    </row>
    <row r="39" spans="1:17" ht="15" x14ac:dyDescent="0.2">
      <c r="A39" s="13">
        <v>42095</v>
      </c>
      <c r="B39" s="14">
        <f>23.1944 * CHOOSE(CONTROL!$C$9, $D$9, 100%, $F$9) + CHOOSE(CONTROL!$C$27, 0.0021, 0)</f>
        <v>23.1965</v>
      </c>
      <c r="C39" s="14">
        <f>22.7621 * CHOOSE(CONTROL!$C$9, $D$9, 100%, $F$9) + CHOOSE(CONTROL!$C$27, 0.0021, 0)</f>
        <v>22.764199999999999</v>
      </c>
      <c r="D39" s="14">
        <f>22.7621 * CHOOSE(CONTROL!$C$9, $D$9, 100%, $F$9) + CHOOSE(CONTROL!$C$27, 0.0021, 0)</f>
        <v>22.764199999999999</v>
      </c>
      <c r="E39" s="14">
        <f>22.6255 * CHOOSE(CONTROL!$C$9, $D$9, 100%, $F$9) + CHOOSE(CONTROL!$C$27, 0.0021, 0)</f>
        <v>22.627599999999997</v>
      </c>
      <c r="F39" s="14">
        <f>22.6255 * CHOOSE(CONTROL!$C$9, $D$9, 100%, $F$9) + CHOOSE(CONTROL!$C$27, 0.0021, 0)</f>
        <v>22.627599999999997</v>
      </c>
      <c r="G39" s="14">
        <f>22.8968 * CHOOSE(CONTROL!$C$9, $D$9, 100%, $F$9) + CHOOSE(CONTROL!$C$27, 0.0021, 0)</f>
        <v>22.898899999999998</v>
      </c>
      <c r="H39" s="14">
        <f>22.7621 * CHOOSE(CONTROL!$C$9, $D$9, 100%, $F$9) + CHOOSE(CONTROL!$C$27, 0.0021, 0)</f>
        <v>22.764199999999999</v>
      </c>
      <c r="I39" s="14">
        <f>22.7621 * CHOOSE(CONTROL!$C$9, $D$9, 100%, $F$9) + CHOOSE(CONTROL!$C$27, 0.0021, 0)</f>
        <v>22.764199999999999</v>
      </c>
      <c r="J39" s="14">
        <f>22.7621 * CHOOSE(CONTROL!$C$9, $D$9, 100%, $F$9) + CHOOSE(CONTROL!$C$27, 0.0021, 0)</f>
        <v>22.764199999999999</v>
      </c>
      <c r="K39" s="14">
        <f>22.7621 * CHOOSE(CONTROL!$C$9, $D$9, 100%, $F$9) + CHOOSE(CONTROL!$C$27, 0.0021, 0)</f>
        <v>22.764199999999999</v>
      </c>
      <c r="L39" s="14"/>
      <c r="M39" s="35"/>
      <c r="N39" s="35"/>
      <c r="O39" s="35"/>
      <c r="P39" s="35"/>
      <c r="Q39" s="35"/>
    </row>
    <row r="40" spans="1:17" ht="15" x14ac:dyDescent="0.2">
      <c r="A40" s="13">
        <v>42125</v>
      </c>
      <c r="B40" s="14">
        <f>23.0287 * CHOOSE(CONTROL!$C$9, $D$9, 100%, $F$9) + CHOOSE(CONTROL!$C$27, 0.0021, 0)</f>
        <v>23.030799999999999</v>
      </c>
      <c r="C40" s="14">
        <f>22.5964 * CHOOSE(CONTROL!$C$9, $D$9, 100%, $F$9) + CHOOSE(CONTROL!$C$27, 0.0021, 0)</f>
        <v>22.598499999999998</v>
      </c>
      <c r="D40" s="14">
        <f>22.5964 * CHOOSE(CONTROL!$C$9, $D$9, 100%, $F$9) + CHOOSE(CONTROL!$C$27, 0.0021, 0)</f>
        <v>22.598499999999998</v>
      </c>
      <c r="E40" s="14">
        <f>22.4598 * CHOOSE(CONTROL!$C$9, $D$9, 100%, $F$9) + CHOOSE(CONTROL!$C$27, 0.0021, 0)</f>
        <v>22.4619</v>
      </c>
      <c r="F40" s="14">
        <f>22.4598 * CHOOSE(CONTROL!$C$9, $D$9, 100%, $F$9) + CHOOSE(CONTROL!$C$27, 0.0021, 0)</f>
        <v>22.4619</v>
      </c>
      <c r="G40" s="14">
        <f>22.7311 * CHOOSE(CONTROL!$C$9, $D$9, 100%, $F$9) + CHOOSE(CONTROL!$C$27, 0.0021, 0)</f>
        <v>22.7332</v>
      </c>
      <c r="H40" s="14">
        <f>22.5964 * CHOOSE(CONTROL!$C$9, $D$9, 100%, $F$9) + CHOOSE(CONTROL!$C$27, 0.0021, 0)</f>
        <v>22.598499999999998</v>
      </c>
      <c r="I40" s="14">
        <f>22.5964 * CHOOSE(CONTROL!$C$9, $D$9, 100%, $F$9) + CHOOSE(CONTROL!$C$27, 0.0021, 0)</f>
        <v>22.598499999999998</v>
      </c>
      <c r="J40" s="14">
        <f>22.5964 * CHOOSE(CONTROL!$C$9, $D$9, 100%, $F$9) + CHOOSE(CONTROL!$C$27, 0.0021, 0)</f>
        <v>22.598499999999998</v>
      </c>
      <c r="K40" s="14">
        <f>22.5964 * CHOOSE(CONTROL!$C$9, $D$9, 100%, $F$9) + CHOOSE(CONTROL!$C$27, 0.0021, 0)</f>
        <v>22.598499999999998</v>
      </c>
      <c r="L40" s="14"/>
      <c r="M40" s="35"/>
      <c r="N40" s="35"/>
      <c r="O40" s="35"/>
      <c r="P40" s="35"/>
      <c r="Q40" s="35"/>
    </row>
    <row r="41" spans="1:17" ht="15" x14ac:dyDescent="0.2">
      <c r="A41" s="13">
        <v>42156</v>
      </c>
      <c r="B41" s="14">
        <f>22.8738 * CHOOSE(CONTROL!$C$9, $D$9, 100%, $F$9) + CHOOSE(CONTROL!$C$27, 0.0021, 0)</f>
        <v>22.875899999999998</v>
      </c>
      <c r="C41" s="14">
        <f>22.4415 * CHOOSE(CONTROL!$C$9, $D$9, 100%, $F$9) + CHOOSE(CONTROL!$C$27, 0.0021, 0)</f>
        <v>22.4436</v>
      </c>
      <c r="D41" s="14">
        <f>22.4415 * CHOOSE(CONTROL!$C$9, $D$9, 100%, $F$9) + CHOOSE(CONTROL!$C$27, 0.0021, 0)</f>
        <v>22.4436</v>
      </c>
      <c r="E41" s="14">
        <f>22.3049 * CHOOSE(CONTROL!$C$9, $D$9, 100%, $F$9) + CHOOSE(CONTROL!$C$27, 0.0021, 0)</f>
        <v>22.306999999999999</v>
      </c>
      <c r="F41" s="14">
        <f>22.3049 * CHOOSE(CONTROL!$C$9, $D$9, 100%, $F$9) + CHOOSE(CONTROL!$C$27, 0.0021, 0)</f>
        <v>22.306999999999999</v>
      </c>
      <c r="G41" s="14">
        <f>22.5763 * CHOOSE(CONTROL!$C$9, $D$9, 100%, $F$9) + CHOOSE(CONTROL!$C$27, 0.0021, 0)</f>
        <v>22.578399999999998</v>
      </c>
      <c r="H41" s="14">
        <f>22.4415 * CHOOSE(CONTROL!$C$9, $D$9, 100%, $F$9) + CHOOSE(CONTROL!$C$27, 0.0021, 0)</f>
        <v>22.4436</v>
      </c>
      <c r="I41" s="14">
        <f>22.4415 * CHOOSE(CONTROL!$C$9, $D$9, 100%, $F$9) + CHOOSE(CONTROL!$C$27, 0.0021, 0)</f>
        <v>22.4436</v>
      </c>
      <c r="J41" s="14">
        <f>22.4415 * CHOOSE(CONTROL!$C$9, $D$9, 100%, $F$9) + CHOOSE(CONTROL!$C$27, 0.0021, 0)</f>
        <v>22.4436</v>
      </c>
      <c r="K41" s="14">
        <f>22.4415 * CHOOSE(CONTROL!$C$9, $D$9, 100%, $F$9) + CHOOSE(CONTROL!$C$27, 0.0021, 0)</f>
        <v>22.4436</v>
      </c>
      <c r="L41" s="14"/>
      <c r="M41" s="35"/>
      <c r="N41" s="35"/>
      <c r="O41" s="35"/>
      <c r="P41" s="35"/>
      <c r="Q41" s="35"/>
    </row>
    <row r="42" spans="1:17" ht="15" x14ac:dyDescent="0.2">
      <c r="A42" s="13">
        <v>42186</v>
      </c>
      <c r="B42" s="14">
        <f>22.8126 * CHOOSE(CONTROL!$C$9, $D$9, 100%, $F$9) + CHOOSE(CONTROL!$C$27, 0.0021, 0)</f>
        <v>22.814699999999998</v>
      </c>
      <c r="C42" s="14">
        <f>22.3803 * CHOOSE(CONTROL!$C$9, $D$9, 100%, $F$9) + CHOOSE(CONTROL!$C$27, 0.0021, 0)</f>
        <v>22.382399999999997</v>
      </c>
      <c r="D42" s="14">
        <f>22.3803 * CHOOSE(CONTROL!$C$9, $D$9, 100%, $F$9) + CHOOSE(CONTROL!$C$27, 0.0021, 0)</f>
        <v>22.382399999999997</v>
      </c>
      <c r="E42" s="14">
        <f>22.2437 * CHOOSE(CONTROL!$C$9, $D$9, 100%, $F$9) + CHOOSE(CONTROL!$C$27, 0.0021, 0)</f>
        <v>22.245799999999999</v>
      </c>
      <c r="F42" s="14">
        <f>22.2437 * CHOOSE(CONTROL!$C$9, $D$9, 100%, $F$9) + CHOOSE(CONTROL!$C$27, 0.0021, 0)</f>
        <v>22.245799999999999</v>
      </c>
      <c r="G42" s="14">
        <f>22.515 * CHOOSE(CONTROL!$C$9, $D$9, 100%, $F$9) + CHOOSE(CONTROL!$C$27, 0.0021, 0)</f>
        <v>22.517099999999999</v>
      </c>
      <c r="H42" s="14">
        <f>22.3803 * CHOOSE(CONTROL!$C$9, $D$9, 100%, $F$9) + CHOOSE(CONTROL!$C$27, 0.0021, 0)</f>
        <v>22.382399999999997</v>
      </c>
      <c r="I42" s="14">
        <f>22.3803 * CHOOSE(CONTROL!$C$9, $D$9, 100%, $F$9) + CHOOSE(CONTROL!$C$27, 0.0021, 0)</f>
        <v>22.382399999999997</v>
      </c>
      <c r="J42" s="14">
        <f>22.3803 * CHOOSE(CONTROL!$C$9, $D$9, 100%, $F$9) + CHOOSE(CONTROL!$C$27, 0.0021, 0)</f>
        <v>22.382399999999997</v>
      </c>
      <c r="K42" s="14">
        <f>22.3803 * CHOOSE(CONTROL!$C$9, $D$9, 100%, $F$9) + CHOOSE(CONTROL!$C$27, 0.0021, 0)</f>
        <v>22.382399999999997</v>
      </c>
      <c r="L42" s="14"/>
      <c r="M42" s="35"/>
      <c r="N42" s="35"/>
      <c r="O42" s="35"/>
      <c r="P42" s="35"/>
      <c r="Q42" s="35"/>
    </row>
    <row r="43" spans="1:17" ht="15" x14ac:dyDescent="0.2">
      <c r="A43" s="13">
        <v>42217</v>
      </c>
      <c r="B43" s="14">
        <f>22.7643 * CHOOSE(CONTROL!$C$9, $D$9, 100%, $F$9) + CHOOSE(CONTROL!$C$27, 0.0021, 0)</f>
        <v>22.766399999999997</v>
      </c>
      <c r="C43" s="14">
        <f>22.332 * CHOOSE(CONTROL!$C$9, $D$9, 100%, $F$9) + CHOOSE(CONTROL!$C$27, 0.0021, 0)</f>
        <v>22.334099999999999</v>
      </c>
      <c r="D43" s="14">
        <f>22.332 * CHOOSE(CONTROL!$C$9, $D$9, 100%, $F$9) + CHOOSE(CONTROL!$C$27, 0.0021, 0)</f>
        <v>22.334099999999999</v>
      </c>
      <c r="E43" s="14">
        <f>22.1954 * CHOOSE(CONTROL!$C$9, $D$9, 100%, $F$9) + CHOOSE(CONTROL!$C$27, 0.0021, 0)</f>
        <v>22.197499999999998</v>
      </c>
      <c r="F43" s="14">
        <f>22.1954 * CHOOSE(CONTROL!$C$9, $D$9, 100%, $F$9) + CHOOSE(CONTROL!$C$27, 0.0021, 0)</f>
        <v>22.197499999999998</v>
      </c>
      <c r="G43" s="14">
        <f>22.4668 * CHOOSE(CONTROL!$C$9, $D$9, 100%, $F$9) + CHOOSE(CONTROL!$C$27, 0.0021, 0)</f>
        <v>22.468899999999998</v>
      </c>
      <c r="H43" s="14">
        <f>22.332 * CHOOSE(CONTROL!$C$9, $D$9, 100%, $F$9) + CHOOSE(CONTROL!$C$27, 0.0021, 0)</f>
        <v>22.334099999999999</v>
      </c>
      <c r="I43" s="14">
        <f>22.332 * CHOOSE(CONTROL!$C$9, $D$9, 100%, $F$9) + CHOOSE(CONTROL!$C$27, 0.0021, 0)</f>
        <v>22.334099999999999</v>
      </c>
      <c r="J43" s="14">
        <f>22.332 * CHOOSE(CONTROL!$C$9, $D$9, 100%, $F$9) + CHOOSE(CONTROL!$C$27, 0.0021, 0)</f>
        <v>22.334099999999999</v>
      </c>
      <c r="K43" s="14">
        <f>22.332 * CHOOSE(CONTROL!$C$9, $D$9, 100%, $F$9) + CHOOSE(CONTROL!$C$27, 0.0021, 0)</f>
        <v>22.334099999999999</v>
      </c>
      <c r="L43" s="14"/>
      <c r="M43" s="35"/>
      <c r="N43" s="35"/>
      <c r="O43" s="35"/>
      <c r="P43" s="35"/>
      <c r="Q43" s="35"/>
    </row>
    <row r="44" spans="1:17" ht="15" x14ac:dyDescent="0.2">
      <c r="A44" s="13">
        <v>42248</v>
      </c>
      <c r="B44" s="14">
        <f>22.716 * CHOOSE(CONTROL!$C$9, $D$9, 100%, $F$9) + CHOOSE(CONTROL!$C$27, 0.0021, 0)</f>
        <v>22.7181</v>
      </c>
      <c r="C44" s="14">
        <f>22.2838 * CHOOSE(CONTROL!$C$9, $D$9, 100%, $F$9) + CHOOSE(CONTROL!$C$27, 0.0021, 0)</f>
        <v>22.285899999999998</v>
      </c>
      <c r="D44" s="14">
        <f>22.2838 * CHOOSE(CONTROL!$C$9, $D$9, 100%, $F$9) + CHOOSE(CONTROL!$C$27, 0.0021, 0)</f>
        <v>22.285899999999998</v>
      </c>
      <c r="E44" s="14">
        <f>22.1471 * CHOOSE(CONTROL!$C$9, $D$9, 100%, $F$9) + CHOOSE(CONTROL!$C$27, 0.0021, 0)</f>
        <v>22.149199999999997</v>
      </c>
      <c r="F44" s="14">
        <f>22.1471 * CHOOSE(CONTROL!$C$9, $D$9, 100%, $F$9) + CHOOSE(CONTROL!$C$27, 0.0021, 0)</f>
        <v>22.149199999999997</v>
      </c>
      <c r="G44" s="14">
        <f>22.4185 * CHOOSE(CONTROL!$C$9, $D$9, 100%, $F$9) + CHOOSE(CONTROL!$C$27, 0.0021, 0)</f>
        <v>22.4206</v>
      </c>
      <c r="H44" s="14">
        <f>22.2838 * CHOOSE(CONTROL!$C$9, $D$9, 100%, $F$9) + CHOOSE(CONTROL!$C$27, 0.0021, 0)</f>
        <v>22.285899999999998</v>
      </c>
      <c r="I44" s="14">
        <f>22.2838 * CHOOSE(CONTROL!$C$9, $D$9, 100%, $F$9) + CHOOSE(CONTROL!$C$27, 0.0021, 0)</f>
        <v>22.285899999999998</v>
      </c>
      <c r="J44" s="14">
        <f>22.2838 * CHOOSE(CONTROL!$C$9, $D$9, 100%, $F$9) + CHOOSE(CONTROL!$C$27, 0.0021, 0)</f>
        <v>22.285899999999998</v>
      </c>
      <c r="K44" s="14">
        <f>22.2838 * CHOOSE(CONTROL!$C$9, $D$9, 100%, $F$9) + CHOOSE(CONTROL!$C$27, 0.0021, 0)</f>
        <v>22.285899999999998</v>
      </c>
      <c r="L44" s="14"/>
      <c r="M44" s="35"/>
      <c r="N44" s="35"/>
      <c r="O44" s="35"/>
      <c r="P44" s="35"/>
      <c r="Q44" s="35"/>
    </row>
    <row r="45" spans="1:17" ht="15" x14ac:dyDescent="0.2">
      <c r="A45" s="13">
        <v>42278</v>
      </c>
      <c r="B45" s="14">
        <f>22.6678 * CHOOSE(CONTROL!$C$9, $D$9, 100%, $F$9) + CHOOSE(CONTROL!$C$27, 0.0021, 0)</f>
        <v>22.669899999999998</v>
      </c>
      <c r="C45" s="14">
        <f>22.2355 * CHOOSE(CONTROL!$C$9, $D$9, 100%, $F$9) + CHOOSE(CONTROL!$C$27, 0.0021, 0)</f>
        <v>22.237599999999997</v>
      </c>
      <c r="D45" s="14">
        <f>22.2355 * CHOOSE(CONTROL!$C$9, $D$9, 100%, $F$9) + CHOOSE(CONTROL!$C$27, 0.0021, 0)</f>
        <v>22.237599999999997</v>
      </c>
      <c r="E45" s="14">
        <f>22.0988 * CHOOSE(CONTROL!$C$9, $D$9, 100%, $F$9) + CHOOSE(CONTROL!$C$27, 0.0021, 0)</f>
        <v>22.100899999999999</v>
      </c>
      <c r="F45" s="14">
        <f>22.0988 * CHOOSE(CONTROL!$C$9, $D$9, 100%, $F$9) + CHOOSE(CONTROL!$C$27, 0.0021, 0)</f>
        <v>22.100899999999999</v>
      </c>
      <c r="G45" s="14">
        <f>22.3702 * CHOOSE(CONTROL!$C$9, $D$9, 100%, $F$9) + CHOOSE(CONTROL!$C$27, 0.0021, 0)</f>
        <v>22.372299999999999</v>
      </c>
      <c r="H45" s="14">
        <f>22.2355 * CHOOSE(CONTROL!$C$9, $D$9, 100%, $F$9) + CHOOSE(CONTROL!$C$27, 0.0021, 0)</f>
        <v>22.237599999999997</v>
      </c>
      <c r="I45" s="14">
        <f>22.2355 * CHOOSE(CONTROL!$C$9, $D$9, 100%, $F$9) + CHOOSE(CONTROL!$C$27, 0.0021, 0)</f>
        <v>22.237599999999997</v>
      </c>
      <c r="J45" s="14">
        <f>22.2355 * CHOOSE(CONTROL!$C$9, $D$9, 100%, $F$9) + CHOOSE(CONTROL!$C$27, 0.0021, 0)</f>
        <v>22.237599999999997</v>
      </c>
      <c r="K45" s="14">
        <f>22.2355 * CHOOSE(CONTROL!$C$9, $D$9, 100%, $F$9) + CHOOSE(CONTROL!$C$27, 0.0021, 0)</f>
        <v>22.237599999999997</v>
      </c>
      <c r="L45" s="14"/>
      <c r="M45" s="35"/>
      <c r="N45" s="35"/>
      <c r="O45" s="35"/>
      <c r="P45" s="35"/>
      <c r="Q45" s="35"/>
    </row>
    <row r="46" spans="1:17" ht="15" x14ac:dyDescent="0.2">
      <c r="A46" s="13">
        <v>42309</v>
      </c>
      <c r="B46" s="14">
        <f>22.6173 * CHOOSE(CONTROL!$C$9, $D$9, 100%, $F$9) + CHOOSE(CONTROL!$C$27, 0.0021, 0)</f>
        <v>22.619399999999999</v>
      </c>
      <c r="C46" s="14">
        <f>22.1851 * CHOOSE(CONTROL!$C$9, $D$9, 100%, $F$9) + CHOOSE(CONTROL!$C$27, 0.0021, 0)</f>
        <v>22.187199999999997</v>
      </c>
      <c r="D46" s="14">
        <f>22.1851 * CHOOSE(CONTROL!$C$9, $D$9, 100%, $F$9) + CHOOSE(CONTROL!$C$27, 0.0021, 0)</f>
        <v>22.187199999999997</v>
      </c>
      <c r="E46" s="14">
        <f>22.0484 * CHOOSE(CONTROL!$C$9, $D$9, 100%, $F$9) + CHOOSE(CONTROL!$C$27, 0.0021, 0)</f>
        <v>22.0505</v>
      </c>
      <c r="F46" s="14">
        <f>22.0484 * CHOOSE(CONTROL!$C$9, $D$9, 100%, $F$9) + CHOOSE(CONTROL!$C$27, 0.0021, 0)</f>
        <v>22.0505</v>
      </c>
      <c r="G46" s="14">
        <f>22.3198 * CHOOSE(CONTROL!$C$9, $D$9, 100%, $F$9) + CHOOSE(CONTROL!$C$27, 0.0021, 0)</f>
        <v>22.321899999999999</v>
      </c>
      <c r="H46" s="14">
        <f>22.1851 * CHOOSE(CONTROL!$C$9, $D$9, 100%, $F$9) + CHOOSE(CONTROL!$C$27, 0.0021, 0)</f>
        <v>22.187199999999997</v>
      </c>
      <c r="I46" s="14">
        <f>22.1851 * CHOOSE(CONTROL!$C$9, $D$9, 100%, $F$9) + CHOOSE(CONTROL!$C$27, 0.0021, 0)</f>
        <v>22.187199999999997</v>
      </c>
      <c r="J46" s="14">
        <f>22.1851 * CHOOSE(CONTROL!$C$9, $D$9, 100%, $F$9) + CHOOSE(CONTROL!$C$27, 0.0021, 0)</f>
        <v>22.187199999999997</v>
      </c>
      <c r="K46" s="14">
        <f>22.1851 * CHOOSE(CONTROL!$C$9, $D$9, 100%, $F$9) + CHOOSE(CONTROL!$C$27, 0.0021, 0)</f>
        <v>22.187199999999997</v>
      </c>
      <c r="L46" s="14"/>
      <c r="M46" s="35"/>
      <c r="N46" s="35"/>
      <c r="O46" s="35"/>
      <c r="P46" s="35"/>
      <c r="Q46" s="35"/>
    </row>
    <row r="47" spans="1:17" ht="15" x14ac:dyDescent="0.2">
      <c r="A47" s="13">
        <v>42339</v>
      </c>
      <c r="B47" s="14">
        <f>22.5633 * CHOOSE(CONTROL!$C$9, $D$9, 100%, $F$9) + CHOOSE(CONTROL!$C$27, 0.0021, 0)</f>
        <v>22.5654</v>
      </c>
      <c r="C47" s="14">
        <f>22.131 * CHOOSE(CONTROL!$C$9, $D$9, 100%, $F$9) + CHOOSE(CONTROL!$C$27, 0.0021, 0)</f>
        <v>22.133099999999999</v>
      </c>
      <c r="D47" s="14">
        <f>22.131 * CHOOSE(CONTROL!$C$9, $D$9, 100%, $F$9) + CHOOSE(CONTROL!$C$27, 0.0021, 0)</f>
        <v>22.133099999999999</v>
      </c>
      <c r="E47" s="14">
        <f>21.9944 * CHOOSE(CONTROL!$C$9, $D$9, 100%, $F$9) + CHOOSE(CONTROL!$C$27, 0.0021, 0)</f>
        <v>21.996499999999997</v>
      </c>
      <c r="F47" s="14">
        <f>21.9944 * CHOOSE(CONTROL!$C$9, $D$9, 100%, $F$9) + CHOOSE(CONTROL!$C$27, 0.0021, 0)</f>
        <v>21.996499999999997</v>
      </c>
      <c r="G47" s="14">
        <f>22.2658 * CHOOSE(CONTROL!$C$9, $D$9, 100%, $F$9) + CHOOSE(CONTROL!$C$27, 0.0021, 0)</f>
        <v>22.267899999999997</v>
      </c>
      <c r="H47" s="14">
        <f>22.131 * CHOOSE(CONTROL!$C$9, $D$9, 100%, $F$9) + CHOOSE(CONTROL!$C$27, 0.0021, 0)</f>
        <v>22.133099999999999</v>
      </c>
      <c r="I47" s="14">
        <f>22.131 * CHOOSE(CONTROL!$C$9, $D$9, 100%, $F$9) + CHOOSE(CONTROL!$C$27, 0.0021, 0)</f>
        <v>22.133099999999999</v>
      </c>
      <c r="J47" s="14">
        <f>22.131 * CHOOSE(CONTROL!$C$9, $D$9, 100%, $F$9) + CHOOSE(CONTROL!$C$27, 0.0021, 0)</f>
        <v>22.133099999999999</v>
      </c>
      <c r="K47" s="14">
        <f>22.131 * CHOOSE(CONTROL!$C$9, $D$9, 100%, $F$9) + CHOOSE(CONTROL!$C$27, 0.0021, 0)</f>
        <v>22.133099999999999</v>
      </c>
      <c r="L47" s="14"/>
      <c r="M47" s="35"/>
      <c r="N47" s="35"/>
      <c r="O47" s="35"/>
      <c r="P47" s="35"/>
      <c r="Q47" s="35"/>
    </row>
    <row r="48" spans="1:17" ht="15" x14ac:dyDescent="0.2">
      <c r="A48" s="13">
        <v>42370</v>
      </c>
      <c r="B48" s="14">
        <f>24.6217 * CHOOSE(CONTROL!$C$9, $D$9, 100%, $F$9) + CHOOSE(CONTROL!$C$27, 0.0021, 0)</f>
        <v>24.623799999999999</v>
      </c>
      <c r="C48" s="14">
        <f>24.1895 * CHOOSE(CONTROL!$C$9, $D$9, 100%, $F$9) + CHOOSE(CONTROL!$C$27, 0.0021, 0)</f>
        <v>24.191599999999998</v>
      </c>
      <c r="D48" s="14">
        <f>24.1895 * CHOOSE(CONTROL!$C$9, $D$9, 100%, $F$9) + CHOOSE(CONTROL!$C$27, 0.0021, 0)</f>
        <v>24.191599999999998</v>
      </c>
      <c r="E48" s="14">
        <f>24.0528 * CHOOSE(CONTROL!$C$9, $D$9, 100%, $F$9) + CHOOSE(CONTROL!$C$27, 0.0021, 0)</f>
        <v>24.0549</v>
      </c>
      <c r="F48" s="14">
        <f>24.0528 * CHOOSE(CONTROL!$C$9, $D$9, 100%, $F$9) + CHOOSE(CONTROL!$C$27, 0.0021, 0)</f>
        <v>24.0549</v>
      </c>
      <c r="G48" s="14">
        <f>24.3242 * CHOOSE(CONTROL!$C$9, $D$9, 100%, $F$9) + CHOOSE(CONTROL!$C$27, 0.0021, 0)</f>
        <v>24.3263</v>
      </c>
      <c r="H48" s="14">
        <f>24.1895 * CHOOSE(CONTROL!$C$9, $D$9, 100%, $F$9) + CHOOSE(CONTROL!$C$27, 0.0021, 0)</f>
        <v>24.191599999999998</v>
      </c>
      <c r="I48" s="14">
        <f>24.1895 * CHOOSE(CONTROL!$C$9, $D$9, 100%, $F$9) + CHOOSE(CONTROL!$C$27, 0.0021, 0)</f>
        <v>24.191599999999998</v>
      </c>
      <c r="J48" s="14">
        <f>24.1895 * CHOOSE(CONTROL!$C$9, $D$9, 100%, $F$9) + CHOOSE(CONTROL!$C$27, 0.0021, 0)</f>
        <v>24.191599999999998</v>
      </c>
      <c r="K48" s="14">
        <f>24.1895 * CHOOSE(CONTROL!$C$9, $D$9, 100%, $F$9) + CHOOSE(CONTROL!$C$27, 0.0021, 0)</f>
        <v>24.191599999999998</v>
      </c>
      <c r="L48" s="14"/>
    </row>
    <row r="49" spans="1:12" ht="15" x14ac:dyDescent="0.2">
      <c r="A49" s="13">
        <v>42401</v>
      </c>
      <c r="B49" s="14">
        <f>24.0348 * CHOOSE(CONTROL!$C$9, $D$9, 100%, $F$9) + CHOOSE(CONTROL!$C$27, 0.0021, 0)</f>
        <v>24.036899999999999</v>
      </c>
      <c r="C49" s="14">
        <f>23.6026 * CHOOSE(CONTROL!$C$9, $D$9, 100%, $F$9) + CHOOSE(CONTROL!$C$27, 0.0021, 0)</f>
        <v>23.604699999999998</v>
      </c>
      <c r="D49" s="14">
        <f>23.6026 * CHOOSE(CONTROL!$C$9, $D$9, 100%, $F$9) + CHOOSE(CONTROL!$C$27, 0.0021, 0)</f>
        <v>23.604699999999998</v>
      </c>
      <c r="E49" s="14">
        <f>23.4659 * CHOOSE(CONTROL!$C$9, $D$9, 100%, $F$9) + CHOOSE(CONTROL!$C$27, 0.0021, 0)</f>
        <v>23.468</v>
      </c>
      <c r="F49" s="14">
        <f>23.4659 * CHOOSE(CONTROL!$C$9, $D$9, 100%, $F$9) + CHOOSE(CONTROL!$C$27, 0.0021, 0)</f>
        <v>23.468</v>
      </c>
      <c r="G49" s="14">
        <f>23.7373 * CHOOSE(CONTROL!$C$9, $D$9, 100%, $F$9) + CHOOSE(CONTROL!$C$27, 0.0021, 0)</f>
        <v>23.7394</v>
      </c>
      <c r="H49" s="14">
        <f>23.6026 * CHOOSE(CONTROL!$C$9, $D$9, 100%, $F$9) + CHOOSE(CONTROL!$C$27, 0.0021, 0)</f>
        <v>23.604699999999998</v>
      </c>
      <c r="I49" s="14">
        <f>23.6026 * CHOOSE(CONTROL!$C$9, $D$9, 100%, $F$9) + CHOOSE(CONTROL!$C$27, 0.0021, 0)</f>
        <v>23.604699999999998</v>
      </c>
      <c r="J49" s="14">
        <f>23.6026 * CHOOSE(CONTROL!$C$9, $D$9, 100%, $F$9) + CHOOSE(CONTROL!$C$27, 0.0021, 0)</f>
        <v>23.604699999999998</v>
      </c>
      <c r="K49" s="14">
        <f>23.6026 * CHOOSE(CONTROL!$C$9, $D$9, 100%, $F$9) + CHOOSE(CONTROL!$C$27, 0.0021, 0)</f>
        <v>23.604699999999998</v>
      </c>
      <c r="L49" s="14"/>
    </row>
    <row r="50" spans="1:12" ht="15" x14ac:dyDescent="0.2">
      <c r="A50" s="13">
        <v>42430</v>
      </c>
      <c r="B50" s="14">
        <f>23.8178 * CHOOSE(CONTROL!$C$9, $D$9, 100%, $F$9) + CHOOSE(CONTROL!$C$27, 0.0021, 0)</f>
        <v>23.819899999999997</v>
      </c>
      <c r="C50" s="14">
        <f>23.3856 * CHOOSE(CONTROL!$C$9, $D$9, 100%, $F$9) + CHOOSE(CONTROL!$C$27, 0.0021, 0)</f>
        <v>23.387699999999999</v>
      </c>
      <c r="D50" s="14">
        <f>23.3856 * CHOOSE(CONTROL!$C$9, $D$9, 100%, $F$9) + CHOOSE(CONTROL!$C$27, 0.0021, 0)</f>
        <v>23.387699999999999</v>
      </c>
      <c r="E50" s="14">
        <f>23.2489 * CHOOSE(CONTROL!$C$9, $D$9, 100%, $F$9) + CHOOSE(CONTROL!$C$27, 0.0021, 0)</f>
        <v>23.250999999999998</v>
      </c>
      <c r="F50" s="14">
        <f>23.2489 * CHOOSE(CONTROL!$C$9, $D$9, 100%, $F$9) + CHOOSE(CONTROL!$C$27, 0.0021, 0)</f>
        <v>23.250999999999998</v>
      </c>
      <c r="G50" s="14">
        <f>23.5203 * CHOOSE(CONTROL!$C$9, $D$9, 100%, $F$9) + CHOOSE(CONTROL!$C$27, 0.0021, 0)</f>
        <v>23.522399999999998</v>
      </c>
      <c r="H50" s="14">
        <f>23.3856 * CHOOSE(CONTROL!$C$9, $D$9, 100%, $F$9) + CHOOSE(CONTROL!$C$27, 0.0021, 0)</f>
        <v>23.387699999999999</v>
      </c>
      <c r="I50" s="14">
        <f>23.3856 * CHOOSE(CONTROL!$C$9, $D$9, 100%, $F$9) + CHOOSE(CONTROL!$C$27, 0.0021, 0)</f>
        <v>23.387699999999999</v>
      </c>
      <c r="J50" s="14">
        <f>23.3856 * CHOOSE(CONTROL!$C$9, $D$9, 100%, $F$9) + CHOOSE(CONTROL!$C$27, 0.0021, 0)</f>
        <v>23.387699999999999</v>
      </c>
      <c r="K50" s="14">
        <f>23.3856 * CHOOSE(CONTROL!$C$9, $D$9, 100%, $F$9) + CHOOSE(CONTROL!$C$27, 0.0021, 0)</f>
        <v>23.387699999999999</v>
      </c>
      <c r="L50" s="14"/>
    </row>
    <row r="51" spans="1:12" ht="15" x14ac:dyDescent="0.2">
      <c r="A51" s="13">
        <v>42461</v>
      </c>
      <c r="B51" s="14">
        <f>23.5489 * CHOOSE(CONTROL!$C$9, $D$9, 100%, $F$9) + CHOOSE(CONTROL!$C$27, 0.0021, 0)</f>
        <v>23.550999999999998</v>
      </c>
      <c r="C51" s="14">
        <f>23.1167 * CHOOSE(CONTROL!$C$9, $D$9, 100%, $F$9) + CHOOSE(CONTROL!$C$27, 0.0021, 0)</f>
        <v>23.1188</v>
      </c>
      <c r="D51" s="14">
        <f>23.1167 * CHOOSE(CONTROL!$C$9, $D$9, 100%, $F$9) + CHOOSE(CONTROL!$C$27, 0.0021, 0)</f>
        <v>23.1188</v>
      </c>
      <c r="E51" s="14">
        <f>22.98 * CHOOSE(CONTROL!$C$9, $D$9, 100%, $F$9) + CHOOSE(CONTROL!$C$27, 0.0021, 0)</f>
        <v>22.982099999999999</v>
      </c>
      <c r="F51" s="14">
        <f>22.98 * CHOOSE(CONTROL!$C$9, $D$9, 100%, $F$9) + CHOOSE(CONTROL!$C$27, 0.0021, 0)</f>
        <v>22.982099999999999</v>
      </c>
      <c r="G51" s="14">
        <f>23.2514 * CHOOSE(CONTROL!$C$9, $D$9, 100%, $F$9) + CHOOSE(CONTROL!$C$27, 0.0021, 0)</f>
        <v>23.253499999999999</v>
      </c>
      <c r="H51" s="14">
        <f>23.1167 * CHOOSE(CONTROL!$C$9, $D$9, 100%, $F$9) + CHOOSE(CONTROL!$C$27, 0.0021, 0)</f>
        <v>23.1188</v>
      </c>
      <c r="I51" s="14">
        <f>23.1167 * CHOOSE(CONTROL!$C$9, $D$9, 100%, $F$9) + CHOOSE(CONTROL!$C$27, 0.0021, 0)</f>
        <v>23.1188</v>
      </c>
      <c r="J51" s="14">
        <f>23.1167 * CHOOSE(CONTROL!$C$9, $D$9, 100%, $F$9) + CHOOSE(CONTROL!$C$27, 0.0021, 0)</f>
        <v>23.1188</v>
      </c>
      <c r="K51" s="14">
        <f>23.1167 * CHOOSE(CONTROL!$C$9, $D$9, 100%, $F$9) + CHOOSE(CONTROL!$C$27, 0.0021, 0)</f>
        <v>23.1188</v>
      </c>
      <c r="L51" s="14"/>
    </row>
    <row r="52" spans="1:12" ht="15" x14ac:dyDescent="0.2">
      <c r="A52" s="13">
        <v>42491</v>
      </c>
      <c r="B52" s="14">
        <f>24.04 * CHOOSE(CONTROL!$C$9, $D$9, 100%, $F$9) + CHOOSE(CONTROL!$C$27, 0.0021, 0)</f>
        <v>24.042099999999998</v>
      </c>
      <c r="C52" s="14">
        <f>23.6078 * CHOOSE(CONTROL!$C$9, $D$9, 100%, $F$9) + CHOOSE(CONTROL!$C$27, 0.0021, 0)</f>
        <v>23.6099</v>
      </c>
      <c r="D52" s="14">
        <f>23.6078 * CHOOSE(CONTROL!$C$9, $D$9, 100%, $F$9) + CHOOSE(CONTROL!$C$27, 0.0021, 0)</f>
        <v>23.6099</v>
      </c>
      <c r="E52" s="14">
        <f>23.4711 * CHOOSE(CONTROL!$C$9, $D$9, 100%, $F$9) + CHOOSE(CONTROL!$C$27, 0.0021, 0)</f>
        <v>23.473199999999999</v>
      </c>
      <c r="F52" s="14">
        <f>23.4711 * CHOOSE(CONTROL!$C$9, $D$9, 100%, $F$9) + CHOOSE(CONTROL!$C$27, 0.0021, 0)</f>
        <v>23.473199999999999</v>
      </c>
      <c r="G52" s="14">
        <f>23.7425 * CHOOSE(CONTROL!$C$9, $D$9, 100%, $F$9) + CHOOSE(CONTROL!$C$27, 0.0021, 0)</f>
        <v>23.744599999999998</v>
      </c>
      <c r="H52" s="14">
        <f>23.6078 * CHOOSE(CONTROL!$C$9, $D$9, 100%, $F$9) + CHOOSE(CONTROL!$C$27, 0.0021, 0)</f>
        <v>23.6099</v>
      </c>
      <c r="I52" s="14">
        <f>23.6078 * CHOOSE(CONTROL!$C$9, $D$9, 100%, $F$9) + CHOOSE(CONTROL!$C$27, 0.0021, 0)</f>
        <v>23.6099</v>
      </c>
      <c r="J52" s="14">
        <f>23.6078 * CHOOSE(CONTROL!$C$9, $D$9, 100%, $F$9) + CHOOSE(CONTROL!$C$27, 0.0021, 0)</f>
        <v>23.6099</v>
      </c>
      <c r="K52" s="14">
        <f>23.6078 * CHOOSE(CONTROL!$C$9, $D$9, 100%, $F$9) + CHOOSE(CONTROL!$C$27, 0.0021, 0)</f>
        <v>23.6099</v>
      </c>
      <c r="L52" s="14"/>
    </row>
    <row r="53" spans="1:12" ht="15" x14ac:dyDescent="0.2">
      <c r="A53" s="13">
        <v>42522</v>
      </c>
      <c r="B53" s="14">
        <f>24.3533 * CHOOSE(CONTROL!$C$9, $D$9, 100%, $F$9) + CHOOSE(CONTROL!$C$27, 0.0021, 0)</f>
        <v>24.355399999999999</v>
      </c>
      <c r="C53" s="14">
        <f>23.9211 * CHOOSE(CONTROL!$C$9, $D$9, 100%, $F$9) + CHOOSE(CONTROL!$C$27, 0.0021, 0)</f>
        <v>23.923199999999998</v>
      </c>
      <c r="D53" s="14">
        <f>23.9211 * CHOOSE(CONTROL!$C$9, $D$9, 100%, $F$9) + CHOOSE(CONTROL!$C$27, 0.0021, 0)</f>
        <v>23.923199999999998</v>
      </c>
      <c r="E53" s="14">
        <f>23.7844 * CHOOSE(CONTROL!$C$9, $D$9, 100%, $F$9) + CHOOSE(CONTROL!$C$27, 0.0021, 0)</f>
        <v>23.7865</v>
      </c>
      <c r="F53" s="14">
        <f>23.7844 * CHOOSE(CONTROL!$C$9, $D$9, 100%, $F$9) + CHOOSE(CONTROL!$C$27, 0.0021, 0)</f>
        <v>23.7865</v>
      </c>
      <c r="G53" s="14">
        <f>24.0558 * CHOOSE(CONTROL!$C$9, $D$9, 100%, $F$9) + CHOOSE(CONTROL!$C$27, 0.0021, 0)</f>
        <v>24.0579</v>
      </c>
      <c r="H53" s="14">
        <f>23.9211 * CHOOSE(CONTROL!$C$9, $D$9, 100%, $F$9) + CHOOSE(CONTROL!$C$27, 0.0021, 0)</f>
        <v>23.923199999999998</v>
      </c>
      <c r="I53" s="14">
        <f>23.9211 * CHOOSE(CONTROL!$C$9, $D$9, 100%, $F$9) + CHOOSE(CONTROL!$C$27, 0.0021, 0)</f>
        <v>23.923199999999998</v>
      </c>
      <c r="J53" s="14">
        <f>23.9211 * CHOOSE(CONTROL!$C$9, $D$9, 100%, $F$9) + CHOOSE(CONTROL!$C$27, 0.0021, 0)</f>
        <v>23.923199999999998</v>
      </c>
      <c r="K53" s="14">
        <f>23.9211 * CHOOSE(CONTROL!$C$9, $D$9, 100%, $F$9) + CHOOSE(CONTROL!$C$27, 0.0021, 0)</f>
        <v>23.923199999999998</v>
      </c>
      <c r="L53" s="14"/>
    </row>
    <row r="54" spans="1:12" ht="15" x14ac:dyDescent="0.2">
      <c r="A54" s="13">
        <v>42552</v>
      </c>
      <c r="B54" s="14">
        <f>24.8426 * CHOOSE(CONTROL!$C$9, $D$9, 100%, $F$9) + CHOOSE(CONTROL!$C$27, 0.0021, 0)</f>
        <v>24.8447</v>
      </c>
      <c r="C54" s="14">
        <f>24.4103 * CHOOSE(CONTROL!$C$9, $D$9, 100%, $F$9) + CHOOSE(CONTROL!$C$27, 0.0021, 0)</f>
        <v>24.412399999999998</v>
      </c>
      <c r="D54" s="14">
        <f>24.4103 * CHOOSE(CONTROL!$C$9, $D$9, 100%, $F$9) + CHOOSE(CONTROL!$C$27, 0.0021, 0)</f>
        <v>24.412399999999998</v>
      </c>
      <c r="E54" s="14">
        <f>24.2737 * CHOOSE(CONTROL!$C$9, $D$9, 100%, $F$9) + CHOOSE(CONTROL!$C$27, 0.0021, 0)</f>
        <v>24.2758</v>
      </c>
      <c r="F54" s="14">
        <f>24.2737 * CHOOSE(CONTROL!$C$9, $D$9, 100%, $F$9) + CHOOSE(CONTROL!$C$27, 0.0021, 0)</f>
        <v>24.2758</v>
      </c>
      <c r="G54" s="14">
        <f>24.545 * CHOOSE(CONTROL!$C$9, $D$9, 100%, $F$9) + CHOOSE(CONTROL!$C$27, 0.0021, 0)</f>
        <v>24.5471</v>
      </c>
      <c r="H54" s="14">
        <f>24.4103 * CHOOSE(CONTROL!$C$9, $D$9, 100%, $F$9) + CHOOSE(CONTROL!$C$27, 0.0021, 0)</f>
        <v>24.412399999999998</v>
      </c>
      <c r="I54" s="14">
        <f>24.4103 * CHOOSE(CONTROL!$C$9, $D$9, 100%, $F$9) + CHOOSE(CONTROL!$C$27, 0.0021, 0)</f>
        <v>24.412399999999998</v>
      </c>
      <c r="J54" s="14">
        <f>24.4103 * CHOOSE(CONTROL!$C$9, $D$9, 100%, $F$9) + CHOOSE(CONTROL!$C$27, 0.0021, 0)</f>
        <v>24.412399999999998</v>
      </c>
      <c r="K54" s="14">
        <f>24.4103 * CHOOSE(CONTROL!$C$9, $D$9, 100%, $F$9) + CHOOSE(CONTROL!$C$27, 0.0021, 0)</f>
        <v>24.412399999999998</v>
      </c>
      <c r="L54" s="14"/>
    </row>
    <row r="55" spans="1:12" ht="15" x14ac:dyDescent="0.2">
      <c r="A55" s="13">
        <v>42583</v>
      </c>
      <c r="B55" s="14">
        <f>25.0247 * CHOOSE(CONTROL!$C$9, $D$9, 100%, $F$9) + CHOOSE(CONTROL!$C$27, 0.0021, 0)</f>
        <v>25.026799999999998</v>
      </c>
      <c r="C55" s="14">
        <f>24.5925 * CHOOSE(CONTROL!$C$9, $D$9, 100%, $F$9) + CHOOSE(CONTROL!$C$27, 0.0021, 0)</f>
        <v>24.5946</v>
      </c>
      <c r="D55" s="14">
        <f>24.5925 * CHOOSE(CONTROL!$C$9, $D$9, 100%, $F$9) + CHOOSE(CONTROL!$C$27, 0.0021, 0)</f>
        <v>24.5946</v>
      </c>
      <c r="E55" s="14">
        <f>24.4558 * CHOOSE(CONTROL!$C$9, $D$9, 100%, $F$9) + CHOOSE(CONTROL!$C$27, 0.0021, 0)</f>
        <v>24.457899999999999</v>
      </c>
      <c r="F55" s="14">
        <f>24.4558 * CHOOSE(CONTROL!$C$9, $D$9, 100%, $F$9) + CHOOSE(CONTROL!$C$27, 0.0021, 0)</f>
        <v>24.457899999999999</v>
      </c>
      <c r="G55" s="14">
        <f>24.7272 * CHOOSE(CONTROL!$C$9, $D$9, 100%, $F$9) + CHOOSE(CONTROL!$C$27, 0.0021, 0)</f>
        <v>24.729299999999999</v>
      </c>
      <c r="H55" s="14">
        <f>24.5925 * CHOOSE(CONTROL!$C$9, $D$9, 100%, $F$9) + CHOOSE(CONTROL!$C$27, 0.0021, 0)</f>
        <v>24.5946</v>
      </c>
      <c r="I55" s="14">
        <f>24.5925 * CHOOSE(CONTROL!$C$9, $D$9, 100%, $F$9) + CHOOSE(CONTROL!$C$27, 0.0021, 0)</f>
        <v>24.5946</v>
      </c>
      <c r="J55" s="14">
        <f>24.5925 * CHOOSE(CONTROL!$C$9, $D$9, 100%, $F$9) + CHOOSE(CONTROL!$C$27, 0.0021, 0)</f>
        <v>24.5946</v>
      </c>
      <c r="K55" s="14">
        <f>24.5925 * CHOOSE(CONTROL!$C$9, $D$9, 100%, $F$9) + CHOOSE(CONTROL!$C$27, 0.0021, 0)</f>
        <v>24.5946</v>
      </c>
      <c r="L55" s="14"/>
    </row>
    <row r="56" spans="1:12" ht="15" x14ac:dyDescent="0.2">
      <c r="A56" s="13">
        <v>42614</v>
      </c>
      <c r="B56" s="14">
        <f>25.5348 * CHOOSE(CONTROL!$C$9, $D$9, 100%, $F$9) + CHOOSE(CONTROL!$C$27, 0.0021, 0)</f>
        <v>25.536899999999999</v>
      </c>
      <c r="C56" s="14">
        <f>25.1025 * CHOOSE(CONTROL!$C$9, $D$9, 100%, $F$9) + CHOOSE(CONTROL!$C$27, 0.0021, 0)</f>
        <v>25.104599999999998</v>
      </c>
      <c r="D56" s="14">
        <f>25.1025 * CHOOSE(CONTROL!$C$9, $D$9, 100%, $F$9) + CHOOSE(CONTROL!$C$27, 0.0021, 0)</f>
        <v>25.104599999999998</v>
      </c>
      <c r="E56" s="14">
        <f>24.9659 * CHOOSE(CONTROL!$C$9, $D$9, 100%, $F$9) + CHOOSE(CONTROL!$C$27, 0.0021, 0)</f>
        <v>24.968</v>
      </c>
      <c r="F56" s="14">
        <f>24.9659 * CHOOSE(CONTROL!$C$9, $D$9, 100%, $F$9) + CHOOSE(CONTROL!$C$27, 0.0021, 0)</f>
        <v>24.968</v>
      </c>
      <c r="G56" s="14">
        <f>25.2373 * CHOOSE(CONTROL!$C$9, $D$9, 100%, $F$9) + CHOOSE(CONTROL!$C$27, 0.0021, 0)</f>
        <v>25.2394</v>
      </c>
      <c r="H56" s="14">
        <f>25.1025 * CHOOSE(CONTROL!$C$9, $D$9, 100%, $F$9) + CHOOSE(CONTROL!$C$27, 0.0021, 0)</f>
        <v>25.104599999999998</v>
      </c>
      <c r="I56" s="14">
        <f>25.1025 * CHOOSE(CONTROL!$C$9, $D$9, 100%, $F$9) + CHOOSE(CONTROL!$C$27, 0.0021, 0)</f>
        <v>25.104599999999998</v>
      </c>
      <c r="J56" s="14">
        <f>25.1025 * CHOOSE(CONTROL!$C$9, $D$9, 100%, $F$9) + CHOOSE(CONTROL!$C$27, 0.0021, 0)</f>
        <v>25.104599999999998</v>
      </c>
      <c r="K56" s="14">
        <f>25.1025 * CHOOSE(CONTROL!$C$9, $D$9, 100%, $F$9) + CHOOSE(CONTROL!$C$27, 0.0021, 0)</f>
        <v>25.104599999999998</v>
      </c>
      <c r="L56" s="14"/>
    </row>
    <row r="57" spans="1:12" ht="15" x14ac:dyDescent="0.2">
      <c r="A57" s="13">
        <v>42644</v>
      </c>
      <c r="B57" s="14">
        <f>26.1702 * CHOOSE(CONTROL!$C$9, $D$9, 100%, $F$9) + CHOOSE(CONTROL!$C$27, 0.0021, 0)</f>
        <v>26.1723</v>
      </c>
      <c r="C57" s="14">
        <f>25.738 * CHOOSE(CONTROL!$C$9, $D$9, 100%, $F$9) + CHOOSE(CONTROL!$C$27, 0.0021, 0)</f>
        <v>25.740099999999998</v>
      </c>
      <c r="D57" s="14">
        <f>25.738 * CHOOSE(CONTROL!$C$9, $D$9, 100%, $F$9) + CHOOSE(CONTROL!$C$27, 0.0021, 0)</f>
        <v>25.740099999999998</v>
      </c>
      <c r="E57" s="14">
        <f>25.6013 * CHOOSE(CONTROL!$C$9, $D$9, 100%, $F$9) + CHOOSE(CONTROL!$C$27, 0.0021, 0)</f>
        <v>25.603399999999997</v>
      </c>
      <c r="F57" s="14">
        <f>25.6013 * CHOOSE(CONTROL!$C$9, $D$9, 100%, $F$9) + CHOOSE(CONTROL!$C$27, 0.0021, 0)</f>
        <v>25.603399999999997</v>
      </c>
      <c r="G57" s="14">
        <f>25.8727 * CHOOSE(CONTROL!$C$9, $D$9, 100%, $F$9) + CHOOSE(CONTROL!$C$27, 0.0021, 0)</f>
        <v>25.874799999999997</v>
      </c>
      <c r="H57" s="14">
        <f>25.738 * CHOOSE(CONTROL!$C$9, $D$9, 100%, $F$9) + CHOOSE(CONTROL!$C$27, 0.0021, 0)</f>
        <v>25.740099999999998</v>
      </c>
      <c r="I57" s="14">
        <f>25.738 * CHOOSE(CONTROL!$C$9, $D$9, 100%, $F$9) + CHOOSE(CONTROL!$C$27, 0.0021, 0)</f>
        <v>25.740099999999998</v>
      </c>
      <c r="J57" s="14">
        <f>25.738 * CHOOSE(CONTROL!$C$9, $D$9, 100%, $F$9) + CHOOSE(CONTROL!$C$27, 0.0021, 0)</f>
        <v>25.740099999999998</v>
      </c>
      <c r="K57" s="14">
        <f>25.738 * CHOOSE(CONTROL!$C$9, $D$9, 100%, $F$9) + CHOOSE(CONTROL!$C$27, 0.0021, 0)</f>
        <v>25.740099999999998</v>
      </c>
      <c r="L57" s="14"/>
    </row>
    <row r="58" spans="1:12" ht="15" x14ac:dyDescent="0.2">
      <c r="A58" s="13">
        <v>42675</v>
      </c>
      <c r="B58" s="14">
        <f>26.2747 * CHOOSE(CONTROL!$C$9, $D$9, 100%, $F$9) + CHOOSE(CONTROL!$C$27, 0.0021, 0)</f>
        <v>26.276799999999998</v>
      </c>
      <c r="C58" s="14">
        <f>25.8424 * CHOOSE(CONTROL!$C$9, $D$9, 100%, $F$9) + CHOOSE(CONTROL!$C$27, 0.0021, 0)</f>
        <v>25.8445</v>
      </c>
      <c r="D58" s="14">
        <f>25.8424 * CHOOSE(CONTROL!$C$9, $D$9, 100%, $F$9) + CHOOSE(CONTROL!$C$27, 0.0021, 0)</f>
        <v>25.8445</v>
      </c>
      <c r="E58" s="14">
        <f>25.7058 * CHOOSE(CONTROL!$C$9, $D$9, 100%, $F$9) + CHOOSE(CONTROL!$C$27, 0.0021, 0)</f>
        <v>25.707899999999999</v>
      </c>
      <c r="F58" s="14">
        <f>25.7058 * CHOOSE(CONTROL!$C$9, $D$9, 100%, $F$9) + CHOOSE(CONTROL!$C$27, 0.0021, 0)</f>
        <v>25.707899999999999</v>
      </c>
      <c r="G58" s="14">
        <f>25.9771 * CHOOSE(CONTROL!$C$9, $D$9, 100%, $F$9) + CHOOSE(CONTROL!$C$27, 0.0021, 0)</f>
        <v>25.979199999999999</v>
      </c>
      <c r="H58" s="14">
        <f>25.8424 * CHOOSE(CONTROL!$C$9, $D$9, 100%, $F$9) + CHOOSE(CONTROL!$C$27, 0.0021, 0)</f>
        <v>25.8445</v>
      </c>
      <c r="I58" s="14">
        <f>25.8424 * CHOOSE(CONTROL!$C$9, $D$9, 100%, $F$9) + CHOOSE(CONTROL!$C$27, 0.0021, 0)</f>
        <v>25.8445</v>
      </c>
      <c r="J58" s="14">
        <f>25.8424 * CHOOSE(CONTROL!$C$9, $D$9, 100%, $F$9) + CHOOSE(CONTROL!$C$27, 0.0021, 0)</f>
        <v>25.8445</v>
      </c>
      <c r="K58" s="14">
        <f>25.8424 * CHOOSE(CONTROL!$C$9, $D$9, 100%, $F$9) + CHOOSE(CONTROL!$C$27, 0.0021, 0)</f>
        <v>25.8445</v>
      </c>
      <c r="L58" s="14"/>
    </row>
    <row r="59" spans="1:12" ht="15" x14ac:dyDescent="0.2">
      <c r="A59" s="13">
        <v>42705</v>
      </c>
      <c r="B59" s="14">
        <f>25.8529 * CHOOSE(CONTROL!$C$9, $D$9, 100%, $F$9) + CHOOSE(CONTROL!$C$27, 0.0021, 0)</f>
        <v>25.855</v>
      </c>
      <c r="C59" s="14">
        <f>25.4206 * CHOOSE(CONTROL!$C$9, $D$9, 100%, $F$9) + CHOOSE(CONTROL!$C$27, 0.0021, 0)</f>
        <v>25.422699999999999</v>
      </c>
      <c r="D59" s="14">
        <f>25.4206 * CHOOSE(CONTROL!$C$9, $D$9, 100%, $F$9) + CHOOSE(CONTROL!$C$27, 0.0021, 0)</f>
        <v>25.422699999999999</v>
      </c>
      <c r="E59" s="14">
        <f>25.284 * CHOOSE(CONTROL!$C$9, $D$9, 100%, $F$9) + CHOOSE(CONTROL!$C$27, 0.0021, 0)</f>
        <v>25.286099999999998</v>
      </c>
      <c r="F59" s="14">
        <f>25.284 * CHOOSE(CONTROL!$C$9, $D$9, 100%, $F$9) + CHOOSE(CONTROL!$C$27, 0.0021, 0)</f>
        <v>25.286099999999998</v>
      </c>
      <c r="G59" s="14">
        <f>25.5553 * CHOOSE(CONTROL!$C$9, $D$9, 100%, $F$9) + CHOOSE(CONTROL!$C$27, 0.0021, 0)</f>
        <v>25.557399999999998</v>
      </c>
      <c r="H59" s="14">
        <f>25.4206 * CHOOSE(CONTROL!$C$9, $D$9, 100%, $F$9) + CHOOSE(CONTROL!$C$27, 0.0021, 0)</f>
        <v>25.422699999999999</v>
      </c>
      <c r="I59" s="14">
        <f>25.4206 * CHOOSE(CONTROL!$C$9, $D$9, 100%, $F$9) + CHOOSE(CONTROL!$C$27, 0.0021, 0)</f>
        <v>25.422699999999999</v>
      </c>
      <c r="J59" s="14">
        <f>25.4206 * CHOOSE(CONTROL!$C$9, $D$9, 100%, $F$9) + CHOOSE(CONTROL!$C$27, 0.0021, 0)</f>
        <v>25.422699999999999</v>
      </c>
      <c r="K59" s="14">
        <f>25.4206 * CHOOSE(CONTROL!$C$9, $D$9, 100%, $F$9) + CHOOSE(CONTROL!$C$27, 0.0021, 0)</f>
        <v>25.422699999999999</v>
      </c>
      <c r="L59" s="14"/>
    </row>
    <row r="60" spans="1:12" ht="15" x14ac:dyDescent="0.2">
      <c r="A60" s="13">
        <v>42736</v>
      </c>
      <c r="B60" s="14">
        <f>25.3991 * CHOOSE(CONTROL!$C$9, $D$9, 100%, $F$9) + CHOOSE(CONTROL!$C$27, 0.0021, 0)</f>
        <v>25.401199999999999</v>
      </c>
      <c r="C60" s="14">
        <f>24.9669 * CHOOSE(CONTROL!$C$9, $D$9, 100%, $F$9) + CHOOSE(CONTROL!$C$27, 0.0021, 0)</f>
        <v>24.968999999999998</v>
      </c>
      <c r="D60" s="14">
        <f>24.9669 * CHOOSE(CONTROL!$C$9, $D$9, 100%, $F$9) + CHOOSE(CONTROL!$C$27, 0.0021, 0)</f>
        <v>24.968999999999998</v>
      </c>
      <c r="E60" s="14">
        <f>24.8302 * CHOOSE(CONTROL!$C$9, $D$9, 100%, $F$9) + CHOOSE(CONTROL!$C$27, 0.0021, 0)</f>
        <v>24.8323</v>
      </c>
      <c r="F60" s="14">
        <f>24.8302 * CHOOSE(CONTROL!$C$9, $D$9, 100%, $F$9) + CHOOSE(CONTROL!$C$27, 0.0021, 0)</f>
        <v>24.8323</v>
      </c>
      <c r="G60" s="14">
        <f>25.1016 * CHOOSE(CONTROL!$C$9, $D$9, 100%, $F$9) + CHOOSE(CONTROL!$C$27, 0.0021, 0)</f>
        <v>25.1037</v>
      </c>
      <c r="H60" s="14">
        <f>24.9669 * CHOOSE(CONTROL!$C$9, $D$9, 100%, $F$9) + CHOOSE(CONTROL!$C$27, 0.0021, 0)</f>
        <v>24.968999999999998</v>
      </c>
      <c r="I60" s="14">
        <f>24.9669 * CHOOSE(CONTROL!$C$9, $D$9, 100%, $F$9) + CHOOSE(CONTROL!$C$27, 0.0021, 0)</f>
        <v>24.968999999999998</v>
      </c>
      <c r="J60" s="14">
        <f>24.9669 * CHOOSE(CONTROL!$C$9, $D$9, 100%, $F$9) + CHOOSE(CONTROL!$C$27, 0.0021, 0)</f>
        <v>24.968999999999998</v>
      </c>
      <c r="K60" s="14">
        <f>24.9669 * CHOOSE(CONTROL!$C$9, $D$9, 100%, $F$9) + CHOOSE(CONTROL!$C$27, 0.0021, 0)</f>
        <v>24.968999999999998</v>
      </c>
      <c r="L60" s="14"/>
    </row>
    <row r="61" spans="1:12" ht="15" x14ac:dyDescent="0.2">
      <c r="A61" s="13">
        <v>42767</v>
      </c>
      <c r="B61" s="14">
        <f>24.7918 * CHOOSE(CONTROL!$C$9, $D$9, 100%, $F$9) + CHOOSE(CONTROL!$C$27, 0.0021, 0)</f>
        <v>24.793899999999997</v>
      </c>
      <c r="C61" s="14">
        <f>24.3596 * CHOOSE(CONTROL!$C$9, $D$9, 100%, $F$9) + CHOOSE(CONTROL!$C$27, 0.0021, 0)</f>
        <v>24.361699999999999</v>
      </c>
      <c r="D61" s="14">
        <f>24.3596 * CHOOSE(CONTROL!$C$9, $D$9, 100%, $F$9) + CHOOSE(CONTROL!$C$27, 0.0021, 0)</f>
        <v>24.361699999999999</v>
      </c>
      <c r="E61" s="14">
        <f>24.2229 * CHOOSE(CONTROL!$C$9, $D$9, 100%, $F$9) + CHOOSE(CONTROL!$C$27, 0.0021, 0)</f>
        <v>24.224999999999998</v>
      </c>
      <c r="F61" s="14">
        <f>24.2229 * CHOOSE(CONTROL!$C$9, $D$9, 100%, $F$9) + CHOOSE(CONTROL!$C$27, 0.0021, 0)</f>
        <v>24.224999999999998</v>
      </c>
      <c r="G61" s="14">
        <f>24.4943 * CHOOSE(CONTROL!$C$9, $D$9, 100%, $F$9) + CHOOSE(CONTROL!$C$27, 0.0021, 0)</f>
        <v>24.496399999999998</v>
      </c>
      <c r="H61" s="14">
        <f>24.3596 * CHOOSE(CONTROL!$C$9, $D$9, 100%, $F$9) + CHOOSE(CONTROL!$C$27, 0.0021, 0)</f>
        <v>24.361699999999999</v>
      </c>
      <c r="I61" s="14">
        <f>24.3596 * CHOOSE(CONTROL!$C$9, $D$9, 100%, $F$9) + CHOOSE(CONTROL!$C$27, 0.0021, 0)</f>
        <v>24.361699999999999</v>
      </c>
      <c r="J61" s="14">
        <f>24.3596 * CHOOSE(CONTROL!$C$9, $D$9, 100%, $F$9) + CHOOSE(CONTROL!$C$27, 0.0021, 0)</f>
        <v>24.361699999999999</v>
      </c>
      <c r="K61" s="14">
        <f>24.3596 * CHOOSE(CONTROL!$C$9, $D$9, 100%, $F$9) + CHOOSE(CONTROL!$C$27, 0.0021, 0)</f>
        <v>24.361699999999999</v>
      </c>
      <c r="L61" s="14"/>
    </row>
    <row r="62" spans="1:12" ht="15" x14ac:dyDescent="0.2">
      <c r="A62" s="13">
        <v>42795</v>
      </c>
      <c r="B62" s="14">
        <f>24.5672 * CHOOSE(CONTROL!$C$9, $D$9, 100%, $F$9) + CHOOSE(CONTROL!$C$27, 0.0021, 0)</f>
        <v>24.569299999999998</v>
      </c>
      <c r="C62" s="14">
        <f>24.135 * CHOOSE(CONTROL!$C$9, $D$9, 100%, $F$9) + CHOOSE(CONTROL!$C$27, 0.0021, 0)</f>
        <v>24.1371</v>
      </c>
      <c r="D62" s="14">
        <f>24.135 * CHOOSE(CONTROL!$C$9, $D$9, 100%, $F$9) + CHOOSE(CONTROL!$C$27, 0.0021, 0)</f>
        <v>24.1371</v>
      </c>
      <c r="E62" s="14">
        <f>23.9983 * CHOOSE(CONTROL!$C$9, $D$9, 100%, $F$9) + CHOOSE(CONTROL!$C$27, 0.0021, 0)</f>
        <v>24.000399999999999</v>
      </c>
      <c r="F62" s="14">
        <f>23.9983 * CHOOSE(CONTROL!$C$9, $D$9, 100%, $F$9) + CHOOSE(CONTROL!$C$27, 0.0021, 0)</f>
        <v>24.000399999999999</v>
      </c>
      <c r="G62" s="14">
        <f>24.2697 * CHOOSE(CONTROL!$C$9, $D$9, 100%, $F$9) + CHOOSE(CONTROL!$C$27, 0.0021, 0)</f>
        <v>24.271799999999999</v>
      </c>
      <c r="H62" s="14">
        <f>24.135 * CHOOSE(CONTROL!$C$9, $D$9, 100%, $F$9) + CHOOSE(CONTROL!$C$27, 0.0021, 0)</f>
        <v>24.1371</v>
      </c>
      <c r="I62" s="14">
        <f>24.135 * CHOOSE(CONTROL!$C$9, $D$9, 100%, $F$9) + CHOOSE(CONTROL!$C$27, 0.0021, 0)</f>
        <v>24.1371</v>
      </c>
      <c r="J62" s="14">
        <f>24.135 * CHOOSE(CONTROL!$C$9, $D$9, 100%, $F$9) + CHOOSE(CONTROL!$C$27, 0.0021, 0)</f>
        <v>24.1371</v>
      </c>
      <c r="K62" s="14">
        <f>24.135 * CHOOSE(CONTROL!$C$9, $D$9, 100%, $F$9) + CHOOSE(CONTROL!$C$27, 0.0021, 0)</f>
        <v>24.1371</v>
      </c>
      <c r="L62" s="14"/>
    </row>
    <row r="63" spans="1:12" ht="15" x14ac:dyDescent="0.2">
      <c r="A63" s="13">
        <v>42826</v>
      </c>
      <c r="B63" s="14">
        <f>24.289 * CHOOSE(CONTROL!$C$9, $D$9, 100%, $F$9) + CHOOSE(CONTROL!$C$27, 0.0021, 0)</f>
        <v>24.2911</v>
      </c>
      <c r="C63" s="14">
        <f>23.8567 * CHOOSE(CONTROL!$C$9, $D$9, 100%, $F$9) + CHOOSE(CONTROL!$C$27, 0.0021, 0)</f>
        <v>23.858799999999999</v>
      </c>
      <c r="D63" s="14">
        <f>23.8567 * CHOOSE(CONTROL!$C$9, $D$9, 100%, $F$9) + CHOOSE(CONTROL!$C$27, 0.0021, 0)</f>
        <v>23.858799999999999</v>
      </c>
      <c r="E63" s="14">
        <f>23.7201 * CHOOSE(CONTROL!$C$9, $D$9, 100%, $F$9) + CHOOSE(CONTROL!$C$27, 0.0021, 0)</f>
        <v>23.722199999999997</v>
      </c>
      <c r="F63" s="14">
        <f>23.7201 * CHOOSE(CONTROL!$C$9, $D$9, 100%, $F$9) + CHOOSE(CONTROL!$C$27, 0.0021, 0)</f>
        <v>23.722199999999997</v>
      </c>
      <c r="G63" s="14">
        <f>23.9915 * CHOOSE(CONTROL!$C$9, $D$9, 100%, $F$9) + CHOOSE(CONTROL!$C$27, 0.0021, 0)</f>
        <v>23.993599999999997</v>
      </c>
      <c r="H63" s="14">
        <f>23.8567 * CHOOSE(CONTROL!$C$9, $D$9, 100%, $F$9) + CHOOSE(CONTROL!$C$27, 0.0021, 0)</f>
        <v>23.858799999999999</v>
      </c>
      <c r="I63" s="14">
        <f>23.8567 * CHOOSE(CONTROL!$C$9, $D$9, 100%, $F$9) + CHOOSE(CONTROL!$C$27, 0.0021, 0)</f>
        <v>23.858799999999999</v>
      </c>
      <c r="J63" s="14">
        <f>23.8567 * CHOOSE(CONTROL!$C$9, $D$9, 100%, $F$9) + CHOOSE(CONTROL!$C$27, 0.0021, 0)</f>
        <v>23.858799999999999</v>
      </c>
      <c r="K63" s="14">
        <f>23.8567 * CHOOSE(CONTROL!$C$9, $D$9, 100%, $F$9) + CHOOSE(CONTROL!$C$27, 0.0021, 0)</f>
        <v>23.858799999999999</v>
      </c>
      <c r="L63" s="14"/>
    </row>
    <row r="64" spans="1:12" ht="15" x14ac:dyDescent="0.2">
      <c r="A64" s="13">
        <v>42856</v>
      </c>
      <c r="B64" s="14">
        <f>24.7972 * CHOOSE(CONTROL!$C$9, $D$9, 100%, $F$9) + CHOOSE(CONTROL!$C$27, 0.0021, 0)</f>
        <v>24.799299999999999</v>
      </c>
      <c r="C64" s="14">
        <f>24.3649 * CHOOSE(CONTROL!$C$9, $D$9, 100%, $F$9) + CHOOSE(CONTROL!$C$27, 0.0021, 0)</f>
        <v>24.366999999999997</v>
      </c>
      <c r="D64" s="14">
        <f>24.3649 * CHOOSE(CONTROL!$C$9, $D$9, 100%, $F$9) + CHOOSE(CONTROL!$C$27, 0.0021, 0)</f>
        <v>24.366999999999997</v>
      </c>
      <c r="E64" s="14">
        <f>24.2283 * CHOOSE(CONTROL!$C$9, $D$9, 100%, $F$9) + CHOOSE(CONTROL!$C$27, 0.0021, 0)</f>
        <v>24.230399999999999</v>
      </c>
      <c r="F64" s="14">
        <f>24.2283 * CHOOSE(CONTROL!$C$9, $D$9, 100%, $F$9) + CHOOSE(CONTROL!$C$27, 0.0021, 0)</f>
        <v>24.230399999999999</v>
      </c>
      <c r="G64" s="14">
        <f>24.4997 * CHOOSE(CONTROL!$C$9, $D$9, 100%, $F$9) + CHOOSE(CONTROL!$C$27, 0.0021, 0)</f>
        <v>24.501799999999999</v>
      </c>
      <c r="H64" s="14">
        <f>24.3649 * CHOOSE(CONTROL!$C$9, $D$9, 100%, $F$9) + CHOOSE(CONTROL!$C$27, 0.0021, 0)</f>
        <v>24.366999999999997</v>
      </c>
      <c r="I64" s="14">
        <f>24.3649 * CHOOSE(CONTROL!$C$9, $D$9, 100%, $F$9) + CHOOSE(CONTROL!$C$27, 0.0021, 0)</f>
        <v>24.366999999999997</v>
      </c>
      <c r="J64" s="14">
        <f>24.3649 * CHOOSE(CONTROL!$C$9, $D$9, 100%, $F$9) + CHOOSE(CONTROL!$C$27, 0.0021, 0)</f>
        <v>24.366999999999997</v>
      </c>
      <c r="K64" s="14">
        <f>24.3649 * CHOOSE(CONTROL!$C$9, $D$9, 100%, $F$9) + CHOOSE(CONTROL!$C$27, 0.0021, 0)</f>
        <v>24.366999999999997</v>
      </c>
      <c r="L64" s="14"/>
    </row>
    <row r="65" spans="1:12" ht="15" x14ac:dyDescent="0.2">
      <c r="A65" s="13">
        <v>42887</v>
      </c>
      <c r="B65" s="14">
        <f>25.1214 * CHOOSE(CONTROL!$C$9, $D$9, 100%, $F$9) + CHOOSE(CONTROL!$C$27, 0.0021, 0)</f>
        <v>25.1235</v>
      </c>
      <c r="C65" s="14">
        <f>24.6891 * CHOOSE(CONTROL!$C$9, $D$9, 100%, $F$9) + CHOOSE(CONTROL!$C$27, 0.0021, 0)</f>
        <v>24.691199999999998</v>
      </c>
      <c r="D65" s="14">
        <f>24.6891 * CHOOSE(CONTROL!$C$9, $D$9, 100%, $F$9) + CHOOSE(CONTROL!$C$27, 0.0021, 0)</f>
        <v>24.691199999999998</v>
      </c>
      <c r="E65" s="14">
        <f>24.5525 * CHOOSE(CONTROL!$C$9, $D$9, 100%, $F$9) + CHOOSE(CONTROL!$C$27, 0.0021, 0)</f>
        <v>24.554599999999997</v>
      </c>
      <c r="F65" s="14">
        <f>24.5525 * CHOOSE(CONTROL!$C$9, $D$9, 100%, $F$9) + CHOOSE(CONTROL!$C$27, 0.0021, 0)</f>
        <v>24.554599999999997</v>
      </c>
      <c r="G65" s="14">
        <f>24.8238 * CHOOSE(CONTROL!$C$9, $D$9, 100%, $F$9) + CHOOSE(CONTROL!$C$27, 0.0021, 0)</f>
        <v>24.825899999999997</v>
      </c>
      <c r="H65" s="14">
        <f>24.6891 * CHOOSE(CONTROL!$C$9, $D$9, 100%, $F$9) + CHOOSE(CONTROL!$C$27, 0.0021, 0)</f>
        <v>24.691199999999998</v>
      </c>
      <c r="I65" s="14">
        <f>24.6891 * CHOOSE(CONTROL!$C$9, $D$9, 100%, $F$9) + CHOOSE(CONTROL!$C$27, 0.0021, 0)</f>
        <v>24.691199999999998</v>
      </c>
      <c r="J65" s="14">
        <f>24.6891 * CHOOSE(CONTROL!$C$9, $D$9, 100%, $F$9) + CHOOSE(CONTROL!$C$27, 0.0021, 0)</f>
        <v>24.691199999999998</v>
      </c>
      <c r="K65" s="14">
        <f>24.6891 * CHOOSE(CONTROL!$C$9, $D$9, 100%, $F$9) + CHOOSE(CONTROL!$C$27, 0.0021, 0)</f>
        <v>24.691199999999998</v>
      </c>
      <c r="L65" s="14"/>
    </row>
    <row r="66" spans="1:12" ht="15" x14ac:dyDescent="0.2">
      <c r="A66" s="13">
        <v>42917</v>
      </c>
      <c r="B66" s="14">
        <f>25.6276 * CHOOSE(CONTROL!$C$9, $D$9, 100%, $F$9) + CHOOSE(CONTROL!$C$27, 0.0021, 0)</f>
        <v>25.6297</v>
      </c>
      <c r="C66" s="14">
        <f>25.1954 * CHOOSE(CONTROL!$C$9, $D$9, 100%, $F$9) + CHOOSE(CONTROL!$C$27, 0.0021, 0)</f>
        <v>25.197499999999998</v>
      </c>
      <c r="D66" s="14">
        <f>25.1954 * CHOOSE(CONTROL!$C$9, $D$9, 100%, $F$9) + CHOOSE(CONTROL!$C$27, 0.0021, 0)</f>
        <v>25.197499999999998</v>
      </c>
      <c r="E66" s="14">
        <f>25.0587 * CHOOSE(CONTROL!$C$9, $D$9, 100%, $F$9) + CHOOSE(CONTROL!$C$27, 0.0021, 0)</f>
        <v>25.0608</v>
      </c>
      <c r="F66" s="14">
        <f>25.0587 * CHOOSE(CONTROL!$C$9, $D$9, 100%, $F$9) + CHOOSE(CONTROL!$C$27, 0.0021, 0)</f>
        <v>25.0608</v>
      </c>
      <c r="G66" s="14">
        <f>25.3301 * CHOOSE(CONTROL!$C$9, $D$9, 100%, $F$9) + CHOOSE(CONTROL!$C$27, 0.0021, 0)</f>
        <v>25.3322</v>
      </c>
      <c r="H66" s="14">
        <f>25.1954 * CHOOSE(CONTROL!$C$9, $D$9, 100%, $F$9) + CHOOSE(CONTROL!$C$27, 0.0021, 0)</f>
        <v>25.197499999999998</v>
      </c>
      <c r="I66" s="14">
        <f>25.1954 * CHOOSE(CONTROL!$C$9, $D$9, 100%, $F$9) + CHOOSE(CONTROL!$C$27, 0.0021, 0)</f>
        <v>25.197499999999998</v>
      </c>
      <c r="J66" s="14">
        <f>25.1954 * CHOOSE(CONTROL!$C$9, $D$9, 100%, $F$9) + CHOOSE(CONTROL!$C$27, 0.0021, 0)</f>
        <v>25.197499999999998</v>
      </c>
      <c r="K66" s="14">
        <f>25.1954 * CHOOSE(CONTROL!$C$9, $D$9, 100%, $F$9) + CHOOSE(CONTROL!$C$27, 0.0021, 0)</f>
        <v>25.197499999999998</v>
      </c>
      <c r="L66" s="14"/>
    </row>
    <row r="67" spans="1:12" ht="15" x14ac:dyDescent="0.2">
      <c r="A67" s="13">
        <v>42948</v>
      </c>
      <c r="B67" s="14">
        <f>25.8162 * CHOOSE(CONTROL!$C$9, $D$9, 100%, $F$9) + CHOOSE(CONTROL!$C$27, 0.0021, 0)</f>
        <v>25.818299999999997</v>
      </c>
      <c r="C67" s="14">
        <f>25.3839 * CHOOSE(CONTROL!$C$9, $D$9, 100%, $F$9) + CHOOSE(CONTROL!$C$27, 0.0021, 0)</f>
        <v>25.385999999999999</v>
      </c>
      <c r="D67" s="14">
        <f>25.3839 * CHOOSE(CONTROL!$C$9, $D$9, 100%, $F$9) + CHOOSE(CONTROL!$C$27, 0.0021, 0)</f>
        <v>25.385999999999999</v>
      </c>
      <c r="E67" s="14">
        <f>25.2473 * CHOOSE(CONTROL!$C$9, $D$9, 100%, $F$9) + CHOOSE(CONTROL!$C$27, 0.0021, 0)</f>
        <v>25.249399999999998</v>
      </c>
      <c r="F67" s="14">
        <f>25.2473 * CHOOSE(CONTROL!$C$9, $D$9, 100%, $F$9) + CHOOSE(CONTROL!$C$27, 0.0021, 0)</f>
        <v>25.249399999999998</v>
      </c>
      <c r="G67" s="14">
        <f>25.5186 * CHOOSE(CONTROL!$C$9, $D$9, 100%, $F$9) + CHOOSE(CONTROL!$C$27, 0.0021, 0)</f>
        <v>25.520699999999998</v>
      </c>
      <c r="H67" s="14">
        <f>25.3839 * CHOOSE(CONTROL!$C$9, $D$9, 100%, $F$9) + CHOOSE(CONTROL!$C$27, 0.0021, 0)</f>
        <v>25.385999999999999</v>
      </c>
      <c r="I67" s="14">
        <f>25.3839 * CHOOSE(CONTROL!$C$9, $D$9, 100%, $F$9) + CHOOSE(CONTROL!$C$27, 0.0021, 0)</f>
        <v>25.385999999999999</v>
      </c>
      <c r="J67" s="14">
        <f>25.3839 * CHOOSE(CONTROL!$C$9, $D$9, 100%, $F$9) + CHOOSE(CONTROL!$C$27, 0.0021, 0)</f>
        <v>25.385999999999999</v>
      </c>
      <c r="K67" s="14">
        <f>25.3839 * CHOOSE(CONTROL!$C$9, $D$9, 100%, $F$9) + CHOOSE(CONTROL!$C$27, 0.0021, 0)</f>
        <v>25.385999999999999</v>
      </c>
      <c r="L67" s="14"/>
    </row>
    <row r="68" spans="1:12" ht="15" x14ac:dyDescent="0.2">
      <c r="A68" s="13">
        <v>42979</v>
      </c>
      <c r="B68" s="14">
        <f>26.344 * CHOOSE(CONTROL!$C$9, $D$9, 100%, $F$9) + CHOOSE(CONTROL!$C$27, 0.0021, 0)</f>
        <v>26.3461</v>
      </c>
      <c r="C68" s="14">
        <f>25.9117 * CHOOSE(CONTROL!$C$9, $D$9, 100%, $F$9) + CHOOSE(CONTROL!$C$27, 0.0021, 0)</f>
        <v>25.913799999999998</v>
      </c>
      <c r="D68" s="14">
        <f>25.9117 * CHOOSE(CONTROL!$C$9, $D$9, 100%, $F$9) + CHOOSE(CONTROL!$C$27, 0.0021, 0)</f>
        <v>25.913799999999998</v>
      </c>
      <c r="E68" s="14">
        <f>25.7751 * CHOOSE(CONTROL!$C$9, $D$9, 100%, $F$9) + CHOOSE(CONTROL!$C$27, 0.0021, 0)</f>
        <v>25.777199999999997</v>
      </c>
      <c r="F68" s="14">
        <f>25.7751 * CHOOSE(CONTROL!$C$9, $D$9, 100%, $F$9) + CHOOSE(CONTROL!$C$27, 0.0021, 0)</f>
        <v>25.777199999999997</v>
      </c>
      <c r="G68" s="14">
        <f>26.0464 * CHOOSE(CONTROL!$C$9, $D$9, 100%, $F$9) + CHOOSE(CONTROL!$C$27, 0.0021, 0)</f>
        <v>26.048499999999997</v>
      </c>
      <c r="H68" s="14">
        <f>25.9117 * CHOOSE(CONTROL!$C$9, $D$9, 100%, $F$9) + CHOOSE(CONTROL!$C$27, 0.0021, 0)</f>
        <v>25.913799999999998</v>
      </c>
      <c r="I68" s="14">
        <f>25.9117 * CHOOSE(CONTROL!$C$9, $D$9, 100%, $F$9) + CHOOSE(CONTROL!$C$27, 0.0021, 0)</f>
        <v>25.913799999999998</v>
      </c>
      <c r="J68" s="14">
        <f>25.9117 * CHOOSE(CONTROL!$C$9, $D$9, 100%, $F$9) + CHOOSE(CONTROL!$C$27, 0.0021, 0)</f>
        <v>25.913799999999998</v>
      </c>
      <c r="K68" s="14">
        <f>25.9117 * CHOOSE(CONTROL!$C$9, $D$9, 100%, $F$9) + CHOOSE(CONTROL!$C$27, 0.0021, 0)</f>
        <v>25.913799999999998</v>
      </c>
      <c r="L68" s="14"/>
    </row>
    <row r="69" spans="1:12" ht="15" x14ac:dyDescent="0.2">
      <c r="A69" s="13">
        <v>43009</v>
      </c>
      <c r="B69" s="14">
        <f>27.0015 * CHOOSE(CONTROL!$C$9, $D$9, 100%, $F$9) + CHOOSE(CONTROL!$C$27, 0.0021, 0)</f>
        <v>27.003599999999999</v>
      </c>
      <c r="C69" s="14">
        <f>26.5693 * CHOOSE(CONTROL!$C$9, $D$9, 100%, $F$9) + CHOOSE(CONTROL!$C$27, 0.0021, 0)</f>
        <v>26.571399999999997</v>
      </c>
      <c r="D69" s="14">
        <f>26.5693 * CHOOSE(CONTROL!$C$9, $D$9, 100%, $F$9) + CHOOSE(CONTROL!$C$27, 0.0021, 0)</f>
        <v>26.571399999999997</v>
      </c>
      <c r="E69" s="14">
        <f>26.4326 * CHOOSE(CONTROL!$C$9, $D$9, 100%, $F$9) + CHOOSE(CONTROL!$C$27, 0.0021, 0)</f>
        <v>26.434699999999999</v>
      </c>
      <c r="F69" s="14">
        <f>26.4326 * CHOOSE(CONTROL!$C$9, $D$9, 100%, $F$9) + CHOOSE(CONTROL!$C$27, 0.0021, 0)</f>
        <v>26.434699999999999</v>
      </c>
      <c r="G69" s="14">
        <f>26.704 * CHOOSE(CONTROL!$C$9, $D$9, 100%, $F$9) + CHOOSE(CONTROL!$C$27, 0.0021, 0)</f>
        <v>26.706099999999999</v>
      </c>
      <c r="H69" s="14">
        <f>26.5693 * CHOOSE(CONTROL!$C$9, $D$9, 100%, $F$9) + CHOOSE(CONTROL!$C$27, 0.0021, 0)</f>
        <v>26.571399999999997</v>
      </c>
      <c r="I69" s="14">
        <f>26.5693 * CHOOSE(CONTROL!$C$9, $D$9, 100%, $F$9) + CHOOSE(CONTROL!$C$27, 0.0021, 0)</f>
        <v>26.571399999999997</v>
      </c>
      <c r="J69" s="14">
        <f>26.5693 * CHOOSE(CONTROL!$C$9, $D$9, 100%, $F$9) + CHOOSE(CONTROL!$C$27, 0.0021, 0)</f>
        <v>26.571399999999997</v>
      </c>
      <c r="K69" s="14">
        <f>26.5693 * CHOOSE(CONTROL!$C$9, $D$9, 100%, $F$9) + CHOOSE(CONTROL!$C$27, 0.0021, 0)</f>
        <v>26.571399999999997</v>
      </c>
      <c r="L69" s="14"/>
    </row>
    <row r="70" spans="1:12" ht="15" x14ac:dyDescent="0.2">
      <c r="A70" s="13">
        <v>43040</v>
      </c>
      <c r="B70" s="14">
        <f>27.1096 * CHOOSE(CONTROL!$C$9, $D$9, 100%, $F$9) + CHOOSE(CONTROL!$C$27, 0.0021, 0)</f>
        <v>27.111699999999999</v>
      </c>
      <c r="C70" s="14">
        <f>26.6774 * CHOOSE(CONTROL!$C$9, $D$9, 100%, $F$9) + CHOOSE(CONTROL!$C$27, 0.0021, 0)</f>
        <v>26.679499999999997</v>
      </c>
      <c r="D70" s="14">
        <f>26.6774 * CHOOSE(CONTROL!$C$9, $D$9, 100%, $F$9) + CHOOSE(CONTROL!$C$27, 0.0021, 0)</f>
        <v>26.679499999999997</v>
      </c>
      <c r="E70" s="14">
        <f>26.5407 * CHOOSE(CONTROL!$C$9, $D$9, 100%, $F$9) + CHOOSE(CONTROL!$C$27, 0.0021, 0)</f>
        <v>26.5428</v>
      </c>
      <c r="F70" s="14">
        <f>26.5407 * CHOOSE(CONTROL!$C$9, $D$9, 100%, $F$9) + CHOOSE(CONTROL!$C$27, 0.0021, 0)</f>
        <v>26.5428</v>
      </c>
      <c r="G70" s="14">
        <f>26.8121 * CHOOSE(CONTROL!$C$9, $D$9, 100%, $F$9) + CHOOSE(CONTROL!$C$27, 0.0021, 0)</f>
        <v>26.8142</v>
      </c>
      <c r="H70" s="14">
        <f>26.6774 * CHOOSE(CONTROL!$C$9, $D$9, 100%, $F$9) + CHOOSE(CONTROL!$C$27, 0.0021, 0)</f>
        <v>26.679499999999997</v>
      </c>
      <c r="I70" s="14">
        <f>26.6774 * CHOOSE(CONTROL!$C$9, $D$9, 100%, $F$9) + CHOOSE(CONTROL!$C$27, 0.0021, 0)</f>
        <v>26.679499999999997</v>
      </c>
      <c r="J70" s="14">
        <f>26.6774 * CHOOSE(CONTROL!$C$9, $D$9, 100%, $F$9) + CHOOSE(CONTROL!$C$27, 0.0021, 0)</f>
        <v>26.679499999999997</v>
      </c>
      <c r="K70" s="14">
        <f>26.6774 * CHOOSE(CONTROL!$C$9, $D$9, 100%, $F$9) + CHOOSE(CONTROL!$C$27, 0.0021, 0)</f>
        <v>26.679499999999997</v>
      </c>
      <c r="L70" s="14"/>
    </row>
    <row r="71" spans="1:12" ht="15" x14ac:dyDescent="0.2">
      <c r="A71" s="13">
        <v>43070</v>
      </c>
      <c r="B71" s="14">
        <f>26.6731 * CHOOSE(CONTROL!$C$9, $D$9, 100%, $F$9) + CHOOSE(CONTROL!$C$27, 0.0021, 0)</f>
        <v>26.6752</v>
      </c>
      <c r="C71" s="14">
        <f>26.2409 * CHOOSE(CONTROL!$C$9, $D$9, 100%, $F$9) + CHOOSE(CONTROL!$C$27, 0.0021, 0)</f>
        <v>26.242999999999999</v>
      </c>
      <c r="D71" s="14">
        <f>26.2409 * CHOOSE(CONTROL!$C$9, $D$9, 100%, $F$9) + CHOOSE(CONTROL!$C$27, 0.0021, 0)</f>
        <v>26.242999999999999</v>
      </c>
      <c r="E71" s="14">
        <f>26.1042 * CHOOSE(CONTROL!$C$9, $D$9, 100%, $F$9) + CHOOSE(CONTROL!$C$27, 0.0021, 0)</f>
        <v>26.106299999999997</v>
      </c>
      <c r="F71" s="14">
        <f>26.1042 * CHOOSE(CONTROL!$C$9, $D$9, 100%, $F$9) + CHOOSE(CONTROL!$C$27, 0.0021, 0)</f>
        <v>26.106299999999997</v>
      </c>
      <c r="G71" s="14">
        <f>26.3756 * CHOOSE(CONTROL!$C$9, $D$9, 100%, $F$9) + CHOOSE(CONTROL!$C$27, 0.0021, 0)</f>
        <v>26.377699999999997</v>
      </c>
      <c r="H71" s="14">
        <f>26.2409 * CHOOSE(CONTROL!$C$9, $D$9, 100%, $F$9) + CHOOSE(CONTROL!$C$27, 0.0021, 0)</f>
        <v>26.242999999999999</v>
      </c>
      <c r="I71" s="14">
        <f>26.2409 * CHOOSE(CONTROL!$C$9, $D$9, 100%, $F$9) + CHOOSE(CONTROL!$C$27, 0.0021, 0)</f>
        <v>26.242999999999999</v>
      </c>
      <c r="J71" s="14">
        <f>26.2409 * CHOOSE(CONTROL!$C$9, $D$9, 100%, $F$9) + CHOOSE(CONTROL!$C$27, 0.0021, 0)</f>
        <v>26.242999999999999</v>
      </c>
      <c r="K71" s="14">
        <f>26.2409 * CHOOSE(CONTROL!$C$9, $D$9, 100%, $F$9) + CHOOSE(CONTROL!$C$27, 0.0021, 0)</f>
        <v>26.242999999999999</v>
      </c>
      <c r="L71" s="14"/>
    </row>
    <row r="72" spans="1:12" ht="15" x14ac:dyDescent="0.2">
      <c r="A72" s="13">
        <v>43101</v>
      </c>
      <c r="B72" s="14">
        <f>29.0805 * CHOOSE(CONTROL!$C$9, $D$9, 100%, $F$9) + CHOOSE(CONTROL!$C$27, 0.0021, 0)</f>
        <v>29.082599999999999</v>
      </c>
      <c r="C72" s="14">
        <f>28.6483 * CHOOSE(CONTROL!$C$9, $D$9, 100%, $F$9) + CHOOSE(CONTROL!$C$27, 0.0021, 0)</f>
        <v>28.650399999999998</v>
      </c>
      <c r="D72" s="14">
        <f>28.6483 * CHOOSE(CONTROL!$C$9, $D$9, 100%, $F$9) + CHOOSE(CONTROL!$C$27, 0.0021, 0)</f>
        <v>28.650399999999998</v>
      </c>
      <c r="E72" s="14">
        <f>28.5116 * CHOOSE(CONTROL!$C$9, $D$9, 100%, $F$9) + CHOOSE(CONTROL!$C$27, 0.0021, 0)</f>
        <v>28.5137</v>
      </c>
      <c r="F72" s="14">
        <f>28.5116 * CHOOSE(CONTROL!$C$9, $D$9, 100%, $F$9) + CHOOSE(CONTROL!$C$27, 0.0021, 0)</f>
        <v>28.5137</v>
      </c>
      <c r="G72" s="14">
        <f>28.783 * CHOOSE(CONTROL!$C$9, $D$9, 100%, $F$9) + CHOOSE(CONTROL!$C$27, 0.0021, 0)</f>
        <v>28.7851</v>
      </c>
      <c r="H72" s="14">
        <f>28.6483 * CHOOSE(CONTROL!$C$9, $D$9, 100%, $F$9) + CHOOSE(CONTROL!$C$27, 0.0021, 0)</f>
        <v>28.650399999999998</v>
      </c>
      <c r="I72" s="14">
        <f>28.6483 * CHOOSE(CONTROL!$C$9, $D$9, 100%, $F$9) + CHOOSE(CONTROL!$C$27, 0.0021, 0)</f>
        <v>28.650399999999998</v>
      </c>
      <c r="J72" s="14">
        <f>28.6483 * CHOOSE(CONTROL!$C$9, $D$9, 100%, $F$9) + CHOOSE(CONTROL!$C$27, 0.0021, 0)</f>
        <v>28.650399999999998</v>
      </c>
      <c r="K72" s="14">
        <f>28.6483 * CHOOSE(CONTROL!$C$9, $D$9, 100%, $F$9) + CHOOSE(CONTROL!$C$27, 0.0021, 0)</f>
        <v>28.650399999999998</v>
      </c>
      <c r="L72" s="14"/>
    </row>
    <row r="73" spans="1:12" ht="15" x14ac:dyDescent="0.2">
      <c r="A73" s="13">
        <v>43132</v>
      </c>
      <c r="B73" s="14">
        <f>28.3764 * CHOOSE(CONTROL!$C$9, $D$9, 100%, $F$9) + CHOOSE(CONTROL!$C$27, 0.0021, 0)</f>
        <v>28.378499999999999</v>
      </c>
      <c r="C73" s="14">
        <f>27.9442 * CHOOSE(CONTROL!$C$9, $D$9, 100%, $F$9) + CHOOSE(CONTROL!$C$27, 0.0021, 0)</f>
        <v>27.946299999999997</v>
      </c>
      <c r="D73" s="14">
        <f>27.9442 * CHOOSE(CONTROL!$C$9, $D$9, 100%, $F$9) + CHOOSE(CONTROL!$C$27, 0.0021, 0)</f>
        <v>27.946299999999997</v>
      </c>
      <c r="E73" s="14">
        <f>27.8075 * CHOOSE(CONTROL!$C$9, $D$9, 100%, $F$9) + CHOOSE(CONTROL!$C$27, 0.0021, 0)</f>
        <v>27.8096</v>
      </c>
      <c r="F73" s="14">
        <f>27.8075 * CHOOSE(CONTROL!$C$9, $D$9, 100%, $F$9) + CHOOSE(CONTROL!$C$27, 0.0021, 0)</f>
        <v>27.8096</v>
      </c>
      <c r="G73" s="14">
        <f>28.0789 * CHOOSE(CONTROL!$C$9, $D$9, 100%, $F$9) + CHOOSE(CONTROL!$C$27, 0.0021, 0)</f>
        <v>28.081</v>
      </c>
      <c r="H73" s="14">
        <f>27.9442 * CHOOSE(CONTROL!$C$9, $D$9, 100%, $F$9) + CHOOSE(CONTROL!$C$27, 0.0021, 0)</f>
        <v>27.946299999999997</v>
      </c>
      <c r="I73" s="14">
        <f>27.9442 * CHOOSE(CONTROL!$C$9, $D$9, 100%, $F$9) + CHOOSE(CONTROL!$C$27, 0.0021, 0)</f>
        <v>27.946299999999997</v>
      </c>
      <c r="J73" s="14">
        <f>27.9442 * CHOOSE(CONTROL!$C$9, $D$9, 100%, $F$9) + CHOOSE(CONTROL!$C$27, 0.0021, 0)</f>
        <v>27.946299999999997</v>
      </c>
      <c r="K73" s="14">
        <f>27.9442 * CHOOSE(CONTROL!$C$9, $D$9, 100%, $F$9) + CHOOSE(CONTROL!$C$27, 0.0021, 0)</f>
        <v>27.946299999999997</v>
      </c>
      <c r="L73" s="14"/>
    </row>
    <row r="74" spans="1:12" ht="15" x14ac:dyDescent="0.2">
      <c r="A74" s="13">
        <v>43160</v>
      </c>
      <c r="B74" s="14">
        <f>28.1161 * CHOOSE(CONTROL!$C$9, $D$9, 100%, $F$9) + CHOOSE(CONTROL!$C$27, 0.0021, 0)</f>
        <v>28.118199999999998</v>
      </c>
      <c r="C74" s="14">
        <f>27.6838 * CHOOSE(CONTROL!$C$9, $D$9, 100%, $F$9) + CHOOSE(CONTROL!$C$27, 0.0021, 0)</f>
        <v>27.6859</v>
      </c>
      <c r="D74" s="14">
        <f>27.6838 * CHOOSE(CONTROL!$C$9, $D$9, 100%, $F$9) + CHOOSE(CONTROL!$C$27, 0.0021, 0)</f>
        <v>27.6859</v>
      </c>
      <c r="E74" s="14">
        <f>27.5472 * CHOOSE(CONTROL!$C$9, $D$9, 100%, $F$9) + CHOOSE(CONTROL!$C$27, 0.0021, 0)</f>
        <v>27.549299999999999</v>
      </c>
      <c r="F74" s="14">
        <f>27.5472 * CHOOSE(CONTROL!$C$9, $D$9, 100%, $F$9) + CHOOSE(CONTROL!$C$27, 0.0021, 0)</f>
        <v>27.549299999999999</v>
      </c>
      <c r="G74" s="14">
        <f>27.8185 * CHOOSE(CONTROL!$C$9, $D$9, 100%, $F$9) + CHOOSE(CONTROL!$C$27, 0.0021, 0)</f>
        <v>27.820599999999999</v>
      </c>
      <c r="H74" s="14">
        <f>27.6838 * CHOOSE(CONTROL!$C$9, $D$9, 100%, $F$9) + CHOOSE(CONTROL!$C$27, 0.0021, 0)</f>
        <v>27.6859</v>
      </c>
      <c r="I74" s="14">
        <f>27.6838 * CHOOSE(CONTROL!$C$9, $D$9, 100%, $F$9) + CHOOSE(CONTROL!$C$27, 0.0021, 0)</f>
        <v>27.6859</v>
      </c>
      <c r="J74" s="14">
        <f>27.6838 * CHOOSE(CONTROL!$C$9, $D$9, 100%, $F$9) + CHOOSE(CONTROL!$C$27, 0.0021, 0)</f>
        <v>27.6859</v>
      </c>
      <c r="K74" s="14">
        <f>27.6838 * CHOOSE(CONTROL!$C$9, $D$9, 100%, $F$9) + CHOOSE(CONTROL!$C$27, 0.0021, 0)</f>
        <v>27.6859</v>
      </c>
      <c r="L74" s="14"/>
    </row>
    <row r="75" spans="1:12" ht="15" x14ac:dyDescent="0.2">
      <c r="A75" s="13">
        <v>43191</v>
      </c>
      <c r="B75" s="14">
        <f>27.7935 * CHOOSE(CONTROL!$C$9, $D$9, 100%, $F$9) + CHOOSE(CONTROL!$C$27, 0.0021, 0)</f>
        <v>27.7956</v>
      </c>
      <c r="C75" s="14">
        <f>27.3612 * CHOOSE(CONTROL!$C$9, $D$9, 100%, $F$9) + CHOOSE(CONTROL!$C$27, 0.0021, 0)</f>
        <v>27.363299999999999</v>
      </c>
      <c r="D75" s="14">
        <f>27.3612 * CHOOSE(CONTROL!$C$9, $D$9, 100%, $F$9) + CHOOSE(CONTROL!$C$27, 0.0021, 0)</f>
        <v>27.363299999999999</v>
      </c>
      <c r="E75" s="14">
        <f>27.2246 * CHOOSE(CONTROL!$C$9, $D$9, 100%, $F$9) + CHOOSE(CONTROL!$C$27, 0.0021, 0)</f>
        <v>27.226699999999997</v>
      </c>
      <c r="F75" s="14">
        <f>27.2246 * CHOOSE(CONTROL!$C$9, $D$9, 100%, $F$9) + CHOOSE(CONTROL!$C$27, 0.0021, 0)</f>
        <v>27.226699999999997</v>
      </c>
      <c r="G75" s="14">
        <f>27.496 * CHOOSE(CONTROL!$C$9, $D$9, 100%, $F$9) + CHOOSE(CONTROL!$C$27, 0.0021, 0)</f>
        <v>27.498099999999997</v>
      </c>
      <c r="H75" s="14">
        <f>27.3612 * CHOOSE(CONTROL!$C$9, $D$9, 100%, $F$9) + CHOOSE(CONTROL!$C$27, 0.0021, 0)</f>
        <v>27.363299999999999</v>
      </c>
      <c r="I75" s="14">
        <f>27.3612 * CHOOSE(CONTROL!$C$9, $D$9, 100%, $F$9) + CHOOSE(CONTROL!$C$27, 0.0021, 0)</f>
        <v>27.363299999999999</v>
      </c>
      <c r="J75" s="14">
        <f>27.3612 * CHOOSE(CONTROL!$C$9, $D$9, 100%, $F$9) + CHOOSE(CONTROL!$C$27, 0.0021, 0)</f>
        <v>27.363299999999999</v>
      </c>
      <c r="K75" s="14">
        <f>27.3612 * CHOOSE(CONTROL!$C$9, $D$9, 100%, $F$9) + CHOOSE(CONTROL!$C$27, 0.0021, 0)</f>
        <v>27.363299999999999</v>
      </c>
      <c r="L75" s="14"/>
    </row>
    <row r="76" spans="1:12" ht="15" x14ac:dyDescent="0.2">
      <c r="A76" s="13">
        <v>43221</v>
      </c>
      <c r="B76" s="14">
        <f>28.3827 * CHOOSE(CONTROL!$C$9, $D$9, 100%, $F$9) + CHOOSE(CONTROL!$C$27, 0.0021, 0)</f>
        <v>28.384799999999998</v>
      </c>
      <c r="C76" s="14">
        <f>27.9504 * CHOOSE(CONTROL!$C$9, $D$9, 100%, $F$9) + CHOOSE(CONTROL!$C$27, 0.0021, 0)</f>
        <v>27.952499999999997</v>
      </c>
      <c r="D76" s="14">
        <f>27.9504 * CHOOSE(CONTROL!$C$9, $D$9, 100%, $F$9) + CHOOSE(CONTROL!$C$27, 0.0021, 0)</f>
        <v>27.952499999999997</v>
      </c>
      <c r="E76" s="14">
        <f>27.8138 * CHOOSE(CONTROL!$C$9, $D$9, 100%, $F$9) + CHOOSE(CONTROL!$C$27, 0.0021, 0)</f>
        <v>27.815899999999999</v>
      </c>
      <c r="F76" s="14">
        <f>27.8138 * CHOOSE(CONTROL!$C$9, $D$9, 100%, $F$9) + CHOOSE(CONTROL!$C$27, 0.0021, 0)</f>
        <v>27.815899999999999</v>
      </c>
      <c r="G76" s="14">
        <f>28.0851 * CHOOSE(CONTROL!$C$9, $D$9, 100%, $F$9) + CHOOSE(CONTROL!$C$27, 0.0021, 0)</f>
        <v>28.087199999999999</v>
      </c>
      <c r="H76" s="14">
        <f>27.9504 * CHOOSE(CONTROL!$C$9, $D$9, 100%, $F$9) + CHOOSE(CONTROL!$C$27, 0.0021, 0)</f>
        <v>27.952499999999997</v>
      </c>
      <c r="I76" s="14">
        <f>27.9504 * CHOOSE(CONTROL!$C$9, $D$9, 100%, $F$9) + CHOOSE(CONTROL!$C$27, 0.0021, 0)</f>
        <v>27.952499999999997</v>
      </c>
      <c r="J76" s="14">
        <f>27.9504 * CHOOSE(CONTROL!$C$9, $D$9, 100%, $F$9) + CHOOSE(CONTROL!$C$27, 0.0021, 0)</f>
        <v>27.952499999999997</v>
      </c>
      <c r="K76" s="14">
        <f>27.9504 * CHOOSE(CONTROL!$C$9, $D$9, 100%, $F$9) + CHOOSE(CONTROL!$C$27, 0.0021, 0)</f>
        <v>27.952499999999997</v>
      </c>
      <c r="L76" s="14"/>
    </row>
    <row r="77" spans="1:12" ht="15" x14ac:dyDescent="0.2">
      <c r="A77" s="13">
        <v>43252</v>
      </c>
      <c r="B77" s="14">
        <f>28.7585 * CHOOSE(CONTROL!$C$9, $D$9, 100%, $F$9) + CHOOSE(CONTROL!$C$27, 0.0021, 0)</f>
        <v>28.7606</v>
      </c>
      <c r="C77" s="14">
        <f>28.3262 * CHOOSE(CONTROL!$C$9, $D$9, 100%, $F$9) + CHOOSE(CONTROL!$C$27, 0.0021, 0)</f>
        <v>28.328299999999999</v>
      </c>
      <c r="D77" s="14">
        <f>28.3262 * CHOOSE(CONTROL!$C$9, $D$9, 100%, $F$9) + CHOOSE(CONTROL!$C$27, 0.0021, 0)</f>
        <v>28.328299999999999</v>
      </c>
      <c r="E77" s="14">
        <f>28.1896 * CHOOSE(CONTROL!$C$9, $D$9, 100%, $F$9) + CHOOSE(CONTROL!$C$27, 0.0021, 0)</f>
        <v>28.191699999999997</v>
      </c>
      <c r="F77" s="14">
        <f>28.1896 * CHOOSE(CONTROL!$C$9, $D$9, 100%, $F$9) + CHOOSE(CONTROL!$C$27, 0.0021, 0)</f>
        <v>28.191699999999997</v>
      </c>
      <c r="G77" s="14">
        <f>28.461 * CHOOSE(CONTROL!$C$9, $D$9, 100%, $F$9) + CHOOSE(CONTROL!$C$27, 0.0021, 0)</f>
        <v>28.463099999999997</v>
      </c>
      <c r="H77" s="14">
        <f>28.3262 * CHOOSE(CONTROL!$C$9, $D$9, 100%, $F$9) + CHOOSE(CONTROL!$C$27, 0.0021, 0)</f>
        <v>28.328299999999999</v>
      </c>
      <c r="I77" s="14">
        <f>28.3262 * CHOOSE(CONTROL!$C$9, $D$9, 100%, $F$9) + CHOOSE(CONTROL!$C$27, 0.0021, 0)</f>
        <v>28.328299999999999</v>
      </c>
      <c r="J77" s="14">
        <f>28.3262 * CHOOSE(CONTROL!$C$9, $D$9, 100%, $F$9) + CHOOSE(CONTROL!$C$27, 0.0021, 0)</f>
        <v>28.328299999999999</v>
      </c>
      <c r="K77" s="14">
        <f>28.3262 * CHOOSE(CONTROL!$C$9, $D$9, 100%, $F$9) + CHOOSE(CONTROL!$C$27, 0.0021, 0)</f>
        <v>28.328299999999999</v>
      </c>
      <c r="L77" s="14"/>
    </row>
    <row r="78" spans="1:12" ht="15" x14ac:dyDescent="0.2">
      <c r="A78" s="13">
        <v>43282</v>
      </c>
      <c r="B78" s="14">
        <f>29.3454 * CHOOSE(CONTROL!$C$9, $D$9, 100%, $F$9) + CHOOSE(CONTROL!$C$27, 0.0021, 0)</f>
        <v>29.3475</v>
      </c>
      <c r="C78" s="14">
        <f>28.9132 * CHOOSE(CONTROL!$C$9, $D$9, 100%, $F$9) + CHOOSE(CONTROL!$C$27, 0.0021, 0)</f>
        <v>28.915299999999998</v>
      </c>
      <c r="D78" s="14">
        <f>28.9132 * CHOOSE(CONTROL!$C$9, $D$9, 100%, $F$9) + CHOOSE(CONTROL!$C$27, 0.0021, 0)</f>
        <v>28.915299999999998</v>
      </c>
      <c r="E78" s="14">
        <f>28.7765 * CHOOSE(CONTROL!$C$9, $D$9, 100%, $F$9) + CHOOSE(CONTROL!$C$27, 0.0021, 0)</f>
        <v>28.778599999999997</v>
      </c>
      <c r="F78" s="14">
        <f>28.7765 * CHOOSE(CONTROL!$C$9, $D$9, 100%, $F$9) + CHOOSE(CONTROL!$C$27, 0.0021, 0)</f>
        <v>28.778599999999997</v>
      </c>
      <c r="G78" s="14">
        <f>29.0479 * CHOOSE(CONTROL!$C$9, $D$9, 100%, $F$9) + CHOOSE(CONTROL!$C$27, 0.0021, 0)</f>
        <v>29.049999999999997</v>
      </c>
      <c r="H78" s="14">
        <f>28.9132 * CHOOSE(CONTROL!$C$9, $D$9, 100%, $F$9) + CHOOSE(CONTROL!$C$27, 0.0021, 0)</f>
        <v>28.915299999999998</v>
      </c>
      <c r="I78" s="14">
        <f>28.9132 * CHOOSE(CONTROL!$C$9, $D$9, 100%, $F$9) + CHOOSE(CONTROL!$C$27, 0.0021, 0)</f>
        <v>28.915299999999998</v>
      </c>
      <c r="J78" s="14">
        <f>28.9132 * CHOOSE(CONTROL!$C$9, $D$9, 100%, $F$9) + CHOOSE(CONTROL!$C$27, 0.0021, 0)</f>
        <v>28.915299999999998</v>
      </c>
      <c r="K78" s="14">
        <f>28.9132 * CHOOSE(CONTROL!$C$9, $D$9, 100%, $F$9) + CHOOSE(CONTROL!$C$27, 0.0021, 0)</f>
        <v>28.915299999999998</v>
      </c>
      <c r="L78" s="14"/>
    </row>
    <row r="79" spans="1:12" ht="15" x14ac:dyDescent="0.2">
      <c r="A79" s="13">
        <v>43313</v>
      </c>
      <c r="B79" s="14">
        <f>29.564 * CHOOSE(CONTROL!$C$9, $D$9, 100%, $F$9) + CHOOSE(CONTROL!$C$27, 0.0021, 0)</f>
        <v>29.566099999999999</v>
      </c>
      <c r="C79" s="14">
        <f>29.1317 * CHOOSE(CONTROL!$C$9, $D$9, 100%, $F$9) + CHOOSE(CONTROL!$C$27, 0.0021, 0)</f>
        <v>29.133799999999997</v>
      </c>
      <c r="D79" s="14">
        <f>29.1317 * CHOOSE(CONTROL!$C$9, $D$9, 100%, $F$9) + CHOOSE(CONTROL!$C$27, 0.0021, 0)</f>
        <v>29.133799999999997</v>
      </c>
      <c r="E79" s="14">
        <f>28.9951 * CHOOSE(CONTROL!$C$9, $D$9, 100%, $F$9) + CHOOSE(CONTROL!$C$27, 0.0021, 0)</f>
        <v>28.997199999999999</v>
      </c>
      <c r="F79" s="14">
        <f>28.9951 * CHOOSE(CONTROL!$C$9, $D$9, 100%, $F$9) + CHOOSE(CONTROL!$C$27, 0.0021, 0)</f>
        <v>28.997199999999999</v>
      </c>
      <c r="G79" s="14">
        <f>29.2665 * CHOOSE(CONTROL!$C$9, $D$9, 100%, $F$9) + CHOOSE(CONTROL!$C$27, 0.0021, 0)</f>
        <v>29.268599999999999</v>
      </c>
      <c r="H79" s="14">
        <f>29.1317 * CHOOSE(CONTROL!$C$9, $D$9, 100%, $F$9) + CHOOSE(CONTROL!$C$27, 0.0021, 0)</f>
        <v>29.133799999999997</v>
      </c>
      <c r="I79" s="14">
        <f>29.1317 * CHOOSE(CONTROL!$C$9, $D$9, 100%, $F$9) + CHOOSE(CONTROL!$C$27, 0.0021, 0)</f>
        <v>29.133799999999997</v>
      </c>
      <c r="J79" s="14">
        <f>29.1317 * CHOOSE(CONTROL!$C$9, $D$9, 100%, $F$9) + CHOOSE(CONTROL!$C$27, 0.0021, 0)</f>
        <v>29.133799999999997</v>
      </c>
      <c r="K79" s="14">
        <f>29.1317 * CHOOSE(CONTROL!$C$9, $D$9, 100%, $F$9) + CHOOSE(CONTROL!$C$27, 0.0021, 0)</f>
        <v>29.133799999999997</v>
      </c>
      <c r="L79" s="14"/>
    </row>
    <row r="80" spans="1:12" ht="15" x14ac:dyDescent="0.2">
      <c r="A80" s="13">
        <v>43344</v>
      </c>
      <c r="B80" s="14">
        <f>30.1759 * CHOOSE(CONTROL!$C$9, $D$9, 100%, $F$9) + CHOOSE(CONTROL!$C$27, 0.0021, 0)</f>
        <v>30.177999999999997</v>
      </c>
      <c r="C80" s="14">
        <f>29.7436 * CHOOSE(CONTROL!$C$9, $D$9, 100%, $F$9) + CHOOSE(CONTROL!$C$27, 0.0021, 0)</f>
        <v>29.745699999999999</v>
      </c>
      <c r="D80" s="14">
        <f>29.7436 * CHOOSE(CONTROL!$C$9, $D$9, 100%, $F$9) + CHOOSE(CONTROL!$C$27, 0.0021, 0)</f>
        <v>29.745699999999999</v>
      </c>
      <c r="E80" s="14">
        <f>29.607 * CHOOSE(CONTROL!$C$9, $D$9, 100%, $F$9) + CHOOSE(CONTROL!$C$27, 0.0021, 0)</f>
        <v>29.609099999999998</v>
      </c>
      <c r="F80" s="14">
        <f>29.607 * CHOOSE(CONTROL!$C$9, $D$9, 100%, $F$9) + CHOOSE(CONTROL!$C$27, 0.0021, 0)</f>
        <v>29.609099999999998</v>
      </c>
      <c r="G80" s="14">
        <f>29.8783 * CHOOSE(CONTROL!$C$9, $D$9, 100%, $F$9) + CHOOSE(CONTROL!$C$27, 0.0021, 0)</f>
        <v>29.880399999999998</v>
      </c>
      <c r="H80" s="14">
        <f>29.7436 * CHOOSE(CONTROL!$C$9, $D$9, 100%, $F$9) + CHOOSE(CONTROL!$C$27, 0.0021, 0)</f>
        <v>29.745699999999999</v>
      </c>
      <c r="I80" s="14">
        <f>29.7436 * CHOOSE(CONTROL!$C$9, $D$9, 100%, $F$9) + CHOOSE(CONTROL!$C$27, 0.0021, 0)</f>
        <v>29.745699999999999</v>
      </c>
      <c r="J80" s="14">
        <f>29.7436 * CHOOSE(CONTROL!$C$9, $D$9, 100%, $F$9) + CHOOSE(CONTROL!$C$27, 0.0021, 0)</f>
        <v>29.745699999999999</v>
      </c>
      <c r="K80" s="14">
        <f>29.7436 * CHOOSE(CONTROL!$C$9, $D$9, 100%, $F$9) + CHOOSE(CONTROL!$C$27, 0.0021, 0)</f>
        <v>29.745699999999999</v>
      </c>
      <c r="L80" s="14"/>
    </row>
    <row r="81" spans="1:12" ht="15" x14ac:dyDescent="0.2">
      <c r="A81" s="13">
        <v>43374</v>
      </c>
      <c r="B81" s="14">
        <f>30.9382 * CHOOSE(CONTROL!$C$9, $D$9, 100%, $F$9) + CHOOSE(CONTROL!$C$27, 0.0021, 0)</f>
        <v>30.940299999999997</v>
      </c>
      <c r="C81" s="14">
        <f>30.5059 * CHOOSE(CONTROL!$C$9, $D$9, 100%, $F$9) + CHOOSE(CONTROL!$C$27, 0.0021, 0)</f>
        <v>30.507999999999999</v>
      </c>
      <c r="D81" s="14">
        <f>30.5059 * CHOOSE(CONTROL!$C$9, $D$9, 100%, $F$9) + CHOOSE(CONTROL!$C$27, 0.0021, 0)</f>
        <v>30.507999999999999</v>
      </c>
      <c r="E81" s="14">
        <f>30.3693 * CHOOSE(CONTROL!$C$9, $D$9, 100%, $F$9) + CHOOSE(CONTROL!$C$27, 0.0021, 0)</f>
        <v>30.371399999999998</v>
      </c>
      <c r="F81" s="14">
        <f>30.3693 * CHOOSE(CONTROL!$C$9, $D$9, 100%, $F$9) + CHOOSE(CONTROL!$C$27, 0.0021, 0)</f>
        <v>30.371399999999998</v>
      </c>
      <c r="G81" s="14">
        <f>30.6407 * CHOOSE(CONTROL!$C$9, $D$9, 100%, $F$9) + CHOOSE(CONTROL!$C$27, 0.0021, 0)</f>
        <v>30.642799999999998</v>
      </c>
      <c r="H81" s="14">
        <f>30.5059 * CHOOSE(CONTROL!$C$9, $D$9, 100%, $F$9) + CHOOSE(CONTROL!$C$27, 0.0021, 0)</f>
        <v>30.507999999999999</v>
      </c>
      <c r="I81" s="14">
        <f>30.5059 * CHOOSE(CONTROL!$C$9, $D$9, 100%, $F$9) + CHOOSE(CONTROL!$C$27, 0.0021, 0)</f>
        <v>30.507999999999999</v>
      </c>
      <c r="J81" s="14">
        <f>30.5059 * CHOOSE(CONTROL!$C$9, $D$9, 100%, $F$9) + CHOOSE(CONTROL!$C$27, 0.0021, 0)</f>
        <v>30.507999999999999</v>
      </c>
      <c r="K81" s="14">
        <f>30.5059 * CHOOSE(CONTROL!$C$9, $D$9, 100%, $F$9) + CHOOSE(CONTROL!$C$27, 0.0021, 0)</f>
        <v>30.507999999999999</v>
      </c>
      <c r="L81" s="14"/>
    </row>
    <row r="82" spans="1:12" ht="15" x14ac:dyDescent="0.2">
      <c r="A82" s="13">
        <v>43405</v>
      </c>
      <c r="B82" s="14">
        <f>31.0635 * CHOOSE(CONTROL!$C$9, $D$9, 100%, $F$9) + CHOOSE(CONTROL!$C$27, 0.0021, 0)</f>
        <v>31.0656</v>
      </c>
      <c r="C82" s="14">
        <f>30.6313 * CHOOSE(CONTROL!$C$9, $D$9, 100%, $F$9) + CHOOSE(CONTROL!$C$27, 0.0021, 0)</f>
        <v>30.633399999999998</v>
      </c>
      <c r="D82" s="14">
        <f>30.6313 * CHOOSE(CONTROL!$C$9, $D$9, 100%, $F$9) + CHOOSE(CONTROL!$C$27, 0.0021, 0)</f>
        <v>30.633399999999998</v>
      </c>
      <c r="E82" s="14">
        <f>30.4946 * CHOOSE(CONTROL!$C$9, $D$9, 100%, $F$9) + CHOOSE(CONTROL!$C$27, 0.0021, 0)</f>
        <v>30.496699999999997</v>
      </c>
      <c r="F82" s="14">
        <f>30.4946 * CHOOSE(CONTROL!$C$9, $D$9, 100%, $F$9) + CHOOSE(CONTROL!$C$27, 0.0021, 0)</f>
        <v>30.496699999999997</v>
      </c>
      <c r="G82" s="14">
        <f>30.766 * CHOOSE(CONTROL!$C$9, $D$9, 100%, $F$9) + CHOOSE(CONTROL!$C$27, 0.0021, 0)</f>
        <v>30.768099999999997</v>
      </c>
      <c r="H82" s="14">
        <f>30.6313 * CHOOSE(CONTROL!$C$9, $D$9, 100%, $F$9) + CHOOSE(CONTROL!$C$27, 0.0021, 0)</f>
        <v>30.633399999999998</v>
      </c>
      <c r="I82" s="14">
        <f>30.6313 * CHOOSE(CONTROL!$C$9, $D$9, 100%, $F$9) + CHOOSE(CONTROL!$C$27, 0.0021, 0)</f>
        <v>30.633399999999998</v>
      </c>
      <c r="J82" s="14">
        <f>30.6313 * CHOOSE(CONTROL!$C$9, $D$9, 100%, $F$9) + CHOOSE(CONTROL!$C$27, 0.0021, 0)</f>
        <v>30.633399999999998</v>
      </c>
      <c r="K82" s="14">
        <f>30.6313 * CHOOSE(CONTROL!$C$9, $D$9, 100%, $F$9) + CHOOSE(CONTROL!$C$27, 0.0021, 0)</f>
        <v>30.633399999999998</v>
      </c>
      <c r="L82" s="14"/>
    </row>
    <row r="83" spans="1:12" ht="15" x14ac:dyDescent="0.2">
      <c r="A83" s="13">
        <v>43435</v>
      </c>
      <c r="B83" s="14">
        <f>30.5575 * CHOOSE(CONTROL!$C$9, $D$9, 100%, $F$9) + CHOOSE(CONTROL!$C$27, 0.0021, 0)</f>
        <v>30.5596</v>
      </c>
      <c r="C83" s="14">
        <f>30.1252 * CHOOSE(CONTROL!$C$9, $D$9, 100%, $F$9) + CHOOSE(CONTROL!$C$27, 0.0021, 0)</f>
        <v>30.127299999999998</v>
      </c>
      <c r="D83" s="14">
        <f>30.1252 * CHOOSE(CONTROL!$C$9, $D$9, 100%, $F$9) + CHOOSE(CONTROL!$C$27, 0.0021, 0)</f>
        <v>30.127299999999998</v>
      </c>
      <c r="E83" s="14">
        <f>29.9886 * CHOOSE(CONTROL!$C$9, $D$9, 100%, $F$9) + CHOOSE(CONTROL!$C$27, 0.0021, 0)</f>
        <v>29.9907</v>
      </c>
      <c r="F83" s="14">
        <f>29.9886 * CHOOSE(CONTROL!$C$9, $D$9, 100%, $F$9) + CHOOSE(CONTROL!$C$27, 0.0021, 0)</f>
        <v>29.9907</v>
      </c>
      <c r="G83" s="14">
        <f>30.2599 * CHOOSE(CONTROL!$C$9, $D$9, 100%, $F$9) + CHOOSE(CONTROL!$C$27, 0.0021, 0)</f>
        <v>30.261999999999997</v>
      </c>
      <c r="H83" s="14">
        <f>30.1252 * CHOOSE(CONTROL!$C$9, $D$9, 100%, $F$9) + CHOOSE(CONTROL!$C$27, 0.0021, 0)</f>
        <v>30.127299999999998</v>
      </c>
      <c r="I83" s="14">
        <f>30.1252 * CHOOSE(CONTROL!$C$9, $D$9, 100%, $F$9) + CHOOSE(CONTROL!$C$27, 0.0021, 0)</f>
        <v>30.127299999999998</v>
      </c>
      <c r="J83" s="14">
        <f>30.1252 * CHOOSE(CONTROL!$C$9, $D$9, 100%, $F$9) + CHOOSE(CONTROL!$C$27, 0.0021, 0)</f>
        <v>30.127299999999998</v>
      </c>
      <c r="K83" s="14">
        <f>30.1252 * CHOOSE(CONTROL!$C$9, $D$9, 100%, $F$9) + CHOOSE(CONTROL!$C$27, 0.0021, 0)</f>
        <v>30.127299999999998</v>
      </c>
      <c r="L83" s="14"/>
    </row>
    <row r="84" spans="1:12" ht="15" x14ac:dyDescent="0.2">
      <c r="A84" s="13">
        <v>43466</v>
      </c>
      <c r="B84" s="14">
        <f>30.3838 * CHOOSE(CONTROL!$C$9, $D$9, 100%, $F$9) + CHOOSE(CONTROL!$C$27, 0.0021, 0)</f>
        <v>30.385899999999999</v>
      </c>
      <c r="C84" s="14">
        <f>29.9516 * CHOOSE(CONTROL!$C$9, $D$9, 100%, $F$9) + CHOOSE(CONTROL!$C$27, 0.0021, 0)</f>
        <v>29.953699999999998</v>
      </c>
      <c r="D84" s="14">
        <f>29.9516 * CHOOSE(CONTROL!$C$9, $D$9, 100%, $F$9) + CHOOSE(CONTROL!$C$27, 0.0021, 0)</f>
        <v>29.953699999999998</v>
      </c>
      <c r="E84" s="14">
        <f>29.8149 * CHOOSE(CONTROL!$C$9, $D$9, 100%, $F$9) + CHOOSE(CONTROL!$C$27, 0.0021, 0)</f>
        <v>29.817</v>
      </c>
      <c r="F84" s="14">
        <f>29.8149 * CHOOSE(CONTROL!$C$9, $D$9, 100%, $F$9) + CHOOSE(CONTROL!$C$27, 0.0021, 0)</f>
        <v>29.817</v>
      </c>
      <c r="G84" s="14">
        <f>30.0863 * CHOOSE(CONTROL!$C$9, $D$9, 100%, $F$9) + CHOOSE(CONTROL!$C$27, 0.0021, 0)</f>
        <v>30.0884</v>
      </c>
      <c r="H84" s="14">
        <f>29.9516 * CHOOSE(CONTROL!$C$9, $D$9, 100%, $F$9) + CHOOSE(CONTROL!$C$27, 0.0021, 0)</f>
        <v>29.953699999999998</v>
      </c>
      <c r="I84" s="14">
        <f>29.9516 * CHOOSE(CONTROL!$C$9, $D$9, 100%, $F$9) + CHOOSE(CONTROL!$C$27, 0.0021, 0)</f>
        <v>29.953699999999998</v>
      </c>
      <c r="J84" s="14">
        <f>29.9516 * CHOOSE(CONTROL!$C$9, $D$9, 100%, $F$9) + CHOOSE(CONTROL!$C$27, 0.0021, 0)</f>
        <v>29.953699999999998</v>
      </c>
      <c r="K84" s="14">
        <f>29.9516 * CHOOSE(CONTROL!$C$9, $D$9, 100%, $F$9) + CHOOSE(CONTROL!$C$27, 0.0021, 0)</f>
        <v>29.953699999999998</v>
      </c>
      <c r="L84" s="14"/>
    </row>
    <row r="85" spans="1:12" ht="15" x14ac:dyDescent="0.2">
      <c r="A85" s="13">
        <v>43497</v>
      </c>
      <c r="B85" s="14">
        <f>29.6455 * CHOOSE(CONTROL!$C$9, $D$9, 100%, $F$9) + CHOOSE(CONTROL!$C$27, 0.0021, 0)</f>
        <v>29.647599999999997</v>
      </c>
      <c r="C85" s="14">
        <f>29.2132 * CHOOSE(CONTROL!$C$9, $D$9, 100%, $F$9) + CHOOSE(CONTROL!$C$27, 0.0021, 0)</f>
        <v>29.215299999999999</v>
      </c>
      <c r="D85" s="14">
        <f>29.2132 * CHOOSE(CONTROL!$C$9, $D$9, 100%, $F$9) + CHOOSE(CONTROL!$C$27, 0.0021, 0)</f>
        <v>29.215299999999999</v>
      </c>
      <c r="E85" s="14">
        <f>29.0766 * CHOOSE(CONTROL!$C$9, $D$9, 100%, $F$9) + CHOOSE(CONTROL!$C$27, 0.0021, 0)</f>
        <v>29.078699999999998</v>
      </c>
      <c r="F85" s="14">
        <f>29.0766 * CHOOSE(CONTROL!$C$9, $D$9, 100%, $F$9) + CHOOSE(CONTROL!$C$27, 0.0021, 0)</f>
        <v>29.078699999999998</v>
      </c>
      <c r="G85" s="14">
        <f>29.348 * CHOOSE(CONTROL!$C$9, $D$9, 100%, $F$9) + CHOOSE(CONTROL!$C$27, 0.0021, 0)</f>
        <v>29.350099999999998</v>
      </c>
      <c r="H85" s="14">
        <f>29.2132 * CHOOSE(CONTROL!$C$9, $D$9, 100%, $F$9) + CHOOSE(CONTROL!$C$27, 0.0021, 0)</f>
        <v>29.215299999999999</v>
      </c>
      <c r="I85" s="14">
        <f>29.2132 * CHOOSE(CONTROL!$C$9, $D$9, 100%, $F$9) + CHOOSE(CONTROL!$C$27, 0.0021, 0)</f>
        <v>29.215299999999999</v>
      </c>
      <c r="J85" s="14">
        <f>29.2132 * CHOOSE(CONTROL!$C$9, $D$9, 100%, $F$9) + CHOOSE(CONTROL!$C$27, 0.0021, 0)</f>
        <v>29.215299999999999</v>
      </c>
      <c r="K85" s="14">
        <f>29.2132 * CHOOSE(CONTROL!$C$9, $D$9, 100%, $F$9) + CHOOSE(CONTROL!$C$27, 0.0021, 0)</f>
        <v>29.215299999999999</v>
      </c>
      <c r="L85" s="14"/>
    </row>
    <row r="86" spans="1:12" ht="15" x14ac:dyDescent="0.2">
      <c r="A86" s="13">
        <v>43525</v>
      </c>
      <c r="B86" s="14">
        <f>29.3725 * CHOOSE(CONTROL!$C$9, $D$9, 100%, $F$9) + CHOOSE(CONTROL!$C$27, 0.0021, 0)</f>
        <v>29.374599999999997</v>
      </c>
      <c r="C86" s="14">
        <f>28.9402 * CHOOSE(CONTROL!$C$9, $D$9, 100%, $F$9) + CHOOSE(CONTROL!$C$27, 0.0021, 0)</f>
        <v>28.942299999999999</v>
      </c>
      <c r="D86" s="14">
        <f>28.9402 * CHOOSE(CONTROL!$C$9, $D$9, 100%, $F$9) + CHOOSE(CONTROL!$C$27, 0.0021, 0)</f>
        <v>28.942299999999999</v>
      </c>
      <c r="E86" s="14">
        <f>28.8036 * CHOOSE(CONTROL!$C$9, $D$9, 100%, $F$9) + CHOOSE(CONTROL!$C$27, 0.0021, 0)</f>
        <v>28.805699999999998</v>
      </c>
      <c r="F86" s="14">
        <f>28.8036 * CHOOSE(CONTROL!$C$9, $D$9, 100%, $F$9) + CHOOSE(CONTROL!$C$27, 0.0021, 0)</f>
        <v>28.805699999999998</v>
      </c>
      <c r="G86" s="14">
        <f>29.075 * CHOOSE(CONTROL!$C$9, $D$9, 100%, $F$9) + CHOOSE(CONTROL!$C$27, 0.0021, 0)</f>
        <v>29.077099999999998</v>
      </c>
      <c r="H86" s="14">
        <f>28.9402 * CHOOSE(CONTROL!$C$9, $D$9, 100%, $F$9) + CHOOSE(CONTROL!$C$27, 0.0021, 0)</f>
        <v>28.942299999999999</v>
      </c>
      <c r="I86" s="14">
        <f>28.9402 * CHOOSE(CONTROL!$C$9, $D$9, 100%, $F$9) + CHOOSE(CONTROL!$C$27, 0.0021, 0)</f>
        <v>28.942299999999999</v>
      </c>
      <c r="J86" s="14">
        <f>28.9402 * CHOOSE(CONTROL!$C$9, $D$9, 100%, $F$9) + CHOOSE(CONTROL!$C$27, 0.0021, 0)</f>
        <v>28.942299999999999</v>
      </c>
      <c r="K86" s="14">
        <f>28.9402 * CHOOSE(CONTROL!$C$9, $D$9, 100%, $F$9) + CHOOSE(CONTROL!$C$27, 0.0021, 0)</f>
        <v>28.942299999999999</v>
      </c>
      <c r="L86" s="14"/>
    </row>
    <row r="87" spans="1:12" ht="15" x14ac:dyDescent="0.2">
      <c r="A87" s="13">
        <v>43556</v>
      </c>
      <c r="B87" s="14">
        <f>29.0342 * CHOOSE(CONTROL!$C$9, $D$9, 100%, $F$9) + CHOOSE(CONTROL!$C$27, 0.0021, 0)</f>
        <v>29.036299999999997</v>
      </c>
      <c r="C87" s="14">
        <f>28.602 * CHOOSE(CONTROL!$C$9, $D$9, 100%, $F$9) + CHOOSE(CONTROL!$C$27, 0.0021, 0)</f>
        <v>28.604099999999999</v>
      </c>
      <c r="D87" s="14">
        <f>28.602 * CHOOSE(CONTROL!$C$9, $D$9, 100%, $F$9) + CHOOSE(CONTROL!$C$27, 0.0021, 0)</f>
        <v>28.604099999999999</v>
      </c>
      <c r="E87" s="14">
        <f>28.4653 * CHOOSE(CONTROL!$C$9, $D$9, 100%, $F$9) + CHOOSE(CONTROL!$C$27, 0.0021, 0)</f>
        <v>28.467399999999998</v>
      </c>
      <c r="F87" s="14">
        <f>28.4653 * CHOOSE(CONTROL!$C$9, $D$9, 100%, $F$9) + CHOOSE(CONTROL!$C$27, 0.0021, 0)</f>
        <v>28.467399999999998</v>
      </c>
      <c r="G87" s="14">
        <f>28.7367 * CHOOSE(CONTROL!$C$9, $D$9, 100%, $F$9) + CHOOSE(CONTROL!$C$27, 0.0021, 0)</f>
        <v>28.738799999999998</v>
      </c>
      <c r="H87" s="14">
        <f>28.602 * CHOOSE(CONTROL!$C$9, $D$9, 100%, $F$9) + CHOOSE(CONTROL!$C$27, 0.0021, 0)</f>
        <v>28.604099999999999</v>
      </c>
      <c r="I87" s="14">
        <f>28.602 * CHOOSE(CONTROL!$C$9, $D$9, 100%, $F$9) + CHOOSE(CONTROL!$C$27, 0.0021, 0)</f>
        <v>28.604099999999999</v>
      </c>
      <c r="J87" s="14">
        <f>28.602 * CHOOSE(CONTROL!$C$9, $D$9, 100%, $F$9) + CHOOSE(CONTROL!$C$27, 0.0021, 0)</f>
        <v>28.604099999999999</v>
      </c>
      <c r="K87" s="14">
        <f>28.602 * CHOOSE(CONTROL!$C$9, $D$9, 100%, $F$9) + CHOOSE(CONTROL!$C$27, 0.0021, 0)</f>
        <v>28.604099999999999</v>
      </c>
      <c r="L87" s="14"/>
    </row>
    <row r="88" spans="1:12" ht="15" x14ac:dyDescent="0.2">
      <c r="A88" s="13">
        <v>43586</v>
      </c>
      <c r="B88" s="14">
        <f>29.652 * CHOOSE(CONTROL!$C$9, $D$9, 100%, $F$9) + CHOOSE(CONTROL!$C$27, 0.0021, 0)</f>
        <v>29.6541</v>
      </c>
      <c r="C88" s="14">
        <f>29.2198 * CHOOSE(CONTROL!$C$9, $D$9, 100%, $F$9) + CHOOSE(CONTROL!$C$27, 0.0021, 0)</f>
        <v>29.221899999999998</v>
      </c>
      <c r="D88" s="14">
        <f>29.2198 * CHOOSE(CONTROL!$C$9, $D$9, 100%, $F$9) + CHOOSE(CONTROL!$C$27, 0.0021, 0)</f>
        <v>29.221899999999998</v>
      </c>
      <c r="E88" s="14">
        <f>29.0831 * CHOOSE(CONTROL!$C$9, $D$9, 100%, $F$9) + CHOOSE(CONTROL!$C$27, 0.0021, 0)</f>
        <v>29.0852</v>
      </c>
      <c r="F88" s="14">
        <f>29.0831 * CHOOSE(CONTROL!$C$9, $D$9, 100%, $F$9) + CHOOSE(CONTROL!$C$27, 0.0021, 0)</f>
        <v>29.0852</v>
      </c>
      <c r="G88" s="14">
        <f>29.3545 * CHOOSE(CONTROL!$C$9, $D$9, 100%, $F$9) + CHOOSE(CONTROL!$C$27, 0.0021, 0)</f>
        <v>29.3566</v>
      </c>
      <c r="H88" s="14">
        <f>29.2198 * CHOOSE(CONTROL!$C$9, $D$9, 100%, $F$9) + CHOOSE(CONTROL!$C$27, 0.0021, 0)</f>
        <v>29.221899999999998</v>
      </c>
      <c r="I88" s="14">
        <f>29.2198 * CHOOSE(CONTROL!$C$9, $D$9, 100%, $F$9) + CHOOSE(CONTROL!$C$27, 0.0021, 0)</f>
        <v>29.221899999999998</v>
      </c>
      <c r="J88" s="14">
        <f>29.2198 * CHOOSE(CONTROL!$C$9, $D$9, 100%, $F$9) + CHOOSE(CONTROL!$C$27, 0.0021, 0)</f>
        <v>29.221899999999998</v>
      </c>
      <c r="K88" s="14">
        <f>29.2198 * CHOOSE(CONTROL!$C$9, $D$9, 100%, $F$9) + CHOOSE(CONTROL!$C$27, 0.0021, 0)</f>
        <v>29.221899999999998</v>
      </c>
      <c r="L88" s="14"/>
    </row>
    <row r="89" spans="1:12" ht="15" x14ac:dyDescent="0.2">
      <c r="A89" s="13">
        <v>43617</v>
      </c>
      <c r="B89" s="14">
        <f>30.0461 * CHOOSE(CONTROL!$C$9, $D$9, 100%, $F$9) + CHOOSE(CONTROL!$C$27, 0.0021, 0)</f>
        <v>30.048199999999998</v>
      </c>
      <c r="C89" s="14">
        <f>29.6139 * CHOOSE(CONTROL!$C$9, $D$9, 100%, $F$9) + CHOOSE(CONTROL!$C$27, 0.0021, 0)</f>
        <v>29.616</v>
      </c>
      <c r="D89" s="14">
        <f>29.6139 * CHOOSE(CONTROL!$C$9, $D$9, 100%, $F$9) + CHOOSE(CONTROL!$C$27, 0.0021, 0)</f>
        <v>29.616</v>
      </c>
      <c r="E89" s="14">
        <f>29.4772 * CHOOSE(CONTROL!$C$9, $D$9, 100%, $F$9) + CHOOSE(CONTROL!$C$27, 0.0021, 0)</f>
        <v>29.479299999999999</v>
      </c>
      <c r="F89" s="14">
        <f>29.4772 * CHOOSE(CONTROL!$C$9, $D$9, 100%, $F$9) + CHOOSE(CONTROL!$C$27, 0.0021, 0)</f>
        <v>29.479299999999999</v>
      </c>
      <c r="G89" s="14">
        <f>29.7486 * CHOOSE(CONTROL!$C$9, $D$9, 100%, $F$9) + CHOOSE(CONTROL!$C$27, 0.0021, 0)</f>
        <v>29.750699999999998</v>
      </c>
      <c r="H89" s="14">
        <f>29.6139 * CHOOSE(CONTROL!$C$9, $D$9, 100%, $F$9) + CHOOSE(CONTROL!$C$27, 0.0021, 0)</f>
        <v>29.616</v>
      </c>
      <c r="I89" s="14">
        <f>29.6139 * CHOOSE(CONTROL!$C$9, $D$9, 100%, $F$9) + CHOOSE(CONTROL!$C$27, 0.0021, 0)</f>
        <v>29.616</v>
      </c>
      <c r="J89" s="14">
        <f>29.6139 * CHOOSE(CONTROL!$C$9, $D$9, 100%, $F$9) + CHOOSE(CONTROL!$C$27, 0.0021, 0)</f>
        <v>29.616</v>
      </c>
      <c r="K89" s="14">
        <f>29.6139 * CHOOSE(CONTROL!$C$9, $D$9, 100%, $F$9) + CHOOSE(CONTROL!$C$27, 0.0021, 0)</f>
        <v>29.616</v>
      </c>
      <c r="L89" s="14"/>
    </row>
    <row r="90" spans="1:12" ht="15" x14ac:dyDescent="0.2">
      <c r="A90" s="13">
        <v>43647</v>
      </c>
      <c r="B90" s="14">
        <f>30.6616 * CHOOSE(CONTROL!$C$9, $D$9, 100%, $F$9) + CHOOSE(CONTROL!$C$27, 0.0021, 0)</f>
        <v>30.663699999999999</v>
      </c>
      <c r="C90" s="14">
        <f>30.2294 * CHOOSE(CONTROL!$C$9, $D$9, 100%, $F$9) + CHOOSE(CONTROL!$C$27, 0.0021, 0)</f>
        <v>30.231499999999997</v>
      </c>
      <c r="D90" s="14">
        <f>30.2294 * CHOOSE(CONTROL!$C$9, $D$9, 100%, $F$9) + CHOOSE(CONTROL!$C$27, 0.0021, 0)</f>
        <v>30.231499999999997</v>
      </c>
      <c r="E90" s="14">
        <f>30.0927 * CHOOSE(CONTROL!$C$9, $D$9, 100%, $F$9) + CHOOSE(CONTROL!$C$27, 0.0021, 0)</f>
        <v>30.094799999999999</v>
      </c>
      <c r="F90" s="14">
        <f>30.0927 * CHOOSE(CONTROL!$C$9, $D$9, 100%, $F$9) + CHOOSE(CONTROL!$C$27, 0.0021, 0)</f>
        <v>30.094799999999999</v>
      </c>
      <c r="G90" s="14">
        <f>30.3641 * CHOOSE(CONTROL!$C$9, $D$9, 100%, $F$9) + CHOOSE(CONTROL!$C$27, 0.0021, 0)</f>
        <v>30.366199999999999</v>
      </c>
      <c r="H90" s="14">
        <f>30.2294 * CHOOSE(CONTROL!$C$9, $D$9, 100%, $F$9) + CHOOSE(CONTROL!$C$27, 0.0021, 0)</f>
        <v>30.231499999999997</v>
      </c>
      <c r="I90" s="14">
        <f>30.2294 * CHOOSE(CONTROL!$C$9, $D$9, 100%, $F$9) + CHOOSE(CONTROL!$C$27, 0.0021, 0)</f>
        <v>30.231499999999997</v>
      </c>
      <c r="J90" s="14">
        <f>30.2294 * CHOOSE(CONTROL!$C$9, $D$9, 100%, $F$9) + CHOOSE(CONTROL!$C$27, 0.0021, 0)</f>
        <v>30.231499999999997</v>
      </c>
      <c r="K90" s="14">
        <f>30.2294 * CHOOSE(CONTROL!$C$9, $D$9, 100%, $F$9) + CHOOSE(CONTROL!$C$27, 0.0021, 0)</f>
        <v>30.231499999999997</v>
      </c>
      <c r="L90" s="14"/>
    </row>
    <row r="91" spans="1:12" ht="15" x14ac:dyDescent="0.2">
      <c r="A91" s="13">
        <v>43678</v>
      </c>
      <c r="B91" s="14">
        <f>30.8908 * CHOOSE(CONTROL!$C$9, $D$9, 100%, $F$9) + CHOOSE(CONTROL!$C$27, 0.0021, 0)</f>
        <v>30.892899999999997</v>
      </c>
      <c r="C91" s="14">
        <f>30.4586 * CHOOSE(CONTROL!$C$9, $D$9, 100%, $F$9) + CHOOSE(CONTROL!$C$27, 0.0021, 0)</f>
        <v>30.460699999999999</v>
      </c>
      <c r="D91" s="14">
        <f>30.4586 * CHOOSE(CONTROL!$C$9, $D$9, 100%, $F$9) + CHOOSE(CONTROL!$C$27, 0.0021, 0)</f>
        <v>30.460699999999999</v>
      </c>
      <c r="E91" s="14">
        <f>30.3219 * CHOOSE(CONTROL!$C$9, $D$9, 100%, $F$9) + CHOOSE(CONTROL!$C$27, 0.0021, 0)</f>
        <v>30.323999999999998</v>
      </c>
      <c r="F91" s="14">
        <f>30.3219 * CHOOSE(CONTROL!$C$9, $D$9, 100%, $F$9) + CHOOSE(CONTROL!$C$27, 0.0021, 0)</f>
        <v>30.323999999999998</v>
      </c>
      <c r="G91" s="14">
        <f>30.5933 * CHOOSE(CONTROL!$C$9, $D$9, 100%, $F$9) + CHOOSE(CONTROL!$C$27, 0.0021, 0)</f>
        <v>30.595399999999998</v>
      </c>
      <c r="H91" s="14">
        <f>30.4586 * CHOOSE(CONTROL!$C$9, $D$9, 100%, $F$9) + CHOOSE(CONTROL!$C$27, 0.0021, 0)</f>
        <v>30.460699999999999</v>
      </c>
      <c r="I91" s="14">
        <f>30.4586 * CHOOSE(CONTROL!$C$9, $D$9, 100%, $F$9) + CHOOSE(CONTROL!$C$27, 0.0021, 0)</f>
        <v>30.460699999999999</v>
      </c>
      <c r="J91" s="14">
        <f>30.4586 * CHOOSE(CONTROL!$C$9, $D$9, 100%, $F$9) + CHOOSE(CONTROL!$C$27, 0.0021, 0)</f>
        <v>30.460699999999999</v>
      </c>
      <c r="K91" s="14">
        <f>30.4586 * CHOOSE(CONTROL!$C$9, $D$9, 100%, $F$9) + CHOOSE(CONTROL!$C$27, 0.0021, 0)</f>
        <v>30.460699999999999</v>
      </c>
      <c r="L91" s="14"/>
    </row>
    <row r="92" spans="1:12" ht="15" x14ac:dyDescent="0.2">
      <c r="A92" s="13">
        <v>43709</v>
      </c>
      <c r="B92" s="14">
        <f>31.5325 * CHOOSE(CONTROL!$C$9, $D$9, 100%, $F$9) + CHOOSE(CONTROL!$C$27, 0.0021, 0)</f>
        <v>31.534599999999998</v>
      </c>
      <c r="C92" s="14">
        <f>31.1002 * CHOOSE(CONTROL!$C$9, $D$9, 100%, $F$9) + CHOOSE(CONTROL!$C$27, 0.0021, 0)</f>
        <v>31.1023</v>
      </c>
      <c r="D92" s="14">
        <f>31.1002 * CHOOSE(CONTROL!$C$9, $D$9, 100%, $F$9) + CHOOSE(CONTROL!$C$27, 0.0021, 0)</f>
        <v>31.1023</v>
      </c>
      <c r="E92" s="14">
        <f>30.9636 * CHOOSE(CONTROL!$C$9, $D$9, 100%, $F$9) + CHOOSE(CONTROL!$C$27, 0.0021, 0)</f>
        <v>30.965699999999998</v>
      </c>
      <c r="F92" s="14">
        <f>30.9636 * CHOOSE(CONTROL!$C$9, $D$9, 100%, $F$9) + CHOOSE(CONTROL!$C$27, 0.0021, 0)</f>
        <v>30.965699999999998</v>
      </c>
      <c r="G92" s="14">
        <f>31.235 * CHOOSE(CONTROL!$C$9, $D$9, 100%, $F$9) + CHOOSE(CONTROL!$C$27, 0.0021, 0)</f>
        <v>31.237099999999998</v>
      </c>
      <c r="H92" s="14">
        <f>31.1002 * CHOOSE(CONTROL!$C$9, $D$9, 100%, $F$9) + CHOOSE(CONTROL!$C$27, 0.0021, 0)</f>
        <v>31.1023</v>
      </c>
      <c r="I92" s="14">
        <f>31.1002 * CHOOSE(CONTROL!$C$9, $D$9, 100%, $F$9) + CHOOSE(CONTROL!$C$27, 0.0021, 0)</f>
        <v>31.1023</v>
      </c>
      <c r="J92" s="14">
        <f>31.1002 * CHOOSE(CONTROL!$C$9, $D$9, 100%, $F$9) + CHOOSE(CONTROL!$C$27, 0.0021, 0)</f>
        <v>31.1023</v>
      </c>
      <c r="K92" s="14">
        <f>31.1002 * CHOOSE(CONTROL!$C$9, $D$9, 100%, $F$9) + CHOOSE(CONTROL!$C$27, 0.0021, 0)</f>
        <v>31.1023</v>
      </c>
      <c r="L92" s="14"/>
    </row>
    <row r="93" spans="1:12" ht="15" x14ac:dyDescent="0.2">
      <c r="A93" s="13">
        <v>43739</v>
      </c>
      <c r="B93" s="14">
        <f>32.3319 * CHOOSE(CONTROL!$C$9, $D$9, 100%, $F$9) + CHOOSE(CONTROL!$C$27, 0.0021, 0)</f>
        <v>32.333999999999996</v>
      </c>
      <c r="C93" s="14">
        <f>31.8997 * CHOOSE(CONTROL!$C$9, $D$9, 100%, $F$9) + CHOOSE(CONTROL!$C$27, 0.0021, 0)</f>
        <v>31.901799999999998</v>
      </c>
      <c r="D93" s="14">
        <f>31.8997 * CHOOSE(CONTROL!$C$9, $D$9, 100%, $F$9) + CHOOSE(CONTROL!$C$27, 0.0021, 0)</f>
        <v>31.901799999999998</v>
      </c>
      <c r="E93" s="14">
        <f>31.763 * CHOOSE(CONTROL!$C$9, $D$9, 100%, $F$9) + CHOOSE(CONTROL!$C$27, 0.0021, 0)</f>
        <v>31.7651</v>
      </c>
      <c r="F93" s="14">
        <f>31.763 * CHOOSE(CONTROL!$C$9, $D$9, 100%, $F$9) + CHOOSE(CONTROL!$C$27, 0.0021, 0)</f>
        <v>31.7651</v>
      </c>
      <c r="G93" s="14">
        <f>32.0344 * CHOOSE(CONTROL!$C$9, $D$9, 100%, $F$9) + CHOOSE(CONTROL!$C$27, 0.0021, 0)</f>
        <v>32.036499999999997</v>
      </c>
      <c r="H93" s="14">
        <f>31.8997 * CHOOSE(CONTROL!$C$9, $D$9, 100%, $F$9) + CHOOSE(CONTROL!$C$27, 0.0021, 0)</f>
        <v>31.901799999999998</v>
      </c>
      <c r="I93" s="14">
        <f>31.8997 * CHOOSE(CONTROL!$C$9, $D$9, 100%, $F$9) + CHOOSE(CONTROL!$C$27, 0.0021, 0)</f>
        <v>31.901799999999998</v>
      </c>
      <c r="J93" s="14">
        <f>31.8997 * CHOOSE(CONTROL!$C$9, $D$9, 100%, $F$9) + CHOOSE(CONTROL!$C$27, 0.0021, 0)</f>
        <v>31.901799999999998</v>
      </c>
      <c r="K93" s="14">
        <f>31.8997 * CHOOSE(CONTROL!$C$9, $D$9, 100%, $F$9) + CHOOSE(CONTROL!$C$27, 0.0021, 0)</f>
        <v>31.901799999999998</v>
      </c>
      <c r="L93" s="14"/>
    </row>
    <row r="94" spans="1:12" ht="15" x14ac:dyDescent="0.2">
      <c r="A94" s="13">
        <v>43770</v>
      </c>
      <c r="B94" s="14">
        <f>32.4633 * CHOOSE(CONTROL!$C$9, $D$9, 100%, $F$9) + CHOOSE(CONTROL!$C$27, 0.0021, 0)</f>
        <v>32.465399999999995</v>
      </c>
      <c r="C94" s="14">
        <f>32.0311 * CHOOSE(CONTROL!$C$9, $D$9, 100%, $F$9) + CHOOSE(CONTROL!$C$27, 0.0021, 0)</f>
        <v>32.033200000000001</v>
      </c>
      <c r="D94" s="14">
        <f>32.0311 * CHOOSE(CONTROL!$C$9, $D$9, 100%, $F$9) + CHOOSE(CONTROL!$C$27, 0.0021, 0)</f>
        <v>32.033200000000001</v>
      </c>
      <c r="E94" s="14">
        <f>31.8944 * CHOOSE(CONTROL!$C$9, $D$9, 100%, $F$9) + CHOOSE(CONTROL!$C$27, 0.0021, 0)</f>
        <v>31.8965</v>
      </c>
      <c r="F94" s="14">
        <f>31.8944 * CHOOSE(CONTROL!$C$9, $D$9, 100%, $F$9) + CHOOSE(CONTROL!$C$27, 0.0021, 0)</f>
        <v>31.8965</v>
      </c>
      <c r="G94" s="14">
        <f>32.1658 * CHOOSE(CONTROL!$C$9, $D$9, 100%, $F$9) + CHOOSE(CONTROL!$C$27, 0.0021, 0)</f>
        <v>32.167899999999996</v>
      </c>
      <c r="H94" s="14">
        <f>32.0311 * CHOOSE(CONTROL!$C$9, $D$9, 100%, $F$9) + CHOOSE(CONTROL!$C$27, 0.0021, 0)</f>
        <v>32.033200000000001</v>
      </c>
      <c r="I94" s="14">
        <f>32.0311 * CHOOSE(CONTROL!$C$9, $D$9, 100%, $F$9) + CHOOSE(CONTROL!$C$27, 0.0021, 0)</f>
        <v>32.033200000000001</v>
      </c>
      <c r="J94" s="14">
        <f>32.0311 * CHOOSE(CONTROL!$C$9, $D$9, 100%, $F$9) + CHOOSE(CONTROL!$C$27, 0.0021, 0)</f>
        <v>32.033200000000001</v>
      </c>
      <c r="K94" s="14">
        <f>32.0311 * CHOOSE(CONTROL!$C$9, $D$9, 100%, $F$9) + CHOOSE(CONTROL!$C$27, 0.0021, 0)</f>
        <v>32.033200000000001</v>
      </c>
      <c r="L94" s="14"/>
    </row>
    <row r="95" spans="1:12" ht="15" x14ac:dyDescent="0.2">
      <c r="A95" s="13">
        <v>43800</v>
      </c>
      <c r="B95" s="14">
        <f>31.9327 * CHOOSE(CONTROL!$C$9, $D$9, 100%, $F$9) + CHOOSE(CONTROL!$C$27, 0.0021, 0)</f>
        <v>31.934799999999999</v>
      </c>
      <c r="C95" s="14">
        <f>31.5004 * CHOOSE(CONTROL!$C$9, $D$9, 100%, $F$9) + CHOOSE(CONTROL!$C$27, 0.0021, 0)</f>
        <v>31.502499999999998</v>
      </c>
      <c r="D95" s="14">
        <f>31.5004 * CHOOSE(CONTROL!$C$9, $D$9, 100%, $F$9) + CHOOSE(CONTROL!$C$27, 0.0021, 0)</f>
        <v>31.502499999999998</v>
      </c>
      <c r="E95" s="14">
        <f>31.3638 * CHOOSE(CONTROL!$C$9, $D$9, 100%, $F$9) + CHOOSE(CONTROL!$C$27, 0.0021, 0)</f>
        <v>31.3659</v>
      </c>
      <c r="F95" s="14">
        <f>31.3638 * CHOOSE(CONTROL!$C$9, $D$9, 100%, $F$9) + CHOOSE(CONTROL!$C$27, 0.0021, 0)</f>
        <v>31.3659</v>
      </c>
      <c r="G95" s="14">
        <f>31.6351 * CHOOSE(CONTROL!$C$9, $D$9, 100%, $F$9) + CHOOSE(CONTROL!$C$27, 0.0021, 0)</f>
        <v>31.6372</v>
      </c>
      <c r="H95" s="14">
        <f>31.5004 * CHOOSE(CONTROL!$C$9, $D$9, 100%, $F$9) + CHOOSE(CONTROL!$C$27, 0.0021, 0)</f>
        <v>31.502499999999998</v>
      </c>
      <c r="I95" s="14">
        <f>31.5004 * CHOOSE(CONTROL!$C$9, $D$9, 100%, $F$9) + CHOOSE(CONTROL!$C$27, 0.0021, 0)</f>
        <v>31.502499999999998</v>
      </c>
      <c r="J95" s="14">
        <f>31.5004 * CHOOSE(CONTROL!$C$9, $D$9, 100%, $F$9) + CHOOSE(CONTROL!$C$27, 0.0021, 0)</f>
        <v>31.502499999999998</v>
      </c>
      <c r="K95" s="14">
        <f>31.5004 * CHOOSE(CONTROL!$C$9, $D$9, 100%, $F$9) + CHOOSE(CONTROL!$C$27, 0.0021, 0)</f>
        <v>31.502499999999998</v>
      </c>
      <c r="L95" s="14"/>
    </row>
    <row r="96" spans="1:12" ht="15" x14ac:dyDescent="0.2">
      <c r="A96" s="13">
        <v>43831</v>
      </c>
      <c r="B96" s="14">
        <f>31.9494 * CHOOSE(CONTROL!$C$9, $D$9, 100%, $F$9) + CHOOSE(CONTROL!$C$27, 0.0021, 0)</f>
        <v>31.951499999999999</v>
      </c>
      <c r="C96" s="14">
        <f>31.5172 * CHOOSE(CONTROL!$C$9, $D$9, 100%, $F$9) + CHOOSE(CONTROL!$C$27, 0.0021, 0)</f>
        <v>31.519299999999998</v>
      </c>
      <c r="D96" s="14">
        <f>31.5172 * CHOOSE(CONTROL!$C$9, $D$9, 100%, $F$9) + CHOOSE(CONTROL!$C$27, 0.0021, 0)</f>
        <v>31.519299999999998</v>
      </c>
      <c r="E96" s="14">
        <f>31.3805 * CHOOSE(CONTROL!$C$9, $D$9, 100%, $F$9) + CHOOSE(CONTROL!$C$27, 0.0021, 0)</f>
        <v>31.3826</v>
      </c>
      <c r="F96" s="14">
        <f>31.3805 * CHOOSE(CONTROL!$C$9, $D$9, 100%, $F$9) + CHOOSE(CONTROL!$C$27, 0.0021, 0)</f>
        <v>31.3826</v>
      </c>
      <c r="G96" s="14">
        <f>31.6519 * CHOOSE(CONTROL!$C$9, $D$9, 100%, $F$9) + CHOOSE(CONTROL!$C$27, 0.0021, 0)</f>
        <v>31.654</v>
      </c>
      <c r="H96" s="14">
        <f>31.5172 * CHOOSE(CONTROL!$C$9, $D$9, 100%, $F$9) + CHOOSE(CONTROL!$C$27, 0.0021, 0)</f>
        <v>31.519299999999998</v>
      </c>
      <c r="I96" s="14">
        <f>31.5172 * CHOOSE(CONTROL!$C$9, $D$9, 100%, $F$9) + CHOOSE(CONTROL!$C$27, 0.0021, 0)</f>
        <v>31.519299999999998</v>
      </c>
      <c r="J96" s="14">
        <f>31.5172 * CHOOSE(CONTROL!$C$9, $D$9, 100%, $F$9) + CHOOSE(CONTROL!$C$27, 0.0021, 0)</f>
        <v>31.519299999999998</v>
      </c>
      <c r="K96" s="14">
        <f>31.5172 * CHOOSE(CONTROL!$C$9, $D$9, 100%, $F$9) + CHOOSE(CONTROL!$C$27, 0.0021, 0)</f>
        <v>31.519299999999998</v>
      </c>
      <c r="L96" s="14"/>
    </row>
    <row r="97" spans="1:12" ht="15" x14ac:dyDescent="0.2">
      <c r="A97" s="13">
        <v>43862</v>
      </c>
      <c r="B97" s="14">
        <f>31.1699 * CHOOSE(CONTROL!$C$9, $D$9, 100%, $F$9) + CHOOSE(CONTROL!$C$27, 0.0021, 0)</f>
        <v>31.171999999999997</v>
      </c>
      <c r="C97" s="14">
        <f>30.7377 * CHOOSE(CONTROL!$C$9, $D$9, 100%, $F$9) + CHOOSE(CONTROL!$C$27, 0.0021, 0)</f>
        <v>30.739799999999999</v>
      </c>
      <c r="D97" s="14">
        <f>30.7377 * CHOOSE(CONTROL!$C$9, $D$9, 100%, $F$9) + CHOOSE(CONTROL!$C$27, 0.0021, 0)</f>
        <v>30.739799999999999</v>
      </c>
      <c r="E97" s="14">
        <f>30.601 * CHOOSE(CONTROL!$C$9, $D$9, 100%, $F$9) + CHOOSE(CONTROL!$C$27, 0.0021, 0)</f>
        <v>30.603099999999998</v>
      </c>
      <c r="F97" s="14">
        <f>30.601 * CHOOSE(CONTROL!$C$9, $D$9, 100%, $F$9) + CHOOSE(CONTROL!$C$27, 0.0021, 0)</f>
        <v>30.603099999999998</v>
      </c>
      <c r="G97" s="14">
        <f>30.8724 * CHOOSE(CONTROL!$C$9, $D$9, 100%, $F$9) + CHOOSE(CONTROL!$C$27, 0.0021, 0)</f>
        <v>30.874499999999998</v>
      </c>
      <c r="H97" s="14">
        <f>30.7377 * CHOOSE(CONTROL!$C$9, $D$9, 100%, $F$9) + CHOOSE(CONTROL!$C$27, 0.0021, 0)</f>
        <v>30.739799999999999</v>
      </c>
      <c r="I97" s="14">
        <f>30.7377 * CHOOSE(CONTROL!$C$9, $D$9, 100%, $F$9) + CHOOSE(CONTROL!$C$27, 0.0021, 0)</f>
        <v>30.739799999999999</v>
      </c>
      <c r="J97" s="14">
        <f>30.7377 * CHOOSE(CONTROL!$C$9, $D$9, 100%, $F$9) + CHOOSE(CONTROL!$C$27, 0.0021, 0)</f>
        <v>30.739799999999999</v>
      </c>
      <c r="K97" s="14">
        <f>30.7377 * CHOOSE(CONTROL!$C$9, $D$9, 100%, $F$9) + CHOOSE(CONTROL!$C$27, 0.0021, 0)</f>
        <v>30.739799999999999</v>
      </c>
      <c r="L97" s="14"/>
    </row>
    <row r="98" spans="1:12" ht="15" x14ac:dyDescent="0.2">
      <c r="A98" s="13">
        <v>43891</v>
      </c>
      <c r="B98" s="14">
        <f>30.8817 * CHOOSE(CONTROL!$C$9, $D$9, 100%, $F$9) + CHOOSE(CONTROL!$C$27, 0.0021, 0)</f>
        <v>30.883799999999997</v>
      </c>
      <c r="C98" s="14">
        <f>30.4494 * CHOOSE(CONTROL!$C$9, $D$9, 100%, $F$9) + CHOOSE(CONTROL!$C$27, 0.0021, 0)</f>
        <v>30.451499999999999</v>
      </c>
      <c r="D98" s="14">
        <f>30.4494 * CHOOSE(CONTROL!$C$9, $D$9, 100%, $F$9) + CHOOSE(CONTROL!$C$27, 0.0021, 0)</f>
        <v>30.451499999999999</v>
      </c>
      <c r="E98" s="14">
        <f>30.3128 * CHOOSE(CONTROL!$C$9, $D$9, 100%, $F$9) + CHOOSE(CONTROL!$C$27, 0.0021, 0)</f>
        <v>30.314899999999998</v>
      </c>
      <c r="F98" s="14">
        <f>30.3128 * CHOOSE(CONTROL!$C$9, $D$9, 100%, $F$9) + CHOOSE(CONTROL!$C$27, 0.0021, 0)</f>
        <v>30.314899999999998</v>
      </c>
      <c r="G98" s="14">
        <f>30.5841 * CHOOSE(CONTROL!$C$9, $D$9, 100%, $F$9) + CHOOSE(CONTROL!$C$27, 0.0021, 0)</f>
        <v>30.586199999999998</v>
      </c>
      <c r="H98" s="14">
        <f>30.4494 * CHOOSE(CONTROL!$C$9, $D$9, 100%, $F$9) + CHOOSE(CONTROL!$C$27, 0.0021, 0)</f>
        <v>30.451499999999999</v>
      </c>
      <c r="I98" s="14">
        <f>30.4494 * CHOOSE(CONTROL!$C$9, $D$9, 100%, $F$9) + CHOOSE(CONTROL!$C$27, 0.0021, 0)</f>
        <v>30.451499999999999</v>
      </c>
      <c r="J98" s="14">
        <f>30.4494 * CHOOSE(CONTROL!$C$9, $D$9, 100%, $F$9) + CHOOSE(CONTROL!$C$27, 0.0021, 0)</f>
        <v>30.451499999999999</v>
      </c>
      <c r="K98" s="14">
        <f>30.4494 * CHOOSE(CONTROL!$C$9, $D$9, 100%, $F$9) + CHOOSE(CONTROL!$C$27, 0.0021, 0)</f>
        <v>30.451499999999999</v>
      </c>
      <c r="L98" s="14"/>
    </row>
    <row r="99" spans="1:12" ht="15" x14ac:dyDescent="0.2">
      <c r="A99" s="13">
        <v>43922</v>
      </c>
      <c r="B99" s="14">
        <f>30.5245 * CHOOSE(CONTROL!$C$9, $D$9, 100%, $F$9) + CHOOSE(CONTROL!$C$27, 0.0021, 0)</f>
        <v>30.526599999999998</v>
      </c>
      <c r="C99" s="14">
        <f>30.0923 * CHOOSE(CONTROL!$C$9, $D$9, 100%, $F$9) + CHOOSE(CONTROL!$C$27, 0.0021, 0)</f>
        <v>30.0944</v>
      </c>
      <c r="D99" s="14">
        <f>30.0923 * CHOOSE(CONTROL!$C$9, $D$9, 100%, $F$9) + CHOOSE(CONTROL!$C$27, 0.0021, 0)</f>
        <v>30.0944</v>
      </c>
      <c r="E99" s="14">
        <f>29.9556 * CHOOSE(CONTROL!$C$9, $D$9, 100%, $F$9) + CHOOSE(CONTROL!$C$27, 0.0021, 0)</f>
        <v>29.957699999999999</v>
      </c>
      <c r="F99" s="14">
        <f>29.9556 * CHOOSE(CONTROL!$C$9, $D$9, 100%, $F$9) + CHOOSE(CONTROL!$C$27, 0.0021, 0)</f>
        <v>29.957699999999999</v>
      </c>
      <c r="G99" s="14">
        <f>30.227 * CHOOSE(CONTROL!$C$9, $D$9, 100%, $F$9) + CHOOSE(CONTROL!$C$27, 0.0021, 0)</f>
        <v>30.229099999999999</v>
      </c>
      <c r="H99" s="14">
        <f>30.0923 * CHOOSE(CONTROL!$C$9, $D$9, 100%, $F$9) + CHOOSE(CONTROL!$C$27, 0.0021, 0)</f>
        <v>30.0944</v>
      </c>
      <c r="I99" s="14">
        <f>30.0923 * CHOOSE(CONTROL!$C$9, $D$9, 100%, $F$9) + CHOOSE(CONTROL!$C$27, 0.0021, 0)</f>
        <v>30.0944</v>
      </c>
      <c r="J99" s="14">
        <f>30.0923 * CHOOSE(CONTROL!$C$9, $D$9, 100%, $F$9) + CHOOSE(CONTROL!$C$27, 0.0021, 0)</f>
        <v>30.0944</v>
      </c>
      <c r="K99" s="14">
        <f>30.0923 * CHOOSE(CONTROL!$C$9, $D$9, 100%, $F$9) + CHOOSE(CONTROL!$C$27, 0.0021, 0)</f>
        <v>30.0944</v>
      </c>
      <c r="L99" s="14"/>
    </row>
    <row r="100" spans="1:12" ht="15" x14ac:dyDescent="0.2">
      <c r="A100" s="13">
        <v>43952</v>
      </c>
      <c r="B100" s="14">
        <f>31.1768 * CHOOSE(CONTROL!$C$9, $D$9, 100%, $F$9) + CHOOSE(CONTROL!$C$27, 0.0021, 0)</f>
        <v>31.178899999999999</v>
      </c>
      <c r="C100" s="14">
        <f>30.7446 * CHOOSE(CONTROL!$C$9, $D$9, 100%, $F$9) + CHOOSE(CONTROL!$C$27, 0.0021, 0)</f>
        <v>30.746699999999997</v>
      </c>
      <c r="D100" s="14">
        <f>30.7446 * CHOOSE(CONTROL!$C$9, $D$9, 100%, $F$9) + CHOOSE(CONTROL!$C$27, 0.0021, 0)</f>
        <v>30.746699999999997</v>
      </c>
      <c r="E100" s="14">
        <f>30.6079 * CHOOSE(CONTROL!$C$9, $D$9, 100%, $F$9) + CHOOSE(CONTROL!$C$27, 0.0021, 0)</f>
        <v>30.61</v>
      </c>
      <c r="F100" s="14">
        <f>30.6079 * CHOOSE(CONTROL!$C$9, $D$9, 100%, $F$9) + CHOOSE(CONTROL!$C$27, 0.0021, 0)</f>
        <v>30.61</v>
      </c>
      <c r="G100" s="14">
        <f>30.8793 * CHOOSE(CONTROL!$C$9, $D$9, 100%, $F$9) + CHOOSE(CONTROL!$C$27, 0.0021, 0)</f>
        <v>30.881399999999999</v>
      </c>
      <c r="H100" s="14">
        <f>30.7446 * CHOOSE(CONTROL!$C$9, $D$9, 100%, $F$9) + CHOOSE(CONTROL!$C$27, 0.0021, 0)</f>
        <v>30.746699999999997</v>
      </c>
      <c r="I100" s="14">
        <f>30.7446 * CHOOSE(CONTROL!$C$9, $D$9, 100%, $F$9) + CHOOSE(CONTROL!$C$27, 0.0021, 0)</f>
        <v>30.746699999999997</v>
      </c>
      <c r="J100" s="14">
        <f>30.7446 * CHOOSE(CONTROL!$C$9, $D$9, 100%, $F$9) + CHOOSE(CONTROL!$C$27, 0.0021, 0)</f>
        <v>30.746699999999997</v>
      </c>
      <c r="K100" s="14">
        <f>30.7446 * CHOOSE(CONTROL!$C$9, $D$9, 100%, $F$9) + CHOOSE(CONTROL!$C$27, 0.0021, 0)</f>
        <v>30.746699999999997</v>
      </c>
      <c r="L100" s="14"/>
    </row>
    <row r="101" spans="1:12" ht="15" x14ac:dyDescent="0.2">
      <c r="A101" s="13">
        <v>43983</v>
      </c>
      <c r="B101" s="14">
        <f>31.5929 * CHOOSE(CONTROL!$C$9, $D$9, 100%, $F$9) + CHOOSE(CONTROL!$C$27, 0.0021, 0)</f>
        <v>31.594999999999999</v>
      </c>
      <c r="C101" s="14">
        <f>31.1606 * CHOOSE(CONTROL!$C$9, $D$9, 100%, $F$9) + CHOOSE(CONTROL!$C$27, 0.0021, 0)</f>
        <v>31.162699999999997</v>
      </c>
      <c r="D101" s="14">
        <f>31.1606 * CHOOSE(CONTROL!$C$9, $D$9, 100%, $F$9) + CHOOSE(CONTROL!$C$27, 0.0021, 0)</f>
        <v>31.162699999999997</v>
      </c>
      <c r="E101" s="14">
        <f>31.024 * CHOOSE(CONTROL!$C$9, $D$9, 100%, $F$9) + CHOOSE(CONTROL!$C$27, 0.0021, 0)</f>
        <v>31.0261</v>
      </c>
      <c r="F101" s="14">
        <f>31.024 * CHOOSE(CONTROL!$C$9, $D$9, 100%, $F$9) + CHOOSE(CONTROL!$C$27, 0.0021, 0)</f>
        <v>31.0261</v>
      </c>
      <c r="G101" s="14">
        <f>31.2953 * CHOOSE(CONTROL!$C$9, $D$9, 100%, $F$9) + CHOOSE(CONTROL!$C$27, 0.0021, 0)</f>
        <v>31.2974</v>
      </c>
      <c r="H101" s="14">
        <f>31.1606 * CHOOSE(CONTROL!$C$9, $D$9, 100%, $F$9) + CHOOSE(CONTROL!$C$27, 0.0021, 0)</f>
        <v>31.162699999999997</v>
      </c>
      <c r="I101" s="14">
        <f>31.1606 * CHOOSE(CONTROL!$C$9, $D$9, 100%, $F$9) + CHOOSE(CONTROL!$C$27, 0.0021, 0)</f>
        <v>31.162699999999997</v>
      </c>
      <c r="J101" s="14">
        <f>31.1606 * CHOOSE(CONTROL!$C$9, $D$9, 100%, $F$9) + CHOOSE(CONTROL!$C$27, 0.0021, 0)</f>
        <v>31.162699999999997</v>
      </c>
      <c r="K101" s="14">
        <f>31.1606 * CHOOSE(CONTROL!$C$9, $D$9, 100%, $F$9) + CHOOSE(CONTROL!$C$27, 0.0021, 0)</f>
        <v>31.162699999999997</v>
      </c>
      <c r="L101" s="14"/>
    </row>
    <row r="102" spans="1:12" ht="15" x14ac:dyDescent="0.2">
      <c r="A102" s="13">
        <v>44013</v>
      </c>
      <c r="B102" s="14">
        <f>32.2427 * CHOOSE(CONTROL!$C$9, $D$9, 100%, $F$9) + CHOOSE(CONTROL!$C$27, 0.0021, 0)</f>
        <v>32.244799999999998</v>
      </c>
      <c r="C102" s="14">
        <f>31.8104 * CHOOSE(CONTROL!$C$9, $D$9, 100%, $F$9) + CHOOSE(CONTROL!$C$27, 0.0021, 0)</f>
        <v>31.8125</v>
      </c>
      <c r="D102" s="14">
        <f>31.8104 * CHOOSE(CONTROL!$C$9, $D$9, 100%, $F$9) + CHOOSE(CONTROL!$C$27, 0.0021, 0)</f>
        <v>31.8125</v>
      </c>
      <c r="E102" s="14">
        <f>31.6738 * CHOOSE(CONTROL!$C$9, $D$9, 100%, $F$9) + CHOOSE(CONTROL!$C$27, 0.0021, 0)</f>
        <v>31.675899999999999</v>
      </c>
      <c r="F102" s="14">
        <f>31.6738 * CHOOSE(CONTROL!$C$9, $D$9, 100%, $F$9) + CHOOSE(CONTROL!$C$27, 0.0021, 0)</f>
        <v>31.675899999999999</v>
      </c>
      <c r="G102" s="14">
        <f>31.9451 * CHOOSE(CONTROL!$C$9, $D$9, 100%, $F$9) + CHOOSE(CONTROL!$C$27, 0.0021, 0)</f>
        <v>31.947199999999999</v>
      </c>
      <c r="H102" s="14">
        <f>31.8104 * CHOOSE(CONTROL!$C$9, $D$9, 100%, $F$9) + CHOOSE(CONTROL!$C$27, 0.0021, 0)</f>
        <v>31.8125</v>
      </c>
      <c r="I102" s="14">
        <f>31.8104 * CHOOSE(CONTROL!$C$9, $D$9, 100%, $F$9) + CHOOSE(CONTROL!$C$27, 0.0021, 0)</f>
        <v>31.8125</v>
      </c>
      <c r="J102" s="14">
        <f>31.8104 * CHOOSE(CONTROL!$C$9, $D$9, 100%, $F$9) + CHOOSE(CONTROL!$C$27, 0.0021, 0)</f>
        <v>31.8125</v>
      </c>
      <c r="K102" s="14">
        <f>31.8104 * CHOOSE(CONTROL!$C$9, $D$9, 100%, $F$9) + CHOOSE(CONTROL!$C$27, 0.0021, 0)</f>
        <v>31.8125</v>
      </c>
      <c r="L102" s="14"/>
    </row>
    <row r="103" spans="1:12" ht="15" x14ac:dyDescent="0.2">
      <c r="A103" s="13">
        <v>44044</v>
      </c>
      <c r="B103" s="14">
        <f>32.4846 * CHOOSE(CONTROL!$C$9, $D$9, 100%, $F$9) + CHOOSE(CONTROL!$C$27, 0.0021, 0)</f>
        <v>32.486699999999999</v>
      </c>
      <c r="C103" s="14">
        <f>32.0524 * CHOOSE(CONTROL!$C$9, $D$9, 100%, $F$9) + CHOOSE(CONTROL!$C$27, 0.0021, 0)</f>
        <v>32.054499999999997</v>
      </c>
      <c r="D103" s="14">
        <f>32.0524 * CHOOSE(CONTROL!$C$9, $D$9, 100%, $F$9) + CHOOSE(CONTROL!$C$27, 0.0021, 0)</f>
        <v>32.054499999999997</v>
      </c>
      <c r="E103" s="14">
        <f>31.9157 * CHOOSE(CONTROL!$C$9, $D$9, 100%, $F$9) + CHOOSE(CONTROL!$C$27, 0.0021, 0)</f>
        <v>31.9178</v>
      </c>
      <c r="F103" s="14">
        <f>31.9157 * CHOOSE(CONTROL!$C$9, $D$9, 100%, $F$9) + CHOOSE(CONTROL!$C$27, 0.0021, 0)</f>
        <v>31.9178</v>
      </c>
      <c r="G103" s="14">
        <f>32.1871 * CHOOSE(CONTROL!$C$9, $D$9, 100%, $F$9) + CHOOSE(CONTROL!$C$27, 0.0021, 0)</f>
        <v>32.1892</v>
      </c>
      <c r="H103" s="14">
        <f>32.0524 * CHOOSE(CONTROL!$C$9, $D$9, 100%, $F$9) + CHOOSE(CONTROL!$C$27, 0.0021, 0)</f>
        <v>32.054499999999997</v>
      </c>
      <c r="I103" s="14">
        <f>32.0524 * CHOOSE(CONTROL!$C$9, $D$9, 100%, $F$9) + CHOOSE(CONTROL!$C$27, 0.0021, 0)</f>
        <v>32.054499999999997</v>
      </c>
      <c r="J103" s="14">
        <f>32.0524 * CHOOSE(CONTROL!$C$9, $D$9, 100%, $F$9) + CHOOSE(CONTROL!$C$27, 0.0021, 0)</f>
        <v>32.054499999999997</v>
      </c>
      <c r="K103" s="14">
        <f>32.0524 * CHOOSE(CONTROL!$C$9, $D$9, 100%, $F$9) + CHOOSE(CONTROL!$C$27, 0.0021, 0)</f>
        <v>32.054499999999997</v>
      </c>
      <c r="L103" s="14"/>
    </row>
    <row r="104" spans="1:12" ht="15" x14ac:dyDescent="0.2">
      <c r="A104" s="13">
        <v>44075</v>
      </c>
      <c r="B104" s="14">
        <f>33.1621 * CHOOSE(CONTROL!$C$9, $D$9, 100%, $F$9) + CHOOSE(CONTROL!$C$27, 0.0021, 0)</f>
        <v>33.164200000000001</v>
      </c>
      <c r="C104" s="14">
        <f>32.7298 * CHOOSE(CONTROL!$C$9, $D$9, 100%, $F$9) + CHOOSE(CONTROL!$C$27, 0.0021, 0)</f>
        <v>32.731899999999996</v>
      </c>
      <c r="D104" s="14">
        <f>32.7298 * CHOOSE(CONTROL!$C$9, $D$9, 100%, $F$9) + CHOOSE(CONTROL!$C$27, 0.0021, 0)</f>
        <v>32.731899999999996</v>
      </c>
      <c r="E104" s="14">
        <f>32.5932 * CHOOSE(CONTROL!$C$9, $D$9, 100%, $F$9) + CHOOSE(CONTROL!$C$27, 0.0021, 0)</f>
        <v>32.595300000000002</v>
      </c>
      <c r="F104" s="14">
        <f>32.5932 * CHOOSE(CONTROL!$C$9, $D$9, 100%, $F$9) + CHOOSE(CONTROL!$C$27, 0.0021, 0)</f>
        <v>32.595300000000002</v>
      </c>
      <c r="G104" s="14">
        <f>32.8645 * CHOOSE(CONTROL!$C$9, $D$9, 100%, $F$9) + CHOOSE(CONTROL!$C$27, 0.0021, 0)</f>
        <v>32.866599999999998</v>
      </c>
      <c r="H104" s="14">
        <f>32.7298 * CHOOSE(CONTROL!$C$9, $D$9, 100%, $F$9) + CHOOSE(CONTROL!$C$27, 0.0021, 0)</f>
        <v>32.731899999999996</v>
      </c>
      <c r="I104" s="14">
        <f>32.7298 * CHOOSE(CONTROL!$C$9, $D$9, 100%, $F$9) + CHOOSE(CONTROL!$C$27, 0.0021, 0)</f>
        <v>32.731899999999996</v>
      </c>
      <c r="J104" s="14">
        <f>32.7298 * CHOOSE(CONTROL!$C$9, $D$9, 100%, $F$9) + CHOOSE(CONTROL!$C$27, 0.0021, 0)</f>
        <v>32.731899999999996</v>
      </c>
      <c r="K104" s="14">
        <f>32.7298 * CHOOSE(CONTROL!$C$9, $D$9, 100%, $F$9) + CHOOSE(CONTROL!$C$27, 0.0021, 0)</f>
        <v>32.731899999999996</v>
      </c>
      <c r="L104" s="14"/>
    </row>
    <row r="105" spans="1:12" ht="15" x14ac:dyDescent="0.2">
      <c r="A105" s="13">
        <v>44105</v>
      </c>
      <c r="B105" s="14">
        <f>34.006 * CHOOSE(CONTROL!$C$9, $D$9, 100%, $F$9) + CHOOSE(CONTROL!$C$27, 0.0021, 0)</f>
        <v>34.008099999999999</v>
      </c>
      <c r="C105" s="14">
        <f>33.5738 * CHOOSE(CONTROL!$C$9, $D$9, 100%, $F$9) + CHOOSE(CONTROL!$C$27, 0.0021, 0)</f>
        <v>33.575899999999997</v>
      </c>
      <c r="D105" s="14">
        <f>33.5738 * CHOOSE(CONTROL!$C$9, $D$9, 100%, $F$9) + CHOOSE(CONTROL!$C$27, 0.0021, 0)</f>
        <v>33.575899999999997</v>
      </c>
      <c r="E105" s="14">
        <f>33.4371 * CHOOSE(CONTROL!$C$9, $D$9, 100%, $F$9) + CHOOSE(CONTROL!$C$27, 0.0021, 0)</f>
        <v>33.4392</v>
      </c>
      <c r="F105" s="14">
        <f>33.4371 * CHOOSE(CONTROL!$C$9, $D$9, 100%, $F$9) + CHOOSE(CONTROL!$C$27, 0.0021, 0)</f>
        <v>33.4392</v>
      </c>
      <c r="G105" s="14">
        <f>33.7085 * CHOOSE(CONTROL!$C$9, $D$9, 100%, $F$9) + CHOOSE(CONTROL!$C$27, 0.0021, 0)</f>
        <v>33.710599999999999</v>
      </c>
      <c r="H105" s="14">
        <f>33.5738 * CHOOSE(CONTROL!$C$9, $D$9, 100%, $F$9) + CHOOSE(CONTROL!$C$27, 0.0021, 0)</f>
        <v>33.575899999999997</v>
      </c>
      <c r="I105" s="14">
        <f>33.5738 * CHOOSE(CONTROL!$C$9, $D$9, 100%, $F$9) + CHOOSE(CONTROL!$C$27, 0.0021, 0)</f>
        <v>33.575899999999997</v>
      </c>
      <c r="J105" s="14">
        <f>33.5738 * CHOOSE(CONTROL!$C$9, $D$9, 100%, $F$9) + CHOOSE(CONTROL!$C$27, 0.0021, 0)</f>
        <v>33.575899999999997</v>
      </c>
      <c r="K105" s="14">
        <f>33.5738 * CHOOSE(CONTROL!$C$9, $D$9, 100%, $F$9) + CHOOSE(CONTROL!$C$27, 0.0021, 0)</f>
        <v>33.575899999999997</v>
      </c>
      <c r="L105" s="14"/>
    </row>
    <row r="106" spans="1:12" ht="15" x14ac:dyDescent="0.2">
      <c r="A106" s="13">
        <v>44136</v>
      </c>
      <c r="B106" s="14">
        <f>34.1448 * CHOOSE(CONTROL!$C$9, $D$9, 100%, $F$9) + CHOOSE(CONTROL!$C$27, 0.0021, 0)</f>
        <v>34.146899999999995</v>
      </c>
      <c r="C106" s="14">
        <f>33.7125 * CHOOSE(CONTROL!$C$9, $D$9, 100%, $F$9) + CHOOSE(CONTROL!$C$27, 0.0021, 0)</f>
        <v>33.714599999999997</v>
      </c>
      <c r="D106" s="14">
        <f>33.7125 * CHOOSE(CONTROL!$C$9, $D$9, 100%, $F$9) + CHOOSE(CONTROL!$C$27, 0.0021, 0)</f>
        <v>33.714599999999997</v>
      </c>
      <c r="E106" s="14">
        <f>33.5759 * CHOOSE(CONTROL!$C$9, $D$9, 100%, $F$9) + CHOOSE(CONTROL!$C$27, 0.0021, 0)</f>
        <v>33.577999999999996</v>
      </c>
      <c r="F106" s="14">
        <f>33.5759 * CHOOSE(CONTROL!$C$9, $D$9, 100%, $F$9) + CHOOSE(CONTROL!$C$27, 0.0021, 0)</f>
        <v>33.577999999999996</v>
      </c>
      <c r="G106" s="14">
        <f>33.8472 * CHOOSE(CONTROL!$C$9, $D$9, 100%, $F$9) + CHOOSE(CONTROL!$C$27, 0.0021, 0)</f>
        <v>33.849299999999999</v>
      </c>
      <c r="H106" s="14">
        <f>33.7125 * CHOOSE(CONTROL!$C$9, $D$9, 100%, $F$9) + CHOOSE(CONTROL!$C$27, 0.0021, 0)</f>
        <v>33.714599999999997</v>
      </c>
      <c r="I106" s="14">
        <f>33.7125 * CHOOSE(CONTROL!$C$9, $D$9, 100%, $F$9) + CHOOSE(CONTROL!$C$27, 0.0021, 0)</f>
        <v>33.714599999999997</v>
      </c>
      <c r="J106" s="14">
        <f>33.7125 * CHOOSE(CONTROL!$C$9, $D$9, 100%, $F$9) + CHOOSE(CONTROL!$C$27, 0.0021, 0)</f>
        <v>33.714599999999997</v>
      </c>
      <c r="K106" s="14">
        <f>33.7125 * CHOOSE(CONTROL!$C$9, $D$9, 100%, $F$9) + CHOOSE(CONTROL!$C$27, 0.0021, 0)</f>
        <v>33.714599999999997</v>
      </c>
      <c r="L106" s="14"/>
    </row>
    <row r="107" spans="1:12" ht="15" x14ac:dyDescent="0.2">
      <c r="A107" s="13">
        <v>44166</v>
      </c>
      <c r="B107" s="14">
        <f>33.5845 * CHOOSE(CONTROL!$C$9, $D$9, 100%, $F$9) + CHOOSE(CONTROL!$C$27, 0.0021, 0)</f>
        <v>33.586599999999997</v>
      </c>
      <c r="C107" s="14">
        <f>33.1523 * CHOOSE(CONTROL!$C$9, $D$9, 100%, $F$9) + CHOOSE(CONTROL!$C$27, 0.0021, 0)</f>
        <v>33.154399999999995</v>
      </c>
      <c r="D107" s="14">
        <f>33.1523 * CHOOSE(CONTROL!$C$9, $D$9, 100%, $F$9) + CHOOSE(CONTROL!$C$27, 0.0021, 0)</f>
        <v>33.154399999999995</v>
      </c>
      <c r="E107" s="14">
        <f>33.0156 * CHOOSE(CONTROL!$C$9, $D$9, 100%, $F$9) + CHOOSE(CONTROL!$C$27, 0.0021, 0)</f>
        <v>33.017699999999998</v>
      </c>
      <c r="F107" s="14">
        <f>33.0156 * CHOOSE(CONTROL!$C$9, $D$9, 100%, $F$9) + CHOOSE(CONTROL!$C$27, 0.0021, 0)</f>
        <v>33.017699999999998</v>
      </c>
      <c r="G107" s="14">
        <f>33.287 * CHOOSE(CONTROL!$C$9, $D$9, 100%, $F$9) + CHOOSE(CONTROL!$C$27, 0.0021, 0)</f>
        <v>33.289099999999998</v>
      </c>
      <c r="H107" s="14">
        <f>33.1523 * CHOOSE(CONTROL!$C$9, $D$9, 100%, $F$9) + CHOOSE(CONTROL!$C$27, 0.0021, 0)</f>
        <v>33.154399999999995</v>
      </c>
      <c r="I107" s="14">
        <f>33.1523 * CHOOSE(CONTROL!$C$9, $D$9, 100%, $F$9) + CHOOSE(CONTROL!$C$27, 0.0021, 0)</f>
        <v>33.154399999999995</v>
      </c>
      <c r="J107" s="14">
        <f>33.1523 * CHOOSE(CONTROL!$C$9, $D$9, 100%, $F$9) + CHOOSE(CONTROL!$C$27, 0.0021, 0)</f>
        <v>33.154399999999995</v>
      </c>
      <c r="K107" s="14">
        <f>33.1523 * CHOOSE(CONTROL!$C$9, $D$9, 100%, $F$9) + CHOOSE(CONTROL!$C$27, 0.0021, 0)</f>
        <v>33.154399999999995</v>
      </c>
      <c r="L107" s="14"/>
    </row>
    <row r="108" spans="1:12" ht="15" x14ac:dyDescent="0.2">
      <c r="A108" s="13">
        <v>44197</v>
      </c>
      <c r="B108" s="14">
        <f>34.2322 * CHOOSE(CONTROL!$C$9, $D$9, 100%, $F$9) + CHOOSE(CONTROL!$C$27, 0.0021, 0)</f>
        <v>34.234299999999998</v>
      </c>
      <c r="C108" s="14">
        <f>33.7999 * CHOOSE(CONTROL!$C$9, $D$9, 100%, $F$9) + CHOOSE(CONTROL!$C$27, 0.0021, 0)</f>
        <v>33.802</v>
      </c>
      <c r="D108" s="14">
        <f>33.7999 * CHOOSE(CONTROL!$C$9, $D$9, 100%, $F$9) + CHOOSE(CONTROL!$C$27, 0.0021, 0)</f>
        <v>33.802</v>
      </c>
      <c r="E108" s="14">
        <f>33.6633 * CHOOSE(CONTROL!$C$9, $D$9, 100%, $F$9) + CHOOSE(CONTROL!$C$27, 0.0021, 0)</f>
        <v>33.665399999999998</v>
      </c>
      <c r="F108" s="14">
        <f>33.6633 * CHOOSE(CONTROL!$C$9, $D$9, 100%, $F$9) + CHOOSE(CONTROL!$C$27, 0.0021, 0)</f>
        <v>33.665399999999998</v>
      </c>
      <c r="G108" s="14">
        <f>33.9346 * CHOOSE(CONTROL!$C$9, $D$9, 100%, $F$9) + CHOOSE(CONTROL!$C$27, 0.0021, 0)</f>
        <v>33.936700000000002</v>
      </c>
      <c r="H108" s="14">
        <f>33.7999 * CHOOSE(CONTROL!$C$9, $D$9, 100%, $F$9) + CHOOSE(CONTROL!$C$27, 0.0021, 0)</f>
        <v>33.802</v>
      </c>
      <c r="I108" s="14">
        <f>33.7999 * CHOOSE(CONTROL!$C$9, $D$9, 100%, $F$9) + CHOOSE(CONTROL!$C$27, 0.0021, 0)</f>
        <v>33.802</v>
      </c>
      <c r="J108" s="14">
        <f>33.7999 * CHOOSE(CONTROL!$C$9, $D$9, 100%, $F$9) + CHOOSE(CONTROL!$C$27, 0.0021, 0)</f>
        <v>33.802</v>
      </c>
      <c r="K108" s="14">
        <f>33.7999 * CHOOSE(CONTROL!$C$9, $D$9, 100%, $F$9) + CHOOSE(CONTROL!$C$27, 0.0021, 0)</f>
        <v>33.802</v>
      </c>
      <c r="L108" s="14"/>
    </row>
    <row r="109" spans="1:12" ht="15" x14ac:dyDescent="0.2">
      <c r="A109" s="13">
        <v>44228</v>
      </c>
      <c r="B109" s="14">
        <f>33.3927 * CHOOSE(CONTROL!$C$9, $D$9, 100%, $F$9) + CHOOSE(CONTROL!$C$27, 0.0021, 0)</f>
        <v>33.394799999999996</v>
      </c>
      <c r="C109" s="14">
        <f>32.9604 * CHOOSE(CONTROL!$C$9, $D$9, 100%, $F$9) + CHOOSE(CONTROL!$C$27, 0.0021, 0)</f>
        <v>32.962499999999999</v>
      </c>
      <c r="D109" s="14">
        <f>32.9604 * CHOOSE(CONTROL!$C$9, $D$9, 100%, $F$9) + CHOOSE(CONTROL!$C$27, 0.0021, 0)</f>
        <v>32.962499999999999</v>
      </c>
      <c r="E109" s="14">
        <f>32.8238 * CHOOSE(CONTROL!$C$9, $D$9, 100%, $F$9) + CHOOSE(CONTROL!$C$27, 0.0021, 0)</f>
        <v>32.825899999999997</v>
      </c>
      <c r="F109" s="14">
        <f>32.8238 * CHOOSE(CONTROL!$C$9, $D$9, 100%, $F$9) + CHOOSE(CONTROL!$C$27, 0.0021, 0)</f>
        <v>32.825899999999997</v>
      </c>
      <c r="G109" s="14">
        <f>33.0951 * CHOOSE(CONTROL!$C$9, $D$9, 100%, $F$9) + CHOOSE(CONTROL!$C$27, 0.0021, 0)</f>
        <v>33.097200000000001</v>
      </c>
      <c r="H109" s="14">
        <f>32.9604 * CHOOSE(CONTROL!$C$9, $D$9, 100%, $F$9) + CHOOSE(CONTROL!$C$27, 0.0021, 0)</f>
        <v>32.962499999999999</v>
      </c>
      <c r="I109" s="14">
        <f>32.9604 * CHOOSE(CONTROL!$C$9, $D$9, 100%, $F$9) + CHOOSE(CONTROL!$C$27, 0.0021, 0)</f>
        <v>32.962499999999999</v>
      </c>
      <c r="J109" s="14">
        <f>32.9604 * CHOOSE(CONTROL!$C$9, $D$9, 100%, $F$9) + CHOOSE(CONTROL!$C$27, 0.0021, 0)</f>
        <v>32.962499999999999</v>
      </c>
      <c r="K109" s="14">
        <f>32.9604 * CHOOSE(CONTROL!$C$9, $D$9, 100%, $F$9) + CHOOSE(CONTROL!$C$27, 0.0021, 0)</f>
        <v>32.962499999999999</v>
      </c>
      <c r="L109" s="14"/>
    </row>
    <row r="110" spans="1:12" ht="15" x14ac:dyDescent="0.2">
      <c r="A110" s="13">
        <v>44256</v>
      </c>
      <c r="B110" s="14">
        <f>33.0823 * CHOOSE(CONTROL!$C$9, $D$9, 100%, $F$9) + CHOOSE(CONTROL!$C$27, 0.0021, 0)</f>
        <v>33.084399999999995</v>
      </c>
      <c r="C110" s="14">
        <f>32.65 * CHOOSE(CONTROL!$C$9, $D$9, 100%, $F$9) + CHOOSE(CONTROL!$C$27, 0.0021, 0)</f>
        <v>32.652099999999997</v>
      </c>
      <c r="D110" s="14">
        <f>32.65 * CHOOSE(CONTROL!$C$9, $D$9, 100%, $F$9) + CHOOSE(CONTROL!$C$27, 0.0021, 0)</f>
        <v>32.652099999999997</v>
      </c>
      <c r="E110" s="14">
        <f>32.5134 * CHOOSE(CONTROL!$C$9, $D$9, 100%, $F$9) + CHOOSE(CONTROL!$C$27, 0.0021, 0)</f>
        <v>32.515499999999996</v>
      </c>
      <c r="F110" s="14">
        <f>32.5134 * CHOOSE(CONTROL!$C$9, $D$9, 100%, $F$9) + CHOOSE(CONTROL!$C$27, 0.0021, 0)</f>
        <v>32.515499999999996</v>
      </c>
      <c r="G110" s="14">
        <f>32.7847 * CHOOSE(CONTROL!$C$9, $D$9, 100%, $F$9) + CHOOSE(CONTROL!$C$27, 0.0021, 0)</f>
        <v>32.786799999999999</v>
      </c>
      <c r="H110" s="14">
        <f>32.65 * CHOOSE(CONTROL!$C$9, $D$9, 100%, $F$9) + CHOOSE(CONTROL!$C$27, 0.0021, 0)</f>
        <v>32.652099999999997</v>
      </c>
      <c r="I110" s="14">
        <f>32.65 * CHOOSE(CONTROL!$C$9, $D$9, 100%, $F$9) + CHOOSE(CONTROL!$C$27, 0.0021, 0)</f>
        <v>32.652099999999997</v>
      </c>
      <c r="J110" s="14">
        <f>32.65 * CHOOSE(CONTROL!$C$9, $D$9, 100%, $F$9) + CHOOSE(CONTROL!$C$27, 0.0021, 0)</f>
        <v>32.652099999999997</v>
      </c>
      <c r="K110" s="14">
        <f>32.65 * CHOOSE(CONTROL!$C$9, $D$9, 100%, $F$9) + CHOOSE(CONTROL!$C$27, 0.0021, 0)</f>
        <v>32.652099999999997</v>
      </c>
      <c r="L110" s="14"/>
    </row>
    <row r="111" spans="1:12" ht="15" x14ac:dyDescent="0.2">
      <c r="A111" s="13">
        <v>44287</v>
      </c>
      <c r="B111" s="14">
        <f>32.6976 * CHOOSE(CONTROL!$C$9, $D$9, 100%, $F$9) + CHOOSE(CONTROL!$C$27, 0.0021, 0)</f>
        <v>32.6997</v>
      </c>
      <c r="C111" s="14">
        <f>32.2654 * CHOOSE(CONTROL!$C$9, $D$9, 100%, $F$9) + CHOOSE(CONTROL!$C$27, 0.0021, 0)</f>
        <v>32.267499999999998</v>
      </c>
      <c r="D111" s="14">
        <f>32.2654 * CHOOSE(CONTROL!$C$9, $D$9, 100%, $F$9) + CHOOSE(CONTROL!$C$27, 0.0021, 0)</f>
        <v>32.267499999999998</v>
      </c>
      <c r="E111" s="14">
        <f>32.1287 * CHOOSE(CONTROL!$C$9, $D$9, 100%, $F$9) + CHOOSE(CONTROL!$C$27, 0.0021, 0)</f>
        <v>32.130800000000001</v>
      </c>
      <c r="F111" s="14">
        <f>32.1287 * CHOOSE(CONTROL!$C$9, $D$9, 100%, $F$9) + CHOOSE(CONTROL!$C$27, 0.0021, 0)</f>
        <v>32.130800000000001</v>
      </c>
      <c r="G111" s="14">
        <f>32.4001 * CHOOSE(CONTROL!$C$9, $D$9, 100%, $F$9) + CHOOSE(CONTROL!$C$27, 0.0021, 0)</f>
        <v>32.402200000000001</v>
      </c>
      <c r="H111" s="14">
        <f>32.2654 * CHOOSE(CONTROL!$C$9, $D$9, 100%, $F$9) + CHOOSE(CONTROL!$C$27, 0.0021, 0)</f>
        <v>32.267499999999998</v>
      </c>
      <c r="I111" s="14">
        <f>32.2654 * CHOOSE(CONTROL!$C$9, $D$9, 100%, $F$9) + CHOOSE(CONTROL!$C$27, 0.0021, 0)</f>
        <v>32.267499999999998</v>
      </c>
      <c r="J111" s="14">
        <f>32.2654 * CHOOSE(CONTROL!$C$9, $D$9, 100%, $F$9) + CHOOSE(CONTROL!$C$27, 0.0021, 0)</f>
        <v>32.267499999999998</v>
      </c>
      <c r="K111" s="14">
        <f>32.2654 * CHOOSE(CONTROL!$C$9, $D$9, 100%, $F$9) + CHOOSE(CONTROL!$C$27, 0.0021, 0)</f>
        <v>32.267499999999998</v>
      </c>
      <c r="L111" s="14"/>
    </row>
    <row r="112" spans="1:12" ht="15" x14ac:dyDescent="0.2">
      <c r="A112" s="13">
        <v>44317</v>
      </c>
      <c r="B112" s="14">
        <f>33.4001 * CHOOSE(CONTROL!$C$9, $D$9, 100%, $F$9) + CHOOSE(CONTROL!$C$27, 0.0021, 0)</f>
        <v>33.402200000000001</v>
      </c>
      <c r="C112" s="14">
        <f>32.9679 * CHOOSE(CONTROL!$C$9, $D$9, 100%, $F$9) + CHOOSE(CONTROL!$C$27, 0.0021, 0)</f>
        <v>32.97</v>
      </c>
      <c r="D112" s="14">
        <f>32.9679 * CHOOSE(CONTROL!$C$9, $D$9, 100%, $F$9) + CHOOSE(CONTROL!$C$27, 0.0021, 0)</f>
        <v>32.97</v>
      </c>
      <c r="E112" s="14">
        <f>32.8312 * CHOOSE(CONTROL!$C$9, $D$9, 100%, $F$9) + CHOOSE(CONTROL!$C$27, 0.0021, 0)</f>
        <v>32.833300000000001</v>
      </c>
      <c r="F112" s="14">
        <f>32.8312 * CHOOSE(CONTROL!$C$9, $D$9, 100%, $F$9) + CHOOSE(CONTROL!$C$27, 0.0021, 0)</f>
        <v>32.833300000000001</v>
      </c>
      <c r="G112" s="14">
        <f>33.1026 * CHOOSE(CONTROL!$C$9, $D$9, 100%, $F$9) + CHOOSE(CONTROL!$C$27, 0.0021, 0)</f>
        <v>33.104700000000001</v>
      </c>
      <c r="H112" s="14">
        <f>32.9679 * CHOOSE(CONTROL!$C$9, $D$9, 100%, $F$9) + CHOOSE(CONTROL!$C$27, 0.0021, 0)</f>
        <v>32.97</v>
      </c>
      <c r="I112" s="14">
        <f>32.9679 * CHOOSE(CONTROL!$C$9, $D$9, 100%, $F$9) + CHOOSE(CONTROL!$C$27, 0.0021, 0)</f>
        <v>32.97</v>
      </c>
      <c r="J112" s="14">
        <f>32.9679 * CHOOSE(CONTROL!$C$9, $D$9, 100%, $F$9) + CHOOSE(CONTROL!$C$27, 0.0021, 0)</f>
        <v>32.97</v>
      </c>
      <c r="K112" s="14">
        <f>32.9679 * CHOOSE(CONTROL!$C$9, $D$9, 100%, $F$9) + CHOOSE(CONTROL!$C$27, 0.0021, 0)</f>
        <v>32.97</v>
      </c>
      <c r="L112" s="14"/>
    </row>
    <row r="113" spans="1:12" ht="15" x14ac:dyDescent="0.2">
      <c r="A113" s="13">
        <v>44348</v>
      </c>
      <c r="B113" s="14">
        <f>33.8482 * CHOOSE(CONTROL!$C$9, $D$9, 100%, $F$9) + CHOOSE(CONTROL!$C$27, 0.0021, 0)</f>
        <v>33.850299999999997</v>
      </c>
      <c r="C113" s="14">
        <f>33.416 * CHOOSE(CONTROL!$C$9, $D$9, 100%, $F$9) + CHOOSE(CONTROL!$C$27, 0.0021, 0)</f>
        <v>33.418099999999995</v>
      </c>
      <c r="D113" s="14">
        <f>33.416 * CHOOSE(CONTROL!$C$9, $D$9, 100%, $F$9) + CHOOSE(CONTROL!$C$27, 0.0021, 0)</f>
        <v>33.418099999999995</v>
      </c>
      <c r="E113" s="14">
        <f>33.2793 * CHOOSE(CONTROL!$C$9, $D$9, 100%, $F$9) + CHOOSE(CONTROL!$C$27, 0.0021, 0)</f>
        <v>33.281399999999998</v>
      </c>
      <c r="F113" s="14">
        <f>33.2793 * CHOOSE(CONTROL!$C$9, $D$9, 100%, $F$9) + CHOOSE(CONTROL!$C$27, 0.0021, 0)</f>
        <v>33.281399999999998</v>
      </c>
      <c r="G113" s="14">
        <f>33.5507 * CHOOSE(CONTROL!$C$9, $D$9, 100%, $F$9) + CHOOSE(CONTROL!$C$27, 0.0021, 0)</f>
        <v>33.552799999999998</v>
      </c>
      <c r="H113" s="14">
        <f>33.416 * CHOOSE(CONTROL!$C$9, $D$9, 100%, $F$9) + CHOOSE(CONTROL!$C$27, 0.0021, 0)</f>
        <v>33.418099999999995</v>
      </c>
      <c r="I113" s="14">
        <f>33.416 * CHOOSE(CONTROL!$C$9, $D$9, 100%, $F$9) + CHOOSE(CONTROL!$C$27, 0.0021, 0)</f>
        <v>33.418099999999995</v>
      </c>
      <c r="J113" s="14">
        <f>33.416 * CHOOSE(CONTROL!$C$9, $D$9, 100%, $F$9) + CHOOSE(CONTROL!$C$27, 0.0021, 0)</f>
        <v>33.418099999999995</v>
      </c>
      <c r="K113" s="14">
        <f>33.416 * CHOOSE(CONTROL!$C$9, $D$9, 100%, $F$9) + CHOOSE(CONTROL!$C$27, 0.0021, 0)</f>
        <v>33.418099999999995</v>
      </c>
      <c r="L113" s="14"/>
    </row>
    <row r="114" spans="1:12" ht="15" x14ac:dyDescent="0.2">
      <c r="A114" s="13">
        <v>44378</v>
      </c>
      <c r="B114" s="14">
        <f>34.548 * CHOOSE(CONTROL!$C$9, $D$9, 100%, $F$9) + CHOOSE(CONTROL!$C$27, 0.0021, 0)</f>
        <v>34.5501</v>
      </c>
      <c r="C114" s="14">
        <f>34.1158 * CHOOSE(CONTROL!$C$9, $D$9, 100%, $F$9) + CHOOSE(CONTROL!$C$27, 0.0021, 0)</f>
        <v>34.117899999999999</v>
      </c>
      <c r="D114" s="14">
        <f>34.1158 * CHOOSE(CONTROL!$C$9, $D$9, 100%, $F$9) + CHOOSE(CONTROL!$C$27, 0.0021, 0)</f>
        <v>34.117899999999999</v>
      </c>
      <c r="E114" s="14">
        <f>33.9791 * CHOOSE(CONTROL!$C$9, $D$9, 100%, $F$9) + CHOOSE(CONTROL!$C$27, 0.0021, 0)</f>
        <v>33.981200000000001</v>
      </c>
      <c r="F114" s="14">
        <f>33.9791 * CHOOSE(CONTROL!$C$9, $D$9, 100%, $F$9) + CHOOSE(CONTROL!$C$27, 0.0021, 0)</f>
        <v>33.981200000000001</v>
      </c>
      <c r="G114" s="14">
        <f>34.2505 * CHOOSE(CONTROL!$C$9, $D$9, 100%, $F$9) + CHOOSE(CONTROL!$C$27, 0.0021, 0)</f>
        <v>34.252600000000001</v>
      </c>
      <c r="H114" s="14">
        <f>34.1158 * CHOOSE(CONTROL!$C$9, $D$9, 100%, $F$9) + CHOOSE(CONTROL!$C$27, 0.0021, 0)</f>
        <v>34.117899999999999</v>
      </c>
      <c r="I114" s="14">
        <f>34.1158 * CHOOSE(CONTROL!$C$9, $D$9, 100%, $F$9) + CHOOSE(CONTROL!$C$27, 0.0021, 0)</f>
        <v>34.117899999999999</v>
      </c>
      <c r="J114" s="14">
        <f>34.1158 * CHOOSE(CONTROL!$C$9, $D$9, 100%, $F$9) + CHOOSE(CONTROL!$C$27, 0.0021, 0)</f>
        <v>34.117899999999999</v>
      </c>
      <c r="K114" s="14">
        <f>34.1158 * CHOOSE(CONTROL!$C$9, $D$9, 100%, $F$9) + CHOOSE(CONTROL!$C$27, 0.0021, 0)</f>
        <v>34.117899999999999</v>
      </c>
      <c r="L114" s="14"/>
    </row>
    <row r="115" spans="1:12" ht="15" x14ac:dyDescent="0.2">
      <c r="A115" s="13">
        <v>44409</v>
      </c>
      <c r="B115" s="14">
        <f>34.8086 * CHOOSE(CONTROL!$C$9, $D$9, 100%, $F$9) + CHOOSE(CONTROL!$C$27, 0.0021, 0)</f>
        <v>34.810699999999997</v>
      </c>
      <c r="C115" s="14">
        <f>34.3764 * CHOOSE(CONTROL!$C$9, $D$9, 100%, $F$9) + CHOOSE(CONTROL!$C$27, 0.0021, 0)</f>
        <v>34.378499999999995</v>
      </c>
      <c r="D115" s="14">
        <f>34.3764 * CHOOSE(CONTROL!$C$9, $D$9, 100%, $F$9) + CHOOSE(CONTROL!$C$27, 0.0021, 0)</f>
        <v>34.378499999999995</v>
      </c>
      <c r="E115" s="14">
        <f>34.2397 * CHOOSE(CONTROL!$C$9, $D$9, 100%, $F$9) + CHOOSE(CONTROL!$C$27, 0.0021, 0)</f>
        <v>34.241799999999998</v>
      </c>
      <c r="F115" s="14">
        <f>34.2397 * CHOOSE(CONTROL!$C$9, $D$9, 100%, $F$9) + CHOOSE(CONTROL!$C$27, 0.0021, 0)</f>
        <v>34.241799999999998</v>
      </c>
      <c r="G115" s="14">
        <f>34.5111 * CHOOSE(CONTROL!$C$9, $D$9, 100%, $F$9) + CHOOSE(CONTROL!$C$27, 0.0021, 0)</f>
        <v>34.513199999999998</v>
      </c>
      <c r="H115" s="14">
        <f>34.3764 * CHOOSE(CONTROL!$C$9, $D$9, 100%, $F$9) + CHOOSE(CONTROL!$C$27, 0.0021, 0)</f>
        <v>34.378499999999995</v>
      </c>
      <c r="I115" s="14">
        <f>34.3764 * CHOOSE(CONTROL!$C$9, $D$9, 100%, $F$9) + CHOOSE(CONTROL!$C$27, 0.0021, 0)</f>
        <v>34.378499999999995</v>
      </c>
      <c r="J115" s="14">
        <f>34.3764 * CHOOSE(CONTROL!$C$9, $D$9, 100%, $F$9) + CHOOSE(CONTROL!$C$27, 0.0021, 0)</f>
        <v>34.378499999999995</v>
      </c>
      <c r="K115" s="14">
        <f>34.3764 * CHOOSE(CONTROL!$C$9, $D$9, 100%, $F$9) + CHOOSE(CONTROL!$C$27, 0.0021, 0)</f>
        <v>34.378499999999995</v>
      </c>
      <c r="L115" s="14"/>
    </row>
    <row r="116" spans="1:12" ht="15" x14ac:dyDescent="0.2">
      <c r="A116" s="13">
        <v>44440</v>
      </c>
      <c r="B116" s="14">
        <f>35.5382 * CHOOSE(CONTROL!$C$9, $D$9, 100%, $F$9) + CHOOSE(CONTROL!$C$27, 0.0021, 0)</f>
        <v>35.540300000000002</v>
      </c>
      <c r="C116" s="14">
        <f>35.1059 * CHOOSE(CONTROL!$C$9, $D$9, 100%, $F$9) + CHOOSE(CONTROL!$C$27, 0.0021, 0)</f>
        <v>35.107999999999997</v>
      </c>
      <c r="D116" s="14">
        <f>35.1059 * CHOOSE(CONTROL!$C$9, $D$9, 100%, $F$9) + CHOOSE(CONTROL!$C$27, 0.0021, 0)</f>
        <v>35.107999999999997</v>
      </c>
      <c r="E116" s="14">
        <f>34.9693 * CHOOSE(CONTROL!$C$9, $D$9, 100%, $F$9) + CHOOSE(CONTROL!$C$27, 0.0021, 0)</f>
        <v>34.971399999999996</v>
      </c>
      <c r="F116" s="14">
        <f>34.9693 * CHOOSE(CONTROL!$C$9, $D$9, 100%, $F$9) + CHOOSE(CONTROL!$C$27, 0.0021, 0)</f>
        <v>34.971399999999996</v>
      </c>
      <c r="G116" s="14">
        <f>35.2406 * CHOOSE(CONTROL!$C$9, $D$9, 100%, $F$9) + CHOOSE(CONTROL!$C$27, 0.0021, 0)</f>
        <v>35.242699999999999</v>
      </c>
      <c r="H116" s="14">
        <f>35.1059 * CHOOSE(CONTROL!$C$9, $D$9, 100%, $F$9) + CHOOSE(CONTROL!$C$27, 0.0021, 0)</f>
        <v>35.107999999999997</v>
      </c>
      <c r="I116" s="14">
        <f>35.1059 * CHOOSE(CONTROL!$C$9, $D$9, 100%, $F$9) + CHOOSE(CONTROL!$C$27, 0.0021, 0)</f>
        <v>35.107999999999997</v>
      </c>
      <c r="J116" s="14">
        <f>35.1059 * CHOOSE(CONTROL!$C$9, $D$9, 100%, $F$9) + CHOOSE(CONTROL!$C$27, 0.0021, 0)</f>
        <v>35.107999999999997</v>
      </c>
      <c r="K116" s="14">
        <f>35.1059 * CHOOSE(CONTROL!$C$9, $D$9, 100%, $F$9) + CHOOSE(CONTROL!$C$27, 0.0021, 0)</f>
        <v>35.107999999999997</v>
      </c>
      <c r="L116" s="14"/>
    </row>
    <row r="117" spans="1:12" ht="15" x14ac:dyDescent="0.2">
      <c r="A117" s="13">
        <v>44470</v>
      </c>
      <c r="B117" s="14">
        <f>36.4471 * CHOOSE(CONTROL!$C$9, $D$9, 100%, $F$9) + CHOOSE(CONTROL!$C$27, 0.0021, 0)</f>
        <v>36.449199999999998</v>
      </c>
      <c r="C117" s="14">
        <f>36.0148 * CHOOSE(CONTROL!$C$9, $D$9, 100%, $F$9) + CHOOSE(CONTROL!$C$27, 0.0021, 0)</f>
        <v>36.0169</v>
      </c>
      <c r="D117" s="14">
        <f>36.0148 * CHOOSE(CONTROL!$C$9, $D$9, 100%, $F$9) + CHOOSE(CONTROL!$C$27, 0.0021, 0)</f>
        <v>36.0169</v>
      </c>
      <c r="E117" s="14">
        <f>35.8782 * CHOOSE(CONTROL!$C$9, $D$9, 100%, $F$9) + CHOOSE(CONTROL!$C$27, 0.0021, 0)</f>
        <v>35.880299999999998</v>
      </c>
      <c r="F117" s="14">
        <f>35.8782 * CHOOSE(CONTROL!$C$9, $D$9, 100%, $F$9) + CHOOSE(CONTROL!$C$27, 0.0021, 0)</f>
        <v>35.880299999999998</v>
      </c>
      <c r="G117" s="14">
        <f>36.1496 * CHOOSE(CONTROL!$C$9, $D$9, 100%, $F$9) + CHOOSE(CONTROL!$C$27, 0.0021, 0)</f>
        <v>36.151699999999998</v>
      </c>
      <c r="H117" s="14">
        <f>36.0148 * CHOOSE(CONTROL!$C$9, $D$9, 100%, $F$9) + CHOOSE(CONTROL!$C$27, 0.0021, 0)</f>
        <v>36.0169</v>
      </c>
      <c r="I117" s="14">
        <f>36.0148 * CHOOSE(CONTROL!$C$9, $D$9, 100%, $F$9) + CHOOSE(CONTROL!$C$27, 0.0021, 0)</f>
        <v>36.0169</v>
      </c>
      <c r="J117" s="14">
        <f>36.0148 * CHOOSE(CONTROL!$C$9, $D$9, 100%, $F$9) + CHOOSE(CONTROL!$C$27, 0.0021, 0)</f>
        <v>36.0169</v>
      </c>
      <c r="K117" s="14">
        <f>36.0148 * CHOOSE(CONTROL!$C$9, $D$9, 100%, $F$9) + CHOOSE(CONTROL!$C$27, 0.0021, 0)</f>
        <v>36.0169</v>
      </c>
      <c r="L117" s="14"/>
    </row>
    <row r="118" spans="1:12" ht="15" x14ac:dyDescent="0.2">
      <c r="A118" s="13">
        <v>44501</v>
      </c>
      <c r="B118" s="14">
        <f>36.5965 * CHOOSE(CONTROL!$C$9, $D$9, 100%, $F$9) + CHOOSE(CONTROL!$C$27, 0.0021, 0)</f>
        <v>36.598599999999998</v>
      </c>
      <c r="C118" s="14">
        <f>36.1643 * CHOOSE(CONTROL!$C$9, $D$9, 100%, $F$9) + CHOOSE(CONTROL!$C$27, 0.0021, 0)</f>
        <v>36.166399999999996</v>
      </c>
      <c r="D118" s="14">
        <f>36.1643 * CHOOSE(CONTROL!$C$9, $D$9, 100%, $F$9) + CHOOSE(CONTROL!$C$27, 0.0021, 0)</f>
        <v>36.166399999999996</v>
      </c>
      <c r="E118" s="14">
        <f>36.0276 * CHOOSE(CONTROL!$C$9, $D$9, 100%, $F$9) + CHOOSE(CONTROL!$C$27, 0.0021, 0)</f>
        <v>36.029699999999998</v>
      </c>
      <c r="F118" s="14">
        <f>36.0276 * CHOOSE(CONTROL!$C$9, $D$9, 100%, $F$9) + CHOOSE(CONTROL!$C$27, 0.0021, 0)</f>
        <v>36.029699999999998</v>
      </c>
      <c r="G118" s="14">
        <f>36.299 * CHOOSE(CONTROL!$C$9, $D$9, 100%, $F$9) + CHOOSE(CONTROL!$C$27, 0.0021, 0)</f>
        <v>36.301099999999998</v>
      </c>
      <c r="H118" s="14">
        <f>36.1643 * CHOOSE(CONTROL!$C$9, $D$9, 100%, $F$9) + CHOOSE(CONTROL!$C$27, 0.0021, 0)</f>
        <v>36.166399999999996</v>
      </c>
      <c r="I118" s="14">
        <f>36.1643 * CHOOSE(CONTROL!$C$9, $D$9, 100%, $F$9) + CHOOSE(CONTROL!$C$27, 0.0021, 0)</f>
        <v>36.166399999999996</v>
      </c>
      <c r="J118" s="14">
        <f>36.1643 * CHOOSE(CONTROL!$C$9, $D$9, 100%, $F$9) + CHOOSE(CONTROL!$C$27, 0.0021, 0)</f>
        <v>36.166399999999996</v>
      </c>
      <c r="K118" s="14">
        <f>36.1643 * CHOOSE(CONTROL!$C$9, $D$9, 100%, $F$9) + CHOOSE(CONTROL!$C$27, 0.0021, 0)</f>
        <v>36.166399999999996</v>
      </c>
      <c r="L118" s="14"/>
    </row>
    <row r="119" spans="1:12" ht="15" x14ac:dyDescent="0.2">
      <c r="A119" s="13">
        <v>44531</v>
      </c>
      <c r="B119" s="14">
        <f>35.9932 * CHOOSE(CONTROL!$C$9, $D$9, 100%, $F$9) + CHOOSE(CONTROL!$C$27, 0.0021, 0)</f>
        <v>35.9953</v>
      </c>
      <c r="C119" s="14">
        <f>35.5609 * CHOOSE(CONTROL!$C$9, $D$9, 100%, $F$9) + CHOOSE(CONTROL!$C$27, 0.0021, 0)</f>
        <v>35.562999999999995</v>
      </c>
      <c r="D119" s="14">
        <f>35.5609 * CHOOSE(CONTROL!$C$9, $D$9, 100%, $F$9) + CHOOSE(CONTROL!$C$27, 0.0021, 0)</f>
        <v>35.562999999999995</v>
      </c>
      <c r="E119" s="14">
        <f>35.4243 * CHOOSE(CONTROL!$C$9, $D$9, 100%, $F$9) + CHOOSE(CONTROL!$C$27, 0.0021, 0)</f>
        <v>35.426400000000001</v>
      </c>
      <c r="F119" s="14">
        <f>35.4243 * CHOOSE(CONTROL!$C$9, $D$9, 100%, $F$9) + CHOOSE(CONTROL!$C$27, 0.0021, 0)</f>
        <v>35.426400000000001</v>
      </c>
      <c r="G119" s="14">
        <f>35.6956 * CHOOSE(CONTROL!$C$9, $D$9, 100%, $F$9) + CHOOSE(CONTROL!$C$27, 0.0021, 0)</f>
        <v>35.697699999999998</v>
      </c>
      <c r="H119" s="14">
        <f>35.5609 * CHOOSE(CONTROL!$C$9, $D$9, 100%, $F$9) + CHOOSE(CONTROL!$C$27, 0.0021, 0)</f>
        <v>35.562999999999995</v>
      </c>
      <c r="I119" s="14">
        <f>35.5609 * CHOOSE(CONTROL!$C$9, $D$9, 100%, $F$9) + CHOOSE(CONTROL!$C$27, 0.0021, 0)</f>
        <v>35.562999999999995</v>
      </c>
      <c r="J119" s="14">
        <f>35.5609 * CHOOSE(CONTROL!$C$9, $D$9, 100%, $F$9) + CHOOSE(CONTROL!$C$27, 0.0021, 0)</f>
        <v>35.562999999999995</v>
      </c>
      <c r="K119" s="14">
        <f>35.5609 * CHOOSE(CONTROL!$C$9, $D$9, 100%, $F$9) + CHOOSE(CONTROL!$C$27, 0.0021, 0)</f>
        <v>35.562999999999995</v>
      </c>
      <c r="L119" s="14"/>
    </row>
    <row r="120" spans="1:12" ht="15" x14ac:dyDescent="0.2">
      <c r="A120" s="13">
        <v>44562</v>
      </c>
      <c r="B120" s="14">
        <f>36.7097 * CHOOSE(CONTROL!$C$9, $D$9, 100%, $F$9) + CHOOSE(CONTROL!$C$27, 0.0021, 0)</f>
        <v>36.711799999999997</v>
      </c>
      <c r="C120" s="14">
        <f>36.2774 * CHOOSE(CONTROL!$C$9, $D$9, 100%, $F$9) + CHOOSE(CONTROL!$C$27, 0.0021, 0)</f>
        <v>36.279499999999999</v>
      </c>
      <c r="D120" s="14">
        <f>36.2774 * CHOOSE(CONTROL!$C$9, $D$9, 100%, $F$9) + CHOOSE(CONTROL!$C$27, 0.0021, 0)</f>
        <v>36.279499999999999</v>
      </c>
      <c r="E120" s="14">
        <f>36.1408 * CHOOSE(CONTROL!$C$9, $D$9, 100%, $F$9) + CHOOSE(CONTROL!$C$27, 0.0021, 0)</f>
        <v>36.142899999999997</v>
      </c>
      <c r="F120" s="14">
        <f>36.1408 * CHOOSE(CONTROL!$C$9, $D$9, 100%, $F$9) + CHOOSE(CONTROL!$C$27, 0.0021, 0)</f>
        <v>36.142899999999997</v>
      </c>
      <c r="G120" s="14">
        <f>36.4121 * CHOOSE(CONTROL!$C$9, $D$9, 100%, $F$9) + CHOOSE(CONTROL!$C$27, 0.0021, 0)</f>
        <v>36.414200000000001</v>
      </c>
      <c r="H120" s="14">
        <f>36.2774 * CHOOSE(CONTROL!$C$9, $D$9, 100%, $F$9) + CHOOSE(CONTROL!$C$27, 0.0021, 0)</f>
        <v>36.279499999999999</v>
      </c>
      <c r="I120" s="14">
        <f>36.2774 * CHOOSE(CONTROL!$C$9, $D$9, 100%, $F$9) + CHOOSE(CONTROL!$C$27, 0.0021, 0)</f>
        <v>36.279499999999999</v>
      </c>
      <c r="J120" s="14">
        <f>36.2774 * CHOOSE(CONTROL!$C$9, $D$9, 100%, $F$9) + CHOOSE(CONTROL!$C$27, 0.0021, 0)</f>
        <v>36.279499999999999</v>
      </c>
      <c r="K120" s="14">
        <f>36.2774 * CHOOSE(CONTROL!$C$9, $D$9, 100%, $F$9) + CHOOSE(CONTROL!$C$27, 0.0021, 0)</f>
        <v>36.279499999999999</v>
      </c>
      <c r="L120" s="14"/>
    </row>
    <row r="121" spans="1:12" ht="15" x14ac:dyDescent="0.2">
      <c r="A121" s="13">
        <v>44593</v>
      </c>
      <c r="B121" s="14">
        <f>35.8051 * CHOOSE(CONTROL!$C$9, $D$9, 100%, $F$9) + CHOOSE(CONTROL!$C$27, 0.0021, 0)</f>
        <v>35.807200000000002</v>
      </c>
      <c r="C121" s="14">
        <f>35.3728 * CHOOSE(CONTROL!$C$9, $D$9, 100%, $F$9) + CHOOSE(CONTROL!$C$27, 0.0021, 0)</f>
        <v>35.374899999999997</v>
      </c>
      <c r="D121" s="14">
        <f>35.3728 * CHOOSE(CONTROL!$C$9, $D$9, 100%, $F$9) + CHOOSE(CONTROL!$C$27, 0.0021, 0)</f>
        <v>35.374899999999997</v>
      </c>
      <c r="E121" s="14">
        <f>35.2361 * CHOOSE(CONTROL!$C$9, $D$9, 100%, $F$9) + CHOOSE(CONTROL!$C$27, 0.0021, 0)</f>
        <v>35.238199999999999</v>
      </c>
      <c r="F121" s="14">
        <f>35.2361 * CHOOSE(CONTROL!$C$9, $D$9, 100%, $F$9) + CHOOSE(CONTROL!$C$27, 0.0021, 0)</f>
        <v>35.238199999999999</v>
      </c>
      <c r="G121" s="14">
        <f>35.5075 * CHOOSE(CONTROL!$C$9, $D$9, 100%, $F$9) + CHOOSE(CONTROL!$C$27, 0.0021, 0)</f>
        <v>35.509599999999999</v>
      </c>
      <c r="H121" s="14">
        <f>35.3728 * CHOOSE(CONTROL!$C$9, $D$9, 100%, $F$9) + CHOOSE(CONTROL!$C$27, 0.0021, 0)</f>
        <v>35.374899999999997</v>
      </c>
      <c r="I121" s="14">
        <f>35.3728 * CHOOSE(CONTROL!$C$9, $D$9, 100%, $F$9) + CHOOSE(CONTROL!$C$27, 0.0021, 0)</f>
        <v>35.374899999999997</v>
      </c>
      <c r="J121" s="14">
        <f>35.3728 * CHOOSE(CONTROL!$C$9, $D$9, 100%, $F$9) + CHOOSE(CONTROL!$C$27, 0.0021, 0)</f>
        <v>35.374899999999997</v>
      </c>
      <c r="K121" s="14">
        <f>35.3728 * CHOOSE(CONTROL!$C$9, $D$9, 100%, $F$9) + CHOOSE(CONTROL!$C$27, 0.0021, 0)</f>
        <v>35.374899999999997</v>
      </c>
      <c r="L121" s="14"/>
    </row>
    <row r="122" spans="1:12" ht="15" x14ac:dyDescent="0.2">
      <c r="A122" s="13">
        <v>44621</v>
      </c>
      <c r="B122" s="14">
        <f>35.4706 * CHOOSE(CONTROL!$C$9, $D$9, 100%, $F$9) + CHOOSE(CONTROL!$C$27, 0.0021, 0)</f>
        <v>35.472699999999996</v>
      </c>
      <c r="C122" s="14">
        <f>35.0383 * CHOOSE(CONTROL!$C$9, $D$9, 100%, $F$9) + CHOOSE(CONTROL!$C$27, 0.0021, 0)</f>
        <v>35.040399999999998</v>
      </c>
      <c r="D122" s="14">
        <f>35.0383 * CHOOSE(CONTROL!$C$9, $D$9, 100%, $F$9) + CHOOSE(CONTROL!$C$27, 0.0021, 0)</f>
        <v>35.040399999999998</v>
      </c>
      <c r="E122" s="14">
        <f>34.9017 * CHOOSE(CONTROL!$C$9, $D$9, 100%, $F$9) + CHOOSE(CONTROL!$C$27, 0.0021, 0)</f>
        <v>34.903799999999997</v>
      </c>
      <c r="F122" s="14">
        <f>34.9017 * CHOOSE(CONTROL!$C$9, $D$9, 100%, $F$9) + CHOOSE(CONTROL!$C$27, 0.0021, 0)</f>
        <v>34.903799999999997</v>
      </c>
      <c r="G122" s="14">
        <f>35.173 * CHOOSE(CONTROL!$C$9, $D$9, 100%, $F$9) + CHOOSE(CONTROL!$C$27, 0.0021, 0)</f>
        <v>35.1751</v>
      </c>
      <c r="H122" s="14">
        <f>35.0383 * CHOOSE(CONTROL!$C$9, $D$9, 100%, $F$9) + CHOOSE(CONTROL!$C$27, 0.0021, 0)</f>
        <v>35.040399999999998</v>
      </c>
      <c r="I122" s="14">
        <f>35.0383 * CHOOSE(CONTROL!$C$9, $D$9, 100%, $F$9) + CHOOSE(CONTROL!$C$27, 0.0021, 0)</f>
        <v>35.040399999999998</v>
      </c>
      <c r="J122" s="14">
        <f>35.0383 * CHOOSE(CONTROL!$C$9, $D$9, 100%, $F$9) + CHOOSE(CONTROL!$C$27, 0.0021, 0)</f>
        <v>35.040399999999998</v>
      </c>
      <c r="K122" s="14">
        <f>35.0383 * CHOOSE(CONTROL!$C$9, $D$9, 100%, $F$9) + CHOOSE(CONTROL!$C$27, 0.0021, 0)</f>
        <v>35.040399999999998</v>
      </c>
      <c r="L122" s="14"/>
    </row>
    <row r="123" spans="1:12" ht="15" x14ac:dyDescent="0.2">
      <c r="A123" s="13">
        <v>44652</v>
      </c>
      <c r="B123" s="14">
        <f>35.0561 * CHOOSE(CONTROL!$C$9, $D$9, 100%, $F$9) + CHOOSE(CONTROL!$C$27, 0.0021, 0)</f>
        <v>35.058199999999999</v>
      </c>
      <c r="C123" s="14">
        <f>34.6239 * CHOOSE(CONTROL!$C$9, $D$9, 100%, $F$9) + CHOOSE(CONTROL!$C$27, 0.0021, 0)</f>
        <v>34.625999999999998</v>
      </c>
      <c r="D123" s="14">
        <f>34.6239 * CHOOSE(CONTROL!$C$9, $D$9, 100%, $F$9) + CHOOSE(CONTROL!$C$27, 0.0021, 0)</f>
        <v>34.625999999999998</v>
      </c>
      <c r="E123" s="14">
        <f>34.4872 * CHOOSE(CONTROL!$C$9, $D$9, 100%, $F$9) + CHOOSE(CONTROL!$C$27, 0.0021, 0)</f>
        <v>34.4893</v>
      </c>
      <c r="F123" s="14">
        <f>34.4872 * CHOOSE(CONTROL!$C$9, $D$9, 100%, $F$9) + CHOOSE(CONTROL!$C$27, 0.0021, 0)</f>
        <v>34.4893</v>
      </c>
      <c r="G123" s="14">
        <f>34.7586 * CHOOSE(CONTROL!$C$9, $D$9, 100%, $F$9) + CHOOSE(CONTROL!$C$27, 0.0021, 0)</f>
        <v>34.7607</v>
      </c>
      <c r="H123" s="14">
        <f>34.6239 * CHOOSE(CONTROL!$C$9, $D$9, 100%, $F$9) + CHOOSE(CONTROL!$C$27, 0.0021, 0)</f>
        <v>34.625999999999998</v>
      </c>
      <c r="I123" s="14">
        <f>34.6239 * CHOOSE(CONTROL!$C$9, $D$9, 100%, $F$9) + CHOOSE(CONTROL!$C$27, 0.0021, 0)</f>
        <v>34.625999999999998</v>
      </c>
      <c r="J123" s="14">
        <f>34.6239 * CHOOSE(CONTROL!$C$9, $D$9, 100%, $F$9) + CHOOSE(CONTROL!$C$27, 0.0021, 0)</f>
        <v>34.625999999999998</v>
      </c>
      <c r="K123" s="14">
        <f>34.6239 * CHOOSE(CONTROL!$C$9, $D$9, 100%, $F$9) + CHOOSE(CONTROL!$C$27, 0.0021, 0)</f>
        <v>34.625999999999998</v>
      </c>
      <c r="L123" s="14"/>
    </row>
    <row r="124" spans="1:12" ht="15" x14ac:dyDescent="0.2">
      <c r="A124" s="13">
        <v>44682</v>
      </c>
      <c r="B124" s="14">
        <f>35.8131 * CHOOSE(CONTROL!$C$9, $D$9, 100%, $F$9) + CHOOSE(CONTROL!$C$27, 0.0021, 0)</f>
        <v>35.815199999999997</v>
      </c>
      <c r="C124" s="14">
        <f>35.3808 * CHOOSE(CONTROL!$C$9, $D$9, 100%, $F$9) + CHOOSE(CONTROL!$C$27, 0.0021, 0)</f>
        <v>35.382899999999999</v>
      </c>
      <c r="D124" s="14">
        <f>35.3808 * CHOOSE(CONTROL!$C$9, $D$9, 100%, $F$9) + CHOOSE(CONTROL!$C$27, 0.0021, 0)</f>
        <v>35.382899999999999</v>
      </c>
      <c r="E124" s="14">
        <f>35.2442 * CHOOSE(CONTROL!$C$9, $D$9, 100%, $F$9) + CHOOSE(CONTROL!$C$27, 0.0021, 0)</f>
        <v>35.246299999999998</v>
      </c>
      <c r="F124" s="14">
        <f>35.2442 * CHOOSE(CONTROL!$C$9, $D$9, 100%, $F$9) + CHOOSE(CONTROL!$C$27, 0.0021, 0)</f>
        <v>35.246299999999998</v>
      </c>
      <c r="G124" s="14">
        <f>35.5155 * CHOOSE(CONTROL!$C$9, $D$9, 100%, $F$9) + CHOOSE(CONTROL!$C$27, 0.0021, 0)</f>
        <v>35.517600000000002</v>
      </c>
      <c r="H124" s="14">
        <f>35.3808 * CHOOSE(CONTROL!$C$9, $D$9, 100%, $F$9) + CHOOSE(CONTROL!$C$27, 0.0021, 0)</f>
        <v>35.382899999999999</v>
      </c>
      <c r="I124" s="14">
        <f>35.3808 * CHOOSE(CONTROL!$C$9, $D$9, 100%, $F$9) + CHOOSE(CONTROL!$C$27, 0.0021, 0)</f>
        <v>35.382899999999999</v>
      </c>
      <c r="J124" s="14">
        <f>35.3808 * CHOOSE(CONTROL!$C$9, $D$9, 100%, $F$9) + CHOOSE(CONTROL!$C$27, 0.0021, 0)</f>
        <v>35.382899999999999</v>
      </c>
      <c r="K124" s="14">
        <f>35.3808 * CHOOSE(CONTROL!$C$9, $D$9, 100%, $F$9) + CHOOSE(CONTROL!$C$27, 0.0021, 0)</f>
        <v>35.382899999999999</v>
      </c>
      <c r="L124" s="14"/>
    </row>
    <row r="125" spans="1:12" ht="15" x14ac:dyDescent="0.2">
      <c r="A125" s="13">
        <v>44713</v>
      </c>
      <c r="B125" s="14">
        <f>36.2959 * CHOOSE(CONTROL!$C$9, $D$9, 100%, $F$9) + CHOOSE(CONTROL!$C$27, 0.0021, 0)</f>
        <v>36.298000000000002</v>
      </c>
      <c r="C125" s="14">
        <f>35.8637 * CHOOSE(CONTROL!$C$9, $D$9, 100%, $F$9) + CHOOSE(CONTROL!$C$27, 0.0021, 0)</f>
        <v>35.8658</v>
      </c>
      <c r="D125" s="14">
        <f>35.8637 * CHOOSE(CONTROL!$C$9, $D$9, 100%, $F$9) + CHOOSE(CONTROL!$C$27, 0.0021, 0)</f>
        <v>35.8658</v>
      </c>
      <c r="E125" s="14">
        <f>35.727 * CHOOSE(CONTROL!$C$9, $D$9, 100%, $F$9) + CHOOSE(CONTROL!$C$27, 0.0021, 0)</f>
        <v>35.729099999999995</v>
      </c>
      <c r="F125" s="14">
        <f>35.727 * CHOOSE(CONTROL!$C$9, $D$9, 100%, $F$9) + CHOOSE(CONTROL!$C$27, 0.0021, 0)</f>
        <v>35.729099999999995</v>
      </c>
      <c r="G125" s="14">
        <f>35.9984 * CHOOSE(CONTROL!$C$9, $D$9, 100%, $F$9) + CHOOSE(CONTROL!$C$27, 0.0021, 0)</f>
        <v>36.000499999999995</v>
      </c>
      <c r="H125" s="14">
        <f>35.8637 * CHOOSE(CONTROL!$C$9, $D$9, 100%, $F$9) + CHOOSE(CONTROL!$C$27, 0.0021, 0)</f>
        <v>35.8658</v>
      </c>
      <c r="I125" s="14">
        <f>35.8637 * CHOOSE(CONTROL!$C$9, $D$9, 100%, $F$9) + CHOOSE(CONTROL!$C$27, 0.0021, 0)</f>
        <v>35.8658</v>
      </c>
      <c r="J125" s="14">
        <f>35.8637 * CHOOSE(CONTROL!$C$9, $D$9, 100%, $F$9) + CHOOSE(CONTROL!$C$27, 0.0021, 0)</f>
        <v>35.8658</v>
      </c>
      <c r="K125" s="14">
        <f>35.8637 * CHOOSE(CONTROL!$C$9, $D$9, 100%, $F$9) + CHOOSE(CONTROL!$C$27, 0.0021, 0)</f>
        <v>35.8658</v>
      </c>
      <c r="L125" s="14"/>
    </row>
    <row r="126" spans="1:12" ht="15" x14ac:dyDescent="0.2">
      <c r="A126" s="13">
        <v>44743</v>
      </c>
      <c r="B126" s="14">
        <f>37.05 * CHOOSE(CONTROL!$C$9, $D$9, 100%, $F$9) + CHOOSE(CONTROL!$C$27, 0.0021, 0)</f>
        <v>37.052099999999996</v>
      </c>
      <c r="C126" s="14">
        <f>36.6178 * CHOOSE(CONTROL!$C$9, $D$9, 100%, $F$9) + CHOOSE(CONTROL!$C$27, 0.0021, 0)</f>
        <v>36.619900000000001</v>
      </c>
      <c r="D126" s="14">
        <f>36.6178 * CHOOSE(CONTROL!$C$9, $D$9, 100%, $F$9) + CHOOSE(CONTROL!$C$27, 0.0021, 0)</f>
        <v>36.619900000000001</v>
      </c>
      <c r="E126" s="14">
        <f>36.4811 * CHOOSE(CONTROL!$C$9, $D$9, 100%, $F$9) + CHOOSE(CONTROL!$C$27, 0.0021, 0)</f>
        <v>36.483199999999997</v>
      </c>
      <c r="F126" s="14">
        <f>36.4811 * CHOOSE(CONTROL!$C$9, $D$9, 100%, $F$9) + CHOOSE(CONTROL!$C$27, 0.0021, 0)</f>
        <v>36.483199999999997</v>
      </c>
      <c r="G126" s="14">
        <f>36.7525 * CHOOSE(CONTROL!$C$9, $D$9, 100%, $F$9) + CHOOSE(CONTROL!$C$27, 0.0021, 0)</f>
        <v>36.754599999999996</v>
      </c>
      <c r="H126" s="14">
        <f>36.6178 * CHOOSE(CONTROL!$C$9, $D$9, 100%, $F$9) + CHOOSE(CONTROL!$C$27, 0.0021, 0)</f>
        <v>36.619900000000001</v>
      </c>
      <c r="I126" s="14">
        <f>36.6178 * CHOOSE(CONTROL!$C$9, $D$9, 100%, $F$9) + CHOOSE(CONTROL!$C$27, 0.0021, 0)</f>
        <v>36.619900000000001</v>
      </c>
      <c r="J126" s="14">
        <f>36.6178 * CHOOSE(CONTROL!$C$9, $D$9, 100%, $F$9) + CHOOSE(CONTROL!$C$27, 0.0021, 0)</f>
        <v>36.619900000000001</v>
      </c>
      <c r="K126" s="14">
        <f>36.6178 * CHOOSE(CONTROL!$C$9, $D$9, 100%, $F$9) + CHOOSE(CONTROL!$C$27, 0.0021, 0)</f>
        <v>36.619900000000001</v>
      </c>
      <c r="L126" s="14"/>
    </row>
    <row r="127" spans="1:12" ht="15" x14ac:dyDescent="0.2">
      <c r="A127" s="13">
        <v>44774</v>
      </c>
      <c r="B127" s="14">
        <f>37.3308 * CHOOSE(CONTROL!$C$9, $D$9, 100%, $F$9) + CHOOSE(CONTROL!$C$27, 0.0021, 0)</f>
        <v>37.332900000000002</v>
      </c>
      <c r="C127" s="14">
        <f>36.8986 * CHOOSE(CONTROL!$C$9, $D$9, 100%, $F$9) + CHOOSE(CONTROL!$C$27, 0.0021, 0)</f>
        <v>36.900700000000001</v>
      </c>
      <c r="D127" s="14">
        <f>36.8986 * CHOOSE(CONTROL!$C$9, $D$9, 100%, $F$9) + CHOOSE(CONTROL!$C$27, 0.0021, 0)</f>
        <v>36.900700000000001</v>
      </c>
      <c r="E127" s="14">
        <f>36.7619 * CHOOSE(CONTROL!$C$9, $D$9, 100%, $F$9) + CHOOSE(CONTROL!$C$27, 0.0021, 0)</f>
        <v>36.763999999999996</v>
      </c>
      <c r="F127" s="14">
        <f>36.7619 * CHOOSE(CONTROL!$C$9, $D$9, 100%, $F$9) + CHOOSE(CONTROL!$C$27, 0.0021, 0)</f>
        <v>36.763999999999996</v>
      </c>
      <c r="G127" s="14">
        <f>37.0333 * CHOOSE(CONTROL!$C$9, $D$9, 100%, $F$9) + CHOOSE(CONTROL!$C$27, 0.0021, 0)</f>
        <v>37.035399999999996</v>
      </c>
      <c r="H127" s="14">
        <f>36.8986 * CHOOSE(CONTROL!$C$9, $D$9, 100%, $F$9) + CHOOSE(CONTROL!$C$27, 0.0021, 0)</f>
        <v>36.900700000000001</v>
      </c>
      <c r="I127" s="14">
        <f>36.8986 * CHOOSE(CONTROL!$C$9, $D$9, 100%, $F$9) + CHOOSE(CONTROL!$C$27, 0.0021, 0)</f>
        <v>36.900700000000001</v>
      </c>
      <c r="J127" s="14">
        <f>36.8986 * CHOOSE(CONTROL!$C$9, $D$9, 100%, $F$9) + CHOOSE(CONTROL!$C$27, 0.0021, 0)</f>
        <v>36.900700000000001</v>
      </c>
      <c r="K127" s="14">
        <f>36.8986 * CHOOSE(CONTROL!$C$9, $D$9, 100%, $F$9) + CHOOSE(CONTROL!$C$27, 0.0021, 0)</f>
        <v>36.900700000000001</v>
      </c>
      <c r="L127" s="14"/>
    </row>
    <row r="128" spans="1:12" ht="15" x14ac:dyDescent="0.2">
      <c r="A128" s="13">
        <v>44805</v>
      </c>
      <c r="B128" s="14">
        <f>38.117 * CHOOSE(CONTROL!$C$9, $D$9, 100%, $F$9) + CHOOSE(CONTROL!$C$27, 0.0021, 0)</f>
        <v>38.119099999999996</v>
      </c>
      <c r="C128" s="14">
        <f>37.6847 * CHOOSE(CONTROL!$C$9, $D$9, 100%, $F$9) + CHOOSE(CONTROL!$C$27, 0.0021, 0)</f>
        <v>37.686799999999998</v>
      </c>
      <c r="D128" s="14">
        <f>37.6847 * CHOOSE(CONTROL!$C$9, $D$9, 100%, $F$9) + CHOOSE(CONTROL!$C$27, 0.0021, 0)</f>
        <v>37.686799999999998</v>
      </c>
      <c r="E128" s="14">
        <f>37.5481 * CHOOSE(CONTROL!$C$9, $D$9, 100%, $F$9) + CHOOSE(CONTROL!$C$27, 0.0021, 0)</f>
        <v>37.550199999999997</v>
      </c>
      <c r="F128" s="14">
        <f>37.5481 * CHOOSE(CONTROL!$C$9, $D$9, 100%, $F$9) + CHOOSE(CONTROL!$C$27, 0.0021, 0)</f>
        <v>37.550199999999997</v>
      </c>
      <c r="G128" s="14">
        <f>37.8195 * CHOOSE(CONTROL!$C$9, $D$9, 100%, $F$9) + CHOOSE(CONTROL!$C$27, 0.0021, 0)</f>
        <v>37.821599999999997</v>
      </c>
      <c r="H128" s="14">
        <f>37.6847 * CHOOSE(CONTROL!$C$9, $D$9, 100%, $F$9) + CHOOSE(CONTROL!$C$27, 0.0021, 0)</f>
        <v>37.686799999999998</v>
      </c>
      <c r="I128" s="14">
        <f>37.6847 * CHOOSE(CONTROL!$C$9, $D$9, 100%, $F$9) + CHOOSE(CONTROL!$C$27, 0.0021, 0)</f>
        <v>37.686799999999998</v>
      </c>
      <c r="J128" s="14">
        <f>37.6847 * CHOOSE(CONTROL!$C$9, $D$9, 100%, $F$9) + CHOOSE(CONTROL!$C$27, 0.0021, 0)</f>
        <v>37.686799999999998</v>
      </c>
      <c r="K128" s="14">
        <f>37.6847 * CHOOSE(CONTROL!$C$9, $D$9, 100%, $F$9) + CHOOSE(CONTROL!$C$27, 0.0021, 0)</f>
        <v>37.686799999999998</v>
      </c>
      <c r="L128" s="14"/>
    </row>
    <row r="129" spans="1:12" ht="15" x14ac:dyDescent="0.2">
      <c r="A129" s="13">
        <v>44835</v>
      </c>
      <c r="B129" s="14">
        <f>39.0964 * CHOOSE(CONTROL!$C$9, $D$9, 100%, $F$9) + CHOOSE(CONTROL!$C$27, 0.0021, 0)</f>
        <v>39.098500000000001</v>
      </c>
      <c r="C129" s="14">
        <f>38.6642 * CHOOSE(CONTROL!$C$9, $D$9, 100%, $F$9) + CHOOSE(CONTROL!$C$27, 0.0021, 0)</f>
        <v>38.6663</v>
      </c>
      <c r="D129" s="14">
        <f>38.6642 * CHOOSE(CONTROL!$C$9, $D$9, 100%, $F$9) + CHOOSE(CONTROL!$C$27, 0.0021, 0)</f>
        <v>38.6663</v>
      </c>
      <c r="E129" s="14">
        <f>38.5275 * CHOOSE(CONTROL!$C$9, $D$9, 100%, $F$9) + CHOOSE(CONTROL!$C$27, 0.0021, 0)</f>
        <v>38.529600000000002</v>
      </c>
      <c r="F129" s="14">
        <f>38.5275 * CHOOSE(CONTROL!$C$9, $D$9, 100%, $F$9) + CHOOSE(CONTROL!$C$27, 0.0021, 0)</f>
        <v>38.529600000000002</v>
      </c>
      <c r="G129" s="14">
        <f>38.7989 * CHOOSE(CONTROL!$C$9, $D$9, 100%, $F$9) + CHOOSE(CONTROL!$C$27, 0.0021, 0)</f>
        <v>38.801000000000002</v>
      </c>
      <c r="H129" s="14">
        <f>38.6642 * CHOOSE(CONTROL!$C$9, $D$9, 100%, $F$9) + CHOOSE(CONTROL!$C$27, 0.0021, 0)</f>
        <v>38.6663</v>
      </c>
      <c r="I129" s="14">
        <f>38.6642 * CHOOSE(CONTROL!$C$9, $D$9, 100%, $F$9) + CHOOSE(CONTROL!$C$27, 0.0021, 0)</f>
        <v>38.6663</v>
      </c>
      <c r="J129" s="14">
        <f>38.6642 * CHOOSE(CONTROL!$C$9, $D$9, 100%, $F$9) + CHOOSE(CONTROL!$C$27, 0.0021, 0)</f>
        <v>38.6663</v>
      </c>
      <c r="K129" s="14">
        <f>38.6642 * CHOOSE(CONTROL!$C$9, $D$9, 100%, $F$9) + CHOOSE(CONTROL!$C$27, 0.0021, 0)</f>
        <v>38.6663</v>
      </c>
      <c r="L129" s="14"/>
    </row>
    <row r="130" spans="1:12" ht="15" x14ac:dyDescent="0.2">
      <c r="A130" s="13">
        <v>44866</v>
      </c>
      <c r="B130" s="14">
        <f>39.2574 * CHOOSE(CONTROL!$C$9, $D$9, 100%, $F$9) + CHOOSE(CONTROL!$C$27, 0.0021, 0)</f>
        <v>39.259499999999996</v>
      </c>
      <c r="C130" s="14">
        <f>38.8252 * CHOOSE(CONTROL!$C$9, $D$9, 100%, $F$9) + CHOOSE(CONTROL!$C$27, 0.0021, 0)</f>
        <v>38.827300000000001</v>
      </c>
      <c r="D130" s="14">
        <f>38.8252 * CHOOSE(CONTROL!$C$9, $D$9, 100%, $F$9) + CHOOSE(CONTROL!$C$27, 0.0021, 0)</f>
        <v>38.827300000000001</v>
      </c>
      <c r="E130" s="14">
        <f>38.6885 * CHOOSE(CONTROL!$C$9, $D$9, 100%, $F$9) + CHOOSE(CONTROL!$C$27, 0.0021, 0)</f>
        <v>38.690599999999996</v>
      </c>
      <c r="F130" s="14">
        <f>38.6885 * CHOOSE(CONTROL!$C$9, $D$9, 100%, $F$9) + CHOOSE(CONTROL!$C$27, 0.0021, 0)</f>
        <v>38.690599999999996</v>
      </c>
      <c r="G130" s="14">
        <f>38.9599 * CHOOSE(CONTROL!$C$9, $D$9, 100%, $F$9) + CHOOSE(CONTROL!$C$27, 0.0021, 0)</f>
        <v>38.961999999999996</v>
      </c>
      <c r="H130" s="14">
        <f>38.8252 * CHOOSE(CONTROL!$C$9, $D$9, 100%, $F$9) + CHOOSE(CONTROL!$C$27, 0.0021, 0)</f>
        <v>38.827300000000001</v>
      </c>
      <c r="I130" s="14">
        <f>38.8252 * CHOOSE(CONTROL!$C$9, $D$9, 100%, $F$9) + CHOOSE(CONTROL!$C$27, 0.0021, 0)</f>
        <v>38.827300000000001</v>
      </c>
      <c r="J130" s="14">
        <f>38.8252 * CHOOSE(CONTROL!$C$9, $D$9, 100%, $F$9) + CHOOSE(CONTROL!$C$27, 0.0021, 0)</f>
        <v>38.827300000000001</v>
      </c>
      <c r="K130" s="14">
        <f>38.8252 * CHOOSE(CONTROL!$C$9, $D$9, 100%, $F$9) + CHOOSE(CONTROL!$C$27, 0.0021, 0)</f>
        <v>38.827300000000001</v>
      </c>
      <c r="L130" s="14"/>
    </row>
    <row r="131" spans="1:12" ht="15" x14ac:dyDescent="0.2">
      <c r="A131" s="13">
        <v>44896</v>
      </c>
      <c r="B131" s="14">
        <f>38.6073 * CHOOSE(CONTROL!$C$9, $D$9, 100%, $F$9) + CHOOSE(CONTROL!$C$27, 0.0021, 0)</f>
        <v>38.609400000000001</v>
      </c>
      <c r="C131" s="14">
        <f>38.175 * CHOOSE(CONTROL!$C$9, $D$9, 100%, $F$9) + CHOOSE(CONTROL!$C$27, 0.0021, 0)</f>
        <v>38.177099999999996</v>
      </c>
      <c r="D131" s="14">
        <f>38.175 * CHOOSE(CONTROL!$C$9, $D$9, 100%, $F$9) + CHOOSE(CONTROL!$C$27, 0.0021, 0)</f>
        <v>38.177099999999996</v>
      </c>
      <c r="E131" s="14">
        <f>38.0384 * CHOOSE(CONTROL!$C$9, $D$9, 100%, $F$9) + CHOOSE(CONTROL!$C$27, 0.0021, 0)</f>
        <v>38.040500000000002</v>
      </c>
      <c r="F131" s="14">
        <f>38.0384 * CHOOSE(CONTROL!$C$9, $D$9, 100%, $F$9) + CHOOSE(CONTROL!$C$27, 0.0021, 0)</f>
        <v>38.040500000000002</v>
      </c>
      <c r="G131" s="14">
        <f>38.3097 * CHOOSE(CONTROL!$C$9, $D$9, 100%, $F$9) + CHOOSE(CONTROL!$C$27, 0.0021, 0)</f>
        <v>38.311799999999998</v>
      </c>
      <c r="H131" s="14">
        <f>38.175 * CHOOSE(CONTROL!$C$9, $D$9, 100%, $F$9) + CHOOSE(CONTROL!$C$27, 0.0021, 0)</f>
        <v>38.177099999999996</v>
      </c>
      <c r="I131" s="14">
        <f>38.175 * CHOOSE(CONTROL!$C$9, $D$9, 100%, $F$9) + CHOOSE(CONTROL!$C$27, 0.0021, 0)</f>
        <v>38.177099999999996</v>
      </c>
      <c r="J131" s="14">
        <f>38.175 * CHOOSE(CONTROL!$C$9, $D$9, 100%, $F$9) + CHOOSE(CONTROL!$C$27, 0.0021, 0)</f>
        <v>38.177099999999996</v>
      </c>
      <c r="K131" s="14">
        <f>38.175 * CHOOSE(CONTROL!$C$9, $D$9, 100%, $F$9) + CHOOSE(CONTROL!$C$27, 0.0021, 0)</f>
        <v>38.177099999999996</v>
      </c>
      <c r="L131" s="14"/>
    </row>
    <row r="132" spans="1:12" ht="15" x14ac:dyDescent="0.2">
      <c r="A132" s="13">
        <v>44927</v>
      </c>
      <c r="B132" s="14">
        <f>39.2328 * CHOOSE(CONTROL!$C$9, $D$9, 100%, $F$9) + CHOOSE(CONTROL!$C$27, 0.0021, 0)</f>
        <v>39.234899999999996</v>
      </c>
      <c r="C132" s="14">
        <f>38.8006 * CHOOSE(CONTROL!$C$9, $D$9, 100%, $F$9) + CHOOSE(CONTROL!$C$27, 0.0021, 0)</f>
        <v>38.802700000000002</v>
      </c>
      <c r="D132" s="14">
        <f>38.8006 * CHOOSE(CONTROL!$C$9, $D$9, 100%, $F$9) + CHOOSE(CONTROL!$C$27, 0.0021, 0)</f>
        <v>38.802700000000002</v>
      </c>
      <c r="E132" s="14">
        <f>38.6639 * CHOOSE(CONTROL!$C$9, $D$9, 100%, $F$9) + CHOOSE(CONTROL!$C$27, 0.0021, 0)</f>
        <v>38.665999999999997</v>
      </c>
      <c r="F132" s="14">
        <f>38.6639 * CHOOSE(CONTROL!$C$9, $D$9, 100%, $F$9) + CHOOSE(CONTROL!$C$27, 0.0021, 0)</f>
        <v>38.665999999999997</v>
      </c>
      <c r="G132" s="14">
        <f>38.9353 * CHOOSE(CONTROL!$C$9, $D$9, 100%, $F$9) + CHOOSE(CONTROL!$C$27, 0.0021, 0)</f>
        <v>38.937399999999997</v>
      </c>
      <c r="H132" s="14">
        <f>38.8006 * CHOOSE(CONTROL!$C$9, $D$9, 100%, $F$9) + CHOOSE(CONTROL!$C$27, 0.0021, 0)</f>
        <v>38.802700000000002</v>
      </c>
      <c r="I132" s="14">
        <f>38.8006 * CHOOSE(CONTROL!$C$9, $D$9, 100%, $F$9) + CHOOSE(CONTROL!$C$27, 0.0021, 0)</f>
        <v>38.802700000000002</v>
      </c>
      <c r="J132" s="14">
        <f>38.8006 * CHOOSE(CONTROL!$C$9, $D$9, 100%, $F$9) + CHOOSE(CONTROL!$C$27, 0.0021, 0)</f>
        <v>38.802700000000002</v>
      </c>
      <c r="K132" s="14">
        <f>38.8006 * CHOOSE(CONTROL!$C$9, $D$9, 100%, $F$9) + CHOOSE(CONTROL!$C$27, 0.0021, 0)</f>
        <v>38.802700000000002</v>
      </c>
      <c r="L132" s="14"/>
    </row>
    <row r="133" spans="1:12" ht="15" x14ac:dyDescent="0.2">
      <c r="A133" s="13">
        <v>44958</v>
      </c>
      <c r="B133" s="14">
        <f>38.2619 * CHOOSE(CONTROL!$C$9, $D$9, 100%, $F$9) + CHOOSE(CONTROL!$C$27, 0.0021, 0)</f>
        <v>38.263999999999996</v>
      </c>
      <c r="C133" s="14">
        <f>37.8296 * CHOOSE(CONTROL!$C$9, $D$9, 100%, $F$9) + CHOOSE(CONTROL!$C$27, 0.0021, 0)</f>
        <v>37.831699999999998</v>
      </c>
      <c r="D133" s="14">
        <f>37.8296 * CHOOSE(CONTROL!$C$9, $D$9, 100%, $F$9) + CHOOSE(CONTROL!$C$27, 0.0021, 0)</f>
        <v>37.831699999999998</v>
      </c>
      <c r="E133" s="14">
        <f>37.693 * CHOOSE(CONTROL!$C$9, $D$9, 100%, $F$9) + CHOOSE(CONTROL!$C$27, 0.0021, 0)</f>
        <v>37.695099999999996</v>
      </c>
      <c r="F133" s="14">
        <f>37.693 * CHOOSE(CONTROL!$C$9, $D$9, 100%, $F$9) + CHOOSE(CONTROL!$C$27, 0.0021, 0)</f>
        <v>37.695099999999996</v>
      </c>
      <c r="G133" s="14">
        <f>37.9644 * CHOOSE(CONTROL!$C$9, $D$9, 100%, $F$9) + CHOOSE(CONTROL!$C$27, 0.0021, 0)</f>
        <v>37.966499999999996</v>
      </c>
      <c r="H133" s="14">
        <f>37.8296 * CHOOSE(CONTROL!$C$9, $D$9, 100%, $F$9) + CHOOSE(CONTROL!$C$27, 0.0021, 0)</f>
        <v>37.831699999999998</v>
      </c>
      <c r="I133" s="14">
        <f>37.8296 * CHOOSE(CONTROL!$C$9, $D$9, 100%, $F$9) + CHOOSE(CONTROL!$C$27, 0.0021, 0)</f>
        <v>37.831699999999998</v>
      </c>
      <c r="J133" s="14">
        <f>37.8296 * CHOOSE(CONTROL!$C$9, $D$9, 100%, $F$9) + CHOOSE(CONTROL!$C$27, 0.0021, 0)</f>
        <v>37.831699999999998</v>
      </c>
      <c r="K133" s="14">
        <f>37.8296 * CHOOSE(CONTROL!$C$9, $D$9, 100%, $F$9) + CHOOSE(CONTROL!$C$27, 0.0021, 0)</f>
        <v>37.831699999999998</v>
      </c>
      <c r="L133" s="14"/>
    </row>
    <row r="134" spans="1:12" ht="15" x14ac:dyDescent="0.2">
      <c r="A134" s="13">
        <v>44986</v>
      </c>
      <c r="B134" s="14">
        <f>37.9029 * CHOOSE(CONTROL!$C$9, $D$9, 100%, $F$9) + CHOOSE(CONTROL!$C$27, 0.0021, 0)</f>
        <v>37.905000000000001</v>
      </c>
      <c r="C134" s="14">
        <f>37.4706 * CHOOSE(CONTROL!$C$9, $D$9, 100%, $F$9) + CHOOSE(CONTROL!$C$27, 0.0021, 0)</f>
        <v>37.472699999999996</v>
      </c>
      <c r="D134" s="14">
        <f>37.4706 * CHOOSE(CONTROL!$C$9, $D$9, 100%, $F$9) + CHOOSE(CONTROL!$C$27, 0.0021, 0)</f>
        <v>37.472699999999996</v>
      </c>
      <c r="E134" s="14">
        <f>37.334 * CHOOSE(CONTROL!$C$9, $D$9, 100%, $F$9) + CHOOSE(CONTROL!$C$27, 0.0021, 0)</f>
        <v>37.336100000000002</v>
      </c>
      <c r="F134" s="14">
        <f>37.334 * CHOOSE(CONTROL!$C$9, $D$9, 100%, $F$9) + CHOOSE(CONTROL!$C$27, 0.0021, 0)</f>
        <v>37.336100000000002</v>
      </c>
      <c r="G134" s="14">
        <f>37.6054 * CHOOSE(CONTROL!$C$9, $D$9, 100%, $F$9) + CHOOSE(CONTROL!$C$27, 0.0021, 0)</f>
        <v>37.607500000000002</v>
      </c>
      <c r="H134" s="14">
        <f>37.4706 * CHOOSE(CONTROL!$C$9, $D$9, 100%, $F$9) + CHOOSE(CONTROL!$C$27, 0.0021, 0)</f>
        <v>37.472699999999996</v>
      </c>
      <c r="I134" s="14">
        <f>37.4706 * CHOOSE(CONTROL!$C$9, $D$9, 100%, $F$9) + CHOOSE(CONTROL!$C$27, 0.0021, 0)</f>
        <v>37.472699999999996</v>
      </c>
      <c r="J134" s="14">
        <f>37.4706 * CHOOSE(CONTROL!$C$9, $D$9, 100%, $F$9) + CHOOSE(CONTROL!$C$27, 0.0021, 0)</f>
        <v>37.472699999999996</v>
      </c>
      <c r="K134" s="14">
        <f>37.4706 * CHOOSE(CONTROL!$C$9, $D$9, 100%, $F$9) + CHOOSE(CONTROL!$C$27, 0.0021, 0)</f>
        <v>37.472699999999996</v>
      </c>
      <c r="L134" s="14"/>
    </row>
    <row r="135" spans="1:12" ht="15" x14ac:dyDescent="0.2">
      <c r="A135" s="13">
        <v>45017</v>
      </c>
      <c r="B135" s="14">
        <f>37.458 * CHOOSE(CONTROL!$C$9, $D$9, 100%, $F$9) + CHOOSE(CONTROL!$C$27, 0.0021, 0)</f>
        <v>37.460099999999997</v>
      </c>
      <c r="C135" s="14">
        <f>37.0258 * CHOOSE(CONTROL!$C$9, $D$9, 100%, $F$9) + CHOOSE(CONTROL!$C$27, 0.0021, 0)</f>
        <v>37.027899999999995</v>
      </c>
      <c r="D135" s="14">
        <f>37.0258 * CHOOSE(CONTROL!$C$9, $D$9, 100%, $F$9) + CHOOSE(CONTROL!$C$27, 0.0021, 0)</f>
        <v>37.027899999999995</v>
      </c>
      <c r="E135" s="14">
        <f>36.8891 * CHOOSE(CONTROL!$C$9, $D$9, 100%, $F$9) + CHOOSE(CONTROL!$C$27, 0.0021, 0)</f>
        <v>36.891199999999998</v>
      </c>
      <c r="F135" s="14">
        <f>36.8891 * CHOOSE(CONTROL!$C$9, $D$9, 100%, $F$9) + CHOOSE(CONTROL!$C$27, 0.0021, 0)</f>
        <v>36.891199999999998</v>
      </c>
      <c r="G135" s="14">
        <f>37.1605 * CHOOSE(CONTROL!$C$9, $D$9, 100%, $F$9) + CHOOSE(CONTROL!$C$27, 0.0021, 0)</f>
        <v>37.162599999999998</v>
      </c>
      <c r="H135" s="14">
        <f>37.0258 * CHOOSE(CONTROL!$C$9, $D$9, 100%, $F$9) + CHOOSE(CONTROL!$C$27, 0.0021, 0)</f>
        <v>37.027899999999995</v>
      </c>
      <c r="I135" s="14">
        <f>37.0258 * CHOOSE(CONTROL!$C$9, $D$9, 100%, $F$9) + CHOOSE(CONTROL!$C$27, 0.0021, 0)</f>
        <v>37.027899999999995</v>
      </c>
      <c r="J135" s="14">
        <f>37.0258 * CHOOSE(CONTROL!$C$9, $D$9, 100%, $F$9) + CHOOSE(CONTROL!$C$27, 0.0021, 0)</f>
        <v>37.027899999999995</v>
      </c>
      <c r="K135" s="14">
        <f>37.0258 * CHOOSE(CONTROL!$C$9, $D$9, 100%, $F$9) + CHOOSE(CONTROL!$C$27, 0.0021, 0)</f>
        <v>37.027899999999995</v>
      </c>
      <c r="L135" s="14"/>
    </row>
    <row r="136" spans="1:12" ht="15" x14ac:dyDescent="0.2">
      <c r="A136" s="13">
        <v>45047</v>
      </c>
      <c r="B136" s="14">
        <f>38.2705 * CHOOSE(CONTROL!$C$9, $D$9, 100%, $F$9) + CHOOSE(CONTROL!$C$27, 0.0021, 0)</f>
        <v>38.272599999999997</v>
      </c>
      <c r="C136" s="14">
        <f>37.8382 * CHOOSE(CONTROL!$C$9, $D$9, 100%, $F$9) + CHOOSE(CONTROL!$C$27, 0.0021, 0)</f>
        <v>37.840299999999999</v>
      </c>
      <c r="D136" s="14">
        <f>37.8382 * CHOOSE(CONTROL!$C$9, $D$9, 100%, $F$9) + CHOOSE(CONTROL!$C$27, 0.0021, 0)</f>
        <v>37.840299999999999</v>
      </c>
      <c r="E136" s="14">
        <f>37.7016 * CHOOSE(CONTROL!$C$9, $D$9, 100%, $F$9) + CHOOSE(CONTROL!$C$27, 0.0021, 0)</f>
        <v>37.703699999999998</v>
      </c>
      <c r="F136" s="14">
        <f>37.7016 * CHOOSE(CONTROL!$C$9, $D$9, 100%, $F$9) + CHOOSE(CONTROL!$C$27, 0.0021, 0)</f>
        <v>37.703699999999998</v>
      </c>
      <c r="G136" s="14">
        <f>37.973 * CHOOSE(CONTROL!$C$9, $D$9, 100%, $F$9) + CHOOSE(CONTROL!$C$27, 0.0021, 0)</f>
        <v>37.975099999999998</v>
      </c>
      <c r="H136" s="14">
        <f>37.8382 * CHOOSE(CONTROL!$C$9, $D$9, 100%, $F$9) + CHOOSE(CONTROL!$C$27, 0.0021, 0)</f>
        <v>37.840299999999999</v>
      </c>
      <c r="I136" s="14">
        <f>37.8382 * CHOOSE(CONTROL!$C$9, $D$9, 100%, $F$9) + CHOOSE(CONTROL!$C$27, 0.0021, 0)</f>
        <v>37.840299999999999</v>
      </c>
      <c r="J136" s="14">
        <f>37.8382 * CHOOSE(CONTROL!$C$9, $D$9, 100%, $F$9) + CHOOSE(CONTROL!$C$27, 0.0021, 0)</f>
        <v>37.840299999999999</v>
      </c>
      <c r="K136" s="14">
        <f>37.8382 * CHOOSE(CONTROL!$C$9, $D$9, 100%, $F$9) + CHOOSE(CONTROL!$C$27, 0.0021, 0)</f>
        <v>37.840299999999999</v>
      </c>
      <c r="L136" s="14"/>
    </row>
    <row r="137" spans="1:12" ht="15" x14ac:dyDescent="0.2">
      <c r="A137" s="13">
        <v>45078</v>
      </c>
      <c r="B137" s="14">
        <f>38.7888 * CHOOSE(CONTROL!$C$9, $D$9, 100%, $F$9) + CHOOSE(CONTROL!$C$27, 0.0021, 0)</f>
        <v>38.790900000000001</v>
      </c>
      <c r="C137" s="14">
        <f>38.3565 * CHOOSE(CONTROL!$C$9, $D$9, 100%, $F$9) + CHOOSE(CONTROL!$C$27, 0.0021, 0)</f>
        <v>38.358599999999996</v>
      </c>
      <c r="D137" s="14">
        <f>38.3565 * CHOOSE(CONTROL!$C$9, $D$9, 100%, $F$9) + CHOOSE(CONTROL!$C$27, 0.0021, 0)</f>
        <v>38.358599999999996</v>
      </c>
      <c r="E137" s="14">
        <f>38.2198 * CHOOSE(CONTROL!$C$9, $D$9, 100%, $F$9) + CHOOSE(CONTROL!$C$27, 0.0021, 0)</f>
        <v>38.221899999999998</v>
      </c>
      <c r="F137" s="14">
        <f>38.2198 * CHOOSE(CONTROL!$C$9, $D$9, 100%, $F$9) + CHOOSE(CONTROL!$C$27, 0.0021, 0)</f>
        <v>38.221899999999998</v>
      </c>
      <c r="G137" s="14">
        <f>38.4912 * CHOOSE(CONTROL!$C$9, $D$9, 100%, $F$9) + CHOOSE(CONTROL!$C$27, 0.0021, 0)</f>
        <v>38.493299999999998</v>
      </c>
      <c r="H137" s="14">
        <f>38.3565 * CHOOSE(CONTROL!$C$9, $D$9, 100%, $F$9) + CHOOSE(CONTROL!$C$27, 0.0021, 0)</f>
        <v>38.358599999999996</v>
      </c>
      <c r="I137" s="14">
        <f>38.3565 * CHOOSE(CONTROL!$C$9, $D$9, 100%, $F$9) + CHOOSE(CONTROL!$C$27, 0.0021, 0)</f>
        <v>38.358599999999996</v>
      </c>
      <c r="J137" s="14">
        <f>38.3565 * CHOOSE(CONTROL!$C$9, $D$9, 100%, $F$9) + CHOOSE(CONTROL!$C$27, 0.0021, 0)</f>
        <v>38.358599999999996</v>
      </c>
      <c r="K137" s="14">
        <f>38.3565 * CHOOSE(CONTROL!$C$9, $D$9, 100%, $F$9) + CHOOSE(CONTROL!$C$27, 0.0021, 0)</f>
        <v>38.358599999999996</v>
      </c>
      <c r="L137" s="14"/>
    </row>
    <row r="138" spans="1:12" ht="15" x14ac:dyDescent="0.2">
      <c r="A138" s="13">
        <v>45108</v>
      </c>
      <c r="B138" s="14">
        <f>39.5981 * CHOOSE(CONTROL!$C$9, $D$9, 100%, $F$9) + CHOOSE(CONTROL!$C$27, 0.0021, 0)</f>
        <v>39.600200000000001</v>
      </c>
      <c r="C138" s="14">
        <f>39.1659 * CHOOSE(CONTROL!$C$9, $D$9, 100%, $F$9) + CHOOSE(CONTROL!$C$27, 0.0021, 0)</f>
        <v>39.167999999999999</v>
      </c>
      <c r="D138" s="14">
        <f>39.1659 * CHOOSE(CONTROL!$C$9, $D$9, 100%, $F$9) + CHOOSE(CONTROL!$C$27, 0.0021, 0)</f>
        <v>39.167999999999999</v>
      </c>
      <c r="E138" s="14">
        <f>39.0292 * CHOOSE(CONTROL!$C$9, $D$9, 100%, $F$9) + CHOOSE(CONTROL!$C$27, 0.0021, 0)</f>
        <v>39.031300000000002</v>
      </c>
      <c r="F138" s="14">
        <f>39.0292 * CHOOSE(CONTROL!$C$9, $D$9, 100%, $F$9) + CHOOSE(CONTROL!$C$27, 0.0021, 0)</f>
        <v>39.031300000000002</v>
      </c>
      <c r="G138" s="14">
        <f>39.3006 * CHOOSE(CONTROL!$C$9, $D$9, 100%, $F$9) + CHOOSE(CONTROL!$C$27, 0.0021, 0)</f>
        <v>39.302700000000002</v>
      </c>
      <c r="H138" s="14">
        <f>39.1659 * CHOOSE(CONTROL!$C$9, $D$9, 100%, $F$9) + CHOOSE(CONTROL!$C$27, 0.0021, 0)</f>
        <v>39.167999999999999</v>
      </c>
      <c r="I138" s="14">
        <f>39.1659 * CHOOSE(CONTROL!$C$9, $D$9, 100%, $F$9) + CHOOSE(CONTROL!$C$27, 0.0021, 0)</f>
        <v>39.167999999999999</v>
      </c>
      <c r="J138" s="14">
        <f>39.1659 * CHOOSE(CONTROL!$C$9, $D$9, 100%, $F$9) + CHOOSE(CONTROL!$C$27, 0.0021, 0)</f>
        <v>39.167999999999999</v>
      </c>
      <c r="K138" s="14">
        <f>39.1659 * CHOOSE(CONTROL!$C$9, $D$9, 100%, $F$9) + CHOOSE(CONTROL!$C$27, 0.0021, 0)</f>
        <v>39.167999999999999</v>
      </c>
      <c r="L138" s="14"/>
    </row>
    <row r="139" spans="1:12" ht="15" x14ac:dyDescent="0.2">
      <c r="A139" s="13">
        <v>45139</v>
      </c>
      <c r="B139" s="14">
        <f>39.8995 * CHOOSE(CONTROL!$C$9, $D$9, 100%, $F$9) + CHOOSE(CONTROL!$C$27, 0.0021, 0)</f>
        <v>39.901600000000002</v>
      </c>
      <c r="C139" s="14">
        <f>39.4673 * CHOOSE(CONTROL!$C$9, $D$9, 100%, $F$9) + CHOOSE(CONTROL!$C$27, 0.0021, 0)</f>
        <v>39.4694</v>
      </c>
      <c r="D139" s="14">
        <f>39.4673 * CHOOSE(CONTROL!$C$9, $D$9, 100%, $F$9) + CHOOSE(CONTROL!$C$27, 0.0021, 0)</f>
        <v>39.4694</v>
      </c>
      <c r="E139" s="14">
        <f>39.3306 * CHOOSE(CONTROL!$C$9, $D$9, 100%, $F$9) + CHOOSE(CONTROL!$C$27, 0.0021, 0)</f>
        <v>39.332699999999996</v>
      </c>
      <c r="F139" s="14">
        <f>39.3306 * CHOOSE(CONTROL!$C$9, $D$9, 100%, $F$9) + CHOOSE(CONTROL!$C$27, 0.0021, 0)</f>
        <v>39.332699999999996</v>
      </c>
      <c r="G139" s="14">
        <f>39.602 * CHOOSE(CONTROL!$C$9, $D$9, 100%, $F$9) + CHOOSE(CONTROL!$C$27, 0.0021, 0)</f>
        <v>39.604099999999995</v>
      </c>
      <c r="H139" s="14">
        <f>39.4673 * CHOOSE(CONTROL!$C$9, $D$9, 100%, $F$9) + CHOOSE(CONTROL!$C$27, 0.0021, 0)</f>
        <v>39.4694</v>
      </c>
      <c r="I139" s="14">
        <f>39.4673 * CHOOSE(CONTROL!$C$9, $D$9, 100%, $F$9) + CHOOSE(CONTROL!$C$27, 0.0021, 0)</f>
        <v>39.4694</v>
      </c>
      <c r="J139" s="14">
        <f>39.4673 * CHOOSE(CONTROL!$C$9, $D$9, 100%, $F$9) + CHOOSE(CONTROL!$C$27, 0.0021, 0)</f>
        <v>39.4694</v>
      </c>
      <c r="K139" s="14">
        <f>39.4673 * CHOOSE(CONTROL!$C$9, $D$9, 100%, $F$9) + CHOOSE(CONTROL!$C$27, 0.0021, 0)</f>
        <v>39.4694</v>
      </c>
      <c r="L139" s="14"/>
    </row>
    <row r="140" spans="1:12" ht="15" x14ac:dyDescent="0.2">
      <c r="A140" s="13">
        <v>45170</v>
      </c>
      <c r="B140" s="14">
        <f>40.7433 * CHOOSE(CONTROL!$C$9, $D$9, 100%, $F$9) + CHOOSE(CONTROL!$C$27, 0.0021, 0)</f>
        <v>40.745399999999997</v>
      </c>
      <c r="C140" s="14">
        <f>40.3111 * CHOOSE(CONTROL!$C$9, $D$9, 100%, $F$9) + CHOOSE(CONTROL!$C$27, 0.0021, 0)</f>
        <v>40.313200000000002</v>
      </c>
      <c r="D140" s="14">
        <f>40.3111 * CHOOSE(CONTROL!$C$9, $D$9, 100%, $F$9) + CHOOSE(CONTROL!$C$27, 0.0021, 0)</f>
        <v>40.313200000000002</v>
      </c>
      <c r="E140" s="14">
        <f>40.1744 * CHOOSE(CONTROL!$C$9, $D$9, 100%, $F$9) + CHOOSE(CONTROL!$C$27, 0.0021, 0)</f>
        <v>40.176499999999997</v>
      </c>
      <c r="F140" s="14">
        <f>40.1744 * CHOOSE(CONTROL!$C$9, $D$9, 100%, $F$9) + CHOOSE(CONTROL!$C$27, 0.0021, 0)</f>
        <v>40.176499999999997</v>
      </c>
      <c r="G140" s="14">
        <f>40.4458 * CHOOSE(CONTROL!$C$9, $D$9, 100%, $F$9) + CHOOSE(CONTROL!$C$27, 0.0021, 0)</f>
        <v>40.447899999999997</v>
      </c>
      <c r="H140" s="14">
        <f>40.3111 * CHOOSE(CONTROL!$C$9, $D$9, 100%, $F$9) + CHOOSE(CONTROL!$C$27, 0.0021, 0)</f>
        <v>40.313200000000002</v>
      </c>
      <c r="I140" s="14">
        <f>40.3111 * CHOOSE(CONTROL!$C$9, $D$9, 100%, $F$9) + CHOOSE(CONTROL!$C$27, 0.0021, 0)</f>
        <v>40.313200000000002</v>
      </c>
      <c r="J140" s="14">
        <f>40.3111 * CHOOSE(CONTROL!$C$9, $D$9, 100%, $F$9) + CHOOSE(CONTROL!$C$27, 0.0021, 0)</f>
        <v>40.313200000000002</v>
      </c>
      <c r="K140" s="14">
        <f>40.3111 * CHOOSE(CONTROL!$C$9, $D$9, 100%, $F$9) + CHOOSE(CONTROL!$C$27, 0.0021, 0)</f>
        <v>40.313200000000002</v>
      </c>
      <c r="L140" s="14"/>
    </row>
    <row r="141" spans="1:12" ht="15" x14ac:dyDescent="0.2">
      <c r="A141" s="13">
        <v>45200</v>
      </c>
      <c r="B141" s="14">
        <f>41.7945 * CHOOSE(CONTROL!$C$9, $D$9, 100%, $F$9) + CHOOSE(CONTROL!$C$27, 0.0021, 0)</f>
        <v>41.796599999999998</v>
      </c>
      <c r="C141" s="14">
        <f>41.3623 * CHOOSE(CONTROL!$C$9, $D$9, 100%, $F$9) + CHOOSE(CONTROL!$C$27, 0.0021, 0)</f>
        <v>41.364399999999996</v>
      </c>
      <c r="D141" s="14">
        <f>41.3623 * CHOOSE(CONTROL!$C$9, $D$9, 100%, $F$9) + CHOOSE(CONTROL!$C$27, 0.0021, 0)</f>
        <v>41.364399999999996</v>
      </c>
      <c r="E141" s="14">
        <f>41.2256 * CHOOSE(CONTROL!$C$9, $D$9, 100%, $F$9) + CHOOSE(CONTROL!$C$27, 0.0021, 0)</f>
        <v>41.227699999999999</v>
      </c>
      <c r="F141" s="14">
        <f>41.2256 * CHOOSE(CONTROL!$C$9, $D$9, 100%, $F$9) + CHOOSE(CONTROL!$C$27, 0.0021, 0)</f>
        <v>41.227699999999999</v>
      </c>
      <c r="G141" s="14">
        <f>41.497 * CHOOSE(CONTROL!$C$9, $D$9, 100%, $F$9) + CHOOSE(CONTROL!$C$27, 0.0021, 0)</f>
        <v>41.499099999999999</v>
      </c>
      <c r="H141" s="14">
        <f>41.3623 * CHOOSE(CONTROL!$C$9, $D$9, 100%, $F$9) + CHOOSE(CONTROL!$C$27, 0.0021, 0)</f>
        <v>41.364399999999996</v>
      </c>
      <c r="I141" s="14">
        <f>41.3623 * CHOOSE(CONTROL!$C$9, $D$9, 100%, $F$9) + CHOOSE(CONTROL!$C$27, 0.0021, 0)</f>
        <v>41.364399999999996</v>
      </c>
      <c r="J141" s="14">
        <f>41.3623 * CHOOSE(CONTROL!$C$9, $D$9, 100%, $F$9) + CHOOSE(CONTROL!$C$27, 0.0021, 0)</f>
        <v>41.364399999999996</v>
      </c>
      <c r="K141" s="14">
        <f>41.3623 * CHOOSE(CONTROL!$C$9, $D$9, 100%, $F$9) + CHOOSE(CONTROL!$C$27, 0.0021, 0)</f>
        <v>41.364399999999996</v>
      </c>
      <c r="L141" s="14"/>
    </row>
    <row r="142" spans="1:12" ht="15" x14ac:dyDescent="0.2">
      <c r="A142" s="13">
        <v>45231</v>
      </c>
      <c r="B142" s="14">
        <f>41.9673 * CHOOSE(CONTROL!$C$9, $D$9, 100%, $F$9) + CHOOSE(CONTROL!$C$27, 0.0021, 0)</f>
        <v>41.9694</v>
      </c>
      <c r="C142" s="14">
        <f>41.5351 * CHOOSE(CONTROL!$C$9, $D$9, 100%, $F$9) + CHOOSE(CONTROL!$C$27, 0.0021, 0)</f>
        <v>41.537199999999999</v>
      </c>
      <c r="D142" s="14">
        <f>41.5351 * CHOOSE(CONTROL!$C$9, $D$9, 100%, $F$9) + CHOOSE(CONTROL!$C$27, 0.0021, 0)</f>
        <v>41.537199999999999</v>
      </c>
      <c r="E142" s="14">
        <f>41.3984 * CHOOSE(CONTROL!$C$9, $D$9, 100%, $F$9) + CHOOSE(CONTROL!$C$27, 0.0021, 0)</f>
        <v>41.400500000000001</v>
      </c>
      <c r="F142" s="14">
        <f>41.3984 * CHOOSE(CONTROL!$C$9, $D$9, 100%, $F$9) + CHOOSE(CONTROL!$C$27, 0.0021, 0)</f>
        <v>41.400500000000001</v>
      </c>
      <c r="G142" s="14">
        <f>41.6698 * CHOOSE(CONTROL!$C$9, $D$9, 100%, $F$9) + CHOOSE(CONTROL!$C$27, 0.0021, 0)</f>
        <v>41.671900000000001</v>
      </c>
      <c r="H142" s="14">
        <f>41.5351 * CHOOSE(CONTROL!$C$9, $D$9, 100%, $F$9) + CHOOSE(CONTROL!$C$27, 0.0021, 0)</f>
        <v>41.537199999999999</v>
      </c>
      <c r="I142" s="14">
        <f>41.5351 * CHOOSE(CONTROL!$C$9, $D$9, 100%, $F$9) + CHOOSE(CONTROL!$C$27, 0.0021, 0)</f>
        <v>41.537199999999999</v>
      </c>
      <c r="J142" s="14">
        <f>41.5351 * CHOOSE(CONTROL!$C$9, $D$9, 100%, $F$9) + CHOOSE(CONTROL!$C$27, 0.0021, 0)</f>
        <v>41.537199999999999</v>
      </c>
      <c r="K142" s="14">
        <f>41.5351 * CHOOSE(CONTROL!$C$9, $D$9, 100%, $F$9) + CHOOSE(CONTROL!$C$27, 0.0021, 0)</f>
        <v>41.537199999999999</v>
      </c>
      <c r="L142" s="14"/>
    </row>
    <row r="143" spans="1:12" ht="15" x14ac:dyDescent="0.2">
      <c r="A143" s="13">
        <v>45261</v>
      </c>
      <c r="B143" s="14">
        <f>41.2695 * CHOOSE(CONTROL!$C$9, $D$9, 100%, $F$9) + CHOOSE(CONTROL!$C$27, 0.0021, 0)</f>
        <v>41.271599999999999</v>
      </c>
      <c r="C143" s="14">
        <f>40.8373 * CHOOSE(CONTROL!$C$9, $D$9, 100%, $F$9) + CHOOSE(CONTROL!$C$27, 0.0021, 0)</f>
        <v>40.839399999999998</v>
      </c>
      <c r="D143" s="14">
        <f>40.8373 * CHOOSE(CONTROL!$C$9, $D$9, 100%, $F$9) + CHOOSE(CONTROL!$C$27, 0.0021, 0)</f>
        <v>40.839399999999998</v>
      </c>
      <c r="E143" s="14">
        <f>40.7006 * CHOOSE(CONTROL!$C$9, $D$9, 100%, $F$9) + CHOOSE(CONTROL!$C$27, 0.0021, 0)</f>
        <v>40.7027</v>
      </c>
      <c r="F143" s="14">
        <f>40.7006 * CHOOSE(CONTROL!$C$9, $D$9, 100%, $F$9) + CHOOSE(CONTROL!$C$27, 0.0021, 0)</f>
        <v>40.7027</v>
      </c>
      <c r="G143" s="14">
        <f>40.972 * CHOOSE(CONTROL!$C$9, $D$9, 100%, $F$9) + CHOOSE(CONTROL!$C$27, 0.0021, 0)</f>
        <v>40.9741</v>
      </c>
      <c r="H143" s="14">
        <f>40.8373 * CHOOSE(CONTROL!$C$9, $D$9, 100%, $F$9) + CHOOSE(CONTROL!$C$27, 0.0021, 0)</f>
        <v>40.839399999999998</v>
      </c>
      <c r="I143" s="14">
        <f>40.8373 * CHOOSE(CONTROL!$C$9, $D$9, 100%, $F$9) + CHOOSE(CONTROL!$C$27, 0.0021, 0)</f>
        <v>40.839399999999998</v>
      </c>
      <c r="J143" s="14">
        <f>40.8373 * CHOOSE(CONTROL!$C$9, $D$9, 100%, $F$9) + CHOOSE(CONTROL!$C$27, 0.0021, 0)</f>
        <v>40.839399999999998</v>
      </c>
      <c r="K143" s="14">
        <f>40.8373 * CHOOSE(CONTROL!$C$9, $D$9, 100%, $F$9) + CHOOSE(CONTROL!$C$27, 0.0021, 0)</f>
        <v>40.839399999999998</v>
      </c>
      <c r="L143" s="14"/>
    </row>
    <row r="144" spans="1:12" ht="15" x14ac:dyDescent="0.2">
      <c r="A144" s="13">
        <v>45292</v>
      </c>
      <c r="B144" s="14">
        <f>41.8034 * CHOOSE(CONTROL!$C$9, $D$9, 100%, $F$9) + CHOOSE(CONTROL!$C$27, 0.0021, 0)</f>
        <v>41.805500000000002</v>
      </c>
      <c r="C144" s="14">
        <f>41.3712 * CHOOSE(CONTROL!$C$9, $D$9, 100%, $F$9) + CHOOSE(CONTROL!$C$27, 0.0021, 0)</f>
        <v>41.3733</v>
      </c>
      <c r="D144" s="14">
        <f>41.3712 * CHOOSE(CONTROL!$C$9, $D$9, 100%, $F$9) + CHOOSE(CONTROL!$C$27, 0.0021, 0)</f>
        <v>41.3733</v>
      </c>
      <c r="E144" s="14">
        <f>41.2345 * CHOOSE(CONTROL!$C$9, $D$9, 100%, $F$9) + CHOOSE(CONTROL!$C$27, 0.0021, 0)</f>
        <v>41.236599999999996</v>
      </c>
      <c r="F144" s="14">
        <f>41.2345 * CHOOSE(CONTROL!$C$9, $D$9, 100%, $F$9) + CHOOSE(CONTROL!$C$27, 0.0021, 0)</f>
        <v>41.236599999999996</v>
      </c>
      <c r="G144" s="14">
        <f>41.5059 * CHOOSE(CONTROL!$C$9, $D$9, 100%, $F$9) + CHOOSE(CONTROL!$C$27, 0.0021, 0)</f>
        <v>41.507999999999996</v>
      </c>
      <c r="H144" s="14">
        <f>41.3712 * CHOOSE(CONTROL!$C$9, $D$9, 100%, $F$9) + CHOOSE(CONTROL!$C$27, 0.0021, 0)</f>
        <v>41.3733</v>
      </c>
      <c r="I144" s="14">
        <f>41.3712 * CHOOSE(CONTROL!$C$9, $D$9, 100%, $F$9) + CHOOSE(CONTROL!$C$27, 0.0021, 0)</f>
        <v>41.3733</v>
      </c>
      <c r="J144" s="14">
        <f>41.3712 * CHOOSE(CONTROL!$C$9, $D$9, 100%, $F$9) + CHOOSE(CONTROL!$C$27, 0.0021, 0)</f>
        <v>41.3733</v>
      </c>
      <c r="K144" s="14">
        <f>41.3712 * CHOOSE(CONTROL!$C$9, $D$9, 100%, $F$9) + CHOOSE(CONTROL!$C$27, 0.0021, 0)</f>
        <v>41.3733</v>
      </c>
      <c r="L144" s="14"/>
    </row>
    <row r="145" spans="1:12" ht="15" x14ac:dyDescent="0.2">
      <c r="A145" s="13">
        <v>45323</v>
      </c>
      <c r="B145" s="14">
        <f>40.7649 * CHOOSE(CONTROL!$C$9, $D$9, 100%, $F$9) + CHOOSE(CONTROL!$C$27, 0.0021, 0)</f>
        <v>40.766999999999996</v>
      </c>
      <c r="C145" s="14">
        <f>40.3327 * CHOOSE(CONTROL!$C$9, $D$9, 100%, $F$9) + CHOOSE(CONTROL!$C$27, 0.0021, 0)</f>
        <v>40.334800000000001</v>
      </c>
      <c r="D145" s="14">
        <f>40.3327 * CHOOSE(CONTROL!$C$9, $D$9, 100%, $F$9) + CHOOSE(CONTROL!$C$27, 0.0021, 0)</f>
        <v>40.334800000000001</v>
      </c>
      <c r="E145" s="14">
        <f>40.196 * CHOOSE(CONTROL!$C$9, $D$9, 100%, $F$9) + CHOOSE(CONTROL!$C$27, 0.0021, 0)</f>
        <v>40.198099999999997</v>
      </c>
      <c r="F145" s="14">
        <f>40.196 * CHOOSE(CONTROL!$C$9, $D$9, 100%, $F$9) + CHOOSE(CONTROL!$C$27, 0.0021, 0)</f>
        <v>40.198099999999997</v>
      </c>
      <c r="G145" s="14">
        <f>40.4674 * CHOOSE(CONTROL!$C$9, $D$9, 100%, $F$9) + CHOOSE(CONTROL!$C$27, 0.0021, 0)</f>
        <v>40.469499999999996</v>
      </c>
      <c r="H145" s="14">
        <f>40.3327 * CHOOSE(CONTROL!$C$9, $D$9, 100%, $F$9) + CHOOSE(CONTROL!$C$27, 0.0021, 0)</f>
        <v>40.334800000000001</v>
      </c>
      <c r="I145" s="14">
        <f>40.3327 * CHOOSE(CONTROL!$C$9, $D$9, 100%, $F$9) + CHOOSE(CONTROL!$C$27, 0.0021, 0)</f>
        <v>40.334800000000001</v>
      </c>
      <c r="J145" s="14">
        <f>40.3327 * CHOOSE(CONTROL!$C$9, $D$9, 100%, $F$9) + CHOOSE(CONTROL!$C$27, 0.0021, 0)</f>
        <v>40.334800000000001</v>
      </c>
      <c r="K145" s="14">
        <f>40.3327 * CHOOSE(CONTROL!$C$9, $D$9, 100%, $F$9) + CHOOSE(CONTROL!$C$27, 0.0021, 0)</f>
        <v>40.334800000000001</v>
      </c>
      <c r="L145" s="14"/>
    </row>
    <row r="146" spans="1:12" ht="15" x14ac:dyDescent="0.2">
      <c r="A146" s="13">
        <v>45352</v>
      </c>
      <c r="B146" s="14">
        <f>40.3809 * CHOOSE(CONTROL!$C$9, $D$9, 100%, $F$9) + CHOOSE(CONTROL!$C$27, 0.0021, 0)</f>
        <v>40.382999999999996</v>
      </c>
      <c r="C146" s="14">
        <f>39.9487 * CHOOSE(CONTROL!$C$9, $D$9, 100%, $F$9) + CHOOSE(CONTROL!$C$27, 0.0021, 0)</f>
        <v>39.950800000000001</v>
      </c>
      <c r="D146" s="14">
        <f>39.9487 * CHOOSE(CONTROL!$C$9, $D$9, 100%, $F$9) + CHOOSE(CONTROL!$C$27, 0.0021, 0)</f>
        <v>39.950800000000001</v>
      </c>
      <c r="E146" s="14">
        <f>39.812 * CHOOSE(CONTROL!$C$9, $D$9, 100%, $F$9) + CHOOSE(CONTROL!$C$27, 0.0021, 0)</f>
        <v>39.814099999999996</v>
      </c>
      <c r="F146" s="14">
        <f>39.812 * CHOOSE(CONTROL!$C$9, $D$9, 100%, $F$9) + CHOOSE(CONTROL!$C$27, 0.0021, 0)</f>
        <v>39.814099999999996</v>
      </c>
      <c r="G146" s="14">
        <f>40.0834 * CHOOSE(CONTROL!$C$9, $D$9, 100%, $F$9) + CHOOSE(CONTROL!$C$27, 0.0021, 0)</f>
        <v>40.085499999999996</v>
      </c>
      <c r="H146" s="14">
        <f>39.9487 * CHOOSE(CONTROL!$C$9, $D$9, 100%, $F$9) + CHOOSE(CONTROL!$C$27, 0.0021, 0)</f>
        <v>39.950800000000001</v>
      </c>
      <c r="I146" s="14">
        <f>39.9487 * CHOOSE(CONTROL!$C$9, $D$9, 100%, $F$9) + CHOOSE(CONTROL!$C$27, 0.0021, 0)</f>
        <v>39.950800000000001</v>
      </c>
      <c r="J146" s="14">
        <f>39.9487 * CHOOSE(CONTROL!$C$9, $D$9, 100%, $F$9) + CHOOSE(CONTROL!$C$27, 0.0021, 0)</f>
        <v>39.950800000000001</v>
      </c>
      <c r="K146" s="14">
        <f>39.9487 * CHOOSE(CONTROL!$C$9, $D$9, 100%, $F$9) + CHOOSE(CONTROL!$C$27, 0.0021, 0)</f>
        <v>39.950800000000001</v>
      </c>
      <c r="L146" s="14"/>
    </row>
    <row r="147" spans="1:12" ht="15" x14ac:dyDescent="0.2">
      <c r="A147" s="13">
        <v>45383</v>
      </c>
      <c r="B147" s="14">
        <f>39.9051 * CHOOSE(CONTROL!$C$9, $D$9, 100%, $F$9) + CHOOSE(CONTROL!$C$27, 0.0021, 0)</f>
        <v>39.907199999999996</v>
      </c>
      <c r="C147" s="14">
        <f>39.4729 * CHOOSE(CONTROL!$C$9, $D$9, 100%, $F$9) + CHOOSE(CONTROL!$C$27, 0.0021, 0)</f>
        <v>39.475000000000001</v>
      </c>
      <c r="D147" s="14">
        <f>39.4729 * CHOOSE(CONTROL!$C$9, $D$9, 100%, $F$9) + CHOOSE(CONTROL!$C$27, 0.0021, 0)</f>
        <v>39.475000000000001</v>
      </c>
      <c r="E147" s="14">
        <f>39.3362 * CHOOSE(CONTROL!$C$9, $D$9, 100%, $F$9) + CHOOSE(CONTROL!$C$27, 0.0021, 0)</f>
        <v>39.338299999999997</v>
      </c>
      <c r="F147" s="14">
        <f>39.3362 * CHOOSE(CONTROL!$C$9, $D$9, 100%, $F$9) + CHOOSE(CONTROL!$C$27, 0.0021, 0)</f>
        <v>39.338299999999997</v>
      </c>
      <c r="G147" s="14">
        <f>39.6076 * CHOOSE(CONTROL!$C$9, $D$9, 100%, $F$9) + CHOOSE(CONTROL!$C$27, 0.0021, 0)</f>
        <v>39.609699999999997</v>
      </c>
      <c r="H147" s="14">
        <f>39.4729 * CHOOSE(CONTROL!$C$9, $D$9, 100%, $F$9) + CHOOSE(CONTROL!$C$27, 0.0021, 0)</f>
        <v>39.475000000000001</v>
      </c>
      <c r="I147" s="14">
        <f>39.4729 * CHOOSE(CONTROL!$C$9, $D$9, 100%, $F$9) + CHOOSE(CONTROL!$C$27, 0.0021, 0)</f>
        <v>39.475000000000001</v>
      </c>
      <c r="J147" s="14">
        <f>39.4729 * CHOOSE(CONTROL!$C$9, $D$9, 100%, $F$9) + CHOOSE(CONTROL!$C$27, 0.0021, 0)</f>
        <v>39.475000000000001</v>
      </c>
      <c r="K147" s="14">
        <f>39.4729 * CHOOSE(CONTROL!$C$9, $D$9, 100%, $F$9) + CHOOSE(CONTROL!$C$27, 0.0021, 0)</f>
        <v>39.475000000000001</v>
      </c>
      <c r="L147" s="14"/>
    </row>
    <row r="148" spans="1:12" ht="15" x14ac:dyDescent="0.2">
      <c r="A148" s="13">
        <v>45413</v>
      </c>
      <c r="B148" s="14">
        <f>40.7741 * CHOOSE(CONTROL!$C$9, $D$9, 100%, $F$9) + CHOOSE(CONTROL!$C$27, 0.0021, 0)</f>
        <v>40.776199999999996</v>
      </c>
      <c r="C148" s="14">
        <f>40.3419 * CHOOSE(CONTROL!$C$9, $D$9, 100%, $F$9) + CHOOSE(CONTROL!$C$27, 0.0021, 0)</f>
        <v>40.344000000000001</v>
      </c>
      <c r="D148" s="14">
        <f>40.3419 * CHOOSE(CONTROL!$C$9, $D$9, 100%, $F$9) + CHOOSE(CONTROL!$C$27, 0.0021, 0)</f>
        <v>40.344000000000001</v>
      </c>
      <c r="E148" s="14">
        <f>40.2052 * CHOOSE(CONTROL!$C$9, $D$9, 100%, $F$9) + CHOOSE(CONTROL!$C$27, 0.0021, 0)</f>
        <v>40.207299999999996</v>
      </c>
      <c r="F148" s="14">
        <f>40.2052 * CHOOSE(CONTROL!$C$9, $D$9, 100%, $F$9) + CHOOSE(CONTROL!$C$27, 0.0021, 0)</f>
        <v>40.207299999999996</v>
      </c>
      <c r="G148" s="14">
        <f>40.4766 * CHOOSE(CONTROL!$C$9, $D$9, 100%, $F$9) + CHOOSE(CONTROL!$C$27, 0.0021, 0)</f>
        <v>40.478699999999996</v>
      </c>
      <c r="H148" s="14">
        <f>40.3419 * CHOOSE(CONTROL!$C$9, $D$9, 100%, $F$9) + CHOOSE(CONTROL!$C$27, 0.0021, 0)</f>
        <v>40.344000000000001</v>
      </c>
      <c r="I148" s="14">
        <f>40.3419 * CHOOSE(CONTROL!$C$9, $D$9, 100%, $F$9) + CHOOSE(CONTROL!$C$27, 0.0021, 0)</f>
        <v>40.344000000000001</v>
      </c>
      <c r="J148" s="14">
        <f>40.3419 * CHOOSE(CONTROL!$C$9, $D$9, 100%, $F$9) + CHOOSE(CONTROL!$C$27, 0.0021, 0)</f>
        <v>40.344000000000001</v>
      </c>
      <c r="K148" s="14">
        <f>40.3419 * CHOOSE(CONTROL!$C$9, $D$9, 100%, $F$9) + CHOOSE(CONTROL!$C$27, 0.0021, 0)</f>
        <v>40.344000000000001</v>
      </c>
      <c r="L148" s="14"/>
    </row>
    <row r="149" spans="1:12" ht="15" x14ac:dyDescent="0.2">
      <c r="A149" s="13">
        <v>45444</v>
      </c>
      <c r="B149" s="14">
        <f>41.3285 * CHOOSE(CONTROL!$C$9, $D$9, 100%, $F$9) + CHOOSE(CONTROL!$C$27, 0.0021, 0)</f>
        <v>41.330599999999997</v>
      </c>
      <c r="C149" s="14">
        <f>40.8962 * CHOOSE(CONTROL!$C$9, $D$9, 100%, $F$9) + CHOOSE(CONTROL!$C$27, 0.0021, 0)</f>
        <v>40.898299999999999</v>
      </c>
      <c r="D149" s="14">
        <f>40.8962 * CHOOSE(CONTROL!$C$9, $D$9, 100%, $F$9) + CHOOSE(CONTROL!$C$27, 0.0021, 0)</f>
        <v>40.898299999999999</v>
      </c>
      <c r="E149" s="14">
        <f>40.7596 * CHOOSE(CONTROL!$C$9, $D$9, 100%, $F$9) + CHOOSE(CONTROL!$C$27, 0.0021, 0)</f>
        <v>40.761699999999998</v>
      </c>
      <c r="F149" s="14">
        <f>40.7596 * CHOOSE(CONTROL!$C$9, $D$9, 100%, $F$9) + CHOOSE(CONTROL!$C$27, 0.0021, 0)</f>
        <v>40.761699999999998</v>
      </c>
      <c r="G149" s="14">
        <f>41.0309 * CHOOSE(CONTROL!$C$9, $D$9, 100%, $F$9) + CHOOSE(CONTROL!$C$27, 0.0021, 0)</f>
        <v>41.033000000000001</v>
      </c>
      <c r="H149" s="14">
        <f>40.8962 * CHOOSE(CONTROL!$C$9, $D$9, 100%, $F$9) + CHOOSE(CONTROL!$C$27, 0.0021, 0)</f>
        <v>40.898299999999999</v>
      </c>
      <c r="I149" s="14">
        <f>40.8962 * CHOOSE(CONTROL!$C$9, $D$9, 100%, $F$9) + CHOOSE(CONTROL!$C$27, 0.0021, 0)</f>
        <v>40.898299999999999</v>
      </c>
      <c r="J149" s="14">
        <f>40.8962 * CHOOSE(CONTROL!$C$9, $D$9, 100%, $F$9) + CHOOSE(CONTROL!$C$27, 0.0021, 0)</f>
        <v>40.898299999999999</v>
      </c>
      <c r="K149" s="14">
        <f>40.8962 * CHOOSE(CONTROL!$C$9, $D$9, 100%, $F$9) + CHOOSE(CONTROL!$C$27, 0.0021, 0)</f>
        <v>40.898299999999999</v>
      </c>
      <c r="L149" s="14"/>
    </row>
    <row r="150" spans="1:12" ht="15" x14ac:dyDescent="0.2">
      <c r="A150" s="13">
        <v>45474</v>
      </c>
      <c r="B150" s="14">
        <f>42.1942 * CHOOSE(CONTROL!$C$9, $D$9, 100%, $F$9) + CHOOSE(CONTROL!$C$27, 0.0021, 0)</f>
        <v>42.196300000000001</v>
      </c>
      <c r="C150" s="14">
        <f>41.7619 * CHOOSE(CONTROL!$C$9, $D$9, 100%, $F$9) + CHOOSE(CONTROL!$C$27, 0.0021, 0)</f>
        <v>41.763999999999996</v>
      </c>
      <c r="D150" s="14">
        <f>41.7619 * CHOOSE(CONTROL!$C$9, $D$9, 100%, $F$9) + CHOOSE(CONTROL!$C$27, 0.0021, 0)</f>
        <v>41.763999999999996</v>
      </c>
      <c r="E150" s="14">
        <f>41.6253 * CHOOSE(CONTROL!$C$9, $D$9, 100%, $F$9) + CHOOSE(CONTROL!$C$27, 0.0021, 0)</f>
        <v>41.627400000000002</v>
      </c>
      <c r="F150" s="14">
        <f>41.6253 * CHOOSE(CONTROL!$C$9, $D$9, 100%, $F$9) + CHOOSE(CONTROL!$C$27, 0.0021, 0)</f>
        <v>41.627400000000002</v>
      </c>
      <c r="G150" s="14">
        <f>41.8966 * CHOOSE(CONTROL!$C$9, $D$9, 100%, $F$9) + CHOOSE(CONTROL!$C$27, 0.0021, 0)</f>
        <v>41.898699999999998</v>
      </c>
      <c r="H150" s="14">
        <f>41.7619 * CHOOSE(CONTROL!$C$9, $D$9, 100%, $F$9) + CHOOSE(CONTROL!$C$27, 0.0021, 0)</f>
        <v>41.763999999999996</v>
      </c>
      <c r="I150" s="14">
        <f>41.7619 * CHOOSE(CONTROL!$C$9, $D$9, 100%, $F$9) + CHOOSE(CONTROL!$C$27, 0.0021, 0)</f>
        <v>41.763999999999996</v>
      </c>
      <c r="J150" s="14">
        <f>41.7619 * CHOOSE(CONTROL!$C$9, $D$9, 100%, $F$9) + CHOOSE(CONTROL!$C$27, 0.0021, 0)</f>
        <v>41.763999999999996</v>
      </c>
      <c r="K150" s="14">
        <f>41.7619 * CHOOSE(CONTROL!$C$9, $D$9, 100%, $F$9) + CHOOSE(CONTROL!$C$27, 0.0021, 0)</f>
        <v>41.763999999999996</v>
      </c>
      <c r="L150" s="14"/>
    </row>
    <row r="151" spans="1:12" ht="15" x14ac:dyDescent="0.2">
      <c r="A151" s="13">
        <v>45505</v>
      </c>
      <c r="B151" s="14">
        <f>42.5165 * CHOOSE(CONTROL!$C$9, $D$9, 100%, $F$9) + CHOOSE(CONTROL!$C$27, 0.0021, 0)</f>
        <v>42.518599999999999</v>
      </c>
      <c r="C151" s="14">
        <f>42.0843 * CHOOSE(CONTROL!$C$9, $D$9, 100%, $F$9) + CHOOSE(CONTROL!$C$27, 0.0021, 0)</f>
        <v>42.086399999999998</v>
      </c>
      <c r="D151" s="14">
        <f>42.0843 * CHOOSE(CONTROL!$C$9, $D$9, 100%, $F$9) + CHOOSE(CONTROL!$C$27, 0.0021, 0)</f>
        <v>42.086399999999998</v>
      </c>
      <c r="E151" s="14">
        <f>41.9476 * CHOOSE(CONTROL!$C$9, $D$9, 100%, $F$9) + CHOOSE(CONTROL!$C$27, 0.0021, 0)</f>
        <v>41.9497</v>
      </c>
      <c r="F151" s="14">
        <f>41.9476 * CHOOSE(CONTROL!$C$9, $D$9, 100%, $F$9) + CHOOSE(CONTROL!$C$27, 0.0021, 0)</f>
        <v>41.9497</v>
      </c>
      <c r="G151" s="14">
        <f>42.219 * CHOOSE(CONTROL!$C$9, $D$9, 100%, $F$9) + CHOOSE(CONTROL!$C$27, 0.0021, 0)</f>
        <v>42.2211</v>
      </c>
      <c r="H151" s="14">
        <f>42.0843 * CHOOSE(CONTROL!$C$9, $D$9, 100%, $F$9) + CHOOSE(CONTROL!$C$27, 0.0021, 0)</f>
        <v>42.086399999999998</v>
      </c>
      <c r="I151" s="14">
        <f>42.0843 * CHOOSE(CONTROL!$C$9, $D$9, 100%, $F$9) + CHOOSE(CONTROL!$C$27, 0.0021, 0)</f>
        <v>42.086399999999998</v>
      </c>
      <c r="J151" s="14">
        <f>42.0843 * CHOOSE(CONTROL!$C$9, $D$9, 100%, $F$9) + CHOOSE(CONTROL!$C$27, 0.0021, 0)</f>
        <v>42.086399999999998</v>
      </c>
      <c r="K151" s="14">
        <f>42.0843 * CHOOSE(CONTROL!$C$9, $D$9, 100%, $F$9) + CHOOSE(CONTROL!$C$27, 0.0021, 0)</f>
        <v>42.086399999999998</v>
      </c>
      <c r="L151" s="14"/>
    </row>
    <row r="152" spans="1:12" ht="15" x14ac:dyDescent="0.2">
      <c r="A152" s="13">
        <v>45536</v>
      </c>
      <c r="B152" s="14">
        <f>43.419 * CHOOSE(CONTROL!$C$9, $D$9, 100%, $F$9) + CHOOSE(CONTROL!$C$27, 0.0021, 0)</f>
        <v>43.421099999999996</v>
      </c>
      <c r="C152" s="14">
        <f>42.9868 * CHOOSE(CONTROL!$C$9, $D$9, 100%, $F$9) + CHOOSE(CONTROL!$C$27, 0.0021, 0)</f>
        <v>42.988900000000001</v>
      </c>
      <c r="D152" s="14">
        <f>42.9868 * CHOOSE(CONTROL!$C$9, $D$9, 100%, $F$9) + CHOOSE(CONTROL!$C$27, 0.0021, 0)</f>
        <v>42.988900000000001</v>
      </c>
      <c r="E152" s="14">
        <f>42.8501 * CHOOSE(CONTROL!$C$9, $D$9, 100%, $F$9) + CHOOSE(CONTROL!$C$27, 0.0021, 0)</f>
        <v>42.852199999999996</v>
      </c>
      <c r="F152" s="14">
        <f>42.8501 * CHOOSE(CONTROL!$C$9, $D$9, 100%, $F$9) + CHOOSE(CONTROL!$C$27, 0.0021, 0)</f>
        <v>42.852199999999996</v>
      </c>
      <c r="G152" s="14">
        <f>43.1215 * CHOOSE(CONTROL!$C$9, $D$9, 100%, $F$9) + CHOOSE(CONTROL!$C$27, 0.0021, 0)</f>
        <v>43.123599999999996</v>
      </c>
      <c r="H152" s="14">
        <f>42.9868 * CHOOSE(CONTROL!$C$9, $D$9, 100%, $F$9) + CHOOSE(CONTROL!$C$27, 0.0021, 0)</f>
        <v>42.988900000000001</v>
      </c>
      <c r="I152" s="14">
        <f>42.9868 * CHOOSE(CONTROL!$C$9, $D$9, 100%, $F$9) + CHOOSE(CONTROL!$C$27, 0.0021, 0)</f>
        <v>42.988900000000001</v>
      </c>
      <c r="J152" s="14">
        <f>42.9868 * CHOOSE(CONTROL!$C$9, $D$9, 100%, $F$9) + CHOOSE(CONTROL!$C$27, 0.0021, 0)</f>
        <v>42.988900000000001</v>
      </c>
      <c r="K152" s="14">
        <f>42.9868 * CHOOSE(CONTROL!$C$9, $D$9, 100%, $F$9) + CHOOSE(CONTROL!$C$27, 0.0021, 0)</f>
        <v>42.988900000000001</v>
      </c>
      <c r="L152" s="14"/>
    </row>
    <row r="153" spans="1:12" ht="15" x14ac:dyDescent="0.2">
      <c r="A153" s="13">
        <v>45566</v>
      </c>
      <c r="B153" s="14">
        <f>44.5434 * CHOOSE(CONTROL!$C$9, $D$9, 100%, $F$9) + CHOOSE(CONTROL!$C$27, 0.0021, 0)</f>
        <v>44.545499999999997</v>
      </c>
      <c r="C153" s="14">
        <f>44.1112 * CHOOSE(CONTROL!$C$9, $D$9, 100%, $F$9) + CHOOSE(CONTROL!$C$27, 0.0021, 0)</f>
        <v>44.113299999999995</v>
      </c>
      <c r="D153" s="14">
        <f>44.1112 * CHOOSE(CONTROL!$C$9, $D$9, 100%, $F$9) + CHOOSE(CONTROL!$C$27, 0.0021, 0)</f>
        <v>44.113299999999995</v>
      </c>
      <c r="E153" s="14">
        <f>43.9745 * CHOOSE(CONTROL!$C$9, $D$9, 100%, $F$9) + CHOOSE(CONTROL!$C$27, 0.0021, 0)</f>
        <v>43.976599999999998</v>
      </c>
      <c r="F153" s="14">
        <f>43.9745 * CHOOSE(CONTROL!$C$9, $D$9, 100%, $F$9) + CHOOSE(CONTROL!$C$27, 0.0021, 0)</f>
        <v>43.976599999999998</v>
      </c>
      <c r="G153" s="14">
        <f>44.2459 * CHOOSE(CONTROL!$C$9, $D$9, 100%, $F$9) + CHOOSE(CONTROL!$C$27, 0.0021, 0)</f>
        <v>44.247999999999998</v>
      </c>
      <c r="H153" s="14">
        <f>44.1112 * CHOOSE(CONTROL!$C$9, $D$9, 100%, $F$9) + CHOOSE(CONTROL!$C$27, 0.0021, 0)</f>
        <v>44.113299999999995</v>
      </c>
      <c r="I153" s="14">
        <f>44.1112 * CHOOSE(CONTROL!$C$9, $D$9, 100%, $F$9) + CHOOSE(CONTROL!$C$27, 0.0021, 0)</f>
        <v>44.113299999999995</v>
      </c>
      <c r="J153" s="14">
        <f>44.1112 * CHOOSE(CONTROL!$C$9, $D$9, 100%, $F$9) + CHOOSE(CONTROL!$C$27, 0.0021, 0)</f>
        <v>44.113299999999995</v>
      </c>
      <c r="K153" s="14">
        <f>44.1112 * CHOOSE(CONTROL!$C$9, $D$9, 100%, $F$9) + CHOOSE(CONTROL!$C$27, 0.0021, 0)</f>
        <v>44.113299999999995</v>
      </c>
      <c r="L153" s="14"/>
    </row>
    <row r="154" spans="1:12" ht="15" x14ac:dyDescent="0.2">
      <c r="A154" s="13">
        <v>45597</v>
      </c>
      <c r="B154" s="14">
        <f>44.7282 * CHOOSE(CONTROL!$C$9, $D$9, 100%, $F$9) + CHOOSE(CONTROL!$C$27, 0.0021, 0)</f>
        <v>44.7303</v>
      </c>
      <c r="C154" s="14">
        <f>44.296 * CHOOSE(CONTROL!$C$9, $D$9, 100%, $F$9) + CHOOSE(CONTROL!$C$27, 0.0021, 0)</f>
        <v>44.298099999999998</v>
      </c>
      <c r="D154" s="14">
        <f>44.296 * CHOOSE(CONTROL!$C$9, $D$9, 100%, $F$9) + CHOOSE(CONTROL!$C$27, 0.0021, 0)</f>
        <v>44.298099999999998</v>
      </c>
      <c r="E154" s="14">
        <f>44.1593 * CHOOSE(CONTROL!$C$9, $D$9, 100%, $F$9) + CHOOSE(CONTROL!$C$27, 0.0021, 0)</f>
        <v>44.1614</v>
      </c>
      <c r="F154" s="14">
        <f>44.1593 * CHOOSE(CONTROL!$C$9, $D$9, 100%, $F$9) + CHOOSE(CONTROL!$C$27, 0.0021, 0)</f>
        <v>44.1614</v>
      </c>
      <c r="G154" s="14">
        <f>44.4307 * CHOOSE(CONTROL!$C$9, $D$9, 100%, $F$9) + CHOOSE(CONTROL!$C$27, 0.0021, 0)</f>
        <v>44.4328</v>
      </c>
      <c r="H154" s="14">
        <f>44.296 * CHOOSE(CONTROL!$C$9, $D$9, 100%, $F$9) + CHOOSE(CONTROL!$C$27, 0.0021, 0)</f>
        <v>44.298099999999998</v>
      </c>
      <c r="I154" s="14">
        <f>44.296 * CHOOSE(CONTROL!$C$9, $D$9, 100%, $F$9) + CHOOSE(CONTROL!$C$27, 0.0021, 0)</f>
        <v>44.298099999999998</v>
      </c>
      <c r="J154" s="14">
        <f>44.296 * CHOOSE(CONTROL!$C$9, $D$9, 100%, $F$9) + CHOOSE(CONTROL!$C$27, 0.0021, 0)</f>
        <v>44.298099999999998</v>
      </c>
      <c r="K154" s="14">
        <f>44.296 * CHOOSE(CONTROL!$C$9, $D$9, 100%, $F$9) + CHOOSE(CONTROL!$C$27, 0.0021, 0)</f>
        <v>44.298099999999998</v>
      </c>
      <c r="L154" s="14"/>
    </row>
    <row r="155" spans="1:12" ht="15" x14ac:dyDescent="0.2">
      <c r="A155" s="13">
        <v>45627</v>
      </c>
      <c r="B155" s="14">
        <f>43.9819 * CHOOSE(CONTROL!$C$9, $D$9, 100%, $F$9) + CHOOSE(CONTROL!$C$27, 0.0021, 0)</f>
        <v>43.984000000000002</v>
      </c>
      <c r="C155" s="14">
        <f>43.5496 * CHOOSE(CONTROL!$C$9, $D$9, 100%, $F$9) + CHOOSE(CONTROL!$C$27, 0.0021, 0)</f>
        <v>43.551699999999997</v>
      </c>
      <c r="D155" s="14">
        <f>43.5496 * CHOOSE(CONTROL!$C$9, $D$9, 100%, $F$9) + CHOOSE(CONTROL!$C$27, 0.0021, 0)</f>
        <v>43.551699999999997</v>
      </c>
      <c r="E155" s="14">
        <f>43.413 * CHOOSE(CONTROL!$C$9, $D$9, 100%, $F$9) + CHOOSE(CONTROL!$C$27, 0.0021, 0)</f>
        <v>43.415099999999995</v>
      </c>
      <c r="F155" s="14">
        <f>43.413 * CHOOSE(CONTROL!$C$9, $D$9, 100%, $F$9) + CHOOSE(CONTROL!$C$27, 0.0021, 0)</f>
        <v>43.415099999999995</v>
      </c>
      <c r="G155" s="14">
        <f>43.6843 * CHOOSE(CONTROL!$C$9, $D$9, 100%, $F$9) + CHOOSE(CONTROL!$C$27, 0.0021, 0)</f>
        <v>43.686399999999999</v>
      </c>
      <c r="H155" s="14">
        <f>43.5496 * CHOOSE(CONTROL!$C$9, $D$9, 100%, $F$9) + CHOOSE(CONTROL!$C$27, 0.0021, 0)</f>
        <v>43.551699999999997</v>
      </c>
      <c r="I155" s="14">
        <f>43.5496 * CHOOSE(CONTROL!$C$9, $D$9, 100%, $F$9) + CHOOSE(CONTROL!$C$27, 0.0021, 0)</f>
        <v>43.551699999999997</v>
      </c>
      <c r="J155" s="14">
        <f>43.5496 * CHOOSE(CONTROL!$C$9, $D$9, 100%, $F$9) + CHOOSE(CONTROL!$C$27, 0.0021, 0)</f>
        <v>43.551699999999997</v>
      </c>
      <c r="K155" s="14">
        <f>43.5496 * CHOOSE(CONTROL!$C$9, $D$9, 100%, $F$9) + CHOOSE(CONTROL!$C$27, 0.0021, 0)</f>
        <v>43.551699999999997</v>
      </c>
      <c r="L155" s="14"/>
    </row>
    <row r="156" spans="1:12" ht="15" x14ac:dyDescent="0.2">
      <c r="A156" s="13">
        <v>45658</v>
      </c>
      <c r="B156" s="14">
        <f>44.4236 * CHOOSE(CONTROL!$C$9, $D$9, 100%, $F$9) + CHOOSE(CONTROL!$C$27, 0.0021, 0)</f>
        <v>44.425699999999999</v>
      </c>
      <c r="C156" s="14">
        <f>43.9913 * CHOOSE(CONTROL!$C$9, $D$9, 100%, $F$9) + CHOOSE(CONTROL!$C$27, 0.0021, 0)</f>
        <v>43.993400000000001</v>
      </c>
      <c r="D156" s="14">
        <f>43.9913 * CHOOSE(CONTROL!$C$9, $D$9, 100%, $F$9) + CHOOSE(CONTROL!$C$27, 0.0021, 0)</f>
        <v>43.993400000000001</v>
      </c>
      <c r="E156" s="14">
        <f>43.8547 * CHOOSE(CONTROL!$C$9, $D$9, 100%, $F$9) + CHOOSE(CONTROL!$C$27, 0.0021, 0)</f>
        <v>43.8568</v>
      </c>
      <c r="F156" s="14">
        <f>43.8547 * CHOOSE(CONTROL!$C$9, $D$9, 100%, $F$9) + CHOOSE(CONTROL!$C$27, 0.0021, 0)</f>
        <v>43.8568</v>
      </c>
      <c r="G156" s="14">
        <f>44.126 * CHOOSE(CONTROL!$C$9, $D$9, 100%, $F$9) + CHOOSE(CONTROL!$C$27, 0.0021, 0)</f>
        <v>44.128099999999996</v>
      </c>
      <c r="H156" s="14">
        <f>43.9913 * CHOOSE(CONTROL!$C$9, $D$9, 100%, $F$9) + CHOOSE(CONTROL!$C$27, 0.0021, 0)</f>
        <v>43.993400000000001</v>
      </c>
      <c r="I156" s="14">
        <f>43.9913 * CHOOSE(CONTROL!$C$9, $D$9, 100%, $F$9) + CHOOSE(CONTROL!$C$27, 0.0021, 0)</f>
        <v>43.993400000000001</v>
      </c>
      <c r="J156" s="14">
        <f>43.9913 * CHOOSE(CONTROL!$C$9, $D$9, 100%, $F$9) + CHOOSE(CONTROL!$C$27, 0.0021, 0)</f>
        <v>43.993400000000001</v>
      </c>
      <c r="K156" s="14">
        <f>43.9913 * CHOOSE(CONTROL!$C$9, $D$9, 100%, $F$9) + CHOOSE(CONTROL!$C$27, 0.0021, 0)</f>
        <v>43.993400000000001</v>
      </c>
      <c r="L156" s="14"/>
    </row>
    <row r="157" spans="1:12" ht="15" x14ac:dyDescent="0.2">
      <c r="A157" s="13">
        <v>45689</v>
      </c>
      <c r="B157" s="14">
        <f>43.3162 * CHOOSE(CONTROL!$C$9, $D$9, 100%, $F$9) + CHOOSE(CONTROL!$C$27, 0.0021, 0)</f>
        <v>43.318300000000001</v>
      </c>
      <c r="C157" s="14">
        <f>42.884 * CHOOSE(CONTROL!$C$9, $D$9, 100%, $F$9) + CHOOSE(CONTROL!$C$27, 0.0021, 0)</f>
        <v>42.886099999999999</v>
      </c>
      <c r="D157" s="14">
        <f>42.884 * CHOOSE(CONTROL!$C$9, $D$9, 100%, $F$9) + CHOOSE(CONTROL!$C$27, 0.0021, 0)</f>
        <v>42.886099999999999</v>
      </c>
      <c r="E157" s="14">
        <f>42.7473 * CHOOSE(CONTROL!$C$9, $D$9, 100%, $F$9) + CHOOSE(CONTROL!$C$27, 0.0021, 0)</f>
        <v>42.749400000000001</v>
      </c>
      <c r="F157" s="14">
        <f>42.7473 * CHOOSE(CONTROL!$C$9, $D$9, 100%, $F$9) + CHOOSE(CONTROL!$C$27, 0.0021, 0)</f>
        <v>42.749400000000001</v>
      </c>
      <c r="G157" s="14">
        <f>43.0187 * CHOOSE(CONTROL!$C$9, $D$9, 100%, $F$9) + CHOOSE(CONTROL!$C$27, 0.0021, 0)</f>
        <v>43.020800000000001</v>
      </c>
      <c r="H157" s="14">
        <f>42.884 * CHOOSE(CONTROL!$C$9, $D$9, 100%, $F$9) + CHOOSE(CONTROL!$C$27, 0.0021, 0)</f>
        <v>42.886099999999999</v>
      </c>
      <c r="I157" s="14">
        <f>42.884 * CHOOSE(CONTROL!$C$9, $D$9, 100%, $F$9) + CHOOSE(CONTROL!$C$27, 0.0021, 0)</f>
        <v>42.886099999999999</v>
      </c>
      <c r="J157" s="14">
        <f>42.884 * CHOOSE(CONTROL!$C$9, $D$9, 100%, $F$9) + CHOOSE(CONTROL!$C$27, 0.0021, 0)</f>
        <v>42.886099999999999</v>
      </c>
      <c r="K157" s="14">
        <f>42.884 * CHOOSE(CONTROL!$C$9, $D$9, 100%, $F$9) + CHOOSE(CONTROL!$C$27, 0.0021, 0)</f>
        <v>42.886099999999999</v>
      </c>
      <c r="L157" s="14"/>
    </row>
    <row r="158" spans="1:12" ht="15" x14ac:dyDescent="0.2">
      <c r="A158" s="13">
        <v>45717</v>
      </c>
      <c r="B158" s="14">
        <f>42.9067 * CHOOSE(CONTROL!$C$9, $D$9, 100%, $F$9) + CHOOSE(CONTROL!$C$27, 0.0021, 0)</f>
        <v>42.908799999999999</v>
      </c>
      <c r="C158" s="14">
        <f>42.4745 * CHOOSE(CONTROL!$C$9, $D$9, 100%, $F$9) + CHOOSE(CONTROL!$C$27, 0.0021, 0)</f>
        <v>42.476599999999998</v>
      </c>
      <c r="D158" s="14">
        <f>42.4745 * CHOOSE(CONTROL!$C$9, $D$9, 100%, $F$9) + CHOOSE(CONTROL!$C$27, 0.0021, 0)</f>
        <v>42.476599999999998</v>
      </c>
      <c r="E158" s="14">
        <f>42.3378 * CHOOSE(CONTROL!$C$9, $D$9, 100%, $F$9) + CHOOSE(CONTROL!$C$27, 0.0021, 0)</f>
        <v>42.3399</v>
      </c>
      <c r="F158" s="14">
        <f>42.3378 * CHOOSE(CONTROL!$C$9, $D$9, 100%, $F$9) + CHOOSE(CONTROL!$C$27, 0.0021, 0)</f>
        <v>42.3399</v>
      </c>
      <c r="G158" s="14">
        <f>42.6092 * CHOOSE(CONTROL!$C$9, $D$9, 100%, $F$9) + CHOOSE(CONTROL!$C$27, 0.0021, 0)</f>
        <v>42.6113</v>
      </c>
      <c r="H158" s="14">
        <f>42.4745 * CHOOSE(CONTROL!$C$9, $D$9, 100%, $F$9) + CHOOSE(CONTROL!$C$27, 0.0021, 0)</f>
        <v>42.476599999999998</v>
      </c>
      <c r="I158" s="14">
        <f>42.4745 * CHOOSE(CONTROL!$C$9, $D$9, 100%, $F$9) + CHOOSE(CONTROL!$C$27, 0.0021, 0)</f>
        <v>42.476599999999998</v>
      </c>
      <c r="J158" s="14">
        <f>42.4745 * CHOOSE(CONTROL!$C$9, $D$9, 100%, $F$9) + CHOOSE(CONTROL!$C$27, 0.0021, 0)</f>
        <v>42.476599999999998</v>
      </c>
      <c r="K158" s="14">
        <f>42.4745 * CHOOSE(CONTROL!$C$9, $D$9, 100%, $F$9) + CHOOSE(CONTROL!$C$27, 0.0021, 0)</f>
        <v>42.476599999999998</v>
      </c>
      <c r="L158" s="14"/>
    </row>
    <row r="159" spans="1:12" ht="15" x14ac:dyDescent="0.2">
      <c r="A159" s="13">
        <v>45748</v>
      </c>
      <c r="B159" s="14">
        <f>42.3994 * CHOOSE(CONTROL!$C$9, $D$9, 100%, $F$9) + CHOOSE(CONTROL!$C$27, 0.0021, 0)</f>
        <v>42.401499999999999</v>
      </c>
      <c r="C159" s="14">
        <f>41.9671 * CHOOSE(CONTROL!$C$9, $D$9, 100%, $F$9) + CHOOSE(CONTROL!$C$27, 0.0021, 0)</f>
        <v>41.969200000000001</v>
      </c>
      <c r="D159" s="14">
        <f>41.9671 * CHOOSE(CONTROL!$C$9, $D$9, 100%, $F$9) + CHOOSE(CONTROL!$C$27, 0.0021, 0)</f>
        <v>41.969200000000001</v>
      </c>
      <c r="E159" s="14">
        <f>41.8305 * CHOOSE(CONTROL!$C$9, $D$9, 100%, $F$9) + CHOOSE(CONTROL!$C$27, 0.0021, 0)</f>
        <v>41.832599999999999</v>
      </c>
      <c r="F159" s="14">
        <f>41.8305 * CHOOSE(CONTROL!$C$9, $D$9, 100%, $F$9) + CHOOSE(CONTROL!$C$27, 0.0021, 0)</f>
        <v>41.832599999999999</v>
      </c>
      <c r="G159" s="14">
        <f>42.1019 * CHOOSE(CONTROL!$C$9, $D$9, 100%, $F$9) + CHOOSE(CONTROL!$C$27, 0.0021, 0)</f>
        <v>42.103999999999999</v>
      </c>
      <c r="H159" s="14">
        <f>41.9671 * CHOOSE(CONTROL!$C$9, $D$9, 100%, $F$9) + CHOOSE(CONTROL!$C$27, 0.0021, 0)</f>
        <v>41.969200000000001</v>
      </c>
      <c r="I159" s="14">
        <f>41.9671 * CHOOSE(CONTROL!$C$9, $D$9, 100%, $F$9) + CHOOSE(CONTROL!$C$27, 0.0021, 0)</f>
        <v>41.969200000000001</v>
      </c>
      <c r="J159" s="14">
        <f>41.9671 * CHOOSE(CONTROL!$C$9, $D$9, 100%, $F$9) + CHOOSE(CONTROL!$C$27, 0.0021, 0)</f>
        <v>41.969200000000001</v>
      </c>
      <c r="K159" s="14">
        <f>41.9671 * CHOOSE(CONTROL!$C$9, $D$9, 100%, $F$9) + CHOOSE(CONTROL!$C$27, 0.0021, 0)</f>
        <v>41.969200000000001</v>
      </c>
      <c r="L159" s="14"/>
    </row>
    <row r="160" spans="1:12" ht="15" x14ac:dyDescent="0.2">
      <c r="A160" s="13">
        <v>45778</v>
      </c>
      <c r="B160" s="14">
        <f>43.326 * CHOOSE(CONTROL!$C$9, $D$9, 100%, $F$9) + CHOOSE(CONTROL!$C$27, 0.0021, 0)</f>
        <v>43.328099999999999</v>
      </c>
      <c r="C160" s="14">
        <f>42.8938 * CHOOSE(CONTROL!$C$9, $D$9, 100%, $F$9) + CHOOSE(CONTROL!$C$27, 0.0021, 0)</f>
        <v>42.895899999999997</v>
      </c>
      <c r="D160" s="14">
        <f>42.8938 * CHOOSE(CONTROL!$C$9, $D$9, 100%, $F$9) + CHOOSE(CONTROL!$C$27, 0.0021, 0)</f>
        <v>42.895899999999997</v>
      </c>
      <c r="E160" s="14">
        <f>42.7571 * CHOOSE(CONTROL!$C$9, $D$9, 100%, $F$9) + CHOOSE(CONTROL!$C$27, 0.0021, 0)</f>
        <v>42.7592</v>
      </c>
      <c r="F160" s="14">
        <f>42.7571 * CHOOSE(CONTROL!$C$9, $D$9, 100%, $F$9) + CHOOSE(CONTROL!$C$27, 0.0021, 0)</f>
        <v>42.7592</v>
      </c>
      <c r="G160" s="14">
        <f>43.0285 * CHOOSE(CONTROL!$C$9, $D$9, 100%, $F$9) + CHOOSE(CONTROL!$C$27, 0.0021, 0)</f>
        <v>43.0306</v>
      </c>
      <c r="H160" s="14">
        <f>42.8938 * CHOOSE(CONTROL!$C$9, $D$9, 100%, $F$9) + CHOOSE(CONTROL!$C$27, 0.0021, 0)</f>
        <v>42.895899999999997</v>
      </c>
      <c r="I160" s="14">
        <f>42.8938 * CHOOSE(CONTROL!$C$9, $D$9, 100%, $F$9) + CHOOSE(CONTROL!$C$27, 0.0021, 0)</f>
        <v>42.895899999999997</v>
      </c>
      <c r="J160" s="14">
        <f>42.8938 * CHOOSE(CONTROL!$C$9, $D$9, 100%, $F$9) + CHOOSE(CONTROL!$C$27, 0.0021, 0)</f>
        <v>42.895899999999997</v>
      </c>
      <c r="K160" s="14">
        <f>42.8938 * CHOOSE(CONTROL!$C$9, $D$9, 100%, $F$9) + CHOOSE(CONTROL!$C$27, 0.0021, 0)</f>
        <v>42.895899999999997</v>
      </c>
      <c r="L160" s="14"/>
    </row>
    <row r="161" spans="1:12" ht="15" x14ac:dyDescent="0.2">
      <c r="A161" s="13">
        <v>45809</v>
      </c>
      <c r="B161" s="14">
        <f>43.9171 * CHOOSE(CONTROL!$C$9, $D$9, 100%, $F$9) + CHOOSE(CONTROL!$C$27, 0.0021, 0)</f>
        <v>43.919199999999996</v>
      </c>
      <c r="C161" s="14">
        <f>43.4848 * CHOOSE(CONTROL!$C$9, $D$9, 100%, $F$9) + CHOOSE(CONTROL!$C$27, 0.0021, 0)</f>
        <v>43.486899999999999</v>
      </c>
      <c r="D161" s="14">
        <f>43.4848 * CHOOSE(CONTROL!$C$9, $D$9, 100%, $F$9) + CHOOSE(CONTROL!$C$27, 0.0021, 0)</f>
        <v>43.486899999999999</v>
      </c>
      <c r="E161" s="14">
        <f>43.3482 * CHOOSE(CONTROL!$C$9, $D$9, 100%, $F$9) + CHOOSE(CONTROL!$C$27, 0.0021, 0)</f>
        <v>43.350299999999997</v>
      </c>
      <c r="F161" s="14">
        <f>43.3482 * CHOOSE(CONTROL!$C$9, $D$9, 100%, $F$9) + CHOOSE(CONTROL!$C$27, 0.0021, 0)</f>
        <v>43.350299999999997</v>
      </c>
      <c r="G161" s="14">
        <f>43.6196 * CHOOSE(CONTROL!$C$9, $D$9, 100%, $F$9) + CHOOSE(CONTROL!$C$27, 0.0021, 0)</f>
        <v>43.621699999999997</v>
      </c>
      <c r="H161" s="14">
        <f>43.4848 * CHOOSE(CONTROL!$C$9, $D$9, 100%, $F$9) + CHOOSE(CONTROL!$C$27, 0.0021, 0)</f>
        <v>43.486899999999999</v>
      </c>
      <c r="I161" s="14">
        <f>43.4848 * CHOOSE(CONTROL!$C$9, $D$9, 100%, $F$9) + CHOOSE(CONTROL!$C$27, 0.0021, 0)</f>
        <v>43.486899999999999</v>
      </c>
      <c r="J161" s="14">
        <f>43.4848 * CHOOSE(CONTROL!$C$9, $D$9, 100%, $F$9) + CHOOSE(CONTROL!$C$27, 0.0021, 0)</f>
        <v>43.486899999999999</v>
      </c>
      <c r="K161" s="14">
        <f>43.4848 * CHOOSE(CONTROL!$C$9, $D$9, 100%, $F$9) + CHOOSE(CONTROL!$C$27, 0.0021, 0)</f>
        <v>43.486899999999999</v>
      </c>
      <c r="L161" s="14"/>
    </row>
    <row r="162" spans="1:12" ht="15" x14ac:dyDescent="0.2">
      <c r="A162" s="13">
        <v>45839</v>
      </c>
      <c r="B162" s="14">
        <f>44.8402 * CHOOSE(CONTROL!$C$9, $D$9, 100%, $F$9) + CHOOSE(CONTROL!$C$27, 0.0021, 0)</f>
        <v>44.842300000000002</v>
      </c>
      <c r="C162" s="14">
        <f>44.4079 * CHOOSE(CONTROL!$C$9, $D$9, 100%, $F$9) + CHOOSE(CONTROL!$C$27, 0.0021, 0)</f>
        <v>44.41</v>
      </c>
      <c r="D162" s="14">
        <f>44.4079 * CHOOSE(CONTROL!$C$9, $D$9, 100%, $F$9) + CHOOSE(CONTROL!$C$27, 0.0021, 0)</f>
        <v>44.41</v>
      </c>
      <c r="E162" s="14">
        <f>44.2713 * CHOOSE(CONTROL!$C$9, $D$9, 100%, $F$9) + CHOOSE(CONTROL!$C$27, 0.0021, 0)</f>
        <v>44.273399999999995</v>
      </c>
      <c r="F162" s="14">
        <f>44.2713 * CHOOSE(CONTROL!$C$9, $D$9, 100%, $F$9) + CHOOSE(CONTROL!$C$27, 0.0021, 0)</f>
        <v>44.273399999999995</v>
      </c>
      <c r="G162" s="14">
        <f>44.5427 * CHOOSE(CONTROL!$C$9, $D$9, 100%, $F$9) + CHOOSE(CONTROL!$C$27, 0.0021, 0)</f>
        <v>44.544800000000002</v>
      </c>
      <c r="H162" s="14">
        <f>44.4079 * CHOOSE(CONTROL!$C$9, $D$9, 100%, $F$9) + CHOOSE(CONTROL!$C$27, 0.0021, 0)</f>
        <v>44.41</v>
      </c>
      <c r="I162" s="14">
        <f>44.4079 * CHOOSE(CONTROL!$C$9, $D$9, 100%, $F$9) + CHOOSE(CONTROL!$C$27, 0.0021, 0)</f>
        <v>44.41</v>
      </c>
      <c r="J162" s="14">
        <f>44.4079 * CHOOSE(CONTROL!$C$9, $D$9, 100%, $F$9) + CHOOSE(CONTROL!$C$27, 0.0021, 0)</f>
        <v>44.41</v>
      </c>
      <c r="K162" s="14">
        <f>44.4079 * CHOOSE(CONTROL!$C$9, $D$9, 100%, $F$9) + CHOOSE(CONTROL!$C$27, 0.0021, 0)</f>
        <v>44.41</v>
      </c>
      <c r="L162" s="14"/>
    </row>
    <row r="163" spans="1:12" ht="15" x14ac:dyDescent="0.2">
      <c r="A163" s="13">
        <v>45870</v>
      </c>
      <c r="B163" s="14">
        <f>45.184 * CHOOSE(CONTROL!$C$9, $D$9, 100%, $F$9) + CHOOSE(CONTROL!$C$27, 0.0021, 0)</f>
        <v>45.186099999999996</v>
      </c>
      <c r="C163" s="14">
        <f>44.7517 * CHOOSE(CONTROL!$C$9, $D$9, 100%, $F$9) + CHOOSE(CONTROL!$C$27, 0.0021, 0)</f>
        <v>44.753799999999998</v>
      </c>
      <c r="D163" s="14">
        <f>44.7517 * CHOOSE(CONTROL!$C$9, $D$9, 100%, $F$9) + CHOOSE(CONTROL!$C$27, 0.0021, 0)</f>
        <v>44.753799999999998</v>
      </c>
      <c r="E163" s="14">
        <f>44.615 * CHOOSE(CONTROL!$C$9, $D$9, 100%, $F$9) + CHOOSE(CONTROL!$C$27, 0.0021, 0)</f>
        <v>44.617100000000001</v>
      </c>
      <c r="F163" s="14">
        <f>44.615 * CHOOSE(CONTROL!$C$9, $D$9, 100%, $F$9) + CHOOSE(CONTROL!$C$27, 0.0021, 0)</f>
        <v>44.617100000000001</v>
      </c>
      <c r="G163" s="14">
        <f>44.8864 * CHOOSE(CONTROL!$C$9, $D$9, 100%, $F$9) + CHOOSE(CONTROL!$C$27, 0.0021, 0)</f>
        <v>44.888500000000001</v>
      </c>
      <c r="H163" s="14">
        <f>44.7517 * CHOOSE(CONTROL!$C$9, $D$9, 100%, $F$9) + CHOOSE(CONTROL!$C$27, 0.0021, 0)</f>
        <v>44.753799999999998</v>
      </c>
      <c r="I163" s="14">
        <f>44.7517 * CHOOSE(CONTROL!$C$9, $D$9, 100%, $F$9) + CHOOSE(CONTROL!$C$27, 0.0021, 0)</f>
        <v>44.753799999999998</v>
      </c>
      <c r="J163" s="14">
        <f>44.7517 * CHOOSE(CONTROL!$C$9, $D$9, 100%, $F$9) + CHOOSE(CONTROL!$C$27, 0.0021, 0)</f>
        <v>44.753799999999998</v>
      </c>
      <c r="K163" s="14">
        <f>44.7517 * CHOOSE(CONTROL!$C$9, $D$9, 100%, $F$9) + CHOOSE(CONTROL!$C$27, 0.0021, 0)</f>
        <v>44.753799999999998</v>
      </c>
      <c r="L163" s="14"/>
    </row>
    <row r="164" spans="1:12" ht="15" x14ac:dyDescent="0.2">
      <c r="A164" s="13">
        <v>45901</v>
      </c>
      <c r="B164" s="14">
        <f>46.1463 * CHOOSE(CONTROL!$C$9, $D$9, 100%, $F$9) + CHOOSE(CONTROL!$C$27, 0.0021, 0)</f>
        <v>46.148399999999995</v>
      </c>
      <c r="C164" s="14">
        <f>45.7141 * CHOOSE(CONTROL!$C$9, $D$9, 100%, $F$9) + CHOOSE(CONTROL!$C$27, 0.0021, 0)</f>
        <v>45.716200000000001</v>
      </c>
      <c r="D164" s="14">
        <f>45.7141 * CHOOSE(CONTROL!$C$9, $D$9, 100%, $F$9) + CHOOSE(CONTROL!$C$27, 0.0021, 0)</f>
        <v>45.716200000000001</v>
      </c>
      <c r="E164" s="14">
        <f>45.5774 * CHOOSE(CONTROL!$C$9, $D$9, 100%, $F$9) + CHOOSE(CONTROL!$C$27, 0.0021, 0)</f>
        <v>45.579499999999996</v>
      </c>
      <c r="F164" s="14">
        <f>45.5774 * CHOOSE(CONTROL!$C$9, $D$9, 100%, $F$9) + CHOOSE(CONTROL!$C$27, 0.0021, 0)</f>
        <v>45.579499999999996</v>
      </c>
      <c r="G164" s="14">
        <f>45.8488 * CHOOSE(CONTROL!$C$9, $D$9, 100%, $F$9) + CHOOSE(CONTROL!$C$27, 0.0021, 0)</f>
        <v>45.850899999999996</v>
      </c>
      <c r="H164" s="14">
        <f>45.7141 * CHOOSE(CONTROL!$C$9, $D$9, 100%, $F$9) + CHOOSE(CONTROL!$C$27, 0.0021, 0)</f>
        <v>45.716200000000001</v>
      </c>
      <c r="I164" s="14">
        <f>45.7141 * CHOOSE(CONTROL!$C$9, $D$9, 100%, $F$9) + CHOOSE(CONTROL!$C$27, 0.0021, 0)</f>
        <v>45.716200000000001</v>
      </c>
      <c r="J164" s="14">
        <f>45.7141 * CHOOSE(CONTROL!$C$9, $D$9, 100%, $F$9) + CHOOSE(CONTROL!$C$27, 0.0021, 0)</f>
        <v>45.716200000000001</v>
      </c>
      <c r="K164" s="14">
        <f>45.7141 * CHOOSE(CONTROL!$C$9, $D$9, 100%, $F$9) + CHOOSE(CONTROL!$C$27, 0.0021, 0)</f>
        <v>45.716200000000001</v>
      </c>
      <c r="L164" s="14"/>
    </row>
    <row r="165" spans="1:12" ht="15" x14ac:dyDescent="0.2">
      <c r="A165" s="13">
        <v>45931</v>
      </c>
      <c r="B165" s="14">
        <f>47.3452 * CHOOSE(CONTROL!$C$9, $D$9, 100%, $F$9) + CHOOSE(CONTROL!$C$27, 0.0021, 0)</f>
        <v>47.347299999999997</v>
      </c>
      <c r="C165" s="14">
        <f>46.913 * CHOOSE(CONTROL!$C$9, $D$9, 100%, $F$9) + CHOOSE(CONTROL!$C$27, 0.0021, 0)</f>
        <v>46.915099999999995</v>
      </c>
      <c r="D165" s="14">
        <f>46.913 * CHOOSE(CONTROL!$C$9, $D$9, 100%, $F$9) + CHOOSE(CONTROL!$C$27, 0.0021, 0)</f>
        <v>46.915099999999995</v>
      </c>
      <c r="E165" s="14">
        <f>46.7763 * CHOOSE(CONTROL!$C$9, $D$9, 100%, $F$9) + CHOOSE(CONTROL!$C$27, 0.0021, 0)</f>
        <v>46.778399999999998</v>
      </c>
      <c r="F165" s="14">
        <f>46.7763 * CHOOSE(CONTROL!$C$9, $D$9, 100%, $F$9) + CHOOSE(CONTROL!$C$27, 0.0021, 0)</f>
        <v>46.778399999999998</v>
      </c>
      <c r="G165" s="14">
        <f>47.0477 * CHOOSE(CONTROL!$C$9, $D$9, 100%, $F$9) + CHOOSE(CONTROL!$C$27, 0.0021, 0)</f>
        <v>47.049799999999998</v>
      </c>
      <c r="H165" s="14">
        <f>46.913 * CHOOSE(CONTROL!$C$9, $D$9, 100%, $F$9) + CHOOSE(CONTROL!$C$27, 0.0021, 0)</f>
        <v>46.915099999999995</v>
      </c>
      <c r="I165" s="14">
        <f>46.913 * CHOOSE(CONTROL!$C$9, $D$9, 100%, $F$9) + CHOOSE(CONTROL!$C$27, 0.0021, 0)</f>
        <v>46.915099999999995</v>
      </c>
      <c r="J165" s="14">
        <f>46.913 * CHOOSE(CONTROL!$C$9, $D$9, 100%, $F$9) + CHOOSE(CONTROL!$C$27, 0.0021, 0)</f>
        <v>46.915099999999995</v>
      </c>
      <c r="K165" s="14">
        <f>46.913 * CHOOSE(CONTROL!$C$9, $D$9, 100%, $F$9) + CHOOSE(CONTROL!$C$27, 0.0021, 0)</f>
        <v>46.915099999999995</v>
      </c>
      <c r="L165" s="14"/>
    </row>
    <row r="166" spans="1:12" ht="15" x14ac:dyDescent="0.2">
      <c r="A166" s="13">
        <v>45962</v>
      </c>
      <c r="B166" s="14">
        <f>47.5423 * CHOOSE(CONTROL!$C$9, $D$9, 100%, $F$9) + CHOOSE(CONTROL!$C$27, 0.0021, 0)</f>
        <v>47.544399999999996</v>
      </c>
      <c r="C166" s="14">
        <f>47.1101 * CHOOSE(CONTROL!$C$9, $D$9, 100%, $F$9) + CHOOSE(CONTROL!$C$27, 0.0021, 0)</f>
        <v>47.112200000000001</v>
      </c>
      <c r="D166" s="14">
        <f>47.1101 * CHOOSE(CONTROL!$C$9, $D$9, 100%, $F$9) + CHOOSE(CONTROL!$C$27, 0.0021, 0)</f>
        <v>47.112200000000001</v>
      </c>
      <c r="E166" s="14">
        <f>46.9734 * CHOOSE(CONTROL!$C$9, $D$9, 100%, $F$9) + CHOOSE(CONTROL!$C$27, 0.0021, 0)</f>
        <v>46.975499999999997</v>
      </c>
      <c r="F166" s="14">
        <f>46.9734 * CHOOSE(CONTROL!$C$9, $D$9, 100%, $F$9) + CHOOSE(CONTROL!$C$27, 0.0021, 0)</f>
        <v>46.975499999999997</v>
      </c>
      <c r="G166" s="14">
        <f>47.2448 * CHOOSE(CONTROL!$C$9, $D$9, 100%, $F$9) + CHOOSE(CONTROL!$C$27, 0.0021, 0)</f>
        <v>47.246899999999997</v>
      </c>
      <c r="H166" s="14">
        <f>47.1101 * CHOOSE(CONTROL!$C$9, $D$9, 100%, $F$9) + CHOOSE(CONTROL!$C$27, 0.0021, 0)</f>
        <v>47.112200000000001</v>
      </c>
      <c r="I166" s="14">
        <f>47.1101 * CHOOSE(CONTROL!$C$9, $D$9, 100%, $F$9) + CHOOSE(CONTROL!$C$27, 0.0021, 0)</f>
        <v>47.112200000000001</v>
      </c>
      <c r="J166" s="14">
        <f>47.1101 * CHOOSE(CONTROL!$C$9, $D$9, 100%, $F$9) + CHOOSE(CONTROL!$C$27, 0.0021, 0)</f>
        <v>47.112200000000001</v>
      </c>
      <c r="K166" s="14">
        <f>47.1101 * CHOOSE(CONTROL!$C$9, $D$9, 100%, $F$9) + CHOOSE(CONTROL!$C$27, 0.0021, 0)</f>
        <v>47.112200000000001</v>
      </c>
      <c r="L166" s="14"/>
    </row>
    <row r="167" spans="1:12" ht="15" x14ac:dyDescent="0.2">
      <c r="A167" s="13">
        <v>45992</v>
      </c>
      <c r="B167" s="14">
        <f>46.7465 * CHOOSE(CONTROL!$C$9, $D$9, 100%, $F$9) + CHOOSE(CONTROL!$C$27, 0.0021, 0)</f>
        <v>46.748599999999996</v>
      </c>
      <c r="C167" s="14">
        <f>46.3142 * CHOOSE(CONTROL!$C$9, $D$9, 100%, $F$9) + CHOOSE(CONTROL!$C$27, 0.0021, 0)</f>
        <v>46.316299999999998</v>
      </c>
      <c r="D167" s="14">
        <f>46.3142 * CHOOSE(CONTROL!$C$9, $D$9, 100%, $F$9) + CHOOSE(CONTROL!$C$27, 0.0021, 0)</f>
        <v>46.316299999999998</v>
      </c>
      <c r="E167" s="14">
        <f>46.1776 * CHOOSE(CONTROL!$C$9, $D$9, 100%, $F$9) + CHOOSE(CONTROL!$C$27, 0.0021, 0)</f>
        <v>46.179699999999997</v>
      </c>
      <c r="F167" s="14">
        <f>46.1776 * CHOOSE(CONTROL!$C$9, $D$9, 100%, $F$9) + CHOOSE(CONTROL!$C$27, 0.0021, 0)</f>
        <v>46.179699999999997</v>
      </c>
      <c r="G167" s="14">
        <f>46.4489 * CHOOSE(CONTROL!$C$9, $D$9, 100%, $F$9) + CHOOSE(CONTROL!$C$27, 0.0021, 0)</f>
        <v>46.451000000000001</v>
      </c>
      <c r="H167" s="14">
        <f>46.3142 * CHOOSE(CONTROL!$C$9, $D$9, 100%, $F$9) + CHOOSE(CONTROL!$C$27, 0.0021, 0)</f>
        <v>46.316299999999998</v>
      </c>
      <c r="I167" s="14">
        <f>46.3142 * CHOOSE(CONTROL!$C$9, $D$9, 100%, $F$9) + CHOOSE(CONTROL!$C$27, 0.0021, 0)</f>
        <v>46.316299999999998</v>
      </c>
      <c r="J167" s="14">
        <f>46.3142 * CHOOSE(CONTROL!$C$9, $D$9, 100%, $F$9) + CHOOSE(CONTROL!$C$27, 0.0021, 0)</f>
        <v>46.316299999999998</v>
      </c>
      <c r="K167" s="14">
        <f>46.3142 * CHOOSE(CONTROL!$C$9, $D$9, 100%, $F$9) + CHOOSE(CONTROL!$C$27, 0.0021, 0)</f>
        <v>46.316299999999998</v>
      </c>
      <c r="L167" s="14"/>
    </row>
    <row r="168" spans="1:12" ht="15" x14ac:dyDescent="0.2">
      <c r="A168" s="13">
        <v>46023</v>
      </c>
      <c r="B168" s="14">
        <f>46.3912 * CHOOSE(CONTROL!$C$9, $D$9, 100%, $F$9) + CHOOSE(CONTROL!$C$27, 0.0021, 0)</f>
        <v>46.393299999999996</v>
      </c>
      <c r="C168" s="14">
        <f>45.9589 * CHOOSE(CONTROL!$C$9, $D$9, 100%, $F$9) + CHOOSE(CONTROL!$C$27, 0.0021, 0)</f>
        <v>45.960999999999999</v>
      </c>
      <c r="D168" s="14">
        <f>45.9589 * CHOOSE(CONTROL!$C$9, $D$9, 100%, $F$9) + CHOOSE(CONTROL!$C$27, 0.0021, 0)</f>
        <v>45.960999999999999</v>
      </c>
      <c r="E168" s="14">
        <f>45.8223 * CHOOSE(CONTROL!$C$9, $D$9, 100%, $F$9) + CHOOSE(CONTROL!$C$27, 0.0021, 0)</f>
        <v>45.824399999999997</v>
      </c>
      <c r="F168" s="14">
        <f>45.8223 * CHOOSE(CONTROL!$C$9, $D$9, 100%, $F$9) + CHOOSE(CONTROL!$C$27, 0.0021, 0)</f>
        <v>45.824399999999997</v>
      </c>
      <c r="G168" s="14">
        <f>46.0936 * CHOOSE(CONTROL!$C$9, $D$9, 100%, $F$9) + CHOOSE(CONTROL!$C$27, 0.0021, 0)</f>
        <v>46.095700000000001</v>
      </c>
      <c r="H168" s="14">
        <f>45.9589 * CHOOSE(CONTROL!$C$9, $D$9, 100%, $F$9) + CHOOSE(CONTROL!$C$27, 0.0021, 0)</f>
        <v>45.960999999999999</v>
      </c>
      <c r="I168" s="14">
        <f>45.9589 * CHOOSE(CONTROL!$C$9, $D$9, 100%, $F$9) + CHOOSE(CONTROL!$C$27, 0.0021, 0)</f>
        <v>45.960999999999999</v>
      </c>
      <c r="J168" s="14">
        <f>45.9589 * CHOOSE(CONTROL!$C$9, $D$9, 100%, $F$9) + CHOOSE(CONTROL!$C$27, 0.0021, 0)</f>
        <v>45.960999999999999</v>
      </c>
      <c r="K168" s="14">
        <f>45.9589 * CHOOSE(CONTROL!$C$9, $D$9, 100%, $F$9) + CHOOSE(CONTROL!$C$27, 0.0021, 0)</f>
        <v>45.960999999999999</v>
      </c>
      <c r="L168" s="14"/>
    </row>
    <row r="169" spans="1:12" ht="15" x14ac:dyDescent="0.2">
      <c r="A169" s="13">
        <v>46054</v>
      </c>
      <c r="B169" s="14">
        <f>45.2321 * CHOOSE(CONTROL!$C$9, $D$9, 100%, $F$9) + CHOOSE(CONTROL!$C$27, 0.0021, 0)</f>
        <v>45.234200000000001</v>
      </c>
      <c r="C169" s="14">
        <f>44.7998 * CHOOSE(CONTROL!$C$9, $D$9, 100%, $F$9) + CHOOSE(CONTROL!$C$27, 0.0021, 0)</f>
        <v>44.801899999999996</v>
      </c>
      <c r="D169" s="14">
        <f>44.7998 * CHOOSE(CONTROL!$C$9, $D$9, 100%, $F$9) + CHOOSE(CONTROL!$C$27, 0.0021, 0)</f>
        <v>44.801899999999996</v>
      </c>
      <c r="E169" s="14">
        <f>44.6632 * CHOOSE(CONTROL!$C$9, $D$9, 100%, $F$9) + CHOOSE(CONTROL!$C$27, 0.0021, 0)</f>
        <v>44.665300000000002</v>
      </c>
      <c r="F169" s="14">
        <f>44.6632 * CHOOSE(CONTROL!$C$9, $D$9, 100%, $F$9) + CHOOSE(CONTROL!$C$27, 0.0021, 0)</f>
        <v>44.665300000000002</v>
      </c>
      <c r="G169" s="14">
        <f>44.9346 * CHOOSE(CONTROL!$C$9, $D$9, 100%, $F$9) + CHOOSE(CONTROL!$C$27, 0.0021, 0)</f>
        <v>44.936700000000002</v>
      </c>
      <c r="H169" s="14">
        <f>44.7998 * CHOOSE(CONTROL!$C$9, $D$9, 100%, $F$9) + CHOOSE(CONTROL!$C$27, 0.0021, 0)</f>
        <v>44.801899999999996</v>
      </c>
      <c r="I169" s="14">
        <f>44.7998 * CHOOSE(CONTROL!$C$9, $D$9, 100%, $F$9) + CHOOSE(CONTROL!$C$27, 0.0021, 0)</f>
        <v>44.801899999999996</v>
      </c>
      <c r="J169" s="14">
        <f>44.7998 * CHOOSE(CONTROL!$C$9, $D$9, 100%, $F$9) + CHOOSE(CONTROL!$C$27, 0.0021, 0)</f>
        <v>44.801899999999996</v>
      </c>
      <c r="K169" s="14">
        <f>44.7998 * CHOOSE(CONTROL!$C$9, $D$9, 100%, $F$9) + CHOOSE(CONTROL!$C$27, 0.0021, 0)</f>
        <v>44.801899999999996</v>
      </c>
      <c r="L169" s="14"/>
    </row>
    <row r="170" spans="1:12" ht="15" x14ac:dyDescent="0.2">
      <c r="A170" s="13">
        <v>46082</v>
      </c>
      <c r="B170" s="14">
        <f>44.8035 * CHOOSE(CONTROL!$C$9, $D$9, 100%, $F$9) + CHOOSE(CONTROL!$C$27, 0.0021, 0)</f>
        <v>44.805599999999998</v>
      </c>
      <c r="C170" s="14">
        <f>44.3713 * CHOOSE(CONTROL!$C$9, $D$9, 100%, $F$9) + CHOOSE(CONTROL!$C$27, 0.0021, 0)</f>
        <v>44.373399999999997</v>
      </c>
      <c r="D170" s="14">
        <f>44.3713 * CHOOSE(CONTROL!$C$9, $D$9, 100%, $F$9) + CHOOSE(CONTROL!$C$27, 0.0021, 0)</f>
        <v>44.373399999999997</v>
      </c>
      <c r="E170" s="14">
        <f>44.2346 * CHOOSE(CONTROL!$C$9, $D$9, 100%, $F$9) + CHOOSE(CONTROL!$C$27, 0.0021, 0)</f>
        <v>44.236699999999999</v>
      </c>
      <c r="F170" s="14">
        <f>44.2346 * CHOOSE(CONTROL!$C$9, $D$9, 100%, $F$9) + CHOOSE(CONTROL!$C$27, 0.0021, 0)</f>
        <v>44.236699999999999</v>
      </c>
      <c r="G170" s="14">
        <f>44.506 * CHOOSE(CONTROL!$C$9, $D$9, 100%, $F$9) + CHOOSE(CONTROL!$C$27, 0.0021, 0)</f>
        <v>44.508099999999999</v>
      </c>
      <c r="H170" s="14">
        <f>44.3713 * CHOOSE(CONTROL!$C$9, $D$9, 100%, $F$9) + CHOOSE(CONTROL!$C$27, 0.0021, 0)</f>
        <v>44.373399999999997</v>
      </c>
      <c r="I170" s="14">
        <f>44.3713 * CHOOSE(CONTROL!$C$9, $D$9, 100%, $F$9) + CHOOSE(CONTROL!$C$27, 0.0021, 0)</f>
        <v>44.373399999999997</v>
      </c>
      <c r="J170" s="14">
        <f>44.3713 * CHOOSE(CONTROL!$C$9, $D$9, 100%, $F$9) + CHOOSE(CONTROL!$C$27, 0.0021, 0)</f>
        <v>44.373399999999997</v>
      </c>
      <c r="K170" s="14">
        <f>44.3713 * CHOOSE(CONTROL!$C$9, $D$9, 100%, $F$9) + CHOOSE(CONTROL!$C$27, 0.0021, 0)</f>
        <v>44.373399999999997</v>
      </c>
      <c r="L170" s="14"/>
    </row>
    <row r="171" spans="1:12" ht="15" x14ac:dyDescent="0.2">
      <c r="A171" s="13">
        <v>46113</v>
      </c>
      <c r="B171" s="14">
        <f>44.2725 * CHOOSE(CONTROL!$C$9, $D$9, 100%, $F$9) + CHOOSE(CONTROL!$C$27, 0.0021, 0)</f>
        <v>44.2746</v>
      </c>
      <c r="C171" s="14">
        <f>43.8402 * CHOOSE(CONTROL!$C$9, $D$9, 100%, $F$9) + CHOOSE(CONTROL!$C$27, 0.0021, 0)</f>
        <v>43.842300000000002</v>
      </c>
      <c r="D171" s="14">
        <f>43.8402 * CHOOSE(CONTROL!$C$9, $D$9, 100%, $F$9) + CHOOSE(CONTROL!$C$27, 0.0021, 0)</f>
        <v>43.842300000000002</v>
      </c>
      <c r="E171" s="14">
        <f>43.7036 * CHOOSE(CONTROL!$C$9, $D$9, 100%, $F$9) + CHOOSE(CONTROL!$C$27, 0.0021, 0)</f>
        <v>43.7057</v>
      </c>
      <c r="F171" s="14">
        <f>43.7036 * CHOOSE(CONTROL!$C$9, $D$9, 100%, $F$9) + CHOOSE(CONTROL!$C$27, 0.0021, 0)</f>
        <v>43.7057</v>
      </c>
      <c r="G171" s="14">
        <f>43.9749 * CHOOSE(CONTROL!$C$9, $D$9, 100%, $F$9) + CHOOSE(CONTROL!$C$27, 0.0021, 0)</f>
        <v>43.976999999999997</v>
      </c>
      <c r="H171" s="14">
        <f>43.8402 * CHOOSE(CONTROL!$C$9, $D$9, 100%, $F$9) + CHOOSE(CONTROL!$C$27, 0.0021, 0)</f>
        <v>43.842300000000002</v>
      </c>
      <c r="I171" s="14">
        <f>43.8402 * CHOOSE(CONTROL!$C$9, $D$9, 100%, $F$9) + CHOOSE(CONTROL!$C$27, 0.0021, 0)</f>
        <v>43.842300000000002</v>
      </c>
      <c r="J171" s="14">
        <f>43.8402 * CHOOSE(CONTROL!$C$9, $D$9, 100%, $F$9) + CHOOSE(CONTROL!$C$27, 0.0021, 0)</f>
        <v>43.842300000000002</v>
      </c>
      <c r="K171" s="14">
        <f>43.8402 * CHOOSE(CONTROL!$C$9, $D$9, 100%, $F$9) + CHOOSE(CONTROL!$C$27, 0.0021, 0)</f>
        <v>43.842300000000002</v>
      </c>
      <c r="L171" s="14"/>
    </row>
    <row r="172" spans="1:12" ht="15" x14ac:dyDescent="0.2">
      <c r="A172" s="13">
        <v>46143</v>
      </c>
      <c r="B172" s="14">
        <f>45.2423 * CHOOSE(CONTROL!$C$9, $D$9, 100%, $F$9) + CHOOSE(CONTROL!$C$27, 0.0021, 0)</f>
        <v>45.244399999999999</v>
      </c>
      <c r="C172" s="14">
        <f>44.8101 * CHOOSE(CONTROL!$C$9, $D$9, 100%, $F$9) + CHOOSE(CONTROL!$C$27, 0.0021, 0)</f>
        <v>44.812199999999997</v>
      </c>
      <c r="D172" s="14">
        <f>44.8101 * CHOOSE(CONTROL!$C$9, $D$9, 100%, $F$9) + CHOOSE(CONTROL!$C$27, 0.0021, 0)</f>
        <v>44.812199999999997</v>
      </c>
      <c r="E172" s="14">
        <f>44.6734 * CHOOSE(CONTROL!$C$9, $D$9, 100%, $F$9) + CHOOSE(CONTROL!$C$27, 0.0021, 0)</f>
        <v>44.6755</v>
      </c>
      <c r="F172" s="14">
        <f>44.6734 * CHOOSE(CONTROL!$C$9, $D$9, 100%, $F$9) + CHOOSE(CONTROL!$C$27, 0.0021, 0)</f>
        <v>44.6755</v>
      </c>
      <c r="G172" s="14">
        <f>44.9448 * CHOOSE(CONTROL!$C$9, $D$9, 100%, $F$9) + CHOOSE(CONTROL!$C$27, 0.0021, 0)</f>
        <v>44.946899999999999</v>
      </c>
      <c r="H172" s="14">
        <f>44.8101 * CHOOSE(CONTROL!$C$9, $D$9, 100%, $F$9) + CHOOSE(CONTROL!$C$27, 0.0021, 0)</f>
        <v>44.812199999999997</v>
      </c>
      <c r="I172" s="14">
        <f>44.8101 * CHOOSE(CONTROL!$C$9, $D$9, 100%, $F$9) + CHOOSE(CONTROL!$C$27, 0.0021, 0)</f>
        <v>44.812199999999997</v>
      </c>
      <c r="J172" s="14">
        <f>44.8101 * CHOOSE(CONTROL!$C$9, $D$9, 100%, $F$9) + CHOOSE(CONTROL!$C$27, 0.0021, 0)</f>
        <v>44.812199999999997</v>
      </c>
      <c r="K172" s="14">
        <f>44.8101 * CHOOSE(CONTROL!$C$9, $D$9, 100%, $F$9) + CHOOSE(CONTROL!$C$27, 0.0021, 0)</f>
        <v>44.812199999999997</v>
      </c>
      <c r="L172" s="14"/>
    </row>
    <row r="173" spans="1:12" ht="15" x14ac:dyDescent="0.2">
      <c r="A173" s="13">
        <v>46174</v>
      </c>
      <c r="B173" s="14">
        <f>45.861 * CHOOSE(CONTROL!$C$9, $D$9, 100%, $F$9) + CHOOSE(CONTROL!$C$27, 0.0021, 0)</f>
        <v>45.863099999999996</v>
      </c>
      <c r="C173" s="14">
        <f>45.4288 * CHOOSE(CONTROL!$C$9, $D$9, 100%, $F$9) + CHOOSE(CONTROL!$C$27, 0.0021, 0)</f>
        <v>45.430900000000001</v>
      </c>
      <c r="D173" s="14">
        <f>45.4288 * CHOOSE(CONTROL!$C$9, $D$9, 100%, $F$9) + CHOOSE(CONTROL!$C$27, 0.0021, 0)</f>
        <v>45.430900000000001</v>
      </c>
      <c r="E173" s="14">
        <f>45.2921 * CHOOSE(CONTROL!$C$9, $D$9, 100%, $F$9) + CHOOSE(CONTROL!$C$27, 0.0021, 0)</f>
        <v>45.294199999999996</v>
      </c>
      <c r="F173" s="14">
        <f>45.2921 * CHOOSE(CONTROL!$C$9, $D$9, 100%, $F$9) + CHOOSE(CONTROL!$C$27, 0.0021, 0)</f>
        <v>45.294199999999996</v>
      </c>
      <c r="G173" s="14">
        <f>45.5635 * CHOOSE(CONTROL!$C$9, $D$9, 100%, $F$9) + CHOOSE(CONTROL!$C$27, 0.0021, 0)</f>
        <v>45.565599999999996</v>
      </c>
      <c r="H173" s="14">
        <f>45.4288 * CHOOSE(CONTROL!$C$9, $D$9, 100%, $F$9) + CHOOSE(CONTROL!$C$27, 0.0021, 0)</f>
        <v>45.430900000000001</v>
      </c>
      <c r="I173" s="14">
        <f>45.4288 * CHOOSE(CONTROL!$C$9, $D$9, 100%, $F$9) + CHOOSE(CONTROL!$C$27, 0.0021, 0)</f>
        <v>45.430900000000001</v>
      </c>
      <c r="J173" s="14">
        <f>45.4288 * CHOOSE(CONTROL!$C$9, $D$9, 100%, $F$9) + CHOOSE(CONTROL!$C$27, 0.0021, 0)</f>
        <v>45.430900000000001</v>
      </c>
      <c r="K173" s="14">
        <f>45.4288 * CHOOSE(CONTROL!$C$9, $D$9, 100%, $F$9) + CHOOSE(CONTROL!$C$27, 0.0021, 0)</f>
        <v>45.430900000000001</v>
      </c>
      <c r="L173" s="14"/>
    </row>
    <row r="174" spans="1:12" ht="15" x14ac:dyDescent="0.2">
      <c r="A174" s="13">
        <v>46204</v>
      </c>
      <c r="B174" s="14">
        <f>46.8273 * CHOOSE(CONTROL!$C$9, $D$9, 100%, $F$9) + CHOOSE(CONTROL!$C$27, 0.0021, 0)</f>
        <v>46.8294</v>
      </c>
      <c r="C174" s="14">
        <f>46.395 * CHOOSE(CONTROL!$C$9, $D$9, 100%, $F$9) + CHOOSE(CONTROL!$C$27, 0.0021, 0)</f>
        <v>46.397100000000002</v>
      </c>
      <c r="D174" s="14">
        <f>46.395 * CHOOSE(CONTROL!$C$9, $D$9, 100%, $F$9) + CHOOSE(CONTROL!$C$27, 0.0021, 0)</f>
        <v>46.397100000000002</v>
      </c>
      <c r="E174" s="14">
        <f>46.2583 * CHOOSE(CONTROL!$C$9, $D$9, 100%, $F$9) + CHOOSE(CONTROL!$C$27, 0.0021, 0)</f>
        <v>46.260399999999997</v>
      </c>
      <c r="F174" s="14">
        <f>46.2583 * CHOOSE(CONTROL!$C$9, $D$9, 100%, $F$9) + CHOOSE(CONTROL!$C$27, 0.0021, 0)</f>
        <v>46.260399999999997</v>
      </c>
      <c r="G174" s="14">
        <f>46.5297 * CHOOSE(CONTROL!$C$9, $D$9, 100%, $F$9) + CHOOSE(CONTROL!$C$27, 0.0021, 0)</f>
        <v>46.531799999999997</v>
      </c>
      <c r="H174" s="14">
        <f>46.395 * CHOOSE(CONTROL!$C$9, $D$9, 100%, $F$9) + CHOOSE(CONTROL!$C$27, 0.0021, 0)</f>
        <v>46.397100000000002</v>
      </c>
      <c r="I174" s="14">
        <f>46.395 * CHOOSE(CONTROL!$C$9, $D$9, 100%, $F$9) + CHOOSE(CONTROL!$C$27, 0.0021, 0)</f>
        <v>46.397100000000002</v>
      </c>
      <c r="J174" s="14">
        <f>46.395 * CHOOSE(CONTROL!$C$9, $D$9, 100%, $F$9) + CHOOSE(CONTROL!$C$27, 0.0021, 0)</f>
        <v>46.397100000000002</v>
      </c>
      <c r="K174" s="14">
        <f>46.395 * CHOOSE(CONTROL!$C$9, $D$9, 100%, $F$9) + CHOOSE(CONTROL!$C$27, 0.0021, 0)</f>
        <v>46.397100000000002</v>
      </c>
      <c r="L174" s="14"/>
    </row>
    <row r="175" spans="1:12" ht="15" x14ac:dyDescent="0.2">
      <c r="A175" s="13">
        <v>46235</v>
      </c>
      <c r="B175" s="14">
        <f>47.1871 * CHOOSE(CONTROL!$C$9, $D$9, 100%, $F$9) + CHOOSE(CONTROL!$C$27, 0.0021, 0)</f>
        <v>47.1892</v>
      </c>
      <c r="C175" s="14">
        <f>46.7548 * CHOOSE(CONTROL!$C$9, $D$9, 100%, $F$9) + CHOOSE(CONTROL!$C$27, 0.0021, 0)</f>
        <v>46.756900000000002</v>
      </c>
      <c r="D175" s="14">
        <f>46.7548 * CHOOSE(CONTROL!$C$9, $D$9, 100%, $F$9) + CHOOSE(CONTROL!$C$27, 0.0021, 0)</f>
        <v>46.756900000000002</v>
      </c>
      <c r="E175" s="14">
        <f>46.6182 * CHOOSE(CONTROL!$C$9, $D$9, 100%, $F$9) + CHOOSE(CONTROL!$C$27, 0.0021, 0)</f>
        <v>46.6203</v>
      </c>
      <c r="F175" s="14">
        <f>46.6182 * CHOOSE(CONTROL!$C$9, $D$9, 100%, $F$9) + CHOOSE(CONTROL!$C$27, 0.0021, 0)</f>
        <v>46.6203</v>
      </c>
      <c r="G175" s="14">
        <f>46.8895 * CHOOSE(CONTROL!$C$9, $D$9, 100%, $F$9) + CHOOSE(CONTROL!$C$27, 0.0021, 0)</f>
        <v>46.891599999999997</v>
      </c>
      <c r="H175" s="14">
        <f>46.7548 * CHOOSE(CONTROL!$C$9, $D$9, 100%, $F$9) + CHOOSE(CONTROL!$C$27, 0.0021, 0)</f>
        <v>46.756900000000002</v>
      </c>
      <c r="I175" s="14">
        <f>46.7548 * CHOOSE(CONTROL!$C$9, $D$9, 100%, $F$9) + CHOOSE(CONTROL!$C$27, 0.0021, 0)</f>
        <v>46.756900000000002</v>
      </c>
      <c r="J175" s="14">
        <f>46.7548 * CHOOSE(CONTROL!$C$9, $D$9, 100%, $F$9) + CHOOSE(CONTROL!$C$27, 0.0021, 0)</f>
        <v>46.756900000000002</v>
      </c>
      <c r="K175" s="14">
        <f>46.7548 * CHOOSE(CONTROL!$C$9, $D$9, 100%, $F$9) + CHOOSE(CONTROL!$C$27, 0.0021, 0)</f>
        <v>46.756900000000002</v>
      </c>
      <c r="L175" s="14"/>
    </row>
    <row r="176" spans="1:12" ht="15" x14ac:dyDescent="0.2">
      <c r="A176" s="13">
        <v>46266</v>
      </c>
      <c r="B176" s="14">
        <f>48.1944 * CHOOSE(CONTROL!$C$9, $D$9, 100%, $F$9) + CHOOSE(CONTROL!$C$27, 0.0021, 0)</f>
        <v>48.1965</v>
      </c>
      <c r="C176" s="14">
        <f>47.7621 * CHOOSE(CONTROL!$C$9, $D$9, 100%, $F$9) + CHOOSE(CONTROL!$C$27, 0.0021, 0)</f>
        <v>47.764199999999995</v>
      </c>
      <c r="D176" s="14">
        <f>47.7621 * CHOOSE(CONTROL!$C$9, $D$9, 100%, $F$9) + CHOOSE(CONTROL!$C$27, 0.0021, 0)</f>
        <v>47.764199999999995</v>
      </c>
      <c r="E176" s="14">
        <f>47.6254 * CHOOSE(CONTROL!$C$9, $D$9, 100%, $F$9) + CHOOSE(CONTROL!$C$27, 0.0021, 0)</f>
        <v>47.627499999999998</v>
      </c>
      <c r="F176" s="14">
        <f>47.6254 * CHOOSE(CONTROL!$C$9, $D$9, 100%, $F$9) + CHOOSE(CONTROL!$C$27, 0.0021, 0)</f>
        <v>47.627499999999998</v>
      </c>
      <c r="G176" s="14">
        <f>47.8968 * CHOOSE(CONTROL!$C$9, $D$9, 100%, $F$9) + CHOOSE(CONTROL!$C$27, 0.0021, 0)</f>
        <v>47.898899999999998</v>
      </c>
      <c r="H176" s="14">
        <f>47.7621 * CHOOSE(CONTROL!$C$9, $D$9, 100%, $F$9) + CHOOSE(CONTROL!$C$27, 0.0021, 0)</f>
        <v>47.764199999999995</v>
      </c>
      <c r="I176" s="14">
        <f>47.7621 * CHOOSE(CONTROL!$C$9, $D$9, 100%, $F$9) + CHOOSE(CONTROL!$C$27, 0.0021, 0)</f>
        <v>47.764199999999995</v>
      </c>
      <c r="J176" s="14">
        <f>47.7621 * CHOOSE(CONTROL!$C$9, $D$9, 100%, $F$9) + CHOOSE(CONTROL!$C$27, 0.0021, 0)</f>
        <v>47.764199999999995</v>
      </c>
      <c r="K176" s="14">
        <f>47.7621 * CHOOSE(CONTROL!$C$9, $D$9, 100%, $F$9) + CHOOSE(CONTROL!$C$27, 0.0021, 0)</f>
        <v>47.764199999999995</v>
      </c>
      <c r="L176" s="14"/>
    </row>
    <row r="177" spans="1:12" ht="15" x14ac:dyDescent="0.2">
      <c r="A177" s="13">
        <v>46296</v>
      </c>
      <c r="B177" s="14">
        <f>49.4493 * CHOOSE(CONTROL!$C$9, $D$9, 100%, $F$9) + CHOOSE(CONTROL!$C$27, 0.0021, 0)</f>
        <v>49.4514</v>
      </c>
      <c r="C177" s="14">
        <f>49.017 * CHOOSE(CONTROL!$C$9, $D$9, 100%, $F$9) + CHOOSE(CONTROL!$C$27, 0.0021, 0)</f>
        <v>49.019100000000002</v>
      </c>
      <c r="D177" s="14">
        <f>49.017 * CHOOSE(CONTROL!$C$9, $D$9, 100%, $F$9) + CHOOSE(CONTROL!$C$27, 0.0021, 0)</f>
        <v>49.019100000000002</v>
      </c>
      <c r="E177" s="14">
        <f>48.8804 * CHOOSE(CONTROL!$C$9, $D$9, 100%, $F$9) + CHOOSE(CONTROL!$C$27, 0.0021, 0)</f>
        <v>48.8825</v>
      </c>
      <c r="F177" s="14">
        <f>48.8804 * CHOOSE(CONTROL!$C$9, $D$9, 100%, $F$9) + CHOOSE(CONTROL!$C$27, 0.0021, 0)</f>
        <v>48.8825</v>
      </c>
      <c r="G177" s="14">
        <f>49.1518 * CHOOSE(CONTROL!$C$9, $D$9, 100%, $F$9) + CHOOSE(CONTROL!$C$27, 0.0021, 0)</f>
        <v>49.1539</v>
      </c>
      <c r="H177" s="14">
        <f>49.017 * CHOOSE(CONTROL!$C$9, $D$9, 100%, $F$9) + CHOOSE(CONTROL!$C$27, 0.0021, 0)</f>
        <v>49.019100000000002</v>
      </c>
      <c r="I177" s="14">
        <f>49.017 * CHOOSE(CONTROL!$C$9, $D$9, 100%, $F$9) + CHOOSE(CONTROL!$C$27, 0.0021, 0)</f>
        <v>49.019100000000002</v>
      </c>
      <c r="J177" s="14">
        <f>49.017 * CHOOSE(CONTROL!$C$9, $D$9, 100%, $F$9) + CHOOSE(CONTROL!$C$27, 0.0021, 0)</f>
        <v>49.019100000000002</v>
      </c>
      <c r="K177" s="14">
        <f>49.017 * CHOOSE(CONTROL!$C$9, $D$9, 100%, $F$9) + CHOOSE(CONTROL!$C$27, 0.0021, 0)</f>
        <v>49.019100000000002</v>
      </c>
      <c r="L177" s="14"/>
    </row>
    <row r="178" spans="1:12" ht="15" x14ac:dyDescent="0.2">
      <c r="A178" s="13">
        <v>46327</v>
      </c>
      <c r="B178" s="14">
        <f>49.6556 * CHOOSE(CONTROL!$C$9, $D$9, 100%, $F$9) + CHOOSE(CONTROL!$C$27, 0.0021, 0)</f>
        <v>49.657699999999998</v>
      </c>
      <c r="C178" s="14">
        <f>49.2233 * CHOOSE(CONTROL!$C$9, $D$9, 100%, $F$9) + CHOOSE(CONTROL!$C$27, 0.0021, 0)</f>
        <v>49.2254</v>
      </c>
      <c r="D178" s="14">
        <f>49.2233 * CHOOSE(CONTROL!$C$9, $D$9, 100%, $F$9) + CHOOSE(CONTROL!$C$27, 0.0021, 0)</f>
        <v>49.2254</v>
      </c>
      <c r="E178" s="14">
        <f>49.0867 * CHOOSE(CONTROL!$C$9, $D$9, 100%, $F$9) + CHOOSE(CONTROL!$C$27, 0.0021, 0)</f>
        <v>49.088799999999999</v>
      </c>
      <c r="F178" s="14">
        <f>49.0867 * CHOOSE(CONTROL!$C$9, $D$9, 100%, $F$9) + CHOOSE(CONTROL!$C$27, 0.0021, 0)</f>
        <v>49.088799999999999</v>
      </c>
      <c r="G178" s="14">
        <f>49.3581 * CHOOSE(CONTROL!$C$9, $D$9, 100%, $F$9) + CHOOSE(CONTROL!$C$27, 0.0021, 0)</f>
        <v>49.360199999999999</v>
      </c>
      <c r="H178" s="14">
        <f>49.2233 * CHOOSE(CONTROL!$C$9, $D$9, 100%, $F$9) + CHOOSE(CONTROL!$C$27, 0.0021, 0)</f>
        <v>49.2254</v>
      </c>
      <c r="I178" s="14">
        <f>49.2233 * CHOOSE(CONTROL!$C$9, $D$9, 100%, $F$9) + CHOOSE(CONTROL!$C$27, 0.0021, 0)</f>
        <v>49.2254</v>
      </c>
      <c r="J178" s="14">
        <f>49.2233 * CHOOSE(CONTROL!$C$9, $D$9, 100%, $F$9) + CHOOSE(CONTROL!$C$27, 0.0021, 0)</f>
        <v>49.2254</v>
      </c>
      <c r="K178" s="14">
        <f>49.2233 * CHOOSE(CONTROL!$C$9, $D$9, 100%, $F$9) + CHOOSE(CONTROL!$C$27, 0.0021, 0)</f>
        <v>49.2254</v>
      </c>
      <c r="L178" s="14"/>
    </row>
    <row r="179" spans="1:12" ht="15" x14ac:dyDescent="0.2">
      <c r="A179" s="13">
        <v>46357</v>
      </c>
      <c r="B179" s="14">
        <f>48.8225 * CHOOSE(CONTROL!$C$9, $D$9, 100%, $F$9) + CHOOSE(CONTROL!$C$27, 0.0021, 0)</f>
        <v>48.824599999999997</v>
      </c>
      <c r="C179" s="14">
        <f>48.3903 * CHOOSE(CONTROL!$C$9, $D$9, 100%, $F$9) + CHOOSE(CONTROL!$C$27, 0.0021, 0)</f>
        <v>48.392400000000002</v>
      </c>
      <c r="D179" s="14">
        <f>48.3903 * CHOOSE(CONTROL!$C$9, $D$9, 100%, $F$9) + CHOOSE(CONTROL!$C$27, 0.0021, 0)</f>
        <v>48.392400000000002</v>
      </c>
      <c r="E179" s="14">
        <f>48.2536 * CHOOSE(CONTROL!$C$9, $D$9, 100%, $F$9) + CHOOSE(CONTROL!$C$27, 0.0021, 0)</f>
        <v>48.255699999999997</v>
      </c>
      <c r="F179" s="14">
        <f>48.2536 * CHOOSE(CONTROL!$C$9, $D$9, 100%, $F$9) + CHOOSE(CONTROL!$C$27, 0.0021, 0)</f>
        <v>48.255699999999997</v>
      </c>
      <c r="G179" s="14">
        <f>48.525 * CHOOSE(CONTROL!$C$9, $D$9, 100%, $F$9) + CHOOSE(CONTROL!$C$27, 0.0021, 0)</f>
        <v>48.527099999999997</v>
      </c>
      <c r="H179" s="14">
        <f>48.3903 * CHOOSE(CONTROL!$C$9, $D$9, 100%, $F$9) + CHOOSE(CONTROL!$C$27, 0.0021, 0)</f>
        <v>48.392400000000002</v>
      </c>
      <c r="I179" s="14">
        <f>48.3903 * CHOOSE(CONTROL!$C$9, $D$9, 100%, $F$9) + CHOOSE(CONTROL!$C$27, 0.0021, 0)</f>
        <v>48.392400000000002</v>
      </c>
      <c r="J179" s="14">
        <f>48.3903 * CHOOSE(CONTROL!$C$9, $D$9, 100%, $F$9) + CHOOSE(CONTROL!$C$27, 0.0021, 0)</f>
        <v>48.392400000000002</v>
      </c>
      <c r="K179" s="14">
        <f>48.3903 * CHOOSE(CONTROL!$C$9, $D$9, 100%, $F$9) + CHOOSE(CONTROL!$C$27, 0.0021, 0)</f>
        <v>48.392400000000002</v>
      </c>
      <c r="L179" s="14"/>
    </row>
    <row r="180" spans="1:12" ht="15" x14ac:dyDescent="0.2">
      <c r="A180" s="13">
        <v>46388</v>
      </c>
      <c r="B180" s="14">
        <f>48.3954 * CHOOSE(CONTROL!$C$9, $D$9, 100%, $F$9) + CHOOSE(CONTROL!$C$27, 0.0021, 0)</f>
        <v>48.397500000000001</v>
      </c>
      <c r="C180" s="14">
        <f>47.9632 * CHOOSE(CONTROL!$C$9, $D$9, 100%, $F$9) + CHOOSE(CONTROL!$C$27, 0.0021, 0)</f>
        <v>47.965299999999999</v>
      </c>
      <c r="D180" s="14">
        <f>47.9632 * CHOOSE(CONTROL!$C$9, $D$9, 100%, $F$9) + CHOOSE(CONTROL!$C$27, 0.0021, 0)</f>
        <v>47.965299999999999</v>
      </c>
      <c r="E180" s="14">
        <f>47.8265 * CHOOSE(CONTROL!$C$9, $D$9, 100%, $F$9) + CHOOSE(CONTROL!$C$27, 0.0021, 0)</f>
        <v>47.828600000000002</v>
      </c>
      <c r="F180" s="14">
        <f>47.8265 * CHOOSE(CONTROL!$C$9, $D$9, 100%, $F$9) + CHOOSE(CONTROL!$C$27, 0.0021, 0)</f>
        <v>47.828600000000002</v>
      </c>
      <c r="G180" s="14">
        <f>48.0979 * CHOOSE(CONTROL!$C$9, $D$9, 100%, $F$9) + CHOOSE(CONTROL!$C$27, 0.0021, 0)</f>
        <v>48.1</v>
      </c>
      <c r="H180" s="14">
        <f>47.9632 * CHOOSE(CONTROL!$C$9, $D$9, 100%, $F$9) + CHOOSE(CONTROL!$C$27, 0.0021, 0)</f>
        <v>47.965299999999999</v>
      </c>
      <c r="I180" s="14">
        <f>47.9632 * CHOOSE(CONTROL!$C$9, $D$9, 100%, $F$9) + CHOOSE(CONTROL!$C$27, 0.0021, 0)</f>
        <v>47.965299999999999</v>
      </c>
      <c r="J180" s="14">
        <f>47.9632 * CHOOSE(CONTROL!$C$9, $D$9, 100%, $F$9) + CHOOSE(CONTROL!$C$27, 0.0021, 0)</f>
        <v>47.965299999999999</v>
      </c>
      <c r="K180" s="14">
        <f>47.9632 * CHOOSE(CONTROL!$C$9, $D$9, 100%, $F$9) + CHOOSE(CONTROL!$C$27, 0.0021, 0)</f>
        <v>47.965299999999999</v>
      </c>
      <c r="L180" s="14"/>
    </row>
    <row r="181" spans="1:12" ht="15" x14ac:dyDescent="0.2">
      <c r="A181" s="13">
        <v>46419</v>
      </c>
      <c r="B181" s="14">
        <f>47.1836 * CHOOSE(CONTROL!$C$9, $D$9, 100%, $F$9) + CHOOSE(CONTROL!$C$27, 0.0021, 0)</f>
        <v>47.185699999999997</v>
      </c>
      <c r="C181" s="14">
        <f>46.7514 * CHOOSE(CONTROL!$C$9, $D$9, 100%, $F$9) + CHOOSE(CONTROL!$C$27, 0.0021, 0)</f>
        <v>46.753499999999995</v>
      </c>
      <c r="D181" s="14">
        <f>46.7514 * CHOOSE(CONTROL!$C$9, $D$9, 100%, $F$9) + CHOOSE(CONTROL!$C$27, 0.0021, 0)</f>
        <v>46.753499999999995</v>
      </c>
      <c r="E181" s="14">
        <f>46.6147 * CHOOSE(CONTROL!$C$9, $D$9, 100%, $F$9) + CHOOSE(CONTROL!$C$27, 0.0021, 0)</f>
        <v>46.616799999999998</v>
      </c>
      <c r="F181" s="14">
        <f>46.6147 * CHOOSE(CONTROL!$C$9, $D$9, 100%, $F$9) + CHOOSE(CONTROL!$C$27, 0.0021, 0)</f>
        <v>46.616799999999998</v>
      </c>
      <c r="G181" s="14">
        <f>46.8861 * CHOOSE(CONTROL!$C$9, $D$9, 100%, $F$9) + CHOOSE(CONTROL!$C$27, 0.0021, 0)</f>
        <v>46.888199999999998</v>
      </c>
      <c r="H181" s="14">
        <f>46.7514 * CHOOSE(CONTROL!$C$9, $D$9, 100%, $F$9) + CHOOSE(CONTROL!$C$27, 0.0021, 0)</f>
        <v>46.753499999999995</v>
      </c>
      <c r="I181" s="14">
        <f>46.7514 * CHOOSE(CONTROL!$C$9, $D$9, 100%, $F$9) + CHOOSE(CONTROL!$C$27, 0.0021, 0)</f>
        <v>46.753499999999995</v>
      </c>
      <c r="J181" s="14">
        <f>46.7514 * CHOOSE(CONTROL!$C$9, $D$9, 100%, $F$9) + CHOOSE(CONTROL!$C$27, 0.0021, 0)</f>
        <v>46.753499999999995</v>
      </c>
      <c r="K181" s="14">
        <f>46.7514 * CHOOSE(CONTROL!$C$9, $D$9, 100%, $F$9) + CHOOSE(CONTROL!$C$27, 0.0021, 0)</f>
        <v>46.753499999999995</v>
      </c>
      <c r="L181" s="14"/>
    </row>
    <row r="182" spans="1:12" ht="15" x14ac:dyDescent="0.2">
      <c r="A182" s="13">
        <v>46447</v>
      </c>
      <c r="B182" s="14">
        <f>46.7356 * CHOOSE(CONTROL!$C$9, $D$9, 100%, $F$9) + CHOOSE(CONTROL!$C$27, 0.0021, 0)</f>
        <v>46.737699999999997</v>
      </c>
      <c r="C182" s="14">
        <f>46.3033 * CHOOSE(CONTROL!$C$9, $D$9, 100%, $F$9) + CHOOSE(CONTROL!$C$27, 0.0021, 0)</f>
        <v>46.305399999999999</v>
      </c>
      <c r="D182" s="14">
        <f>46.3033 * CHOOSE(CONTROL!$C$9, $D$9, 100%, $F$9) + CHOOSE(CONTROL!$C$27, 0.0021, 0)</f>
        <v>46.305399999999999</v>
      </c>
      <c r="E182" s="14">
        <f>46.1667 * CHOOSE(CONTROL!$C$9, $D$9, 100%, $F$9) + CHOOSE(CONTROL!$C$27, 0.0021, 0)</f>
        <v>46.168799999999997</v>
      </c>
      <c r="F182" s="14">
        <f>46.1667 * CHOOSE(CONTROL!$C$9, $D$9, 100%, $F$9) + CHOOSE(CONTROL!$C$27, 0.0021, 0)</f>
        <v>46.168799999999997</v>
      </c>
      <c r="G182" s="14">
        <f>46.4381 * CHOOSE(CONTROL!$C$9, $D$9, 100%, $F$9) + CHOOSE(CONTROL!$C$27, 0.0021, 0)</f>
        <v>46.440199999999997</v>
      </c>
      <c r="H182" s="14">
        <f>46.3033 * CHOOSE(CONTROL!$C$9, $D$9, 100%, $F$9) + CHOOSE(CONTROL!$C$27, 0.0021, 0)</f>
        <v>46.305399999999999</v>
      </c>
      <c r="I182" s="14">
        <f>46.3033 * CHOOSE(CONTROL!$C$9, $D$9, 100%, $F$9) + CHOOSE(CONTROL!$C$27, 0.0021, 0)</f>
        <v>46.305399999999999</v>
      </c>
      <c r="J182" s="14">
        <f>46.3033 * CHOOSE(CONTROL!$C$9, $D$9, 100%, $F$9) + CHOOSE(CONTROL!$C$27, 0.0021, 0)</f>
        <v>46.305399999999999</v>
      </c>
      <c r="K182" s="14">
        <f>46.3033 * CHOOSE(CONTROL!$C$9, $D$9, 100%, $F$9) + CHOOSE(CONTROL!$C$27, 0.0021, 0)</f>
        <v>46.305399999999999</v>
      </c>
      <c r="L182" s="14"/>
    </row>
    <row r="183" spans="1:12" ht="15" x14ac:dyDescent="0.2">
      <c r="A183" s="13">
        <v>46478</v>
      </c>
      <c r="B183" s="14">
        <f>46.1804 * CHOOSE(CONTROL!$C$9, $D$9, 100%, $F$9) + CHOOSE(CONTROL!$C$27, 0.0021, 0)</f>
        <v>46.182499999999997</v>
      </c>
      <c r="C183" s="14">
        <f>45.7482 * CHOOSE(CONTROL!$C$9, $D$9, 100%, $F$9) + CHOOSE(CONTROL!$C$27, 0.0021, 0)</f>
        <v>45.750299999999996</v>
      </c>
      <c r="D183" s="14">
        <f>45.7482 * CHOOSE(CONTROL!$C$9, $D$9, 100%, $F$9) + CHOOSE(CONTROL!$C$27, 0.0021, 0)</f>
        <v>45.750299999999996</v>
      </c>
      <c r="E183" s="14">
        <f>45.6115 * CHOOSE(CONTROL!$C$9, $D$9, 100%, $F$9) + CHOOSE(CONTROL!$C$27, 0.0021, 0)</f>
        <v>45.613599999999998</v>
      </c>
      <c r="F183" s="14">
        <f>45.6115 * CHOOSE(CONTROL!$C$9, $D$9, 100%, $F$9) + CHOOSE(CONTROL!$C$27, 0.0021, 0)</f>
        <v>45.613599999999998</v>
      </c>
      <c r="G183" s="14">
        <f>45.8829 * CHOOSE(CONTROL!$C$9, $D$9, 100%, $F$9) + CHOOSE(CONTROL!$C$27, 0.0021, 0)</f>
        <v>45.884999999999998</v>
      </c>
      <c r="H183" s="14">
        <f>45.7482 * CHOOSE(CONTROL!$C$9, $D$9, 100%, $F$9) + CHOOSE(CONTROL!$C$27, 0.0021, 0)</f>
        <v>45.750299999999996</v>
      </c>
      <c r="I183" s="14">
        <f>45.7482 * CHOOSE(CONTROL!$C$9, $D$9, 100%, $F$9) + CHOOSE(CONTROL!$C$27, 0.0021, 0)</f>
        <v>45.750299999999996</v>
      </c>
      <c r="J183" s="14">
        <f>45.7482 * CHOOSE(CONTROL!$C$9, $D$9, 100%, $F$9) + CHOOSE(CONTROL!$C$27, 0.0021, 0)</f>
        <v>45.750299999999996</v>
      </c>
      <c r="K183" s="14">
        <f>45.7482 * CHOOSE(CONTROL!$C$9, $D$9, 100%, $F$9) + CHOOSE(CONTROL!$C$27, 0.0021, 0)</f>
        <v>45.750299999999996</v>
      </c>
      <c r="L183" s="14"/>
    </row>
    <row r="184" spans="1:12" ht="15" x14ac:dyDescent="0.2">
      <c r="A184" s="13">
        <v>46508</v>
      </c>
      <c r="B184" s="14">
        <f>47.1944 * CHOOSE(CONTROL!$C$9, $D$9, 100%, $F$9) + CHOOSE(CONTROL!$C$27, 0.0021, 0)</f>
        <v>47.1965</v>
      </c>
      <c r="C184" s="14">
        <f>46.7621 * CHOOSE(CONTROL!$C$9, $D$9, 100%, $F$9) + CHOOSE(CONTROL!$C$27, 0.0021, 0)</f>
        <v>46.764199999999995</v>
      </c>
      <c r="D184" s="14">
        <f>46.7621 * CHOOSE(CONTROL!$C$9, $D$9, 100%, $F$9) + CHOOSE(CONTROL!$C$27, 0.0021, 0)</f>
        <v>46.764199999999995</v>
      </c>
      <c r="E184" s="14">
        <f>46.6255 * CHOOSE(CONTROL!$C$9, $D$9, 100%, $F$9) + CHOOSE(CONTROL!$C$27, 0.0021, 0)</f>
        <v>46.627600000000001</v>
      </c>
      <c r="F184" s="14">
        <f>46.6255 * CHOOSE(CONTROL!$C$9, $D$9, 100%, $F$9) + CHOOSE(CONTROL!$C$27, 0.0021, 0)</f>
        <v>46.627600000000001</v>
      </c>
      <c r="G184" s="14">
        <f>46.8968 * CHOOSE(CONTROL!$C$9, $D$9, 100%, $F$9) + CHOOSE(CONTROL!$C$27, 0.0021, 0)</f>
        <v>46.898899999999998</v>
      </c>
      <c r="H184" s="14">
        <f>46.7621 * CHOOSE(CONTROL!$C$9, $D$9, 100%, $F$9) + CHOOSE(CONTROL!$C$27, 0.0021, 0)</f>
        <v>46.764199999999995</v>
      </c>
      <c r="I184" s="14">
        <f>46.7621 * CHOOSE(CONTROL!$C$9, $D$9, 100%, $F$9) + CHOOSE(CONTROL!$C$27, 0.0021, 0)</f>
        <v>46.764199999999995</v>
      </c>
      <c r="J184" s="14">
        <f>46.7621 * CHOOSE(CONTROL!$C$9, $D$9, 100%, $F$9) + CHOOSE(CONTROL!$C$27, 0.0021, 0)</f>
        <v>46.764199999999995</v>
      </c>
      <c r="K184" s="14">
        <f>46.7621 * CHOOSE(CONTROL!$C$9, $D$9, 100%, $F$9) + CHOOSE(CONTROL!$C$27, 0.0021, 0)</f>
        <v>46.764199999999995</v>
      </c>
      <c r="L184" s="14"/>
    </row>
    <row r="185" spans="1:12" ht="15" x14ac:dyDescent="0.2">
      <c r="A185" s="13">
        <v>46539</v>
      </c>
      <c r="B185" s="14">
        <f>47.8412 * CHOOSE(CONTROL!$C$9, $D$9, 100%, $F$9) + CHOOSE(CONTROL!$C$27, 0.0021, 0)</f>
        <v>47.843299999999999</v>
      </c>
      <c r="C185" s="14">
        <f>47.4089 * CHOOSE(CONTROL!$C$9, $D$9, 100%, $F$9) + CHOOSE(CONTROL!$C$27, 0.0021, 0)</f>
        <v>47.411000000000001</v>
      </c>
      <c r="D185" s="14">
        <f>47.4089 * CHOOSE(CONTROL!$C$9, $D$9, 100%, $F$9) + CHOOSE(CONTROL!$C$27, 0.0021, 0)</f>
        <v>47.411000000000001</v>
      </c>
      <c r="E185" s="14">
        <f>47.2723 * CHOOSE(CONTROL!$C$9, $D$9, 100%, $F$9) + CHOOSE(CONTROL!$C$27, 0.0021, 0)</f>
        <v>47.2744</v>
      </c>
      <c r="F185" s="14">
        <f>47.2723 * CHOOSE(CONTROL!$C$9, $D$9, 100%, $F$9) + CHOOSE(CONTROL!$C$27, 0.0021, 0)</f>
        <v>47.2744</v>
      </c>
      <c r="G185" s="14">
        <f>47.5436 * CHOOSE(CONTROL!$C$9, $D$9, 100%, $F$9) + CHOOSE(CONTROL!$C$27, 0.0021, 0)</f>
        <v>47.545699999999997</v>
      </c>
      <c r="H185" s="14">
        <f>47.4089 * CHOOSE(CONTROL!$C$9, $D$9, 100%, $F$9) + CHOOSE(CONTROL!$C$27, 0.0021, 0)</f>
        <v>47.411000000000001</v>
      </c>
      <c r="I185" s="14">
        <f>47.4089 * CHOOSE(CONTROL!$C$9, $D$9, 100%, $F$9) + CHOOSE(CONTROL!$C$27, 0.0021, 0)</f>
        <v>47.411000000000001</v>
      </c>
      <c r="J185" s="14">
        <f>47.4089 * CHOOSE(CONTROL!$C$9, $D$9, 100%, $F$9) + CHOOSE(CONTROL!$C$27, 0.0021, 0)</f>
        <v>47.411000000000001</v>
      </c>
      <c r="K185" s="14">
        <f>47.4089 * CHOOSE(CONTROL!$C$9, $D$9, 100%, $F$9) + CHOOSE(CONTROL!$C$27, 0.0021, 0)</f>
        <v>47.411000000000001</v>
      </c>
      <c r="L185" s="14"/>
    </row>
    <row r="186" spans="1:12" ht="15" x14ac:dyDescent="0.2">
      <c r="A186" s="13">
        <v>46569</v>
      </c>
      <c r="B186" s="14">
        <f>48.8513 * CHOOSE(CONTROL!$C$9, $D$9, 100%, $F$9) + CHOOSE(CONTROL!$C$27, 0.0021, 0)</f>
        <v>48.853400000000001</v>
      </c>
      <c r="C186" s="14">
        <f>48.4191 * CHOOSE(CONTROL!$C$9, $D$9, 100%, $F$9) + CHOOSE(CONTROL!$C$27, 0.0021, 0)</f>
        <v>48.421199999999999</v>
      </c>
      <c r="D186" s="14">
        <f>48.4191 * CHOOSE(CONTROL!$C$9, $D$9, 100%, $F$9) + CHOOSE(CONTROL!$C$27, 0.0021, 0)</f>
        <v>48.421199999999999</v>
      </c>
      <c r="E186" s="14">
        <f>48.2824 * CHOOSE(CONTROL!$C$9, $D$9, 100%, $F$9) + CHOOSE(CONTROL!$C$27, 0.0021, 0)</f>
        <v>48.284500000000001</v>
      </c>
      <c r="F186" s="14">
        <f>48.2824 * CHOOSE(CONTROL!$C$9, $D$9, 100%, $F$9) + CHOOSE(CONTROL!$C$27, 0.0021, 0)</f>
        <v>48.284500000000001</v>
      </c>
      <c r="G186" s="14">
        <f>48.5538 * CHOOSE(CONTROL!$C$9, $D$9, 100%, $F$9) + CHOOSE(CONTROL!$C$27, 0.0021, 0)</f>
        <v>48.555900000000001</v>
      </c>
      <c r="H186" s="14">
        <f>48.4191 * CHOOSE(CONTROL!$C$9, $D$9, 100%, $F$9) + CHOOSE(CONTROL!$C$27, 0.0021, 0)</f>
        <v>48.421199999999999</v>
      </c>
      <c r="I186" s="14">
        <f>48.4191 * CHOOSE(CONTROL!$C$9, $D$9, 100%, $F$9) + CHOOSE(CONTROL!$C$27, 0.0021, 0)</f>
        <v>48.421199999999999</v>
      </c>
      <c r="J186" s="14">
        <f>48.4191 * CHOOSE(CONTROL!$C$9, $D$9, 100%, $F$9) + CHOOSE(CONTROL!$C$27, 0.0021, 0)</f>
        <v>48.421199999999999</v>
      </c>
      <c r="K186" s="14">
        <f>48.4191 * CHOOSE(CONTROL!$C$9, $D$9, 100%, $F$9) + CHOOSE(CONTROL!$C$27, 0.0021, 0)</f>
        <v>48.421199999999999</v>
      </c>
      <c r="L186" s="14"/>
    </row>
    <row r="187" spans="1:12" ht="15" x14ac:dyDescent="0.2">
      <c r="A187" s="13">
        <v>46600</v>
      </c>
      <c r="B187" s="14">
        <f>49.2275 * CHOOSE(CONTROL!$C$9, $D$9, 100%, $F$9) + CHOOSE(CONTROL!$C$27, 0.0021, 0)</f>
        <v>49.229599999999998</v>
      </c>
      <c r="C187" s="14">
        <f>48.7952 * CHOOSE(CONTROL!$C$9, $D$9, 100%, $F$9) + CHOOSE(CONTROL!$C$27, 0.0021, 0)</f>
        <v>48.7973</v>
      </c>
      <c r="D187" s="14">
        <f>48.7952 * CHOOSE(CONTROL!$C$9, $D$9, 100%, $F$9) + CHOOSE(CONTROL!$C$27, 0.0021, 0)</f>
        <v>48.7973</v>
      </c>
      <c r="E187" s="14">
        <f>48.6586 * CHOOSE(CONTROL!$C$9, $D$9, 100%, $F$9) + CHOOSE(CONTROL!$C$27, 0.0021, 0)</f>
        <v>48.660699999999999</v>
      </c>
      <c r="F187" s="14">
        <f>48.6586 * CHOOSE(CONTROL!$C$9, $D$9, 100%, $F$9) + CHOOSE(CONTROL!$C$27, 0.0021, 0)</f>
        <v>48.660699999999999</v>
      </c>
      <c r="G187" s="14">
        <f>48.9299 * CHOOSE(CONTROL!$C$9, $D$9, 100%, $F$9) + CHOOSE(CONTROL!$C$27, 0.0021, 0)</f>
        <v>48.932000000000002</v>
      </c>
      <c r="H187" s="14">
        <f>48.7952 * CHOOSE(CONTROL!$C$9, $D$9, 100%, $F$9) + CHOOSE(CONTROL!$C$27, 0.0021, 0)</f>
        <v>48.7973</v>
      </c>
      <c r="I187" s="14">
        <f>48.7952 * CHOOSE(CONTROL!$C$9, $D$9, 100%, $F$9) + CHOOSE(CONTROL!$C$27, 0.0021, 0)</f>
        <v>48.7973</v>
      </c>
      <c r="J187" s="14">
        <f>48.7952 * CHOOSE(CONTROL!$C$9, $D$9, 100%, $F$9) + CHOOSE(CONTROL!$C$27, 0.0021, 0)</f>
        <v>48.7973</v>
      </c>
      <c r="K187" s="14">
        <f>48.7952 * CHOOSE(CONTROL!$C$9, $D$9, 100%, $F$9) + CHOOSE(CONTROL!$C$27, 0.0021, 0)</f>
        <v>48.7973</v>
      </c>
      <c r="L187" s="14"/>
    </row>
    <row r="188" spans="1:12" ht="15" x14ac:dyDescent="0.2">
      <c r="A188" s="13">
        <v>46631</v>
      </c>
      <c r="B188" s="14">
        <f>50.2805 * CHOOSE(CONTROL!$C$9, $D$9, 100%, $F$9) + CHOOSE(CONTROL!$C$27, 0.0021, 0)</f>
        <v>50.282600000000002</v>
      </c>
      <c r="C188" s="14">
        <f>49.8483 * CHOOSE(CONTROL!$C$9, $D$9, 100%, $F$9) + CHOOSE(CONTROL!$C$27, 0.0021, 0)</f>
        <v>49.8504</v>
      </c>
      <c r="D188" s="14">
        <f>49.8483 * CHOOSE(CONTROL!$C$9, $D$9, 100%, $F$9) + CHOOSE(CONTROL!$C$27, 0.0021, 0)</f>
        <v>49.8504</v>
      </c>
      <c r="E188" s="14">
        <f>49.7116 * CHOOSE(CONTROL!$C$9, $D$9, 100%, $F$9) + CHOOSE(CONTROL!$C$27, 0.0021, 0)</f>
        <v>49.713699999999996</v>
      </c>
      <c r="F188" s="14">
        <f>49.7116 * CHOOSE(CONTROL!$C$9, $D$9, 100%, $F$9) + CHOOSE(CONTROL!$C$27, 0.0021, 0)</f>
        <v>49.713699999999996</v>
      </c>
      <c r="G188" s="14">
        <f>49.983 * CHOOSE(CONTROL!$C$9, $D$9, 100%, $F$9) + CHOOSE(CONTROL!$C$27, 0.0021, 0)</f>
        <v>49.985099999999996</v>
      </c>
      <c r="H188" s="14">
        <f>49.8483 * CHOOSE(CONTROL!$C$9, $D$9, 100%, $F$9) + CHOOSE(CONTROL!$C$27, 0.0021, 0)</f>
        <v>49.8504</v>
      </c>
      <c r="I188" s="14">
        <f>49.8483 * CHOOSE(CONTROL!$C$9, $D$9, 100%, $F$9) + CHOOSE(CONTROL!$C$27, 0.0021, 0)</f>
        <v>49.8504</v>
      </c>
      <c r="J188" s="14">
        <f>49.8483 * CHOOSE(CONTROL!$C$9, $D$9, 100%, $F$9) + CHOOSE(CONTROL!$C$27, 0.0021, 0)</f>
        <v>49.8504</v>
      </c>
      <c r="K188" s="14">
        <f>49.8483 * CHOOSE(CONTROL!$C$9, $D$9, 100%, $F$9) + CHOOSE(CONTROL!$C$27, 0.0021, 0)</f>
        <v>49.8504</v>
      </c>
      <c r="L188" s="14"/>
    </row>
    <row r="189" spans="1:12" ht="15" x14ac:dyDescent="0.2">
      <c r="A189" s="13">
        <v>46661</v>
      </c>
      <c r="B189" s="14">
        <f>51.5925 * CHOOSE(CONTROL!$C$9, $D$9, 100%, $F$9) + CHOOSE(CONTROL!$C$27, 0.0021, 0)</f>
        <v>51.5946</v>
      </c>
      <c r="C189" s="14">
        <f>51.1603 * CHOOSE(CONTROL!$C$9, $D$9, 100%, $F$9) + CHOOSE(CONTROL!$C$27, 0.0021, 0)</f>
        <v>51.162399999999998</v>
      </c>
      <c r="D189" s="14">
        <f>51.1603 * CHOOSE(CONTROL!$C$9, $D$9, 100%, $F$9) + CHOOSE(CONTROL!$C$27, 0.0021, 0)</f>
        <v>51.162399999999998</v>
      </c>
      <c r="E189" s="14">
        <f>51.0236 * CHOOSE(CONTROL!$C$9, $D$9, 100%, $F$9) + CHOOSE(CONTROL!$C$27, 0.0021, 0)</f>
        <v>51.025700000000001</v>
      </c>
      <c r="F189" s="14">
        <f>51.0236 * CHOOSE(CONTROL!$C$9, $D$9, 100%, $F$9) + CHOOSE(CONTROL!$C$27, 0.0021, 0)</f>
        <v>51.025700000000001</v>
      </c>
      <c r="G189" s="14">
        <f>51.295 * CHOOSE(CONTROL!$C$9, $D$9, 100%, $F$9) + CHOOSE(CONTROL!$C$27, 0.0021, 0)</f>
        <v>51.2971</v>
      </c>
      <c r="H189" s="14">
        <f>51.1603 * CHOOSE(CONTROL!$C$9, $D$9, 100%, $F$9) + CHOOSE(CONTROL!$C$27, 0.0021, 0)</f>
        <v>51.162399999999998</v>
      </c>
      <c r="I189" s="14">
        <f>51.1603 * CHOOSE(CONTROL!$C$9, $D$9, 100%, $F$9) + CHOOSE(CONTROL!$C$27, 0.0021, 0)</f>
        <v>51.162399999999998</v>
      </c>
      <c r="J189" s="14">
        <f>51.1603 * CHOOSE(CONTROL!$C$9, $D$9, 100%, $F$9) + CHOOSE(CONTROL!$C$27, 0.0021, 0)</f>
        <v>51.162399999999998</v>
      </c>
      <c r="K189" s="14">
        <f>51.1603 * CHOOSE(CONTROL!$C$9, $D$9, 100%, $F$9) + CHOOSE(CONTROL!$C$27, 0.0021, 0)</f>
        <v>51.162399999999998</v>
      </c>
      <c r="L189" s="14"/>
    </row>
    <row r="190" spans="1:12" ht="15" x14ac:dyDescent="0.2">
      <c r="A190" s="13">
        <v>46692</v>
      </c>
      <c r="B190" s="14">
        <f>51.8082 * CHOOSE(CONTROL!$C$9, $D$9, 100%, $F$9) + CHOOSE(CONTROL!$C$27, 0.0021, 0)</f>
        <v>51.810299999999998</v>
      </c>
      <c r="C190" s="14">
        <f>51.3759 * CHOOSE(CONTROL!$C$9, $D$9, 100%, $F$9) + CHOOSE(CONTROL!$C$27, 0.0021, 0)</f>
        <v>51.378</v>
      </c>
      <c r="D190" s="14">
        <f>51.3759 * CHOOSE(CONTROL!$C$9, $D$9, 100%, $F$9) + CHOOSE(CONTROL!$C$27, 0.0021, 0)</f>
        <v>51.378</v>
      </c>
      <c r="E190" s="14">
        <f>51.2393 * CHOOSE(CONTROL!$C$9, $D$9, 100%, $F$9) + CHOOSE(CONTROL!$C$27, 0.0021, 0)</f>
        <v>51.241399999999999</v>
      </c>
      <c r="F190" s="14">
        <f>51.2393 * CHOOSE(CONTROL!$C$9, $D$9, 100%, $F$9) + CHOOSE(CONTROL!$C$27, 0.0021, 0)</f>
        <v>51.241399999999999</v>
      </c>
      <c r="G190" s="14">
        <f>51.5106 * CHOOSE(CONTROL!$C$9, $D$9, 100%, $F$9) + CHOOSE(CONTROL!$C$27, 0.0021, 0)</f>
        <v>51.512699999999995</v>
      </c>
      <c r="H190" s="14">
        <f>51.3759 * CHOOSE(CONTROL!$C$9, $D$9, 100%, $F$9) + CHOOSE(CONTROL!$C$27, 0.0021, 0)</f>
        <v>51.378</v>
      </c>
      <c r="I190" s="14">
        <f>51.3759 * CHOOSE(CONTROL!$C$9, $D$9, 100%, $F$9) + CHOOSE(CONTROL!$C$27, 0.0021, 0)</f>
        <v>51.378</v>
      </c>
      <c r="J190" s="14">
        <f>51.3759 * CHOOSE(CONTROL!$C$9, $D$9, 100%, $F$9) + CHOOSE(CONTROL!$C$27, 0.0021, 0)</f>
        <v>51.378</v>
      </c>
      <c r="K190" s="14">
        <f>51.3759 * CHOOSE(CONTROL!$C$9, $D$9, 100%, $F$9) + CHOOSE(CONTROL!$C$27, 0.0021, 0)</f>
        <v>51.378</v>
      </c>
      <c r="L190" s="14"/>
    </row>
    <row r="191" spans="1:12" ht="15" x14ac:dyDescent="0.2">
      <c r="A191" s="13">
        <v>46722</v>
      </c>
      <c r="B191" s="14">
        <f>50.9373 * CHOOSE(CONTROL!$C$9, $D$9, 100%, $F$9) + CHOOSE(CONTROL!$C$27, 0.0021, 0)</f>
        <v>50.939399999999999</v>
      </c>
      <c r="C191" s="14">
        <f>50.505 * CHOOSE(CONTROL!$C$9, $D$9, 100%, $F$9) + CHOOSE(CONTROL!$C$27, 0.0021, 0)</f>
        <v>50.507100000000001</v>
      </c>
      <c r="D191" s="14">
        <f>50.505 * CHOOSE(CONTROL!$C$9, $D$9, 100%, $F$9) + CHOOSE(CONTROL!$C$27, 0.0021, 0)</f>
        <v>50.507100000000001</v>
      </c>
      <c r="E191" s="14">
        <f>50.3684 * CHOOSE(CONTROL!$C$9, $D$9, 100%, $F$9) + CHOOSE(CONTROL!$C$27, 0.0021, 0)</f>
        <v>50.3705</v>
      </c>
      <c r="F191" s="14">
        <f>50.3684 * CHOOSE(CONTROL!$C$9, $D$9, 100%, $F$9) + CHOOSE(CONTROL!$C$27, 0.0021, 0)</f>
        <v>50.3705</v>
      </c>
      <c r="G191" s="14">
        <f>50.6398 * CHOOSE(CONTROL!$C$9, $D$9, 100%, $F$9) + CHOOSE(CONTROL!$C$27, 0.0021, 0)</f>
        <v>50.6419</v>
      </c>
      <c r="H191" s="14">
        <f>50.505 * CHOOSE(CONTROL!$C$9, $D$9, 100%, $F$9) + CHOOSE(CONTROL!$C$27, 0.0021, 0)</f>
        <v>50.507100000000001</v>
      </c>
      <c r="I191" s="14">
        <f>50.505 * CHOOSE(CONTROL!$C$9, $D$9, 100%, $F$9) + CHOOSE(CONTROL!$C$27, 0.0021, 0)</f>
        <v>50.507100000000001</v>
      </c>
      <c r="J191" s="14">
        <f>50.505 * CHOOSE(CONTROL!$C$9, $D$9, 100%, $F$9) + CHOOSE(CONTROL!$C$27, 0.0021, 0)</f>
        <v>50.507100000000001</v>
      </c>
      <c r="K191" s="14">
        <f>50.505 * CHOOSE(CONTROL!$C$9, $D$9, 100%, $F$9) + CHOOSE(CONTROL!$C$27, 0.0021, 0)</f>
        <v>50.507100000000001</v>
      </c>
      <c r="L191" s="14"/>
    </row>
    <row r="192" spans="1:12" ht="15" x14ac:dyDescent="0.2">
      <c r="A192" s="13">
        <v>46753</v>
      </c>
      <c r="B192" s="14">
        <f>50.3976 * CHOOSE(CONTROL!$C$9, $D$9, 100%, $F$9) + CHOOSE(CONTROL!$C$27, 0.0021, 0)</f>
        <v>50.399699999999996</v>
      </c>
      <c r="C192" s="14">
        <f>49.9653 * CHOOSE(CONTROL!$C$9, $D$9, 100%, $F$9) + CHOOSE(CONTROL!$C$27, 0.0021, 0)</f>
        <v>49.967399999999998</v>
      </c>
      <c r="D192" s="14">
        <f>49.9653 * CHOOSE(CONTROL!$C$9, $D$9, 100%, $F$9) + CHOOSE(CONTROL!$C$27, 0.0021, 0)</f>
        <v>49.967399999999998</v>
      </c>
      <c r="E192" s="14">
        <f>49.8286 * CHOOSE(CONTROL!$C$9, $D$9, 100%, $F$9) + CHOOSE(CONTROL!$C$27, 0.0021, 0)</f>
        <v>49.8307</v>
      </c>
      <c r="F192" s="14">
        <f>49.8286 * CHOOSE(CONTROL!$C$9, $D$9, 100%, $F$9) + CHOOSE(CONTROL!$C$27, 0.0021, 0)</f>
        <v>49.8307</v>
      </c>
      <c r="G192" s="14">
        <f>50.1 * CHOOSE(CONTROL!$C$9, $D$9, 100%, $F$9) + CHOOSE(CONTROL!$C$27, 0.0021, 0)</f>
        <v>50.1021</v>
      </c>
      <c r="H192" s="14">
        <f>49.9653 * CHOOSE(CONTROL!$C$9, $D$9, 100%, $F$9) + CHOOSE(CONTROL!$C$27, 0.0021, 0)</f>
        <v>49.967399999999998</v>
      </c>
      <c r="I192" s="14">
        <f>49.9653 * CHOOSE(CONTROL!$C$9, $D$9, 100%, $F$9) + CHOOSE(CONTROL!$C$27, 0.0021, 0)</f>
        <v>49.967399999999998</v>
      </c>
      <c r="J192" s="14">
        <f>49.9653 * CHOOSE(CONTROL!$C$9, $D$9, 100%, $F$9) + CHOOSE(CONTROL!$C$27, 0.0021, 0)</f>
        <v>49.967399999999998</v>
      </c>
      <c r="K192" s="14">
        <f>49.9653 * CHOOSE(CONTROL!$C$9, $D$9, 100%, $F$9) + CHOOSE(CONTROL!$C$27, 0.0021, 0)</f>
        <v>49.967399999999998</v>
      </c>
      <c r="L192" s="14"/>
    </row>
    <row r="193" spans="1:12" ht="15" x14ac:dyDescent="0.2">
      <c r="A193" s="13">
        <v>46784</v>
      </c>
      <c r="B193" s="14">
        <f>49.1332 * CHOOSE(CONTROL!$C$9, $D$9, 100%, $F$9) + CHOOSE(CONTROL!$C$27, 0.0021, 0)</f>
        <v>49.135300000000001</v>
      </c>
      <c r="C193" s="14">
        <f>48.7009 * CHOOSE(CONTROL!$C$9, $D$9, 100%, $F$9) + CHOOSE(CONTROL!$C$27, 0.0021, 0)</f>
        <v>48.702999999999996</v>
      </c>
      <c r="D193" s="14">
        <f>48.7009 * CHOOSE(CONTROL!$C$9, $D$9, 100%, $F$9) + CHOOSE(CONTROL!$C$27, 0.0021, 0)</f>
        <v>48.702999999999996</v>
      </c>
      <c r="E193" s="14">
        <f>48.5643 * CHOOSE(CONTROL!$C$9, $D$9, 100%, $F$9) + CHOOSE(CONTROL!$C$27, 0.0021, 0)</f>
        <v>48.566400000000002</v>
      </c>
      <c r="F193" s="14">
        <f>48.5643 * CHOOSE(CONTROL!$C$9, $D$9, 100%, $F$9) + CHOOSE(CONTROL!$C$27, 0.0021, 0)</f>
        <v>48.566400000000002</v>
      </c>
      <c r="G193" s="14">
        <f>48.8356 * CHOOSE(CONTROL!$C$9, $D$9, 100%, $F$9) + CHOOSE(CONTROL!$C$27, 0.0021, 0)</f>
        <v>48.837699999999998</v>
      </c>
      <c r="H193" s="14">
        <f>48.7009 * CHOOSE(CONTROL!$C$9, $D$9, 100%, $F$9) + CHOOSE(CONTROL!$C$27, 0.0021, 0)</f>
        <v>48.702999999999996</v>
      </c>
      <c r="I193" s="14">
        <f>48.7009 * CHOOSE(CONTROL!$C$9, $D$9, 100%, $F$9) + CHOOSE(CONTROL!$C$27, 0.0021, 0)</f>
        <v>48.702999999999996</v>
      </c>
      <c r="J193" s="14">
        <f>48.7009 * CHOOSE(CONTROL!$C$9, $D$9, 100%, $F$9) + CHOOSE(CONTROL!$C$27, 0.0021, 0)</f>
        <v>48.702999999999996</v>
      </c>
      <c r="K193" s="14">
        <f>48.7009 * CHOOSE(CONTROL!$C$9, $D$9, 100%, $F$9) + CHOOSE(CONTROL!$C$27, 0.0021, 0)</f>
        <v>48.702999999999996</v>
      </c>
      <c r="L193" s="14"/>
    </row>
    <row r="194" spans="1:12" ht="15" x14ac:dyDescent="0.2">
      <c r="A194" s="13">
        <v>46813</v>
      </c>
      <c r="B194" s="14">
        <f>48.6656 * CHOOSE(CONTROL!$C$9, $D$9, 100%, $F$9) + CHOOSE(CONTROL!$C$27, 0.0021, 0)</f>
        <v>48.667699999999996</v>
      </c>
      <c r="C194" s="14">
        <f>48.2334 * CHOOSE(CONTROL!$C$9, $D$9, 100%, $F$9) + CHOOSE(CONTROL!$C$27, 0.0021, 0)</f>
        <v>48.235500000000002</v>
      </c>
      <c r="D194" s="14">
        <f>48.2334 * CHOOSE(CONTROL!$C$9, $D$9, 100%, $F$9) + CHOOSE(CONTROL!$C$27, 0.0021, 0)</f>
        <v>48.235500000000002</v>
      </c>
      <c r="E194" s="14">
        <f>48.0967 * CHOOSE(CONTROL!$C$9, $D$9, 100%, $F$9) + CHOOSE(CONTROL!$C$27, 0.0021, 0)</f>
        <v>48.098799999999997</v>
      </c>
      <c r="F194" s="14">
        <f>48.0967 * CHOOSE(CONTROL!$C$9, $D$9, 100%, $F$9) + CHOOSE(CONTROL!$C$27, 0.0021, 0)</f>
        <v>48.098799999999997</v>
      </c>
      <c r="G194" s="14">
        <f>48.3681 * CHOOSE(CONTROL!$C$9, $D$9, 100%, $F$9) + CHOOSE(CONTROL!$C$27, 0.0021, 0)</f>
        <v>48.370199999999997</v>
      </c>
      <c r="H194" s="14">
        <f>48.2334 * CHOOSE(CONTROL!$C$9, $D$9, 100%, $F$9) + CHOOSE(CONTROL!$C$27, 0.0021, 0)</f>
        <v>48.235500000000002</v>
      </c>
      <c r="I194" s="14">
        <f>48.2334 * CHOOSE(CONTROL!$C$9, $D$9, 100%, $F$9) + CHOOSE(CONTROL!$C$27, 0.0021, 0)</f>
        <v>48.235500000000002</v>
      </c>
      <c r="J194" s="14">
        <f>48.2334 * CHOOSE(CONTROL!$C$9, $D$9, 100%, $F$9) + CHOOSE(CONTROL!$C$27, 0.0021, 0)</f>
        <v>48.235500000000002</v>
      </c>
      <c r="K194" s="14">
        <f>48.2334 * CHOOSE(CONTROL!$C$9, $D$9, 100%, $F$9) + CHOOSE(CONTROL!$C$27, 0.0021, 0)</f>
        <v>48.235500000000002</v>
      </c>
      <c r="L194" s="14"/>
    </row>
    <row r="195" spans="1:12" ht="15" x14ac:dyDescent="0.2">
      <c r="A195" s="13">
        <v>46844</v>
      </c>
      <c r="B195" s="14">
        <f>48.0864 * CHOOSE(CONTROL!$C$9, $D$9, 100%, $F$9) + CHOOSE(CONTROL!$C$27, 0.0021, 0)</f>
        <v>48.088499999999996</v>
      </c>
      <c r="C195" s="14">
        <f>47.6541 * CHOOSE(CONTROL!$C$9, $D$9, 100%, $F$9) + CHOOSE(CONTROL!$C$27, 0.0021, 0)</f>
        <v>47.656199999999998</v>
      </c>
      <c r="D195" s="14">
        <f>47.6541 * CHOOSE(CONTROL!$C$9, $D$9, 100%, $F$9) + CHOOSE(CONTROL!$C$27, 0.0021, 0)</f>
        <v>47.656199999999998</v>
      </c>
      <c r="E195" s="14">
        <f>47.5174 * CHOOSE(CONTROL!$C$9, $D$9, 100%, $F$9) + CHOOSE(CONTROL!$C$27, 0.0021, 0)</f>
        <v>47.519500000000001</v>
      </c>
      <c r="F195" s="14">
        <f>47.5174 * CHOOSE(CONTROL!$C$9, $D$9, 100%, $F$9) + CHOOSE(CONTROL!$C$27, 0.0021, 0)</f>
        <v>47.519500000000001</v>
      </c>
      <c r="G195" s="14">
        <f>47.7888 * CHOOSE(CONTROL!$C$9, $D$9, 100%, $F$9) + CHOOSE(CONTROL!$C$27, 0.0021, 0)</f>
        <v>47.790900000000001</v>
      </c>
      <c r="H195" s="14">
        <f>47.6541 * CHOOSE(CONTROL!$C$9, $D$9, 100%, $F$9) + CHOOSE(CONTROL!$C$27, 0.0021, 0)</f>
        <v>47.656199999999998</v>
      </c>
      <c r="I195" s="14">
        <f>47.6541 * CHOOSE(CONTROL!$C$9, $D$9, 100%, $F$9) + CHOOSE(CONTROL!$C$27, 0.0021, 0)</f>
        <v>47.656199999999998</v>
      </c>
      <c r="J195" s="14">
        <f>47.6541 * CHOOSE(CONTROL!$C$9, $D$9, 100%, $F$9) + CHOOSE(CONTROL!$C$27, 0.0021, 0)</f>
        <v>47.656199999999998</v>
      </c>
      <c r="K195" s="14">
        <f>47.6541 * CHOOSE(CONTROL!$C$9, $D$9, 100%, $F$9) + CHOOSE(CONTROL!$C$27, 0.0021, 0)</f>
        <v>47.656199999999998</v>
      </c>
      <c r="L195" s="14"/>
    </row>
    <row r="196" spans="1:12" ht="15" x14ac:dyDescent="0.2">
      <c r="A196" s="13">
        <v>46874</v>
      </c>
      <c r="B196" s="14">
        <f>49.1444 * CHOOSE(CONTROL!$C$9, $D$9, 100%, $F$9) + CHOOSE(CONTROL!$C$27, 0.0021, 0)</f>
        <v>49.146499999999996</v>
      </c>
      <c r="C196" s="14">
        <f>48.7121 * CHOOSE(CONTROL!$C$9, $D$9, 100%, $F$9) + CHOOSE(CONTROL!$C$27, 0.0021, 0)</f>
        <v>48.714199999999998</v>
      </c>
      <c r="D196" s="14">
        <f>48.7121 * CHOOSE(CONTROL!$C$9, $D$9, 100%, $F$9) + CHOOSE(CONTROL!$C$27, 0.0021, 0)</f>
        <v>48.714199999999998</v>
      </c>
      <c r="E196" s="14">
        <f>48.5754 * CHOOSE(CONTROL!$C$9, $D$9, 100%, $F$9) + CHOOSE(CONTROL!$C$27, 0.0021, 0)</f>
        <v>48.577500000000001</v>
      </c>
      <c r="F196" s="14">
        <f>48.5754 * CHOOSE(CONTROL!$C$9, $D$9, 100%, $F$9) + CHOOSE(CONTROL!$C$27, 0.0021, 0)</f>
        <v>48.577500000000001</v>
      </c>
      <c r="G196" s="14">
        <f>48.8468 * CHOOSE(CONTROL!$C$9, $D$9, 100%, $F$9) + CHOOSE(CONTROL!$C$27, 0.0021, 0)</f>
        <v>48.8489</v>
      </c>
      <c r="H196" s="14">
        <f>48.7121 * CHOOSE(CONTROL!$C$9, $D$9, 100%, $F$9) + CHOOSE(CONTROL!$C$27, 0.0021, 0)</f>
        <v>48.714199999999998</v>
      </c>
      <c r="I196" s="14">
        <f>48.7121 * CHOOSE(CONTROL!$C$9, $D$9, 100%, $F$9) + CHOOSE(CONTROL!$C$27, 0.0021, 0)</f>
        <v>48.714199999999998</v>
      </c>
      <c r="J196" s="14">
        <f>48.7121 * CHOOSE(CONTROL!$C$9, $D$9, 100%, $F$9) + CHOOSE(CONTROL!$C$27, 0.0021, 0)</f>
        <v>48.714199999999998</v>
      </c>
      <c r="K196" s="14">
        <f>48.7121 * CHOOSE(CONTROL!$C$9, $D$9, 100%, $F$9) + CHOOSE(CONTROL!$C$27, 0.0021, 0)</f>
        <v>48.714199999999998</v>
      </c>
      <c r="L196" s="14"/>
    </row>
    <row r="197" spans="1:12" ht="15" x14ac:dyDescent="0.2">
      <c r="A197" s="13">
        <v>46905</v>
      </c>
      <c r="B197" s="14">
        <f>49.8193 * CHOOSE(CONTROL!$C$9, $D$9, 100%, $F$9) + CHOOSE(CONTROL!$C$27, 0.0021, 0)</f>
        <v>49.821399999999997</v>
      </c>
      <c r="C197" s="14">
        <f>49.387 * CHOOSE(CONTROL!$C$9, $D$9, 100%, $F$9) + CHOOSE(CONTROL!$C$27, 0.0021, 0)</f>
        <v>49.389099999999999</v>
      </c>
      <c r="D197" s="14">
        <f>49.387 * CHOOSE(CONTROL!$C$9, $D$9, 100%, $F$9) + CHOOSE(CONTROL!$C$27, 0.0021, 0)</f>
        <v>49.389099999999999</v>
      </c>
      <c r="E197" s="14">
        <f>49.2503 * CHOOSE(CONTROL!$C$9, $D$9, 100%, $F$9) + CHOOSE(CONTROL!$C$27, 0.0021, 0)</f>
        <v>49.252400000000002</v>
      </c>
      <c r="F197" s="14">
        <f>49.2503 * CHOOSE(CONTROL!$C$9, $D$9, 100%, $F$9) + CHOOSE(CONTROL!$C$27, 0.0021, 0)</f>
        <v>49.252400000000002</v>
      </c>
      <c r="G197" s="14">
        <f>49.5217 * CHOOSE(CONTROL!$C$9, $D$9, 100%, $F$9) + CHOOSE(CONTROL!$C$27, 0.0021, 0)</f>
        <v>49.523800000000001</v>
      </c>
      <c r="H197" s="14">
        <f>49.387 * CHOOSE(CONTROL!$C$9, $D$9, 100%, $F$9) + CHOOSE(CONTROL!$C$27, 0.0021, 0)</f>
        <v>49.389099999999999</v>
      </c>
      <c r="I197" s="14">
        <f>49.387 * CHOOSE(CONTROL!$C$9, $D$9, 100%, $F$9) + CHOOSE(CONTROL!$C$27, 0.0021, 0)</f>
        <v>49.389099999999999</v>
      </c>
      <c r="J197" s="14">
        <f>49.387 * CHOOSE(CONTROL!$C$9, $D$9, 100%, $F$9) + CHOOSE(CONTROL!$C$27, 0.0021, 0)</f>
        <v>49.389099999999999</v>
      </c>
      <c r="K197" s="14">
        <f>49.387 * CHOOSE(CONTROL!$C$9, $D$9, 100%, $F$9) + CHOOSE(CONTROL!$C$27, 0.0021, 0)</f>
        <v>49.389099999999999</v>
      </c>
      <c r="L197" s="14"/>
    </row>
    <row r="198" spans="1:12" ht="15" x14ac:dyDescent="0.2">
      <c r="A198" s="13">
        <v>46935</v>
      </c>
      <c r="B198" s="14">
        <f>50.8733 * CHOOSE(CONTROL!$C$9, $D$9, 100%, $F$9) + CHOOSE(CONTROL!$C$27, 0.0021, 0)</f>
        <v>50.875399999999999</v>
      </c>
      <c r="C198" s="14">
        <f>50.441 * CHOOSE(CONTROL!$C$9, $D$9, 100%, $F$9) + CHOOSE(CONTROL!$C$27, 0.0021, 0)</f>
        <v>50.443100000000001</v>
      </c>
      <c r="D198" s="14">
        <f>50.441 * CHOOSE(CONTROL!$C$9, $D$9, 100%, $F$9) + CHOOSE(CONTROL!$C$27, 0.0021, 0)</f>
        <v>50.443100000000001</v>
      </c>
      <c r="E198" s="14">
        <f>50.3043 * CHOOSE(CONTROL!$C$9, $D$9, 100%, $F$9) + CHOOSE(CONTROL!$C$27, 0.0021, 0)</f>
        <v>50.306399999999996</v>
      </c>
      <c r="F198" s="14">
        <f>50.3043 * CHOOSE(CONTROL!$C$9, $D$9, 100%, $F$9) + CHOOSE(CONTROL!$C$27, 0.0021, 0)</f>
        <v>50.306399999999996</v>
      </c>
      <c r="G198" s="14">
        <f>50.5757 * CHOOSE(CONTROL!$C$9, $D$9, 100%, $F$9) + CHOOSE(CONTROL!$C$27, 0.0021, 0)</f>
        <v>50.577799999999996</v>
      </c>
      <c r="H198" s="14">
        <f>50.441 * CHOOSE(CONTROL!$C$9, $D$9, 100%, $F$9) + CHOOSE(CONTROL!$C$27, 0.0021, 0)</f>
        <v>50.443100000000001</v>
      </c>
      <c r="I198" s="14">
        <f>50.441 * CHOOSE(CONTROL!$C$9, $D$9, 100%, $F$9) + CHOOSE(CONTROL!$C$27, 0.0021, 0)</f>
        <v>50.443100000000001</v>
      </c>
      <c r="J198" s="14">
        <f>50.441 * CHOOSE(CONTROL!$C$9, $D$9, 100%, $F$9) + CHOOSE(CONTROL!$C$27, 0.0021, 0)</f>
        <v>50.443100000000001</v>
      </c>
      <c r="K198" s="14">
        <f>50.441 * CHOOSE(CONTROL!$C$9, $D$9, 100%, $F$9) + CHOOSE(CONTROL!$C$27, 0.0021, 0)</f>
        <v>50.443100000000001</v>
      </c>
      <c r="L198" s="14"/>
    </row>
    <row r="199" spans="1:12" ht="15" x14ac:dyDescent="0.2">
      <c r="A199" s="13">
        <v>46966</v>
      </c>
      <c r="B199" s="14">
        <f>51.2658 * CHOOSE(CONTROL!$C$9, $D$9, 100%, $F$9) + CHOOSE(CONTROL!$C$27, 0.0021, 0)</f>
        <v>51.267899999999997</v>
      </c>
      <c r="C199" s="14">
        <f>50.8335 * CHOOSE(CONTROL!$C$9, $D$9, 100%, $F$9) + CHOOSE(CONTROL!$C$27, 0.0021, 0)</f>
        <v>50.835599999999999</v>
      </c>
      <c r="D199" s="14">
        <f>50.8335 * CHOOSE(CONTROL!$C$9, $D$9, 100%, $F$9) + CHOOSE(CONTROL!$C$27, 0.0021, 0)</f>
        <v>50.835599999999999</v>
      </c>
      <c r="E199" s="14">
        <f>50.6968 * CHOOSE(CONTROL!$C$9, $D$9, 100%, $F$9) + CHOOSE(CONTROL!$C$27, 0.0021, 0)</f>
        <v>50.698900000000002</v>
      </c>
      <c r="F199" s="14">
        <f>50.6968 * CHOOSE(CONTROL!$C$9, $D$9, 100%, $F$9) + CHOOSE(CONTROL!$C$27, 0.0021, 0)</f>
        <v>50.698900000000002</v>
      </c>
      <c r="G199" s="14">
        <f>50.9682 * CHOOSE(CONTROL!$C$9, $D$9, 100%, $F$9) + CHOOSE(CONTROL!$C$27, 0.0021, 0)</f>
        <v>50.970300000000002</v>
      </c>
      <c r="H199" s="14">
        <f>50.8335 * CHOOSE(CONTROL!$C$9, $D$9, 100%, $F$9) + CHOOSE(CONTROL!$C$27, 0.0021, 0)</f>
        <v>50.835599999999999</v>
      </c>
      <c r="I199" s="14">
        <f>50.8335 * CHOOSE(CONTROL!$C$9, $D$9, 100%, $F$9) + CHOOSE(CONTROL!$C$27, 0.0021, 0)</f>
        <v>50.835599999999999</v>
      </c>
      <c r="J199" s="14">
        <f>50.8335 * CHOOSE(CONTROL!$C$9, $D$9, 100%, $F$9) + CHOOSE(CONTROL!$C$27, 0.0021, 0)</f>
        <v>50.835599999999999</v>
      </c>
      <c r="K199" s="14">
        <f>50.8335 * CHOOSE(CONTROL!$C$9, $D$9, 100%, $F$9) + CHOOSE(CONTROL!$C$27, 0.0021, 0)</f>
        <v>50.835599999999999</v>
      </c>
      <c r="L199" s="14"/>
    </row>
    <row r="200" spans="1:12" ht="15" x14ac:dyDescent="0.2">
      <c r="A200" s="13">
        <v>46997</v>
      </c>
      <c r="B200" s="14">
        <f>52.3646 * CHOOSE(CONTROL!$C$9, $D$9, 100%, $F$9) + CHOOSE(CONTROL!$C$27, 0.0021, 0)</f>
        <v>52.366700000000002</v>
      </c>
      <c r="C200" s="14">
        <f>51.9323 * CHOOSE(CONTROL!$C$9, $D$9, 100%, $F$9) + CHOOSE(CONTROL!$C$27, 0.0021, 0)</f>
        <v>51.934399999999997</v>
      </c>
      <c r="D200" s="14">
        <f>51.9323 * CHOOSE(CONTROL!$C$9, $D$9, 100%, $F$9) + CHOOSE(CONTROL!$C$27, 0.0021, 0)</f>
        <v>51.934399999999997</v>
      </c>
      <c r="E200" s="14">
        <f>51.7956 * CHOOSE(CONTROL!$C$9, $D$9, 100%, $F$9) + CHOOSE(CONTROL!$C$27, 0.0021, 0)</f>
        <v>51.797699999999999</v>
      </c>
      <c r="F200" s="14">
        <f>51.7956 * CHOOSE(CONTROL!$C$9, $D$9, 100%, $F$9) + CHOOSE(CONTROL!$C$27, 0.0021, 0)</f>
        <v>51.797699999999999</v>
      </c>
      <c r="G200" s="14">
        <f>52.067 * CHOOSE(CONTROL!$C$9, $D$9, 100%, $F$9) + CHOOSE(CONTROL!$C$27, 0.0021, 0)</f>
        <v>52.069099999999999</v>
      </c>
      <c r="H200" s="14">
        <f>51.9323 * CHOOSE(CONTROL!$C$9, $D$9, 100%, $F$9) + CHOOSE(CONTROL!$C$27, 0.0021, 0)</f>
        <v>51.934399999999997</v>
      </c>
      <c r="I200" s="14">
        <f>51.9323 * CHOOSE(CONTROL!$C$9, $D$9, 100%, $F$9) + CHOOSE(CONTROL!$C$27, 0.0021, 0)</f>
        <v>51.934399999999997</v>
      </c>
      <c r="J200" s="14">
        <f>51.9323 * CHOOSE(CONTROL!$C$9, $D$9, 100%, $F$9) + CHOOSE(CONTROL!$C$27, 0.0021, 0)</f>
        <v>51.934399999999997</v>
      </c>
      <c r="K200" s="14">
        <f>51.9323 * CHOOSE(CONTROL!$C$9, $D$9, 100%, $F$9) + CHOOSE(CONTROL!$C$27, 0.0021, 0)</f>
        <v>51.934399999999997</v>
      </c>
      <c r="L200" s="14"/>
    </row>
    <row r="201" spans="1:12" ht="15" x14ac:dyDescent="0.2">
      <c r="A201" s="13">
        <v>47027</v>
      </c>
      <c r="B201" s="14">
        <f>53.7335 * CHOOSE(CONTROL!$C$9, $D$9, 100%, $F$9) + CHOOSE(CONTROL!$C$27, 0.0021, 0)</f>
        <v>53.735599999999998</v>
      </c>
      <c r="C201" s="14">
        <f>53.3012 * CHOOSE(CONTROL!$C$9, $D$9, 100%, $F$9) + CHOOSE(CONTROL!$C$27, 0.0021, 0)</f>
        <v>53.3033</v>
      </c>
      <c r="D201" s="14">
        <f>53.3012 * CHOOSE(CONTROL!$C$9, $D$9, 100%, $F$9) + CHOOSE(CONTROL!$C$27, 0.0021, 0)</f>
        <v>53.3033</v>
      </c>
      <c r="E201" s="14">
        <f>53.1646 * CHOOSE(CONTROL!$C$9, $D$9, 100%, $F$9) + CHOOSE(CONTROL!$C$27, 0.0021, 0)</f>
        <v>53.166699999999999</v>
      </c>
      <c r="F201" s="14">
        <f>53.1646 * CHOOSE(CONTROL!$C$9, $D$9, 100%, $F$9) + CHOOSE(CONTROL!$C$27, 0.0021, 0)</f>
        <v>53.166699999999999</v>
      </c>
      <c r="G201" s="14">
        <f>53.436 * CHOOSE(CONTROL!$C$9, $D$9, 100%, $F$9) + CHOOSE(CONTROL!$C$27, 0.0021, 0)</f>
        <v>53.438099999999999</v>
      </c>
      <c r="H201" s="14">
        <f>53.3012 * CHOOSE(CONTROL!$C$9, $D$9, 100%, $F$9) + CHOOSE(CONTROL!$C$27, 0.0021, 0)</f>
        <v>53.3033</v>
      </c>
      <c r="I201" s="14">
        <f>53.3012 * CHOOSE(CONTROL!$C$9, $D$9, 100%, $F$9) + CHOOSE(CONTROL!$C$27, 0.0021, 0)</f>
        <v>53.3033</v>
      </c>
      <c r="J201" s="14">
        <f>53.3012 * CHOOSE(CONTROL!$C$9, $D$9, 100%, $F$9) + CHOOSE(CONTROL!$C$27, 0.0021, 0)</f>
        <v>53.3033</v>
      </c>
      <c r="K201" s="14">
        <f>53.3012 * CHOOSE(CONTROL!$C$9, $D$9, 100%, $F$9) + CHOOSE(CONTROL!$C$27, 0.0021, 0)</f>
        <v>53.3033</v>
      </c>
      <c r="L201" s="14"/>
    </row>
    <row r="202" spans="1:12" ht="15" x14ac:dyDescent="0.2">
      <c r="A202" s="13">
        <v>47058</v>
      </c>
      <c r="B202" s="14">
        <f>53.9585 * CHOOSE(CONTROL!$C$9, $D$9, 100%, $F$9) + CHOOSE(CONTROL!$C$27, 0.0021, 0)</f>
        <v>53.960599999999999</v>
      </c>
      <c r="C202" s="14">
        <f>53.5263 * CHOOSE(CONTROL!$C$9, $D$9, 100%, $F$9) + CHOOSE(CONTROL!$C$27, 0.0021, 0)</f>
        <v>53.528399999999998</v>
      </c>
      <c r="D202" s="14">
        <f>53.5263 * CHOOSE(CONTROL!$C$9, $D$9, 100%, $F$9) + CHOOSE(CONTROL!$C$27, 0.0021, 0)</f>
        <v>53.528399999999998</v>
      </c>
      <c r="E202" s="14">
        <f>53.3896 * CHOOSE(CONTROL!$C$9, $D$9, 100%, $F$9) + CHOOSE(CONTROL!$C$27, 0.0021, 0)</f>
        <v>53.3917</v>
      </c>
      <c r="F202" s="14">
        <f>53.3896 * CHOOSE(CONTROL!$C$9, $D$9, 100%, $F$9) + CHOOSE(CONTROL!$C$27, 0.0021, 0)</f>
        <v>53.3917</v>
      </c>
      <c r="G202" s="14">
        <f>53.661 * CHOOSE(CONTROL!$C$9, $D$9, 100%, $F$9) + CHOOSE(CONTROL!$C$27, 0.0021, 0)</f>
        <v>53.6631</v>
      </c>
      <c r="H202" s="14">
        <f>53.5263 * CHOOSE(CONTROL!$C$9, $D$9, 100%, $F$9) + CHOOSE(CONTROL!$C$27, 0.0021, 0)</f>
        <v>53.528399999999998</v>
      </c>
      <c r="I202" s="14">
        <f>53.5263 * CHOOSE(CONTROL!$C$9, $D$9, 100%, $F$9) + CHOOSE(CONTROL!$C$27, 0.0021, 0)</f>
        <v>53.528399999999998</v>
      </c>
      <c r="J202" s="14">
        <f>53.5263 * CHOOSE(CONTROL!$C$9, $D$9, 100%, $F$9) + CHOOSE(CONTROL!$C$27, 0.0021, 0)</f>
        <v>53.528399999999998</v>
      </c>
      <c r="K202" s="14">
        <f>53.5263 * CHOOSE(CONTROL!$C$9, $D$9, 100%, $F$9) + CHOOSE(CONTROL!$C$27, 0.0021, 0)</f>
        <v>53.528399999999998</v>
      </c>
      <c r="L202" s="14"/>
    </row>
    <row r="203" spans="1:12" ht="15" x14ac:dyDescent="0.2">
      <c r="A203" s="13">
        <v>47088</v>
      </c>
      <c r="B203" s="14">
        <f>53.0498 * CHOOSE(CONTROL!$C$9, $D$9, 100%, $F$9) + CHOOSE(CONTROL!$C$27, 0.0021, 0)</f>
        <v>53.051899999999996</v>
      </c>
      <c r="C203" s="14">
        <f>52.6176 * CHOOSE(CONTROL!$C$9, $D$9, 100%, $F$9) + CHOOSE(CONTROL!$C$27, 0.0021, 0)</f>
        <v>52.619700000000002</v>
      </c>
      <c r="D203" s="14">
        <f>52.6176 * CHOOSE(CONTROL!$C$9, $D$9, 100%, $F$9) + CHOOSE(CONTROL!$C$27, 0.0021, 0)</f>
        <v>52.619700000000002</v>
      </c>
      <c r="E203" s="14">
        <f>52.4809 * CHOOSE(CONTROL!$C$9, $D$9, 100%, $F$9) + CHOOSE(CONTROL!$C$27, 0.0021, 0)</f>
        <v>52.482999999999997</v>
      </c>
      <c r="F203" s="14">
        <f>52.4809 * CHOOSE(CONTROL!$C$9, $D$9, 100%, $F$9) + CHOOSE(CONTROL!$C$27, 0.0021, 0)</f>
        <v>52.482999999999997</v>
      </c>
      <c r="G203" s="14">
        <f>52.7523 * CHOOSE(CONTROL!$C$9, $D$9, 100%, $F$9) + CHOOSE(CONTROL!$C$27, 0.0021, 0)</f>
        <v>52.754399999999997</v>
      </c>
      <c r="H203" s="14">
        <f>52.6176 * CHOOSE(CONTROL!$C$9, $D$9, 100%, $F$9) + CHOOSE(CONTROL!$C$27, 0.0021, 0)</f>
        <v>52.619700000000002</v>
      </c>
      <c r="I203" s="14">
        <f>52.6176 * CHOOSE(CONTROL!$C$9, $D$9, 100%, $F$9) + CHOOSE(CONTROL!$C$27, 0.0021, 0)</f>
        <v>52.619700000000002</v>
      </c>
      <c r="J203" s="14">
        <f>52.6176 * CHOOSE(CONTROL!$C$9, $D$9, 100%, $F$9) + CHOOSE(CONTROL!$C$27, 0.0021, 0)</f>
        <v>52.619700000000002</v>
      </c>
      <c r="K203" s="14">
        <f>52.6176 * CHOOSE(CONTROL!$C$9, $D$9, 100%, $F$9) + CHOOSE(CONTROL!$C$27, 0.0021, 0)</f>
        <v>52.619700000000002</v>
      </c>
      <c r="L203" s="14"/>
    </row>
    <row r="204" spans="1:12" ht="15" x14ac:dyDescent="0.2">
      <c r="A204" s="13">
        <v>47119</v>
      </c>
      <c r="B204" s="14">
        <f>52.5138 * CHOOSE(CONTROL!$C$9, $D$9, 100%, $F$9) + CHOOSE(CONTROL!$C$27, 0.0021, 0)</f>
        <v>52.515900000000002</v>
      </c>
      <c r="C204" s="14">
        <f>52.0816 * CHOOSE(CONTROL!$C$9, $D$9, 100%, $F$9) + CHOOSE(CONTROL!$C$27, 0.0021, 0)</f>
        <v>52.0837</v>
      </c>
      <c r="D204" s="14">
        <f>52.0816 * CHOOSE(CONTROL!$C$9, $D$9, 100%, $F$9) + CHOOSE(CONTROL!$C$27, 0.0021, 0)</f>
        <v>52.0837</v>
      </c>
      <c r="E204" s="14">
        <f>51.9449 * CHOOSE(CONTROL!$C$9, $D$9, 100%, $F$9) + CHOOSE(CONTROL!$C$27, 0.0021, 0)</f>
        <v>51.946999999999996</v>
      </c>
      <c r="F204" s="14">
        <f>51.9449 * CHOOSE(CONTROL!$C$9, $D$9, 100%, $F$9) + CHOOSE(CONTROL!$C$27, 0.0021, 0)</f>
        <v>51.946999999999996</v>
      </c>
      <c r="G204" s="14">
        <f>52.2163 * CHOOSE(CONTROL!$C$9, $D$9, 100%, $F$9) + CHOOSE(CONTROL!$C$27, 0.0021, 0)</f>
        <v>52.218399999999995</v>
      </c>
      <c r="H204" s="14">
        <f>52.0816 * CHOOSE(CONTROL!$C$9, $D$9, 100%, $F$9) + CHOOSE(CONTROL!$C$27, 0.0021, 0)</f>
        <v>52.0837</v>
      </c>
      <c r="I204" s="14">
        <f>52.0816 * CHOOSE(CONTROL!$C$9, $D$9, 100%, $F$9) + CHOOSE(CONTROL!$C$27, 0.0021, 0)</f>
        <v>52.0837</v>
      </c>
      <c r="J204" s="14">
        <f>52.0816 * CHOOSE(CONTROL!$C$9, $D$9, 100%, $F$9) + CHOOSE(CONTROL!$C$27, 0.0021, 0)</f>
        <v>52.0837</v>
      </c>
      <c r="K204" s="14">
        <f>52.0816 * CHOOSE(CONTROL!$C$9, $D$9, 100%, $F$9) + CHOOSE(CONTROL!$C$27, 0.0021, 0)</f>
        <v>52.0837</v>
      </c>
      <c r="L204" s="14"/>
    </row>
    <row r="205" spans="1:12" ht="15" x14ac:dyDescent="0.2">
      <c r="A205" s="13">
        <v>47150</v>
      </c>
      <c r="B205" s="14">
        <f>51.1938 * CHOOSE(CONTROL!$C$9, $D$9, 100%, $F$9) + CHOOSE(CONTROL!$C$27, 0.0021, 0)</f>
        <v>51.195900000000002</v>
      </c>
      <c r="C205" s="14">
        <f>50.7616 * CHOOSE(CONTROL!$C$9, $D$9, 100%, $F$9) + CHOOSE(CONTROL!$C$27, 0.0021, 0)</f>
        <v>50.7637</v>
      </c>
      <c r="D205" s="14">
        <f>50.7616 * CHOOSE(CONTROL!$C$9, $D$9, 100%, $F$9) + CHOOSE(CONTROL!$C$27, 0.0021, 0)</f>
        <v>50.7637</v>
      </c>
      <c r="E205" s="14">
        <f>50.6249 * CHOOSE(CONTROL!$C$9, $D$9, 100%, $F$9) + CHOOSE(CONTROL!$C$27, 0.0021, 0)</f>
        <v>50.626999999999995</v>
      </c>
      <c r="F205" s="14">
        <f>50.6249 * CHOOSE(CONTROL!$C$9, $D$9, 100%, $F$9) + CHOOSE(CONTROL!$C$27, 0.0021, 0)</f>
        <v>50.626999999999995</v>
      </c>
      <c r="G205" s="14">
        <f>50.8963 * CHOOSE(CONTROL!$C$9, $D$9, 100%, $F$9) + CHOOSE(CONTROL!$C$27, 0.0021, 0)</f>
        <v>50.898399999999995</v>
      </c>
      <c r="H205" s="14">
        <f>50.7616 * CHOOSE(CONTROL!$C$9, $D$9, 100%, $F$9) + CHOOSE(CONTROL!$C$27, 0.0021, 0)</f>
        <v>50.7637</v>
      </c>
      <c r="I205" s="14">
        <f>50.7616 * CHOOSE(CONTROL!$C$9, $D$9, 100%, $F$9) + CHOOSE(CONTROL!$C$27, 0.0021, 0)</f>
        <v>50.7637</v>
      </c>
      <c r="J205" s="14">
        <f>50.7616 * CHOOSE(CONTROL!$C$9, $D$9, 100%, $F$9) + CHOOSE(CONTROL!$C$27, 0.0021, 0)</f>
        <v>50.7637</v>
      </c>
      <c r="K205" s="14">
        <f>50.7616 * CHOOSE(CONTROL!$C$9, $D$9, 100%, $F$9) + CHOOSE(CONTROL!$C$27, 0.0021, 0)</f>
        <v>50.7637</v>
      </c>
      <c r="L205" s="14"/>
    </row>
    <row r="206" spans="1:12" ht="15" x14ac:dyDescent="0.2">
      <c r="A206" s="13">
        <v>47178</v>
      </c>
      <c r="B206" s="14">
        <f>50.7057 * CHOOSE(CONTROL!$C$9, $D$9, 100%, $F$9) + CHOOSE(CONTROL!$C$27, 0.0021, 0)</f>
        <v>50.707799999999999</v>
      </c>
      <c r="C206" s="14">
        <f>50.2735 * CHOOSE(CONTROL!$C$9, $D$9, 100%, $F$9) + CHOOSE(CONTROL!$C$27, 0.0021, 0)</f>
        <v>50.275599999999997</v>
      </c>
      <c r="D206" s="14">
        <f>50.2735 * CHOOSE(CONTROL!$C$9, $D$9, 100%, $F$9) + CHOOSE(CONTROL!$C$27, 0.0021, 0)</f>
        <v>50.275599999999997</v>
      </c>
      <c r="E206" s="14">
        <f>50.1368 * CHOOSE(CONTROL!$C$9, $D$9, 100%, $F$9) + CHOOSE(CONTROL!$C$27, 0.0021, 0)</f>
        <v>50.1389</v>
      </c>
      <c r="F206" s="14">
        <f>50.1368 * CHOOSE(CONTROL!$C$9, $D$9, 100%, $F$9) + CHOOSE(CONTROL!$C$27, 0.0021, 0)</f>
        <v>50.1389</v>
      </c>
      <c r="G206" s="14">
        <f>50.4082 * CHOOSE(CONTROL!$C$9, $D$9, 100%, $F$9) + CHOOSE(CONTROL!$C$27, 0.0021, 0)</f>
        <v>50.410299999999999</v>
      </c>
      <c r="H206" s="14">
        <f>50.2735 * CHOOSE(CONTROL!$C$9, $D$9, 100%, $F$9) + CHOOSE(CONTROL!$C$27, 0.0021, 0)</f>
        <v>50.275599999999997</v>
      </c>
      <c r="I206" s="14">
        <f>50.2735 * CHOOSE(CONTROL!$C$9, $D$9, 100%, $F$9) + CHOOSE(CONTROL!$C$27, 0.0021, 0)</f>
        <v>50.275599999999997</v>
      </c>
      <c r="J206" s="14">
        <f>50.2735 * CHOOSE(CONTROL!$C$9, $D$9, 100%, $F$9) + CHOOSE(CONTROL!$C$27, 0.0021, 0)</f>
        <v>50.275599999999997</v>
      </c>
      <c r="K206" s="14">
        <f>50.2735 * CHOOSE(CONTROL!$C$9, $D$9, 100%, $F$9) + CHOOSE(CONTROL!$C$27, 0.0021, 0)</f>
        <v>50.275599999999997</v>
      </c>
      <c r="L206" s="14"/>
    </row>
    <row r="207" spans="1:12" ht="15" x14ac:dyDescent="0.2">
      <c r="A207" s="13">
        <v>47209</v>
      </c>
      <c r="B207" s="14">
        <f>50.1009 * CHOOSE(CONTROL!$C$9, $D$9, 100%, $F$9) + CHOOSE(CONTROL!$C$27, 0.0021, 0)</f>
        <v>50.103000000000002</v>
      </c>
      <c r="C207" s="14">
        <f>49.6687 * CHOOSE(CONTROL!$C$9, $D$9, 100%, $F$9) + CHOOSE(CONTROL!$C$27, 0.0021, 0)</f>
        <v>49.6708</v>
      </c>
      <c r="D207" s="14">
        <f>49.6687 * CHOOSE(CONTROL!$C$9, $D$9, 100%, $F$9) + CHOOSE(CONTROL!$C$27, 0.0021, 0)</f>
        <v>49.6708</v>
      </c>
      <c r="E207" s="14">
        <f>49.532 * CHOOSE(CONTROL!$C$9, $D$9, 100%, $F$9) + CHOOSE(CONTROL!$C$27, 0.0021, 0)</f>
        <v>49.534099999999995</v>
      </c>
      <c r="F207" s="14">
        <f>49.532 * CHOOSE(CONTROL!$C$9, $D$9, 100%, $F$9) + CHOOSE(CONTROL!$C$27, 0.0021, 0)</f>
        <v>49.534099999999995</v>
      </c>
      <c r="G207" s="14">
        <f>49.8034 * CHOOSE(CONTROL!$C$9, $D$9, 100%, $F$9) + CHOOSE(CONTROL!$C$27, 0.0021, 0)</f>
        <v>49.805500000000002</v>
      </c>
      <c r="H207" s="14">
        <f>49.6687 * CHOOSE(CONTROL!$C$9, $D$9, 100%, $F$9) + CHOOSE(CONTROL!$C$27, 0.0021, 0)</f>
        <v>49.6708</v>
      </c>
      <c r="I207" s="14">
        <f>49.6687 * CHOOSE(CONTROL!$C$9, $D$9, 100%, $F$9) + CHOOSE(CONTROL!$C$27, 0.0021, 0)</f>
        <v>49.6708</v>
      </c>
      <c r="J207" s="14">
        <f>49.6687 * CHOOSE(CONTROL!$C$9, $D$9, 100%, $F$9) + CHOOSE(CONTROL!$C$27, 0.0021, 0)</f>
        <v>49.6708</v>
      </c>
      <c r="K207" s="14">
        <f>49.6687 * CHOOSE(CONTROL!$C$9, $D$9, 100%, $F$9) + CHOOSE(CONTROL!$C$27, 0.0021, 0)</f>
        <v>49.6708</v>
      </c>
      <c r="L207" s="14"/>
    </row>
    <row r="208" spans="1:12" ht="15" x14ac:dyDescent="0.2">
      <c r="A208" s="13">
        <v>47239</v>
      </c>
      <c r="B208" s="14">
        <f>51.2055 * CHOOSE(CONTROL!$C$9, $D$9, 100%, $F$9) + CHOOSE(CONTROL!$C$27, 0.0021, 0)</f>
        <v>51.207599999999999</v>
      </c>
      <c r="C208" s="14">
        <f>50.7732 * CHOOSE(CONTROL!$C$9, $D$9, 100%, $F$9) + CHOOSE(CONTROL!$C$27, 0.0021, 0)</f>
        <v>50.775300000000001</v>
      </c>
      <c r="D208" s="14">
        <f>50.7732 * CHOOSE(CONTROL!$C$9, $D$9, 100%, $F$9) + CHOOSE(CONTROL!$C$27, 0.0021, 0)</f>
        <v>50.775300000000001</v>
      </c>
      <c r="E208" s="14">
        <f>50.6366 * CHOOSE(CONTROL!$C$9, $D$9, 100%, $F$9) + CHOOSE(CONTROL!$C$27, 0.0021, 0)</f>
        <v>50.6387</v>
      </c>
      <c r="F208" s="14">
        <f>50.6366 * CHOOSE(CONTROL!$C$9, $D$9, 100%, $F$9) + CHOOSE(CONTROL!$C$27, 0.0021, 0)</f>
        <v>50.6387</v>
      </c>
      <c r="G208" s="14">
        <f>50.908 * CHOOSE(CONTROL!$C$9, $D$9, 100%, $F$9) + CHOOSE(CONTROL!$C$27, 0.0021, 0)</f>
        <v>50.9101</v>
      </c>
      <c r="H208" s="14">
        <f>50.7732 * CHOOSE(CONTROL!$C$9, $D$9, 100%, $F$9) + CHOOSE(CONTROL!$C$27, 0.0021, 0)</f>
        <v>50.775300000000001</v>
      </c>
      <c r="I208" s="14">
        <f>50.7732 * CHOOSE(CONTROL!$C$9, $D$9, 100%, $F$9) + CHOOSE(CONTROL!$C$27, 0.0021, 0)</f>
        <v>50.775300000000001</v>
      </c>
      <c r="J208" s="14">
        <f>50.7732 * CHOOSE(CONTROL!$C$9, $D$9, 100%, $F$9) + CHOOSE(CONTROL!$C$27, 0.0021, 0)</f>
        <v>50.775300000000001</v>
      </c>
      <c r="K208" s="14">
        <f>50.7732 * CHOOSE(CONTROL!$C$9, $D$9, 100%, $F$9) + CHOOSE(CONTROL!$C$27, 0.0021, 0)</f>
        <v>50.775300000000001</v>
      </c>
      <c r="L208" s="14"/>
    </row>
    <row r="209" spans="1:12" ht="15" x14ac:dyDescent="0.2">
      <c r="A209" s="13">
        <v>47270</v>
      </c>
      <c r="B209" s="14">
        <f>51.9101 * CHOOSE(CONTROL!$C$9, $D$9, 100%, $F$9) + CHOOSE(CONTROL!$C$27, 0.0021, 0)</f>
        <v>51.912199999999999</v>
      </c>
      <c r="C209" s="14">
        <f>51.4778 * CHOOSE(CONTROL!$C$9, $D$9, 100%, $F$9) + CHOOSE(CONTROL!$C$27, 0.0021, 0)</f>
        <v>51.479900000000001</v>
      </c>
      <c r="D209" s="14">
        <f>51.4778 * CHOOSE(CONTROL!$C$9, $D$9, 100%, $F$9) + CHOOSE(CONTROL!$C$27, 0.0021, 0)</f>
        <v>51.479900000000001</v>
      </c>
      <c r="E209" s="14">
        <f>51.3412 * CHOOSE(CONTROL!$C$9, $D$9, 100%, $F$9) + CHOOSE(CONTROL!$C$27, 0.0021, 0)</f>
        <v>51.343299999999999</v>
      </c>
      <c r="F209" s="14">
        <f>51.3412 * CHOOSE(CONTROL!$C$9, $D$9, 100%, $F$9) + CHOOSE(CONTROL!$C$27, 0.0021, 0)</f>
        <v>51.343299999999999</v>
      </c>
      <c r="G209" s="14">
        <f>51.6125 * CHOOSE(CONTROL!$C$9, $D$9, 100%, $F$9) + CHOOSE(CONTROL!$C$27, 0.0021, 0)</f>
        <v>51.614599999999996</v>
      </c>
      <c r="H209" s="14">
        <f>51.4778 * CHOOSE(CONTROL!$C$9, $D$9, 100%, $F$9) + CHOOSE(CONTROL!$C$27, 0.0021, 0)</f>
        <v>51.479900000000001</v>
      </c>
      <c r="I209" s="14">
        <f>51.4778 * CHOOSE(CONTROL!$C$9, $D$9, 100%, $F$9) + CHOOSE(CONTROL!$C$27, 0.0021, 0)</f>
        <v>51.479900000000001</v>
      </c>
      <c r="J209" s="14">
        <f>51.4778 * CHOOSE(CONTROL!$C$9, $D$9, 100%, $F$9) + CHOOSE(CONTROL!$C$27, 0.0021, 0)</f>
        <v>51.479900000000001</v>
      </c>
      <c r="K209" s="14">
        <f>51.4778 * CHOOSE(CONTROL!$C$9, $D$9, 100%, $F$9) + CHOOSE(CONTROL!$C$27, 0.0021, 0)</f>
        <v>51.479900000000001</v>
      </c>
      <c r="L209" s="14"/>
    </row>
    <row r="210" spans="1:12" ht="15" x14ac:dyDescent="0.2">
      <c r="A210" s="13">
        <v>47300</v>
      </c>
      <c r="B210" s="14">
        <f>53.0104 * CHOOSE(CONTROL!$C$9, $D$9, 100%, $F$9) + CHOOSE(CONTROL!$C$27, 0.0021, 0)</f>
        <v>53.012499999999996</v>
      </c>
      <c r="C210" s="14">
        <f>52.5782 * CHOOSE(CONTROL!$C$9, $D$9, 100%, $F$9) + CHOOSE(CONTROL!$C$27, 0.0021, 0)</f>
        <v>52.580300000000001</v>
      </c>
      <c r="D210" s="14">
        <f>52.5782 * CHOOSE(CONTROL!$C$9, $D$9, 100%, $F$9) + CHOOSE(CONTROL!$C$27, 0.0021, 0)</f>
        <v>52.580300000000001</v>
      </c>
      <c r="E210" s="14">
        <f>52.4415 * CHOOSE(CONTROL!$C$9, $D$9, 100%, $F$9) + CHOOSE(CONTROL!$C$27, 0.0021, 0)</f>
        <v>52.443599999999996</v>
      </c>
      <c r="F210" s="14">
        <f>52.4415 * CHOOSE(CONTROL!$C$9, $D$9, 100%, $F$9) + CHOOSE(CONTROL!$C$27, 0.0021, 0)</f>
        <v>52.443599999999996</v>
      </c>
      <c r="G210" s="14">
        <f>52.7129 * CHOOSE(CONTROL!$C$9, $D$9, 100%, $F$9) + CHOOSE(CONTROL!$C$27, 0.0021, 0)</f>
        <v>52.714999999999996</v>
      </c>
      <c r="H210" s="14">
        <f>52.5782 * CHOOSE(CONTROL!$C$9, $D$9, 100%, $F$9) + CHOOSE(CONTROL!$C$27, 0.0021, 0)</f>
        <v>52.580300000000001</v>
      </c>
      <c r="I210" s="14">
        <f>52.5782 * CHOOSE(CONTROL!$C$9, $D$9, 100%, $F$9) + CHOOSE(CONTROL!$C$27, 0.0021, 0)</f>
        <v>52.580300000000001</v>
      </c>
      <c r="J210" s="14">
        <f>52.5782 * CHOOSE(CONTROL!$C$9, $D$9, 100%, $F$9) + CHOOSE(CONTROL!$C$27, 0.0021, 0)</f>
        <v>52.580300000000001</v>
      </c>
      <c r="K210" s="14">
        <f>52.5782 * CHOOSE(CONTROL!$C$9, $D$9, 100%, $F$9) + CHOOSE(CONTROL!$C$27, 0.0021, 0)</f>
        <v>52.580300000000001</v>
      </c>
      <c r="L210" s="14"/>
    </row>
    <row r="211" spans="1:12" ht="15" x14ac:dyDescent="0.2">
      <c r="A211" s="13">
        <v>47331</v>
      </c>
      <c r="B211" s="14">
        <f>53.4202 * CHOOSE(CONTROL!$C$9, $D$9, 100%, $F$9) + CHOOSE(CONTROL!$C$27, 0.0021, 0)</f>
        <v>53.4223</v>
      </c>
      <c r="C211" s="14">
        <f>52.988 * CHOOSE(CONTROL!$C$9, $D$9, 100%, $F$9) + CHOOSE(CONTROL!$C$27, 0.0021, 0)</f>
        <v>52.990099999999998</v>
      </c>
      <c r="D211" s="14">
        <f>52.988 * CHOOSE(CONTROL!$C$9, $D$9, 100%, $F$9) + CHOOSE(CONTROL!$C$27, 0.0021, 0)</f>
        <v>52.990099999999998</v>
      </c>
      <c r="E211" s="14">
        <f>52.8513 * CHOOSE(CONTROL!$C$9, $D$9, 100%, $F$9) + CHOOSE(CONTROL!$C$27, 0.0021, 0)</f>
        <v>52.853400000000001</v>
      </c>
      <c r="F211" s="14">
        <f>52.8513 * CHOOSE(CONTROL!$C$9, $D$9, 100%, $F$9) + CHOOSE(CONTROL!$C$27, 0.0021, 0)</f>
        <v>52.853400000000001</v>
      </c>
      <c r="G211" s="14">
        <f>53.1227 * CHOOSE(CONTROL!$C$9, $D$9, 100%, $F$9) + CHOOSE(CONTROL!$C$27, 0.0021, 0)</f>
        <v>53.1248</v>
      </c>
      <c r="H211" s="14">
        <f>52.988 * CHOOSE(CONTROL!$C$9, $D$9, 100%, $F$9) + CHOOSE(CONTROL!$C$27, 0.0021, 0)</f>
        <v>52.990099999999998</v>
      </c>
      <c r="I211" s="14">
        <f>52.988 * CHOOSE(CONTROL!$C$9, $D$9, 100%, $F$9) + CHOOSE(CONTROL!$C$27, 0.0021, 0)</f>
        <v>52.990099999999998</v>
      </c>
      <c r="J211" s="14">
        <f>52.988 * CHOOSE(CONTROL!$C$9, $D$9, 100%, $F$9) + CHOOSE(CONTROL!$C$27, 0.0021, 0)</f>
        <v>52.990099999999998</v>
      </c>
      <c r="K211" s="14">
        <f>52.988 * CHOOSE(CONTROL!$C$9, $D$9, 100%, $F$9) + CHOOSE(CONTROL!$C$27, 0.0021, 0)</f>
        <v>52.990099999999998</v>
      </c>
      <c r="L211" s="14"/>
    </row>
    <row r="212" spans="1:12" ht="15" x14ac:dyDescent="0.2">
      <c r="A212" s="13">
        <v>47362</v>
      </c>
      <c r="B212" s="14">
        <f>54.5674 * CHOOSE(CONTROL!$C$9, $D$9, 100%, $F$9) + CHOOSE(CONTROL!$C$27, 0.0021, 0)</f>
        <v>54.569499999999998</v>
      </c>
      <c r="C212" s="14">
        <f>54.1351 * CHOOSE(CONTROL!$C$9, $D$9, 100%, $F$9) + CHOOSE(CONTROL!$C$27, 0.0021, 0)</f>
        <v>54.1372</v>
      </c>
      <c r="D212" s="14">
        <f>54.1351 * CHOOSE(CONTROL!$C$9, $D$9, 100%, $F$9) + CHOOSE(CONTROL!$C$27, 0.0021, 0)</f>
        <v>54.1372</v>
      </c>
      <c r="E212" s="14">
        <f>53.9984 * CHOOSE(CONTROL!$C$9, $D$9, 100%, $F$9) + CHOOSE(CONTROL!$C$27, 0.0021, 0)</f>
        <v>54.000499999999995</v>
      </c>
      <c r="F212" s="14">
        <f>53.9984 * CHOOSE(CONTROL!$C$9, $D$9, 100%, $F$9) + CHOOSE(CONTROL!$C$27, 0.0021, 0)</f>
        <v>54.000499999999995</v>
      </c>
      <c r="G212" s="14">
        <f>54.2698 * CHOOSE(CONTROL!$C$9, $D$9, 100%, $F$9) + CHOOSE(CONTROL!$C$27, 0.0021, 0)</f>
        <v>54.271899999999995</v>
      </c>
      <c r="H212" s="14">
        <f>54.1351 * CHOOSE(CONTROL!$C$9, $D$9, 100%, $F$9) + CHOOSE(CONTROL!$C$27, 0.0021, 0)</f>
        <v>54.1372</v>
      </c>
      <c r="I212" s="14">
        <f>54.1351 * CHOOSE(CONTROL!$C$9, $D$9, 100%, $F$9) + CHOOSE(CONTROL!$C$27, 0.0021, 0)</f>
        <v>54.1372</v>
      </c>
      <c r="J212" s="14">
        <f>54.1351 * CHOOSE(CONTROL!$C$9, $D$9, 100%, $F$9) + CHOOSE(CONTROL!$C$27, 0.0021, 0)</f>
        <v>54.1372</v>
      </c>
      <c r="K212" s="14">
        <f>54.1351 * CHOOSE(CONTROL!$C$9, $D$9, 100%, $F$9) + CHOOSE(CONTROL!$C$27, 0.0021, 0)</f>
        <v>54.1372</v>
      </c>
      <c r="L212" s="14"/>
    </row>
    <row r="213" spans="1:12" ht="15" x14ac:dyDescent="0.2">
      <c r="A213" s="13">
        <v>47392</v>
      </c>
      <c r="B213" s="14">
        <f>55.9965 * CHOOSE(CONTROL!$C$9, $D$9, 100%, $F$9) + CHOOSE(CONTROL!$C$27, 0.0021, 0)</f>
        <v>55.998599999999996</v>
      </c>
      <c r="C213" s="14">
        <f>55.5643 * CHOOSE(CONTROL!$C$9, $D$9, 100%, $F$9) + CHOOSE(CONTROL!$C$27, 0.0021, 0)</f>
        <v>55.566400000000002</v>
      </c>
      <c r="D213" s="14">
        <f>55.5643 * CHOOSE(CONTROL!$C$9, $D$9, 100%, $F$9) + CHOOSE(CONTROL!$C$27, 0.0021, 0)</f>
        <v>55.566400000000002</v>
      </c>
      <c r="E213" s="14">
        <f>55.4276 * CHOOSE(CONTROL!$C$9, $D$9, 100%, $F$9) + CHOOSE(CONTROL!$C$27, 0.0021, 0)</f>
        <v>55.429699999999997</v>
      </c>
      <c r="F213" s="14">
        <f>55.4276 * CHOOSE(CONTROL!$C$9, $D$9, 100%, $F$9) + CHOOSE(CONTROL!$C$27, 0.0021, 0)</f>
        <v>55.429699999999997</v>
      </c>
      <c r="G213" s="14">
        <f>55.699 * CHOOSE(CONTROL!$C$9, $D$9, 100%, $F$9) + CHOOSE(CONTROL!$C$27, 0.0021, 0)</f>
        <v>55.701099999999997</v>
      </c>
      <c r="H213" s="14">
        <f>55.5643 * CHOOSE(CONTROL!$C$9, $D$9, 100%, $F$9) + CHOOSE(CONTROL!$C$27, 0.0021, 0)</f>
        <v>55.566400000000002</v>
      </c>
      <c r="I213" s="14">
        <f>55.5643 * CHOOSE(CONTROL!$C$9, $D$9, 100%, $F$9) + CHOOSE(CONTROL!$C$27, 0.0021, 0)</f>
        <v>55.566400000000002</v>
      </c>
      <c r="J213" s="14">
        <f>55.5643 * CHOOSE(CONTROL!$C$9, $D$9, 100%, $F$9) + CHOOSE(CONTROL!$C$27, 0.0021, 0)</f>
        <v>55.566400000000002</v>
      </c>
      <c r="K213" s="14">
        <f>55.5643 * CHOOSE(CONTROL!$C$9, $D$9, 100%, $F$9) + CHOOSE(CONTROL!$C$27, 0.0021, 0)</f>
        <v>55.566400000000002</v>
      </c>
      <c r="L213" s="14"/>
    </row>
    <row r="214" spans="1:12" ht="15" x14ac:dyDescent="0.2">
      <c r="A214" s="13">
        <v>47423</v>
      </c>
      <c r="B214" s="14">
        <f>56.2315 * CHOOSE(CONTROL!$C$9, $D$9, 100%, $F$9) + CHOOSE(CONTROL!$C$27, 0.0021, 0)</f>
        <v>56.233599999999996</v>
      </c>
      <c r="C214" s="14">
        <f>55.7992 * CHOOSE(CONTROL!$C$9, $D$9, 100%, $F$9) + CHOOSE(CONTROL!$C$27, 0.0021, 0)</f>
        <v>55.801299999999998</v>
      </c>
      <c r="D214" s="14">
        <f>55.7992 * CHOOSE(CONTROL!$C$9, $D$9, 100%, $F$9) + CHOOSE(CONTROL!$C$27, 0.0021, 0)</f>
        <v>55.801299999999998</v>
      </c>
      <c r="E214" s="14">
        <f>55.6625 * CHOOSE(CONTROL!$C$9, $D$9, 100%, $F$9) + CHOOSE(CONTROL!$C$27, 0.0021, 0)</f>
        <v>55.6646</v>
      </c>
      <c r="F214" s="14">
        <f>55.6625 * CHOOSE(CONTROL!$C$9, $D$9, 100%, $F$9) + CHOOSE(CONTROL!$C$27, 0.0021, 0)</f>
        <v>55.6646</v>
      </c>
      <c r="G214" s="14">
        <f>55.9339 * CHOOSE(CONTROL!$C$9, $D$9, 100%, $F$9) + CHOOSE(CONTROL!$C$27, 0.0021, 0)</f>
        <v>55.936</v>
      </c>
      <c r="H214" s="14">
        <f>55.7992 * CHOOSE(CONTROL!$C$9, $D$9, 100%, $F$9) + CHOOSE(CONTROL!$C$27, 0.0021, 0)</f>
        <v>55.801299999999998</v>
      </c>
      <c r="I214" s="14">
        <f>55.7992 * CHOOSE(CONTROL!$C$9, $D$9, 100%, $F$9) + CHOOSE(CONTROL!$C$27, 0.0021, 0)</f>
        <v>55.801299999999998</v>
      </c>
      <c r="J214" s="14">
        <f>55.7992 * CHOOSE(CONTROL!$C$9, $D$9, 100%, $F$9) + CHOOSE(CONTROL!$C$27, 0.0021, 0)</f>
        <v>55.801299999999998</v>
      </c>
      <c r="K214" s="14">
        <f>55.7992 * CHOOSE(CONTROL!$C$9, $D$9, 100%, $F$9) + CHOOSE(CONTROL!$C$27, 0.0021, 0)</f>
        <v>55.801299999999998</v>
      </c>
      <c r="L214" s="14"/>
    </row>
    <row r="215" spans="1:12" ht="15" x14ac:dyDescent="0.2">
      <c r="A215" s="13">
        <v>47453</v>
      </c>
      <c r="B215" s="14">
        <f>55.2828 * CHOOSE(CONTROL!$C$9, $D$9, 100%, $F$9) + CHOOSE(CONTROL!$C$27, 0.0021, 0)</f>
        <v>55.2849</v>
      </c>
      <c r="C215" s="14">
        <f>54.8505 * CHOOSE(CONTROL!$C$9, $D$9, 100%, $F$9) + CHOOSE(CONTROL!$C$27, 0.0021, 0)</f>
        <v>54.852599999999995</v>
      </c>
      <c r="D215" s="14">
        <f>54.8505 * CHOOSE(CONTROL!$C$9, $D$9, 100%, $F$9) + CHOOSE(CONTROL!$C$27, 0.0021, 0)</f>
        <v>54.852599999999995</v>
      </c>
      <c r="E215" s="14">
        <f>54.7139 * CHOOSE(CONTROL!$C$9, $D$9, 100%, $F$9) + CHOOSE(CONTROL!$C$27, 0.0021, 0)</f>
        <v>54.716000000000001</v>
      </c>
      <c r="F215" s="14">
        <f>54.7139 * CHOOSE(CONTROL!$C$9, $D$9, 100%, $F$9) + CHOOSE(CONTROL!$C$27, 0.0021, 0)</f>
        <v>54.716000000000001</v>
      </c>
      <c r="G215" s="14">
        <f>54.9852 * CHOOSE(CONTROL!$C$9, $D$9, 100%, $F$9) + CHOOSE(CONTROL!$C$27, 0.0021, 0)</f>
        <v>54.987299999999998</v>
      </c>
      <c r="H215" s="14">
        <f>54.8505 * CHOOSE(CONTROL!$C$9, $D$9, 100%, $F$9) + CHOOSE(CONTROL!$C$27, 0.0021, 0)</f>
        <v>54.852599999999995</v>
      </c>
      <c r="I215" s="14">
        <f>54.8505 * CHOOSE(CONTROL!$C$9, $D$9, 100%, $F$9) + CHOOSE(CONTROL!$C$27, 0.0021, 0)</f>
        <v>54.852599999999995</v>
      </c>
      <c r="J215" s="14">
        <f>54.8505 * CHOOSE(CONTROL!$C$9, $D$9, 100%, $F$9) + CHOOSE(CONTROL!$C$27, 0.0021, 0)</f>
        <v>54.852599999999995</v>
      </c>
      <c r="K215" s="14">
        <f>54.8505 * CHOOSE(CONTROL!$C$9, $D$9, 100%, $F$9) + CHOOSE(CONTROL!$C$27, 0.0021, 0)</f>
        <v>54.852599999999995</v>
      </c>
      <c r="L215" s="14"/>
    </row>
    <row r="216" spans="1:12" ht="15" x14ac:dyDescent="0.2">
      <c r="A216" s="13">
        <v>47484</v>
      </c>
      <c r="B216" s="14">
        <f>54.6958 * CHOOSE(CONTROL!$C$9, $D$9, 100%, $F$9) + CHOOSE(CONTROL!$C$27, 0.0021, 0)</f>
        <v>54.697899999999997</v>
      </c>
      <c r="C216" s="14">
        <f>54.2636 * CHOOSE(CONTROL!$C$9, $D$9, 100%, $F$9) + CHOOSE(CONTROL!$C$27, 0.0021, 0)</f>
        <v>54.265699999999995</v>
      </c>
      <c r="D216" s="14">
        <f>54.2636 * CHOOSE(CONTROL!$C$9, $D$9, 100%, $F$9) + CHOOSE(CONTROL!$C$27, 0.0021, 0)</f>
        <v>54.265699999999995</v>
      </c>
      <c r="E216" s="14">
        <f>54.1269 * CHOOSE(CONTROL!$C$9, $D$9, 100%, $F$9) + CHOOSE(CONTROL!$C$27, 0.0021, 0)</f>
        <v>54.128999999999998</v>
      </c>
      <c r="F216" s="14">
        <f>54.1269 * CHOOSE(CONTROL!$C$9, $D$9, 100%, $F$9) + CHOOSE(CONTROL!$C$27, 0.0021, 0)</f>
        <v>54.128999999999998</v>
      </c>
      <c r="G216" s="14">
        <f>54.3983 * CHOOSE(CONTROL!$C$9, $D$9, 100%, $F$9) + CHOOSE(CONTROL!$C$27, 0.0021, 0)</f>
        <v>54.400399999999998</v>
      </c>
      <c r="H216" s="14">
        <f>54.2636 * CHOOSE(CONTROL!$C$9, $D$9, 100%, $F$9) + CHOOSE(CONTROL!$C$27, 0.0021, 0)</f>
        <v>54.265699999999995</v>
      </c>
      <c r="I216" s="14">
        <f>54.2636 * CHOOSE(CONTROL!$C$9, $D$9, 100%, $F$9) + CHOOSE(CONTROL!$C$27, 0.0021, 0)</f>
        <v>54.265699999999995</v>
      </c>
      <c r="J216" s="14">
        <f>54.2636 * CHOOSE(CONTROL!$C$9, $D$9, 100%, $F$9) + CHOOSE(CONTROL!$C$27, 0.0021, 0)</f>
        <v>54.265699999999995</v>
      </c>
      <c r="K216" s="14">
        <f>54.2636 * CHOOSE(CONTROL!$C$9, $D$9, 100%, $F$9) + CHOOSE(CONTROL!$C$27, 0.0021, 0)</f>
        <v>54.265699999999995</v>
      </c>
      <c r="L216" s="14"/>
    </row>
    <row r="217" spans="1:12" ht="15" x14ac:dyDescent="0.2">
      <c r="A217" s="13">
        <v>47515</v>
      </c>
      <c r="B217" s="14">
        <f>53.3184 * CHOOSE(CONTROL!$C$9, $D$9, 100%, $F$9) + CHOOSE(CONTROL!$C$27, 0.0021, 0)</f>
        <v>53.320499999999996</v>
      </c>
      <c r="C217" s="14">
        <f>52.8862 * CHOOSE(CONTROL!$C$9, $D$9, 100%, $F$9) + CHOOSE(CONTROL!$C$27, 0.0021, 0)</f>
        <v>52.888300000000001</v>
      </c>
      <c r="D217" s="14">
        <f>52.8862 * CHOOSE(CONTROL!$C$9, $D$9, 100%, $F$9) + CHOOSE(CONTROL!$C$27, 0.0021, 0)</f>
        <v>52.888300000000001</v>
      </c>
      <c r="E217" s="14">
        <f>52.7495 * CHOOSE(CONTROL!$C$9, $D$9, 100%, $F$9) + CHOOSE(CONTROL!$C$27, 0.0021, 0)</f>
        <v>52.751599999999996</v>
      </c>
      <c r="F217" s="14">
        <f>52.7495 * CHOOSE(CONTROL!$C$9, $D$9, 100%, $F$9) + CHOOSE(CONTROL!$C$27, 0.0021, 0)</f>
        <v>52.751599999999996</v>
      </c>
      <c r="G217" s="14">
        <f>53.0209 * CHOOSE(CONTROL!$C$9, $D$9, 100%, $F$9) + CHOOSE(CONTROL!$C$27, 0.0021, 0)</f>
        <v>53.022999999999996</v>
      </c>
      <c r="H217" s="14">
        <f>52.8862 * CHOOSE(CONTROL!$C$9, $D$9, 100%, $F$9) + CHOOSE(CONTROL!$C$27, 0.0021, 0)</f>
        <v>52.888300000000001</v>
      </c>
      <c r="I217" s="14">
        <f>52.8862 * CHOOSE(CONTROL!$C$9, $D$9, 100%, $F$9) + CHOOSE(CONTROL!$C$27, 0.0021, 0)</f>
        <v>52.888300000000001</v>
      </c>
      <c r="J217" s="14">
        <f>52.8862 * CHOOSE(CONTROL!$C$9, $D$9, 100%, $F$9) + CHOOSE(CONTROL!$C$27, 0.0021, 0)</f>
        <v>52.888300000000001</v>
      </c>
      <c r="K217" s="14">
        <f>52.8862 * CHOOSE(CONTROL!$C$9, $D$9, 100%, $F$9) + CHOOSE(CONTROL!$C$27, 0.0021, 0)</f>
        <v>52.888300000000001</v>
      </c>
      <c r="L217" s="14"/>
    </row>
    <row r="218" spans="1:12" ht="15" x14ac:dyDescent="0.2">
      <c r="A218" s="13">
        <v>47543</v>
      </c>
      <c r="B218" s="14">
        <f>52.8091 * CHOOSE(CONTROL!$C$9, $D$9, 100%, $F$9) + CHOOSE(CONTROL!$C$27, 0.0021, 0)</f>
        <v>52.811199999999999</v>
      </c>
      <c r="C218" s="14">
        <f>52.3769 * CHOOSE(CONTROL!$C$9, $D$9, 100%, $F$9) + CHOOSE(CONTROL!$C$27, 0.0021, 0)</f>
        <v>52.378999999999998</v>
      </c>
      <c r="D218" s="14">
        <f>52.3769 * CHOOSE(CONTROL!$C$9, $D$9, 100%, $F$9) + CHOOSE(CONTROL!$C$27, 0.0021, 0)</f>
        <v>52.378999999999998</v>
      </c>
      <c r="E218" s="14">
        <f>52.2402 * CHOOSE(CONTROL!$C$9, $D$9, 100%, $F$9) + CHOOSE(CONTROL!$C$27, 0.0021, 0)</f>
        <v>52.2423</v>
      </c>
      <c r="F218" s="14">
        <f>52.2402 * CHOOSE(CONTROL!$C$9, $D$9, 100%, $F$9) + CHOOSE(CONTROL!$C$27, 0.0021, 0)</f>
        <v>52.2423</v>
      </c>
      <c r="G218" s="14">
        <f>52.5116 * CHOOSE(CONTROL!$C$9, $D$9, 100%, $F$9) + CHOOSE(CONTROL!$C$27, 0.0021, 0)</f>
        <v>52.5137</v>
      </c>
      <c r="H218" s="14">
        <f>52.3769 * CHOOSE(CONTROL!$C$9, $D$9, 100%, $F$9) + CHOOSE(CONTROL!$C$27, 0.0021, 0)</f>
        <v>52.378999999999998</v>
      </c>
      <c r="I218" s="14">
        <f>52.3769 * CHOOSE(CONTROL!$C$9, $D$9, 100%, $F$9) + CHOOSE(CONTROL!$C$27, 0.0021, 0)</f>
        <v>52.378999999999998</v>
      </c>
      <c r="J218" s="14">
        <f>52.3769 * CHOOSE(CONTROL!$C$9, $D$9, 100%, $F$9) + CHOOSE(CONTROL!$C$27, 0.0021, 0)</f>
        <v>52.378999999999998</v>
      </c>
      <c r="K218" s="14">
        <f>52.3769 * CHOOSE(CONTROL!$C$9, $D$9, 100%, $F$9) + CHOOSE(CONTROL!$C$27, 0.0021, 0)</f>
        <v>52.378999999999998</v>
      </c>
      <c r="L218" s="14"/>
    </row>
    <row r="219" spans="1:12" ht="15" x14ac:dyDescent="0.2">
      <c r="A219" s="13">
        <v>47574</v>
      </c>
      <c r="B219" s="14">
        <f>52.1781 * CHOOSE(CONTROL!$C$9, $D$9, 100%, $F$9) + CHOOSE(CONTROL!$C$27, 0.0021, 0)</f>
        <v>52.180199999999999</v>
      </c>
      <c r="C219" s="14">
        <f>51.7458 * CHOOSE(CONTROL!$C$9, $D$9, 100%, $F$9) + CHOOSE(CONTROL!$C$27, 0.0021, 0)</f>
        <v>51.747900000000001</v>
      </c>
      <c r="D219" s="14">
        <f>51.7458 * CHOOSE(CONTROL!$C$9, $D$9, 100%, $F$9) + CHOOSE(CONTROL!$C$27, 0.0021, 0)</f>
        <v>51.747900000000001</v>
      </c>
      <c r="E219" s="14">
        <f>51.6092 * CHOOSE(CONTROL!$C$9, $D$9, 100%, $F$9) + CHOOSE(CONTROL!$C$27, 0.0021, 0)</f>
        <v>51.6113</v>
      </c>
      <c r="F219" s="14">
        <f>51.6092 * CHOOSE(CONTROL!$C$9, $D$9, 100%, $F$9) + CHOOSE(CONTROL!$C$27, 0.0021, 0)</f>
        <v>51.6113</v>
      </c>
      <c r="G219" s="14">
        <f>51.8806 * CHOOSE(CONTROL!$C$9, $D$9, 100%, $F$9) + CHOOSE(CONTROL!$C$27, 0.0021, 0)</f>
        <v>51.8827</v>
      </c>
      <c r="H219" s="14">
        <f>51.7458 * CHOOSE(CONTROL!$C$9, $D$9, 100%, $F$9) + CHOOSE(CONTROL!$C$27, 0.0021, 0)</f>
        <v>51.747900000000001</v>
      </c>
      <c r="I219" s="14">
        <f>51.7458 * CHOOSE(CONTROL!$C$9, $D$9, 100%, $F$9) + CHOOSE(CONTROL!$C$27, 0.0021, 0)</f>
        <v>51.747900000000001</v>
      </c>
      <c r="J219" s="14">
        <f>51.7458 * CHOOSE(CONTROL!$C$9, $D$9, 100%, $F$9) + CHOOSE(CONTROL!$C$27, 0.0021, 0)</f>
        <v>51.747900000000001</v>
      </c>
      <c r="K219" s="14">
        <f>51.7458 * CHOOSE(CONTROL!$C$9, $D$9, 100%, $F$9) + CHOOSE(CONTROL!$C$27, 0.0021, 0)</f>
        <v>51.747900000000001</v>
      </c>
      <c r="L219" s="14"/>
    </row>
    <row r="220" spans="1:12" ht="15" x14ac:dyDescent="0.2">
      <c r="A220" s="13">
        <v>47604</v>
      </c>
      <c r="B220" s="14">
        <f>53.3306 * CHOOSE(CONTROL!$C$9, $D$9, 100%, $F$9) + CHOOSE(CONTROL!$C$27, 0.0021, 0)</f>
        <v>53.332699999999996</v>
      </c>
      <c r="C220" s="14">
        <f>52.8984 * CHOOSE(CONTROL!$C$9, $D$9, 100%, $F$9) + CHOOSE(CONTROL!$C$27, 0.0021, 0)</f>
        <v>52.900500000000001</v>
      </c>
      <c r="D220" s="14">
        <f>52.8984 * CHOOSE(CONTROL!$C$9, $D$9, 100%, $F$9) + CHOOSE(CONTROL!$C$27, 0.0021, 0)</f>
        <v>52.900500000000001</v>
      </c>
      <c r="E220" s="14">
        <f>52.7617 * CHOOSE(CONTROL!$C$9, $D$9, 100%, $F$9) + CHOOSE(CONTROL!$C$27, 0.0021, 0)</f>
        <v>52.763799999999996</v>
      </c>
      <c r="F220" s="14">
        <f>52.7617 * CHOOSE(CONTROL!$C$9, $D$9, 100%, $F$9) + CHOOSE(CONTROL!$C$27, 0.0021, 0)</f>
        <v>52.763799999999996</v>
      </c>
      <c r="G220" s="14">
        <f>53.0331 * CHOOSE(CONTROL!$C$9, $D$9, 100%, $F$9) + CHOOSE(CONTROL!$C$27, 0.0021, 0)</f>
        <v>53.035199999999996</v>
      </c>
      <c r="H220" s="14">
        <f>52.8984 * CHOOSE(CONTROL!$C$9, $D$9, 100%, $F$9) + CHOOSE(CONTROL!$C$27, 0.0021, 0)</f>
        <v>52.900500000000001</v>
      </c>
      <c r="I220" s="14">
        <f>52.8984 * CHOOSE(CONTROL!$C$9, $D$9, 100%, $F$9) + CHOOSE(CONTROL!$C$27, 0.0021, 0)</f>
        <v>52.900500000000001</v>
      </c>
      <c r="J220" s="14">
        <f>52.8984 * CHOOSE(CONTROL!$C$9, $D$9, 100%, $F$9) + CHOOSE(CONTROL!$C$27, 0.0021, 0)</f>
        <v>52.900500000000001</v>
      </c>
      <c r="K220" s="14">
        <f>52.8984 * CHOOSE(CONTROL!$C$9, $D$9, 100%, $F$9) + CHOOSE(CONTROL!$C$27, 0.0021, 0)</f>
        <v>52.900500000000001</v>
      </c>
      <c r="L220" s="14"/>
    </row>
    <row r="221" spans="1:12" ht="15" x14ac:dyDescent="0.2">
      <c r="A221" s="13">
        <v>47635</v>
      </c>
      <c r="B221" s="14">
        <f>54.0658 * CHOOSE(CONTROL!$C$9, $D$9, 100%, $F$9) + CHOOSE(CONTROL!$C$27, 0.0021, 0)</f>
        <v>54.067900000000002</v>
      </c>
      <c r="C221" s="14">
        <f>53.6336 * CHOOSE(CONTROL!$C$9, $D$9, 100%, $F$9) + CHOOSE(CONTROL!$C$27, 0.0021, 0)</f>
        <v>53.6357</v>
      </c>
      <c r="D221" s="14">
        <f>53.6336 * CHOOSE(CONTROL!$C$9, $D$9, 100%, $F$9) + CHOOSE(CONTROL!$C$27, 0.0021, 0)</f>
        <v>53.6357</v>
      </c>
      <c r="E221" s="14">
        <f>53.4969 * CHOOSE(CONTROL!$C$9, $D$9, 100%, $F$9) + CHOOSE(CONTROL!$C$27, 0.0021, 0)</f>
        <v>53.498999999999995</v>
      </c>
      <c r="F221" s="14">
        <f>53.4969 * CHOOSE(CONTROL!$C$9, $D$9, 100%, $F$9) + CHOOSE(CONTROL!$C$27, 0.0021, 0)</f>
        <v>53.498999999999995</v>
      </c>
      <c r="G221" s="14">
        <f>53.7683 * CHOOSE(CONTROL!$C$9, $D$9, 100%, $F$9) + CHOOSE(CONTROL!$C$27, 0.0021, 0)</f>
        <v>53.770400000000002</v>
      </c>
      <c r="H221" s="14">
        <f>53.6336 * CHOOSE(CONTROL!$C$9, $D$9, 100%, $F$9) + CHOOSE(CONTROL!$C$27, 0.0021, 0)</f>
        <v>53.6357</v>
      </c>
      <c r="I221" s="14">
        <f>53.6336 * CHOOSE(CONTROL!$C$9, $D$9, 100%, $F$9) + CHOOSE(CONTROL!$C$27, 0.0021, 0)</f>
        <v>53.6357</v>
      </c>
      <c r="J221" s="14">
        <f>53.6336 * CHOOSE(CONTROL!$C$9, $D$9, 100%, $F$9) + CHOOSE(CONTROL!$C$27, 0.0021, 0)</f>
        <v>53.6357</v>
      </c>
      <c r="K221" s="14">
        <f>53.6336 * CHOOSE(CONTROL!$C$9, $D$9, 100%, $F$9) + CHOOSE(CONTROL!$C$27, 0.0021, 0)</f>
        <v>53.6357</v>
      </c>
      <c r="L221" s="14"/>
    </row>
    <row r="222" spans="1:12" ht="15" x14ac:dyDescent="0.2">
      <c r="A222" s="13">
        <v>47665</v>
      </c>
      <c r="B222" s="14">
        <f>55.214 * CHOOSE(CONTROL!$C$9, $D$9, 100%, $F$9) + CHOOSE(CONTROL!$C$27, 0.0021, 0)</f>
        <v>55.216099999999997</v>
      </c>
      <c r="C222" s="14">
        <f>54.7818 * CHOOSE(CONTROL!$C$9, $D$9, 100%, $F$9) + CHOOSE(CONTROL!$C$27, 0.0021, 0)</f>
        <v>54.783899999999996</v>
      </c>
      <c r="D222" s="14">
        <f>54.7818 * CHOOSE(CONTROL!$C$9, $D$9, 100%, $F$9) + CHOOSE(CONTROL!$C$27, 0.0021, 0)</f>
        <v>54.783899999999996</v>
      </c>
      <c r="E222" s="14">
        <f>54.6451 * CHOOSE(CONTROL!$C$9, $D$9, 100%, $F$9) + CHOOSE(CONTROL!$C$27, 0.0021, 0)</f>
        <v>54.647199999999998</v>
      </c>
      <c r="F222" s="14">
        <f>54.6451 * CHOOSE(CONTROL!$C$9, $D$9, 100%, $F$9) + CHOOSE(CONTROL!$C$27, 0.0021, 0)</f>
        <v>54.647199999999998</v>
      </c>
      <c r="G222" s="14">
        <f>54.9165 * CHOOSE(CONTROL!$C$9, $D$9, 100%, $F$9) + CHOOSE(CONTROL!$C$27, 0.0021, 0)</f>
        <v>54.918599999999998</v>
      </c>
      <c r="H222" s="14">
        <f>54.7818 * CHOOSE(CONTROL!$C$9, $D$9, 100%, $F$9) + CHOOSE(CONTROL!$C$27, 0.0021, 0)</f>
        <v>54.783899999999996</v>
      </c>
      <c r="I222" s="14">
        <f>54.7818 * CHOOSE(CONTROL!$C$9, $D$9, 100%, $F$9) + CHOOSE(CONTROL!$C$27, 0.0021, 0)</f>
        <v>54.783899999999996</v>
      </c>
      <c r="J222" s="14">
        <f>54.7818 * CHOOSE(CONTROL!$C$9, $D$9, 100%, $F$9) + CHOOSE(CONTROL!$C$27, 0.0021, 0)</f>
        <v>54.783899999999996</v>
      </c>
      <c r="K222" s="14">
        <f>54.7818 * CHOOSE(CONTROL!$C$9, $D$9, 100%, $F$9) + CHOOSE(CONTROL!$C$27, 0.0021, 0)</f>
        <v>54.783899999999996</v>
      </c>
      <c r="L222" s="14"/>
    </row>
    <row r="223" spans="1:12" ht="15" x14ac:dyDescent="0.2">
      <c r="A223" s="13">
        <v>47696</v>
      </c>
      <c r="B223" s="14">
        <f>55.5319 * CHOOSE(CONTROL!$C$9, $D$9, 100%, $F$9) + CHOOSE(CONTROL!$C$27, 0.0021, 0)</f>
        <v>55.533999999999999</v>
      </c>
      <c r="C223" s="14">
        <f>55.0997 * CHOOSE(CONTROL!$C$9, $D$9, 100%, $F$9) + CHOOSE(CONTROL!$C$27, 0.0021, 0)</f>
        <v>55.101799999999997</v>
      </c>
      <c r="D223" s="14">
        <f>55.0997 * CHOOSE(CONTROL!$C$9, $D$9, 100%, $F$9) + CHOOSE(CONTROL!$C$27, 0.0021, 0)</f>
        <v>55.101799999999997</v>
      </c>
      <c r="E223" s="14">
        <f>54.963 * CHOOSE(CONTROL!$C$9, $D$9, 100%, $F$9) + CHOOSE(CONTROL!$C$27, 0.0021, 0)</f>
        <v>54.9651</v>
      </c>
      <c r="F223" s="14">
        <f>54.963 * CHOOSE(CONTROL!$C$9, $D$9, 100%, $F$9) + CHOOSE(CONTROL!$C$27, 0.0021, 0)</f>
        <v>54.9651</v>
      </c>
      <c r="G223" s="14">
        <f>55.2344 * CHOOSE(CONTROL!$C$9, $D$9, 100%, $F$9) + CHOOSE(CONTROL!$C$27, 0.0021, 0)</f>
        <v>55.236499999999999</v>
      </c>
      <c r="H223" s="14">
        <f>55.0997 * CHOOSE(CONTROL!$C$9, $D$9, 100%, $F$9) + CHOOSE(CONTROL!$C$27, 0.0021, 0)</f>
        <v>55.101799999999997</v>
      </c>
      <c r="I223" s="14">
        <f>55.0997 * CHOOSE(CONTROL!$C$9, $D$9, 100%, $F$9) + CHOOSE(CONTROL!$C$27, 0.0021, 0)</f>
        <v>55.101799999999997</v>
      </c>
      <c r="J223" s="14">
        <f>55.0997 * CHOOSE(CONTROL!$C$9, $D$9, 100%, $F$9) + CHOOSE(CONTROL!$C$27, 0.0021, 0)</f>
        <v>55.101799999999997</v>
      </c>
      <c r="K223" s="14">
        <f>55.0997 * CHOOSE(CONTROL!$C$9, $D$9, 100%, $F$9) + CHOOSE(CONTROL!$C$27, 0.0021, 0)</f>
        <v>55.101799999999997</v>
      </c>
      <c r="L223" s="14"/>
    </row>
    <row r="224" spans="1:12" ht="15" x14ac:dyDescent="0.2">
      <c r="A224" s="13">
        <v>47727</v>
      </c>
      <c r="B224" s="14">
        <f>56.6145 * CHOOSE(CONTROL!$C$9, $D$9, 100%, $F$9) + CHOOSE(CONTROL!$C$27, 0.0021, 0)</f>
        <v>56.616599999999998</v>
      </c>
      <c r="C224" s="14">
        <f>56.1823 * CHOOSE(CONTROL!$C$9, $D$9, 100%, $F$9) + CHOOSE(CONTROL!$C$27, 0.0021, 0)</f>
        <v>56.184399999999997</v>
      </c>
      <c r="D224" s="14">
        <f>56.1823 * CHOOSE(CONTROL!$C$9, $D$9, 100%, $F$9) + CHOOSE(CONTROL!$C$27, 0.0021, 0)</f>
        <v>56.184399999999997</v>
      </c>
      <c r="E224" s="14">
        <f>56.0456 * CHOOSE(CONTROL!$C$9, $D$9, 100%, $F$9) + CHOOSE(CONTROL!$C$27, 0.0021, 0)</f>
        <v>56.047699999999999</v>
      </c>
      <c r="F224" s="14">
        <f>56.0456 * CHOOSE(CONTROL!$C$9, $D$9, 100%, $F$9) + CHOOSE(CONTROL!$C$27, 0.0021, 0)</f>
        <v>56.047699999999999</v>
      </c>
      <c r="G224" s="14">
        <f>56.317 * CHOOSE(CONTROL!$C$9, $D$9, 100%, $F$9) + CHOOSE(CONTROL!$C$27, 0.0021, 0)</f>
        <v>56.319099999999999</v>
      </c>
      <c r="H224" s="14">
        <f>56.1823 * CHOOSE(CONTROL!$C$9, $D$9, 100%, $F$9) + CHOOSE(CONTROL!$C$27, 0.0021, 0)</f>
        <v>56.184399999999997</v>
      </c>
      <c r="I224" s="14">
        <f>56.1823 * CHOOSE(CONTROL!$C$9, $D$9, 100%, $F$9) + CHOOSE(CONTROL!$C$27, 0.0021, 0)</f>
        <v>56.184399999999997</v>
      </c>
      <c r="J224" s="14">
        <f>56.1823 * CHOOSE(CONTROL!$C$9, $D$9, 100%, $F$9) + CHOOSE(CONTROL!$C$27, 0.0021, 0)</f>
        <v>56.184399999999997</v>
      </c>
      <c r="K224" s="14">
        <f>56.1823 * CHOOSE(CONTROL!$C$9, $D$9, 100%, $F$9) + CHOOSE(CONTROL!$C$27, 0.0021, 0)</f>
        <v>56.184399999999997</v>
      </c>
      <c r="L224" s="14"/>
    </row>
    <row r="225" spans="1:12" ht="15" x14ac:dyDescent="0.2">
      <c r="A225" s="13">
        <v>47757</v>
      </c>
      <c r="B225" s="14">
        <f>57.9849 * CHOOSE(CONTROL!$C$9, $D$9, 100%, $F$9) + CHOOSE(CONTROL!$C$27, 0.0021, 0)</f>
        <v>57.987000000000002</v>
      </c>
      <c r="C225" s="14">
        <f>57.5527 * CHOOSE(CONTROL!$C$9, $D$9, 100%, $F$9) + CHOOSE(CONTROL!$C$27, 0.0021, 0)</f>
        <v>57.5548</v>
      </c>
      <c r="D225" s="14">
        <f>57.5527 * CHOOSE(CONTROL!$C$9, $D$9, 100%, $F$9) + CHOOSE(CONTROL!$C$27, 0.0021, 0)</f>
        <v>57.5548</v>
      </c>
      <c r="E225" s="14">
        <f>57.416 * CHOOSE(CONTROL!$C$9, $D$9, 100%, $F$9) + CHOOSE(CONTROL!$C$27, 0.0021, 0)</f>
        <v>57.418099999999995</v>
      </c>
      <c r="F225" s="14">
        <f>57.416 * CHOOSE(CONTROL!$C$9, $D$9, 100%, $F$9) + CHOOSE(CONTROL!$C$27, 0.0021, 0)</f>
        <v>57.418099999999995</v>
      </c>
      <c r="G225" s="14">
        <f>57.6874 * CHOOSE(CONTROL!$C$9, $D$9, 100%, $F$9) + CHOOSE(CONTROL!$C$27, 0.0021, 0)</f>
        <v>57.689499999999995</v>
      </c>
      <c r="H225" s="14">
        <f>57.5527 * CHOOSE(CONTROL!$C$9, $D$9, 100%, $F$9) + CHOOSE(CONTROL!$C$27, 0.0021, 0)</f>
        <v>57.5548</v>
      </c>
      <c r="I225" s="14">
        <f>57.5527 * CHOOSE(CONTROL!$C$9, $D$9, 100%, $F$9) + CHOOSE(CONTROL!$C$27, 0.0021, 0)</f>
        <v>57.5548</v>
      </c>
      <c r="J225" s="14">
        <f>57.5527 * CHOOSE(CONTROL!$C$9, $D$9, 100%, $F$9) + CHOOSE(CONTROL!$C$27, 0.0021, 0)</f>
        <v>57.5548</v>
      </c>
      <c r="K225" s="14">
        <f>57.5527 * CHOOSE(CONTROL!$C$9, $D$9, 100%, $F$9) + CHOOSE(CONTROL!$C$27, 0.0021, 0)</f>
        <v>57.5548</v>
      </c>
      <c r="L225" s="14"/>
    </row>
    <row r="226" spans="1:12" ht="15" x14ac:dyDescent="0.2">
      <c r="A226" s="13">
        <v>47788</v>
      </c>
      <c r="B226" s="14">
        <f>58.1136 * CHOOSE(CONTROL!$C$9, $D$9, 100%, $F$9) + CHOOSE(CONTROL!$C$27, 0.0021, 0)</f>
        <v>58.115699999999997</v>
      </c>
      <c r="C226" s="14">
        <f>57.6814 * CHOOSE(CONTROL!$C$9, $D$9, 100%, $F$9) + CHOOSE(CONTROL!$C$27, 0.0021, 0)</f>
        <v>57.683499999999995</v>
      </c>
      <c r="D226" s="14">
        <f>57.6814 * CHOOSE(CONTROL!$C$9, $D$9, 100%, $F$9) + CHOOSE(CONTROL!$C$27, 0.0021, 0)</f>
        <v>57.683499999999995</v>
      </c>
      <c r="E226" s="14">
        <f>57.5447 * CHOOSE(CONTROL!$C$9, $D$9, 100%, $F$9) + CHOOSE(CONTROL!$C$27, 0.0021, 0)</f>
        <v>57.546799999999998</v>
      </c>
      <c r="F226" s="14">
        <f>57.5447 * CHOOSE(CONTROL!$C$9, $D$9, 100%, $F$9) + CHOOSE(CONTROL!$C$27, 0.0021, 0)</f>
        <v>57.546799999999998</v>
      </c>
      <c r="G226" s="14">
        <f>57.8161 * CHOOSE(CONTROL!$C$9, $D$9, 100%, $F$9) + CHOOSE(CONTROL!$C$27, 0.0021, 0)</f>
        <v>57.818199999999997</v>
      </c>
      <c r="H226" s="14">
        <f>57.6814 * CHOOSE(CONTROL!$C$9, $D$9, 100%, $F$9) + CHOOSE(CONTROL!$C$27, 0.0021, 0)</f>
        <v>57.683499999999995</v>
      </c>
      <c r="I226" s="14">
        <f>57.6814 * CHOOSE(CONTROL!$C$9, $D$9, 100%, $F$9) + CHOOSE(CONTROL!$C$27, 0.0021, 0)</f>
        <v>57.683499999999995</v>
      </c>
      <c r="J226" s="14">
        <f>57.6814 * CHOOSE(CONTROL!$C$9, $D$9, 100%, $F$9) + CHOOSE(CONTROL!$C$27, 0.0021, 0)</f>
        <v>57.683499999999995</v>
      </c>
      <c r="K226" s="14">
        <f>57.6814 * CHOOSE(CONTROL!$C$9, $D$9, 100%, $F$9) + CHOOSE(CONTROL!$C$27, 0.0021, 0)</f>
        <v>57.683499999999995</v>
      </c>
      <c r="L226" s="14"/>
    </row>
    <row r="227" spans="1:12" ht="15" x14ac:dyDescent="0.2">
      <c r="A227" s="13">
        <v>47818</v>
      </c>
      <c r="B227" s="14">
        <f>57.0191 * CHOOSE(CONTROL!$C$9, $D$9, 100%, $F$9) + CHOOSE(CONTROL!$C$27, 0.0021, 0)</f>
        <v>57.0212</v>
      </c>
      <c r="C227" s="14">
        <f>56.5868 * CHOOSE(CONTROL!$C$9, $D$9, 100%, $F$9) + CHOOSE(CONTROL!$C$27, 0.0021, 0)</f>
        <v>56.588899999999995</v>
      </c>
      <c r="D227" s="14">
        <f>56.5868 * CHOOSE(CONTROL!$C$9, $D$9, 100%, $F$9) + CHOOSE(CONTROL!$C$27, 0.0021, 0)</f>
        <v>56.588899999999995</v>
      </c>
      <c r="E227" s="14">
        <f>56.4502 * CHOOSE(CONTROL!$C$9, $D$9, 100%, $F$9) + CHOOSE(CONTROL!$C$27, 0.0021, 0)</f>
        <v>56.452300000000001</v>
      </c>
      <c r="F227" s="14">
        <f>56.4502 * CHOOSE(CONTROL!$C$9, $D$9, 100%, $F$9) + CHOOSE(CONTROL!$C$27, 0.0021, 0)</f>
        <v>56.452300000000001</v>
      </c>
      <c r="G227" s="14">
        <f>56.7215 * CHOOSE(CONTROL!$C$9, $D$9, 100%, $F$9) + CHOOSE(CONTROL!$C$27, 0.0021, 0)</f>
        <v>56.723599999999998</v>
      </c>
      <c r="H227" s="14">
        <f>56.5868 * CHOOSE(CONTROL!$C$9, $D$9, 100%, $F$9) + CHOOSE(CONTROL!$C$27, 0.0021, 0)</f>
        <v>56.588899999999995</v>
      </c>
      <c r="I227" s="14">
        <f>56.5868 * CHOOSE(CONTROL!$C$9, $D$9, 100%, $F$9) + CHOOSE(CONTROL!$C$27, 0.0021, 0)</f>
        <v>56.588899999999995</v>
      </c>
      <c r="J227" s="14">
        <f>56.5868 * CHOOSE(CONTROL!$C$9, $D$9, 100%, $F$9) + CHOOSE(CONTROL!$C$27, 0.0021, 0)</f>
        <v>56.588899999999995</v>
      </c>
      <c r="K227" s="14">
        <f>56.5868 * CHOOSE(CONTROL!$C$9, $D$9, 100%, $F$9) + CHOOSE(CONTROL!$C$27, 0.0021, 0)</f>
        <v>56.588899999999995</v>
      </c>
      <c r="L227" s="14"/>
    </row>
    <row r="228" spans="1:12" ht="15" x14ac:dyDescent="0.2">
      <c r="A228" s="13">
        <v>47849</v>
      </c>
      <c r="B228" s="14">
        <f>56.3273 * CHOOSE(CONTROL!$C$9, $D$9, 100%, $F$9) + CHOOSE(CONTROL!$C$27, 0.0021, 0)</f>
        <v>56.3294</v>
      </c>
      <c r="C228" s="14">
        <f>55.895 * CHOOSE(CONTROL!$C$9, $D$9, 100%, $F$9) + CHOOSE(CONTROL!$C$27, 0.0021, 0)</f>
        <v>55.897100000000002</v>
      </c>
      <c r="D228" s="14">
        <f>55.895 * CHOOSE(CONTROL!$C$9, $D$9, 100%, $F$9) + CHOOSE(CONTROL!$C$27, 0.0021, 0)</f>
        <v>55.897100000000002</v>
      </c>
      <c r="E228" s="14">
        <f>55.7584 * CHOOSE(CONTROL!$C$9, $D$9, 100%, $F$9) + CHOOSE(CONTROL!$C$27, 0.0021, 0)</f>
        <v>55.7605</v>
      </c>
      <c r="F228" s="14">
        <f>55.7584 * CHOOSE(CONTROL!$C$9, $D$9, 100%, $F$9) + CHOOSE(CONTROL!$C$27, 0.0021, 0)</f>
        <v>55.7605</v>
      </c>
      <c r="G228" s="14">
        <f>56.0298 * CHOOSE(CONTROL!$C$9, $D$9, 100%, $F$9) + CHOOSE(CONTROL!$C$27, 0.0021, 0)</f>
        <v>56.0319</v>
      </c>
      <c r="H228" s="14">
        <f>55.895 * CHOOSE(CONTROL!$C$9, $D$9, 100%, $F$9) + CHOOSE(CONTROL!$C$27, 0.0021, 0)</f>
        <v>55.897100000000002</v>
      </c>
      <c r="I228" s="14">
        <f>55.895 * CHOOSE(CONTROL!$C$9, $D$9, 100%, $F$9) + CHOOSE(CONTROL!$C$27, 0.0021, 0)</f>
        <v>55.897100000000002</v>
      </c>
      <c r="J228" s="14">
        <f>55.895 * CHOOSE(CONTROL!$C$9, $D$9, 100%, $F$9) + CHOOSE(CONTROL!$C$27, 0.0021, 0)</f>
        <v>55.897100000000002</v>
      </c>
      <c r="K228" s="14">
        <f>55.895 * CHOOSE(CONTROL!$C$9, $D$9, 100%, $F$9) + CHOOSE(CONTROL!$C$27, 0.0021, 0)</f>
        <v>55.897100000000002</v>
      </c>
      <c r="L228" s="14"/>
    </row>
    <row r="229" spans="1:12" ht="15" x14ac:dyDescent="0.2">
      <c r="A229" s="13">
        <v>47880</v>
      </c>
      <c r="B229" s="14">
        <f>54.7989 * CHOOSE(CONTROL!$C$9, $D$9, 100%, $F$9) + CHOOSE(CONTROL!$C$27, 0.0021, 0)</f>
        <v>54.801000000000002</v>
      </c>
      <c r="C229" s="14">
        <f>54.3666 * CHOOSE(CONTROL!$C$9, $D$9, 100%, $F$9) + CHOOSE(CONTROL!$C$27, 0.0021, 0)</f>
        <v>54.368699999999997</v>
      </c>
      <c r="D229" s="14">
        <f>54.3666 * CHOOSE(CONTROL!$C$9, $D$9, 100%, $F$9) + CHOOSE(CONTROL!$C$27, 0.0021, 0)</f>
        <v>54.368699999999997</v>
      </c>
      <c r="E229" s="14">
        <f>54.23 * CHOOSE(CONTROL!$C$9, $D$9, 100%, $F$9) + CHOOSE(CONTROL!$C$27, 0.0021, 0)</f>
        <v>54.232099999999996</v>
      </c>
      <c r="F229" s="14">
        <f>54.23 * CHOOSE(CONTROL!$C$9, $D$9, 100%, $F$9) + CHOOSE(CONTROL!$C$27, 0.0021, 0)</f>
        <v>54.232099999999996</v>
      </c>
      <c r="G229" s="14">
        <f>54.5014 * CHOOSE(CONTROL!$C$9, $D$9, 100%, $F$9) + CHOOSE(CONTROL!$C$27, 0.0021, 0)</f>
        <v>54.503499999999995</v>
      </c>
      <c r="H229" s="14">
        <f>54.3666 * CHOOSE(CONTROL!$C$9, $D$9, 100%, $F$9) + CHOOSE(CONTROL!$C$27, 0.0021, 0)</f>
        <v>54.368699999999997</v>
      </c>
      <c r="I229" s="14">
        <f>54.3666 * CHOOSE(CONTROL!$C$9, $D$9, 100%, $F$9) + CHOOSE(CONTROL!$C$27, 0.0021, 0)</f>
        <v>54.368699999999997</v>
      </c>
      <c r="J229" s="14">
        <f>54.3666 * CHOOSE(CONTROL!$C$9, $D$9, 100%, $F$9) + CHOOSE(CONTROL!$C$27, 0.0021, 0)</f>
        <v>54.368699999999997</v>
      </c>
      <c r="K229" s="14">
        <f>54.3666 * CHOOSE(CONTROL!$C$9, $D$9, 100%, $F$9) + CHOOSE(CONTROL!$C$27, 0.0021, 0)</f>
        <v>54.368699999999997</v>
      </c>
      <c r="L229" s="14"/>
    </row>
    <row r="230" spans="1:12" ht="15" x14ac:dyDescent="0.2">
      <c r="A230" s="13">
        <v>47908</v>
      </c>
      <c r="B230" s="14">
        <f>54.168 * CHOOSE(CONTROL!$C$9, $D$9, 100%, $F$9) + CHOOSE(CONTROL!$C$27, 0.0021, 0)</f>
        <v>54.170099999999998</v>
      </c>
      <c r="C230" s="14">
        <f>53.7357 * CHOOSE(CONTROL!$C$9, $D$9, 100%, $F$9) + CHOOSE(CONTROL!$C$27, 0.0021, 0)</f>
        <v>53.7378</v>
      </c>
      <c r="D230" s="14">
        <f>53.7357 * CHOOSE(CONTROL!$C$9, $D$9, 100%, $F$9) + CHOOSE(CONTROL!$C$27, 0.0021, 0)</f>
        <v>53.7378</v>
      </c>
      <c r="E230" s="14">
        <f>53.5991 * CHOOSE(CONTROL!$C$9, $D$9, 100%, $F$9) + CHOOSE(CONTROL!$C$27, 0.0021, 0)</f>
        <v>53.601199999999999</v>
      </c>
      <c r="F230" s="14">
        <f>53.5991 * CHOOSE(CONTROL!$C$9, $D$9, 100%, $F$9) + CHOOSE(CONTROL!$C$27, 0.0021, 0)</f>
        <v>53.601199999999999</v>
      </c>
      <c r="G230" s="14">
        <f>53.8704 * CHOOSE(CONTROL!$C$9, $D$9, 100%, $F$9) + CHOOSE(CONTROL!$C$27, 0.0021, 0)</f>
        <v>53.872499999999995</v>
      </c>
      <c r="H230" s="14">
        <f>53.7357 * CHOOSE(CONTROL!$C$9, $D$9, 100%, $F$9) + CHOOSE(CONTROL!$C$27, 0.0021, 0)</f>
        <v>53.7378</v>
      </c>
      <c r="I230" s="14">
        <f>53.7357 * CHOOSE(CONTROL!$C$9, $D$9, 100%, $F$9) + CHOOSE(CONTROL!$C$27, 0.0021, 0)</f>
        <v>53.7378</v>
      </c>
      <c r="J230" s="14">
        <f>53.7357 * CHOOSE(CONTROL!$C$9, $D$9, 100%, $F$9) + CHOOSE(CONTROL!$C$27, 0.0021, 0)</f>
        <v>53.7378</v>
      </c>
      <c r="K230" s="14">
        <f>53.7357 * CHOOSE(CONTROL!$C$9, $D$9, 100%, $F$9) + CHOOSE(CONTROL!$C$27, 0.0021, 0)</f>
        <v>53.7378</v>
      </c>
      <c r="L230" s="14"/>
    </row>
    <row r="231" spans="1:12" ht="15" x14ac:dyDescent="0.2">
      <c r="A231" s="13">
        <v>47939</v>
      </c>
      <c r="B231" s="14">
        <f>53.4146 * CHOOSE(CONTROL!$C$9, $D$9, 100%, $F$9) + CHOOSE(CONTROL!$C$27, 0.0021, 0)</f>
        <v>53.416699999999999</v>
      </c>
      <c r="C231" s="14">
        <f>52.9824 * CHOOSE(CONTROL!$C$9, $D$9, 100%, $F$9) + CHOOSE(CONTROL!$C$27, 0.0021, 0)</f>
        <v>52.984499999999997</v>
      </c>
      <c r="D231" s="14">
        <f>52.9824 * CHOOSE(CONTROL!$C$9, $D$9, 100%, $F$9) + CHOOSE(CONTROL!$C$27, 0.0021, 0)</f>
        <v>52.984499999999997</v>
      </c>
      <c r="E231" s="14">
        <f>52.8457 * CHOOSE(CONTROL!$C$9, $D$9, 100%, $F$9) + CHOOSE(CONTROL!$C$27, 0.0021, 0)</f>
        <v>52.847799999999999</v>
      </c>
      <c r="F231" s="14">
        <f>52.8457 * CHOOSE(CONTROL!$C$9, $D$9, 100%, $F$9) + CHOOSE(CONTROL!$C$27, 0.0021, 0)</f>
        <v>52.847799999999999</v>
      </c>
      <c r="G231" s="14">
        <f>53.1171 * CHOOSE(CONTROL!$C$9, $D$9, 100%, $F$9) + CHOOSE(CONTROL!$C$27, 0.0021, 0)</f>
        <v>53.119199999999999</v>
      </c>
      <c r="H231" s="14">
        <f>52.9824 * CHOOSE(CONTROL!$C$9, $D$9, 100%, $F$9) + CHOOSE(CONTROL!$C$27, 0.0021, 0)</f>
        <v>52.984499999999997</v>
      </c>
      <c r="I231" s="14">
        <f>52.9824 * CHOOSE(CONTROL!$C$9, $D$9, 100%, $F$9) + CHOOSE(CONTROL!$C$27, 0.0021, 0)</f>
        <v>52.984499999999997</v>
      </c>
      <c r="J231" s="14">
        <f>52.9824 * CHOOSE(CONTROL!$C$9, $D$9, 100%, $F$9) + CHOOSE(CONTROL!$C$27, 0.0021, 0)</f>
        <v>52.984499999999997</v>
      </c>
      <c r="K231" s="14">
        <f>52.9824 * CHOOSE(CONTROL!$C$9, $D$9, 100%, $F$9) + CHOOSE(CONTROL!$C$27, 0.0021, 0)</f>
        <v>52.984499999999997</v>
      </c>
      <c r="L231" s="14"/>
    </row>
    <row r="232" spans="1:12" ht="15" x14ac:dyDescent="0.2">
      <c r="A232" s="13">
        <v>47969</v>
      </c>
      <c r="B232" s="14">
        <f>54.4882 * CHOOSE(CONTROL!$C$9, $D$9, 100%, $F$9) + CHOOSE(CONTROL!$C$27, 0.0021, 0)</f>
        <v>54.490299999999998</v>
      </c>
      <c r="C232" s="14">
        <f>54.056 * CHOOSE(CONTROL!$C$9, $D$9, 100%, $F$9) + CHOOSE(CONTROL!$C$27, 0.0021, 0)</f>
        <v>54.058099999999996</v>
      </c>
      <c r="D232" s="14">
        <f>54.056 * CHOOSE(CONTROL!$C$9, $D$9, 100%, $F$9) + CHOOSE(CONTROL!$C$27, 0.0021, 0)</f>
        <v>54.058099999999996</v>
      </c>
      <c r="E232" s="14">
        <f>53.9193 * CHOOSE(CONTROL!$C$9, $D$9, 100%, $F$9) + CHOOSE(CONTROL!$C$27, 0.0021, 0)</f>
        <v>53.921399999999998</v>
      </c>
      <c r="F232" s="14">
        <f>53.9193 * CHOOSE(CONTROL!$C$9, $D$9, 100%, $F$9) + CHOOSE(CONTROL!$C$27, 0.0021, 0)</f>
        <v>53.921399999999998</v>
      </c>
      <c r="G232" s="14">
        <f>54.1907 * CHOOSE(CONTROL!$C$9, $D$9, 100%, $F$9) + CHOOSE(CONTROL!$C$27, 0.0021, 0)</f>
        <v>54.192799999999998</v>
      </c>
      <c r="H232" s="14">
        <f>54.056 * CHOOSE(CONTROL!$C$9, $D$9, 100%, $F$9) + CHOOSE(CONTROL!$C$27, 0.0021, 0)</f>
        <v>54.058099999999996</v>
      </c>
      <c r="I232" s="14">
        <f>54.056 * CHOOSE(CONTROL!$C$9, $D$9, 100%, $F$9) + CHOOSE(CONTROL!$C$27, 0.0021, 0)</f>
        <v>54.058099999999996</v>
      </c>
      <c r="J232" s="14">
        <f>54.056 * CHOOSE(CONTROL!$C$9, $D$9, 100%, $F$9) + CHOOSE(CONTROL!$C$27, 0.0021, 0)</f>
        <v>54.058099999999996</v>
      </c>
      <c r="K232" s="14">
        <f>54.056 * CHOOSE(CONTROL!$C$9, $D$9, 100%, $F$9) + CHOOSE(CONTROL!$C$27, 0.0021, 0)</f>
        <v>54.058099999999996</v>
      </c>
      <c r="L232" s="14"/>
    </row>
    <row r="233" spans="1:12" ht="15" x14ac:dyDescent="0.2">
      <c r="A233" s="13">
        <v>48000</v>
      </c>
      <c r="B233" s="14">
        <f>55.1313 * CHOOSE(CONTROL!$C$9, $D$9, 100%, $F$9) + CHOOSE(CONTROL!$C$27, 0.0021, 0)</f>
        <v>55.133400000000002</v>
      </c>
      <c r="C233" s="14">
        <f>54.699 * CHOOSE(CONTROL!$C$9, $D$9, 100%, $F$9) + CHOOSE(CONTROL!$C$27, 0.0021, 0)</f>
        <v>54.701099999999997</v>
      </c>
      <c r="D233" s="14">
        <f>54.699 * CHOOSE(CONTROL!$C$9, $D$9, 100%, $F$9) + CHOOSE(CONTROL!$C$27, 0.0021, 0)</f>
        <v>54.701099999999997</v>
      </c>
      <c r="E233" s="14">
        <f>54.5624 * CHOOSE(CONTROL!$C$9, $D$9, 100%, $F$9) + CHOOSE(CONTROL!$C$27, 0.0021, 0)</f>
        <v>54.564499999999995</v>
      </c>
      <c r="F233" s="14">
        <f>54.5624 * CHOOSE(CONTROL!$C$9, $D$9, 100%, $F$9) + CHOOSE(CONTROL!$C$27, 0.0021, 0)</f>
        <v>54.564499999999995</v>
      </c>
      <c r="G233" s="14">
        <f>54.8337 * CHOOSE(CONTROL!$C$9, $D$9, 100%, $F$9) + CHOOSE(CONTROL!$C$27, 0.0021, 0)</f>
        <v>54.835799999999999</v>
      </c>
      <c r="H233" s="14">
        <f>54.699 * CHOOSE(CONTROL!$C$9, $D$9, 100%, $F$9) + CHOOSE(CONTROL!$C$27, 0.0021, 0)</f>
        <v>54.701099999999997</v>
      </c>
      <c r="I233" s="14">
        <f>54.699 * CHOOSE(CONTROL!$C$9, $D$9, 100%, $F$9) + CHOOSE(CONTROL!$C$27, 0.0021, 0)</f>
        <v>54.701099999999997</v>
      </c>
      <c r="J233" s="14">
        <f>54.699 * CHOOSE(CONTROL!$C$9, $D$9, 100%, $F$9) + CHOOSE(CONTROL!$C$27, 0.0021, 0)</f>
        <v>54.701099999999997</v>
      </c>
      <c r="K233" s="14">
        <f>54.699 * CHOOSE(CONTROL!$C$9, $D$9, 100%, $F$9) + CHOOSE(CONTROL!$C$27, 0.0021, 0)</f>
        <v>54.701099999999997</v>
      </c>
      <c r="L233" s="14"/>
    </row>
    <row r="234" spans="1:12" ht="15" x14ac:dyDescent="0.2">
      <c r="A234" s="13">
        <v>48030</v>
      </c>
      <c r="B234" s="14">
        <f>56.192 * CHOOSE(CONTROL!$C$9, $D$9, 100%, $F$9) + CHOOSE(CONTROL!$C$27, 0.0021, 0)</f>
        <v>56.194099999999999</v>
      </c>
      <c r="C234" s="14">
        <f>55.7598 * CHOOSE(CONTROL!$C$9, $D$9, 100%, $F$9) + CHOOSE(CONTROL!$C$27, 0.0021, 0)</f>
        <v>55.761899999999997</v>
      </c>
      <c r="D234" s="14">
        <f>55.7598 * CHOOSE(CONTROL!$C$9, $D$9, 100%, $F$9) + CHOOSE(CONTROL!$C$27, 0.0021, 0)</f>
        <v>55.761899999999997</v>
      </c>
      <c r="E234" s="14">
        <f>55.6231 * CHOOSE(CONTROL!$C$9, $D$9, 100%, $F$9) + CHOOSE(CONTROL!$C$27, 0.0021, 0)</f>
        <v>55.6252</v>
      </c>
      <c r="F234" s="14">
        <f>55.6231 * CHOOSE(CONTROL!$C$9, $D$9, 100%, $F$9) + CHOOSE(CONTROL!$C$27, 0.0021, 0)</f>
        <v>55.6252</v>
      </c>
      <c r="G234" s="14">
        <f>55.8945 * CHOOSE(CONTROL!$C$9, $D$9, 100%, $F$9) + CHOOSE(CONTROL!$C$27, 0.0021, 0)</f>
        <v>55.896599999999999</v>
      </c>
      <c r="H234" s="14">
        <f>55.7598 * CHOOSE(CONTROL!$C$9, $D$9, 100%, $F$9) + CHOOSE(CONTROL!$C$27, 0.0021, 0)</f>
        <v>55.761899999999997</v>
      </c>
      <c r="I234" s="14">
        <f>55.7598 * CHOOSE(CONTROL!$C$9, $D$9, 100%, $F$9) + CHOOSE(CONTROL!$C$27, 0.0021, 0)</f>
        <v>55.761899999999997</v>
      </c>
      <c r="J234" s="14">
        <f>55.7598 * CHOOSE(CONTROL!$C$9, $D$9, 100%, $F$9) + CHOOSE(CONTROL!$C$27, 0.0021, 0)</f>
        <v>55.761899999999997</v>
      </c>
      <c r="K234" s="14">
        <f>55.7598 * CHOOSE(CONTROL!$C$9, $D$9, 100%, $F$9) + CHOOSE(CONTROL!$C$27, 0.0021, 0)</f>
        <v>55.761899999999997</v>
      </c>
      <c r="L234" s="14"/>
    </row>
    <row r="235" spans="1:12" ht="15" x14ac:dyDescent="0.2">
      <c r="A235" s="13">
        <v>48061</v>
      </c>
      <c r="B235" s="14">
        <f>56.5158 * CHOOSE(CONTROL!$C$9, $D$9, 100%, $F$9) + CHOOSE(CONTROL!$C$27, 0.0021, 0)</f>
        <v>56.517899999999997</v>
      </c>
      <c r="C235" s="14">
        <f>56.0836 * CHOOSE(CONTROL!$C$9, $D$9, 100%, $F$9) + CHOOSE(CONTROL!$C$27, 0.0021, 0)</f>
        <v>56.085699999999996</v>
      </c>
      <c r="D235" s="14">
        <f>56.0836 * CHOOSE(CONTROL!$C$9, $D$9, 100%, $F$9) + CHOOSE(CONTROL!$C$27, 0.0021, 0)</f>
        <v>56.085699999999996</v>
      </c>
      <c r="E235" s="14">
        <f>55.9469 * CHOOSE(CONTROL!$C$9, $D$9, 100%, $F$9) + CHOOSE(CONTROL!$C$27, 0.0021, 0)</f>
        <v>55.948999999999998</v>
      </c>
      <c r="F235" s="14">
        <f>55.9469 * CHOOSE(CONTROL!$C$9, $D$9, 100%, $F$9) + CHOOSE(CONTROL!$C$27, 0.0021, 0)</f>
        <v>55.948999999999998</v>
      </c>
      <c r="G235" s="14">
        <f>56.2183 * CHOOSE(CONTROL!$C$9, $D$9, 100%, $F$9) + CHOOSE(CONTROL!$C$27, 0.0021, 0)</f>
        <v>56.220399999999998</v>
      </c>
      <c r="H235" s="14">
        <f>56.0836 * CHOOSE(CONTROL!$C$9, $D$9, 100%, $F$9) + CHOOSE(CONTROL!$C$27, 0.0021, 0)</f>
        <v>56.085699999999996</v>
      </c>
      <c r="I235" s="14">
        <f>56.0836 * CHOOSE(CONTROL!$C$9, $D$9, 100%, $F$9) + CHOOSE(CONTROL!$C$27, 0.0021, 0)</f>
        <v>56.085699999999996</v>
      </c>
      <c r="J235" s="14">
        <f>56.0836 * CHOOSE(CONTROL!$C$9, $D$9, 100%, $F$9) + CHOOSE(CONTROL!$C$27, 0.0021, 0)</f>
        <v>56.085699999999996</v>
      </c>
      <c r="K235" s="14">
        <f>56.0836 * CHOOSE(CONTROL!$C$9, $D$9, 100%, $F$9) + CHOOSE(CONTROL!$C$27, 0.0021, 0)</f>
        <v>56.085699999999996</v>
      </c>
      <c r="L235" s="14"/>
    </row>
    <row r="236" spans="1:12" ht="15" x14ac:dyDescent="0.2">
      <c r="A236" s="13">
        <v>48092</v>
      </c>
      <c r="B236" s="14">
        <f>57.6184 * CHOOSE(CONTROL!$C$9, $D$9, 100%, $F$9) + CHOOSE(CONTROL!$C$27, 0.0021, 0)</f>
        <v>57.6205</v>
      </c>
      <c r="C236" s="14">
        <f>57.1862 * CHOOSE(CONTROL!$C$9, $D$9, 100%, $F$9) + CHOOSE(CONTROL!$C$27, 0.0021, 0)</f>
        <v>57.188299999999998</v>
      </c>
      <c r="D236" s="14">
        <f>57.1862 * CHOOSE(CONTROL!$C$9, $D$9, 100%, $F$9) + CHOOSE(CONTROL!$C$27, 0.0021, 0)</f>
        <v>57.188299999999998</v>
      </c>
      <c r="E236" s="14">
        <f>57.0495 * CHOOSE(CONTROL!$C$9, $D$9, 100%, $F$9) + CHOOSE(CONTROL!$C$27, 0.0021, 0)</f>
        <v>57.051600000000001</v>
      </c>
      <c r="F236" s="14">
        <f>57.0495 * CHOOSE(CONTROL!$C$9, $D$9, 100%, $F$9) + CHOOSE(CONTROL!$C$27, 0.0021, 0)</f>
        <v>57.051600000000001</v>
      </c>
      <c r="G236" s="14">
        <f>57.3209 * CHOOSE(CONTROL!$C$9, $D$9, 100%, $F$9) + CHOOSE(CONTROL!$C$27, 0.0021, 0)</f>
        <v>57.323</v>
      </c>
      <c r="H236" s="14">
        <f>57.1862 * CHOOSE(CONTROL!$C$9, $D$9, 100%, $F$9) + CHOOSE(CONTROL!$C$27, 0.0021, 0)</f>
        <v>57.188299999999998</v>
      </c>
      <c r="I236" s="14">
        <f>57.1862 * CHOOSE(CONTROL!$C$9, $D$9, 100%, $F$9) + CHOOSE(CONTROL!$C$27, 0.0021, 0)</f>
        <v>57.188299999999998</v>
      </c>
      <c r="J236" s="14">
        <f>57.1862 * CHOOSE(CONTROL!$C$9, $D$9, 100%, $F$9) + CHOOSE(CONTROL!$C$27, 0.0021, 0)</f>
        <v>57.188299999999998</v>
      </c>
      <c r="K236" s="14">
        <f>57.1862 * CHOOSE(CONTROL!$C$9, $D$9, 100%, $F$9) + CHOOSE(CONTROL!$C$27, 0.0021, 0)</f>
        <v>57.188299999999998</v>
      </c>
      <c r="L236" s="14"/>
    </row>
    <row r="237" spans="1:12" ht="15" x14ac:dyDescent="0.2">
      <c r="A237" s="13">
        <v>48122</v>
      </c>
      <c r="B237" s="14">
        <f>59.0142 * CHOOSE(CONTROL!$C$9, $D$9, 100%, $F$9) + CHOOSE(CONTROL!$C$27, 0.0021, 0)</f>
        <v>59.016300000000001</v>
      </c>
      <c r="C237" s="14">
        <f>58.5819 * CHOOSE(CONTROL!$C$9, $D$9, 100%, $F$9) + CHOOSE(CONTROL!$C$27, 0.0021, 0)</f>
        <v>58.583999999999996</v>
      </c>
      <c r="D237" s="14">
        <f>58.5819 * CHOOSE(CONTROL!$C$9, $D$9, 100%, $F$9) + CHOOSE(CONTROL!$C$27, 0.0021, 0)</f>
        <v>58.583999999999996</v>
      </c>
      <c r="E237" s="14">
        <f>58.4453 * CHOOSE(CONTROL!$C$9, $D$9, 100%, $F$9) + CHOOSE(CONTROL!$C$27, 0.0021, 0)</f>
        <v>58.447400000000002</v>
      </c>
      <c r="F237" s="14">
        <f>58.4453 * CHOOSE(CONTROL!$C$9, $D$9, 100%, $F$9) + CHOOSE(CONTROL!$C$27, 0.0021, 0)</f>
        <v>58.447400000000002</v>
      </c>
      <c r="G237" s="14">
        <f>58.7167 * CHOOSE(CONTROL!$C$9, $D$9, 100%, $F$9) + CHOOSE(CONTROL!$C$27, 0.0021, 0)</f>
        <v>58.718800000000002</v>
      </c>
      <c r="H237" s="14">
        <f>58.5819 * CHOOSE(CONTROL!$C$9, $D$9, 100%, $F$9) + CHOOSE(CONTROL!$C$27, 0.0021, 0)</f>
        <v>58.583999999999996</v>
      </c>
      <c r="I237" s="14">
        <f>58.5819 * CHOOSE(CONTROL!$C$9, $D$9, 100%, $F$9) + CHOOSE(CONTROL!$C$27, 0.0021, 0)</f>
        <v>58.583999999999996</v>
      </c>
      <c r="J237" s="14">
        <f>58.5819 * CHOOSE(CONTROL!$C$9, $D$9, 100%, $F$9) + CHOOSE(CONTROL!$C$27, 0.0021, 0)</f>
        <v>58.583999999999996</v>
      </c>
      <c r="K237" s="14">
        <f>58.5819 * CHOOSE(CONTROL!$C$9, $D$9, 100%, $F$9) + CHOOSE(CONTROL!$C$27, 0.0021, 0)</f>
        <v>58.583999999999996</v>
      </c>
      <c r="L237" s="14"/>
    </row>
    <row r="238" spans="1:12" ht="15" x14ac:dyDescent="0.2">
      <c r="A238" s="13">
        <v>48153</v>
      </c>
      <c r="B238" s="14">
        <f>59.1452 * CHOOSE(CONTROL!$C$9, $D$9, 100%, $F$9) + CHOOSE(CONTROL!$C$27, 0.0021, 0)</f>
        <v>59.147300000000001</v>
      </c>
      <c r="C238" s="14">
        <f>58.713 * CHOOSE(CONTROL!$C$9, $D$9, 100%, $F$9) + CHOOSE(CONTROL!$C$27, 0.0021, 0)</f>
        <v>58.7151</v>
      </c>
      <c r="D238" s="14">
        <f>58.713 * CHOOSE(CONTROL!$C$9, $D$9, 100%, $F$9) + CHOOSE(CONTROL!$C$27, 0.0021, 0)</f>
        <v>58.7151</v>
      </c>
      <c r="E238" s="14">
        <f>58.5763 * CHOOSE(CONTROL!$C$9, $D$9, 100%, $F$9) + CHOOSE(CONTROL!$C$27, 0.0021, 0)</f>
        <v>58.578400000000002</v>
      </c>
      <c r="F238" s="14">
        <f>58.5763 * CHOOSE(CONTROL!$C$9, $D$9, 100%, $F$9) + CHOOSE(CONTROL!$C$27, 0.0021, 0)</f>
        <v>58.578400000000002</v>
      </c>
      <c r="G238" s="14">
        <f>58.8477 * CHOOSE(CONTROL!$C$9, $D$9, 100%, $F$9) + CHOOSE(CONTROL!$C$27, 0.0021, 0)</f>
        <v>58.849800000000002</v>
      </c>
      <c r="H238" s="14">
        <f>58.713 * CHOOSE(CONTROL!$C$9, $D$9, 100%, $F$9) + CHOOSE(CONTROL!$C$27, 0.0021, 0)</f>
        <v>58.7151</v>
      </c>
      <c r="I238" s="14">
        <f>58.713 * CHOOSE(CONTROL!$C$9, $D$9, 100%, $F$9) + CHOOSE(CONTROL!$C$27, 0.0021, 0)</f>
        <v>58.7151</v>
      </c>
      <c r="J238" s="14">
        <f>58.713 * CHOOSE(CONTROL!$C$9, $D$9, 100%, $F$9) + CHOOSE(CONTROL!$C$27, 0.0021, 0)</f>
        <v>58.7151</v>
      </c>
      <c r="K238" s="14">
        <f>58.713 * CHOOSE(CONTROL!$C$9, $D$9, 100%, $F$9) + CHOOSE(CONTROL!$C$27, 0.0021, 0)</f>
        <v>58.7151</v>
      </c>
      <c r="L238" s="14"/>
    </row>
    <row r="239" spans="1:12" ht="15" x14ac:dyDescent="0.2">
      <c r="A239" s="13">
        <v>48183</v>
      </c>
      <c r="B239" s="14">
        <f>58.0305 * CHOOSE(CONTROL!$C$9, $D$9, 100%, $F$9) + CHOOSE(CONTROL!$C$27, 0.0021, 0)</f>
        <v>58.032600000000002</v>
      </c>
      <c r="C239" s="14">
        <f>57.5982 * CHOOSE(CONTROL!$C$9, $D$9, 100%, $F$9) + CHOOSE(CONTROL!$C$27, 0.0021, 0)</f>
        <v>57.600299999999997</v>
      </c>
      <c r="D239" s="14">
        <f>57.5982 * CHOOSE(CONTROL!$C$9, $D$9, 100%, $F$9) + CHOOSE(CONTROL!$C$27, 0.0021, 0)</f>
        <v>57.600299999999997</v>
      </c>
      <c r="E239" s="14">
        <f>57.4616 * CHOOSE(CONTROL!$C$9, $D$9, 100%, $F$9) + CHOOSE(CONTROL!$C$27, 0.0021, 0)</f>
        <v>57.463699999999996</v>
      </c>
      <c r="F239" s="14">
        <f>57.4616 * CHOOSE(CONTROL!$C$9, $D$9, 100%, $F$9) + CHOOSE(CONTROL!$C$27, 0.0021, 0)</f>
        <v>57.463699999999996</v>
      </c>
      <c r="G239" s="14">
        <f>57.7329 * CHOOSE(CONTROL!$C$9, $D$9, 100%, $F$9) + CHOOSE(CONTROL!$C$27, 0.0021, 0)</f>
        <v>57.734999999999999</v>
      </c>
      <c r="H239" s="14">
        <f>57.5982 * CHOOSE(CONTROL!$C$9, $D$9, 100%, $F$9) + CHOOSE(CONTROL!$C$27, 0.0021, 0)</f>
        <v>57.600299999999997</v>
      </c>
      <c r="I239" s="14">
        <f>57.5982 * CHOOSE(CONTROL!$C$9, $D$9, 100%, $F$9) + CHOOSE(CONTROL!$C$27, 0.0021, 0)</f>
        <v>57.600299999999997</v>
      </c>
      <c r="J239" s="14">
        <f>57.5982 * CHOOSE(CONTROL!$C$9, $D$9, 100%, $F$9) + CHOOSE(CONTROL!$C$27, 0.0021, 0)</f>
        <v>57.600299999999997</v>
      </c>
      <c r="K239" s="14">
        <f>57.5982 * CHOOSE(CONTROL!$C$9, $D$9, 100%, $F$9) + CHOOSE(CONTROL!$C$27, 0.0021, 0)</f>
        <v>57.600299999999997</v>
      </c>
      <c r="L239" s="14"/>
    </row>
    <row r="240" spans="1:12" ht="15" x14ac:dyDescent="0.2">
      <c r="A240" s="13">
        <v>48214</v>
      </c>
      <c r="B240" s="14">
        <f>57.3259 * CHOOSE(CONTROL!$C$9, $D$9, 100%, $F$9) + CHOOSE(CONTROL!$C$27, 0.0021, 0)</f>
        <v>57.327999999999996</v>
      </c>
      <c r="C240" s="14">
        <f>56.8936 * CHOOSE(CONTROL!$C$9, $D$9, 100%, $F$9) + CHOOSE(CONTROL!$C$27, 0.0021, 0)</f>
        <v>56.895699999999998</v>
      </c>
      <c r="D240" s="14">
        <f>56.8936 * CHOOSE(CONTROL!$C$9, $D$9, 100%, $F$9) + CHOOSE(CONTROL!$C$27, 0.0021, 0)</f>
        <v>56.895699999999998</v>
      </c>
      <c r="E240" s="14">
        <f>56.757 * CHOOSE(CONTROL!$C$9, $D$9, 100%, $F$9) + CHOOSE(CONTROL!$C$27, 0.0021, 0)</f>
        <v>56.759099999999997</v>
      </c>
      <c r="F240" s="14">
        <f>56.757 * CHOOSE(CONTROL!$C$9, $D$9, 100%, $F$9) + CHOOSE(CONTROL!$C$27, 0.0021, 0)</f>
        <v>56.759099999999997</v>
      </c>
      <c r="G240" s="14">
        <f>57.0284 * CHOOSE(CONTROL!$C$9, $D$9, 100%, $F$9) + CHOOSE(CONTROL!$C$27, 0.0021, 0)</f>
        <v>57.030499999999996</v>
      </c>
      <c r="H240" s="14">
        <f>56.8936 * CHOOSE(CONTROL!$C$9, $D$9, 100%, $F$9) + CHOOSE(CONTROL!$C$27, 0.0021, 0)</f>
        <v>56.895699999999998</v>
      </c>
      <c r="I240" s="14">
        <f>56.8936 * CHOOSE(CONTROL!$C$9, $D$9, 100%, $F$9) + CHOOSE(CONTROL!$C$27, 0.0021, 0)</f>
        <v>56.895699999999998</v>
      </c>
      <c r="J240" s="14">
        <f>56.8936 * CHOOSE(CONTROL!$C$9, $D$9, 100%, $F$9) + CHOOSE(CONTROL!$C$27, 0.0021, 0)</f>
        <v>56.895699999999998</v>
      </c>
      <c r="K240" s="14">
        <f>56.8936 * CHOOSE(CONTROL!$C$9, $D$9, 100%, $F$9) + CHOOSE(CONTROL!$C$27, 0.0021, 0)</f>
        <v>56.895699999999998</v>
      </c>
      <c r="L240" s="14"/>
    </row>
    <row r="241" spans="1:12" ht="15" x14ac:dyDescent="0.2">
      <c r="A241" s="13">
        <v>48245</v>
      </c>
      <c r="B241" s="14">
        <f>55.7692 * CHOOSE(CONTROL!$C$9, $D$9, 100%, $F$9) + CHOOSE(CONTROL!$C$27, 0.0021, 0)</f>
        <v>55.771299999999997</v>
      </c>
      <c r="C241" s="14">
        <f>55.337 * CHOOSE(CONTROL!$C$9, $D$9, 100%, $F$9) + CHOOSE(CONTROL!$C$27, 0.0021, 0)</f>
        <v>55.339100000000002</v>
      </c>
      <c r="D241" s="14">
        <f>55.337 * CHOOSE(CONTROL!$C$9, $D$9, 100%, $F$9) + CHOOSE(CONTROL!$C$27, 0.0021, 0)</f>
        <v>55.339100000000002</v>
      </c>
      <c r="E241" s="14">
        <f>55.2003 * CHOOSE(CONTROL!$C$9, $D$9, 100%, $F$9) + CHOOSE(CONTROL!$C$27, 0.0021, 0)</f>
        <v>55.202399999999997</v>
      </c>
      <c r="F241" s="14">
        <f>55.2003 * CHOOSE(CONTROL!$C$9, $D$9, 100%, $F$9) + CHOOSE(CONTROL!$C$27, 0.0021, 0)</f>
        <v>55.202399999999997</v>
      </c>
      <c r="G241" s="14">
        <f>55.4717 * CHOOSE(CONTROL!$C$9, $D$9, 100%, $F$9) + CHOOSE(CONTROL!$C$27, 0.0021, 0)</f>
        <v>55.473799999999997</v>
      </c>
      <c r="H241" s="14">
        <f>55.337 * CHOOSE(CONTROL!$C$9, $D$9, 100%, $F$9) + CHOOSE(CONTROL!$C$27, 0.0021, 0)</f>
        <v>55.339100000000002</v>
      </c>
      <c r="I241" s="14">
        <f>55.337 * CHOOSE(CONTROL!$C$9, $D$9, 100%, $F$9) + CHOOSE(CONTROL!$C$27, 0.0021, 0)</f>
        <v>55.339100000000002</v>
      </c>
      <c r="J241" s="14">
        <f>55.337 * CHOOSE(CONTROL!$C$9, $D$9, 100%, $F$9) + CHOOSE(CONTROL!$C$27, 0.0021, 0)</f>
        <v>55.339100000000002</v>
      </c>
      <c r="K241" s="14">
        <f>55.337 * CHOOSE(CONTROL!$C$9, $D$9, 100%, $F$9) + CHOOSE(CONTROL!$C$27, 0.0021, 0)</f>
        <v>55.339100000000002</v>
      </c>
      <c r="L241" s="14"/>
    </row>
    <row r="242" spans="1:12" ht="15" x14ac:dyDescent="0.2">
      <c r="A242" s="13">
        <v>48274</v>
      </c>
      <c r="B242" s="14">
        <f>55.1267 * CHOOSE(CONTROL!$C$9, $D$9, 100%, $F$9) + CHOOSE(CONTROL!$C$27, 0.0021, 0)</f>
        <v>55.128799999999998</v>
      </c>
      <c r="C242" s="14">
        <f>54.6944 * CHOOSE(CONTROL!$C$9, $D$9, 100%, $F$9) + CHOOSE(CONTROL!$C$27, 0.0021, 0)</f>
        <v>54.6965</v>
      </c>
      <c r="D242" s="14">
        <f>54.6944 * CHOOSE(CONTROL!$C$9, $D$9, 100%, $F$9) + CHOOSE(CONTROL!$C$27, 0.0021, 0)</f>
        <v>54.6965</v>
      </c>
      <c r="E242" s="14">
        <f>54.5578 * CHOOSE(CONTROL!$C$9, $D$9, 100%, $F$9) + CHOOSE(CONTROL!$C$27, 0.0021, 0)</f>
        <v>54.559899999999999</v>
      </c>
      <c r="F242" s="14">
        <f>54.5578 * CHOOSE(CONTROL!$C$9, $D$9, 100%, $F$9) + CHOOSE(CONTROL!$C$27, 0.0021, 0)</f>
        <v>54.559899999999999</v>
      </c>
      <c r="G242" s="14">
        <f>54.8291 * CHOOSE(CONTROL!$C$9, $D$9, 100%, $F$9) + CHOOSE(CONTROL!$C$27, 0.0021, 0)</f>
        <v>54.831199999999995</v>
      </c>
      <c r="H242" s="14">
        <f>54.6944 * CHOOSE(CONTROL!$C$9, $D$9, 100%, $F$9) + CHOOSE(CONTROL!$C$27, 0.0021, 0)</f>
        <v>54.6965</v>
      </c>
      <c r="I242" s="14">
        <f>54.6944 * CHOOSE(CONTROL!$C$9, $D$9, 100%, $F$9) + CHOOSE(CONTROL!$C$27, 0.0021, 0)</f>
        <v>54.6965</v>
      </c>
      <c r="J242" s="14">
        <f>54.6944 * CHOOSE(CONTROL!$C$9, $D$9, 100%, $F$9) + CHOOSE(CONTROL!$C$27, 0.0021, 0)</f>
        <v>54.6965</v>
      </c>
      <c r="K242" s="14">
        <f>54.6944 * CHOOSE(CONTROL!$C$9, $D$9, 100%, $F$9) + CHOOSE(CONTROL!$C$27, 0.0021, 0)</f>
        <v>54.6965</v>
      </c>
      <c r="L242" s="14"/>
    </row>
    <row r="243" spans="1:12" ht="15" x14ac:dyDescent="0.2">
      <c r="A243" s="13">
        <v>48305</v>
      </c>
      <c r="B243" s="14">
        <f>54.3594 * CHOOSE(CONTROL!$C$9, $D$9, 100%, $F$9) + CHOOSE(CONTROL!$C$27, 0.0021, 0)</f>
        <v>54.361499999999999</v>
      </c>
      <c r="C243" s="14">
        <f>53.9272 * CHOOSE(CONTROL!$C$9, $D$9, 100%, $F$9) + CHOOSE(CONTROL!$C$27, 0.0021, 0)</f>
        <v>53.929299999999998</v>
      </c>
      <c r="D243" s="14">
        <f>53.9272 * CHOOSE(CONTROL!$C$9, $D$9, 100%, $F$9) + CHOOSE(CONTROL!$C$27, 0.0021, 0)</f>
        <v>53.929299999999998</v>
      </c>
      <c r="E243" s="14">
        <f>53.7905 * CHOOSE(CONTROL!$C$9, $D$9, 100%, $F$9) + CHOOSE(CONTROL!$C$27, 0.0021, 0)</f>
        <v>53.7926</v>
      </c>
      <c r="F243" s="14">
        <f>53.7905 * CHOOSE(CONTROL!$C$9, $D$9, 100%, $F$9) + CHOOSE(CONTROL!$C$27, 0.0021, 0)</f>
        <v>53.7926</v>
      </c>
      <c r="G243" s="14">
        <f>54.0619 * CHOOSE(CONTROL!$C$9, $D$9, 100%, $F$9) + CHOOSE(CONTROL!$C$27, 0.0021, 0)</f>
        <v>54.064</v>
      </c>
      <c r="H243" s="14">
        <f>53.9272 * CHOOSE(CONTROL!$C$9, $D$9, 100%, $F$9) + CHOOSE(CONTROL!$C$27, 0.0021, 0)</f>
        <v>53.929299999999998</v>
      </c>
      <c r="I243" s="14">
        <f>53.9272 * CHOOSE(CONTROL!$C$9, $D$9, 100%, $F$9) + CHOOSE(CONTROL!$C$27, 0.0021, 0)</f>
        <v>53.929299999999998</v>
      </c>
      <c r="J243" s="14">
        <f>53.9272 * CHOOSE(CONTROL!$C$9, $D$9, 100%, $F$9) + CHOOSE(CONTROL!$C$27, 0.0021, 0)</f>
        <v>53.929299999999998</v>
      </c>
      <c r="K243" s="14">
        <f>53.9272 * CHOOSE(CONTROL!$C$9, $D$9, 100%, $F$9) + CHOOSE(CONTROL!$C$27, 0.0021, 0)</f>
        <v>53.929299999999998</v>
      </c>
      <c r="L243" s="14"/>
    </row>
    <row r="244" spans="1:12" ht="15" x14ac:dyDescent="0.2">
      <c r="A244" s="13">
        <v>48335</v>
      </c>
      <c r="B244" s="14">
        <f>55.4528 * CHOOSE(CONTROL!$C$9, $D$9, 100%, $F$9) + CHOOSE(CONTROL!$C$27, 0.0021, 0)</f>
        <v>55.454900000000002</v>
      </c>
      <c r="C244" s="14">
        <f>55.0206 * CHOOSE(CONTROL!$C$9, $D$9, 100%, $F$9) + CHOOSE(CONTROL!$C$27, 0.0021, 0)</f>
        <v>55.0227</v>
      </c>
      <c r="D244" s="14">
        <f>55.0206 * CHOOSE(CONTROL!$C$9, $D$9, 100%, $F$9) + CHOOSE(CONTROL!$C$27, 0.0021, 0)</f>
        <v>55.0227</v>
      </c>
      <c r="E244" s="14">
        <f>54.8839 * CHOOSE(CONTROL!$C$9, $D$9, 100%, $F$9) + CHOOSE(CONTROL!$C$27, 0.0021, 0)</f>
        <v>54.885999999999996</v>
      </c>
      <c r="F244" s="14">
        <f>54.8839 * CHOOSE(CONTROL!$C$9, $D$9, 100%, $F$9) + CHOOSE(CONTROL!$C$27, 0.0021, 0)</f>
        <v>54.885999999999996</v>
      </c>
      <c r="G244" s="14">
        <f>55.1553 * CHOOSE(CONTROL!$C$9, $D$9, 100%, $F$9) + CHOOSE(CONTROL!$C$27, 0.0021, 0)</f>
        <v>55.157399999999996</v>
      </c>
      <c r="H244" s="14">
        <f>55.0206 * CHOOSE(CONTROL!$C$9, $D$9, 100%, $F$9) + CHOOSE(CONTROL!$C$27, 0.0021, 0)</f>
        <v>55.0227</v>
      </c>
      <c r="I244" s="14">
        <f>55.0206 * CHOOSE(CONTROL!$C$9, $D$9, 100%, $F$9) + CHOOSE(CONTROL!$C$27, 0.0021, 0)</f>
        <v>55.0227</v>
      </c>
      <c r="J244" s="14">
        <f>55.0206 * CHOOSE(CONTROL!$C$9, $D$9, 100%, $F$9) + CHOOSE(CONTROL!$C$27, 0.0021, 0)</f>
        <v>55.0227</v>
      </c>
      <c r="K244" s="14">
        <f>55.0206 * CHOOSE(CONTROL!$C$9, $D$9, 100%, $F$9) + CHOOSE(CONTROL!$C$27, 0.0021, 0)</f>
        <v>55.0227</v>
      </c>
      <c r="L244" s="14"/>
    </row>
    <row r="245" spans="1:12" ht="15" x14ac:dyDescent="0.2">
      <c r="A245" s="13">
        <v>48366</v>
      </c>
      <c r="B245" s="14">
        <f>56.1078 * CHOOSE(CONTROL!$C$9, $D$9, 100%, $F$9) + CHOOSE(CONTROL!$C$27, 0.0021, 0)</f>
        <v>56.109899999999996</v>
      </c>
      <c r="C245" s="14">
        <f>55.6755 * CHOOSE(CONTROL!$C$9, $D$9, 100%, $F$9) + CHOOSE(CONTROL!$C$27, 0.0021, 0)</f>
        <v>55.677599999999998</v>
      </c>
      <c r="D245" s="14">
        <f>55.6755 * CHOOSE(CONTROL!$C$9, $D$9, 100%, $F$9) + CHOOSE(CONTROL!$C$27, 0.0021, 0)</f>
        <v>55.677599999999998</v>
      </c>
      <c r="E245" s="14">
        <f>55.5389 * CHOOSE(CONTROL!$C$9, $D$9, 100%, $F$9) + CHOOSE(CONTROL!$C$27, 0.0021, 0)</f>
        <v>55.540999999999997</v>
      </c>
      <c r="F245" s="14">
        <f>55.5389 * CHOOSE(CONTROL!$C$9, $D$9, 100%, $F$9) + CHOOSE(CONTROL!$C$27, 0.0021, 0)</f>
        <v>55.540999999999997</v>
      </c>
      <c r="G245" s="14">
        <f>55.8102 * CHOOSE(CONTROL!$C$9, $D$9, 100%, $F$9) + CHOOSE(CONTROL!$C$27, 0.0021, 0)</f>
        <v>55.8123</v>
      </c>
      <c r="H245" s="14">
        <f>55.6755 * CHOOSE(CONTROL!$C$9, $D$9, 100%, $F$9) + CHOOSE(CONTROL!$C$27, 0.0021, 0)</f>
        <v>55.677599999999998</v>
      </c>
      <c r="I245" s="14">
        <f>55.6755 * CHOOSE(CONTROL!$C$9, $D$9, 100%, $F$9) + CHOOSE(CONTROL!$C$27, 0.0021, 0)</f>
        <v>55.677599999999998</v>
      </c>
      <c r="J245" s="14">
        <f>55.6755 * CHOOSE(CONTROL!$C$9, $D$9, 100%, $F$9) + CHOOSE(CONTROL!$C$27, 0.0021, 0)</f>
        <v>55.677599999999998</v>
      </c>
      <c r="K245" s="14">
        <f>55.6755 * CHOOSE(CONTROL!$C$9, $D$9, 100%, $F$9) + CHOOSE(CONTROL!$C$27, 0.0021, 0)</f>
        <v>55.677599999999998</v>
      </c>
      <c r="L245" s="14"/>
    </row>
    <row r="246" spans="1:12" ht="15" x14ac:dyDescent="0.2">
      <c r="A246" s="13">
        <v>48396</v>
      </c>
      <c r="B246" s="14">
        <f>57.1881 * CHOOSE(CONTROL!$C$9, $D$9, 100%, $F$9) + CHOOSE(CONTROL!$C$27, 0.0021, 0)</f>
        <v>57.190199999999997</v>
      </c>
      <c r="C246" s="14">
        <f>56.7559 * CHOOSE(CONTROL!$C$9, $D$9, 100%, $F$9) + CHOOSE(CONTROL!$C$27, 0.0021, 0)</f>
        <v>56.757999999999996</v>
      </c>
      <c r="D246" s="14">
        <f>56.7559 * CHOOSE(CONTROL!$C$9, $D$9, 100%, $F$9) + CHOOSE(CONTROL!$C$27, 0.0021, 0)</f>
        <v>56.757999999999996</v>
      </c>
      <c r="E246" s="14">
        <f>56.6192 * CHOOSE(CONTROL!$C$9, $D$9, 100%, $F$9) + CHOOSE(CONTROL!$C$27, 0.0021, 0)</f>
        <v>56.621299999999998</v>
      </c>
      <c r="F246" s="14">
        <f>56.6192 * CHOOSE(CONTROL!$C$9, $D$9, 100%, $F$9) + CHOOSE(CONTROL!$C$27, 0.0021, 0)</f>
        <v>56.621299999999998</v>
      </c>
      <c r="G246" s="14">
        <f>56.8906 * CHOOSE(CONTROL!$C$9, $D$9, 100%, $F$9) + CHOOSE(CONTROL!$C$27, 0.0021, 0)</f>
        <v>56.892699999999998</v>
      </c>
      <c r="H246" s="14">
        <f>56.7559 * CHOOSE(CONTROL!$C$9, $D$9, 100%, $F$9) + CHOOSE(CONTROL!$C$27, 0.0021, 0)</f>
        <v>56.757999999999996</v>
      </c>
      <c r="I246" s="14">
        <f>56.7559 * CHOOSE(CONTROL!$C$9, $D$9, 100%, $F$9) + CHOOSE(CONTROL!$C$27, 0.0021, 0)</f>
        <v>56.757999999999996</v>
      </c>
      <c r="J246" s="14">
        <f>56.7559 * CHOOSE(CONTROL!$C$9, $D$9, 100%, $F$9) + CHOOSE(CONTROL!$C$27, 0.0021, 0)</f>
        <v>56.757999999999996</v>
      </c>
      <c r="K246" s="14">
        <f>56.7559 * CHOOSE(CONTROL!$C$9, $D$9, 100%, $F$9) + CHOOSE(CONTROL!$C$27, 0.0021, 0)</f>
        <v>56.757999999999996</v>
      </c>
      <c r="L246" s="14"/>
    </row>
    <row r="247" spans="1:12" ht="15" x14ac:dyDescent="0.2">
      <c r="A247" s="13">
        <v>48427</v>
      </c>
      <c r="B247" s="14">
        <f>57.5179 * CHOOSE(CONTROL!$C$9, $D$9, 100%, $F$9) + CHOOSE(CONTROL!$C$27, 0.0021, 0)</f>
        <v>57.519999999999996</v>
      </c>
      <c r="C247" s="14">
        <f>57.0857 * CHOOSE(CONTROL!$C$9, $D$9, 100%, $F$9) + CHOOSE(CONTROL!$C$27, 0.0021, 0)</f>
        <v>57.087800000000001</v>
      </c>
      <c r="D247" s="14">
        <f>57.0857 * CHOOSE(CONTROL!$C$9, $D$9, 100%, $F$9) + CHOOSE(CONTROL!$C$27, 0.0021, 0)</f>
        <v>57.087800000000001</v>
      </c>
      <c r="E247" s="14">
        <f>56.949 * CHOOSE(CONTROL!$C$9, $D$9, 100%, $F$9) + CHOOSE(CONTROL!$C$27, 0.0021, 0)</f>
        <v>56.951099999999997</v>
      </c>
      <c r="F247" s="14">
        <f>56.949 * CHOOSE(CONTROL!$C$9, $D$9, 100%, $F$9) + CHOOSE(CONTROL!$C$27, 0.0021, 0)</f>
        <v>56.951099999999997</v>
      </c>
      <c r="G247" s="14">
        <f>57.2204 * CHOOSE(CONTROL!$C$9, $D$9, 100%, $F$9) + CHOOSE(CONTROL!$C$27, 0.0021, 0)</f>
        <v>57.222499999999997</v>
      </c>
      <c r="H247" s="14">
        <f>57.0857 * CHOOSE(CONTROL!$C$9, $D$9, 100%, $F$9) + CHOOSE(CONTROL!$C$27, 0.0021, 0)</f>
        <v>57.087800000000001</v>
      </c>
      <c r="I247" s="14">
        <f>57.0857 * CHOOSE(CONTROL!$C$9, $D$9, 100%, $F$9) + CHOOSE(CONTROL!$C$27, 0.0021, 0)</f>
        <v>57.087800000000001</v>
      </c>
      <c r="J247" s="14">
        <f>57.0857 * CHOOSE(CONTROL!$C$9, $D$9, 100%, $F$9) + CHOOSE(CONTROL!$C$27, 0.0021, 0)</f>
        <v>57.087800000000001</v>
      </c>
      <c r="K247" s="14">
        <f>57.0857 * CHOOSE(CONTROL!$C$9, $D$9, 100%, $F$9) + CHOOSE(CONTROL!$C$27, 0.0021, 0)</f>
        <v>57.087800000000001</v>
      </c>
      <c r="L247" s="14"/>
    </row>
    <row r="248" spans="1:12" ht="15" x14ac:dyDescent="0.2">
      <c r="A248" s="13">
        <v>48458</v>
      </c>
      <c r="B248" s="14">
        <f>58.6409 * CHOOSE(CONTROL!$C$9, $D$9, 100%, $F$9) + CHOOSE(CONTROL!$C$27, 0.0021, 0)</f>
        <v>58.643000000000001</v>
      </c>
      <c r="C248" s="14">
        <f>58.2087 * CHOOSE(CONTROL!$C$9, $D$9, 100%, $F$9) + CHOOSE(CONTROL!$C$27, 0.0021, 0)</f>
        <v>58.210799999999999</v>
      </c>
      <c r="D248" s="14">
        <f>58.2087 * CHOOSE(CONTROL!$C$9, $D$9, 100%, $F$9) + CHOOSE(CONTROL!$C$27, 0.0021, 0)</f>
        <v>58.210799999999999</v>
      </c>
      <c r="E248" s="14">
        <f>58.072 * CHOOSE(CONTROL!$C$9, $D$9, 100%, $F$9) + CHOOSE(CONTROL!$C$27, 0.0021, 0)</f>
        <v>58.074100000000001</v>
      </c>
      <c r="F248" s="14">
        <f>58.072 * CHOOSE(CONTROL!$C$9, $D$9, 100%, $F$9) + CHOOSE(CONTROL!$C$27, 0.0021, 0)</f>
        <v>58.074100000000001</v>
      </c>
      <c r="G248" s="14">
        <f>58.3434 * CHOOSE(CONTROL!$C$9, $D$9, 100%, $F$9) + CHOOSE(CONTROL!$C$27, 0.0021, 0)</f>
        <v>58.345500000000001</v>
      </c>
      <c r="H248" s="14">
        <f>58.2087 * CHOOSE(CONTROL!$C$9, $D$9, 100%, $F$9) + CHOOSE(CONTROL!$C$27, 0.0021, 0)</f>
        <v>58.210799999999999</v>
      </c>
      <c r="I248" s="14">
        <f>58.2087 * CHOOSE(CONTROL!$C$9, $D$9, 100%, $F$9) + CHOOSE(CONTROL!$C$27, 0.0021, 0)</f>
        <v>58.210799999999999</v>
      </c>
      <c r="J248" s="14">
        <f>58.2087 * CHOOSE(CONTROL!$C$9, $D$9, 100%, $F$9) + CHOOSE(CONTROL!$C$27, 0.0021, 0)</f>
        <v>58.210799999999999</v>
      </c>
      <c r="K248" s="14">
        <f>58.2087 * CHOOSE(CONTROL!$C$9, $D$9, 100%, $F$9) + CHOOSE(CONTROL!$C$27, 0.0021, 0)</f>
        <v>58.210799999999999</v>
      </c>
      <c r="L248" s="14"/>
    </row>
    <row r="249" spans="1:12" ht="15" x14ac:dyDescent="0.2">
      <c r="A249" s="13">
        <v>48488</v>
      </c>
      <c r="B249" s="14">
        <f>60.0625 * CHOOSE(CONTROL!$C$9, $D$9, 100%, $F$9) + CHOOSE(CONTROL!$C$27, 0.0021, 0)</f>
        <v>60.064599999999999</v>
      </c>
      <c r="C249" s="14">
        <f>59.6302 * CHOOSE(CONTROL!$C$9, $D$9, 100%, $F$9) + CHOOSE(CONTROL!$C$27, 0.0021, 0)</f>
        <v>59.632300000000001</v>
      </c>
      <c r="D249" s="14">
        <f>59.6302 * CHOOSE(CONTROL!$C$9, $D$9, 100%, $F$9) + CHOOSE(CONTROL!$C$27, 0.0021, 0)</f>
        <v>59.632300000000001</v>
      </c>
      <c r="E249" s="14">
        <f>59.4935 * CHOOSE(CONTROL!$C$9, $D$9, 100%, $F$9) + CHOOSE(CONTROL!$C$27, 0.0021, 0)</f>
        <v>59.495599999999996</v>
      </c>
      <c r="F249" s="14">
        <f>59.4935 * CHOOSE(CONTROL!$C$9, $D$9, 100%, $F$9) + CHOOSE(CONTROL!$C$27, 0.0021, 0)</f>
        <v>59.495599999999996</v>
      </c>
      <c r="G249" s="14">
        <f>59.7649 * CHOOSE(CONTROL!$C$9, $D$9, 100%, $F$9) + CHOOSE(CONTROL!$C$27, 0.0021, 0)</f>
        <v>59.766999999999996</v>
      </c>
      <c r="H249" s="14">
        <f>59.6302 * CHOOSE(CONTROL!$C$9, $D$9, 100%, $F$9) + CHOOSE(CONTROL!$C$27, 0.0021, 0)</f>
        <v>59.632300000000001</v>
      </c>
      <c r="I249" s="14">
        <f>59.6302 * CHOOSE(CONTROL!$C$9, $D$9, 100%, $F$9) + CHOOSE(CONTROL!$C$27, 0.0021, 0)</f>
        <v>59.632300000000001</v>
      </c>
      <c r="J249" s="14">
        <f>59.6302 * CHOOSE(CONTROL!$C$9, $D$9, 100%, $F$9) + CHOOSE(CONTROL!$C$27, 0.0021, 0)</f>
        <v>59.632300000000001</v>
      </c>
      <c r="K249" s="14">
        <f>59.6302 * CHOOSE(CONTROL!$C$9, $D$9, 100%, $F$9) + CHOOSE(CONTROL!$C$27, 0.0021, 0)</f>
        <v>59.632300000000001</v>
      </c>
      <c r="L249" s="14"/>
    </row>
    <row r="250" spans="1:12" ht="15" x14ac:dyDescent="0.2">
      <c r="A250" s="13">
        <v>48519</v>
      </c>
      <c r="B250" s="14">
        <f>60.1959 * CHOOSE(CONTROL!$C$9, $D$9, 100%, $F$9) + CHOOSE(CONTROL!$C$27, 0.0021, 0)</f>
        <v>60.198</v>
      </c>
      <c r="C250" s="14">
        <f>59.7637 * CHOOSE(CONTROL!$C$9, $D$9, 100%, $F$9) + CHOOSE(CONTROL!$C$27, 0.0021, 0)</f>
        <v>59.765799999999999</v>
      </c>
      <c r="D250" s="14">
        <f>59.7637 * CHOOSE(CONTROL!$C$9, $D$9, 100%, $F$9) + CHOOSE(CONTROL!$C$27, 0.0021, 0)</f>
        <v>59.765799999999999</v>
      </c>
      <c r="E250" s="14">
        <f>59.627 * CHOOSE(CONTROL!$C$9, $D$9, 100%, $F$9) + CHOOSE(CONTROL!$C$27, 0.0021, 0)</f>
        <v>59.629100000000001</v>
      </c>
      <c r="F250" s="14">
        <f>59.627 * CHOOSE(CONTROL!$C$9, $D$9, 100%, $F$9) + CHOOSE(CONTROL!$C$27, 0.0021, 0)</f>
        <v>59.629100000000001</v>
      </c>
      <c r="G250" s="14">
        <f>59.8984 * CHOOSE(CONTROL!$C$9, $D$9, 100%, $F$9) + CHOOSE(CONTROL!$C$27, 0.0021, 0)</f>
        <v>59.900500000000001</v>
      </c>
      <c r="H250" s="14">
        <f>59.7637 * CHOOSE(CONTROL!$C$9, $D$9, 100%, $F$9) + CHOOSE(CONTROL!$C$27, 0.0021, 0)</f>
        <v>59.765799999999999</v>
      </c>
      <c r="I250" s="14">
        <f>59.7637 * CHOOSE(CONTROL!$C$9, $D$9, 100%, $F$9) + CHOOSE(CONTROL!$C$27, 0.0021, 0)</f>
        <v>59.765799999999999</v>
      </c>
      <c r="J250" s="14">
        <f>59.7637 * CHOOSE(CONTROL!$C$9, $D$9, 100%, $F$9) + CHOOSE(CONTROL!$C$27, 0.0021, 0)</f>
        <v>59.765799999999999</v>
      </c>
      <c r="K250" s="14">
        <f>59.7637 * CHOOSE(CONTROL!$C$9, $D$9, 100%, $F$9) + CHOOSE(CONTROL!$C$27, 0.0021, 0)</f>
        <v>59.765799999999999</v>
      </c>
      <c r="L250" s="14"/>
    </row>
    <row r="251" spans="1:12" ht="15" x14ac:dyDescent="0.2">
      <c r="A251" s="13">
        <v>48549</v>
      </c>
      <c r="B251" s="14">
        <f>59.0605 * CHOOSE(CONTROL!$C$9, $D$9, 100%, $F$9) + CHOOSE(CONTROL!$C$27, 0.0021, 0)</f>
        <v>59.062599999999996</v>
      </c>
      <c r="C251" s="14">
        <f>58.6283 * CHOOSE(CONTROL!$C$9, $D$9, 100%, $F$9) + CHOOSE(CONTROL!$C$27, 0.0021, 0)</f>
        <v>58.630400000000002</v>
      </c>
      <c r="D251" s="14">
        <f>58.6283 * CHOOSE(CONTROL!$C$9, $D$9, 100%, $F$9) + CHOOSE(CONTROL!$C$27, 0.0021, 0)</f>
        <v>58.630400000000002</v>
      </c>
      <c r="E251" s="14">
        <f>58.4916 * CHOOSE(CONTROL!$C$9, $D$9, 100%, $F$9) + CHOOSE(CONTROL!$C$27, 0.0021, 0)</f>
        <v>58.493699999999997</v>
      </c>
      <c r="F251" s="14">
        <f>58.4916 * CHOOSE(CONTROL!$C$9, $D$9, 100%, $F$9) + CHOOSE(CONTROL!$C$27, 0.0021, 0)</f>
        <v>58.493699999999997</v>
      </c>
      <c r="G251" s="14">
        <f>58.763 * CHOOSE(CONTROL!$C$9, $D$9, 100%, $F$9) + CHOOSE(CONTROL!$C$27, 0.0021, 0)</f>
        <v>58.765099999999997</v>
      </c>
      <c r="H251" s="14">
        <f>58.6283 * CHOOSE(CONTROL!$C$9, $D$9, 100%, $F$9) + CHOOSE(CONTROL!$C$27, 0.0021, 0)</f>
        <v>58.630400000000002</v>
      </c>
      <c r="I251" s="14">
        <f>58.6283 * CHOOSE(CONTROL!$C$9, $D$9, 100%, $F$9) + CHOOSE(CONTROL!$C$27, 0.0021, 0)</f>
        <v>58.630400000000002</v>
      </c>
      <c r="J251" s="14">
        <f>58.6283 * CHOOSE(CONTROL!$C$9, $D$9, 100%, $F$9) + CHOOSE(CONTROL!$C$27, 0.0021, 0)</f>
        <v>58.630400000000002</v>
      </c>
      <c r="K251" s="14">
        <f>58.6283 * CHOOSE(CONTROL!$C$9, $D$9, 100%, $F$9) + CHOOSE(CONTROL!$C$27, 0.0021, 0)</f>
        <v>58.630400000000002</v>
      </c>
      <c r="L251" s="14"/>
    </row>
    <row r="252" spans="1:12" ht="15" x14ac:dyDescent="0.2">
      <c r="A252" s="13">
        <v>48580</v>
      </c>
      <c r="B252" s="14">
        <f>58.343 * CHOOSE(CONTROL!$C$9, $D$9, 100%, $F$9) + CHOOSE(CONTROL!$C$27, 0.0021, 0)</f>
        <v>58.345100000000002</v>
      </c>
      <c r="C252" s="14">
        <f>57.9107 * CHOOSE(CONTROL!$C$9, $D$9, 100%, $F$9) + CHOOSE(CONTROL!$C$27, 0.0021, 0)</f>
        <v>57.912799999999997</v>
      </c>
      <c r="D252" s="14">
        <f>57.9107 * CHOOSE(CONTROL!$C$9, $D$9, 100%, $F$9) + CHOOSE(CONTROL!$C$27, 0.0021, 0)</f>
        <v>57.912799999999997</v>
      </c>
      <c r="E252" s="14">
        <f>57.774 * CHOOSE(CONTROL!$C$9, $D$9, 100%, $F$9) + CHOOSE(CONTROL!$C$27, 0.0021, 0)</f>
        <v>57.7761</v>
      </c>
      <c r="F252" s="14">
        <f>57.774 * CHOOSE(CONTROL!$C$9, $D$9, 100%, $F$9) + CHOOSE(CONTROL!$C$27, 0.0021, 0)</f>
        <v>57.7761</v>
      </c>
      <c r="G252" s="14">
        <f>58.0454 * CHOOSE(CONTROL!$C$9, $D$9, 100%, $F$9) + CHOOSE(CONTROL!$C$27, 0.0021, 0)</f>
        <v>58.047499999999999</v>
      </c>
      <c r="H252" s="14">
        <f>57.9107 * CHOOSE(CONTROL!$C$9, $D$9, 100%, $F$9) + CHOOSE(CONTROL!$C$27, 0.0021, 0)</f>
        <v>57.912799999999997</v>
      </c>
      <c r="I252" s="14">
        <f>57.9107 * CHOOSE(CONTROL!$C$9, $D$9, 100%, $F$9) + CHOOSE(CONTROL!$C$27, 0.0021, 0)</f>
        <v>57.912799999999997</v>
      </c>
      <c r="J252" s="14">
        <f>57.9107 * CHOOSE(CONTROL!$C$9, $D$9, 100%, $F$9) + CHOOSE(CONTROL!$C$27, 0.0021, 0)</f>
        <v>57.912799999999997</v>
      </c>
      <c r="K252" s="14">
        <f>57.9107 * CHOOSE(CONTROL!$C$9, $D$9, 100%, $F$9) + CHOOSE(CONTROL!$C$27, 0.0021, 0)</f>
        <v>57.912799999999997</v>
      </c>
      <c r="L252" s="14"/>
    </row>
    <row r="253" spans="1:12" ht="15" x14ac:dyDescent="0.2">
      <c r="A253" s="13">
        <v>48611</v>
      </c>
      <c r="B253" s="14">
        <f>56.7575 * CHOOSE(CONTROL!$C$9, $D$9, 100%, $F$9) + CHOOSE(CONTROL!$C$27, 0.0021, 0)</f>
        <v>56.759599999999999</v>
      </c>
      <c r="C253" s="14">
        <f>56.3253 * CHOOSE(CONTROL!$C$9, $D$9, 100%, $F$9) + CHOOSE(CONTROL!$C$27, 0.0021, 0)</f>
        <v>56.327399999999997</v>
      </c>
      <c r="D253" s="14">
        <f>56.3253 * CHOOSE(CONTROL!$C$9, $D$9, 100%, $F$9) + CHOOSE(CONTROL!$C$27, 0.0021, 0)</f>
        <v>56.327399999999997</v>
      </c>
      <c r="E253" s="14">
        <f>56.1886 * CHOOSE(CONTROL!$C$9, $D$9, 100%, $F$9) + CHOOSE(CONTROL!$C$27, 0.0021, 0)</f>
        <v>56.1907</v>
      </c>
      <c r="F253" s="14">
        <f>56.1886 * CHOOSE(CONTROL!$C$9, $D$9, 100%, $F$9) + CHOOSE(CONTROL!$C$27, 0.0021, 0)</f>
        <v>56.1907</v>
      </c>
      <c r="G253" s="14">
        <f>56.46 * CHOOSE(CONTROL!$C$9, $D$9, 100%, $F$9) + CHOOSE(CONTROL!$C$27, 0.0021, 0)</f>
        <v>56.4621</v>
      </c>
      <c r="H253" s="14">
        <f>56.3253 * CHOOSE(CONTROL!$C$9, $D$9, 100%, $F$9) + CHOOSE(CONTROL!$C$27, 0.0021, 0)</f>
        <v>56.327399999999997</v>
      </c>
      <c r="I253" s="14">
        <f>56.3253 * CHOOSE(CONTROL!$C$9, $D$9, 100%, $F$9) + CHOOSE(CONTROL!$C$27, 0.0021, 0)</f>
        <v>56.327399999999997</v>
      </c>
      <c r="J253" s="14">
        <f>56.3253 * CHOOSE(CONTROL!$C$9, $D$9, 100%, $F$9) + CHOOSE(CONTROL!$C$27, 0.0021, 0)</f>
        <v>56.327399999999997</v>
      </c>
      <c r="K253" s="14">
        <f>56.3253 * CHOOSE(CONTROL!$C$9, $D$9, 100%, $F$9) + CHOOSE(CONTROL!$C$27, 0.0021, 0)</f>
        <v>56.327399999999997</v>
      </c>
      <c r="L253" s="14"/>
    </row>
    <row r="254" spans="1:12" ht="15" x14ac:dyDescent="0.2">
      <c r="A254" s="13">
        <v>48639</v>
      </c>
      <c r="B254" s="14">
        <f>56.1031 * CHOOSE(CONTROL!$C$9, $D$9, 100%, $F$9) + CHOOSE(CONTROL!$C$27, 0.0021, 0)</f>
        <v>56.105199999999996</v>
      </c>
      <c r="C254" s="14">
        <f>55.6708 * CHOOSE(CONTROL!$C$9, $D$9, 100%, $F$9) + CHOOSE(CONTROL!$C$27, 0.0021, 0)</f>
        <v>55.672899999999998</v>
      </c>
      <c r="D254" s="14">
        <f>55.6708 * CHOOSE(CONTROL!$C$9, $D$9, 100%, $F$9) + CHOOSE(CONTROL!$C$27, 0.0021, 0)</f>
        <v>55.672899999999998</v>
      </c>
      <c r="E254" s="14">
        <f>55.5342 * CHOOSE(CONTROL!$C$9, $D$9, 100%, $F$9) + CHOOSE(CONTROL!$C$27, 0.0021, 0)</f>
        <v>55.536299999999997</v>
      </c>
      <c r="F254" s="14">
        <f>55.5342 * CHOOSE(CONTROL!$C$9, $D$9, 100%, $F$9) + CHOOSE(CONTROL!$C$27, 0.0021, 0)</f>
        <v>55.536299999999997</v>
      </c>
      <c r="G254" s="14">
        <f>55.8055 * CHOOSE(CONTROL!$C$9, $D$9, 100%, $F$9) + CHOOSE(CONTROL!$C$27, 0.0021, 0)</f>
        <v>55.807600000000001</v>
      </c>
      <c r="H254" s="14">
        <f>55.6708 * CHOOSE(CONTROL!$C$9, $D$9, 100%, $F$9) + CHOOSE(CONTROL!$C$27, 0.0021, 0)</f>
        <v>55.672899999999998</v>
      </c>
      <c r="I254" s="14">
        <f>55.6708 * CHOOSE(CONTROL!$C$9, $D$9, 100%, $F$9) + CHOOSE(CONTROL!$C$27, 0.0021, 0)</f>
        <v>55.672899999999998</v>
      </c>
      <c r="J254" s="14">
        <f>55.6708 * CHOOSE(CONTROL!$C$9, $D$9, 100%, $F$9) + CHOOSE(CONTROL!$C$27, 0.0021, 0)</f>
        <v>55.672899999999998</v>
      </c>
      <c r="K254" s="14">
        <f>55.6708 * CHOOSE(CONTROL!$C$9, $D$9, 100%, $F$9) + CHOOSE(CONTROL!$C$27, 0.0021, 0)</f>
        <v>55.672899999999998</v>
      </c>
      <c r="L254" s="14"/>
    </row>
    <row r="255" spans="1:12" ht="15" x14ac:dyDescent="0.2">
      <c r="A255" s="13">
        <v>48670</v>
      </c>
      <c r="B255" s="14">
        <f>55.3216 * CHOOSE(CONTROL!$C$9, $D$9, 100%, $F$9) + CHOOSE(CONTROL!$C$27, 0.0021, 0)</f>
        <v>55.323699999999995</v>
      </c>
      <c r="C255" s="14">
        <f>54.8894 * CHOOSE(CONTROL!$C$9, $D$9, 100%, $F$9) + CHOOSE(CONTROL!$C$27, 0.0021, 0)</f>
        <v>54.891500000000001</v>
      </c>
      <c r="D255" s="14">
        <f>54.8894 * CHOOSE(CONTROL!$C$9, $D$9, 100%, $F$9) + CHOOSE(CONTROL!$C$27, 0.0021, 0)</f>
        <v>54.891500000000001</v>
      </c>
      <c r="E255" s="14">
        <f>54.7527 * CHOOSE(CONTROL!$C$9, $D$9, 100%, $F$9) + CHOOSE(CONTROL!$C$27, 0.0021, 0)</f>
        <v>54.754799999999996</v>
      </c>
      <c r="F255" s="14">
        <f>54.7527 * CHOOSE(CONTROL!$C$9, $D$9, 100%, $F$9) + CHOOSE(CONTROL!$C$27, 0.0021, 0)</f>
        <v>54.754799999999996</v>
      </c>
      <c r="G255" s="14">
        <f>55.0241 * CHOOSE(CONTROL!$C$9, $D$9, 100%, $F$9) + CHOOSE(CONTROL!$C$27, 0.0021, 0)</f>
        <v>55.026199999999996</v>
      </c>
      <c r="H255" s="14">
        <f>54.8894 * CHOOSE(CONTROL!$C$9, $D$9, 100%, $F$9) + CHOOSE(CONTROL!$C$27, 0.0021, 0)</f>
        <v>54.891500000000001</v>
      </c>
      <c r="I255" s="14">
        <f>54.8894 * CHOOSE(CONTROL!$C$9, $D$9, 100%, $F$9) + CHOOSE(CONTROL!$C$27, 0.0021, 0)</f>
        <v>54.891500000000001</v>
      </c>
      <c r="J255" s="14">
        <f>54.8894 * CHOOSE(CONTROL!$C$9, $D$9, 100%, $F$9) + CHOOSE(CONTROL!$C$27, 0.0021, 0)</f>
        <v>54.891500000000001</v>
      </c>
      <c r="K255" s="14">
        <f>54.8894 * CHOOSE(CONTROL!$C$9, $D$9, 100%, $F$9) + CHOOSE(CONTROL!$C$27, 0.0021, 0)</f>
        <v>54.891500000000001</v>
      </c>
      <c r="L255" s="14"/>
    </row>
    <row r="256" spans="1:12" ht="15" x14ac:dyDescent="0.2">
      <c r="A256" s="13">
        <v>48700</v>
      </c>
      <c r="B256" s="14">
        <f>56.4353 * CHOOSE(CONTROL!$C$9, $D$9, 100%, $F$9) + CHOOSE(CONTROL!$C$27, 0.0021, 0)</f>
        <v>56.437399999999997</v>
      </c>
      <c r="C256" s="14">
        <f>56.003 * CHOOSE(CONTROL!$C$9, $D$9, 100%, $F$9) + CHOOSE(CONTROL!$C$27, 0.0021, 0)</f>
        <v>56.005099999999999</v>
      </c>
      <c r="D256" s="14">
        <f>56.003 * CHOOSE(CONTROL!$C$9, $D$9, 100%, $F$9) + CHOOSE(CONTROL!$C$27, 0.0021, 0)</f>
        <v>56.005099999999999</v>
      </c>
      <c r="E256" s="14">
        <f>55.8664 * CHOOSE(CONTROL!$C$9, $D$9, 100%, $F$9) + CHOOSE(CONTROL!$C$27, 0.0021, 0)</f>
        <v>55.868499999999997</v>
      </c>
      <c r="F256" s="14">
        <f>55.8664 * CHOOSE(CONTROL!$C$9, $D$9, 100%, $F$9) + CHOOSE(CONTROL!$C$27, 0.0021, 0)</f>
        <v>55.868499999999997</v>
      </c>
      <c r="G256" s="14">
        <f>56.1378 * CHOOSE(CONTROL!$C$9, $D$9, 100%, $F$9) + CHOOSE(CONTROL!$C$27, 0.0021, 0)</f>
        <v>56.139899999999997</v>
      </c>
      <c r="H256" s="14">
        <f>56.003 * CHOOSE(CONTROL!$C$9, $D$9, 100%, $F$9) + CHOOSE(CONTROL!$C$27, 0.0021, 0)</f>
        <v>56.005099999999999</v>
      </c>
      <c r="I256" s="14">
        <f>56.003 * CHOOSE(CONTROL!$C$9, $D$9, 100%, $F$9) + CHOOSE(CONTROL!$C$27, 0.0021, 0)</f>
        <v>56.005099999999999</v>
      </c>
      <c r="J256" s="14">
        <f>56.003 * CHOOSE(CONTROL!$C$9, $D$9, 100%, $F$9) + CHOOSE(CONTROL!$C$27, 0.0021, 0)</f>
        <v>56.005099999999999</v>
      </c>
      <c r="K256" s="14">
        <f>56.003 * CHOOSE(CONTROL!$C$9, $D$9, 100%, $F$9) + CHOOSE(CONTROL!$C$27, 0.0021, 0)</f>
        <v>56.005099999999999</v>
      </c>
      <c r="L256" s="14"/>
    </row>
    <row r="257" spans="1:12" ht="15" x14ac:dyDescent="0.2">
      <c r="A257" s="13">
        <v>48731</v>
      </c>
      <c r="B257" s="14">
        <f>57.1023 * CHOOSE(CONTROL!$C$9, $D$9, 100%, $F$9) + CHOOSE(CONTROL!$C$27, 0.0021, 0)</f>
        <v>57.104399999999998</v>
      </c>
      <c r="C257" s="14">
        <f>56.6701 * CHOOSE(CONTROL!$C$9, $D$9, 100%, $F$9) + CHOOSE(CONTROL!$C$27, 0.0021, 0)</f>
        <v>56.672199999999997</v>
      </c>
      <c r="D257" s="14">
        <f>56.6701 * CHOOSE(CONTROL!$C$9, $D$9, 100%, $F$9) + CHOOSE(CONTROL!$C$27, 0.0021, 0)</f>
        <v>56.672199999999997</v>
      </c>
      <c r="E257" s="14">
        <f>56.5334 * CHOOSE(CONTROL!$C$9, $D$9, 100%, $F$9) + CHOOSE(CONTROL!$C$27, 0.0021, 0)</f>
        <v>56.535499999999999</v>
      </c>
      <c r="F257" s="14">
        <f>56.5334 * CHOOSE(CONTROL!$C$9, $D$9, 100%, $F$9) + CHOOSE(CONTROL!$C$27, 0.0021, 0)</f>
        <v>56.535499999999999</v>
      </c>
      <c r="G257" s="14">
        <f>56.8048 * CHOOSE(CONTROL!$C$9, $D$9, 100%, $F$9) + CHOOSE(CONTROL!$C$27, 0.0021, 0)</f>
        <v>56.806899999999999</v>
      </c>
      <c r="H257" s="14">
        <f>56.6701 * CHOOSE(CONTROL!$C$9, $D$9, 100%, $F$9) + CHOOSE(CONTROL!$C$27, 0.0021, 0)</f>
        <v>56.672199999999997</v>
      </c>
      <c r="I257" s="14">
        <f>56.6701 * CHOOSE(CONTROL!$C$9, $D$9, 100%, $F$9) + CHOOSE(CONTROL!$C$27, 0.0021, 0)</f>
        <v>56.672199999999997</v>
      </c>
      <c r="J257" s="14">
        <f>56.6701 * CHOOSE(CONTROL!$C$9, $D$9, 100%, $F$9) + CHOOSE(CONTROL!$C$27, 0.0021, 0)</f>
        <v>56.672199999999997</v>
      </c>
      <c r="K257" s="14">
        <f>56.6701 * CHOOSE(CONTROL!$C$9, $D$9, 100%, $F$9) + CHOOSE(CONTROL!$C$27, 0.0021, 0)</f>
        <v>56.672199999999997</v>
      </c>
      <c r="L257" s="14"/>
    </row>
    <row r="258" spans="1:12" ht="15" x14ac:dyDescent="0.2">
      <c r="A258" s="13">
        <v>48761</v>
      </c>
      <c r="B258" s="14">
        <f>58.2027 * CHOOSE(CONTROL!$C$9, $D$9, 100%, $F$9) + CHOOSE(CONTROL!$C$27, 0.0021, 0)</f>
        <v>58.204799999999999</v>
      </c>
      <c r="C258" s="14">
        <f>57.7704 * CHOOSE(CONTROL!$C$9, $D$9, 100%, $F$9) + CHOOSE(CONTROL!$C$27, 0.0021, 0)</f>
        <v>57.772500000000001</v>
      </c>
      <c r="D258" s="14">
        <f>57.7704 * CHOOSE(CONTROL!$C$9, $D$9, 100%, $F$9) + CHOOSE(CONTROL!$C$27, 0.0021, 0)</f>
        <v>57.772500000000001</v>
      </c>
      <c r="E258" s="14">
        <f>57.6337 * CHOOSE(CONTROL!$C$9, $D$9, 100%, $F$9) + CHOOSE(CONTROL!$C$27, 0.0021, 0)</f>
        <v>57.635799999999996</v>
      </c>
      <c r="F258" s="14">
        <f>57.6337 * CHOOSE(CONTROL!$C$9, $D$9, 100%, $F$9) + CHOOSE(CONTROL!$C$27, 0.0021, 0)</f>
        <v>57.635799999999996</v>
      </c>
      <c r="G258" s="14">
        <f>57.9051 * CHOOSE(CONTROL!$C$9, $D$9, 100%, $F$9) + CHOOSE(CONTROL!$C$27, 0.0021, 0)</f>
        <v>57.907199999999996</v>
      </c>
      <c r="H258" s="14">
        <f>57.7704 * CHOOSE(CONTROL!$C$9, $D$9, 100%, $F$9) + CHOOSE(CONTROL!$C$27, 0.0021, 0)</f>
        <v>57.772500000000001</v>
      </c>
      <c r="I258" s="14">
        <f>57.7704 * CHOOSE(CONTROL!$C$9, $D$9, 100%, $F$9) + CHOOSE(CONTROL!$C$27, 0.0021, 0)</f>
        <v>57.772500000000001</v>
      </c>
      <c r="J258" s="14">
        <f>57.7704 * CHOOSE(CONTROL!$C$9, $D$9, 100%, $F$9) + CHOOSE(CONTROL!$C$27, 0.0021, 0)</f>
        <v>57.772500000000001</v>
      </c>
      <c r="K258" s="14">
        <f>57.7704 * CHOOSE(CONTROL!$C$9, $D$9, 100%, $F$9) + CHOOSE(CONTROL!$C$27, 0.0021, 0)</f>
        <v>57.772500000000001</v>
      </c>
      <c r="L258" s="14"/>
    </row>
    <row r="259" spans="1:12" ht="15" x14ac:dyDescent="0.2">
      <c r="A259" s="13">
        <v>48792</v>
      </c>
      <c r="B259" s="14">
        <f>58.5385 * CHOOSE(CONTROL!$C$9, $D$9, 100%, $F$9) + CHOOSE(CONTROL!$C$27, 0.0021, 0)</f>
        <v>58.540599999999998</v>
      </c>
      <c r="C259" s="14">
        <f>58.1063 * CHOOSE(CONTROL!$C$9, $D$9, 100%, $F$9) + CHOOSE(CONTROL!$C$27, 0.0021, 0)</f>
        <v>58.108399999999996</v>
      </c>
      <c r="D259" s="14">
        <f>58.1063 * CHOOSE(CONTROL!$C$9, $D$9, 100%, $F$9) + CHOOSE(CONTROL!$C$27, 0.0021, 0)</f>
        <v>58.108399999999996</v>
      </c>
      <c r="E259" s="14">
        <f>57.9696 * CHOOSE(CONTROL!$C$9, $D$9, 100%, $F$9) + CHOOSE(CONTROL!$C$27, 0.0021, 0)</f>
        <v>57.971699999999998</v>
      </c>
      <c r="F259" s="14">
        <f>57.9696 * CHOOSE(CONTROL!$C$9, $D$9, 100%, $F$9) + CHOOSE(CONTROL!$C$27, 0.0021, 0)</f>
        <v>57.971699999999998</v>
      </c>
      <c r="G259" s="14">
        <f>58.241 * CHOOSE(CONTROL!$C$9, $D$9, 100%, $F$9) + CHOOSE(CONTROL!$C$27, 0.0021, 0)</f>
        <v>58.243099999999998</v>
      </c>
      <c r="H259" s="14">
        <f>58.1063 * CHOOSE(CONTROL!$C$9, $D$9, 100%, $F$9) + CHOOSE(CONTROL!$C$27, 0.0021, 0)</f>
        <v>58.108399999999996</v>
      </c>
      <c r="I259" s="14">
        <f>58.1063 * CHOOSE(CONTROL!$C$9, $D$9, 100%, $F$9) + CHOOSE(CONTROL!$C$27, 0.0021, 0)</f>
        <v>58.108399999999996</v>
      </c>
      <c r="J259" s="14">
        <f>58.1063 * CHOOSE(CONTROL!$C$9, $D$9, 100%, $F$9) + CHOOSE(CONTROL!$C$27, 0.0021, 0)</f>
        <v>58.108399999999996</v>
      </c>
      <c r="K259" s="14">
        <f>58.1063 * CHOOSE(CONTROL!$C$9, $D$9, 100%, $F$9) + CHOOSE(CONTROL!$C$27, 0.0021, 0)</f>
        <v>58.108399999999996</v>
      </c>
      <c r="L259" s="14"/>
    </row>
    <row r="260" spans="1:12" ht="15" x14ac:dyDescent="0.2">
      <c r="A260" s="13">
        <v>48823</v>
      </c>
      <c r="B260" s="14">
        <f>59.6823 * CHOOSE(CONTROL!$C$9, $D$9, 100%, $F$9) + CHOOSE(CONTROL!$C$27, 0.0021, 0)</f>
        <v>59.684399999999997</v>
      </c>
      <c r="C260" s="14">
        <f>59.25 * CHOOSE(CONTROL!$C$9, $D$9, 100%, $F$9) + CHOOSE(CONTROL!$C$27, 0.0021, 0)</f>
        <v>59.252099999999999</v>
      </c>
      <c r="D260" s="14">
        <f>59.25 * CHOOSE(CONTROL!$C$9, $D$9, 100%, $F$9) + CHOOSE(CONTROL!$C$27, 0.0021, 0)</f>
        <v>59.252099999999999</v>
      </c>
      <c r="E260" s="14">
        <f>59.1134 * CHOOSE(CONTROL!$C$9, $D$9, 100%, $F$9) + CHOOSE(CONTROL!$C$27, 0.0021, 0)</f>
        <v>59.115499999999997</v>
      </c>
      <c r="F260" s="14">
        <f>59.1134 * CHOOSE(CONTROL!$C$9, $D$9, 100%, $F$9) + CHOOSE(CONTROL!$C$27, 0.0021, 0)</f>
        <v>59.115499999999997</v>
      </c>
      <c r="G260" s="14">
        <f>59.3847 * CHOOSE(CONTROL!$C$9, $D$9, 100%, $F$9) + CHOOSE(CONTROL!$C$27, 0.0021, 0)</f>
        <v>59.386800000000001</v>
      </c>
      <c r="H260" s="14">
        <f>59.25 * CHOOSE(CONTROL!$C$9, $D$9, 100%, $F$9) + CHOOSE(CONTROL!$C$27, 0.0021, 0)</f>
        <v>59.252099999999999</v>
      </c>
      <c r="I260" s="14">
        <f>59.25 * CHOOSE(CONTROL!$C$9, $D$9, 100%, $F$9) + CHOOSE(CONTROL!$C$27, 0.0021, 0)</f>
        <v>59.252099999999999</v>
      </c>
      <c r="J260" s="14">
        <f>59.25 * CHOOSE(CONTROL!$C$9, $D$9, 100%, $F$9) + CHOOSE(CONTROL!$C$27, 0.0021, 0)</f>
        <v>59.252099999999999</v>
      </c>
      <c r="K260" s="14">
        <f>59.25 * CHOOSE(CONTROL!$C$9, $D$9, 100%, $F$9) + CHOOSE(CONTROL!$C$27, 0.0021, 0)</f>
        <v>59.252099999999999</v>
      </c>
      <c r="L260" s="14"/>
    </row>
    <row r="261" spans="1:12" ht="15" x14ac:dyDescent="0.2">
      <c r="A261" s="13">
        <v>48853</v>
      </c>
      <c r="B261" s="14">
        <f>61.1301 * CHOOSE(CONTROL!$C$9, $D$9, 100%, $F$9) + CHOOSE(CONTROL!$C$27, 0.0021, 0)</f>
        <v>61.132199999999997</v>
      </c>
      <c r="C261" s="14">
        <f>60.6978 * CHOOSE(CONTROL!$C$9, $D$9, 100%, $F$9) + CHOOSE(CONTROL!$C$27, 0.0021, 0)</f>
        <v>60.6999</v>
      </c>
      <c r="D261" s="14">
        <f>60.6978 * CHOOSE(CONTROL!$C$9, $D$9, 100%, $F$9) + CHOOSE(CONTROL!$C$27, 0.0021, 0)</f>
        <v>60.6999</v>
      </c>
      <c r="E261" s="14">
        <f>60.5612 * CHOOSE(CONTROL!$C$9, $D$9, 100%, $F$9) + CHOOSE(CONTROL!$C$27, 0.0021, 0)</f>
        <v>60.563299999999998</v>
      </c>
      <c r="F261" s="14">
        <f>60.5612 * CHOOSE(CONTROL!$C$9, $D$9, 100%, $F$9) + CHOOSE(CONTROL!$C$27, 0.0021, 0)</f>
        <v>60.563299999999998</v>
      </c>
      <c r="G261" s="14">
        <f>60.8326 * CHOOSE(CONTROL!$C$9, $D$9, 100%, $F$9) + CHOOSE(CONTROL!$C$27, 0.0021, 0)</f>
        <v>60.834699999999998</v>
      </c>
      <c r="H261" s="14">
        <f>60.6978 * CHOOSE(CONTROL!$C$9, $D$9, 100%, $F$9) + CHOOSE(CONTROL!$C$27, 0.0021, 0)</f>
        <v>60.6999</v>
      </c>
      <c r="I261" s="14">
        <f>60.6978 * CHOOSE(CONTROL!$C$9, $D$9, 100%, $F$9) + CHOOSE(CONTROL!$C$27, 0.0021, 0)</f>
        <v>60.6999</v>
      </c>
      <c r="J261" s="14">
        <f>60.6978 * CHOOSE(CONTROL!$C$9, $D$9, 100%, $F$9) + CHOOSE(CONTROL!$C$27, 0.0021, 0)</f>
        <v>60.6999</v>
      </c>
      <c r="K261" s="14">
        <f>60.6978 * CHOOSE(CONTROL!$C$9, $D$9, 100%, $F$9) + CHOOSE(CONTROL!$C$27, 0.0021, 0)</f>
        <v>60.6999</v>
      </c>
      <c r="L261" s="14"/>
    </row>
    <row r="262" spans="1:12" ht="15" x14ac:dyDescent="0.2">
      <c r="A262" s="13">
        <v>48884</v>
      </c>
      <c r="B262" s="14">
        <f>61.266 * CHOOSE(CONTROL!$C$9, $D$9, 100%, $F$9) + CHOOSE(CONTROL!$C$27, 0.0021, 0)</f>
        <v>61.268099999999997</v>
      </c>
      <c r="C262" s="14">
        <f>60.8338 * CHOOSE(CONTROL!$C$9, $D$9, 100%, $F$9) + CHOOSE(CONTROL!$C$27, 0.0021, 0)</f>
        <v>60.835899999999995</v>
      </c>
      <c r="D262" s="14">
        <f>60.8338 * CHOOSE(CONTROL!$C$9, $D$9, 100%, $F$9) + CHOOSE(CONTROL!$C$27, 0.0021, 0)</f>
        <v>60.835899999999995</v>
      </c>
      <c r="E262" s="14">
        <f>60.6971 * CHOOSE(CONTROL!$C$9, $D$9, 100%, $F$9) + CHOOSE(CONTROL!$C$27, 0.0021, 0)</f>
        <v>60.699199999999998</v>
      </c>
      <c r="F262" s="14">
        <f>60.6971 * CHOOSE(CONTROL!$C$9, $D$9, 100%, $F$9) + CHOOSE(CONTROL!$C$27, 0.0021, 0)</f>
        <v>60.699199999999998</v>
      </c>
      <c r="G262" s="14">
        <f>60.9685 * CHOOSE(CONTROL!$C$9, $D$9, 100%, $F$9) + CHOOSE(CONTROL!$C$27, 0.0021, 0)</f>
        <v>60.970599999999997</v>
      </c>
      <c r="H262" s="14">
        <f>60.8338 * CHOOSE(CONTROL!$C$9, $D$9, 100%, $F$9) + CHOOSE(CONTROL!$C$27, 0.0021, 0)</f>
        <v>60.835899999999995</v>
      </c>
      <c r="I262" s="14">
        <f>60.8338 * CHOOSE(CONTROL!$C$9, $D$9, 100%, $F$9) + CHOOSE(CONTROL!$C$27, 0.0021, 0)</f>
        <v>60.835899999999995</v>
      </c>
      <c r="J262" s="14">
        <f>60.8338 * CHOOSE(CONTROL!$C$9, $D$9, 100%, $F$9) + CHOOSE(CONTROL!$C$27, 0.0021, 0)</f>
        <v>60.835899999999995</v>
      </c>
      <c r="K262" s="14">
        <f>60.8338 * CHOOSE(CONTROL!$C$9, $D$9, 100%, $F$9) + CHOOSE(CONTROL!$C$27, 0.0021, 0)</f>
        <v>60.835899999999995</v>
      </c>
      <c r="L262" s="14"/>
    </row>
    <row r="263" spans="1:12" ht="15" x14ac:dyDescent="0.2">
      <c r="A263" s="13">
        <v>48914</v>
      </c>
      <c r="B263" s="14">
        <f>60.1097 * CHOOSE(CONTROL!$C$9, $D$9, 100%, $F$9) + CHOOSE(CONTROL!$C$27, 0.0021, 0)</f>
        <v>60.111799999999995</v>
      </c>
      <c r="C263" s="14">
        <f>59.6774 * CHOOSE(CONTROL!$C$9, $D$9, 100%, $F$9) + CHOOSE(CONTROL!$C$27, 0.0021, 0)</f>
        <v>59.679499999999997</v>
      </c>
      <c r="D263" s="14">
        <f>59.6774 * CHOOSE(CONTROL!$C$9, $D$9, 100%, $F$9) + CHOOSE(CONTROL!$C$27, 0.0021, 0)</f>
        <v>59.679499999999997</v>
      </c>
      <c r="E263" s="14">
        <f>59.5408 * CHOOSE(CONTROL!$C$9, $D$9, 100%, $F$9) + CHOOSE(CONTROL!$C$27, 0.0021, 0)</f>
        <v>59.542899999999996</v>
      </c>
      <c r="F263" s="14">
        <f>59.5408 * CHOOSE(CONTROL!$C$9, $D$9, 100%, $F$9) + CHOOSE(CONTROL!$C$27, 0.0021, 0)</f>
        <v>59.542899999999996</v>
      </c>
      <c r="G263" s="14">
        <f>59.8121 * CHOOSE(CONTROL!$C$9, $D$9, 100%, $F$9) + CHOOSE(CONTROL!$C$27, 0.0021, 0)</f>
        <v>59.8142</v>
      </c>
      <c r="H263" s="14">
        <f>59.6774 * CHOOSE(CONTROL!$C$9, $D$9, 100%, $F$9) + CHOOSE(CONTROL!$C$27, 0.0021, 0)</f>
        <v>59.679499999999997</v>
      </c>
      <c r="I263" s="14">
        <f>59.6774 * CHOOSE(CONTROL!$C$9, $D$9, 100%, $F$9) + CHOOSE(CONTROL!$C$27, 0.0021, 0)</f>
        <v>59.679499999999997</v>
      </c>
      <c r="J263" s="14">
        <f>59.6774 * CHOOSE(CONTROL!$C$9, $D$9, 100%, $F$9) + CHOOSE(CONTROL!$C$27, 0.0021, 0)</f>
        <v>59.679499999999997</v>
      </c>
      <c r="K263" s="14">
        <f>59.6774 * CHOOSE(CONTROL!$C$9, $D$9, 100%, $F$9) + CHOOSE(CONTROL!$C$27, 0.0021, 0)</f>
        <v>59.679499999999997</v>
      </c>
      <c r="L263" s="14"/>
    </row>
    <row r="264" spans="1:12" ht="15" x14ac:dyDescent="0.2">
      <c r="A264" s="13">
        <v>48945</v>
      </c>
      <c r="B264" s="14">
        <f>59.3788 * CHOOSE(CONTROL!$C$9, $D$9, 100%, $F$9) + CHOOSE(CONTROL!$C$27, 0.0021, 0)</f>
        <v>59.380899999999997</v>
      </c>
      <c r="C264" s="14">
        <f>58.9466 * CHOOSE(CONTROL!$C$9, $D$9, 100%, $F$9) + CHOOSE(CONTROL!$C$27, 0.0021, 0)</f>
        <v>58.948699999999995</v>
      </c>
      <c r="D264" s="14">
        <f>58.9466 * CHOOSE(CONTROL!$C$9, $D$9, 100%, $F$9) + CHOOSE(CONTROL!$C$27, 0.0021, 0)</f>
        <v>58.948699999999995</v>
      </c>
      <c r="E264" s="14">
        <f>58.8099 * CHOOSE(CONTROL!$C$9, $D$9, 100%, $F$9) + CHOOSE(CONTROL!$C$27, 0.0021, 0)</f>
        <v>58.811999999999998</v>
      </c>
      <c r="F264" s="14">
        <f>58.8099 * CHOOSE(CONTROL!$C$9, $D$9, 100%, $F$9) + CHOOSE(CONTROL!$C$27, 0.0021, 0)</f>
        <v>58.811999999999998</v>
      </c>
      <c r="G264" s="14">
        <f>59.0813 * CHOOSE(CONTROL!$C$9, $D$9, 100%, $F$9) + CHOOSE(CONTROL!$C$27, 0.0021, 0)</f>
        <v>59.083399999999997</v>
      </c>
      <c r="H264" s="14">
        <f>58.9466 * CHOOSE(CONTROL!$C$9, $D$9, 100%, $F$9) + CHOOSE(CONTROL!$C$27, 0.0021, 0)</f>
        <v>58.948699999999995</v>
      </c>
      <c r="I264" s="14">
        <f>58.9466 * CHOOSE(CONTROL!$C$9, $D$9, 100%, $F$9) + CHOOSE(CONTROL!$C$27, 0.0021, 0)</f>
        <v>58.948699999999995</v>
      </c>
      <c r="J264" s="14">
        <f>58.9466 * CHOOSE(CONTROL!$C$9, $D$9, 100%, $F$9) + CHOOSE(CONTROL!$C$27, 0.0021, 0)</f>
        <v>58.948699999999995</v>
      </c>
      <c r="K264" s="14">
        <f>58.9466 * CHOOSE(CONTROL!$C$9, $D$9, 100%, $F$9) + CHOOSE(CONTROL!$C$27, 0.0021, 0)</f>
        <v>58.948699999999995</v>
      </c>
      <c r="L264" s="14"/>
    </row>
    <row r="265" spans="1:12" ht="15" x14ac:dyDescent="0.2">
      <c r="A265" s="13">
        <v>48976</v>
      </c>
      <c r="B265" s="14">
        <f>57.7641 * CHOOSE(CONTROL!$C$9, $D$9, 100%, $F$9) + CHOOSE(CONTROL!$C$27, 0.0021, 0)</f>
        <v>57.766199999999998</v>
      </c>
      <c r="C265" s="14">
        <f>57.3318 * CHOOSE(CONTROL!$C$9, $D$9, 100%, $F$9) + CHOOSE(CONTROL!$C$27, 0.0021, 0)</f>
        <v>57.3339</v>
      </c>
      <c r="D265" s="14">
        <f>57.3318 * CHOOSE(CONTROL!$C$9, $D$9, 100%, $F$9) + CHOOSE(CONTROL!$C$27, 0.0021, 0)</f>
        <v>57.3339</v>
      </c>
      <c r="E265" s="14">
        <f>57.1952 * CHOOSE(CONTROL!$C$9, $D$9, 100%, $F$9) + CHOOSE(CONTROL!$C$27, 0.0021, 0)</f>
        <v>57.197299999999998</v>
      </c>
      <c r="F265" s="14">
        <f>57.1952 * CHOOSE(CONTROL!$C$9, $D$9, 100%, $F$9) + CHOOSE(CONTROL!$C$27, 0.0021, 0)</f>
        <v>57.197299999999998</v>
      </c>
      <c r="G265" s="14">
        <f>57.4666 * CHOOSE(CONTROL!$C$9, $D$9, 100%, $F$9) + CHOOSE(CONTROL!$C$27, 0.0021, 0)</f>
        <v>57.468699999999998</v>
      </c>
      <c r="H265" s="14">
        <f>57.3318 * CHOOSE(CONTROL!$C$9, $D$9, 100%, $F$9) + CHOOSE(CONTROL!$C$27, 0.0021, 0)</f>
        <v>57.3339</v>
      </c>
      <c r="I265" s="14">
        <f>57.3318 * CHOOSE(CONTROL!$C$9, $D$9, 100%, $F$9) + CHOOSE(CONTROL!$C$27, 0.0021, 0)</f>
        <v>57.3339</v>
      </c>
      <c r="J265" s="14">
        <f>57.3318 * CHOOSE(CONTROL!$C$9, $D$9, 100%, $F$9) + CHOOSE(CONTROL!$C$27, 0.0021, 0)</f>
        <v>57.3339</v>
      </c>
      <c r="K265" s="14">
        <f>57.3318 * CHOOSE(CONTROL!$C$9, $D$9, 100%, $F$9) + CHOOSE(CONTROL!$C$27, 0.0021, 0)</f>
        <v>57.3339</v>
      </c>
      <c r="L265" s="14"/>
    </row>
    <row r="266" spans="1:12" ht="15" x14ac:dyDescent="0.2">
      <c r="A266" s="13">
        <v>49004</v>
      </c>
      <c r="B266" s="14">
        <f>57.0975 * CHOOSE(CONTROL!$C$9, $D$9, 100%, $F$9) + CHOOSE(CONTROL!$C$27, 0.0021, 0)</f>
        <v>57.099599999999995</v>
      </c>
      <c r="C266" s="14">
        <f>56.6653 * CHOOSE(CONTROL!$C$9, $D$9, 100%, $F$9) + CHOOSE(CONTROL!$C$27, 0.0021, 0)</f>
        <v>56.667400000000001</v>
      </c>
      <c r="D266" s="14">
        <f>56.6653 * CHOOSE(CONTROL!$C$9, $D$9, 100%, $F$9) + CHOOSE(CONTROL!$C$27, 0.0021, 0)</f>
        <v>56.667400000000001</v>
      </c>
      <c r="E266" s="14">
        <f>56.5286 * CHOOSE(CONTROL!$C$9, $D$9, 100%, $F$9) + CHOOSE(CONTROL!$C$27, 0.0021, 0)</f>
        <v>56.530699999999996</v>
      </c>
      <c r="F266" s="14">
        <f>56.5286 * CHOOSE(CONTROL!$C$9, $D$9, 100%, $F$9) + CHOOSE(CONTROL!$C$27, 0.0021, 0)</f>
        <v>56.530699999999996</v>
      </c>
      <c r="G266" s="14">
        <f>56.8 * CHOOSE(CONTROL!$C$9, $D$9, 100%, $F$9) + CHOOSE(CONTROL!$C$27, 0.0021, 0)</f>
        <v>56.802099999999996</v>
      </c>
      <c r="H266" s="14">
        <f>56.6653 * CHOOSE(CONTROL!$C$9, $D$9, 100%, $F$9) + CHOOSE(CONTROL!$C$27, 0.0021, 0)</f>
        <v>56.667400000000001</v>
      </c>
      <c r="I266" s="14">
        <f>56.6653 * CHOOSE(CONTROL!$C$9, $D$9, 100%, $F$9) + CHOOSE(CONTROL!$C$27, 0.0021, 0)</f>
        <v>56.667400000000001</v>
      </c>
      <c r="J266" s="14">
        <f>56.6653 * CHOOSE(CONTROL!$C$9, $D$9, 100%, $F$9) + CHOOSE(CONTROL!$C$27, 0.0021, 0)</f>
        <v>56.667400000000001</v>
      </c>
      <c r="K266" s="14">
        <f>56.6653 * CHOOSE(CONTROL!$C$9, $D$9, 100%, $F$9) + CHOOSE(CONTROL!$C$27, 0.0021, 0)</f>
        <v>56.667400000000001</v>
      </c>
      <c r="L266" s="14"/>
    </row>
    <row r="267" spans="1:12" ht="15" x14ac:dyDescent="0.2">
      <c r="A267" s="13">
        <v>49035</v>
      </c>
      <c r="B267" s="14">
        <f>56.3017 * CHOOSE(CONTROL!$C$9, $D$9, 100%, $F$9) + CHOOSE(CONTROL!$C$27, 0.0021, 0)</f>
        <v>56.303799999999995</v>
      </c>
      <c r="C267" s="14">
        <f>55.8694 * CHOOSE(CONTROL!$C$9, $D$9, 100%, $F$9) + CHOOSE(CONTROL!$C$27, 0.0021, 0)</f>
        <v>55.871499999999997</v>
      </c>
      <c r="D267" s="14">
        <f>55.8694 * CHOOSE(CONTROL!$C$9, $D$9, 100%, $F$9) + CHOOSE(CONTROL!$C$27, 0.0021, 0)</f>
        <v>55.871499999999997</v>
      </c>
      <c r="E267" s="14">
        <f>55.7328 * CHOOSE(CONTROL!$C$9, $D$9, 100%, $F$9) + CHOOSE(CONTROL!$C$27, 0.0021, 0)</f>
        <v>55.734899999999996</v>
      </c>
      <c r="F267" s="14">
        <f>55.7328 * CHOOSE(CONTROL!$C$9, $D$9, 100%, $F$9) + CHOOSE(CONTROL!$C$27, 0.0021, 0)</f>
        <v>55.734899999999996</v>
      </c>
      <c r="G267" s="14">
        <f>56.0041 * CHOOSE(CONTROL!$C$9, $D$9, 100%, $F$9) + CHOOSE(CONTROL!$C$27, 0.0021, 0)</f>
        <v>56.0062</v>
      </c>
      <c r="H267" s="14">
        <f>55.8694 * CHOOSE(CONTROL!$C$9, $D$9, 100%, $F$9) + CHOOSE(CONTROL!$C$27, 0.0021, 0)</f>
        <v>55.871499999999997</v>
      </c>
      <c r="I267" s="14">
        <f>55.8694 * CHOOSE(CONTROL!$C$9, $D$9, 100%, $F$9) + CHOOSE(CONTROL!$C$27, 0.0021, 0)</f>
        <v>55.871499999999997</v>
      </c>
      <c r="J267" s="14">
        <f>55.8694 * CHOOSE(CONTROL!$C$9, $D$9, 100%, $F$9) + CHOOSE(CONTROL!$C$27, 0.0021, 0)</f>
        <v>55.871499999999997</v>
      </c>
      <c r="K267" s="14">
        <f>55.8694 * CHOOSE(CONTROL!$C$9, $D$9, 100%, $F$9) + CHOOSE(CONTROL!$C$27, 0.0021, 0)</f>
        <v>55.871499999999997</v>
      </c>
      <c r="L267" s="14"/>
    </row>
    <row r="268" spans="1:12" ht="15" x14ac:dyDescent="0.2">
      <c r="A268" s="13">
        <v>49065</v>
      </c>
      <c r="B268" s="14">
        <f>57.4359 * CHOOSE(CONTROL!$C$9, $D$9, 100%, $F$9) + CHOOSE(CONTROL!$C$27, 0.0021, 0)</f>
        <v>57.437999999999995</v>
      </c>
      <c r="C268" s="14">
        <f>57.0036 * CHOOSE(CONTROL!$C$9, $D$9, 100%, $F$9) + CHOOSE(CONTROL!$C$27, 0.0021, 0)</f>
        <v>57.005699999999997</v>
      </c>
      <c r="D268" s="14">
        <f>57.0036 * CHOOSE(CONTROL!$C$9, $D$9, 100%, $F$9) + CHOOSE(CONTROL!$C$27, 0.0021, 0)</f>
        <v>57.005699999999997</v>
      </c>
      <c r="E268" s="14">
        <f>56.867 * CHOOSE(CONTROL!$C$9, $D$9, 100%, $F$9) + CHOOSE(CONTROL!$C$27, 0.0021, 0)</f>
        <v>56.869099999999996</v>
      </c>
      <c r="F268" s="14">
        <f>56.867 * CHOOSE(CONTROL!$C$9, $D$9, 100%, $F$9) + CHOOSE(CONTROL!$C$27, 0.0021, 0)</f>
        <v>56.869099999999996</v>
      </c>
      <c r="G268" s="14">
        <f>57.1384 * CHOOSE(CONTROL!$C$9, $D$9, 100%, $F$9) + CHOOSE(CONTROL!$C$27, 0.0021, 0)</f>
        <v>57.140499999999996</v>
      </c>
      <c r="H268" s="14">
        <f>57.0036 * CHOOSE(CONTROL!$C$9, $D$9, 100%, $F$9) + CHOOSE(CONTROL!$C$27, 0.0021, 0)</f>
        <v>57.005699999999997</v>
      </c>
      <c r="I268" s="14">
        <f>57.0036 * CHOOSE(CONTROL!$C$9, $D$9, 100%, $F$9) + CHOOSE(CONTROL!$C$27, 0.0021, 0)</f>
        <v>57.005699999999997</v>
      </c>
      <c r="J268" s="14">
        <f>57.0036 * CHOOSE(CONTROL!$C$9, $D$9, 100%, $F$9) + CHOOSE(CONTROL!$C$27, 0.0021, 0)</f>
        <v>57.005699999999997</v>
      </c>
      <c r="K268" s="14">
        <f>57.0036 * CHOOSE(CONTROL!$C$9, $D$9, 100%, $F$9) + CHOOSE(CONTROL!$C$27, 0.0021, 0)</f>
        <v>57.005699999999997</v>
      </c>
      <c r="L268" s="14"/>
    </row>
    <row r="269" spans="1:12" ht="15" x14ac:dyDescent="0.2">
      <c r="A269" s="13">
        <v>49096</v>
      </c>
      <c r="B269" s="14">
        <f>58.1152 * CHOOSE(CONTROL!$C$9, $D$9, 100%, $F$9) + CHOOSE(CONTROL!$C$27, 0.0021, 0)</f>
        <v>58.1173</v>
      </c>
      <c r="C269" s="14">
        <f>57.683 * CHOOSE(CONTROL!$C$9, $D$9, 100%, $F$9) + CHOOSE(CONTROL!$C$27, 0.0021, 0)</f>
        <v>57.685099999999998</v>
      </c>
      <c r="D269" s="14">
        <f>57.683 * CHOOSE(CONTROL!$C$9, $D$9, 100%, $F$9) + CHOOSE(CONTROL!$C$27, 0.0021, 0)</f>
        <v>57.685099999999998</v>
      </c>
      <c r="E269" s="14">
        <f>57.5463 * CHOOSE(CONTROL!$C$9, $D$9, 100%, $F$9) + CHOOSE(CONTROL!$C$27, 0.0021, 0)</f>
        <v>57.548400000000001</v>
      </c>
      <c r="F269" s="14">
        <f>57.5463 * CHOOSE(CONTROL!$C$9, $D$9, 100%, $F$9) + CHOOSE(CONTROL!$C$27, 0.0021, 0)</f>
        <v>57.548400000000001</v>
      </c>
      <c r="G269" s="14">
        <f>57.8177 * CHOOSE(CONTROL!$C$9, $D$9, 100%, $F$9) + CHOOSE(CONTROL!$C$27, 0.0021, 0)</f>
        <v>57.819800000000001</v>
      </c>
      <c r="H269" s="14">
        <f>57.683 * CHOOSE(CONTROL!$C$9, $D$9, 100%, $F$9) + CHOOSE(CONTROL!$C$27, 0.0021, 0)</f>
        <v>57.685099999999998</v>
      </c>
      <c r="I269" s="14">
        <f>57.683 * CHOOSE(CONTROL!$C$9, $D$9, 100%, $F$9) + CHOOSE(CONTROL!$C$27, 0.0021, 0)</f>
        <v>57.685099999999998</v>
      </c>
      <c r="J269" s="14">
        <f>57.683 * CHOOSE(CONTROL!$C$9, $D$9, 100%, $F$9) + CHOOSE(CONTROL!$C$27, 0.0021, 0)</f>
        <v>57.685099999999998</v>
      </c>
      <c r="K269" s="14">
        <f>57.683 * CHOOSE(CONTROL!$C$9, $D$9, 100%, $F$9) + CHOOSE(CONTROL!$C$27, 0.0021, 0)</f>
        <v>57.685099999999998</v>
      </c>
      <c r="L269" s="14"/>
    </row>
    <row r="270" spans="1:12" ht="15" x14ac:dyDescent="0.2">
      <c r="A270" s="13">
        <v>49126</v>
      </c>
      <c r="B270" s="14">
        <f>59.2359 * CHOOSE(CONTROL!$C$9, $D$9, 100%, $F$9) + CHOOSE(CONTROL!$C$27, 0.0021, 0)</f>
        <v>59.238</v>
      </c>
      <c r="C270" s="14">
        <f>58.8037 * CHOOSE(CONTROL!$C$9, $D$9, 100%, $F$9) + CHOOSE(CONTROL!$C$27, 0.0021, 0)</f>
        <v>58.805799999999998</v>
      </c>
      <c r="D270" s="14">
        <f>58.8037 * CHOOSE(CONTROL!$C$9, $D$9, 100%, $F$9) + CHOOSE(CONTROL!$C$27, 0.0021, 0)</f>
        <v>58.805799999999998</v>
      </c>
      <c r="E270" s="14">
        <f>58.667 * CHOOSE(CONTROL!$C$9, $D$9, 100%, $F$9) + CHOOSE(CONTROL!$C$27, 0.0021, 0)</f>
        <v>58.6691</v>
      </c>
      <c r="F270" s="14">
        <f>58.667 * CHOOSE(CONTROL!$C$9, $D$9, 100%, $F$9) + CHOOSE(CONTROL!$C$27, 0.0021, 0)</f>
        <v>58.6691</v>
      </c>
      <c r="G270" s="14">
        <f>58.9384 * CHOOSE(CONTROL!$C$9, $D$9, 100%, $F$9) + CHOOSE(CONTROL!$C$27, 0.0021, 0)</f>
        <v>58.9405</v>
      </c>
      <c r="H270" s="14">
        <f>58.8037 * CHOOSE(CONTROL!$C$9, $D$9, 100%, $F$9) + CHOOSE(CONTROL!$C$27, 0.0021, 0)</f>
        <v>58.805799999999998</v>
      </c>
      <c r="I270" s="14">
        <f>58.8037 * CHOOSE(CONTROL!$C$9, $D$9, 100%, $F$9) + CHOOSE(CONTROL!$C$27, 0.0021, 0)</f>
        <v>58.805799999999998</v>
      </c>
      <c r="J270" s="14">
        <f>58.8037 * CHOOSE(CONTROL!$C$9, $D$9, 100%, $F$9) + CHOOSE(CONTROL!$C$27, 0.0021, 0)</f>
        <v>58.805799999999998</v>
      </c>
      <c r="K270" s="14">
        <f>58.8037 * CHOOSE(CONTROL!$C$9, $D$9, 100%, $F$9) + CHOOSE(CONTROL!$C$27, 0.0021, 0)</f>
        <v>58.805799999999998</v>
      </c>
      <c r="L270" s="14"/>
    </row>
    <row r="271" spans="1:12" ht="15" x14ac:dyDescent="0.2">
      <c r="A271" s="13">
        <v>49157</v>
      </c>
      <c r="B271" s="14">
        <f>59.578 * CHOOSE(CONTROL!$C$9, $D$9, 100%, $F$9) + CHOOSE(CONTROL!$C$27, 0.0021, 0)</f>
        <v>59.580100000000002</v>
      </c>
      <c r="C271" s="14">
        <f>59.1457 * CHOOSE(CONTROL!$C$9, $D$9, 100%, $F$9) + CHOOSE(CONTROL!$C$27, 0.0021, 0)</f>
        <v>59.147799999999997</v>
      </c>
      <c r="D271" s="14">
        <f>59.1457 * CHOOSE(CONTROL!$C$9, $D$9, 100%, $F$9) + CHOOSE(CONTROL!$C$27, 0.0021, 0)</f>
        <v>59.147799999999997</v>
      </c>
      <c r="E271" s="14">
        <f>59.0091 * CHOOSE(CONTROL!$C$9, $D$9, 100%, $F$9) + CHOOSE(CONTROL!$C$27, 0.0021, 0)</f>
        <v>59.011199999999995</v>
      </c>
      <c r="F271" s="14">
        <f>59.0091 * CHOOSE(CONTROL!$C$9, $D$9, 100%, $F$9) + CHOOSE(CONTROL!$C$27, 0.0021, 0)</f>
        <v>59.011199999999995</v>
      </c>
      <c r="G271" s="14">
        <f>59.2805 * CHOOSE(CONTROL!$C$9, $D$9, 100%, $F$9) + CHOOSE(CONTROL!$C$27, 0.0021, 0)</f>
        <v>59.282600000000002</v>
      </c>
      <c r="H271" s="14">
        <f>59.1457 * CHOOSE(CONTROL!$C$9, $D$9, 100%, $F$9) + CHOOSE(CONTROL!$C$27, 0.0021, 0)</f>
        <v>59.147799999999997</v>
      </c>
      <c r="I271" s="14">
        <f>59.1457 * CHOOSE(CONTROL!$C$9, $D$9, 100%, $F$9) + CHOOSE(CONTROL!$C$27, 0.0021, 0)</f>
        <v>59.147799999999997</v>
      </c>
      <c r="J271" s="14">
        <f>59.1457 * CHOOSE(CONTROL!$C$9, $D$9, 100%, $F$9) + CHOOSE(CONTROL!$C$27, 0.0021, 0)</f>
        <v>59.147799999999997</v>
      </c>
      <c r="K271" s="14">
        <f>59.1457 * CHOOSE(CONTROL!$C$9, $D$9, 100%, $F$9) + CHOOSE(CONTROL!$C$27, 0.0021, 0)</f>
        <v>59.147799999999997</v>
      </c>
      <c r="L271" s="14"/>
    </row>
    <row r="272" spans="1:12" ht="15" x14ac:dyDescent="0.2">
      <c r="A272" s="13">
        <v>49188</v>
      </c>
      <c r="B272" s="14">
        <f>60.7429 * CHOOSE(CONTROL!$C$9, $D$9, 100%, $F$9) + CHOOSE(CONTROL!$C$27, 0.0021, 0)</f>
        <v>60.744999999999997</v>
      </c>
      <c r="C272" s="14">
        <f>60.3106 * CHOOSE(CONTROL!$C$9, $D$9, 100%, $F$9) + CHOOSE(CONTROL!$C$27, 0.0021, 0)</f>
        <v>60.3127</v>
      </c>
      <c r="D272" s="14">
        <f>60.3106 * CHOOSE(CONTROL!$C$9, $D$9, 100%, $F$9) + CHOOSE(CONTROL!$C$27, 0.0021, 0)</f>
        <v>60.3127</v>
      </c>
      <c r="E272" s="14">
        <f>60.174 * CHOOSE(CONTROL!$C$9, $D$9, 100%, $F$9) + CHOOSE(CONTROL!$C$27, 0.0021, 0)</f>
        <v>60.176099999999998</v>
      </c>
      <c r="F272" s="14">
        <f>60.174 * CHOOSE(CONTROL!$C$9, $D$9, 100%, $F$9) + CHOOSE(CONTROL!$C$27, 0.0021, 0)</f>
        <v>60.176099999999998</v>
      </c>
      <c r="G272" s="14">
        <f>60.4454 * CHOOSE(CONTROL!$C$9, $D$9, 100%, $F$9) + CHOOSE(CONTROL!$C$27, 0.0021, 0)</f>
        <v>60.447499999999998</v>
      </c>
      <c r="H272" s="14">
        <f>60.3106 * CHOOSE(CONTROL!$C$9, $D$9, 100%, $F$9) + CHOOSE(CONTROL!$C$27, 0.0021, 0)</f>
        <v>60.3127</v>
      </c>
      <c r="I272" s="14">
        <f>60.3106 * CHOOSE(CONTROL!$C$9, $D$9, 100%, $F$9) + CHOOSE(CONTROL!$C$27, 0.0021, 0)</f>
        <v>60.3127</v>
      </c>
      <c r="J272" s="14">
        <f>60.3106 * CHOOSE(CONTROL!$C$9, $D$9, 100%, $F$9) + CHOOSE(CONTROL!$C$27, 0.0021, 0)</f>
        <v>60.3127</v>
      </c>
      <c r="K272" s="14">
        <f>60.3106 * CHOOSE(CONTROL!$C$9, $D$9, 100%, $F$9) + CHOOSE(CONTROL!$C$27, 0.0021, 0)</f>
        <v>60.3127</v>
      </c>
      <c r="L272" s="14"/>
    </row>
    <row r="273" spans="1:12" ht="15" x14ac:dyDescent="0.2">
      <c r="A273" s="13">
        <v>49218</v>
      </c>
      <c r="B273" s="14">
        <f>62.2175 * CHOOSE(CONTROL!$C$9, $D$9, 100%, $F$9) + CHOOSE(CONTROL!$C$27, 0.0021, 0)</f>
        <v>62.2196</v>
      </c>
      <c r="C273" s="14">
        <f>61.7852 * CHOOSE(CONTROL!$C$9, $D$9, 100%, $F$9) + CHOOSE(CONTROL!$C$27, 0.0021, 0)</f>
        <v>61.787300000000002</v>
      </c>
      <c r="D273" s="14">
        <f>61.7852 * CHOOSE(CONTROL!$C$9, $D$9, 100%, $F$9) + CHOOSE(CONTROL!$C$27, 0.0021, 0)</f>
        <v>61.787300000000002</v>
      </c>
      <c r="E273" s="14">
        <f>61.6485 * CHOOSE(CONTROL!$C$9, $D$9, 100%, $F$9) + CHOOSE(CONTROL!$C$27, 0.0021, 0)</f>
        <v>61.650599999999997</v>
      </c>
      <c r="F273" s="14">
        <f>61.6485 * CHOOSE(CONTROL!$C$9, $D$9, 100%, $F$9) + CHOOSE(CONTROL!$C$27, 0.0021, 0)</f>
        <v>61.650599999999997</v>
      </c>
      <c r="G273" s="14">
        <f>61.9199 * CHOOSE(CONTROL!$C$9, $D$9, 100%, $F$9) + CHOOSE(CONTROL!$C$27, 0.0021, 0)</f>
        <v>61.921999999999997</v>
      </c>
      <c r="H273" s="14">
        <f>61.7852 * CHOOSE(CONTROL!$C$9, $D$9, 100%, $F$9) + CHOOSE(CONTROL!$C$27, 0.0021, 0)</f>
        <v>61.787300000000002</v>
      </c>
      <c r="I273" s="14">
        <f>61.7852 * CHOOSE(CONTROL!$C$9, $D$9, 100%, $F$9) + CHOOSE(CONTROL!$C$27, 0.0021, 0)</f>
        <v>61.787300000000002</v>
      </c>
      <c r="J273" s="14">
        <f>61.7852 * CHOOSE(CONTROL!$C$9, $D$9, 100%, $F$9) + CHOOSE(CONTROL!$C$27, 0.0021, 0)</f>
        <v>61.787300000000002</v>
      </c>
      <c r="K273" s="14">
        <f>61.7852 * CHOOSE(CONTROL!$C$9, $D$9, 100%, $F$9) + CHOOSE(CONTROL!$C$27, 0.0021, 0)</f>
        <v>61.787300000000002</v>
      </c>
      <c r="L273" s="14"/>
    </row>
    <row r="274" spans="1:12" ht="15" x14ac:dyDescent="0.2">
      <c r="A274" s="13">
        <v>49249</v>
      </c>
      <c r="B274" s="14">
        <f>62.3559 * CHOOSE(CONTROL!$C$9, $D$9, 100%, $F$9) + CHOOSE(CONTROL!$C$27, 0.0021, 0)</f>
        <v>62.357999999999997</v>
      </c>
      <c r="C274" s="14">
        <f>61.9236 * CHOOSE(CONTROL!$C$9, $D$9, 100%, $F$9) + CHOOSE(CONTROL!$C$27, 0.0021, 0)</f>
        <v>61.925699999999999</v>
      </c>
      <c r="D274" s="14">
        <f>61.9236 * CHOOSE(CONTROL!$C$9, $D$9, 100%, $F$9) + CHOOSE(CONTROL!$C$27, 0.0021, 0)</f>
        <v>61.925699999999999</v>
      </c>
      <c r="E274" s="14">
        <f>61.787 * CHOOSE(CONTROL!$C$9, $D$9, 100%, $F$9) + CHOOSE(CONTROL!$C$27, 0.0021, 0)</f>
        <v>61.789099999999998</v>
      </c>
      <c r="F274" s="14">
        <f>61.787 * CHOOSE(CONTROL!$C$9, $D$9, 100%, $F$9) + CHOOSE(CONTROL!$C$27, 0.0021, 0)</f>
        <v>61.789099999999998</v>
      </c>
      <c r="G274" s="14">
        <f>62.0584 * CHOOSE(CONTROL!$C$9, $D$9, 100%, $F$9) + CHOOSE(CONTROL!$C$27, 0.0021, 0)</f>
        <v>62.060499999999998</v>
      </c>
      <c r="H274" s="14">
        <f>61.9236 * CHOOSE(CONTROL!$C$9, $D$9, 100%, $F$9) + CHOOSE(CONTROL!$C$27, 0.0021, 0)</f>
        <v>61.925699999999999</v>
      </c>
      <c r="I274" s="14">
        <f>61.9236 * CHOOSE(CONTROL!$C$9, $D$9, 100%, $F$9) + CHOOSE(CONTROL!$C$27, 0.0021, 0)</f>
        <v>61.925699999999999</v>
      </c>
      <c r="J274" s="14">
        <f>61.9236 * CHOOSE(CONTROL!$C$9, $D$9, 100%, $F$9) + CHOOSE(CONTROL!$C$27, 0.0021, 0)</f>
        <v>61.925699999999999</v>
      </c>
      <c r="K274" s="14">
        <f>61.9236 * CHOOSE(CONTROL!$C$9, $D$9, 100%, $F$9) + CHOOSE(CONTROL!$C$27, 0.0021, 0)</f>
        <v>61.925699999999999</v>
      </c>
      <c r="L274" s="14"/>
    </row>
    <row r="275" spans="1:12" ht="15" x14ac:dyDescent="0.2">
      <c r="A275" s="13">
        <v>49279</v>
      </c>
      <c r="B275" s="14">
        <f>61.1782 * CHOOSE(CONTROL!$C$9, $D$9, 100%, $F$9) + CHOOSE(CONTROL!$C$27, 0.0021, 0)</f>
        <v>61.180299999999995</v>
      </c>
      <c r="C275" s="14">
        <f>60.7459 * CHOOSE(CONTROL!$C$9, $D$9, 100%, $F$9) + CHOOSE(CONTROL!$C$27, 0.0021, 0)</f>
        <v>60.747999999999998</v>
      </c>
      <c r="D275" s="14">
        <f>60.7459 * CHOOSE(CONTROL!$C$9, $D$9, 100%, $F$9) + CHOOSE(CONTROL!$C$27, 0.0021, 0)</f>
        <v>60.747999999999998</v>
      </c>
      <c r="E275" s="14">
        <f>60.6093 * CHOOSE(CONTROL!$C$9, $D$9, 100%, $F$9) + CHOOSE(CONTROL!$C$27, 0.0021, 0)</f>
        <v>60.611399999999996</v>
      </c>
      <c r="F275" s="14">
        <f>60.6093 * CHOOSE(CONTROL!$C$9, $D$9, 100%, $F$9) + CHOOSE(CONTROL!$C$27, 0.0021, 0)</f>
        <v>60.611399999999996</v>
      </c>
      <c r="G275" s="14">
        <f>60.8806 * CHOOSE(CONTROL!$C$9, $D$9, 100%, $F$9) + CHOOSE(CONTROL!$C$27, 0.0021, 0)</f>
        <v>60.8827</v>
      </c>
      <c r="H275" s="14">
        <f>60.7459 * CHOOSE(CONTROL!$C$9, $D$9, 100%, $F$9) + CHOOSE(CONTROL!$C$27, 0.0021, 0)</f>
        <v>60.747999999999998</v>
      </c>
      <c r="I275" s="14">
        <f>60.7459 * CHOOSE(CONTROL!$C$9, $D$9, 100%, $F$9) + CHOOSE(CONTROL!$C$27, 0.0021, 0)</f>
        <v>60.747999999999998</v>
      </c>
      <c r="J275" s="14">
        <f>60.7459 * CHOOSE(CONTROL!$C$9, $D$9, 100%, $F$9) + CHOOSE(CONTROL!$C$27, 0.0021, 0)</f>
        <v>60.747999999999998</v>
      </c>
      <c r="K275" s="14">
        <f>60.7459 * CHOOSE(CONTROL!$C$9, $D$9, 100%, $F$9) + CHOOSE(CONTROL!$C$27, 0.0021, 0)</f>
        <v>60.747999999999998</v>
      </c>
      <c r="L275" s="14"/>
    </row>
    <row r="276" spans="1:12" ht="15" x14ac:dyDescent="0.2">
      <c r="A276" s="13">
        <v>49310</v>
      </c>
      <c r="B276" s="14">
        <f>60.4338 * CHOOSE(CONTROL!$C$9, $D$9, 100%, $F$9) + CHOOSE(CONTROL!$C$27, 0.0021, 0)</f>
        <v>60.435899999999997</v>
      </c>
      <c r="C276" s="14">
        <f>60.0016 * CHOOSE(CONTROL!$C$9, $D$9, 100%, $F$9) + CHOOSE(CONTROL!$C$27, 0.0021, 0)</f>
        <v>60.003700000000002</v>
      </c>
      <c r="D276" s="14">
        <f>60.0016 * CHOOSE(CONTROL!$C$9, $D$9, 100%, $F$9) + CHOOSE(CONTROL!$C$27, 0.0021, 0)</f>
        <v>60.003700000000002</v>
      </c>
      <c r="E276" s="14">
        <f>59.8649 * CHOOSE(CONTROL!$C$9, $D$9, 100%, $F$9) + CHOOSE(CONTROL!$C$27, 0.0021, 0)</f>
        <v>59.866999999999997</v>
      </c>
      <c r="F276" s="14">
        <f>59.8649 * CHOOSE(CONTROL!$C$9, $D$9, 100%, $F$9) + CHOOSE(CONTROL!$C$27, 0.0021, 0)</f>
        <v>59.866999999999997</v>
      </c>
      <c r="G276" s="14">
        <f>60.1363 * CHOOSE(CONTROL!$C$9, $D$9, 100%, $F$9) + CHOOSE(CONTROL!$C$27, 0.0021, 0)</f>
        <v>60.138399999999997</v>
      </c>
      <c r="H276" s="14">
        <f>60.0016 * CHOOSE(CONTROL!$C$9, $D$9, 100%, $F$9) + CHOOSE(CONTROL!$C$27, 0.0021, 0)</f>
        <v>60.003700000000002</v>
      </c>
      <c r="I276" s="14">
        <f>60.0016 * CHOOSE(CONTROL!$C$9, $D$9, 100%, $F$9) + CHOOSE(CONTROL!$C$27, 0.0021, 0)</f>
        <v>60.003700000000002</v>
      </c>
      <c r="J276" s="14">
        <f>60.0016 * CHOOSE(CONTROL!$C$9, $D$9, 100%, $F$9) + CHOOSE(CONTROL!$C$27, 0.0021, 0)</f>
        <v>60.003700000000002</v>
      </c>
      <c r="K276" s="14">
        <f>60.0016 * CHOOSE(CONTROL!$C$9, $D$9, 100%, $F$9) + CHOOSE(CONTROL!$C$27, 0.0021, 0)</f>
        <v>60.003700000000002</v>
      </c>
      <c r="L276" s="14"/>
    </row>
    <row r="277" spans="1:12" ht="15" x14ac:dyDescent="0.2">
      <c r="A277" s="13">
        <v>49341</v>
      </c>
      <c r="B277" s="14">
        <f>58.7893 * CHOOSE(CONTROL!$C$9, $D$9, 100%, $F$9) + CHOOSE(CONTROL!$C$27, 0.0021, 0)</f>
        <v>58.791399999999996</v>
      </c>
      <c r="C277" s="14">
        <f>58.357 * CHOOSE(CONTROL!$C$9, $D$9, 100%, $F$9) + CHOOSE(CONTROL!$C$27, 0.0021, 0)</f>
        <v>58.359099999999998</v>
      </c>
      <c r="D277" s="14">
        <f>58.357 * CHOOSE(CONTROL!$C$9, $D$9, 100%, $F$9) + CHOOSE(CONTROL!$C$27, 0.0021, 0)</f>
        <v>58.359099999999998</v>
      </c>
      <c r="E277" s="14">
        <f>58.2203 * CHOOSE(CONTROL!$C$9, $D$9, 100%, $F$9) + CHOOSE(CONTROL!$C$27, 0.0021, 0)</f>
        <v>58.2224</v>
      </c>
      <c r="F277" s="14">
        <f>58.2203 * CHOOSE(CONTROL!$C$9, $D$9, 100%, $F$9) + CHOOSE(CONTROL!$C$27, 0.0021, 0)</f>
        <v>58.2224</v>
      </c>
      <c r="G277" s="14">
        <f>58.4917 * CHOOSE(CONTROL!$C$9, $D$9, 100%, $F$9) + CHOOSE(CONTROL!$C$27, 0.0021, 0)</f>
        <v>58.4938</v>
      </c>
      <c r="H277" s="14">
        <f>58.357 * CHOOSE(CONTROL!$C$9, $D$9, 100%, $F$9) + CHOOSE(CONTROL!$C$27, 0.0021, 0)</f>
        <v>58.359099999999998</v>
      </c>
      <c r="I277" s="14">
        <f>58.357 * CHOOSE(CONTROL!$C$9, $D$9, 100%, $F$9) + CHOOSE(CONTROL!$C$27, 0.0021, 0)</f>
        <v>58.359099999999998</v>
      </c>
      <c r="J277" s="14">
        <f>58.357 * CHOOSE(CONTROL!$C$9, $D$9, 100%, $F$9) + CHOOSE(CONTROL!$C$27, 0.0021, 0)</f>
        <v>58.359099999999998</v>
      </c>
      <c r="K277" s="14">
        <f>58.357 * CHOOSE(CONTROL!$C$9, $D$9, 100%, $F$9) + CHOOSE(CONTROL!$C$27, 0.0021, 0)</f>
        <v>58.359099999999998</v>
      </c>
      <c r="L277" s="14"/>
    </row>
    <row r="278" spans="1:12" ht="15" x14ac:dyDescent="0.2">
      <c r="A278" s="13">
        <v>49369</v>
      </c>
      <c r="B278" s="14">
        <f>58.1104 * CHOOSE(CONTROL!$C$9, $D$9, 100%, $F$9) + CHOOSE(CONTROL!$C$27, 0.0021, 0)</f>
        <v>58.112499999999997</v>
      </c>
      <c r="C278" s="14">
        <f>57.6781 * CHOOSE(CONTROL!$C$9, $D$9, 100%, $F$9) + CHOOSE(CONTROL!$C$27, 0.0021, 0)</f>
        <v>57.680199999999999</v>
      </c>
      <c r="D278" s="14">
        <f>57.6781 * CHOOSE(CONTROL!$C$9, $D$9, 100%, $F$9) + CHOOSE(CONTROL!$C$27, 0.0021, 0)</f>
        <v>57.680199999999999</v>
      </c>
      <c r="E278" s="14">
        <f>57.5415 * CHOOSE(CONTROL!$C$9, $D$9, 100%, $F$9) + CHOOSE(CONTROL!$C$27, 0.0021, 0)</f>
        <v>57.543599999999998</v>
      </c>
      <c r="F278" s="14">
        <f>57.5415 * CHOOSE(CONTROL!$C$9, $D$9, 100%, $F$9) + CHOOSE(CONTROL!$C$27, 0.0021, 0)</f>
        <v>57.543599999999998</v>
      </c>
      <c r="G278" s="14">
        <f>57.8129 * CHOOSE(CONTROL!$C$9, $D$9, 100%, $F$9) + CHOOSE(CONTROL!$C$27, 0.0021, 0)</f>
        <v>57.814999999999998</v>
      </c>
      <c r="H278" s="14">
        <f>57.6781 * CHOOSE(CONTROL!$C$9, $D$9, 100%, $F$9) + CHOOSE(CONTROL!$C$27, 0.0021, 0)</f>
        <v>57.680199999999999</v>
      </c>
      <c r="I278" s="14">
        <f>57.6781 * CHOOSE(CONTROL!$C$9, $D$9, 100%, $F$9) + CHOOSE(CONTROL!$C$27, 0.0021, 0)</f>
        <v>57.680199999999999</v>
      </c>
      <c r="J278" s="14">
        <f>57.6781 * CHOOSE(CONTROL!$C$9, $D$9, 100%, $F$9) + CHOOSE(CONTROL!$C$27, 0.0021, 0)</f>
        <v>57.680199999999999</v>
      </c>
      <c r="K278" s="14">
        <f>57.6781 * CHOOSE(CONTROL!$C$9, $D$9, 100%, $F$9) + CHOOSE(CONTROL!$C$27, 0.0021, 0)</f>
        <v>57.680199999999999</v>
      </c>
      <c r="L278" s="14"/>
    </row>
    <row r="279" spans="1:12" ht="15" x14ac:dyDescent="0.2">
      <c r="A279" s="13">
        <v>49400</v>
      </c>
      <c r="B279" s="14">
        <f>57.2998 * CHOOSE(CONTROL!$C$9, $D$9, 100%, $F$9) + CHOOSE(CONTROL!$C$27, 0.0021, 0)</f>
        <v>57.301899999999996</v>
      </c>
      <c r="C279" s="14">
        <f>56.8676 * CHOOSE(CONTROL!$C$9, $D$9, 100%, $F$9) + CHOOSE(CONTROL!$C$27, 0.0021, 0)</f>
        <v>56.869700000000002</v>
      </c>
      <c r="D279" s="14">
        <f>56.8676 * CHOOSE(CONTROL!$C$9, $D$9, 100%, $F$9) + CHOOSE(CONTROL!$C$27, 0.0021, 0)</f>
        <v>56.869700000000002</v>
      </c>
      <c r="E279" s="14">
        <f>56.7309 * CHOOSE(CONTROL!$C$9, $D$9, 100%, $F$9) + CHOOSE(CONTROL!$C$27, 0.0021, 0)</f>
        <v>56.732999999999997</v>
      </c>
      <c r="F279" s="14">
        <f>56.7309 * CHOOSE(CONTROL!$C$9, $D$9, 100%, $F$9) + CHOOSE(CONTROL!$C$27, 0.0021, 0)</f>
        <v>56.732999999999997</v>
      </c>
      <c r="G279" s="14">
        <f>57.0023 * CHOOSE(CONTROL!$C$9, $D$9, 100%, $F$9) + CHOOSE(CONTROL!$C$27, 0.0021, 0)</f>
        <v>57.004399999999997</v>
      </c>
      <c r="H279" s="14">
        <f>56.8676 * CHOOSE(CONTROL!$C$9, $D$9, 100%, $F$9) + CHOOSE(CONTROL!$C$27, 0.0021, 0)</f>
        <v>56.869700000000002</v>
      </c>
      <c r="I279" s="14">
        <f>56.8676 * CHOOSE(CONTROL!$C$9, $D$9, 100%, $F$9) + CHOOSE(CONTROL!$C$27, 0.0021, 0)</f>
        <v>56.869700000000002</v>
      </c>
      <c r="J279" s="14">
        <f>56.8676 * CHOOSE(CONTROL!$C$9, $D$9, 100%, $F$9) + CHOOSE(CONTROL!$C$27, 0.0021, 0)</f>
        <v>56.869700000000002</v>
      </c>
      <c r="K279" s="14">
        <f>56.8676 * CHOOSE(CONTROL!$C$9, $D$9, 100%, $F$9) + CHOOSE(CONTROL!$C$27, 0.0021, 0)</f>
        <v>56.869700000000002</v>
      </c>
      <c r="L279" s="14"/>
    </row>
    <row r="280" spans="1:12" ht="15" x14ac:dyDescent="0.2">
      <c r="A280" s="13">
        <v>49430</v>
      </c>
      <c r="B280" s="14">
        <f>58.455 * CHOOSE(CONTROL!$C$9, $D$9, 100%, $F$9) + CHOOSE(CONTROL!$C$27, 0.0021, 0)</f>
        <v>58.457099999999997</v>
      </c>
      <c r="C280" s="14">
        <f>58.0227 * CHOOSE(CONTROL!$C$9, $D$9, 100%, $F$9) + CHOOSE(CONTROL!$C$27, 0.0021, 0)</f>
        <v>58.024799999999999</v>
      </c>
      <c r="D280" s="14">
        <f>58.0227 * CHOOSE(CONTROL!$C$9, $D$9, 100%, $F$9) + CHOOSE(CONTROL!$C$27, 0.0021, 0)</f>
        <v>58.024799999999999</v>
      </c>
      <c r="E280" s="14">
        <f>57.8861 * CHOOSE(CONTROL!$C$9, $D$9, 100%, $F$9) + CHOOSE(CONTROL!$C$27, 0.0021, 0)</f>
        <v>57.888199999999998</v>
      </c>
      <c r="F280" s="14">
        <f>57.8861 * CHOOSE(CONTROL!$C$9, $D$9, 100%, $F$9) + CHOOSE(CONTROL!$C$27, 0.0021, 0)</f>
        <v>57.888199999999998</v>
      </c>
      <c r="G280" s="14">
        <f>58.1574 * CHOOSE(CONTROL!$C$9, $D$9, 100%, $F$9) + CHOOSE(CONTROL!$C$27, 0.0021, 0)</f>
        <v>58.159500000000001</v>
      </c>
      <c r="H280" s="14">
        <f>58.0227 * CHOOSE(CONTROL!$C$9, $D$9, 100%, $F$9) + CHOOSE(CONTROL!$C$27, 0.0021, 0)</f>
        <v>58.024799999999999</v>
      </c>
      <c r="I280" s="14">
        <f>58.0227 * CHOOSE(CONTROL!$C$9, $D$9, 100%, $F$9) + CHOOSE(CONTROL!$C$27, 0.0021, 0)</f>
        <v>58.024799999999999</v>
      </c>
      <c r="J280" s="14">
        <f>58.0227 * CHOOSE(CONTROL!$C$9, $D$9, 100%, $F$9) + CHOOSE(CONTROL!$C$27, 0.0021, 0)</f>
        <v>58.024799999999999</v>
      </c>
      <c r="K280" s="14">
        <f>58.0227 * CHOOSE(CONTROL!$C$9, $D$9, 100%, $F$9) + CHOOSE(CONTROL!$C$27, 0.0021, 0)</f>
        <v>58.024799999999999</v>
      </c>
      <c r="L280" s="14"/>
    </row>
    <row r="281" spans="1:12" ht="15" x14ac:dyDescent="0.2">
      <c r="A281" s="34">
        <v>49461</v>
      </c>
      <c r="B281" s="14">
        <f>59.1469 * CHOOSE(CONTROL!$C$9, $D$9, 100%, $F$9) + CHOOSE(CONTROL!$C$27, 0.0021, 0)</f>
        <v>59.149000000000001</v>
      </c>
      <c r="C281" s="14">
        <f>58.7146 * CHOOSE(CONTROL!$C$9, $D$9, 100%, $F$9) + CHOOSE(CONTROL!$C$27, 0.0021, 0)</f>
        <v>58.716699999999996</v>
      </c>
      <c r="D281" s="14">
        <f>58.7146 * CHOOSE(CONTROL!$C$9, $D$9, 100%, $F$9) + CHOOSE(CONTROL!$C$27, 0.0021, 0)</f>
        <v>58.716699999999996</v>
      </c>
      <c r="E281" s="14">
        <f>58.578 * CHOOSE(CONTROL!$C$9, $D$9, 100%, $F$9) + CHOOSE(CONTROL!$C$27, 0.0021, 0)</f>
        <v>58.580100000000002</v>
      </c>
      <c r="F281" s="14">
        <f>58.578 * CHOOSE(CONTROL!$C$9, $D$9, 100%, $F$9) + CHOOSE(CONTROL!$C$27, 0.0021, 0)</f>
        <v>58.580100000000002</v>
      </c>
      <c r="G281" s="14">
        <f>58.8494 * CHOOSE(CONTROL!$C$9, $D$9, 100%, $F$9) + CHOOSE(CONTROL!$C$27, 0.0021, 0)</f>
        <v>58.851500000000001</v>
      </c>
      <c r="H281" s="14">
        <f>58.7146 * CHOOSE(CONTROL!$C$9, $D$9, 100%, $F$9) + CHOOSE(CONTROL!$C$27, 0.0021, 0)</f>
        <v>58.716699999999996</v>
      </c>
      <c r="I281" s="14">
        <f>58.7146 * CHOOSE(CONTROL!$C$9, $D$9, 100%, $F$9) + CHOOSE(CONTROL!$C$27, 0.0021, 0)</f>
        <v>58.716699999999996</v>
      </c>
      <c r="J281" s="14">
        <f>58.7146 * CHOOSE(CONTROL!$C$9, $D$9, 100%, $F$9) + CHOOSE(CONTROL!$C$27, 0.0021, 0)</f>
        <v>58.716699999999996</v>
      </c>
      <c r="K281" s="14">
        <f>58.7146 * CHOOSE(CONTROL!$C$9, $D$9, 100%, $F$9) + CHOOSE(CONTROL!$C$27, 0.0021, 0)</f>
        <v>58.716699999999996</v>
      </c>
      <c r="L281" s="14"/>
    </row>
    <row r="282" spans="1:12" ht="15" x14ac:dyDescent="0.2">
      <c r="A282" s="34">
        <v>49491</v>
      </c>
      <c r="B282" s="14">
        <f>60.2883 * CHOOSE(CONTROL!$C$9, $D$9, 100%, $F$9) + CHOOSE(CONTROL!$C$27, 0.0021, 0)</f>
        <v>60.290399999999998</v>
      </c>
      <c r="C282" s="14">
        <f>59.856 * CHOOSE(CONTROL!$C$9, $D$9, 100%, $F$9) + CHOOSE(CONTROL!$C$27, 0.0021, 0)</f>
        <v>59.8581</v>
      </c>
      <c r="D282" s="14">
        <f>59.856 * CHOOSE(CONTROL!$C$9, $D$9, 100%, $F$9) + CHOOSE(CONTROL!$C$27, 0.0021, 0)</f>
        <v>59.8581</v>
      </c>
      <c r="E282" s="14">
        <f>59.7194 * CHOOSE(CONTROL!$C$9, $D$9, 100%, $F$9) + CHOOSE(CONTROL!$C$27, 0.0021, 0)</f>
        <v>59.721499999999999</v>
      </c>
      <c r="F282" s="14">
        <f>59.7194 * CHOOSE(CONTROL!$C$9, $D$9, 100%, $F$9) + CHOOSE(CONTROL!$C$27, 0.0021, 0)</f>
        <v>59.721499999999999</v>
      </c>
      <c r="G282" s="14">
        <f>59.9907 * CHOOSE(CONTROL!$C$9, $D$9, 100%, $F$9) + CHOOSE(CONTROL!$C$27, 0.0021, 0)</f>
        <v>59.992799999999995</v>
      </c>
      <c r="H282" s="14">
        <f>59.856 * CHOOSE(CONTROL!$C$9, $D$9, 100%, $F$9) + CHOOSE(CONTROL!$C$27, 0.0021, 0)</f>
        <v>59.8581</v>
      </c>
      <c r="I282" s="14">
        <f>59.856 * CHOOSE(CONTROL!$C$9, $D$9, 100%, $F$9) + CHOOSE(CONTROL!$C$27, 0.0021, 0)</f>
        <v>59.8581</v>
      </c>
      <c r="J282" s="14">
        <f>59.856 * CHOOSE(CONTROL!$C$9, $D$9, 100%, $F$9) + CHOOSE(CONTROL!$C$27, 0.0021, 0)</f>
        <v>59.8581</v>
      </c>
      <c r="K282" s="14">
        <f>59.856 * CHOOSE(CONTROL!$C$9, $D$9, 100%, $F$9) + CHOOSE(CONTROL!$C$27, 0.0021, 0)</f>
        <v>59.8581</v>
      </c>
      <c r="L282" s="14"/>
    </row>
    <row r="283" spans="1:12" ht="15" x14ac:dyDescent="0.2">
      <c r="A283" s="34">
        <v>49522</v>
      </c>
      <c r="B283" s="14">
        <f>60.6367 * CHOOSE(CONTROL!$C$9, $D$9, 100%, $F$9) + CHOOSE(CONTROL!$C$27, 0.0021, 0)</f>
        <v>60.638799999999996</v>
      </c>
      <c r="C283" s="14">
        <f>60.2044 * CHOOSE(CONTROL!$C$9, $D$9, 100%, $F$9) + CHOOSE(CONTROL!$C$27, 0.0021, 0)</f>
        <v>60.206499999999998</v>
      </c>
      <c r="D283" s="14">
        <f>60.2044 * CHOOSE(CONTROL!$C$9, $D$9, 100%, $F$9) + CHOOSE(CONTROL!$C$27, 0.0021, 0)</f>
        <v>60.206499999999998</v>
      </c>
      <c r="E283" s="14">
        <f>60.0678 * CHOOSE(CONTROL!$C$9, $D$9, 100%, $F$9) + CHOOSE(CONTROL!$C$27, 0.0021, 0)</f>
        <v>60.069899999999997</v>
      </c>
      <c r="F283" s="14">
        <f>60.0678 * CHOOSE(CONTROL!$C$9, $D$9, 100%, $F$9) + CHOOSE(CONTROL!$C$27, 0.0021, 0)</f>
        <v>60.069899999999997</v>
      </c>
      <c r="G283" s="14">
        <f>60.3391 * CHOOSE(CONTROL!$C$9, $D$9, 100%, $F$9) + CHOOSE(CONTROL!$C$27, 0.0021, 0)</f>
        <v>60.341200000000001</v>
      </c>
      <c r="H283" s="14">
        <f>60.2044 * CHOOSE(CONTROL!$C$9, $D$9, 100%, $F$9) + CHOOSE(CONTROL!$C$27, 0.0021, 0)</f>
        <v>60.206499999999998</v>
      </c>
      <c r="I283" s="14">
        <f>60.2044 * CHOOSE(CONTROL!$C$9, $D$9, 100%, $F$9) + CHOOSE(CONTROL!$C$27, 0.0021, 0)</f>
        <v>60.206499999999998</v>
      </c>
      <c r="J283" s="14">
        <f>60.2044 * CHOOSE(CONTROL!$C$9, $D$9, 100%, $F$9) + CHOOSE(CONTROL!$C$27, 0.0021, 0)</f>
        <v>60.206499999999998</v>
      </c>
      <c r="K283" s="14">
        <f>60.2044 * CHOOSE(CONTROL!$C$9, $D$9, 100%, $F$9) + CHOOSE(CONTROL!$C$27, 0.0021, 0)</f>
        <v>60.206499999999998</v>
      </c>
      <c r="L283" s="14"/>
    </row>
    <row r="284" spans="1:12" ht="15" x14ac:dyDescent="0.2">
      <c r="A284" s="34">
        <v>49553</v>
      </c>
      <c r="B284" s="14">
        <f>61.8231 * CHOOSE(CONTROL!$C$9, $D$9, 100%, $F$9) + CHOOSE(CONTROL!$C$27, 0.0021, 0)</f>
        <v>61.825199999999995</v>
      </c>
      <c r="C284" s="14">
        <f>61.3909 * CHOOSE(CONTROL!$C$9, $D$9, 100%, $F$9) + CHOOSE(CONTROL!$C$27, 0.0021, 0)</f>
        <v>61.393000000000001</v>
      </c>
      <c r="D284" s="14">
        <f>61.3909 * CHOOSE(CONTROL!$C$9, $D$9, 100%, $F$9) + CHOOSE(CONTROL!$C$27, 0.0021, 0)</f>
        <v>61.393000000000001</v>
      </c>
      <c r="E284" s="14">
        <f>61.2542 * CHOOSE(CONTROL!$C$9, $D$9, 100%, $F$9) + CHOOSE(CONTROL!$C$27, 0.0021, 0)</f>
        <v>61.256299999999996</v>
      </c>
      <c r="F284" s="14">
        <f>61.2542 * CHOOSE(CONTROL!$C$9, $D$9, 100%, $F$9) + CHOOSE(CONTROL!$C$27, 0.0021, 0)</f>
        <v>61.256299999999996</v>
      </c>
      <c r="G284" s="14">
        <f>61.5256 * CHOOSE(CONTROL!$C$9, $D$9, 100%, $F$9) + CHOOSE(CONTROL!$C$27, 0.0021, 0)</f>
        <v>61.527699999999996</v>
      </c>
      <c r="H284" s="14">
        <f>61.3909 * CHOOSE(CONTROL!$C$9, $D$9, 100%, $F$9) + CHOOSE(CONTROL!$C$27, 0.0021, 0)</f>
        <v>61.393000000000001</v>
      </c>
      <c r="I284" s="14">
        <f>61.3909 * CHOOSE(CONTROL!$C$9, $D$9, 100%, $F$9) + CHOOSE(CONTROL!$C$27, 0.0021, 0)</f>
        <v>61.393000000000001</v>
      </c>
      <c r="J284" s="14">
        <f>61.3909 * CHOOSE(CONTROL!$C$9, $D$9, 100%, $F$9) + CHOOSE(CONTROL!$C$27, 0.0021, 0)</f>
        <v>61.393000000000001</v>
      </c>
      <c r="K284" s="14">
        <f>61.3909 * CHOOSE(CONTROL!$C$9, $D$9, 100%, $F$9) + CHOOSE(CONTROL!$C$27, 0.0021, 0)</f>
        <v>61.393000000000001</v>
      </c>
      <c r="L284" s="14"/>
    </row>
    <row r="285" spans="1:12" ht="15" x14ac:dyDescent="0.2">
      <c r="A285" s="34">
        <v>49583</v>
      </c>
      <c r="B285" s="14">
        <f>63.3249 * CHOOSE(CONTROL!$C$9, $D$9, 100%, $F$9) + CHOOSE(CONTROL!$C$27, 0.0021, 0)</f>
        <v>63.326999999999998</v>
      </c>
      <c r="C285" s="14">
        <f>62.8927 * CHOOSE(CONTROL!$C$9, $D$9, 100%, $F$9) + CHOOSE(CONTROL!$C$27, 0.0021, 0)</f>
        <v>62.894799999999996</v>
      </c>
      <c r="D285" s="14">
        <f>62.8927 * CHOOSE(CONTROL!$C$9, $D$9, 100%, $F$9) + CHOOSE(CONTROL!$C$27, 0.0021, 0)</f>
        <v>62.894799999999996</v>
      </c>
      <c r="E285" s="14">
        <f>62.756 * CHOOSE(CONTROL!$C$9, $D$9, 100%, $F$9) + CHOOSE(CONTROL!$C$27, 0.0021, 0)</f>
        <v>62.758099999999999</v>
      </c>
      <c r="F285" s="14">
        <f>62.756 * CHOOSE(CONTROL!$C$9, $D$9, 100%, $F$9) + CHOOSE(CONTROL!$C$27, 0.0021, 0)</f>
        <v>62.758099999999999</v>
      </c>
      <c r="G285" s="14">
        <f>63.0274 * CHOOSE(CONTROL!$C$9, $D$9, 100%, $F$9) + CHOOSE(CONTROL!$C$27, 0.0021, 0)</f>
        <v>63.029499999999999</v>
      </c>
      <c r="H285" s="14">
        <f>62.8927 * CHOOSE(CONTROL!$C$9, $D$9, 100%, $F$9) + CHOOSE(CONTROL!$C$27, 0.0021, 0)</f>
        <v>62.894799999999996</v>
      </c>
      <c r="I285" s="14">
        <f>62.8927 * CHOOSE(CONTROL!$C$9, $D$9, 100%, $F$9) + CHOOSE(CONTROL!$C$27, 0.0021, 0)</f>
        <v>62.894799999999996</v>
      </c>
      <c r="J285" s="14">
        <f>62.8927 * CHOOSE(CONTROL!$C$9, $D$9, 100%, $F$9) + CHOOSE(CONTROL!$C$27, 0.0021, 0)</f>
        <v>62.894799999999996</v>
      </c>
      <c r="K285" s="14">
        <f>62.8927 * CHOOSE(CONTROL!$C$9, $D$9, 100%, $F$9) + CHOOSE(CONTROL!$C$27, 0.0021, 0)</f>
        <v>62.894799999999996</v>
      </c>
      <c r="L285" s="14"/>
    </row>
    <row r="286" spans="1:12" ht="15" x14ac:dyDescent="0.2">
      <c r="A286" s="34">
        <v>49614</v>
      </c>
      <c r="B286" s="14">
        <f>63.4659 * CHOOSE(CONTROL!$C$9, $D$9, 100%, $F$9) + CHOOSE(CONTROL!$C$27, 0.0021, 0)</f>
        <v>63.467999999999996</v>
      </c>
      <c r="C286" s="14">
        <f>63.0337 * CHOOSE(CONTROL!$C$9, $D$9, 100%, $F$9) + CHOOSE(CONTROL!$C$27, 0.0021, 0)</f>
        <v>63.035800000000002</v>
      </c>
      <c r="D286" s="14">
        <f>63.0337 * CHOOSE(CONTROL!$C$9, $D$9, 100%, $F$9) + CHOOSE(CONTROL!$C$27, 0.0021, 0)</f>
        <v>63.035800000000002</v>
      </c>
      <c r="E286" s="14">
        <f>62.897 * CHOOSE(CONTROL!$C$9, $D$9, 100%, $F$9) + CHOOSE(CONTROL!$C$27, 0.0021, 0)</f>
        <v>62.899099999999997</v>
      </c>
      <c r="F286" s="14">
        <f>62.897 * CHOOSE(CONTROL!$C$9, $D$9, 100%, $F$9) + CHOOSE(CONTROL!$C$27, 0.0021, 0)</f>
        <v>62.899099999999997</v>
      </c>
      <c r="G286" s="14">
        <f>63.1684 * CHOOSE(CONTROL!$C$9, $D$9, 100%, $F$9) + CHOOSE(CONTROL!$C$27, 0.0021, 0)</f>
        <v>63.170499999999997</v>
      </c>
      <c r="H286" s="14">
        <f>63.0337 * CHOOSE(CONTROL!$C$9, $D$9, 100%, $F$9) + CHOOSE(CONTROL!$C$27, 0.0021, 0)</f>
        <v>63.035800000000002</v>
      </c>
      <c r="I286" s="14">
        <f>63.0337 * CHOOSE(CONTROL!$C$9, $D$9, 100%, $F$9) + CHOOSE(CONTROL!$C$27, 0.0021, 0)</f>
        <v>63.035800000000002</v>
      </c>
      <c r="J286" s="14">
        <f>63.0337 * CHOOSE(CONTROL!$C$9, $D$9, 100%, $F$9) + CHOOSE(CONTROL!$C$27, 0.0021, 0)</f>
        <v>63.035800000000002</v>
      </c>
      <c r="K286" s="14">
        <f>63.0337 * CHOOSE(CONTROL!$C$9, $D$9, 100%, $F$9) + CHOOSE(CONTROL!$C$27, 0.0021, 0)</f>
        <v>63.035800000000002</v>
      </c>
      <c r="L286" s="14"/>
    </row>
    <row r="287" spans="1:12" ht="15" x14ac:dyDescent="0.2">
      <c r="A287" s="34">
        <v>49644</v>
      </c>
      <c r="B287" s="14">
        <f>62.2664 * CHOOSE(CONTROL!$C$9, $D$9, 100%, $F$9) + CHOOSE(CONTROL!$C$27, 0.0021, 0)</f>
        <v>62.268499999999996</v>
      </c>
      <c r="C287" s="14">
        <f>61.8342 * CHOOSE(CONTROL!$C$9, $D$9, 100%, $F$9) + CHOOSE(CONTROL!$C$27, 0.0021, 0)</f>
        <v>61.836300000000001</v>
      </c>
      <c r="D287" s="14">
        <f>61.8342 * CHOOSE(CONTROL!$C$9, $D$9, 100%, $F$9) + CHOOSE(CONTROL!$C$27, 0.0021, 0)</f>
        <v>61.836300000000001</v>
      </c>
      <c r="E287" s="14">
        <f>61.6975 * CHOOSE(CONTROL!$C$9, $D$9, 100%, $F$9) + CHOOSE(CONTROL!$C$27, 0.0021, 0)</f>
        <v>61.699599999999997</v>
      </c>
      <c r="F287" s="14">
        <f>61.6975 * CHOOSE(CONTROL!$C$9, $D$9, 100%, $F$9) + CHOOSE(CONTROL!$C$27, 0.0021, 0)</f>
        <v>61.699599999999997</v>
      </c>
      <c r="G287" s="14">
        <f>61.9689 * CHOOSE(CONTROL!$C$9, $D$9, 100%, $F$9) + CHOOSE(CONTROL!$C$27, 0.0021, 0)</f>
        <v>61.970999999999997</v>
      </c>
      <c r="H287" s="14">
        <f>61.8342 * CHOOSE(CONTROL!$C$9, $D$9, 100%, $F$9) + CHOOSE(CONTROL!$C$27, 0.0021, 0)</f>
        <v>61.836300000000001</v>
      </c>
      <c r="I287" s="14">
        <f>61.8342 * CHOOSE(CONTROL!$C$9, $D$9, 100%, $F$9) + CHOOSE(CONTROL!$C$27, 0.0021, 0)</f>
        <v>61.836300000000001</v>
      </c>
      <c r="J287" s="14">
        <f>61.8342 * CHOOSE(CONTROL!$C$9, $D$9, 100%, $F$9) + CHOOSE(CONTROL!$C$27, 0.0021, 0)</f>
        <v>61.836300000000001</v>
      </c>
      <c r="K287" s="14">
        <f>61.8342 * CHOOSE(CONTROL!$C$9, $D$9, 100%, $F$9) + CHOOSE(CONTROL!$C$27, 0.0021, 0)</f>
        <v>61.836300000000001</v>
      </c>
      <c r="L287" s="14"/>
    </row>
    <row r="288" spans="1:12" ht="15" x14ac:dyDescent="0.2">
      <c r="A288" s="34">
        <v>49675</v>
      </c>
      <c r="B288" s="14">
        <f>61.5083 * CHOOSE(CONTROL!$C$9, $D$9, 100%, $F$9) + CHOOSE(CONTROL!$C$27, 0.0021, 0)</f>
        <v>61.510399999999997</v>
      </c>
      <c r="C288" s="14">
        <f>61.0761 * CHOOSE(CONTROL!$C$9, $D$9, 100%, $F$9) + CHOOSE(CONTROL!$C$27, 0.0021, 0)</f>
        <v>61.078199999999995</v>
      </c>
      <c r="D288" s="14">
        <f>61.0761 * CHOOSE(CONTROL!$C$9, $D$9, 100%, $F$9) + CHOOSE(CONTROL!$C$27, 0.0021, 0)</f>
        <v>61.078199999999995</v>
      </c>
      <c r="E288" s="14">
        <f>60.9394 * CHOOSE(CONTROL!$C$9, $D$9, 100%, $F$9) + CHOOSE(CONTROL!$C$27, 0.0021, 0)</f>
        <v>60.941499999999998</v>
      </c>
      <c r="F288" s="14">
        <f>60.9394 * CHOOSE(CONTROL!$C$9, $D$9, 100%, $F$9) + CHOOSE(CONTROL!$C$27, 0.0021, 0)</f>
        <v>60.941499999999998</v>
      </c>
      <c r="G288" s="14">
        <f>61.2108 * CHOOSE(CONTROL!$C$9, $D$9, 100%, $F$9) + CHOOSE(CONTROL!$C$27, 0.0021, 0)</f>
        <v>61.212899999999998</v>
      </c>
      <c r="H288" s="14">
        <f>61.0761 * CHOOSE(CONTROL!$C$9, $D$9, 100%, $F$9) + CHOOSE(CONTROL!$C$27, 0.0021, 0)</f>
        <v>61.078199999999995</v>
      </c>
      <c r="I288" s="14">
        <f>61.0761 * CHOOSE(CONTROL!$C$9, $D$9, 100%, $F$9) + CHOOSE(CONTROL!$C$27, 0.0021, 0)</f>
        <v>61.078199999999995</v>
      </c>
      <c r="J288" s="14">
        <f>61.0761 * CHOOSE(CONTROL!$C$9, $D$9, 100%, $F$9) + CHOOSE(CONTROL!$C$27, 0.0021, 0)</f>
        <v>61.078199999999995</v>
      </c>
      <c r="K288" s="14">
        <f>61.0761 * CHOOSE(CONTROL!$C$9, $D$9, 100%, $F$9) + CHOOSE(CONTROL!$C$27, 0.0021, 0)</f>
        <v>61.078199999999995</v>
      </c>
      <c r="L288" s="14"/>
    </row>
    <row r="289" spans="1:12" ht="15" x14ac:dyDescent="0.2">
      <c r="A289" s="34">
        <v>49706</v>
      </c>
      <c r="B289" s="14">
        <f>59.8334 * CHOOSE(CONTROL!$C$9, $D$9, 100%, $F$9) + CHOOSE(CONTROL!$C$27, 0.0021, 0)</f>
        <v>59.835499999999996</v>
      </c>
      <c r="C289" s="14">
        <f>59.4011 * CHOOSE(CONTROL!$C$9, $D$9, 100%, $F$9) + CHOOSE(CONTROL!$C$27, 0.0021, 0)</f>
        <v>59.403199999999998</v>
      </c>
      <c r="D289" s="14">
        <f>59.4011 * CHOOSE(CONTROL!$C$9, $D$9, 100%, $F$9) + CHOOSE(CONTROL!$C$27, 0.0021, 0)</f>
        <v>59.403199999999998</v>
      </c>
      <c r="E289" s="14">
        <f>59.2645 * CHOOSE(CONTROL!$C$9, $D$9, 100%, $F$9) + CHOOSE(CONTROL!$C$27, 0.0021, 0)</f>
        <v>59.266599999999997</v>
      </c>
      <c r="F289" s="14">
        <f>59.2645 * CHOOSE(CONTROL!$C$9, $D$9, 100%, $F$9) + CHOOSE(CONTROL!$C$27, 0.0021, 0)</f>
        <v>59.266599999999997</v>
      </c>
      <c r="G289" s="14">
        <f>59.5358 * CHOOSE(CONTROL!$C$9, $D$9, 100%, $F$9) + CHOOSE(CONTROL!$C$27, 0.0021, 0)</f>
        <v>59.5379</v>
      </c>
      <c r="H289" s="14">
        <f>59.4011 * CHOOSE(CONTROL!$C$9, $D$9, 100%, $F$9) + CHOOSE(CONTROL!$C$27, 0.0021, 0)</f>
        <v>59.403199999999998</v>
      </c>
      <c r="I289" s="14">
        <f>59.4011 * CHOOSE(CONTROL!$C$9, $D$9, 100%, $F$9) + CHOOSE(CONTROL!$C$27, 0.0021, 0)</f>
        <v>59.403199999999998</v>
      </c>
      <c r="J289" s="14">
        <f>59.4011 * CHOOSE(CONTROL!$C$9, $D$9, 100%, $F$9) + CHOOSE(CONTROL!$C$27, 0.0021, 0)</f>
        <v>59.403199999999998</v>
      </c>
      <c r="K289" s="14">
        <f>59.4011 * CHOOSE(CONTROL!$C$9, $D$9, 100%, $F$9) + CHOOSE(CONTROL!$C$27, 0.0021, 0)</f>
        <v>59.403199999999998</v>
      </c>
      <c r="L289" s="14"/>
    </row>
    <row r="290" spans="1:12" ht="15" x14ac:dyDescent="0.2">
      <c r="A290" s="34">
        <v>49735</v>
      </c>
      <c r="B290" s="14">
        <f>59.1419 * CHOOSE(CONTROL!$C$9, $D$9, 100%, $F$9) + CHOOSE(CONTROL!$C$27, 0.0021, 0)</f>
        <v>59.143999999999998</v>
      </c>
      <c r="C290" s="14">
        <f>58.7097 * CHOOSE(CONTROL!$C$9, $D$9, 100%, $F$9) + CHOOSE(CONTROL!$C$27, 0.0021, 0)</f>
        <v>58.711799999999997</v>
      </c>
      <c r="D290" s="14">
        <f>58.7097 * CHOOSE(CONTROL!$C$9, $D$9, 100%, $F$9) + CHOOSE(CONTROL!$C$27, 0.0021, 0)</f>
        <v>58.711799999999997</v>
      </c>
      <c r="E290" s="14">
        <f>58.573 * CHOOSE(CONTROL!$C$9, $D$9, 100%, $F$9) + CHOOSE(CONTROL!$C$27, 0.0021, 0)</f>
        <v>58.575099999999999</v>
      </c>
      <c r="F290" s="14">
        <f>58.573 * CHOOSE(CONTROL!$C$9, $D$9, 100%, $F$9) + CHOOSE(CONTROL!$C$27, 0.0021, 0)</f>
        <v>58.575099999999999</v>
      </c>
      <c r="G290" s="14">
        <f>58.8444 * CHOOSE(CONTROL!$C$9, $D$9, 100%, $F$9) + CHOOSE(CONTROL!$C$27, 0.0021, 0)</f>
        <v>58.846499999999999</v>
      </c>
      <c r="H290" s="14">
        <f>58.7097 * CHOOSE(CONTROL!$C$9, $D$9, 100%, $F$9) + CHOOSE(CONTROL!$C$27, 0.0021, 0)</f>
        <v>58.711799999999997</v>
      </c>
      <c r="I290" s="14">
        <f>58.7097 * CHOOSE(CONTROL!$C$9, $D$9, 100%, $F$9) + CHOOSE(CONTROL!$C$27, 0.0021, 0)</f>
        <v>58.711799999999997</v>
      </c>
      <c r="J290" s="14">
        <f>58.7097 * CHOOSE(CONTROL!$C$9, $D$9, 100%, $F$9) + CHOOSE(CONTROL!$C$27, 0.0021, 0)</f>
        <v>58.711799999999997</v>
      </c>
      <c r="K290" s="14">
        <f>58.7097 * CHOOSE(CONTROL!$C$9, $D$9, 100%, $F$9) + CHOOSE(CONTROL!$C$27, 0.0021, 0)</f>
        <v>58.711799999999997</v>
      </c>
      <c r="L290" s="14"/>
    </row>
    <row r="291" spans="1:12" ht="15" x14ac:dyDescent="0.2">
      <c r="A291" s="34">
        <v>49766</v>
      </c>
      <c r="B291" s="14">
        <f>58.3164 * CHOOSE(CONTROL!$C$9, $D$9, 100%, $F$9) + CHOOSE(CONTROL!$C$27, 0.0021, 0)</f>
        <v>58.3185</v>
      </c>
      <c r="C291" s="14">
        <f>57.8841 * CHOOSE(CONTROL!$C$9, $D$9, 100%, $F$9) + CHOOSE(CONTROL!$C$27, 0.0021, 0)</f>
        <v>57.886199999999995</v>
      </c>
      <c r="D291" s="14">
        <f>57.8841 * CHOOSE(CONTROL!$C$9, $D$9, 100%, $F$9) + CHOOSE(CONTROL!$C$27, 0.0021, 0)</f>
        <v>57.886199999999995</v>
      </c>
      <c r="E291" s="14">
        <f>57.7475 * CHOOSE(CONTROL!$C$9, $D$9, 100%, $F$9) + CHOOSE(CONTROL!$C$27, 0.0021, 0)</f>
        <v>57.749600000000001</v>
      </c>
      <c r="F291" s="14">
        <f>57.7475 * CHOOSE(CONTROL!$C$9, $D$9, 100%, $F$9) + CHOOSE(CONTROL!$C$27, 0.0021, 0)</f>
        <v>57.749600000000001</v>
      </c>
      <c r="G291" s="14">
        <f>58.0188 * CHOOSE(CONTROL!$C$9, $D$9, 100%, $F$9) + CHOOSE(CONTROL!$C$27, 0.0021, 0)</f>
        <v>58.020899999999997</v>
      </c>
      <c r="H291" s="14">
        <f>57.8841 * CHOOSE(CONTROL!$C$9, $D$9, 100%, $F$9) + CHOOSE(CONTROL!$C$27, 0.0021, 0)</f>
        <v>57.886199999999995</v>
      </c>
      <c r="I291" s="14">
        <f>57.8841 * CHOOSE(CONTROL!$C$9, $D$9, 100%, $F$9) + CHOOSE(CONTROL!$C$27, 0.0021, 0)</f>
        <v>57.886199999999995</v>
      </c>
      <c r="J291" s="14">
        <f>57.8841 * CHOOSE(CONTROL!$C$9, $D$9, 100%, $F$9) + CHOOSE(CONTROL!$C$27, 0.0021, 0)</f>
        <v>57.886199999999995</v>
      </c>
      <c r="K291" s="14">
        <f>57.8841 * CHOOSE(CONTROL!$C$9, $D$9, 100%, $F$9) + CHOOSE(CONTROL!$C$27, 0.0021, 0)</f>
        <v>57.886199999999995</v>
      </c>
      <c r="L291" s="14"/>
    </row>
    <row r="292" spans="1:12" ht="15" x14ac:dyDescent="0.2">
      <c r="A292" s="34">
        <v>49796</v>
      </c>
      <c r="B292" s="14">
        <f>59.4929 * CHOOSE(CONTROL!$C$9, $D$9, 100%, $F$9) + CHOOSE(CONTROL!$C$27, 0.0021, 0)</f>
        <v>59.494999999999997</v>
      </c>
      <c r="C292" s="14">
        <f>59.0607 * CHOOSE(CONTROL!$C$9, $D$9, 100%, $F$9) + CHOOSE(CONTROL!$C$27, 0.0021, 0)</f>
        <v>59.062799999999996</v>
      </c>
      <c r="D292" s="14">
        <f>59.0607 * CHOOSE(CONTROL!$C$9, $D$9, 100%, $F$9) + CHOOSE(CONTROL!$C$27, 0.0021, 0)</f>
        <v>59.062799999999996</v>
      </c>
      <c r="E292" s="14">
        <f>58.924 * CHOOSE(CONTROL!$C$9, $D$9, 100%, $F$9) + CHOOSE(CONTROL!$C$27, 0.0021, 0)</f>
        <v>58.926099999999998</v>
      </c>
      <c r="F292" s="14">
        <f>58.924 * CHOOSE(CONTROL!$C$9, $D$9, 100%, $F$9) + CHOOSE(CONTROL!$C$27, 0.0021, 0)</f>
        <v>58.926099999999998</v>
      </c>
      <c r="G292" s="14">
        <f>59.1954 * CHOOSE(CONTROL!$C$9, $D$9, 100%, $F$9) + CHOOSE(CONTROL!$C$27, 0.0021, 0)</f>
        <v>59.197499999999998</v>
      </c>
      <c r="H292" s="14">
        <f>59.0607 * CHOOSE(CONTROL!$C$9, $D$9, 100%, $F$9) + CHOOSE(CONTROL!$C$27, 0.0021, 0)</f>
        <v>59.062799999999996</v>
      </c>
      <c r="I292" s="14">
        <f>59.0607 * CHOOSE(CONTROL!$C$9, $D$9, 100%, $F$9) + CHOOSE(CONTROL!$C$27, 0.0021, 0)</f>
        <v>59.062799999999996</v>
      </c>
      <c r="J292" s="14">
        <f>59.0607 * CHOOSE(CONTROL!$C$9, $D$9, 100%, $F$9) + CHOOSE(CONTROL!$C$27, 0.0021, 0)</f>
        <v>59.062799999999996</v>
      </c>
      <c r="K292" s="14">
        <f>59.0607 * CHOOSE(CONTROL!$C$9, $D$9, 100%, $F$9) + CHOOSE(CONTROL!$C$27, 0.0021, 0)</f>
        <v>59.062799999999996</v>
      </c>
      <c r="L292" s="14"/>
    </row>
    <row r="293" spans="1:12" ht="15" x14ac:dyDescent="0.2">
      <c r="A293" s="34">
        <v>49827</v>
      </c>
      <c r="B293" s="14">
        <f>60.1976 * CHOOSE(CONTROL!$C$9, $D$9, 100%, $F$9) + CHOOSE(CONTROL!$C$27, 0.0021, 0)</f>
        <v>60.1997</v>
      </c>
      <c r="C293" s="14">
        <f>59.7654 * CHOOSE(CONTROL!$C$9, $D$9, 100%, $F$9) + CHOOSE(CONTROL!$C$27, 0.0021, 0)</f>
        <v>59.767499999999998</v>
      </c>
      <c r="D293" s="14">
        <f>59.7654 * CHOOSE(CONTROL!$C$9, $D$9, 100%, $F$9) + CHOOSE(CONTROL!$C$27, 0.0021, 0)</f>
        <v>59.767499999999998</v>
      </c>
      <c r="E293" s="14">
        <f>59.6287 * CHOOSE(CONTROL!$C$9, $D$9, 100%, $F$9) + CHOOSE(CONTROL!$C$27, 0.0021, 0)</f>
        <v>59.630800000000001</v>
      </c>
      <c r="F293" s="14">
        <f>59.6287 * CHOOSE(CONTROL!$C$9, $D$9, 100%, $F$9) + CHOOSE(CONTROL!$C$27, 0.0021, 0)</f>
        <v>59.630800000000001</v>
      </c>
      <c r="G293" s="14">
        <f>59.9001 * CHOOSE(CONTROL!$C$9, $D$9, 100%, $F$9) + CHOOSE(CONTROL!$C$27, 0.0021, 0)</f>
        <v>59.902200000000001</v>
      </c>
      <c r="H293" s="14">
        <f>59.7654 * CHOOSE(CONTROL!$C$9, $D$9, 100%, $F$9) + CHOOSE(CONTROL!$C$27, 0.0021, 0)</f>
        <v>59.767499999999998</v>
      </c>
      <c r="I293" s="14">
        <f>59.7654 * CHOOSE(CONTROL!$C$9, $D$9, 100%, $F$9) + CHOOSE(CONTROL!$C$27, 0.0021, 0)</f>
        <v>59.767499999999998</v>
      </c>
      <c r="J293" s="14">
        <f>59.7654 * CHOOSE(CONTROL!$C$9, $D$9, 100%, $F$9) + CHOOSE(CONTROL!$C$27, 0.0021, 0)</f>
        <v>59.767499999999998</v>
      </c>
      <c r="K293" s="14">
        <f>59.7654 * CHOOSE(CONTROL!$C$9, $D$9, 100%, $F$9) + CHOOSE(CONTROL!$C$27, 0.0021, 0)</f>
        <v>59.767499999999998</v>
      </c>
      <c r="L293" s="14"/>
    </row>
    <row r="294" spans="1:12" ht="15" x14ac:dyDescent="0.2">
      <c r="A294" s="34">
        <v>49857</v>
      </c>
      <c r="B294" s="14">
        <f>61.3601 * CHOOSE(CONTROL!$C$9, $D$9, 100%, $F$9) + CHOOSE(CONTROL!$C$27, 0.0021, 0)</f>
        <v>61.362200000000001</v>
      </c>
      <c r="C294" s="14">
        <f>60.9278 * CHOOSE(CONTROL!$C$9, $D$9, 100%, $F$9) + CHOOSE(CONTROL!$C$27, 0.0021, 0)</f>
        <v>60.929899999999996</v>
      </c>
      <c r="D294" s="14">
        <f>60.9278 * CHOOSE(CONTROL!$C$9, $D$9, 100%, $F$9) + CHOOSE(CONTROL!$C$27, 0.0021, 0)</f>
        <v>60.929899999999996</v>
      </c>
      <c r="E294" s="14">
        <f>60.7912 * CHOOSE(CONTROL!$C$9, $D$9, 100%, $F$9) + CHOOSE(CONTROL!$C$27, 0.0021, 0)</f>
        <v>60.793300000000002</v>
      </c>
      <c r="F294" s="14">
        <f>60.7912 * CHOOSE(CONTROL!$C$9, $D$9, 100%, $F$9) + CHOOSE(CONTROL!$C$27, 0.0021, 0)</f>
        <v>60.793300000000002</v>
      </c>
      <c r="G294" s="14">
        <f>61.0626 * CHOOSE(CONTROL!$C$9, $D$9, 100%, $F$9) + CHOOSE(CONTROL!$C$27, 0.0021, 0)</f>
        <v>61.064700000000002</v>
      </c>
      <c r="H294" s="14">
        <f>60.9278 * CHOOSE(CONTROL!$C$9, $D$9, 100%, $F$9) + CHOOSE(CONTROL!$C$27, 0.0021, 0)</f>
        <v>60.929899999999996</v>
      </c>
      <c r="I294" s="14">
        <f>60.9278 * CHOOSE(CONTROL!$C$9, $D$9, 100%, $F$9) + CHOOSE(CONTROL!$C$27, 0.0021, 0)</f>
        <v>60.929899999999996</v>
      </c>
      <c r="J294" s="14">
        <f>60.9278 * CHOOSE(CONTROL!$C$9, $D$9, 100%, $F$9) + CHOOSE(CONTROL!$C$27, 0.0021, 0)</f>
        <v>60.929899999999996</v>
      </c>
      <c r="K294" s="14">
        <f>60.9278 * CHOOSE(CONTROL!$C$9, $D$9, 100%, $F$9) + CHOOSE(CONTROL!$C$27, 0.0021, 0)</f>
        <v>60.929899999999996</v>
      </c>
      <c r="L294" s="14"/>
    </row>
    <row r="295" spans="1:12" ht="15" x14ac:dyDescent="0.2">
      <c r="A295" s="34">
        <v>49888</v>
      </c>
      <c r="B295" s="14">
        <f>61.7149 * CHOOSE(CONTROL!$C$9, $D$9, 100%, $F$9) + CHOOSE(CONTROL!$C$27, 0.0021, 0)</f>
        <v>61.716999999999999</v>
      </c>
      <c r="C295" s="14">
        <f>61.2827 * CHOOSE(CONTROL!$C$9, $D$9, 100%, $F$9) + CHOOSE(CONTROL!$C$27, 0.0021, 0)</f>
        <v>61.284799999999997</v>
      </c>
      <c r="D295" s="14">
        <f>61.2827 * CHOOSE(CONTROL!$C$9, $D$9, 100%, $F$9) + CHOOSE(CONTROL!$C$27, 0.0021, 0)</f>
        <v>61.284799999999997</v>
      </c>
      <c r="E295" s="14">
        <f>61.146 * CHOOSE(CONTROL!$C$9, $D$9, 100%, $F$9) + CHOOSE(CONTROL!$C$27, 0.0021, 0)</f>
        <v>61.148099999999999</v>
      </c>
      <c r="F295" s="14">
        <f>61.146 * CHOOSE(CONTROL!$C$9, $D$9, 100%, $F$9) + CHOOSE(CONTROL!$C$27, 0.0021, 0)</f>
        <v>61.148099999999999</v>
      </c>
      <c r="G295" s="14">
        <f>61.4174 * CHOOSE(CONTROL!$C$9, $D$9, 100%, $F$9) + CHOOSE(CONTROL!$C$27, 0.0021, 0)</f>
        <v>61.419499999999999</v>
      </c>
      <c r="H295" s="14">
        <f>61.2827 * CHOOSE(CONTROL!$C$9, $D$9, 100%, $F$9) + CHOOSE(CONTROL!$C$27, 0.0021, 0)</f>
        <v>61.284799999999997</v>
      </c>
      <c r="I295" s="14">
        <f>61.2827 * CHOOSE(CONTROL!$C$9, $D$9, 100%, $F$9) + CHOOSE(CONTROL!$C$27, 0.0021, 0)</f>
        <v>61.284799999999997</v>
      </c>
      <c r="J295" s="14">
        <f>61.2827 * CHOOSE(CONTROL!$C$9, $D$9, 100%, $F$9) + CHOOSE(CONTROL!$C$27, 0.0021, 0)</f>
        <v>61.284799999999997</v>
      </c>
      <c r="K295" s="14">
        <f>61.2827 * CHOOSE(CONTROL!$C$9, $D$9, 100%, $F$9) + CHOOSE(CONTROL!$C$27, 0.0021, 0)</f>
        <v>61.284799999999997</v>
      </c>
      <c r="L295" s="14"/>
    </row>
    <row r="296" spans="1:12" ht="15" x14ac:dyDescent="0.2">
      <c r="A296" s="34">
        <v>49919</v>
      </c>
      <c r="B296" s="14">
        <f>62.9233 * CHOOSE(CONTROL!$C$9, $D$9, 100%, $F$9) + CHOOSE(CONTROL!$C$27, 0.0021, 0)</f>
        <v>62.925399999999996</v>
      </c>
      <c r="C296" s="14">
        <f>62.491 * CHOOSE(CONTROL!$C$9, $D$9, 100%, $F$9) + CHOOSE(CONTROL!$C$27, 0.0021, 0)</f>
        <v>62.493099999999998</v>
      </c>
      <c r="D296" s="14">
        <f>62.491 * CHOOSE(CONTROL!$C$9, $D$9, 100%, $F$9) + CHOOSE(CONTROL!$C$27, 0.0021, 0)</f>
        <v>62.493099999999998</v>
      </c>
      <c r="E296" s="14">
        <f>62.3544 * CHOOSE(CONTROL!$C$9, $D$9, 100%, $F$9) + CHOOSE(CONTROL!$C$27, 0.0021, 0)</f>
        <v>62.356499999999997</v>
      </c>
      <c r="F296" s="14">
        <f>62.3544 * CHOOSE(CONTROL!$C$9, $D$9, 100%, $F$9) + CHOOSE(CONTROL!$C$27, 0.0021, 0)</f>
        <v>62.356499999999997</v>
      </c>
      <c r="G296" s="14">
        <f>62.6257 * CHOOSE(CONTROL!$C$9, $D$9, 100%, $F$9) + CHOOSE(CONTROL!$C$27, 0.0021, 0)</f>
        <v>62.627800000000001</v>
      </c>
      <c r="H296" s="14">
        <f>62.491 * CHOOSE(CONTROL!$C$9, $D$9, 100%, $F$9) + CHOOSE(CONTROL!$C$27, 0.0021, 0)</f>
        <v>62.493099999999998</v>
      </c>
      <c r="I296" s="14">
        <f>62.491 * CHOOSE(CONTROL!$C$9, $D$9, 100%, $F$9) + CHOOSE(CONTROL!$C$27, 0.0021, 0)</f>
        <v>62.493099999999998</v>
      </c>
      <c r="J296" s="14">
        <f>62.491 * CHOOSE(CONTROL!$C$9, $D$9, 100%, $F$9) + CHOOSE(CONTROL!$C$27, 0.0021, 0)</f>
        <v>62.493099999999998</v>
      </c>
      <c r="K296" s="14">
        <f>62.491 * CHOOSE(CONTROL!$C$9, $D$9, 100%, $F$9) + CHOOSE(CONTROL!$C$27, 0.0021, 0)</f>
        <v>62.493099999999998</v>
      </c>
      <c r="L296" s="14"/>
    </row>
    <row r="297" spans="1:12" ht="15" x14ac:dyDescent="0.2">
      <c r="A297" s="34">
        <v>49949</v>
      </c>
      <c r="B297" s="14">
        <f>64.4528 * CHOOSE(CONTROL!$C$9, $D$9, 100%, $F$9) + CHOOSE(CONTROL!$C$27, 0.0021, 0)</f>
        <v>64.454899999999995</v>
      </c>
      <c r="C297" s="14">
        <f>64.0206 * CHOOSE(CONTROL!$C$9, $D$9, 100%, $F$9) + CHOOSE(CONTROL!$C$27, 0.0021, 0)</f>
        <v>64.0227</v>
      </c>
      <c r="D297" s="14">
        <f>64.0206 * CHOOSE(CONTROL!$C$9, $D$9, 100%, $F$9) + CHOOSE(CONTROL!$C$27, 0.0021, 0)</f>
        <v>64.0227</v>
      </c>
      <c r="E297" s="14">
        <f>63.8839 * CHOOSE(CONTROL!$C$9, $D$9, 100%, $F$9) + CHOOSE(CONTROL!$C$27, 0.0021, 0)</f>
        <v>63.885999999999996</v>
      </c>
      <c r="F297" s="14">
        <f>63.8839 * CHOOSE(CONTROL!$C$9, $D$9, 100%, $F$9) + CHOOSE(CONTROL!$C$27, 0.0021, 0)</f>
        <v>63.885999999999996</v>
      </c>
      <c r="G297" s="14">
        <f>64.1553 * CHOOSE(CONTROL!$C$9, $D$9, 100%, $F$9) + CHOOSE(CONTROL!$C$27, 0.0021, 0)</f>
        <v>64.157399999999996</v>
      </c>
      <c r="H297" s="14">
        <f>64.0206 * CHOOSE(CONTROL!$C$9, $D$9, 100%, $F$9) + CHOOSE(CONTROL!$C$27, 0.0021, 0)</f>
        <v>64.0227</v>
      </c>
      <c r="I297" s="14">
        <f>64.0206 * CHOOSE(CONTROL!$C$9, $D$9, 100%, $F$9) + CHOOSE(CONTROL!$C$27, 0.0021, 0)</f>
        <v>64.0227</v>
      </c>
      <c r="J297" s="14">
        <f>64.0206 * CHOOSE(CONTROL!$C$9, $D$9, 100%, $F$9) + CHOOSE(CONTROL!$C$27, 0.0021, 0)</f>
        <v>64.0227</v>
      </c>
      <c r="K297" s="14">
        <f>64.0206 * CHOOSE(CONTROL!$C$9, $D$9, 100%, $F$9) + CHOOSE(CONTROL!$C$27, 0.0021, 0)</f>
        <v>64.0227</v>
      </c>
      <c r="L297" s="14"/>
    </row>
    <row r="298" spans="1:12" ht="15" x14ac:dyDescent="0.2">
      <c r="A298" s="34">
        <v>49980</v>
      </c>
      <c r="B298" s="14">
        <f>64.5964 * CHOOSE(CONTROL!$C$9, $D$9, 100%, $F$9) + CHOOSE(CONTROL!$C$27, 0.0021, 0)</f>
        <v>64.598500000000001</v>
      </c>
      <c r="C298" s="14">
        <f>64.1642 * CHOOSE(CONTROL!$C$9, $D$9, 100%, $F$9) + CHOOSE(CONTROL!$C$27, 0.0021, 0)</f>
        <v>64.166299999999993</v>
      </c>
      <c r="D298" s="14">
        <f>64.1642 * CHOOSE(CONTROL!$C$9, $D$9, 100%, $F$9) + CHOOSE(CONTROL!$C$27, 0.0021, 0)</f>
        <v>64.166299999999993</v>
      </c>
      <c r="E298" s="14">
        <f>64.0275 * CHOOSE(CONTROL!$C$9, $D$9, 100%, $F$9) + CHOOSE(CONTROL!$C$27, 0.0021, 0)</f>
        <v>64.029600000000002</v>
      </c>
      <c r="F298" s="14">
        <f>64.0275 * CHOOSE(CONTROL!$C$9, $D$9, 100%, $F$9) + CHOOSE(CONTROL!$C$27, 0.0021, 0)</f>
        <v>64.029600000000002</v>
      </c>
      <c r="G298" s="14">
        <f>64.2989 * CHOOSE(CONTROL!$C$9, $D$9, 100%, $F$9) + CHOOSE(CONTROL!$C$27, 0.0021, 0)</f>
        <v>64.301000000000002</v>
      </c>
      <c r="H298" s="14">
        <f>64.1642 * CHOOSE(CONTROL!$C$9, $D$9, 100%, $F$9) + CHOOSE(CONTROL!$C$27, 0.0021, 0)</f>
        <v>64.166299999999993</v>
      </c>
      <c r="I298" s="14">
        <f>64.1642 * CHOOSE(CONTROL!$C$9, $D$9, 100%, $F$9) + CHOOSE(CONTROL!$C$27, 0.0021, 0)</f>
        <v>64.166299999999993</v>
      </c>
      <c r="J298" s="14">
        <f>64.1642 * CHOOSE(CONTROL!$C$9, $D$9, 100%, $F$9) + CHOOSE(CONTROL!$C$27, 0.0021, 0)</f>
        <v>64.166299999999993</v>
      </c>
      <c r="K298" s="14">
        <f>64.1642 * CHOOSE(CONTROL!$C$9, $D$9, 100%, $F$9) + CHOOSE(CONTROL!$C$27, 0.0021, 0)</f>
        <v>64.166299999999993</v>
      </c>
      <c r="L298" s="14"/>
    </row>
    <row r="299" spans="1:12" ht="15" x14ac:dyDescent="0.2">
      <c r="A299" s="34">
        <v>50010</v>
      </c>
      <c r="B299" s="14">
        <f>63.3748 * CHOOSE(CONTROL!$C$9, $D$9, 100%, $F$9) + CHOOSE(CONTROL!$C$27, 0.0021, 0)</f>
        <v>63.376899999999999</v>
      </c>
      <c r="C299" s="14">
        <f>62.9425 * CHOOSE(CONTROL!$C$9, $D$9, 100%, $F$9) + CHOOSE(CONTROL!$C$27, 0.0021, 0)</f>
        <v>62.944600000000001</v>
      </c>
      <c r="D299" s="14">
        <f>62.9425 * CHOOSE(CONTROL!$C$9, $D$9, 100%, $F$9) + CHOOSE(CONTROL!$C$27, 0.0021, 0)</f>
        <v>62.944600000000001</v>
      </c>
      <c r="E299" s="14">
        <f>62.8059 * CHOOSE(CONTROL!$C$9, $D$9, 100%, $F$9) + CHOOSE(CONTROL!$C$27, 0.0021, 0)</f>
        <v>62.808</v>
      </c>
      <c r="F299" s="14">
        <f>62.8059 * CHOOSE(CONTROL!$C$9, $D$9, 100%, $F$9) + CHOOSE(CONTROL!$C$27, 0.0021, 0)</f>
        <v>62.808</v>
      </c>
      <c r="G299" s="14">
        <f>63.0773 * CHOOSE(CONTROL!$C$9, $D$9, 100%, $F$9) + CHOOSE(CONTROL!$C$27, 0.0021, 0)</f>
        <v>63.0794</v>
      </c>
      <c r="H299" s="14">
        <f>62.9425 * CHOOSE(CONTROL!$C$9, $D$9, 100%, $F$9) + CHOOSE(CONTROL!$C$27, 0.0021, 0)</f>
        <v>62.944600000000001</v>
      </c>
      <c r="I299" s="14">
        <f>62.9425 * CHOOSE(CONTROL!$C$9, $D$9, 100%, $F$9) + CHOOSE(CONTROL!$C$27, 0.0021, 0)</f>
        <v>62.944600000000001</v>
      </c>
      <c r="J299" s="14">
        <f>62.9425 * CHOOSE(CONTROL!$C$9, $D$9, 100%, $F$9) + CHOOSE(CONTROL!$C$27, 0.0021, 0)</f>
        <v>62.944600000000001</v>
      </c>
      <c r="K299" s="14">
        <f>62.9425 * CHOOSE(CONTROL!$C$9, $D$9, 100%, $F$9) + CHOOSE(CONTROL!$C$27, 0.0021, 0)</f>
        <v>62.944600000000001</v>
      </c>
      <c r="L299" s="14"/>
    </row>
    <row r="300" spans="1:12" ht="15" x14ac:dyDescent="0.2">
      <c r="A300" s="34">
        <v>50041</v>
      </c>
      <c r="B300" s="14">
        <f>62.6027 * CHOOSE(CONTROL!$C$9, $D$9, 100%, $F$9) + CHOOSE(CONTROL!$C$27, 0.0021, 0)</f>
        <v>62.604799999999997</v>
      </c>
      <c r="C300" s="14">
        <f>62.1704 * CHOOSE(CONTROL!$C$9, $D$9, 100%, $F$9) + CHOOSE(CONTROL!$C$27, 0.0021, 0)</f>
        <v>62.172499999999999</v>
      </c>
      <c r="D300" s="14">
        <f>62.1704 * CHOOSE(CONTROL!$C$9, $D$9, 100%, $F$9) + CHOOSE(CONTROL!$C$27, 0.0021, 0)</f>
        <v>62.172499999999999</v>
      </c>
      <c r="E300" s="14">
        <f>62.0338 * CHOOSE(CONTROL!$C$9, $D$9, 100%, $F$9) + CHOOSE(CONTROL!$C$27, 0.0021, 0)</f>
        <v>62.035899999999998</v>
      </c>
      <c r="F300" s="14">
        <f>62.0338 * CHOOSE(CONTROL!$C$9, $D$9, 100%, $F$9) + CHOOSE(CONTROL!$C$27, 0.0021, 0)</f>
        <v>62.035899999999998</v>
      </c>
      <c r="G300" s="14">
        <f>62.3051 * CHOOSE(CONTROL!$C$9, $D$9, 100%, $F$9) + CHOOSE(CONTROL!$C$27, 0.0021, 0)</f>
        <v>62.307200000000002</v>
      </c>
      <c r="H300" s="14">
        <f>62.1704 * CHOOSE(CONTROL!$C$9, $D$9, 100%, $F$9) + CHOOSE(CONTROL!$C$27, 0.0021, 0)</f>
        <v>62.172499999999999</v>
      </c>
      <c r="I300" s="14">
        <f>62.1704 * CHOOSE(CONTROL!$C$9, $D$9, 100%, $F$9) + CHOOSE(CONTROL!$C$27, 0.0021, 0)</f>
        <v>62.172499999999999</v>
      </c>
      <c r="J300" s="14">
        <f>62.1704 * CHOOSE(CONTROL!$C$9, $D$9, 100%, $F$9) + CHOOSE(CONTROL!$C$27, 0.0021, 0)</f>
        <v>62.172499999999999</v>
      </c>
      <c r="K300" s="14">
        <f>62.1704 * CHOOSE(CONTROL!$C$9, $D$9, 100%, $F$9) + CHOOSE(CONTROL!$C$27, 0.0021, 0)</f>
        <v>62.172499999999999</v>
      </c>
      <c r="L300" s="14"/>
    </row>
    <row r="301" spans="1:12" ht="15" x14ac:dyDescent="0.2">
      <c r="A301" s="34">
        <v>50072</v>
      </c>
      <c r="B301" s="14">
        <f>60.8968 * CHOOSE(CONTROL!$C$9, $D$9, 100%, $F$9) + CHOOSE(CONTROL!$C$27, 0.0021, 0)</f>
        <v>60.898899999999998</v>
      </c>
      <c r="C301" s="14">
        <f>60.4645 * CHOOSE(CONTROL!$C$9, $D$9, 100%, $F$9) + CHOOSE(CONTROL!$C$27, 0.0021, 0)</f>
        <v>60.4666</v>
      </c>
      <c r="D301" s="14">
        <f>60.4645 * CHOOSE(CONTROL!$C$9, $D$9, 100%, $F$9) + CHOOSE(CONTROL!$C$27, 0.0021, 0)</f>
        <v>60.4666</v>
      </c>
      <c r="E301" s="14">
        <f>60.3279 * CHOOSE(CONTROL!$C$9, $D$9, 100%, $F$9) + CHOOSE(CONTROL!$C$27, 0.0021, 0)</f>
        <v>60.33</v>
      </c>
      <c r="F301" s="14">
        <f>60.3279 * CHOOSE(CONTROL!$C$9, $D$9, 100%, $F$9) + CHOOSE(CONTROL!$C$27, 0.0021, 0)</f>
        <v>60.33</v>
      </c>
      <c r="G301" s="14">
        <f>60.5992 * CHOOSE(CONTROL!$C$9, $D$9, 100%, $F$9) + CHOOSE(CONTROL!$C$27, 0.0021, 0)</f>
        <v>60.601300000000002</v>
      </c>
      <c r="H301" s="14">
        <f>60.4645 * CHOOSE(CONTROL!$C$9, $D$9, 100%, $F$9) + CHOOSE(CONTROL!$C$27, 0.0021, 0)</f>
        <v>60.4666</v>
      </c>
      <c r="I301" s="14">
        <f>60.4645 * CHOOSE(CONTROL!$C$9, $D$9, 100%, $F$9) + CHOOSE(CONTROL!$C$27, 0.0021, 0)</f>
        <v>60.4666</v>
      </c>
      <c r="J301" s="14">
        <f>60.4645 * CHOOSE(CONTROL!$C$9, $D$9, 100%, $F$9) + CHOOSE(CONTROL!$C$27, 0.0021, 0)</f>
        <v>60.4666</v>
      </c>
      <c r="K301" s="14">
        <f>60.4645 * CHOOSE(CONTROL!$C$9, $D$9, 100%, $F$9) + CHOOSE(CONTROL!$C$27, 0.0021, 0)</f>
        <v>60.4666</v>
      </c>
      <c r="L301" s="14"/>
    </row>
    <row r="302" spans="1:12" ht="15" x14ac:dyDescent="0.2">
      <c r="A302" s="34">
        <v>50100</v>
      </c>
      <c r="B302" s="14">
        <f>60.1926 * CHOOSE(CONTROL!$C$9, $D$9, 100%, $F$9) + CHOOSE(CONTROL!$C$27, 0.0021, 0)</f>
        <v>60.194699999999997</v>
      </c>
      <c r="C302" s="14">
        <f>59.7603 * CHOOSE(CONTROL!$C$9, $D$9, 100%, $F$9) + CHOOSE(CONTROL!$C$27, 0.0021, 0)</f>
        <v>59.7624</v>
      </c>
      <c r="D302" s="14">
        <f>59.7603 * CHOOSE(CONTROL!$C$9, $D$9, 100%, $F$9) + CHOOSE(CONTROL!$C$27, 0.0021, 0)</f>
        <v>59.7624</v>
      </c>
      <c r="E302" s="14">
        <f>59.6237 * CHOOSE(CONTROL!$C$9, $D$9, 100%, $F$9) + CHOOSE(CONTROL!$C$27, 0.0021, 0)</f>
        <v>59.625799999999998</v>
      </c>
      <c r="F302" s="14">
        <f>59.6237 * CHOOSE(CONTROL!$C$9, $D$9, 100%, $F$9) + CHOOSE(CONTROL!$C$27, 0.0021, 0)</f>
        <v>59.625799999999998</v>
      </c>
      <c r="G302" s="14">
        <f>59.895 * CHOOSE(CONTROL!$C$9, $D$9, 100%, $F$9) + CHOOSE(CONTROL!$C$27, 0.0021, 0)</f>
        <v>59.897100000000002</v>
      </c>
      <c r="H302" s="14">
        <f>59.7603 * CHOOSE(CONTROL!$C$9, $D$9, 100%, $F$9) + CHOOSE(CONTROL!$C$27, 0.0021, 0)</f>
        <v>59.7624</v>
      </c>
      <c r="I302" s="14">
        <f>59.7603 * CHOOSE(CONTROL!$C$9, $D$9, 100%, $F$9) + CHOOSE(CONTROL!$C$27, 0.0021, 0)</f>
        <v>59.7624</v>
      </c>
      <c r="J302" s="14">
        <f>59.7603 * CHOOSE(CONTROL!$C$9, $D$9, 100%, $F$9) + CHOOSE(CONTROL!$C$27, 0.0021, 0)</f>
        <v>59.7624</v>
      </c>
      <c r="K302" s="14">
        <f>59.7603 * CHOOSE(CONTROL!$C$9, $D$9, 100%, $F$9) + CHOOSE(CONTROL!$C$27, 0.0021, 0)</f>
        <v>59.7624</v>
      </c>
      <c r="L302" s="14"/>
    </row>
    <row r="303" spans="1:12" ht="15" x14ac:dyDescent="0.2">
      <c r="A303" s="34">
        <v>50131</v>
      </c>
      <c r="B303" s="14">
        <f>59.3517 * CHOOSE(CONTROL!$C$9, $D$9, 100%, $F$9) + CHOOSE(CONTROL!$C$27, 0.0021, 0)</f>
        <v>59.3538</v>
      </c>
      <c r="C303" s="14">
        <f>58.9195 * CHOOSE(CONTROL!$C$9, $D$9, 100%, $F$9) + CHOOSE(CONTROL!$C$27, 0.0021, 0)</f>
        <v>58.921599999999998</v>
      </c>
      <c r="D303" s="14">
        <f>58.9195 * CHOOSE(CONTROL!$C$9, $D$9, 100%, $F$9) + CHOOSE(CONTROL!$C$27, 0.0021, 0)</f>
        <v>58.921599999999998</v>
      </c>
      <c r="E303" s="14">
        <f>58.7828 * CHOOSE(CONTROL!$C$9, $D$9, 100%, $F$9) + CHOOSE(CONTROL!$C$27, 0.0021, 0)</f>
        <v>58.7849</v>
      </c>
      <c r="F303" s="14">
        <f>58.7828 * CHOOSE(CONTROL!$C$9, $D$9, 100%, $F$9) + CHOOSE(CONTROL!$C$27, 0.0021, 0)</f>
        <v>58.7849</v>
      </c>
      <c r="G303" s="14">
        <f>59.0542 * CHOOSE(CONTROL!$C$9, $D$9, 100%, $F$9) + CHOOSE(CONTROL!$C$27, 0.0021, 0)</f>
        <v>59.0563</v>
      </c>
      <c r="H303" s="14">
        <f>58.9195 * CHOOSE(CONTROL!$C$9, $D$9, 100%, $F$9) + CHOOSE(CONTROL!$C$27, 0.0021, 0)</f>
        <v>58.921599999999998</v>
      </c>
      <c r="I303" s="14">
        <f>58.9195 * CHOOSE(CONTROL!$C$9, $D$9, 100%, $F$9) + CHOOSE(CONTROL!$C$27, 0.0021, 0)</f>
        <v>58.921599999999998</v>
      </c>
      <c r="J303" s="14">
        <f>58.9195 * CHOOSE(CONTROL!$C$9, $D$9, 100%, $F$9) + CHOOSE(CONTROL!$C$27, 0.0021, 0)</f>
        <v>58.921599999999998</v>
      </c>
      <c r="K303" s="14">
        <f>58.9195 * CHOOSE(CONTROL!$C$9, $D$9, 100%, $F$9) + CHOOSE(CONTROL!$C$27, 0.0021, 0)</f>
        <v>58.921599999999998</v>
      </c>
      <c r="L303" s="14"/>
    </row>
    <row r="304" spans="1:12" ht="15" x14ac:dyDescent="0.2">
      <c r="A304" s="34">
        <v>50161</v>
      </c>
      <c r="B304" s="14">
        <f>60.55 * CHOOSE(CONTROL!$C$9, $D$9, 100%, $F$9) + CHOOSE(CONTROL!$C$27, 0.0021, 0)</f>
        <v>60.552099999999996</v>
      </c>
      <c r="C304" s="14">
        <f>60.1178 * CHOOSE(CONTROL!$C$9, $D$9, 100%, $F$9) + CHOOSE(CONTROL!$C$27, 0.0021, 0)</f>
        <v>60.119900000000001</v>
      </c>
      <c r="D304" s="14">
        <f>60.1178 * CHOOSE(CONTROL!$C$9, $D$9, 100%, $F$9) + CHOOSE(CONTROL!$C$27, 0.0021, 0)</f>
        <v>60.119900000000001</v>
      </c>
      <c r="E304" s="14">
        <f>59.9811 * CHOOSE(CONTROL!$C$9, $D$9, 100%, $F$9) + CHOOSE(CONTROL!$C$27, 0.0021, 0)</f>
        <v>59.983199999999997</v>
      </c>
      <c r="F304" s="14">
        <f>59.9811 * CHOOSE(CONTROL!$C$9, $D$9, 100%, $F$9) + CHOOSE(CONTROL!$C$27, 0.0021, 0)</f>
        <v>59.983199999999997</v>
      </c>
      <c r="G304" s="14">
        <f>60.2525 * CHOOSE(CONTROL!$C$9, $D$9, 100%, $F$9) + CHOOSE(CONTROL!$C$27, 0.0021, 0)</f>
        <v>60.254599999999996</v>
      </c>
      <c r="H304" s="14">
        <f>60.1178 * CHOOSE(CONTROL!$C$9, $D$9, 100%, $F$9) + CHOOSE(CONTROL!$C$27, 0.0021, 0)</f>
        <v>60.119900000000001</v>
      </c>
      <c r="I304" s="14">
        <f>60.1178 * CHOOSE(CONTROL!$C$9, $D$9, 100%, $F$9) + CHOOSE(CONTROL!$C$27, 0.0021, 0)</f>
        <v>60.119900000000001</v>
      </c>
      <c r="J304" s="14">
        <f>60.1178 * CHOOSE(CONTROL!$C$9, $D$9, 100%, $F$9) + CHOOSE(CONTROL!$C$27, 0.0021, 0)</f>
        <v>60.119900000000001</v>
      </c>
      <c r="K304" s="14">
        <f>60.1178 * CHOOSE(CONTROL!$C$9, $D$9, 100%, $F$9) + CHOOSE(CONTROL!$C$27, 0.0021, 0)</f>
        <v>60.119900000000001</v>
      </c>
      <c r="L304" s="14"/>
    </row>
    <row r="305" spans="1:12" ht="15" x14ac:dyDescent="0.2">
      <c r="A305" s="34">
        <v>50192</v>
      </c>
      <c r="B305" s="14">
        <f>61.2677 * CHOOSE(CONTROL!$C$9, $D$9, 100%, $F$9) + CHOOSE(CONTROL!$C$27, 0.0021, 0)</f>
        <v>61.269799999999996</v>
      </c>
      <c r="C305" s="14">
        <f>60.8355 * CHOOSE(CONTROL!$C$9, $D$9, 100%, $F$9) + CHOOSE(CONTROL!$C$27, 0.0021, 0)</f>
        <v>60.837600000000002</v>
      </c>
      <c r="D305" s="14">
        <f>60.8355 * CHOOSE(CONTROL!$C$9, $D$9, 100%, $F$9) + CHOOSE(CONTROL!$C$27, 0.0021, 0)</f>
        <v>60.837600000000002</v>
      </c>
      <c r="E305" s="14">
        <f>60.6988 * CHOOSE(CONTROL!$C$9, $D$9, 100%, $F$9) + CHOOSE(CONTROL!$C$27, 0.0021, 0)</f>
        <v>60.700899999999997</v>
      </c>
      <c r="F305" s="14">
        <f>60.6988 * CHOOSE(CONTROL!$C$9, $D$9, 100%, $F$9) + CHOOSE(CONTROL!$C$27, 0.0021, 0)</f>
        <v>60.700899999999997</v>
      </c>
      <c r="G305" s="14">
        <f>60.9702 * CHOOSE(CONTROL!$C$9, $D$9, 100%, $F$9) + CHOOSE(CONTROL!$C$27, 0.0021, 0)</f>
        <v>60.972299999999997</v>
      </c>
      <c r="H305" s="14">
        <f>60.8355 * CHOOSE(CONTROL!$C$9, $D$9, 100%, $F$9) + CHOOSE(CONTROL!$C$27, 0.0021, 0)</f>
        <v>60.837600000000002</v>
      </c>
      <c r="I305" s="14">
        <f>60.8355 * CHOOSE(CONTROL!$C$9, $D$9, 100%, $F$9) + CHOOSE(CONTROL!$C$27, 0.0021, 0)</f>
        <v>60.837600000000002</v>
      </c>
      <c r="J305" s="14">
        <f>60.8355 * CHOOSE(CONTROL!$C$9, $D$9, 100%, $F$9) + CHOOSE(CONTROL!$C$27, 0.0021, 0)</f>
        <v>60.837600000000002</v>
      </c>
      <c r="K305" s="14">
        <f>60.8355 * CHOOSE(CONTROL!$C$9, $D$9, 100%, $F$9) + CHOOSE(CONTROL!$C$27, 0.0021, 0)</f>
        <v>60.837600000000002</v>
      </c>
      <c r="L305" s="14"/>
    </row>
    <row r="306" spans="1:12" ht="15" x14ac:dyDescent="0.2">
      <c r="A306" s="34">
        <v>50222</v>
      </c>
      <c r="B306" s="14">
        <f>62.4517 * CHOOSE(CONTROL!$C$9, $D$9, 100%, $F$9) + CHOOSE(CONTROL!$C$27, 0.0021, 0)</f>
        <v>62.453800000000001</v>
      </c>
      <c r="C306" s="14">
        <f>62.0195 * CHOOSE(CONTROL!$C$9, $D$9, 100%, $F$9) + CHOOSE(CONTROL!$C$27, 0.0021, 0)</f>
        <v>62.021599999999999</v>
      </c>
      <c r="D306" s="14">
        <f>62.0195 * CHOOSE(CONTROL!$C$9, $D$9, 100%, $F$9) + CHOOSE(CONTROL!$C$27, 0.0021, 0)</f>
        <v>62.021599999999999</v>
      </c>
      <c r="E306" s="14">
        <f>61.8828 * CHOOSE(CONTROL!$C$9, $D$9, 100%, $F$9) + CHOOSE(CONTROL!$C$27, 0.0021, 0)</f>
        <v>61.884900000000002</v>
      </c>
      <c r="F306" s="14">
        <f>61.8828 * CHOOSE(CONTROL!$C$9, $D$9, 100%, $F$9) + CHOOSE(CONTROL!$C$27, 0.0021, 0)</f>
        <v>61.884900000000002</v>
      </c>
      <c r="G306" s="14">
        <f>62.1542 * CHOOSE(CONTROL!$C$9, $D$9, 100%, $F$9) + CHOOSE(CONTROL!$C$27, 0.0021, 0)</f>
        <v>62.156300000000002</v>
      </c>
      <c r="H306" s="14">
        <f>62.0195 * CHOOSE(CONTROL!$C$9, $D$9, 100%, $F$9) + CHOOSE(CONTROL!$C$27, 0.0021, 0)</f>
        <v>62.021599999999999</v>
      </c>
      <c r="I306" s="14">
        <f>62.0195 * CHOOSE(CONTROL!$C$9, $D$9, 100%, $F$9) + CHOOSE(CONTROL!$C$27, 0.0021, 0)</f>
        <v>62.021599999999999</v>
      </c>
      <c r="J306" s="14">
        <f>62.0195 * CHOOSE(CONTROL!$C$9, $D$9, 100%, $F$9) + CHOOSE(CONTROL!$C$27, 0.0021, 0)</f>
        <v>62.021599999999999</v>
      </c>
      <c r="K306" s="14">
        <f>62.0195 * CHOOSE(CONTROL!$C$9, $D$9, 100%, $F$9) + CHOOSE(CONTROL!$C$27, 0.0021, 0)</f>
        <v>62.021599999999999</v>
      </c>
      <c r="L306" s="14"/>
    </row>
    <row r="307" spans="1:12" ht="15" x14ac:dyDescent="0.2">
      <c r="A307" s="34">
        <v>50253</v>
      </c>
      <c r="B307" s="14">
        <f>62.8131 * CHOOSE(CONTROL!$C$9, $D$9, 100%, $F$9) + CHOOSE(CONTROL!$C$27, 0.0021, 0)</f>
        <v>62.815199999999997</v>
      </c>
      <c r="C307" s="14">
        <f>62.3808 * CHOOSE(CONTROL!$C$9, $D$9, 100%, $F$9) + CHOOSE(CONTROL!$C$27, 0.0021, 0)</f>
        <v>62.382899999999999</v>
      </c>
      <c r="D307" s="14">
        <f>62.3808 * CHOOSE(CONTROL!$C$9, $D$9, 100%, $F$9) + CHOOSE(CONTROL!$C$27, 0.0021, 0)</f>
        <v>62.382899999999999</v>
      </c>
      <c r="E307" s="14">
        <f>62.2442 * CHOOSE(CONTROL!$C$9, $D$9, 100%, $F$9) + CHOOSE(CONTROL!$C$27, 0.0021, 0)</f>
        <v>62.246299999999998</v>
      </c>
      <c r="F307" s="14">
        <f>62.2442 * CHOOSE(CONTROL!$C$9, $D$9, 100%, $F$9) + CHOOSE(CONTROL!$C$27, 0.0021, 0)</f>
        <v>62.246299999999998</v>
      </c>
      <c r="G307" s="14">
        <f>62.5156 * CHOOSE(CONTROL!$C$9, $D$9, 100%, $F$9) + CHOOSE(CONTROL!$C$27, 0.0021, 0)</f>
        <v>62.517699999999998</v>
      </c>
      <c r="H307" s="14">
        <f>62.3808 * CHOOSE(CONTROL!$C$9, $D$9, 100%, $F$9) + CHOOSE(CONTROL!$C$27, 0.0021, 0)</f>
        <v>62.382899999999999</v>
      </c>
      <c r="I307" s="14">
        <f>62.3808 * CHOOSE(CONTROL!$C$9, $D$9, 100%, $F$9) + CHOOSE(CONTROL!$C$27, 0.0021, 0)</f>
        <v>62.382899999999999</v>
      </c>
      <c r="J307" s="14">
        <f>62.3808 * CHOOSE(CONTROL!$C$9, $D$9, 100%, $F$9) + CHOOSE(CONTROL!$C$27, 0.0021, 0)</f>
        <v>62.382899999999999</v>
      </c>
      <c r="K307" s="14">
        <f>62.3808 * CHOOSE(CONTROL!$C$9, $D$9, 100%, $F$9) + CHOOSE(CONTROL!$C$27, 0.0021, 0)</f>
        <v>62.382899999999999</v>
      </c>
      <c r="L307" s="14"/>
    </row>
    <row r="308" spans="1:12" ht="15" x14ac:dyDescent="0.2">
      <c r="A308" s="34">
        <v>50284</v>
      </c>
      <c r="B308" s="14">
        <f>64.0438 * CHOOSE(CONTROL!$C$9, $D$9, 100%, $F$9) + CHOOSE(CONTROL!$C$27, 0.0021, 0)</f>
        <v>64.045900000000003</v>
      </c>
      <c r="C308" s="14">
        <f>63.6115 * CHOOSE(CONTROL!$C$9, $D$9, 100%, $F$9) + CHOOSE(CONTROL!$C$27, 0.0021, 0)</f>
        <v>63.613599999999998</v>
      </c>
      <c r="D308" s="14">
        <f>63.6115 * CHOOSE(CONTROL!$C$9, $D$9, 100%, $F$9) + CHOOSE(CONTROL!$C$27, 0.0021, 0)</f>
        <v>63.613599999999998</v>
      </c>
      <c r="E308" s="14">
        <f>63.4749 * CHOOSE(CONTROL!$C$9, $D$9, 100%, $F$9) + CHOOSE(CONTROL!$C$27, 0.0021, 0)</f>
        <v>63.476999999999997</v>
      </c>
      <c r="F308" s="14">
        <f>63.4749 * CHOOSE(CONTROL!$C$9, $D$9, 100%, $F$9) + CHOOSE(CONTROL!$C$27, 0.0021, 0)</f>
        <v>63.476999999999997</v>
      </c>
      <c r="G308" s="14">
        <f>63.7462 * CHOOSE(CONTROL!$C$9, $D$9, 100%, $F$9) + CHOOSE(CONTROL!$C$27, 0.0021, 0)</f>
        <v>63.7483</v>
      </c>
      <c r="H308" s="14">
        <f>63.6115 * CHOOSE(CONTROL!$C$9, $D$9, 100%, $F$9) + CHOOSE(CONTROL!$C$27, 0.0021, 0)</f>
        <v>63.613599999999998</v>
      </c>
      <c r="I308" s="14">
        <f>63.6115 * CHOOSE(CONTROL!$C$9, $D$9, 100%, $F$9) + CHOOSE(CONTROL!$C$27, 0.0021, 0)</f>
        <v>63.613599999999998</v>
      </c>
      <c r="J308" s="14">
        <f>63.6115 * CHOOSE(CONTROL!$C$9, $D$9, 100%, $F$9) + CHOOSE(CONTROL!$C$27, 0.0021, 0)</f>
        <v>63.613599999999998</v>
      </c>
      <c r="K308" s="14">
        <f>63.6115 * CHOOSE(CONTROL!$C$9, $D$9, 100%, $F$9) + CHOOSE(CONTROL!$C$27, 0.0021, 0)</f>
        <v>63.613599999999998</v>
      </c>
      <c r="L308" s="14"/>
    </row>
    <row r="309" spans="1:12" ht="15" x14ac:dyDescent="0.2">
      <c r="A309" s="34">
        <v>50314</v>
      </c>
      <c r="B309" s="14">
        <f>65.6016 * CHOOSE(CONTROL!$C$9, $D$9, 100%, $F$9) + CHOOSE(CONTROL!$C$27, 0.0021, 0)</f>
        <v>65.603700000000003</v>
      </c>
      <c r="C309" s="14">
        <f>65.1694 * CHOOSE(CONTROL!$C$9, $D$9, 100%, $F$9) + CHOOSE(CONTROL!$C$27, 0.0021, 0)</f>
        <v>65.171499999999995</v>
      </c>
      <c r="D309" s="14">
        <f>65.1694 * CHOOSE(CONTROL!$C$9, $D$9, 100%, $F$9) + CHOOSE(CONTROL!$C$27, 0.0021, 0)</f>
        <v>65.171499999999995</v>
      </c>
      <c r="E309" s="14">
        <f>65.0327 * CHOOSE(CONTROL!$C$9, $D$9, 100%, $F$9) + CHOOSE(CONTROL!$C$27, 0.0021, 0)</f>
        <v>65.034800000000004</v>
      </c>
      <c r="F309" s="14">
        <f>65.0327 * CHOOSE(CONTROL!$C$9, $D$9, 100%, $F$9) + CHOOSE(CONTROL!$C$27, 0.0021, 0)</f>
        <v>65.034800000000004</v>
      </c>
      <c r="G309" s="14">
        <f>65.3041 * CHOOSE(CONTROL!$C$9, $D$9, 100%, $F$9) + CHOOSE(CONTROL!$C$27, 0.0021, 0)</f>
        <v>65.306200000000004</v>
      </c>
      <c r="H309" s="14">
        <f>65.1694 * CHOOSE(CONTROL!$C$9, $D$9, 100%, $F$9) + CHOOSE(CONTROL!$C$27, 0.0021, 0)</f>
        <v>65.171499999999995</v>
      </c>
      <c r="I309" s="14">
        <f>65.1694 * CHOOSE(CONTROL!$C$9, $D$9, 100%, $F$9) + CHOOSE(CONTROL!$C$27, 0.0021, 0)</f>
        <v>65.171499999999995</v>
      </c>
      <c r="J309" s="14">
        <f>65.1694 * CHOOSE(CONTROL!$C$9, $D$9, 100%, $F$9) + CHOOSE(CONTROL!$C$27, 0.0021, 0)</f>
        <v>65.171499999999995</v>
      </c>
      <c r="K309" s="14">
        <f>65.1694 * CHOOSE(CONTROL!$C$9, $D$9, 100%, $F$9) + CHOOSE(CONTROL!$C$27, 0.0021, 0)</f>
        <v>65.171499999999995</v>
      </c>
      <c r="L309" s="14"/>
    </row>
    <row r="310" spans="1:12" ht="15" x14ac:dyDescent="0.2">
      <c r="A310" s="34">
        <v>50345</v>
      </c>
      <c r="B310" s="14">
        <f>65.7479 * CHOOSE(CONTROL!$C$9, $D$9, 100%, $F$9) + CHOOSE(CONTROL!$C$27, 0.0021, 0)</f>
        <v>65.75</v>
      </c>
      <c r="C310" s="14">
        <f>65.3156 * CHOOSE(CONTROL!$C$9, $D$9, 100%, $F$9) + CHOOSE(CONTROL!$C$27, 0.0021, 0)</f>
        <v>65.317700000000002</v>
      </c>
      <c r="D310" s="14">
        <f>65.3156 * CHOOSE(CONTROL!$C$9, $D$9, 100%, $F$9) + CHOOSE(CONTROL!$C$27, 0.0021, 0)</f>
        <v>65.317700000000002</v>
      </c>
      <c r="E310" s="14">
        <f>65.179 * CHOOSE(CONTROL!$C$9, $D$9, 100%, $F$9) + CHOOSE(CONTROL!$C$27, 0.0021, 0)</f>
        <v>65.181100000000001</v>
      </c>
      <c r="F310" s="14">
        <f>65.179 * CHOOSE(CONTROL!$C$9, $D$9, 100%, $F$9) + CHOOSE(CONTROL!$C$27, 0.0021, 0)</f>
        <v>65.181100000000001</v>
      </c>
      <c r="G310" s="14">
        <f>65.4503 * CHOOSE(CONTROL!$C$9, $D$9, 100%, $F$9) + CHOOSE(CONTROL!$C$27, 0.0021, 0)</f>
        <v>65.452399999999997</v>
      </c>
      <c r="H310" s="14">
        <f>65.3156 * CHOOSE(CONTROL!$C$9, $D$9, 100%, $F$9) + CHOOSE(CONTROL!$C$27, 0.0021, 0)</f>
        <v>65.317700000000002</v>
      </c>
      <c r="I310" s="14">
        <f>65.3156 * CHOOSE(CONTROL!$C$9, $D$9, 100%, $F$9) + CHOOSE(CONTROL!$C$27, 0.0021, 0)</f>
        <v>65.317700000000002</v>
      </c>
      <c r="J310" s="14">
        <f>65.3156 * CHOOSE(CONTROL!$C$9, $D$9, 100%, $F$9) + CHOOSE(CONTROL!$C$27, 0.0021, 0)</f>
        <v>65.317700000000002</v>
      </c>
      <c r="K310" s="14">
        <f>65.3156 * CHOOSE(CONTROL!$C$9, $D$9, 100%, $F$9) + CHOOSE(CONTROL!$C$27, 0.0021, 0)</f>
        <v>65.317700000000002</v>
      </c>
      <c r="L310" s="14"/>
    </row>
    <row r="311" spans="1:12" ht="15" x14ac:dyDescent="0.2">
      <c r="A311" s="34">
        <v>50375</v>
      </c>
      <c r="B311" s="14">
        <f>64.5036 * CHOOSE(CONTROL!$C$9, $D$9, 100%, $F$9) + CHOOSE(CONTROL!$C$27, 0.0021, 0)</f>
        <v>64.505700000000004</v>
      </c>
      <c r="C311" s="14">
        <f>64.0714 * CHOOSE(CONTROL!$C$9, $D$9, 100%, $F$9) + CHOOSE(CONTROL!$C$27, 0.0021, 0)</f>
        <v>64.073499999999996</v>
      </c>
      <c r="D311" s="14">
        <f>64.0714 * CHOOSE(CONTROL!$C$9, $D$9, 100%, $F$9) + CHOOSE(CONTROL!$C$27, 0.0021, 0)</f>
        <v>64.073499999999996</v>
      </c>
      <c r="E311" s="14">
        <f>63.9347 * CHOOSE(CONTROL!$C$9, $D$9, 100%, $F$9) + CHOOSE(CONTROL!$C$27, 0.0021, 0)</f>
        <v>63.936799999999998</v>
      </c>
      <c r="F311" s="14">
        <f>63.9347 * CHOOSE(CONTROL!$C$9, $D$9, 100%, $F$9) + CHOOSE(CONTROL!$C$27, 0.0021, 0)</f>
        <v>63.936799999999998</v>
      </c>
      <c r="G311" s="14">
        <f>64.2061 * CHOOSE(CONTROL!$C$9, $D$9, 100%, $F$9) + CHOOSE(CONTROL!$C$27, 0.0021, 0)</f>
        <v>64.208200000000005</v>
      </c>
      <c r="H311" s="14">
        <f>64.0714 * CHOOSE(CONTROL!$C$9, $D$9, 100%, $F$9) + CHOOSE(CONTROL!$C$27, 0.0021, 0)</f>
        <v>64.073499999999996</v>
      </c>
      <c r="I311" s="14">
        <f>64.0714 * CHOOSE(CONTROL!$C$9, $D$9, 100%, $F$9) + CHOOSE(CONTROL!$C$27, 0.0021, 0)</f>
        <v>64.073499999999996</v>
      </c>
      <c r="J311" s="14">
        <f>64.0714 * CHOOSE(CONTROL!$C$9, $D$9, 100%, $F$9) + CHOOSE(CONTROL!$C$27, 0.0021, 0)</f>
        <v>64.073499999999996</v>
      </c>
      <c r="K311" s="14">
        <f>64.0714 * CHOOSE(CONTROL!$C$9, $D$9, 100%, $F$9) + CHOOSE(CONTROL!$C$27, 0.0021, 0)</f>
        <v>64.073499999999996</v>
      </c>
      <c r="L311" s="14"/>
    </row>
    <row r="312" spans="1:12" ht="15.75" x14ac:dyDescent="0.25">
      <c r="A312" s="33">
        <v>50436</v>
      </c>
      <c r="B312" s="14">
        <f>63.7172 * CHOOSE(CONTROL!$C$9, $D$9, 100%, $F$9) + CHOOSE(CONTROL!$C$27, 0.0021, 0)</f>
        <v>63.719299999999997</v>
      </c>
      <c r="C312" s="14">
        <f>63.285 * CHOOSE(CONTROL!$C$9, $D$9, 100%, $F$9) + CHOOSE(CONTROL!$C$27, 0.0021, 0)</f>
        <v>63.287099999999995</v>
      </c>
      <c r="D312" s="14">
        <f>63.285 * CHOOSE(CONTROL!$C$9, $D$9, 100%, $F$9) + CHOOSE(CONTROL!$C$27, 0.0021, 0)</f>
        <v>63.287099999999995</v>
      </c>
      <c r="E312" s="14">
        <f>63.1483 * CHOOSE(CONTROL!$C$9, $D$9, 100%, $F$9) + CHOOSE(CONTROL!$C$27, 0.0021, 0)</f>
        <v>63.150399999999998</v>
      </c>
      <c r="F312" s="14">
        <f>63.1483 * CHOOSE(CONTROL!$C$9, $D$9, 100%, $F$9) + CHOOSE(CONTROL!$C$27, 0.0021, 0)</f>
        <v>63.150399999999998</v>
      </c>
      <c r="G312" s="14">
        <f>63.4197 * CHOOSE(CONTROL!$C$9, $D$9, 100%, $F$9) + CHOOSE(CONTROL!$C$27, 0.0021, 0)</f>
        <v>63.421799999999998</v>
      </c>
      <c r="H312" s="14">
        <f>63.285 * CHOOSE(CONTROL!$C$9, $D$9, 100%, $F$9) + CHOOSE(CONTROL!$C$27, 0.0021, 0)</f>
        <v>63.287099999999995</v>
      </c>
      <c r="I312" s="14">
        <f>63.285 * CHOOSE(CONTROL!$C$9, $D$9, 100%, $F$9) + CHOOSE(CONTROL!$C$27, 0.0021, 0)</f>
        <v>63.287099999999995</v>
      </c>
      <c r="J312" s="14">
        <f>63.285 * CHOOSE(CONTROL!$C$9, $D$9, 100%, $F$9) + CHOOSE(CONTROL!$C$27, 0.0021, 0)</f>
        <v>63.287099999999995</v>
      </c>
      <c r="K312" s="14">
        <f>63.285 * CHOOSE(CONTROL!$C$9, $D$9, 100%, $F$9) + CHOOSE(CONTROL!$C$27, 0.0021, 0)</f>
        <v>63.287099999999995</v>
      </c>
      <c r="L312" s="14"/>
    </row>
    <row r="313" spans="1:12" ht="15.75" x14ac:dyDescent="0.25">
      <c r="A313" s="33">
        <v>50464</v>
      </c>
      <c r="B313" s="14">
        <f>61.9798 * CHOOSE(CONTROL!$C$9, $D$9, 100%, $F$9) + CHOOSE(CONTROL!$C$27, 0.0021, 0)</f>
        <v>61.981899999999996</v>
      </c>
      <c r="C313" s="14">
        <f>61.5476 * CHOOSE(CONTROL!$C$9, $D$9, 100%, $F$9) + CHOOSE(CONTROL!$C$27, 0.0021, 0)</f>
        <v>61.549700000000001</v>
      </c>
      <c r="D313" s="14">
        <f>61.5476 * CHOOSE(CONTROL!$C$9, $D$9, 100%, $F$9) + CHOOSE(CONTROL!$C$27, 0.0021, 0)</f>
        <v>61.549700000000001</v>
      </c>
      <c r="E313" s="14">
        <f>61.4109 * CHOOSE(CONTROL!$C$9, $D$9, 100%, $F$9) + CHOOSE(CONTROL!$C$27, 0.0021, 0)</f>
        <v>61.412999999999997</v>
      </c>
      <c r="F313" s="14">
        <f>61.4109 * CHOOSE(CONTROL!$C$9, $D$9, 100%, $F$9) + CHOOSE(CONTROL!$C$27, 0.0021, 0)</f>
        <v>61.412999999999997</v>
      </c>
      <c r="G313" s="14">
        <f>61.6823 * CHOOSE(CONTROL!$C$9, $D$9, 100%, $F$9) + CHOOSE(CONTROL!$C$27, 0.0021, 0)</f>
        <v>61.684399999999997</v>
      </c>
      <c r="H313" s="14">
        <f>61.5476 * CHOOSE(CONTROL!$C$9, $D$9, 100%, $F$9) + CHOOSE(CONTROL!$C$27, 0.0021, 0)</f>
        <v>61.549700000000001</v>
      </c>
      <c r="I313" s="14">
        <f>61.5476 * CHOOSE(CONTROL!$C$9, $D$9, 100%, $F$9) + CHOOSE(CONTROL!$C$27, 0.0021, 0)</f>
        <v>61.549700000000001</v>
      </c>
      <c r="J313" s="14">
        <f>61.5476 * CHOOSE(CONTROL!$C$9, $D$9, 100%, $F$9) + CHOOSE(CONTROL!$C$27, 0.0021, 0)</f>
        <v>61.549700000000001</v>
      </c>
      <c r="K313" s="14">
        <f>61.5476 * CHOOSE(CONTROL!$C$9, $D$9, 100%, $F$9) + CHOOSE(CONTROL!$C$27, 0.0021, 0)</f>
        <v>61.549700000000001</v>
      </c>
      <c r="L313" s="14"/>
    </row>
    <row r="314" spans="1:12" ht="15.75" x14ac:dyDescent="0.25">
      <c r="A314" s="33">
        <v>50495</v>
      </c>
      <c r="B314" s="14">
        <f>61.2626 * CHOOSE(CONTROL!$C$9, $D$9, 100%, $F$9) + CHOOSE(CONTROL!$C$27, 0.0021, 0)</f>
        <v>61.264699999999998</v>
      </c>
      <c r="C314" s="14">
        <f>60.8304 * CHOOSE(CONTROL!$C$9, $D$9, 100%, $F$9) + CHOOSE(CONTROL!$C$27, 0.0021, 0)</f>
        <v>60.832499999999996</v>
      </c>
      <c r="D314" s="14">
        <f>60.8304 * CHOOSE(CONTROL!$C$9, $D$9, 100%, $F$9) + CHOOSE(CONTROL!$C$27, 0.0021, 0)</f>
        <v>60.832499999999996</v>
      </c>
      <c r="E314" s="14">
        <f>60.6937 * CHOOSE(CONTROL!$C$9, $D$9, 100%, $F$9) + CHOOSE(CONTROL!$C$27, 0.0021, 0)</f>
        <v>60.695799999999998</v>
      </c>
      <c r="F314" s="14">
        <f>60.6937 * CHOOSE(CONTROL!$C$9, $D$9, 100%, $F$9) + CHOOSE(CONTROL!$C$27, 0.0021, 0)</f>
        <v>60.695799999999998</v>
      </c>
      <c r="G314" s="14">
        <f>60.9651 * CHOOSE(CONTROL!$C$9, $D$9, 100%, $F$9) + CHOOSE(CONTROL!$C$27, 0.0021, 0)</f>
        <v>60.967199999999998</v>
      </c>
      <c r="H314" s="14">
        <f>60.8304 * CHOOSE(CONTROL!$C$9, $D$9, 100%, $F$9) + CHOOSE(CONTROL!$C$27, 0.0021, 0)</f>
        <v>60.832499999999996</v>
      </c>
      <c r="I314" s="14">
        <f>60.8304 * CHOOSE(CONTROL!$C$9, $D$9, 100%, $F$9) + CHOOSE(CONTROL!$C$27, 0.0021, 0)</f>
        <v>60.832499999999996</v>
      </c>
      <c r="J314" s="14">
        <f>60.8304 * CHOOSE(CONTROL!$C$9, $D$9, 100%, $F$9) + CHOOSE(CONTROL!$C$27, 0.0021, 0)</f>
        <v>60.832499999999996</v>
      </c>
      <c r="K314" s="14">
        <f>60.8304 * CHOOSE(CONTROL!$C$9, $D$9, 100%, $F$9) + CHOOSE(CONTROL!$C$27, 0.0021, 0)</f>
        <v>60.832499999999996</v>
      </c>
      <c r="L314" s="14"/>
    </row>
    <row r="315" spans="1:12" ht="15.75" x14ac:dyDescent="0.25">
      <c r="A315" s="33">
        <v>50525</v>
      </c>
      <c r="B315" s="14">
        <f>60.4062 * CHOOSE(CONTROL!$C$9, $D$9, 100%, $F$9) + CHOOSE(CONTROL!$C$27, 0.0021, 0)</f>
        <v>60.408299999999997</v>
      </c>
      <c r="C315" s="14">
        <f>59.974 * CHOOSE(CONTROL!$C$9, $D$9, 100%, $F$9) + CHOOSE(CONTROL!$C$27, 0.0021, 0)</f>
        <v>59.976099999999995</v>
      </c>
      <c r="D315" s="14">
        <f>59.974 * CHOOSE(CONTROL!$C$9, $D$9, 100%, $F$9) + CHOOSE(CONTROL!$C$27, 0.0021, 0)</f>
        <v>59.976099999999995</v>
      </c>
      <c r="E315" s="14">
        <f>59.8373 * CHOOSE(CONTROL!$C$9, $D$9, 100%, $F$9) + CHOOSE(CONTROL!$C$27, 0.0021, 0)</f>
        <v>59.839399999999998</v>
      </c>
      <c r="F315" s="14">
        <f>59.8373 * CHOOSE(CONTROL!$C$9, $D$9, 100%, $F$9) + CHOOSE(CONTROL!$C$27, 0.0021, 0)</f>
        <v>59.839399999999998</v>
      </c>
      <c r="G315" s="14">
        <f>60.1087 * CHOOSE(CONTROL!$C$9, $D$9, 100%, $F$9) + CHOOSE(CONTROL!$C$27, 0.0021, 0)</f>
        <v>60.110799999999998</v>
      </c>
      <c r="H315" s="14">
        <f>59.974 * CHOOSE(CONTROL!$C$9, $D$9, 100%, $F$9) + CHOOSE(CONTROL!$C$27, 0.0021, 0)</f>
        <v>59.976099999999995</v>
      </c>
      <c r="I315" s="14">
        <f>59.974 * CHOOSE(CONTROL!$C$9, $D$9, 100%, $F$9) + CHOOSE(CONTROL!$C$27, 0.0021, 0)</f>
        <v>59.976099999999995</v>
      </c>
      <c r="J315" s="14">
        <f>59.974 * CHOOSE(CONTROL!$C$9, $D$9, 100%, $F$9) + CHOOSE(CONTROL!$C$27, 0.0021, 0)</f>
        <v>59.976099999999995</v>
      </c>
      <c r="K315" s="14">
        <f>59.974 * CHOOSE(CONTROL!$C$9, $D$9, 100%, $F$9) + CHOOSE(CONTROL!$C$27, 0.0021, 0)</f>
        <v>59.976099999999995</v>
      </c>
      <c r="L315" s="14"/>
    </row>
    <row r="316" spans="1:12" ht="15.75" x14ac:dyDescent="0.25">
      <c r="A316" s="33">
        <v>50556</v>
      </c>
      <c r="B316" s="14">
        <f>61.6267 * CHOOSE(CONTROL!$C$9, $D$9, 100%, $F$9) + CHOOSE(CONTROL!$C$27, 0.0021, 0)</f>
        <v>61.628799999999998</v>
      </c>
      <c r="C316" s="14">
        <f>61.1944 * CHOOSE(CONTROL!$C$9, $D$9, 100%, $F$9) + CHOOSE(CONTROL!$C$27, 0.0021, 0)</f>
        <v>61.1965</v>
      </c>
      <c r="D316" s="14">
        <f>61.1944 * CHOOSE(CONTROL!$C$9, $D$9, 100%, $F$9) + CHOOSE(CONTROL!$C$27, 0.0021, 0)</f>
        <v>61.1965</v>
      </c>
      <c r="E316" s="14">
        <f>61.0578 * CHOOSE(CONTROL!$C$9, $D$9, 100%, $F$9) + CHOOSE(CONTROL!$C$27, 0.0021, 0)</f>
        <v>61.059899999999999</v>
      </c>
      <c r="F316" s="14">
        <f>61.0578 * CHOOSE(CONTROL!$C$9, $D$9, 100%, $F$9) + CHOOSE(CONTROL!$C$27, 0.0021, 0)</f>
        <v>61.059899999999999</v>
      </c>
      <c r="G316" s="14">
        <f>61.3291 * CHOOSE(CONTROL!$C$9, $D$9, 100%, $F$9) + CHOOSE(CONTROL!$C$27, 0.0021, 0)</f>
        <v>61.331199999999995</v>
      </c>
      <c r="H316" s="14">
        <f>61.1944 * CHOOSE(CONTROL!$C$9, $D$9, 100%, $F$9) + CHOOSE(CONTROL!$C$27, 0.0021, 0)</f>
        <v>61.1965</v>
      </c>
      <c r="I316" s="14">
        <f>61.1944 * CHOOSE(CONTROL!$C$9, $D$9, 100%, $F$9) + CHOOSE(CONTROL!$C$27, 0.0021, 0)</f>
        <v>61.1965</v>
      </c>
      <c r="J316" s="14">
        <f>61.1944 * CHOOSE(CONTROL!$C$9, $D$9, 100%, $F$9) + CHOOSE(CONTROL!$C$27, 0.0021, 0)</f>
        <v>61.1965</v>
      </c>
      <c r="K316" s="14">
        <f>61.1944 * CHOOSE(CONTROL!$C$9, $D$9, 100%, $F$9) + CHOOSE(CONTROL!$C$27, 0.0021, 0)</f>
        <v>61.1965</v>
      </c>
      <c r="L316" s="14"/>
    </row>
    <row r="317" spans="1:12" ht="15.75" x14ac:dyDescent="0.25">
      <c r="A317" s="33">
        <v>50586</v>
      </c>
      <c r="B317" s="14">
        <f>62.3576 * CHOOSE(CONTROL!$C$9, $D$9, 100%, $F$9) + CHOOSE(CONTROL!$C$27, 0.0021, 0)</f>
        <v>62.359699999999997</v>
      </c>
      <c r="C317" s="14">
        <f>61.9254 * CHOOSE(CONTROL!$C$9, $D$9, 100%, $F$9) + CHOOSE(CONTROL!$C$27, 0.0021, 0)</f>
        <v>61.927500000000002</v>
      </c>
      <c r="D317" s="14">
        <f>61.9254 * CHOOSE(CONTROL!$C$9, $D$9, 100%, $F$9) + CHOOSE(CONTROL!$C$27, 0.0021, 0)</f>
        <v>61.927500000000002</v>
      </c>
      <c r="E317" s="14">
        <f>61.7887 * CHOOSE(CONTROL!$C$9, $D$9, 100%, $F$9) + CHOOSE(CONTROL!$C$27, 0.0021, 0)</f>
        <v>61.790799999999997</v>
      </c>
      <c r="F317" s="14">
        <f>61.7887 * CHOOSE(CONTROL!$C$9, $D$9, 100%, $F$9) + CHOOSE(CONTROL!$C$27, 0.0021, 0)</f>
        <v>61.790799999999997</v>
      </c>
      <c r="G317" s="14">
        <f>62.0601 * CHOOSE(CONTROL!$C$9, $D$9, 100%, $F$9) + CHOOSE(CONTROL!$C$27, 0.0021, 0)</f>
        <v>62.062199999999997</v>
      </c>
      <c r="H317" s="14">
        <f>61.9254 * CHOOSE(CONTROL!$C$9, $D$9, 100%, $F$9) + CHOOSE(CONTROL!$C$27, 0.0021, 0)</f>
        <v>61.927500000000002</v>
      </c>
      <c r="I317" s="14">
        <f>61.9254 * CHOOSE(CONTROL!$C$9, $D$9, 100%, $F$9) + CHOOSE(CONTROL!$C$27, 0.0021, 0)</f>
        <v>61.927500000000002</v>
      </c>
      <c r="J317" s="14">
        <f>61.9254 * CHOOSE(CONTROL!$C$9, $D$9, 100%, $F$9) + CHOOSE(CONTROL!$C$27, 0.0021, 0)</f>
        <v>61.927500000000002</v>
      </c>
      <c r="K317" s="14">
        <f>61.9254 * CHOOSE(CONTROL!$C$9, $D$9, 100%, $F$9) + CHOOSE(CONTROL!$C$27, 0.0021, 0)</f>
        <v>61.927500000000002</v>
      </c>
      <c r="L317" s="14"/>
    </row>
    <row r="318" spans="1:12" ht="15.75" x14ac:dyDescent="0.25">
      <c r="A318" s="33">
        <v>50617</v>
      </c>
      <c r="B318" s="14">
        <f>63.5635 * CHOOSE(CONTROL!$C$9, $D$9, 100%, $F$9) + CHOOSE(CONTROL!$C$27, 0.0021, 0)</f>
        <v>63.565599999999996</v>
      </c>
      <c r="C318" s="14">
        <f>63.1312 * CHOOSE(CONTROL!$C$9, $D$9, 100%, $F$9) + CHOOSE(CONTROL!$C$27, 0.0021, 0)</f>
        <v>63.133299999999998</v>
      </c>
      <c r="D318" s="14">
        <f>63.1312 * CHOOSE(CONTROL!$C$9, $D$9, 100%, $F$9) + CHOOSE(CONTROL!$C$27, 0.0021, 0)</f>
        <v>63.133299999999998</v>
      </c>
      <c r="E318" s="14">
        <f>62.9946 * CHOOSE(CONTROL!$C$9, $D$9, 100%, $F$9) + CHOOSE(CONTROL!$C$27, 0.0021, 0)</f>
        <v>62.996699999999997</v>
      </c>
      <c r="F318" s="14">
        <f>62.9946 * CHOOSE(CONTROL!$C$9, $D$9, 100%, $F$9) + CHOOSE(CONTROL!$C$27, 0.0021, 0)</f>
        <v>62.996699999999997</v>
      </c>
      <c r="G318" s="14">
        <f>63.266 * CHOOSE(CONTROL!$C$9, $D$9, 100%, $F$9) + CHOOSE(CONTROL!$C$27, 0.0021, 0)</f>
        <v>63.268099999999997</v>
      </c>
      <c r="H318" s="14">
        <f>63.1312 * CHOOSE(CONTROL!$C$9, $D$9, 100%, $F$9) + CHOOSE(CONTROL!$C$27, 0.0021, 0)</f>
        <v>63.133299999999998</v>
      </c>
      <c r="I318" s="14">
        <f>63.1312 * CHOOSE(CONTROL!$C$9, $D$9, 100%, $F$9) + CHOOSE(CONTROL!$C$27, 0.0021, 0)</f>
        <v>63.133299999999998</v>
      </c>
      <c r="J318" s="14">
        <f>63.1312 * CHOOSE(CONTROL!$C$9, $D$9, 100%, $F$9) + CHOOSE(CONTROL!$C$27, 0.0021, 0)</f>
        <v>63.133299999999998</v>
      </c>
      <c r="K318" s="14">
        <f>63.1312 * CHOOSE(CONTROL!$C$9, $D$9, 100%, $F$9) + CHOOSE(CONTROL!$C$27, 0.0021, 0)</f>
        <v>63.133299999999998</v>
      </c>
      <c r="L318" s="14"/>
    </row>
    <row r="319" spans="1:12" ht="15.75" x14ac:dyDescent="0.25">
      <c r="A319" s="33">
        <v>50648</v>
      </c>
      <c r="B319" s="14">
        <f>63.9316 * CHOOSE(CONTROL!$C$9, $D$9, 100%, $F$9) + CHOOSE(CONTROL!$C$27, 0.0021, 0)</f>
        <v>63.933700000000002</v>
      </c>
      <c r="C319" s="14">
        <f>63.4993 * CHOOSE(CONTROL!$C$9, $D$9, 100%, $F$9) + CHOOSE(CONTROL!$C$27, 0.0021, 0)</f>
        <v>63.501399999999997</v>
      </c>
      <c r="D319" s="14">
        <f>63.4993 * CHOOSE(CONTROL!$C$9, $D$9, 100%, $F$9) + CHOOSE(CONTROL!$C$27, 0.0021, 0)</f>
        <v>63.501399999999997</v>
      </c>
      <c r="E319" s="14">
        <f>63.3626 * CHOOSE(CONTROL!$C$9, $D$9, 100%, $F$9) + CHOOSE(CONTROL!$C$27, 0.0021, 0)</f>
        <v>63.364699999999999</v>
      </c>
      <c r="F319" s="14">
        <f>63.3626 * CHOOSE(CONTROL!$C$9, $D$9, 100%, $F$9) + CHOOSE(CONTROL!$C$27, 0.0021, 0)</f>
        <v>63.364699999999999</v>
      </c>
      <c r="G319" s="14">
        <f>63.634 * CHOOSE(CONTROL!$C$9, $D$9, 100%, $F$9) + CHOOSE(CONTROL!$C$27, 0.0021, 0)</f>
        <v>63.636099999999999</v>
      </c>
      <c r="H319" s="14">
        <f>63.4993 * CHOOSE(CONTROL!$C$9, $D$9, 100%, $F$9) + CHOOSE(CONTROL!$C$27, 0.0021, 0)</f>
        <v>63.501399999999997</v>
      </c>
      <c r="I319" s="14">
        <f>63.4993 * CHOOSE(CONTROL!$C$9, $D$9, 100%, $F$9) + CHOOSE(CONTROL!$C$27, 0.0021, 0)</f>
        <v>63.501399999999997</v>
      </c>
      <c r="J319" s="14">
        <f>63.4993 * CHOOSE(CONTROL!$C$9, $D$9, 100%, $F$9) + CHOOSE(CONTROL!$C$27, 0.0021, 0)</f>
        <v>63.501399999999997</v>
      </c>
      <c r="K319" s="14">
        <f>63.4993 * CHOOSE(CONTROL!$C$9, $D$9, 100%, $F$9) + CHOOSE(CONTROL!$C$27, 0.0021, 0)</f>
        <v>63.501399999999997</v>
      </c>
      <c r="L319" s="14"/>
    </row>
    <row r="320" spans="1:12" ht="15.75" x14ac:dyDescent="0.25">
      <c r="A320" s="33">
        <v>50678</v>
      </c>
      <c r="B320" s="14">
        <f>65.185 * CHOOSE(CONTROL!$C$9, $D$9, 100%, $F$9) + CHOOSE(CONTROL!$C$27, 0.0021, 0)</f>
        <v>65.187100000000001</v>
      </c>
      <c r="C320" s="14">
        <f>64.7527 * CHOOSE(CONTROL!$C$9, $D$9, 100%, $F$9) + CHOOSE(CONTROL!$C$27, 0.0021, 0)</f>
        <v>64.754800000000003</v>
      </c>
      <c r="D320" s="14">
        <f>64.7527 * CHOOSE(CONTROL!$C$9, $D$9, 100%, $F$9) + CHOOSE(CONTROL!$C$27, 0.0021, 0)</f>
        <v>64.754800000000003</v>
      </c>
      <c r="E320" s="14">
        <f>64.6161 * CHOOSE(CONTROL!$C$9, $D$9, 100%, $F$9) + CHOOSE(CONTROL!$C$27, 0.0021, 0)</f>
        <v>64.618200000000002</v>
      </c>
      <c r="F320" s="14">
        <f>64.6161 * CHOOSE(CONTROL!$C$9, $D$9, 100%, $F$9) + CHOOSE(CONTROL!$C$27, 0.0021, 0)</f>
        <v>64.618200000000002</v>
      </c>
      <c r="G320" s="14">
        <f>64.8875 * CHOOSE(CONTROL!$C$9, $D$9, 100%, $F$9) + CHOOSE(CONTROL!$C$27, 0.0021, 0)</f>
        <v>64.889600000000002</v>
      </c>
      <c r="H320" s="14">
        <f>64.7527 * CHOOSE(CONTROL!$C$9, $D$9, 100%, $F$9) + CHOOSE(CONTROL!$C$27, 0.0021, 0)</f>
        <v>64.754800000000003</v>
      </c>
      <c r="I320" s="14">
        <f>64.7527 * CHOOSE(CONTROL!$C$9, $D$9, 100%, $F$9) + CHOOSE(CONTROL!$C$27, 0.0021, 0)</f>
        <v>64.754800000000003</v>
      </c>
      <c r="J320" s="14">
        <f>64.7527 * CHOOSE(CONTROL!$C$9, $D$9, 100%, $F$9) + CHOOSE(CONTROL!$C$27, 0.0021, 0)</f>
        <v>64.754800000000003</v>
      </c>
      <c r="K320" s="14">
        <f>64.7527 * CHOOSE(CONTROL!$C$9, $D$9, 100%, $F$9) + CHOOSE(CONTROL!$C$27, 0.0021, 0)</f>
        <v>64.754800000000003</v>
      </c>
      <c r="L320" s="14"/>
    </row>
    <row r="321" spans="1:12" ht="15.75" x14ac:dyDescent="0.25">
      <c r="A321" s="33">
        <v>50709</v>
      </c>
      <c r="B321" s="14">
        <f>66.7716 * CHOOSE(CONTROL!$C$9, $D$9, 100%, $F$9) + CHOOSE(CONTROL!$C$27, 0.0021, 0)</f>
        <v>66.773700000000005</v>
      </c>
      <c r="C321" s="14">
        <f>66.3394 * CHOOSE(CONTROL!$C$9, $D$9, 100%, $F$9) + CHOOSE(CONTROL!$C$27, 0.0021, 0)</f>
        <v>66.341499999999996</v>
      </c>
      <c r="D321" s="14">
        <f>66.3394 * CHOOSE(CONTROL!$C$9, $D$9, 100%, $F$9) + CHOOSE(CONTROL!$C$27, 0.0021, 0)</f>
        <v>66.341499999999996</v>
      </c>
      <c r="E321" s="14">
        <f>66.2027 * CHOOSE(CONTROL!$C$9, $D$9, 100%, $F$9) + CHOOSE(CONTROL!$C$27, 0.0021, 0)</f>
        <v>66.204799999999992</v>
      </c>
      <c r="F321" s="14">
        <f>66.2027 * CHOOSE(CONTROL!$C$9, $D$9, 100%, $F$9) + CHOOSE(CONTROL!$C$27, 0.0021, 0)</f>
        <v>66.204799999999992</v>
      </c>
      <c r="G321" s="14">
        <f>66.4741 * CHOOSE(CONTROL!$C$9, $D$9, 100%, $F$9) + CHOOSE(CONTROL!$C$27, 0.0021, 0)</f>
        <v>66.476200000000006</v>
      </c>
      <c r="H321" s="14">
        <f>66.3394 * CHOOSE(CONTROL!$C$9, $D$9, 100%, $F$9) + CHOOSE(CONTROL!$C$27, 0.0021, 0)</f>
        <v>66.341499999999996</v>
      </c>
      <c r="I321" s="14">
        <f>66.3394 * CHOOSE(CONTROL!$C$9, $D$9, 100%, $F$9) + CHOOSE(CONTROL!$C$27, 0.0021, 0)</f>
        <v>66.341499999999996</v>
      </c>
      <c r="J321" s="14">
        <f>66.3394 * CHOOSE(CONTROL!$C$9, $D$9, 100%, $F$9) + CHOOSE(CONTROL!$C$27, 0.0021, 0)</f>
        <v>66.341499999999996</v>
      </c>
      <c r="K321" s="14">
        <f>66.3394 * CHOOSE(CONTROL!$C$9, $D$9, 100%, $F$9) + CHOOSE(CONTROL!$C$27, 0.0021, 0)</f>
        <v>66.341499999999996</v>
      </c>
      <c r="L321" s="14"/>
    </row>
    <row r="322" spans="1:12" ht="15.75" x14ac:dyDescent="0.25">
      <c r="A322" s="33">
        <v>50739</v>
      </c>
      <c r="B322" s="14">
        <f>66.9206 * CHOOSE(CONTROL!$C$9, $D$9, 100%, $F$9) + CHOOSE(CONTROL!$C$27, 0.0021, 0)</f>
        <v>66.922699999999992</v>
      </c>
      <c r="C322" s="14">
        <f>66.4883 * CHOOSE(CONTROL!$C$9, $D$9, 100%, $F$9) + CHOOSE(CONTROL!$C$27, 0.0021, 0)</f>
        <v>66.490399999999994</v>
      </c>
      <c r="D322" s="14">
        <f>66.4883 * CHOOSE(CONTROL!$C$9, $D$9, 100%, $F$9) + CHOOSE(CONTROL!$C$27, 0.0021, 0)</f>
        <v>66.490399999999994</v>
      </c>
      <c r="E322" s="14">
        <f>66.3517 * CHOOSE(CONTROL!$C$9, $D$9, 100%, $F$9) + CHOOSE(CONTROL!$C$27, 0.0021, 0)</f>
        <v>66.353799999999993</v>
      </c>
      <c r="F322" s="14">
        <f>66.3517 * CHOOSE(CONTROL!$C$9, $D$9, 100%, $F$9) + CHOOSE(CONTROL!$C$27, 0.0021, 0)</f>
        <v>66.353799999999993</v>
      </c>
      <c r="G322" s="14">
        <f>66.623 * CHOOSE(CONTROL!$C$9, $D$9, 100%, $F$9) + CHOOSE(CONTROL!$C$27, 0.0021, 0)</f>
        <v>66.625100000000003</v>
      </c>
      <c r="H322" s="14">
        <f>66.4883 * CHOOSE(CONTROL!$C$9, $D$9, 100%, $F$9) + CHOOSE(CONTROL!$C$27, 0.0021, 0)</f>
        <v>66.490399999999994</v>
      </c>
      <c r="I322" s="14">
        <f>66.4883 * CHOOSE(CONTROL!$C$9, $D$9, 100%, $F$9) + CHOOSE(CONTROL!$C$27, 0.0021, 0)</f>
        <v>66.490399999999994</v>
      </c>
      <c r="J322" s="14">
        <f>66.4883 * CHOOSE(CONTROL!$C$9, $D$9, 100%, $F$9) + CHOOSE(CONTROL!$C$27, 0.0021, 0)</f>
        <v>66.490399999999994</v>
      </c>
      <c r="K322" s="14">
        <f>66.4883 * CHOOSE(CONTROL!$C$9, $D$9, 100%, $F$9) + CHOOSE(CONTROL!$C$27, 0.0021, 0)</f>
        <v>66.490399999999994</v>
      </c>
      <c r="L322" s="14"/>
    </row>
    <row r="323" spans="1:12" ht="15.75" x14ac:dyDescent="0.25">
      <c r="A323" s="33">
        <v>50770</v>
      </c>
      <c r="B323" s="14">
        <f>65.6534 * CHOOSE(CONTROL!$C$9, $D$9, 100%, $F$9) + CHOOSE(CONTROL!$C$27, 0.0021, 0)</f>
        <v>65.655500000000004</v>
      </c>
      <c r="C323" s="14">
        <f>65.2211 * CHOOSE(CONTROL!$C$9, $D$9, 100%, $F$9) + CHOOSE(CONTROL!$C$27, 0.0021, 0)</f>
        <v>65.223200000000006</v>
      </c>
      <c r="D323" s="14">
        <f>65.2211 * CHOOSE(CONTROL!$C$9, $D$9, 100%, $F$9) + CHOOSE(CONTROL!$C$27, 0.0021, 0)</f>
        <v>65.223200000000006</v>
      </c>
      <c r="E323" s="14">
        <f>65.0845 * CHOOSE(CONTROL!$C$9, $D$9, 100%, $F$9) + CHOOSE(CONTROL!$C$27, 0.0021, 0)</f>
        <v>65.086600000000004</v>
      </c>
      <c r="F323" s="14">
        <f>65.0845 * CHOOSE(CONTROL!$C$9, $D$9, 100%, $F$9) + CHOOSE(CONTROL!$C$27, 0.0021, 0)</f>
        <v>65.086600000000004</v>
      </c>
      <c r="G323" s="14">
        <f>65.3558 * CHOOSE(CONTROL!$C$9, $D$9, 100%, $F$9) + CHOOSE(CONTROL!$C$27, 0.0021, 0)</f>
        <v>65.357900000000001</v>
      </c>
      <c r="H323" s="14">
        <f>65.2211 * CHOOSE(CONTROL!$C$9, $D$9, 100%, $F$9) + CHOOSE(CONTROL!$C$27, 0.0021, 0)</f>
        <v>65.223200000000006</v>
      </c>
      <c r="I323" s="14">
        <f>65.2211 * CHOOSE(CONTROL!$C$9, $D$9, 100%, $F$9) + CHOOSE(CONTROL!$C$27, 0.0021, 0)</f>
        <v>65.223200000000006</v>
      </c>
      <c r="J323" s="14">
        <f>65.2211 * CHOOSE(CONTROL!$C$9, $D$9, 100%, $F$9) + CHOOSE(CONTROL!$C$27, 0.0021, 0)</f>
        <v>65.223200000000006</v>
      </c>
      <c r="K323" s="14">
        <f>65.2211 * CHOOSE(CONTROL!$C$9, $D$9, 100%, $F$9) + CHOOSE(CONTROL!$C$27, 0.0021, 0)</f>
        <v>65.223200000000006</v>
      </c>
      <c r="L323" s="14"/>
    </row>
    <row r="324" spans="1:12" ht="15.75" x14ac:dyDescent="0.25">
      <c r="A324" s="33">
        <v>50801</v>
      </c>
      <c r="B324" s="14">
        <f>64.8524 * CHOOSE(CONTROL!$C$9, $D$9, 100%, $F$9) + CHOOSE(CONTROL!$C$27, 0.0021, 0)</f>
        <v>64.854500000000002</v>
      </c>
      <c r="C324" s="14">
        <f>64.4202 * CHOOSE(CONTROL!$C$9, $D$9, 100%, $F$9) + CHOOSE(CONTROL!$C$27, 0.0021, 0)</f>
        <v>64.422299999999993</v>
      </c>
      <c r="D324" s="14">
        <f>64.4202 * CHOOSE(CONTROL!$C$9, $D$9, 100%, $F$9) + CHOOSE(CONTROL!$C$27, 0.0021, 0)</f>
        <v>64.422299999999993</v>
      </c>
      <c r="E324" s="14">
        <f>64.2835 * CHOOSE(CONTROL!$C$9, $D$9, 100%, $F$9) + CHOOSE(CONTROL!$C$27, 0.0021, 0)</f>
        <v>64.285600000000002</v>
      </c>
      <c r="F324" s="14">
        <f>64.2835 * CHOOSE(CONTROL!$C$9, $D$9, 100%, $F$9) + CHOOSE(CONTROL!$C$27, 0.0021, 0)</f>
        <v>64.285600000000002</v>
      </c>
      <c r="G324" s="14">
        <f>64.5549 * CHOOSE(CONTROL!$C$9, $D$9, 100%, $F$9) + CHOOSE(CONTROL!$C$27, 0.0021, 0)</f>
        <v>64.557000000000002</v>
      </c>
      <c r="H324" s="14">
        <f>64.4202 * CHOOSE(CONTROL!$C$9, $D$9, 100%, $F$9) + CHOOSE(CONTROL!$C$27, 0.0021, 0)</f>
        <v>64.422299999999993</v>
      </c>
      <c r="I324" s="14">
        <f>64.4202 * CHOOSE(CONTROL!$C$9, $D$9, 100%, $F$9) + CHOOSE(CONTROL!$C$27, 0.0021, 0)</f>
        <v>64.422299999999993</v>
      </c>
      <c r="J324" s="14">
        <f>64.4202 * CHOOSE(CONTROL!$C$9, $D$9, 100%, $F$9) + CHOOSE(CONTROL!$C$27, 0.0021, 0)</f>
        <v>64.422299999999993</v>
      </c>
      <c r="K324" s="14">
        <f>64.4202 * CHOOSE(CONTROL!$C$9, $D$9, 100%, $F$9) + CHOOSE(CONTROL!$C$27, 0.0021, 0)</f>
        <v>64.422299999999993</v>
      </c>
      <c r="L324" s="14"/>
    </row>
    <row r="325" spans="1:12" ht="15.75" x14ac:dyDescent="0.25">
      <c r="A325" s="33">
        <v>50829</v>
      </c>
      <c r="B325" s="14">
        <f>63.0829 * CHOOSE(CONTROL!$C$9, $D$9, 100%, $F$9) + CHOOSE(CONTROL!$C$27, 0.0021, 0)</f>
        <v>63.085000000000001</v>
      </c>
      <c r="C325" s="14">
        <f>62.6506 * CHOOSE(CONTROL!$C$9, $D$9, 100%, $F$9) + CHOOSE(CONTROL!$C$27, 0.0021, 0)</f>
        <v>62.652699999999996</v>
      </c>
      <c r="D325" s="14">
        <f>62.6506 * CHOOSE(CONTROL!$C$9, $D$9, 100%, $F$9) + CHOOSE(CONTROL!$C$27, 0.0021, 0)</f>
        <v>62.652699999999996</v>
      </c>
      <c r="E325" s="14">
        <f>62.514 * CHOOSE(CONTROL!$C$9, $D$9, 100%, $F$9) + CHOOSE(CONTROL!$C$27, 0.0021, 0)</f>
        <v>62.516100000000002</v>
      </c>
      <c r="F325" s="14">
        <f>62.514 * CHOOSE(CONTROL!$C$9, $D$9, 100%, $F$9) + CHOOSE(CONTROL!$C$27, 0.0021, 0)</f>
        <v>62.516100000000002</v>
      </c>
      <c r="G325" s="14">
        <f>62.7854 * CHOOSE(CONTROL!$C$9, $D$9, 100%, $F$9) + CHOOSE(CONTROL!$C$27, 0.0021, 0)</f>
        <v>62.787500000000001</v>
      </c>
      <c r="H325" s="14">
        <f>62.6506 * CHOOSE(CONTROL!$C$9, $D$9, 100%, $F$9) + CHOOSE(CONTROL!$C$27, 0.0021, 0)</f>
        <v>62.652699999999996</v>
      </c>
      <c r="I325" s="14">
        <f>62.6506 * CHOOSE(CONTROL!$C$9, $D$9, 100%, $F$9) + CHOOSE(CONTROL!$C$27, 0.0021, 0)</f>
        <v>62.652699999999996</v>
      </c>
      <c r="J325" s="14">
        <f>62.6506 * CHOOSE(CONTROL!$C$9, $D$9, 100%, $F$9) + CHOOSE(CONTROL!$C$27, 0.0021, 0)</f>
        <v>62.652699999999996</v>
      </c>
      <c r="K325" s="14">
        <f>62.6506 * CHOOSE(CONTROL!$C$9, $D$9, 100%, $F$9) + CHOOSE(CONTROL!$C$27, 0.0021, 0)</f>
        <v>62.652699999999996</v>
      </c>
      <c r="L325" s="14"/>
    </row>
    <row r="326" spans="1:12" ht="15.75" x14ac:dyDescent="0.25">
      <c r="A326" s="33">
        <v>50860</v>
      </c>
      <c r="B326" s="14">
        <f>62.3524 * CHOOSE(CONTROL!$C$9, $D$9, 100%, $F$9) + CHOOSE(CONTROL!$C$27, 0.0021, 0)</f>
        <v>62.354500000000002</v>
      </c>
      <c r="C326" s="14">
        <f>61.9202 * CHOOSE(CONTROL!$C$9, $D$9, 100%, $F$9) + CHOOSE(CONTROL!$C$27, 0.0021, 0)</f>
        <v>61.9223</v>
      </c>
      <c r="D326" s="14">
        <f>61.9202 * CHOOSE(CONTROL!$C$9, $D$9, 100%, $F$9) + CHOOSE(CONTROL!$C$27, 0.0021, 0)</f>
        <v>61.9223</v>
      </c>
      <c r="E326" s="14">
        <f>61.7835 * CHOOSE(CONTROL!$C$9, $D$9, 100%, $F$9) + CHOOSE(CONTROL!$C$27, 0.0021, 0)</f>
        <v>61.785599999999995</v>
      </c>
      <c r="F326" s="14">
        <f>61.7835 * CHOOSE(CONTROL!$C$9, $D$9, 100%, $F$9) + CHOOSE(CONTROL!$C$27, 0.0021, 0)</f>
        <v>61.785599999999995</v>
      </c>
      <c r="G326" s="14">
        <f>62.0549 * CHOOSE(CONTROL!$C$9, $D$9, 100%, $F$9) + CHOOSE(CONTROL!$C$27, 0.0021, 0)</f>
        <v>62.057000000000002</v>
      </c>
      <c r="H326" s="14">
        <f>61.9202 * CHOOSE(CONTROL!$C$9, $D$9, 100%, $F$9) + CHOOSE(CONTROL!$C$27, 0.0021, 0)</f>
        <v>61.9223</v>
      </c>
      <c r="I326" s="14">
        <f>61.9202 * CHOOSE(CONTROL!$C$9, $D$9, 100%, $F$9) + CHOOSE(CONTROL!$C$27, 0.0021, 0)</f>
        <v>61.9223</v>
      </c>
      <c r="J326" s="14">
        <f>61.9202 * CHOOSE(CONTROL!$C$9, $D$9, 100%, $F$9) + CHOOSE(CONTROL!$C$27, 0.0021, 0)</f>
        <v>61.9223</v>
      </c>
      <c r="K326" s="14">
        <f>61.9202 * CHOOSE(CONTROL!$C$9, $D$9, 100%, $F$9) + CHOOSE(CONTROL!$C$27, 0.0021, 0)</f>
        <v>61.9223</v>
      </c>
      <c r="L326" s="14"/>
    </row>
    <row r="327" spans="1:12" ht="15.75" x14ac:dyDescent="0.25">
      <c r="A327" s="33">
        <v>50890</v>
      </c>
      <c r="B327" s="14">
        <f>61.4802 * CHOOSE(CONTROL!$C$9, $D$9, 100%, $F$9) + CHOOSE(CONTROL!$C$27, 0.0021, 0)</f>
        <v>61.482300000000002</v>
      </c>
      <c r="C327" s="14">
        <f>61.048 * CHOOSE(CONTROL!$C$9, $D$9, 100%, $F$9) + CHOOSE(CONTROL!$C$27, 0.0021, 0)</f>
        <v>61.0501</v>
      </c>
      <c r="D327" s="14">
        <f>61.048 * CHOOSE(CONTROL!$C$9, $D$9, 100%, $F$9) + CHOOSE(CONTROL!$C$27, 0.0021, 0)</f>
        <v>61.0501</v>
      </c>
      <c r="E327" s="14">
        <f>60.9113 * CHOOSE(CONTROL!$C$9, $D$9, 100%, $F$9) + CHOOSE(CONTROL!$C$27, 0.0021, 0)</f>
        <v>60.913399999999996</v>
      </c>
      <c r="F327" s="14">
        <f>60.9113 * CHOOSE(CONTROL!$C$9, $D$9, 100%, $F$9) + CHOOSE(CONTROL!$C$27, 0.0021, 0)</f>
        <v>60.913399999999996</v>
      </c>
      <c r="G327" s="14">
        <f>61.1827 * CHOOSE(CONTROL!$C$9, $D$9, 100%, $F$9) + CHOOSE(CONTROL!$C$27, 0.0021, 0)</f>
        <v>61.184799999999996</v>
      </c>
      <c r="H327" s="14">
        <f>61.048 * CHOOSE(CONTROL!$C$9, $D$9, 100%, $F$9) + CHOOSE(CONTROL!$C$27, 0.0021, 0)</f>
        <v>61.0501</v>
      </c>
      <c r="I327" s="14">
        <f>61.048 * CHOOSE(CONTROL!$C$9, $D$9, 100%, $F$9) + CHOOSE(CONTROL!$C$27, 0.0021, 0)</f>
        <v>61.0501</v>
      </c>
      <c r="J327" s="14">
        <f>61.048 * CHOOSE(CONTROL!$C$9, $D$9, 100%, $F$9) + CHOOSE(CONTROL!$C$27, 0.0021, 0)</f>
        <v>61.0501</v>
      </c>
      <c r="K327" s="14">
        <f>61.048 * CHOOSE(CONTROL!$C$9, $D$9, 100%, $F$9) + CHOOSE(CONTROL!$C$27, 0.0021, 0)</f>
        <v>61.0501</v>
      </c>
      <c r="L327" s="14"/>
    </row>
    <row r="328" spans="1:12" ht="15.75" x14ac:dyDescent="0.25">
      <c r="A328" s="33">
        <v>50921</v>
      </c>
      <c r="B328" s="14">
        <f>62.7232 * CHOOSE(CONTROL!$C$9, $D$9, 100%, $F$9) + CHOOSE(CONTROL!$C$27, 0.0021, 0)</f>
        <v>62.725299999999997</v>
      </c>
      <c r="C328" s="14">
        <f>62.291 * CHOOSE(CONTROL!$C$9, $D$9, 100%, $F$9) + CHOOSE(CONTROL!$C$27, 0.0021, 0)</f>
        <v>62.293099999999995</v>
      </c>
      <c r="D328" s="14">
        <f>62.291 * CHOOSE(CONTROL!$C$9, $D$9, 100%, $F$9) + CHOOSE(CONTROL!$C$27, 0.0021, 0)</f>
        <v>62.293099999999995</v>
      </c>
      <c r="E328" s="14">
        <f>62.1543 * CHOOSE(CONTROL!$C$9, $D$9, 100%, $F$9) + CHOOSE(CONTROL!$C$27, 0.0021, 0)</f>
        <v>62.156399999999998</v>
      </c>
      <c r="F328" s="14">
        <f>62.1543 * CHOOSE(CONTROL!$C$9, $D$9, 100%, $F$9) + CHOOSE(CONTROL!$C$27, 0.0021, 0)</f>
        <v>62.156399999999998</v>
      </c>
      <c r="G328" s="14">
        <f>62.4257 * CHOOSE(CONTROL!$C$9, $D$9, 100%, $F$9) + CHOOSE(CONTROL!$C$27, 0.0021, 0)</f>
        <v>62.427799999999998</v>
      </c>
      <c r="H328" s="14">
        <f>62.291 * CHOOSE(CONTROL!$C$9, $D$9, 100%, $F$9) + CHOOSE(CONTROL!$C$27, 0.0021, 0)</f>
        <v>62.293099999999995</v>
      </c>
      <c r="I328" s="14">
        <f>62.291 * CHOOSE(CONTROL!$C$9, $D$9, 100%, $F$9) + CHOOSE(CONTROL!$C$27, 0.0021, 0)</f>
        <v>62.293099999999995</v>
      </c>
      <c r="J328" s="14">
        <f>62.291 * CHOOSE(CONTROL!$C$9, $D$9, 100%, $F$9) + CHOOSE(CONTROL!$C$27, 0.0021, 0)</f>
        <v>62.293099999999995</v>
      </c>
      <c r="K328" s="14">
        <f>62.291 * CHOOSE(CONTROL!$C$9, $D$9, 100%, $F$9) + CHOOSE(CONTROL!$C$27, 0.0021, 0)</f>
        <v>62.293099999999995</v>
      </c>
      <c r="L328" s="14"/>
    </row>
    <row r="329" spans="1:12" ht="15.75" x14ac:dyDescent="0.25">
      <c r="A329" s="33">
        <v>50951</v>
      </c>
      <c r="B329" s="14">
        <f>63.4677 * CHOOSE(CONTROL!$C$9, $D$9, 100%, $F$9) + CHOOSE(CONTROL!$C$27, 0.0021, 0)</f>
        <v>63.469799999999999</v>
      </c>
      <c r="C329" s="14">
        <f>63.0354 * CHOOSE(CONTROL!$C$9, $D$9, 100%, $F$9) + CHOOSE(CONTROL!$C$27, 0.0021, 0)</f>
        <v>63.037500000000001</v>
      </c>
      <c r="D329" s="14">
        <f>63.0354 * CHOOSE(CONTROL!$C$9, $D$9, 100%, $F$9) + CHOOSE(CONTROL!$C$27, 0.0021, 0)</f>
        <v>63.037500000000001</v>
      </c>
      <c r="E329" s="14">
        <f>62.8988 * CHOOSE(CONTROL!$C$9, $D$9, 100%, $F$9) + CHOOSE(CONTROL!$C$27, 0.0021, 0)</f>
        <v>62.9009</v>
      </c>
      <c r="F329" s="14">
        <f>62.8988 * CHOOSE(CONTROL!$C$9, $D$9, 100%, $F$9) + CHOOSE(CONTROL!$C$27, 0.0021, 0)</f>
        <v>62.9009</v>
      </c>
      <c r="G329" s="14">
        <f>63.1702 * CHOOSE(CONTROL!$C$9, $D$9, 100%, $F$9) + CHOOSE(CONTROL!$C$27, 0.0021, 0)</f>
        <v>63.1723</v>
      </c>
      <c r="H329" s="14">
        <f>63.0354 * CHOOSE(CONTROL!$C$9, $D$9, 100%, $F$9) + CHOOSE(CONTROL!$C$27, 0.0021, 0)</f>
        <v>63.037500000000001</v>
      </c>
      <c r="I329" s="14">
        <f>63.0354 * CHOOSE(CONTROL!$C$9, $D$9, 100%, $F$9) + CHOOSE(CONTROL!$C$27, 0.0021, 0)</f>
        <v>63.037500000000001</v>
      </c>
      <c r="J329" s="14">
        <f>63.0354 * CHOOSE(CONTROL!$C$9, $D$9, 100%, $F$9) + CHOOSE(CONTROL!$C$27, 0.0021, 0)</f>
        <v>63.037500000000001</v>
      </c>
      <c r="K329" s="14">
        <f>63.0354 * CHOOSE(CONTROL!$C$9, $D$9, 100%, $F$9) + CHOOSE(CONTROL!$C$27, 0.0021, 0)</f>
        <v>63.037500000000001</v>
      </c>
      <c r="L329" s="14"/>
    </row>
    <row r="330" spans="1:12" ht="15.75" x14ac:dyDescent="0.25">
      <c r="A330" s="33">
        <v>50982</v>
      </c>
      <c r="B330" s="14">
        <f>64.6958 * CHOOSE(CONTROL!$C$9, $D$9, 100%, $F$9) + CHOOSE(CONTROL!$C$27, 0.0021, 0)</f>
        <v>64.697900000000004</v>
      </c>
      <c r="C330" s="14">
        <f>64.2636 * CHOOSE(CONTROL!$C$9, $D$9, 100%, $F$9) + CHOOSE(CONTROL!$C$27, 0.0021, 0)</f>
        <v>64.265699999999995</v>
      </c>
      <c r="D330" s="14">
        <f>64.2636 * CHOOSE(CONTROL!$C$9, $D$9, 100%, $F$9) + CHOOSE(CONTROL!$C$27, 0.0021, 0)</f>
        <v>64.265699999999995</v>
      </c>
      <c r="E330" s="14">
        <f>64.1269 * CHOOSE(CONTROL!$C$9, $D$9, 100%, $F$9) + CHOOSE(CONTROL!$C$27, 0.0021, 0)</f>
        <v>64.129000000000005</v>
      </c>
      <c r="F330" s="14">
        <f>64.1269 * CHOOSE(CONTROL!$C$9, $D$9, 100%, $F$9) + CHOOSE(CONTROL!$C$27, 0.0021, 0)</f>
        <v>64.129000000000005</v>
      </c>
      <c r="G330" s="14">
        <f>64.3983 * CHOOSE(CONTROL!$C$9, $D$9, 100%, $F$9) + CHOOSE(CONTROL!$C$27, 0.0021, 0)</f>
        <v>64.400400000000005</v>
      </c>
      <c r="H330" s="14">
        <f>64.2636 * CHOOSE(CONTROL!$C$9, $D$9, 100%, $F$9) + CHOOSE(CONTROL!$C$27, 0.0021, 0)</f>
        <v>64.265699999999995</v>
      </c>
      <c r="I330" s="14">
        <f>64.2636 * CHOOSE(CONTROL!$C$9, $D$9, 100%, $F$9) + CHOOSE(CONTROL!$C$27, 0.0021, 0)</f>
        <v>64.265699999999995</v>
      </c>
      <c r="J330" s="14">
        <f>64.2636 * CHOOSE(CONTROL!$C$9, $D$9, 100%, $F$9) + CHOOSE(CONTROL!$C$27, 0.0021, 0)</f>
        <v>64.265699999999995</v>
      </c>
      <c r="K330" s="14">
        <f>64.2636 * CHOOSE(CONTROL!$C$9, $D$9, 100%, $F$9) + CHOOSE(CONTROL!$C$27, 0.0021, 0)</f>
        <v>64.265699999999995</v>
      </c>
      <c r="L330" s="14"/>
    </row>
    <row r="331" spans="1:12" ht="15.75" x14ac:dyDescent="0.25">
      <c r="A331" s="33">
        <v>51013</v>
      </c>
      <c r="B331" s="14">
        <f>65.0707 * CHOOSE(CONTROL!$C$9, $D$9, 100%, $F$9) + CHOOSE(CONTROL!$C$27, 0.0021, 0)</f>
        <v>65.072800000000001</v>
      </c>
      <c r="C331" s="14">
        <f>64.6384 * CHOOSE(CONTROL!$C$9, $D$9, 100%, $F$9) + CHOOSE(CONTROL!$C$27, 0.0021, 0)</f>
        <v>64.640500000000003</v>
      </c>
      <c r="D331" s="14">
        <f>64.6384 * CHOOSE(CONTROL!$C$9, $D$9, 100%, $F$9) + CHOOSE(CONTROL!$C$27, 0.0021, 0)</f>
        <v>64.640500000000003</v>
      </c>
      <c r="E331" s="14">
        <f>64.5018 * CHOOSE(CONTROL!$C$9, $D$9, 100%, $F$9) + CHOOSE(CONTROL!$C$27, 0.0021, 0)</f>
        <v>64.503900000000002</v>
      </c>
      <c r="F331" s="14">
        <f>64.5018 * CHOOSE(CONTROL!$C$9, $D$9, 100%, $F$9) + CHOOSE(CONTROL!$C$27, 0.0021, 0)</f>
        <v>64.503900000000002</v>
      </c>
      <c r="G331" s="14">
        <f>64.7732 * CHOOSE(CONTROL!$C$9, $D$9, 100%, $F$9) + CHOOSE(CONTROL!$C$27, 0.0021, 0)</f>
        <v>64.775300000000001</v>
      </c>
      <c r="H331" s="14">
        <f>64.6384 * CHOOSE(CONTROL!$C$9, $D$9, 100%, $F$9) + CHOOSE(CONTROL!$C$27, 0.0021, 0)</f>
        <v>64.640500000000003</v>
      </c>
      <c r="I331" s="14">
        <f>64.6384 * CHOOSE(CONTROL!$C$9, $D$9, 100%, $F$9) + CHOOSE(CONTROL!$C$27, 0.0021, 0)</f>
        <v>64.640500000000003</v>
      </c>
      <c r="J331" s="14">
        <f>64.6384 * CHOOSE(CONTROL!$C$9, $D$9, 100%, $F$9) + CHOOSE(CONTROL!$C$27, 0.0021, 0)</f>
        <v>64.640500000000003</v>
      </c>
      <c r="K331" s="14">
        <f>64.6384 * CHOOSE(CONTROL!$C$9, $D$9, 100%, $F$9) + CHOOSE(CONTROL!$C$27, 0.0021, 0)</f>
        <v>64.640500000000003</v>
      </c>
      <c r="L331" s="14"/>
    </row>
    <row r="332" spans="1:12" ht="15.75" x14ac:dyDescent="0.25">
      <c r="A332" s="33">
        <v>51043</v>
      </c>
      <c r="B332" s="14">
        <f>66.3473 * CHOOSE(CONTROL!$C$9, $D$9, 100%, $F$9) + CHOOSE(CONTROL!$C$27, 0.0021, 0)</f>
        <v>66.349400000000003</v>
      </c>
      <c r="C332" s="14">
        <f>65.915 * CHOOSE(CONTROL!$C$9, $D$9, 100%, $F$9) + CHOOSE(CONTROL!$C$27, 0.0021, 0)</f>
        <v>65.917100000000005</v>
      </c>
      <c r="D332" s="14">
        <f>65.915 * CHOOSE(CONTROL!$C$9, $D$9, 100%, $F$9) + CHOOSE(CONTROL!$C$27, 0.0021, 0)</f>
        <v>65.917100000000005</v>
      </c>
      <c r="E332" s="14">
        <f>65.7784 * CHOOSE(CONTROL!$C$9, $D$9, 100%, $F$9) + CHOOSE(CONTROL!$C$27, 0.0021, 0)</f>
        <v>65.780500000000004</v>
      </c>
      <c r="F332" s="14">
        <f>65.7784 * CHOOSE(CONTROL!$C$9, $D$9, 100%, $F$9) + CHOOSE(CONTROL!$C$27, 0.0021, 0)</f>
        <v>65.780500000000004</v>
      </c>
      <c r="G332" s="14">
        <f>66.0498 * CHOOSE(CONTROL!$C$9, $D$9, 100%, $F$9) + CHOOSE(CONTROL!$C$27, 0.0021, 0)</f>
        <v>66.051900000000003</v>
      </c>
      <c r="H332" s="14">
        <f>65.915 * CHOOSE(CONTROL!$C$9, $D$9, 100%, $F$9) + CHOOSE(CONTROL!$C$27, 0.0021, 0)</f>
        <v>65.917100000000005</v>
      </c>
      <c r="I332" s="14">
        <f>65.915 * CHOOSE(CONTROL!$C$9, $D$9, 100%, $F$9) + CHOOSE(CONTROL!$C$27, 0.0021, 0)</f>
        <v>65.917100000000005</v>
      </c>
      <c r="J332" s="14">
        <f>65.915 * CHOOSE(CONTROL!$C$9, $D$9, 100%, $F$9) + CHOOSE(CONTROL!$C$27, 0.0021, 0)</f>
        <v>65.917100000000005</v>
      </c>
      <c r="K332" s="14">
        <f>65.915 * CHOOSE(CONTROL!$C$9, $D$9, 100%, $F$9) + CHOOSE(CONTROL!$C$27, 0.0021, 0)</f>
        <v>65.917100000000005</v>
      </c>
      <c r="L332" s="14"/>
    </row>
    <row r="333" spans="1:12" ht="15.75" x14ac:dyDescent="0.25">
      <c r="A333" s="33">
        <v>51074</v>
      </c>
      <c r="B333" s="14">
        <f>67.9632 * CHOOSE(CONTROL!$C$9, $D$9, 100%, $F$9) + CHOOSE(CONTROL!$C$27, 0.0021, 0)</f>
        <v>67.965299999999999</v>
      </c>
      <c r="C333" s="14">
        <f>67.531 * CHOOSE(CONTROL!$C$9, $D$9, 100%, $F$9) + CHOOSE(CONTROL!$C$27, 0.0021, 0)</f>
        <v>67.533100000000005</v>
      </c>
      <c r="D333" s="14">
        <f>67.531 * CHOOSE(CONTROL!$C$9, $D$9, 100%, $F$9) + CHOOSE(CONTROL!$C$27, 0.0021, 0)</f>
        <v>67.533100000000005</v>
      </c>
      <c r="E333" s="14">
        <f>67.3943 * CHOOSE(CONTROL!$C$9, $D$9, 100%, $F$9) + CHOOSE(CONTROL!$C$27, 0.0021, 0)</f>
        <v>67.3964</v>
      </c>
      <c r="F333" s="14">
        <f>67.3943 * CHOOSE(CONTROL!$C$9, $D$9, 100%, $F$9) + CHOOSE(CONTROL!$C$27, 0.0021, 0)</f>
        <v>67.3964</v>
      </c>
      <c r="G333" s="14">
        <f>67.6657 * CHOOSE(CONTROL!$C$9, $D$9, 100%, $F$9) + CHOOSE(CONTROL!$C$27, 0.0021, 0)</f>
        <v>67.6678</v>
      </c>
      <c r="H333" s="14">
        <f>67.531 * CHOOSE(CONTROL!$C$9, $D$9, 100%, $F$9) + CHOOSE(CONTROL!$C$27, 0.0021, 0)</f>
        <v>67.533100000000005</v>
      </c>
      <c r="I333" s="14">
        <f>67.531 * CHOOSE(CONTROL!$C$9, $D$9, 100%, $F$9) + CHOOSE(CONTROL!$C$27, 0.0021, 0)</f>
        <v>67.533100000000005</v>
      </c>
      <c r="J333" s="14">
        <f>67.531 * CHOOSE(CONTROL!$C$9, $D$9, 100%, $F$9) + CHOOSE(CONTROL!$C$27, 0.0021, 0)</f>
        <v>67.533100000000005</v>
      </c>
      <c r="K333" s="14">
        <f>67.531 * CHOOSE(CONTROL!$C$9, $D$9, 100%, $F$9) + CHOOSE(CONTROL!$C$27, 0.0021, 0)</f>
        <v>67.533100000000005</v>
      </c>
      <c r="L333" s="14"/>
    </row>
    <row r="334" spans="1:12" ht="15.75" x14ac:dyDescent="0.25">
      <c r="A334" s="33">
        <v>51104</v>
      </c>
      <c r="B334" s="14">
        <f>68.1149 * CHOOSE(CONTROL!$C$9, $D$9, 100%, $F$9) + CHOOSE(CONTROL!$C$27, 0.0021, 0)</f>
        <v>68.117000000000004</v>
      </c>
      <c r="C334" s="14">
        <f>67.6827 * CHOOSE(CONTROL!$C$9, $D$9, 100%, $F$9) + CHOOSE(CONTROL!$C$27, 0.0021, 0)</f>
        <v>67.684799999999996</v>
      </c>
      <c r="D334" s="14">
        <f>67.6827 * CHOOSE(CONTROL!$C$9, $D$9, 100%, $F$9) + CHOOSE(CONTROL!$C$27, 0.0021, 0)</f>
        <v>67.684799999999996</v>
      </c>
      <c r="E334" s="14">
        <f>67.546 * CHOOSE(CONTROL!$C$9, $D$9, 100%, $F$9) + CHOOSE(CONTROL!$C$27, 0.0021, 0)</f>
        <v>67.548100000000005</v>
      </c>
      <c r="F334" s="14">
        <f>67.546 * CHOOSE(CONTROL!$C$9, $D$9, 100%, $F$9) + CHOOSE(CONTROL!$C$27, 0.0021, 0)</f>
        <v>67.548100000000005</v>
      </c>
      <c r="G334" s="14">
        <f>67.8174 * CHOOSE(CONTROL!$C$9, $D$9, 100%, $F$9) + CHOOSE(CONTROL!$C$27, 0.0021, 0)</f>
        <v>67.819500000000005</v>
      </c>
      <c r="H334" s="14">
        <f>67.6827 * CHOOSE(CONTROL!$C$9, $D$9, 100%, $F$9) + CHOOSE(CONTROL!$C$27, 0.0021, 0)</f>
        <v>67.684799999999996</v>
      </c>
      <c r="I334" s="14">
        <f>67.6827 * CHOOSE(CONTROL!$C$9, $D$9, 100%, $F$9) + CHOOSE(CONTROL!$C$27, 0.0021, 0)</f>
        <v>67.684799999999996</v>
      </c>
      <c r="J334" s="14">
        <f>67.6827 * CHOOSE(CONTROL!$C$9, $D$9, 100%, $F$9) + CHOOSE(CONTROL!$C$27, 0.0021, 0)</f>
        <v>67.684799999999996</v>
      </c>
      <c r="K334" s="14">
        <f>67.6827 * CHOOSE(CONTROL!$C$9, $D$9, 100%, $F$9) + CHOOSE(CONTROL!$C$27, 0.0021, 0)</f>
        <v>67.684799999999996</v>
      </c>
      <c r="L334" s="14"/>
    </row>
    <row r="335" spans="1:12" ht="15.75" x14ac:dyDescent="0.25">
      <c r="A335" s="33">
        <v>51135</v>
      </c>
      <c r="B335" s="14">
        <f>66.8243 * CHOOSE(CONTROL!$C$9, $D$9, 100%, $F$9) + CHOOSE(CONTROL!$C$27, 0.0021, 0)</f>
        <v>66.826399999999992</v>
      </c>
      <c r="C335" s="14">
        <f>66.3921 * CHOOSE(CONTROL!$C$9, $D$9, 100%, $F$9) + CHOOSE(CONTROL!$C$27, 0.0021, 0)</f>
        <v>66.394199999999998</v>
      </c>
      <c r="D335" s="14">
        <f>66.3921 * CHOOSE(CONTROL!$C$9, $D$9, 100%, $F$9) + CHOOSE(CONTROL!$C$27, 0.0021, 0)</f>
        <v>66.394199999999998</v>
      </c>
      <c r="E335" s="14">
        <f>66.2554 * CHOOSE(CONTROL!$C$9, $D$9, 100%, $F$9) + CHOOSE(CONTROL!$C$27, 0.0021, 0)</f>
        <v>66.257499999999993</v>
      </c>
      <c r="F335" s="14">
        <f>66.2554 * CHOOSE(CONTROL!$C$9, $D$9, 100%, $F$9) + CHOOSE(CONTROL!$C$27, 0.0021, 0)</f>
        <v>66.257499999999993</v>
      </c>
      <c r="G335" s="14">
        <f>66.5268 * CHOOSE(CONTROL!$C$9, $D$9, 100%, $F$9) + CHOOSE(CONTROL!$C$27, 0.0021, 0)</f>
        <v>66.528899999999993</v>
      </c>
      <c r="H335" s="14">
        <f>66.3921 * CHOOSE(CONTROL!$C$9, $D$9, 100%, $F$9) + CHOOSE(CONTROL!$C$27, 0.0021, 0)</f>
        <v>66.394199999999998</v>
      </c>
      <c r="I335" s="14">
        <f>66.3921 * CHOOSE(CONTROL!$C$9, $D$9, 100%, $F$9) + CHOOSE(CONTROL!$C$27, 0.0021, 0)</f>
        <v>66.394199999999998</v>
      </c>
      <c r="J335" s="14">
        <f>66.3921 * CHOOSE(CONTROL!$C$9, $D$9, 100%, $F$9) + CHOOSE(CONTROL!$C$27, 0.0021, 0)</f>
        <v>66.394199999999998</v>
      </c>
      <c r="K335" s="14">
        <f>66.3921 * CHOOSE(CONTROL!$C$9, $D$9, 100%, $F$9) + CHOOSE(CONTROL!$C$27, 0.0021, 0)</f>
        <v>66.394199999999998</v>
      </c>
      <c r="L335" s="14"/>
    </row>
    <row r="336" spans="1:12" ht="15.75" x14ac:dyDescent="0.25">
      <c r="A336" s="33">
        <v>51166</v>
      </c>
      <c r="B336" s="14">
        <f>66.0086 * CHOOSE(CONTROL!$C$9, $D$9, 100%, $F$9) + CHOOSE(CONTROL!$C$27, 0.0021, 0)</f>
        <v>66.0107</v>
      </c>
      <c r="C336" s="14">
        <f>65.5763 * CHOOSE(CONTROL!$C$9, $D$9, 100%, $F$9) + CHOOSE(CONTROL!$C$27, 0.0021, 0)</f>
        <v>65.578400000000002</v>
      </c>
      <c r="D336" s="14">
        <f>65.5763 * CHOOSE(CONTROL!$C$9, $D$9, 100%, $F$9) + CHOOSE(CONTROL!$C$27, 0.0021, 0)</f>
        <v>65.578400000000002</v>
      </c>
      <c r="E336" s="14">
        <f>65.4397 * CHOOSE(CONTROL!$C$9, $D$9, 100%, $F$9) + CHOOSE(CONTROL!$C$27, 0.0021, 0)</f>
        <v>65.441800000000001</v>
      </c>
      <c r="F336" s="14">
        <f>65.4397 * CHOOSE(CONTROL!$C$9, $D$9, 100%, $F$9) + CHOOSE(CONTROL!$C$27, 0.0021, 0)</f>
        <v>65.441800000000001</v>
      </c>
      <c r="G336" s="14">
        <f>65.711 * CHOOSE(CONTROL!$C$9, $D$9, 100%, $F$9) + CHOOSE(CONTROL!$C$27, 0.0021, 0)</f>
        <v>65.713099999999997</v>
      </c>
      <c r="H336" s="14">
        <f>65.5763 * CHOOSE(CONTROL!$C$9, $D$9, 100%, $F$9) + CHOOSE(CONTROL!$C$27, 0.0021, 0)</f>
        <v>65.578400000000002</v>
      </c>
      <c r="I336" s="14">
        <f>65.5763 * CHOOSE(CONTROL!$C$9, $D$9, 100%, $F$9) + CHOOSE(CONTROL!$C$27, 0.0021, 0)</f>
        <v>65.578400000000002</v>
      </c>
      <c r="J336" s="14">
        <f>65.5763 * CHOOSE(CONTROL!$C$9, $D$9, 100%, $F$9) + CHOOSE(CONTROL!$C$27, 0.0021, 0)</f>
        <v>65.578400000000002</v>
      </c>
      <c r="K336" s="14">
        <f>65.5763 * CHOOSE(CONTROL!$C$9, $D$9, 100%, $F$9) + CHOOSE(CONTROL!$C$27, 0.0021, 0)</f>
        <v>65.578400000000002</v>
      </c>
      <c r="L336" s="14"/>
    </row>
    <row r="337" spans="1:12" ht="15.75" x14ac:dyDescent="0.25">
      <c r="A337" s="33">
        <v>51194</v>
      </c>
      <c r="B337" s="14">
        <f>64.2063 * CHOOSE(CONTROL!$C$9, $D$9, 100%, $F$9) + CHOOSE(CONTROL!$C$27, 0.0021, 0)</f>
        <v>64.208399999999997</v>
      </c>
      <c r="C337" s="14">
        <f>63.7741 * CHOOSE(CONTROL!$C$9, $D$9, 100%, $F$9) + CHOOSE(CONTROL!$C$27, 0.0021, 0)</f>
        <v>63.776199999999996</v>
      </c>
      <c r="D337" s="14">
        <f>63.7741 * CHOOSE(CONTROL!$C$9, $D$9, 100%, $F$9) + CHOOSE(CONTROL!$C$27, 0.0021, 0)</f>
        <v>63.776199999999996</v>
      </c>
      <c r="E337" s="14">
        <f>63.6374 * CHOOSE(CONTROL!$C$9, $D$9, 100%, $F$9) + CHOOSE(CONTROL!$C$27, 0.0021, 0)</f>
        <v>63.639499999999998</v>
      </c>
      <c r="F337" s="14">
        <f>63.6374 * CHOOSE(CONTROL!$C$9, $D$9, 100%, $F$9) + CHOOSE(CONTROL!$C$27, 0.0021, 0)</f>
        <v>63.639499999999998</v>
      </c>
      <c r="G337" s="14">
        <f>63.9088 * CHOOSE(CONTROL!$C$9, $D$9, 100%, $F$9) + CHOOSE(CONTROL!$C$27, 0.0021, 0)</f>
        <v>63.910899999999998</v>
      </c>
      <c r="H337" s="14">
        <f>63.7741 * CHOOSE(CONTROL!$C$9, $D$9, 100%, $F$9) + CHOOSE(CONTROL!$C$27, 0.0021, 0)</f>
        <v>63.776199999999996</v>
      </c>
      <c r="I337" s="14">
        <f>63.7741 * CHOOSE(CONTROL!$C$9, $D$9, 100%, $F$9) + CHOOSE(CONTROL!$C$27, 0.0021, 0)</f>
        <v>63.776199999999996</v>
      </c>
      <c r="J337" s="14">
        <f>63.7741 * CHOOSE(CONTROL!$C$9, $D$9, 100%, $F$9) + CHOOSE(CONTROL!$C$27, 0.0021, 0)</f>
        <v>63.776199999999996</v>
      </c>
      <c r="K337" s="14">
        <f>63.7741 * CHOOSE(CONTROL!$C$9, $D$9, 100%, $F$9) + CHOOSE(CONTROL!$C$27, 0.0021, 0)</f>
        <v>63.776199999999996</v>
      </c>
      <c r="L337" s="14"/>
    </row>
    <row r="338" spans="1:12" ht="15.75" x14ac:dyDescent="0.25">
      <c r="A338" s="33">
        <v>51226</v>
      </c>
      <c r="B338" s="14">
        <f>63.4624 * CHOOSE(CONTROL!$C$9, $D$9, 100%, $F$9) + CHOOSE(CONTROL!$C$27, 0.0021, 0)</f>
        <v>63.464500000000001</v>
      </c>
      <c r="C338" s="14">
        <f>63.0301 * CHOOSE(CONTROL!$C$9, $D$9, 100%, $F$9) + CHOOSE(CONTROL!$C$27, 0.0021, 0)</f>
        <v>63.032199999999996</v>
      </c>
      <c r="D338" s="14">
        <f>63.0301 * CHOOSE(CONTROL!$C$9, $D$9, 100%, $F$9) + CHOOSE(CONTROL!$C$27, 0.0021, 0)</f>
        <v>63.032199999999996</v>
      </c>
      <c r="E338" s="14">
        <f>62.8935 * CHOOSE(CONTROL!$C$9, $D$9, 100%, $F$9) + CHOOSE(CONTROL!$C$27, 0.0021, 0)</f>
        <v>62.895600000000002</v>
      </c>
      <c r="F338" s="14">
        <f>62.8935 * CHOOSE(CONTROL!$C$9, $D$9, 100%, $F$9) + CHOOSE(CONTROL!$C$27, 0.0021, 0)</f>
        <v>62.895600000000002</v>
      </c>
      <c r="G338" s="14">
        <f>63.1648 * CHOOSE(CONTROL!$C$9, $D$9, 100%, $F$9) + CHOOSE(CONTROL!$C$27, 0.0021, 0)</f>
        <v>63.166899999999998</v>
      </c>
      <c r="H338" s="14">
        <f>63.0301 * CHOOSE(CONTROL!$C$9, $D$9, 100%, $F$9) + CHOOSE(CONTROL!$C$27, 0.0021, 0)</f>
        <v>63.032199999999996</v>
      </c>
      <c r="I338" s="14">
        <f>63.0301 * CHOOSE(CONTROL!$C$9, $D$9, 100%, $F$9) + CHOOSE(CONTROL!$C$27, 0.0021, 0)</f>
        <v>63.032199999999996</v>
      </c>
      <c r="J338" s="14">
        <f>63.0301 * CHOOSE(CONTROL!$C$9, $D$9, 100%, $F$9) + CHOOSE(CONTROL!$C$27, 0.0021, 0)</f>
        <v>63.032199999999996</v>
      </c>
      <c r="K338" s="14">
        <f>63.0301 * CHOOSE(CONTROL!$C$9, $D$9, 100%, $F$9) + CHOOSE(CONTROL!$C$27, 0.0021, 0)</f>
        <v>63.032199999999996</v>
      </c>
      <c r="L338" s="14"/>
    </row>
    <row r="339" spans="1:12" ht="15.75" x14ac:dyDescent="0.25">
      <c r="A339" s="33">
        <v>51256</v>
      </c>
      <c r="B339" s="14">
        <f>62.5741 * CHOOSE(CONTROL!$C$9, $D$9, 100%, $F$9) + CHOOSE(CONTROL!$C$27, 0.0021, 0)</f>
        <v>62.5762</v>
      </c>
      <c r="C339" s="14">
        <f>62.1418 * CHOOSE(CONTROL!$C$9, $D$9, 100%, $F$9) + CHOOSE(CONTROL!$C$27, 0.0021, 0)</f>
        <v>62.143900000000002</v>
      </c>
      <c r="D339" s="14">
        <f>62.1418 * CHOOSE(CONTROL!$C$9, $D$9, 100%, $F$9) + CHOOSE(CONTROL!$C$27, 0.0021, 0)</f>
        <v>62.143900000000002</v>
      </c>
      <c r="E339" s="14">
        <f>62.0052 * CHOOSE(CONTROL!$C$9, $D$9, 100%, $F$9) + CHOOSE(CONTROL!$C$27, 0.0021, 0)</f>
        <v>62.007300000000001</v>
      </c>
      <c r="F339" s="14">
        <f>62.0052 * CHOOSE(CONTROL!$C$9, $D$9, 100%, $F$9) + CHOOSE(CONTROL!$C$27, 0.0021, 0)</f>
        <v>62.007300000000001</v>
      </c>
      <c r="G339" s="14">
        <f>62.2765 * CHOOSE(CONTROL!$C$9, $D$9, 100%, $F$9) + CHOOSE(CONTROL!$C$27, 0.0021, 0)</f>
        <v>62.278599999999997</v>
      </c>
      <c r="H339" s="14">
        <f>62.1418 * CHOOSE(CONTROL!$C$9, $D$9, 100%, $F$9) + CHOOSE(CONTROL!$C$27, 0.0021, 0)</f>
        <v>62.143900000000002</v>
      </c>
      <c r="I339" s="14">
        <f>62.1418 * CHOOSE(CONTROL!$C$9, $D$9, 100%, $F$9) + CHOOSE(CONTROL!$C$27, 0.0021, 0)</f>
        <v>62.143900000000002</v>
      </c>
      <c r="J339" s="14">
        <f>62.1418 * CHOOSE(CONTROL!$C$9, $D$9, 100%, $F$9) + CHOOSE(CONTROL!$C$27, 0.0021, 0)</f>
        <v>62.143900000000002</v>
      </c>
      <c r="K339" s="14">
        <f>62.1418 * CHOOSE(CONTROL!$C$9, $D$9, 100%, $F$9) + CHOOSE(CONTROL!$C$27, 0.0021, 0)</f>
        <v>62.143900000000002</v>
      </c>
      <c r="L339" s="14"/>
    </row>
    <row r="340" spans="1:12" ht="15.75" x14ac:dyDescent="0.25">
      <c r="A340" s="33">
        <v>51287</v>
      </c>
      <c r="B340" s="14">
        <f>63.84 * CHOOSE(CONTROL!$C$9, $D$9, 100%, $F$9) + CHOOSE(CONTROL!$C$27, 0.0021, 0)</f>
        <v>63.842100000000002</v>
      </c>
      <c r="C340" s="14">
        <f>63.4078 * CHOOSE(CONTROL!$C$9, $D$9, 100%, $F$9) + CHOOSE(CONTROL!$C$27, 0.0021, 0)</f>
        <v>63.4099</v>
      </c>
      <c r="D340" s="14">
        <f>63.4078 * CHOOSE(CONTROL!$C$9, $D$9, 100%, $F$9) + CHOOSE(CONTROL!$C$27, 0.0021, 0)</f>
        <v>63.4099</v>
      </c>
      <c r="E340" s="14">
        <f>63.2711 * CHOOSE(CONTROL!$C$9, $D$9, 100%, $F$9) + CHOOSE(CONTROL!$C$27, 0.0021, 0)</f>
        <v>63.273199999999996</v>
      </c>
      <c r="F340" s="14">
        <f>63.2711 * CHOOSE(CONTROL!$C$9, $D$9, 100%, $F$9) + CHOOSE(CONTROL!$C$27, 0.0021, 0)</f>
        <v>63.273199999999996</v>
      </c>
      <c r="G340" s="14">
        <f>63.5425 * CHOOSE(CONTROL!$C$9, $D$9, 100%, $F$9) + CHOOSE(CONTROL!$C$27, 0.0021, 0)</f>
        <v>63.544599999999996</v>
      </c>
      <c r="H340" s="14">
        <f>63.4078 * CHOOSE(CONTROL!$C$9, $D$9, 100%, $F$9) + CHOOSE(CONTROL!$C$27, 0.0021, 0)</f>
        <v>63.4099</v>
      </c>
      <c r="I340" s="14">
        <f>63.4078 * CHOOSE(CONTROL!$C$9, $D$9, 100%, $F$9) + CHOOSE(CONTROL!$C$27, 0.0021, 0)</f>
        <v>63.4099</v>
      </c>
      <c r="J340" s="14">
        <f>63.4078 * CHOOSE(CONTROL!$C$9, $D$9, 100%, $F$9) + CHOOSE(CONTROL!$C$27, 0.0021, 0)</f>
        <v>63.4099</v>
      </c>
      <c r="K340" s="14">
        <f>63.4078 * CHOOSE(CONTROL!$C$9, $D$9, 100%, $F$9) + CHOOSE(CONTROL!$C$27, 0.0021, 0)</f>
        <v>63.4099</v>
      </c>
      <c r="L340" s="14"/>
    </row>
    <row r="341" spans="1:12" ht="15.75" x14ac:dyDescent="0.25">
      <c r="A341" s="33">
        <v>51317</v>
      </c>
      <c r="B341" s="14">
        <f>64.5983 * CHOOSE(CONTROL!$C$9, $D$9, 100%, $F$9) + CHOOSE(CONTROL!$C$27, 0.0021, 0)</f>
        <v>64.600399999999993</v>
      </c>
      <c r="C341" s="14">
        <f>64.166 * CHOOSE(CONTROL!$C$9, $D$9, 100%, $F$9) + CHOOSE(CONTROL!$C$27, 0.0021, 0)</f>
        <v>64.168099999999995</v>
      </c>
      <c r="D341" s="14">
        <f>64.166 * CHOOSE(CONTROL!$C$9, $D$9, 100%, $F$9) + CHOOSE(CONTROL!$C$27, 0.0021, 0)</f>
        <v>64.168099999999995</v>
      </c>
      <c r="E341" s="14">
        <f>64.0294 * CHOOSE(CONTROL!$C$9, $D$9, 100%, $F$9) + CHOOSE(CONTROL!$C$27, 0.0021, 0)</f>
        <v>64.031499999999994</v>
      </c>
      <c r="F341" s="14">
        <f>64.0294 * CHOOSE(CONTROL!$C$9, $D$9, 100%, $F$9) + CHOOSE(CONTROL!$C$27, 0.0021, 0)</f>
        <v>64.031499999999994</v>
      </c>
      <c r="G341" s="14">
        <f>64.3007 * CHOOSE(CONTROL!$C$9, $D$9, 100%, $F$9) + CHOOSE(CONTROL!$C$27, 0.0021, 0)</f>
        <v>64.302800000000005</v>
      </c>
      <c r="H341" s="14">
        <f>64.166 * CHOOSE(CONTROL!$C$9, $D$9, 100%, $F$9) + CHOOSE(CONTROL!$C$27, 0.0021, 0)</f>
        <v>64.168099999999995</v>
      </c>
      <c r="I341" s="14">
        <f>64.166 * CHOOSE(CONTROL!$C$9, $D$9, 100%, $F$9) + CHOOSE(CONTROL!$C$27, 0.0021, 0)</f>
        <v>64.168099999999995</v>
      </c>
      <c r="J341" s="14">
        <f>64.166 * CHOOSE(CONTROL!$C$9, $D$9, 100%, $F$9) + CHOOSE(CONTROL!$C$27, 0.0021, 0)</f>
        <v>64.168099999999995</v>
      </c>
      <c r="K341" s="14">
        <f>64.166 * CHOOSE(CONTROL!$C$9, $D$9, 100%, $F$9) + CHOOSE(CONTROL!$C$27, 0.0021, 0)</f>
        <v>64.168099999999995</v>
      </c>
      <c r="L341" s="14"/>
    </row>
    <row r="342" spans="1:12" ht="15.75" x14ac:dyDescent="0.25">
      <c r="A342" s="33">
        <v>51348</v>
      </c>
      <c r="B342" s="14">
        <f>65.8491 * CHOOSE(CONTROL!$C$9, $D$9, 100%, $F$9) + CHOOSE(CONTROL!$C$27, 0.0021, 0)</f>
        <v>65.851200000000006</v>
      </c>
      <c r="C342" s="14">
        <f>65.4168 * CHOOSE(CONTROL!$C$9, $D$9, 100%, $F$9) + CHOOSE(CONTROL!$C$27, 0.0021, 0)</f>
        <v>65.418899999999994</v>
      </c>
      <c r="D342" s="14">
        <f>65.4168 * CHOOSE(CONTROL!$C$9, $D$9, 100%, $F$9) + CHOOSE(CONTROL!$C$27, 0.0021, 0)</f>
        <v>65.418899999999994</v>
      </c>
      <c r="E342" s="14">
        <f>65.2802 * CHOOSE(CONTROL!$C$9, $D$9, 100%, $F$9) + CHOOSE(CONTROL!$C$27, 0.0021, 0)</f>
        <v>65.282299999999992</v>
      </c>
      <c r="F342" s="14">
        <f>65.2802 * CHOOSE(CONTROL!$C$9, $D$9, 100%, $F$9) + CHOOSE(CONTROL!$C$27, 0.0021, 0)</f>
        <v>65.282299999999992</v>
      </c>
      <c r="G342" s="14">
        <f>65.5516 * CHOOSE(CONTROL!$C$9, $D$9, 100%, $F$9) + CHOOSE(CONTROL!$C$27, 0.0021, 0)</f>
        <v>65.553699999999992</v>
      </c>
      <c r="H342" s="14">
        <f>65.4168 * CHOOSE(CONTROL!$C$9, $D$9, 100%, $F$9) + CHOOSE(CONTROL!$C$27, 0.0021, 0)</f>
        <v>65.418899999999994</v>
      </c>
      <c r="I342" s="14">
        <f>65.4168 * CHOOSE(CONTROL!$C$9, $D$9, 100%, $F$9) + CHOOSE(CONTROL!$C$27, 0.0021, 0)</f>
        <v>65.418899999999994</v>
      </c>
      <c r="J342" s="14">
        <f>65.4168 * CHOOSE(CONTROL!$C$9, $D$9, 100%, $F$9) + CHOOSE(CONTROL!$C$27, 0.0021, 0)</f>
        <v>65.418899999999994</v>
      </c>
      <c r="K342" s="14">
        <f>65.4168 * CHOOSE(CONTROL!$C$9, $D$9, 100%, $F$9) + CHOOSE(CONTROL!$C$27, 0.0021, 0)</f>
        <v>65.418899999999994</v>
      </c>
      <c r="L342" s="14"/>
    </row>
    <row r="343" spans="1:12" ht="15.75" x14ac:dyDescent="0.25">
      <c r="A343" s="33">
        <v>51379</v>
      </c>
      <c r="B343" s="14">
        <f>66.2309 * CHOOSE(CONTROL!$C$9, $D$9, 100%, $F$9) + CHOOSE(CONTROL!$C$27, 0.0021, 0)</f>
        <v>66.233000000000004</v>
      </c>
      <c r="C343" s="14">
        <f>65.7986 * CHOOSE(CONTROL!$C$9, $D$9, 100%, $F$9) + CHOOSE(CONTROL!$C$27, 0.0021, 0)</f>
        <v>65.800699999999992</v>
      </c>
      <c r="D343" s="14">
        <f>65.7986 * CHOOSE(CONTROL!$C$9, $D$9, 100%, $F$9) + CHOOSE(CONTROL!$C$27, 0.0021, 0)</f>
        <v>65.800699999999992</v>
      </c>
      <c r="E343" s="14">
        <f>65.662 * CHOOSE(CONTROL!$C$9, $D$9, 100%, $F$9) + CHOOSE(CONTROL!$C$27, 0.0021, 0)</f>
        <v>65.664100000000005</v>
      </c>
      <c r="F343" s="14">
        <f>65.662 * CHOOSE(CONTROL!$C$9, $D$9, 100%, $F$9) + CHOOSE(CONTROL!$C$27, 0.0021, 0)</f>
        <v>65.664100000000005</v>
      </c>
      <c r="G343" s="14">
        <f>65.9334 * CHOOSE(CONTROL!$C$9, $D$9, 100%, $F$9) + CHOOSE(CONTROL!$C$27, 0.0021, 0)</f>
        <v>65.935500000000005</v>
      </c>
      <c r="H343" s="14">
        <f>65.7986 * CHOOSE(CONTROL!$C$9, $D$9, 100%, $F$9) + CHOOSE(CONTROL!$C$27, 0.0021, 0)</f>
        <v>65.800699999999992</v>
      </c>
      <c r="I343" s="14">
        <f>65.7986 * CHOOSE(CONTROL!$C$9, $D$9, 100%, $F$9) + CHOOSE(CONTROL!$C$27, 0.0021, 0)</f>
        <v>65.800699999999992</v>
      </c>
      <c r="J343" s="14">
        <f>65.7986 * CHOOSE(CONTROL!$C$9, $D$9, 100%, $F$9) + CHOOSE(CONTROL!$C$27, 0.0021, 0)</f>
        <v>65.800699999999992</v>
      </c>
      <c r="K343" s="14">
        <f>65.7986 * CHOOSE(CONTROL!$C$9, $D$9, 100%, $F$9) + CHOOSE(CONTROL!$C$27, 0.0021, 0)</f>
        <v>65.800699999999992</v>
      </c>
      <c r="L343" s="14"/>
    </row>
    <row r="344" spans="1:12" ht="15.75" x14ac:dyDescent="0.25">
      <c r="A344" s="33">
        <v>51409</v>
      </c>
      <c r="B344" s="14">
        <f>67.5311 * CHOOSE(CONTROL!$C$9, $D$9, 100%, $F$9) + CHOOSE(CONTROL!$C$27, 0.0021, 0)</f>
        <v>67.533199999999994</v>
      </c>
      <c r="C344" s="14">
        <f>67.0988 * CHOOSE(CONTROL!$C$9, $D$9, 100%, $F$9) + CHOOSE(CONTROL!$C$27, 0.0021, 0)</f>
        <v>67.100899999999996</v>
      </c>
      <c r="D344" s="14">
        <f>67.0988 * CHOOSE(CONTROL!$C$9, $D$9, 100%, $F$9) + CHOOSE(CONTROL!$C$27, 0.0021, 0)</f>
        <v>67.100899999999996</v>
      </c>
      <c r="E344" s="14">
        <f>66.9622 * CHOOSE(CONTROL!$C$9, $D$9, 100%, $F$9) + CHOOSE(CONTROL!$C$27, 0.0021, 0)</f>
        <v>66.964299999999994</v>
      </c>
      <c r="F344" s="14">
        <f>66.9622 * CHOOSE(CONTROL!$C$9, $D$9, 100%, $F$9) + CHOOSE(CONTROL!$C$27, 0.0021, 0)</f>
        <v>66.964299999999994</v>
      </c>
      <c r="G344" s="14">
        <f>67.2335 * CHOOSE(CONTROL!$C$9, $D$9, 100%, $F$9) + CHOOSE(CONTROL!$C$27, 0.0021, 0)</f>
        <v>67.235600000000005</v>
      </c>
      <c r="H344" s="14">
        <f>67.0988 * CHOOSE(CONTROL!$C$9, $D$9, 100%, $F$9) + CHOOSE(CONTROL!$C$27, 0.0021, 0)</f>
        <v>67.100899999999996</v>
      </c>
      <c r="I344" s="14">
        <f>67.0988 * CHOOSE(CONTROL!$C$9, $D$9, 100%, $F$9) + CHOOSE(CONTROL!$C$27, 0.0021, 0)</f>
        <v>67.100899999999996</v>
      </c>
      <c r="J344" s="14">
        <f>67.0988 * CHOOSE(CONTROL!$C$9, $D$9, 100%, $F$9) + CHOOSE(CONTROL!$C$27, 0.0021, 0)</f>
        <v>67.100899999999996</v>
      </c>
      <c r="K344" s="14">
        <f>67.0988 * CHOOSE(CONTROL!$C$9, $D$9, 100%, $F$9) + CHOOSE(CONTROL!$C$27, 0.0021, 0)</f>
        <v>67.100899999999996</v>
      </c>
      <c r="L344" s="14"/>
    </row>
    <row r="345" spans="1:12" ht="15.75" x14ac:dyDescent="0.25">
      <c r="A345" s="33">
        <v>51440</v>
      </c>
      <c r="B345" s="14">
        <f>69.1769 * CHOOSE(CONTROL!$C$9, $D$9, 100%, $F$9) + CHOOSE(CONTROL!$C$27, 0.0021, 0)</f>
        <v>69.179000000000002</v>
      </c>
      <c r="C345" s="14">
        <f>68.7446 * CHOOSE(CONTROL!$C$9, $D$9, 100%, $F$9) + CHOOSE(CONTROL!$C$27, 0.0021, 0)</f>
        <v>68.746700000000004</v>
      </c>
      <c r="D345" s="14">
        <f>68.7446 * CHOOSE(CONTROL!$C$9, $D$9, 100%, $F$9) + CHOOSE(CONTROL!$C$27, 0.0021, 0)</f>
        <v>68.746700000000004</v>
      </c>
      <c r="E345" s="14">
        <f>68.608 * CHOOSE(CONTROL!$C$9, $D$9, 100%, $F$9) + CHOOSE(CONTROL!$C$27, 0.0021, 0)</f>
        <v>68.610100000000003</v>
      </c>
      <c r="F345" s="14">
        <f>68.608 * CHOOSE(CONTROL!$C$9, $D$9, 100%, $F$9) + CHOOSE(CONTROL!$C$27, 0.0021, 0)</f>
        <v>68.610100000000003</v>
      </c>
      <c r="G345" s="14">
        <f>68.8794 * CHOOSE(CONTROL!$C$9, $D$9, 100%, $F$9) + CHOOSE(CONTROL!$C$27, 0.0021, 0)</f>
        <v>68.881500000000003</v>
      </c>
      <c r="H345" s="14">
        <f>68.7446 * CHOOSE(CONTROL!$C$9, $D$9, 100%, $F$9) + CHOOSE(CONTROL!$C$27, 0.0021, 0)</f>
        <v>68.746700000000004</v>
      </c>
      <c r="I345" s="14">
        <f>68.7446 * CHOOSE(CONTROL!$C$9, $D$9, 100%, $F$9) + CHOOSE(CONTROL!$C$27, 0.0021, 0)</f>
        <v>68.746700000000004</v>
      </c>
      <c r="J345" s="14">
        <f>68.7446 * CHOOSE(CONTROL!$C$9, $D$9, 100%, $F$9) + CHOOSE(CONTROL!$C$27, 0.0021, 0)</f>
        <v>68.746700000000004</v>
      </c>
      <c r="K345" s="14">
        <f>68.7446 * CHOOSE(CONTROL!$C$9, $D$9, 100%, $F$9) + CHOOSE(CONTROL!$C$27, 0.0021, 0)</f>
        <v>68.746700000000004</v>
      </c>
      <c r="L345" s="14"/>
    </row>
    <row r="346" spans="1:12" ht="15.75" x14ac:dyDescent="0.25">
      <c r="A346" s="33">
        <v>51470</v>
      </c>
      <c r="B346" s="14">
        <f>69.3314 * CHOOSE(CONTROL!$C$9, $D$9, 100%, $F$9) + CHOOSE(CONTROL!$C$27, 0.0021, 0)</f>
        <v>69.333500000000001</v>
      </c>
      <c r="C346" s="14">
        <f>68.8991 * CHOOSE(CONTROL!$C$9, $D$9, 100%, $F$9) + CHOOSE(CONTROL!$C$27, 0.0021, 0)</f>
        <v>68.901200000000003</v>
      </c>
      <c r="D346" s="14">
        <f>68.8991 * CHOOSE(CONTROL!$C$9, $D$9, 100%, $F$9) + CHOOSE(CONTROL!$C$27, 0.0021, 0)</f>
        <v>68.901200000000003</v>
      </c>
      <c r="E346" s="14">
        <f>68.7625 * CHOOSE(CONTROL!$C$9, $D$9, 100%, $F$9) + CHOOSE(CONTROL!$C$27, 0.0021, 0)</f>
        <v>68.764600000000002</v>
      </c>
      <c r="F346" s="14">
        <f>68.7625 * CHOOSE(CONTROL!$C$9, $D$9, 100%, $F$9) + CHOOSE(CONTROL!$C$27, 0.0021, 0)</f>
        <v>68.764600000000002</v>
      </c>
      <c r="G346" s="14">
        <f>69.0339 * CHOOSE(CONTROL!$C$9, $D$9, 100%, $F$9) + CHOOSE(CONTROL!$C$27, 0.0021, 0)</f>
        <v>69.036000000000001</v>
      </c>
      <c r="H346" s="14">
        <f>68.8991 * CHOOSE(CONTROL!$C$9, $D$9, 100%, $F$9) + CHOOSE(CONTROL!$C$27, 0.0021, 0)</f>
        <v>68.901200000000003</v>
      </c>
      <c r="I346" s="14">
        <f>68.8991 * CHOOSE(CONTROL!$C$9, $D$9, 100%, $F$9) + CHOOSE(CONTROL!$C$27, 0.0021, 0)</f>
        <v>68.901200000000003</v>
      </c>
      <c r="J346" s="14">
        <f>68.8991 * CHOOSE(CONTROL!$C$9, $D$9, 100%, $F$9) + CHOOSE(CONTROL!$C$27, 0.0021, 0)</f>
        <v>68.901200000000003</v>
      </c>
      <c r="K346" s="14">
        <f>68.8991 * CHOOSE(CONTROL!$C$9, $D$9, 100%, $F$9) + CHOOSE(CONTROL!$C$27, 0.0021, 0)</f>
        <v>68.901200000000003</v>
      </c>
      <c r="L346" s="14"/>
    </row>
    <row r="347" spans="1:12" ht="15.75" x14ac:dyDescent="0.25">
      <c r="A347" s="33">
        <v>51501</v>
      </c>
      <c r="B347" s="14">
        <f>68.0169 * CHOOSE(CONTROL!$C$9, $D$9, 100%, $F$9) + CHOOSE(CONTROL!$C$27, 0.0021, 0)</f>
        <v>68.019000000000005</v>
      </c>
      <c r="C347" s="14">
        <f>67.5847 * CHOOSE(CONTROL!$C$9, $D$9, 100%, $F$9) + CHOOSE(CONTROL!$C$27, 0.0021, 0)</f>
        <v>67.586799999999997</v>
      </c>
      <c r="D347" s="14">
        <f>67.5847 * CHOOSE(CONTROL!$C$9, $D$9, 100%, $F$9) + CHOOSE(CONTROL!$C$27, 0.0021, 0)</f>
        <v>67.586799999999997</v>
      </c>
      <c r="E347" s="14">
        <f>67.448 * CHOOSE(CONTROL!$C$9, $D$9, 100%, $F$9) + CHOOSE(CONTROL!$C$27, 0.0021, 0)</f>
        <v>67.450099999999992</v>
      </c>
      <c r="F347" s="14">
        <f>67.448 * CHOOSE(CONTROL!$C$9, $D$9, 100%, $F$9) + CHOOSE(CONTROL!$C$27, 0.0021, 0)</f>
        <v>67.450099999999992</v>
      </c>
      <c r="G347" s="14">
        <f>67.7194 * CHOOSE(CONTROL!$C$9, $D$9, 100%, $F$9) + CHOOSE(CONTROL!$C$27, 0.0021, 0)</f>
        <v>67.721499999999992</v>
      </c>
      <c r="H347" s="14">
        <f>67.5847 * CHOOSE(CONTROL!$C$9, $D$9, 100%, $F$9) + CHOOSE(CONTROL!$C$27, 0.0021, 0)</f>
        <v>67.586799999999997</v>
      </c>
      <c r="I347" s="14">
        <f>67.5847 * CHOOSE(CONTROL!$C$9, $D$9, 100%, $F$9) + CHOOSE(CONTROL!$C$27, 0.0021, 0)</f>
        <v>67.586799999999997</v>
      </c>
      <c r="J347" s="14">
        <f>67.5847 * CHOOSE(CONTROL!$C$9, $D$9, 100%, $F$9) + CHOOSE(CONTROL!$C$27, 0.0021, 0)</f>
        <v>67.586799999999997</v>
      </c>
      <c r="K347" s="14">
        <f>67.5847 * CHOOSE(CONTROL!$C$9, $D$9, 100%, $F$9) + CHOOSE(CONTROL!$C$27, 0.0021, 0)</f>
        <v>67.586799999999997</v>
      </c>
      <c r="L347" s="14"/>
    </row>
    <row r="348" spans="1:12" ht="15.75" x14ac:dyDescent="0.25">
      <c r="A348" s="33">
        <v>51532</v>
      </c>
      <c r="B348" s="14">
        <f>67.1861 * CHOOSE(CONTROL!$C$9, $D$9, 100%, $F$9) + CHOOSE(CONTROL!$C$27, 0.0021, 0)</f>
        <v>67.188199999999995</v>
      </c>
      <c r="C348" s="14">
        <f>66.7539 * CHOOSE(CONTROL!$C$9, $D$9, 100%, $F$9) + CHOOSE(CONTROL!$C$27, 0.0021, 0)</f>
        <v>66.756</v>
      </c>
      <c r="D348" s="14">
        <f>66.7539 * CHOOSE(CONTROL!$C$9, $D$9, 100%, $F$9) + CHOOSE(CONTROL!$C$27, 0.0021, 0)</f>
        <v>66.756</v>
      </c>
      <c r="E348" s="14">
        <f>66.6172 * CHOOSE(CONTROL!$C$9, $D$9, 100%, $F$9) + CHOOSE(CONTROL!$C$27, 0.0021, 0)</f>
        <v>66.619299999999996</v>
      </c>
      <c r="F348" s="14">
        <f>66.6172 * CHOOSE(CONTROL!$C$9, $D$9, 100%, $F$9) + CHOOSE(CONTROL!$C$27, 0.0021, 0)</f>
        <v>66.619299999999996</v>
      </c>
      <c r="G348" s="14">
        <f>66.8886 * CHOOSE(CONTROL!$C$9, $D$9, 100%, $F$9) + CHOOSE(CONTROL!$C$27, 0.0021, 0)</f>
        <v>66.890699999999995</v>
      </c>
      <c r="H348" s="14">
        <f>66.7539 * CHOOSE(CONTROL!$C$9, $D$9, 100%, $F$9) + CHOOSE(CONTROL!$C$27, 0.0021, 0)</f>
        <v>66.756</v>
      </c>
      <c r="I348" s="14">
        <f>66.7539 * CHOOSE(CONTROL!$C$9, $D$9, 100%, $F$9) + CHOOSE(CONTROL!$C$27, 0.0021, 0)</f>
        <v>66.756</v>
      </c>
      <c r="J348" s="14">
        <f>66.7539 * CHOOSE(CONTROL!$C$9, $D$9, 100%, $F$9) + CHOOSE(CONTROL!$C$27, 0.0021, 0)</f>
        <v>66.756</v>
      </c>
      <c r="K348" s="14">
        <f>66.7539 * CHOOSE(CONTROL!$C$9, $D$9, 100%, $F$9) + CHOOSE(CONTROL!$C$27, 0.0021, 0)</f>
        <v>66.756</v>
      </c>
      <c r="L348" s="14"/>
    </row>
    <row r="349" spans="1:12" ht="15.75" x14ac:dyDescent="0.25">
      <c r="A349" s="33">
        <v>51560</v>
      </c>
      <c r="B349" s="14">
        <f>65.3506 * CHOOSE(CONTROL!$C$9, $D$9, 100%, $F$9) + CHOOSE(CONTROL!$C$27, 0.0021, 0)</f>
        <v>65.352699999999999</v>
      </c>
      <c r="C349" s="14">
        <f>64.9183 * CHOOSE(CONTROL!$C$9, $D$9, 100%, $F$9) + CHOOSE(CONTROL!$C$27, 0.0021, 0)</f>
        <v>64.920400000000001</v>
      </c>
      <c r="D349" s="14">
        <f>64.9183 * CHOOSE(CONTROL!$C$9, $D$9, 100%, $F$9) + CHOOSE(CONTROL!$C$27, 0.0021, 0)</f>
        <v>64.920400000000001</v>
      </c>
      <c r="E349" s="14">
        <f>64.7816 * CHOOSE(CONTROL!$C$9, $D$9, 100%, $F$9) + CHOOSE(CONTROL!$C$27, 0.0021, 0)</f>
        <v>64.783699999999996</v>
      </c>
      <c r="F349" s="14">
        <f>64.7816 * CHOOSE(CONTROL!$C$9, $D$9, 100%, $F$9) + CHOOSE(CONTROL!$C$27, 0.0021, 0)</f>
        <v>64.783699999999996</v>
      </c>
      <c r="G349" s="14">
        <f>65.053 * CHOOSE(CONTROL!$C$9, $D$9, 100%, $F$9) + CHOOSE(CONTROL!$C$27, 0.0021, 0)</f>
        <v>65.055099999999996</v>
      </c>
      <c r="H349" s="14">
        <f>64.9183 * CHOOSE(CONTROL!$C$9, $D$9, 100%, $F$9) + CHOOSE(CONTROL!$C$27, 0.0021, 0)</f>
        <v>64.920400000000001</v>
      </c>
      <c r="I349" s="14">
        <f>64.9183 * CHOOSE(CONTROL!$C$9, $D$9, 100%, $F$9) + CHOOSE(CONTROL!$C$27, 0.0021, 0)</f>
        <v>64.920400000000001</v>
      </c>
      <c r="J349" s="14">
        <f>64.9183 * CHOOSE(CONTROL!$C$9, $D$9, 100%, $F$9) + CHOOSE(CONTROL!$C$27, 0.0021, 0)</f>
        <v>64.920400000000001</v>
      </c>
      <c r="K349" s="14">
        <f>64.9183 * CHOOSE(CONTROL!$C$9, $D$9, 100%, $F$9) + CHOOSE(CONTROL!$C$27, 0.0021, 0)</f>
        <v>64.920400000000001</v>
      </c>
      <c r="L349" s="14"/>
    </row>
    <row r="350" spans="1:12" ht="15.75" x14ac:dyDescent="0.25">
      <c r="A350" s="33">
        <v>51591</v>
      </c>
      <c r="B350" s="14">
        <f>64.5928 * CHOOSE(CONTROL!$C$9, $D$9, 100%, $F$9) + CHOOSE(CONTROL!$C$27, 0.0021, 0)</f>
        <v>64.594899999999996</v>
      </c>
      <c r="C350" s="14">
        <f>64.1606 * CHOOSE(CONTROL!$C$9, $D$9, 100%, $F$9) + CHOOSE(CONTROL!$C$27, 0.0021, 0)</f>
        <v>64.162700000000001</v>
      </c>
      <c r="D350" s="14">
        <f>64.1606 * CHOOSE(CONTROL!$C$9, $D$9, 100%, $F$9) + CHOOSE(CONTROL!$C$27, 0.0021, 0)</f>
        <v>64.162700000000001</v>
      </c>
      <c r="E350" s="14">
        <f>64.0239 * CHOOSE(CONTROL!$C$9, $D$9, 100%, $F$9) + CHOOSE(CONTROL!$C$27, 0.0021, 0)</f>
        <v>64.025999999999996</v>
      </c>
      <c r="F350" s="14">
        <f>64.0239 * CHOOSE(CONTROL!$C$9, $D$9, 100%, $F$9) + CHOOSE(CONTROL!$C$27, 0.0021, 0)</f>
        <v>64.025999999999996</v>
      </c>
      <c r="G350" s="14">
        <f>64.2953 * CHOOSE(CONTROL!$C$9, $D$9, 100%, $F$9) + CHOOSE(CONTROL!$C$27, 0.0021, 0)</f>
        <v>64.297399999999996</v>
      </c>
      <c r="H350" s="14">
        <f>64.1606 * CHOOSE(CONTROL!$C$9, $D$9, 100%, $F$9) + CHOOSE(CONTROL!$C$27, 0.0021, 0)</f>
        <v>64.162700000000001</v>
      </c>
      <c r="I350" s="14">
        <f>64.1606 * CHOOSE(CONTROL!$C$9, $D$9, 100%, $F$9) + CHOOSE(CONTROL!$C$27, 0.0021, 0)</f>
        <v>64.162700000000001</v>
      </c>
      <c r="J350" s="14">
        <f>64.1606 * CHOOSE(CONTROL!$C$9, $D$9, 100%, $F$9) + CHOOSE(CONTROL!$C$27, 0.0021, 0)</f>
        <v>64.162700000000001</v>
      </c>
      <c r="K350" s="14">
        <f>64.1606 * CHOOSE(CONTROL!$C$9, $D$9, 100%, $F$9) + CHOOSE(CONTROL!$C$27, 0.0021, 0)</f>
        <v>64.162700000000001</v>
      </c>
      <c r="L350" s="14"/>
    </row>
    <row r="351" spans="1:12" ht="15.75" x14ac:dyDescent="0.25">
      <c r="A351" s="33">
        <v>51621</v>
      </c>
      <c r="B351" s="14">
        <f>63.6881 * CHOOSE(CONTROL!$C$9, $D$9, 100%, $F$9) + CHOOSE(CONTROL!$C$27, 0.0021, 0)</f>
        <v>63.690199999999997</v>
      </c>
      <c r="C351" s="14">
        <f>63.2559 * CHOOSE(CONTROL!$C$9, $D$9, 100%, $F$9) + CHOOSE(CONTROL!$C$27, 0.0021, 0)</f>
        <v>63.257999999999996</v>
      </c>
      <c r="D351" s="14">
        <f>63.2559 * CHOOSE(CONTROL!$C$9, $D$9, 100%, $F$9) + CHOOSE(CONTROL!$C$27, 0.0021, 0)</f>
        <v>63.257999999999996</v>
      </c>
      <c r="E351" s="14">
        <f>63.1192 * CHOOSE(CONTROL!$C$9, $D$9, 100%, $F$9) + CHOOSE(CONTROL!$C$27, 0.0021, 0)</f>
        <v>63.121299999999998</v>
      </c>
      <c r="F351" s="14">
        <f>63.1192 * CHOOSE(CONTROL!$C$9, $D$9, 100%, $F$9) + CHOOSE(CONTROL!$C$27, 0.0021, 0)</f>
        <v>63.121299999999998</v>
      </c>
      <c r="G351" s="14">
        <f>63.3906 * CHOOSE(CONTROL!$C$9, $D$9, 100%, $F$9) + CHOOSE(CONTROL!$C$27, 0.0021, 0)</f>
        <v>63.392699999999998</v>
      </c>
      <c r="H351" s="14">
        <f>63.2559 * CHOOSE(CONTROL!$C$9, $D$9, 100%, $F$9) + CHOOSE(CONTROL!$C$27, 0.0021, 0)</f>
        <v>63.257999999999996</v>
      </c>
      <c r="I351" s="14">
        <f>63.2559 * CHOOSE(CONTROL!$C$9, $D$9, 100%, $F$9) + CHOOSE(CONTROL!$C$27, 0.0021, 0)</f>
        <v>63.257999999999996</v>
      </c>
      <c r="J351" s="14">
        <f>63.2559 * CHOOSE(CONTROL!$C$9, $D$9, 100%, $F$9) + CHOOSE(CONTROL!$C$27, 0.0021, 0)</f>
        <v>63.257999999999996</v>
      </c>
      <c r="K351" s="14">
        <f>63.2559 * CHOOSE(CONTROL!$C$9, $D$9, 100%, $F$9) + CHOOSE(CONTROL!$C$27, 0.0021, 0)</f>
        <v>63.257999999999996</v>
      </c>
      <c r="L351" s="14"/>
    </row>
    <row r="352" spans="1:12" ht="15.75" x14ac:dyDescent="0.25">
      <c r="A352" s="33">
        <v>51652</v>
      </c>
      <c r="B352" s="14">
        <f>64.9775 * CHOOSE(CONTROL!$C$9, $D$9, 100%, $F$9) + CHOOSE(CONTROL!$C$27, 0.0021, 0)</f>
        <v>64.979600000000005</v>
      </c>
      <c r="C352" s="14">
        <f>64.5452 * CHOOSE(CONTROL!$C$9, $D$9, 100%, $F$9) + CHOOSE(CONTROL!$C$27, 0.0021, 0)</f>
        <v>64.547299999999993</v>
      </c>
      <c r="D352" s="14">
        <f>64.5452 * CHOOSE(CONTROL!$C$9, $D$9, 100%, $F$9) + CHOOSE(CONTROL!$C$27, 0.0021, 0)</f>
        <v>64.547299999999993</v>
      </c>
      <c r="E352" s="14">
        <f>64.4086 * CHOOSE(CONTROL!$C$9, $D$9, 100%, $F$9) + CHOOSE(CONTROL!$C$27, 0.0021, 0)</f>
        <v>64.410700000000006</v>
      </c>
      <c r="F352" s="14">
        <f>64.4086 * CHOOSE(CONTROL!$C$9, $D$9, 100%, $F$9) + CHOOSE(CONTROL!$C$27, 0.0021, 0)</f>
        <v>64.410700000000006</v>
      </c>
      <c r="G352" s="14">
        <f>64.6799 * CHOOSE(CONTROL!$C$9, $D$9, 100%, $F$9) + CHOOSE(CONTROL!$C$27, 0.0021, 0)</f>
        <v>64.682000000000002</v>
      </c>
      <c r="H352" s="14">
        <f>64.5452 * CHOOSE(CONTROL!$C$9, $D$9, 100%, $F$9) + CHOOSE(CONTROL!$C$27, 0.0021, 0)</f>
        <v>64.547299999999993</v>
      </c>
      <c r="I352" s="14">
        <f>64.5452 * CHOOSE(CONTROL!$C$9, $D$9, 100%, $F$9) + CHOOSE(CONTROL!$C$27, 0.0021, 0)</f>
        <v>64.547299999999993</v>
      </c>
      <c r="J352" s="14">
        <f>64.5452 * CHOOSE(CONTROL!$C$9, $D$9, 100%, $F$9) + CHOOSE(CONTROL!$C$27, 0.0021, 0)</f>
        <v>64.547299999999993</v>
      </c>
      <c r="K352" s="14">
        <f>64.5452 * CHOOSE(CONTROL!$C$9, $D$9, 100%, $F$9) + CHOOSE(CONTROL!$C$27, 0.0021, 0)</f>
        <v>64.547299999999993</v>
      </c>
      <c r="L352" s="14"/>
    </row>
    <row r="353" spans="1:12" ht="15.75" x14ac:dyDescent="0.25">
      <c r="A353" s="33">
        <v>51682</v>
      </c>
      <c r="B353" s="14">
        <f>65.7497 * CHOOSE(CONTROL!$C$9, $D$9, 100%, $F$9) + CHOOSE(CONTROL!$C$27, 0.0021, 0)</f>
        <v>65.751800000000003</v>
      </c>
      <c r="C353" s="14">
        <f>65.3175 * CHOOSE(CONTROL!$C$9, $D$9, 100%, $F$9) + CHOOSE(CONTROL!$C$27, 0.0021, 0)</f>
        <v>65.319599999999994</v>
      </c>
      <c r="D353" s="14">
        <f>65.3175 * CHOOSE(CONTROL!$C$9, $D$9, 100%, $F$9) + CHOOSE(CONTROL!$C$27, 0.0021, 0)</f>
        <v>65.319599999999994</v>
      </c>
      <c r="E353" s="14">
        <f>65.1808 * CHOOSE(CONTROL!$C$9, $D$9, 100%, $F$9) + CHOOSE(CONTROL!$C$27, 0.0021, 0)</f>
        <v>65.182900000000004</v>
      </c>
      <c r="F353" s="14">
        <f>65.1808 * CHOOSE(CONTROL!$C$9, $D$9, 100%, $F$9) + CHOOSE(CONTROL!$C$27, 0.0021, 0)</f>
        <v>65.182900000000004</v>
      </c>
      <c r="G353" s="14">
        <f>65.4522 * CHOOSE(CONTROL!$C$9, $D$9, 100%, $F$9) + CHOOSE(CONTROL!$C$27, 0.0021, 0)</f>
        <v>65.454300000000003</v>
      </c>
      <c r="H353" s="14">
        <f>65.3175 * CHOOSE(CONTROL!$C$9, $D$9, 100%, $F$9) + CHOOSE(CONTROL!$C$27, 0.0021, 0)</f>
        <v>65.319599999999994</v>
      </c>
      <c r="I353" s="14">
        <f>65.3175 * CHOOSE(CONTROL!$C$9, $D$9, 100%, $F$9) + CHOOSE(CONTROL!$C$27, 0.0021, 0)</f>
        <v>65.319599999999994</v>
      </c>
      <c r="J353" s="14">
        <f>65.3175 * CHOOSE(CONTROL!$C$9, $D$9, 100%, $F$9) + CHOOSE(CONTROL!$C$27, 0.0021, 0)</f>
        <v>65.319599999999994</v>
      </c>
      <c r="K353" s="14">
        <f>65.3175 * CHOOSE(CONTROL!$C$9, $D$9, 100%, $F$9) + CHOOSE(CONTROL!$C$27, 0.0021, 0)</f>
        <v>65.319599999999994</v>
      </c>
      <c r="L353" s="14"/>
    </row>
    <row r="354" spans="1:12" ht="15.75" x14ac:dyDescent="0.25">
      <c r="A354" s="33">
        <v>51713</v>
      </c>
      <c r="B354" s="14">
        <f>67.0237 * CHOOSE(CONTROL!$C$9, $D$9, 100%, $F$9) + CHOOSE(CONTROL!$C$27, 0.0021, 0)</f>
        <v>67.025800000000004</v>
      </c>
      <c r="C354" s="14">
        <f>66.5914 * CHOOSE(CONTROL!$C$9, $D$9, 100%, $F$9) + CHOOSE(CONTROL!$C$27, 0.0021, 0)</f>
        <v>66.593499999999992</v>
      </c>
      <c r="D354" s="14">
        <f>66.5914 * CHOOSE(CONTROL!$C$9, $D$9, 100%, $F$9) + CHOOSE(CONTROL!$C$27, 0.0021, 0)</f>
        <v>66.593499999999992</v>
      </c>
      <c r="E354" s="14">
        <f>66.4548 * CHOOSE(CONTROL!$C$9, $D$9, 100%, $F$9) + CHOOSE(CONTROL!$C$27, 0.0021, 0)</f>
        <v>66.456900000000005</v>
      </c>
      <c r="F354" s="14">
        <f>66.4548 * CHOOSE(CONTROL!$C$9, $D$9, 100%, $F$9) + CHOOSE(CONTROL!$C$27, 0.0021, 0)</f>
        <v>66.456900000000005</v>
      </c>
      <c r="G354" s="14">
        <f>66.7261 * CHOOSE(CONTROL!$C$9, $D$9, 100%, $F$9) + CHOOSE(CONTROL!$C$27, 0.0021, 0)</f>
        <v>66.728200000000001</v>
      </c>
      <c r="H354" s="14">
        <f>66.5914 * CHOOSE(CONTROL!$C$9, $D$9, 100%, $F$9) + CHOOSE(CONTROL!$C$27, 0.0021, 0)</f>
        <v>66.593499999999992</v>
      </c>
      <c r="I354" s="14">
        <f>66.5914 * CHOOSE(CONTROL!$C$9, $D$9, 100%, $F$9) + CHOOSE(CONTROL!$C$27, 0.0021, 0)</f>
        <v>66.593499999999992</v>
      </c>
      <c r="J354" s="14">
        <f>66.5914 * CHOOSE(CONTROL!$C$9, $D$9, 100%, $F$9) + CHOOSE(CONTROL!$C$27, 0.0021, 0)</f>
        <v>66.593499999999992</v>
      </c>
      <c r="K354" s="14">
        <f>66.5914 * CHOOSE(CONTROL!$C$9, $D$9, 100%, $F$9) + CHOOSE(CONTROL!$C$27, 0.0021, 0)</f>
        <v>66.593499999999992</v>
      </c>
      <c r="L354" s="14"/>
    </row>
    <row r="355" spans="1:12" ht="15.75" x14ac:dyDescent="0.25">
      <c r="A355" s="33">
        <v>51744</v>
      </c>
      <c r="B355" s="14">
        <f>67.4125 * CHOOSE(CONTROL!$C$9, $D$9, 100%, $F$9) + CHOOSE(CONTROL!$C$27, 0.0021, 0)</f>
        <v>67.414599999999993</v>
      </c>
      <c r="C355" s="14">
        <f>66.9803 * CHOOSE(CONTROL!$C$9, $D$9, 100%, $F$9) + CHOOSE(CONTROL!$C$27, 0.0021, 0)</f>
        <v>66.982399999999998</v>
      </c>
      <c r="D355" s="14">
        <f>66.9803 * CHOOSE(CONTROL!$C$9, $D$9, 100%, $F$9) + CHOOSE(CONTROL!$C$27, 0.0021, 0)</f>
        <v>66.982399999999998</v>
      </c>
      <c r="E355" s="14">
        <f>66.8436 * CHOOSE(CONTROL!$C$9, $D$9, 100%, $F$9) + CHOOSE(CONTROL!$C$27, 0.0021, 0)</f>
        <v>66.845699999999994</v>
      </c>
      <c r="F355" s="14">
        <f>66.8436 * CHOOSE(CONTROL!$C$9, $D$9, 100%, $F$9) + CHOOSE(CONTROL!$C$27, 0.0021, 0)</f>
        <v>66.845699999999994</v>
      </c>
      <c r="G355" s="14">
        <f>67.115 * CHOOSE(CONTROL!$C$9, $D$9, 100%, $F$9) + CHOOSE(CONTROL!$C$27, 0.0021, 0)</f>
        <v>67.117099999999994</v>
      </c>
      <c r="H355" s="14">
        <f>66.9803 * CHOOSE(CONTROL!$C$9, $D$9, 100%, $F$9) + CHOOSE(CONTROL!$C$27, 0.0021, 0)</f>
        <v>66.982399999999998</v>
      </c>
      <c r="I355" s="14">
        <f>66.9803 * CHOOSE(CONTROL!$C$9, $D$9, 100%, $F$9) + CHOOSE(CONTROL!$C$27, 0.0021, 0)</f>
        <v>66.982399999999998</v>
      </c>
      <c r="J355" s="14">
        <f>66.9803 * CHOOSE(CONTROL!$C$9, $D$9, 100%, $F$9) + CHOOSE(CONTROL!$C$27, 0.0021, 0)</f>
        <v>66.982399999999998</v>
      </c>
      <c r="K355" s="14">
        <f>66.9803 * CHOOSE(CONTROL!$C$9, $D$9, 100%, $F$9) + CHOOSE(CONTROL!$C$27, 0.0021, 0)</f>
        <v>66.982399999999998</v>
      </c>
      <c r="L355" s="14"/>
    </row>
    <row r="356" spans="1:12" ht="15.75" x14ac:dyDescent="0.25">
      <c r="A356" s="33">
        <v>51774</v>
      </c>
      <c r="B356" s="14">
        <f>68.7367 * CHOOSE(CONTROL!$C$9, $D$9, 100%, $F$9) + CHOOSE(CONTROL!$C$27, 0.0021, 0)</f>
        <v>68.738799999999998</v>
      </c>
      <c r="C356" s="14">
        <f>68.3045 * CHOOSE(CONTROL!$C$9, $D$9, 100%, $F$9) + CHOOSE(CONTROL!$C$27, 0.0021, 0)</f>
        <v>68.306600000000003</v>
      </c>
      <c r="D356" s="14">
        <f>68.3045 * CHOOSE(CONTROL!$C$9, $D$9, 100%, $F$9) + CHOOSE(CONTROL!$C$27, 0.0021, 0)</f>
        <v>68.306600000000003</v>
      </c>
      <c r="E356" s="14">
        <f>68.1678 * CHOOSE(CONTROL!$C$9, $D$9, 100%, $F$9) + CHOOSE(CONTROL!$C$27, 0.0021, 0)</f>
        <v>68.169899999999998</v>
      </c>
      <c r="F356" s="14">
        <f>68.1678 * CHOOSE(CONTROL!$C$9, $D$9, 100%, $F$9) + CHOOSE(CONTROL!$C$27, 0.0021, 0)</f>
        <v>68.169899999999998</v>
      </c>
      <c r="G356" s="14">
        <f>68.4392 * CHOOSE(CONTROL!$C$9, $D$9, 100%, $F$9) + CHOOSE(CONTROL!$C$27, 0.0021, 0)</f>
        <v>68.441299999999998</v>
      </c>
      <c r="H356" s="14">
        <f>68.3045 * CHOOSE(CONTROL!$C$9, $D$9, 100%, $F$9) + CHOOSE(CONTROL!$C$27, 0.0021, 0)</f>
        <v>68.306600000000003</v>
      </c>
      <c r="I356" s="14">
        <f>68.3045 * CHOOSE(CONTROL!$C$9, $D$9, 100%, $F$9) + CHOOSE(CONTROL!$C$27, 0.0021, 0)</f>
        <v>68.306600000000003</v>
      </c>
      <c r="J356" s="14">
        <f>68.3045 * CHOOSE(CONTROL!$C$9, $D$9, 100%, $F$9) + CHOOSE(CONTROL!$C$27, 0.0021, 0)</f>
        <v>68.306600000000003</v>
      </c>
      <c r="K356" s="14">
        <f>68.3045 * CHOOSE(CONTROL!$C$9, $D$9, 100%, $F$9) + CHOOSE(CONTROL!$C$27, 0.0021, 0)</f>
        <v>68.306600000000003</v>
      </c>
      <c r="L356" s="14"/>
    </row>
    <row r="357" spans="1:12" ht="15.75" x14ac:dyDescent="0.25">
      <c r="A357" s="33">
        <v>51805</v>
      </c>
      <c r="B357" s="14">
        <f>70.413 * CHOOSE(CONTROL!$C$9, $D$9, 100%, $F$9) + CHOOSE(CONTROL!$C$27, 0.0021, 0)</f>
        <v>70.415099999999995</v>
      </c>
      <c r="C357" s="14">
        <f>69.9807 * CHOOSE(CONTROL!$C$9, $D$9, 100%, $F$9) + CHOOSE(CONTROL!$C$27, 0.0021, 0)</f>
        <v>69.982799999999997</v>
      </c>
      <c r="D357" s="14">
        <f>69.9807 * CHOOSE(CONTROL!$C$9, $D$9, 100%, $F$9) + CHOOSE(CONTROL!$C$27, 0.0021, 0)</f>
        <v>69.982799999999997</v>
      </c>
      <c r="E357" s="14">
        <f>69.8441 * CHOOSE(CONTROL!$C$9, $D$9, 100%, $F$9) + CHOOSE(CONTROL!$C$27, 0.0021, 0)</f>
        <v>69.846199999999996</v>
      </c>
      <c r="F357" s="14">
        <f>69.8441 * CHOOSE(CONTROL!$C$9, $D$9, 100%, $F$9) + CHOOSE(CONTROL!$C$27, 0.0021, 0)</f>
        <v>69.846199999999996</v>
      </c>
      <c r="G357" s="14">
        <f>70.1154 * CHOOSE(CONTROL!$C$9, $D$9, 100%, $F$9) + CHOOSE(CONTROL!$C$27, 0.0021, 0)</f>
        <v>70.117499999999993</v>
      </c>
      <c r="H357" s="14">
        <f>69.9807 * CHOOSE(CONTROL!$C$9, $D$9, 100%, $F$9) + CHOOSE(CONTROL!$C$27, 0.0021, 0)</f>
        <v>69.982799999999997</v>
      </c>
      <c r="I357" s="14">
        <f>69.9807 * CHOOSE(CONTROL!$C$9, $D$9, 100%, $F$9) + CHOOSE(CONTROL!$C$27, 0.0021, 0)</f>
        <v>69.982799999999997</v>
      </c>
      <c r="J357" s="14">
        <f>69.9807 * CHOOSE(CONTROL!$C$9, $D$9, 100%, $F$9) + CHOOSE(CONTROL!$C$27, 0.0021, 0)</f>
        <v>69.982799999999997</v>
      </c>
      <c r="K357" s="14">
        <f>69.9807 * CHOOSE(CONTROL!$C$9, $D$9, 100%, $F$9) + CHOOSE(CONTROL!$C$27, 0.0021, 0)</f>
        <v>69.982799999999997</v>
      </c>
      <c r="L357" s="14"/>
    </row>
    <row r="358" spans="1:12" ht="15.75" x14ac:dyDescent="0.25">
      <c r="A358" s="33">
        <v>51835</v>
      </c>
      <c r="B358" s="14">
        <f>70.5703 * CHOOSE(CONTROL!$C$9, $D$9, 100%, $F$9) + CHOOSE(CONTROL!$C$27, 0.0021, 0)</f>
        <v>70.572400000000002</v>
      </c>
      <c r="C358" s="14">
        <f>70.1381 * CHOOSE(CONTROL!$C$9, $D$9, 100%, $F$9) + CHOOSE(CONTROL!$C$27, 0.0021, 0)</f>
        <v>70.140199999999993</v>
      </c>
      <c r="D358" s="14">
        <f>70.1381 * CHOOSE(CONTROL!$C$9, $D$9, 100%, $F$9) + CHOOSE(CONTROL!$C$27, 0.0021, 0)</f>
        <v>70.140199999999993</v>
      </c>
      <c r="E358" s="14">
        <f>70.0014 * CHOOSE(CONTROL!$C$9, $D$9, 100%, $F$9) + CHOOSE(CONTROL!$C$27, 0.0021, 0)</f>
        <v>70.003500000000003</v>
      </c>
      <c r="F358" s="14">
        <f>70.0014 * CHOOSE(CONTROL!$C$9, $D$9, 100%, $F$9) + CHOOSE(CONTROL!$C$27, 0.0021, 0)</f>
        <v>70.003500000000003</v>
      </c>
      <c r="G358" s="14">
        <f>70.2728 * CHOOSE(CONTROL!$C$9, $D$9, 100%, $F$9) + CHOOSE(CONTROL!$C$27, 0.0021, 0)</f>
        <v>70.274900000000002</v>
      </c>
      <c r="H358" s="14">
        <f>70.1381 * CHOOSE(CONTROL!$C$9, $D$9, 100%, $F$9) + CHOOSE(CONTROL!$C$27, 0.0021, 0)</f>
        <v>70.140199999999993</v>
      </c>
      <c r="I358" s="14">
        <f>70.1381 * CHOOSE(CONTROL!$C$9, $D$9, 100%, $F$9) + CHOOSE(CONTROL!$C$27, 0.0021, 0)</f>
        <v>70.140199999999993</v>
      </c>
      <c r="J358" s="14">
        <f>70.1381 * CHOOSE(CONTROL!$C$9, $D$9, 100%, $F$9) + CHOOSE(CONTROL!$C$27, 0.0021, 0)</f>
        <v>70.140199999999993</v>
      </c>
      <c r="K358" s="14">
        <f>70.1381 * CHOOSE(CONTROL!$C$9, $D$9, 100%, $F$9) + CHOOSE(CONTROL!$C$27, 0.0021, 0)</f>
        <v>70.140199999999993</v>
      </c>
      <c r="L358" s="14"/>
    </row>
    <row r="359" spans="1:12" ht="15.75" x14ac:dyDescent="0.25">
      <c r="A359" s="33">
        <v>51866</v>
      </c>
      <c r="B359" s="14">
        <f>69.2316 * CHOOSE(CONTROL!$C$9, $D$9, 100%, $F$9) + CHOOSE(CONTROL!$C$27, 0.0021, 0)</f>
        <v>69.233699999999999</v>
      </c>
      <c r="C359" s="14">
        <f>68.7993 * CHOOSE(CONTROL!$C$9, $D$9, 100%, $F$9) + CHOOSE(CONTROL!$C$27, 0.0021, 0)</f>
        <v>68.801400000000001</v>
      </c>
      <c r="D359" s="14">
        <f>68.7993 * CHOOSE(CONTROL!$C$9, $D$9, 100%, $F$9) + CHOOSE(CONTROL!$C$27, 0.0021, 0)</f>
        <v>68.801400000000001</v>
      </c>
      <c r="E359" s="14">
        <f>68.6626 * CHOOSE(CONTROL!$C$9, $D$9, 100%, $F$9) + CHOOSE(CONTROL!$C$27, 0.0021, 0)</f>
        <v>68.664699999999996</v>
      </c>
      <c r="F359" s="14">
        <f>68.6626 * CHOOSE(CONTROL!$C$9, $D$9, 100%, $F$9) + CHOOSE(CONTROL!$C$27, 0.0021, 0)</f>
        <v>68.664699999999996</v>
      </c>
      <c r="G359" s="14">
        <f>68.934 * CHOOSE(CONTROL!$C$9, $D$9, 100%, $F$9) + CHOOSE(CONTROL!$C$27, 0.0021, 0)</f>
        <v>68.936099999999996</v>
      </c>
      <c r="H359" s="14">
        <f>68.7993 * CHOOSE(CONTROL!$C$9, $D$9, 100%, $F$9) + CHOOSE(CONTROL!$C$27, 0.0021, 0)</f>
        <v>68.801400000000001</v>
      </c>
      <c r="I359" s="14">
        <f>68.7993 * CHOOSE(CONTROL!$C$9, $D$9, 100%, $F$9) + CHOOSE(CONTROL!$C$27, 0.0021, 0)</f>
        <v>68.801400000000001</v>
      </c>
      <c r="J359" s="14">
        <f>68.7993 * CHOOSE(CONTROL!$C$9, $D$9, 100%, $F$9) + CHOOSE(CONTROL!$C$27, 0.0021, 0)</f>
        <v>68.801400000000001</v>
      </c>
      <c r="K359" s="14">
        <f>68.7993 * CHOOSE(CONTROL!$C$9, $D$9, 100%, $F$9) + CHOOSE(CONTROL!$C$27, 0.0021, 0)</f>
        <v>68.801400000000001</v>
      </c>
      <c r="L359" s="14"/>
    </row>
    <row r="360" spans="1:12" ht="15.75" x14ac:dyDescent="0.25">
      <c r="A360" s="33">
        <v>51897</v>
      </c>
      <c r="B360" s="14">
        <f>68.3854 * CHOOSE(CONTROL!$C$9, $D$9, 100%, $F$9) + CHOOSE(CONTROL!$C$27, 0.0021, 0)</f>
        <v>68.387500000000003</v>
      </c>
      <c r="C360" s="14">
        <f>67.9531 * CHOOSE(CONTROL!$C$9, $D$9, 100%, $F$9) + CHOOSE(CONTROL!$C$27, 0.0021, 0)</f>
        <v>67.955200000000005</v>
      </c>
      <c r="D360" s="14">
        <f>67.9531 * CHOOSE(CONTROL!$C$9, $D$9, 100%, $F$9) + CHOOSE(CONTROL!$C$27, 0.0021, 0)</f>
        <v>67.955200000000005</v>
      </c>
      <c r="E360" s="14">
        <f>67.8165 * CHOOSE(CONTROL!$C$9, $D$9, 100%, $F$9) + CHOOSE(CONTROL!$C$27, 0.0021, 0)</f>
        <v>67.818600000000004</v>
      </c>
      <c r="F360" s="14">
        <f>67.8165 * CHOOSE(CONTROL!$C$9, $D$9, 100%, $F$9) + CHOOSE(CONTROL!$C$27, 0.0021, 0)</f>
        <v>67.818600000000004</v>
      </c>
      <c r="G360" s="14">
        <f>68.0879 * CHOOSE(CONTROL!$C$9, $D$9, 100%, $F$9) + CHOOSE(CONTROL!$C$27, 0.0021, 0)</f>
        <v>68.09</v>
      </c>
      <c r="H360" s="14">
        <f>67.9531 * CHOOSE(CONTROL!$C$9, $D$9, 100%, $F$9) + CHOOSE(CONTROL!$C$27, 0.0021, 0)</f>
        <v>67.955200000000005</v>
      </c>
      <c r="I360" s="14">
        <f>67.9531 * CHOOSE(CONTROL!$C$9, $D$9, 100%, $F$9) + CHOOSE(CONTROL!$C$27, 0.0021, 0)</f>
        <v>67.955200000000005</v>
      </c>
      <c r="J360" s="14">
        <f>67.9531 * CHOOSE(CONTROL!$C$9, $D$9, 100%, $F$9) + CHOOSE(CONTROL!$C$27, 0.0021, 0)</f>
        <v>67.955200000000005</v>
      </c>
      <c r="K360" s="14">
        <f>67.9531 * CHOOSE(CONTROL!$C$9, $D$9, 100%, $F$9) + CHOOSE(CONTROL!$C$27, 0.0021, 0)</f>
        <v>67.955200000000005</v>
      </c>
      <c r="L360" s="14"/>
    </row>
    <row r="361" spans="1:12" ht="15.75" x14ac:dyDescent="0.25">
      <c r="A361" s="33">
        <v>51925</v>
      </c>
      <c r="B361" s="14">
        <f>66.5159 * CHOOSE(CONTROL!$C$9, $D$9, 100%, $F$9) + CHOOSE(CONTROL!$C$27, 0.0021, 0)</f>
        <v>66.518000000000001</v>
      </c>
      <c r="C361" s="14">
        <f>66.0837 * CHOOSE(CONTROL!$C$9, $D$9, 100%, $F$9) + CHOOSE(CONTROL!$C$27, 0.0021, 0)</f>
        <v>66.085799999999992</v>
      </c>
      <c r="D361" s="14">
        <f>66.0837 * CHOOSE(CONTROL!$C$9, $D$9, 100%, $F$9) + CHOOSE(CONTROL!$C$27, 0.0021, 0)</f>
        <v>66.085799999999992</v>
      </c>
      <c r="E361" s="14">
        <f>65.947 * CHOOSE(CONTROL!$C$9, $D$9, 100%, $F$9) + CHOOSE(CONTROL!$C$27, 0.0021, 0)</f>
        <v>65.949100000000001</v>
      </c>
      <c r="F361" s="14">
        <f>65.947 * CHOOSE(CONTROL!$C$9, $D$9, 100%, $F$9) + CHOOSE(CONTROL!$C$27, 0.0021, 0)</f>
        <v>65.949100000000001</v>
      </c>
      <c r="G361" s="14">
        <f>66.2184 * CHOOSE(CONTROL!$C$9, $D$9, 100%, $F$9) + CHOOSE(CONTROL!$C$27, 0.0021, 0)</f>
        <v>66.220500000000001</v>
      </c>
      <c r="H361" s="14">
        <f>66.0837 * CHOOSE(CONTROL!$C$9, $D$9, 100%, $F$9) + CHOOSE(CONTROL!$C$27, 0.0021, 0)</f>
        <v>66.085799999999992</v>
      </c>
      <c r="I361" s="14">
        <f>66.0837 * CHOOSE(CONTROL!$C$9, $D$9, 100%, $F$9) + CHOOSE(CONTROL!$C$27, 0.0021, 0)</f>
        <v>66.085799999999992</v>
      </c>
      <c r="J361" s="14">
        <f>66.0837 * CHOOSE(CONTROL!$C$9, $D$9, 100%, $F$9) + CHOOSE(CONTROL!$C$27, 0.0021, 0)</f>
        <v>66.085799999999992</v>
      </c>
      <c r="K361" s="14">
        <f>66.0837 * CHOOSE(CONTROL!$C$9, $D$9, 100%, $F$9) + CHOOSE(CONTROL!$C$27, 0.0021, 0)</f>
        <v>66.085799999999992</v>
      </c>
      <c r="L361" s="14"/>
    </row>
    <row r="362" spans="1:12" ht="15.75" x14ac:dyDescent="0.25">
      <c r="A362" s="33">
        <v>51956</v>
      </c>
      <c r="B362" s="14">
        <f>65.7442 * CHOOSE(CONTROL!$C$9, $D$9, 100%, $F$9) + CHOOSE(CONTROL!$C$27, 0.0021, 0)</f>
        <v>65.746300000000005</v>
      </c>
      <c r="C362" s="14">
        <f>65.312 * CHOOSE(CONTROL!$C$9, $D$9, 100%, $F$9) + CHOOSE(CONTROL!$C$27, 0.0021, 0)</f>
        <v>65.314099999999996</v>
      </c>
      <c r="D362" s="14">
        <f>65.312 * CHOOSE(CONTROL!$C$9, $D$9, 100%, $F$9) + CHOOSE(CONTROL!$C$27, 0.0021, 0)</f>
        <v>65.314099999999996</v>
      </c>
      <c r="E362" s="14">
        <f>65.1753 * CHOOSE(CONTROL!$C$9, $D$9, 100%, $F$9) + CHOOSE(CONTROL!$C$27, 0.0021, 0)</f>
        <v>65.177399999999992</v>
      </c>
      <c r="F362" s="14">
        <f>65.1753 * CHOOSE(CONTROL!$C$9, $D$9, 100%, $F$9) + CHOOSE(CONTROL!$C$27, 0.0021, 0)</f>
        <v>65.177399999999992</v>
      </c>
      <c r="G362" s="14">
        <f>65.4467 * CHOOSE(CONTROL!$C$9, $D$9, 100%, $F$9) + CHOOSE(CONTROL!$C$27, 0.0021, 0)</f>
        <v>65.448800000000006</v>
      </c>
      <c r="H362" s="14">
        <f>65.312 * CHOOSE(CONTROL!$C$9, $D$9, 100%, $F$9) + CHOOSE(CONTROL!$C$27, 0.0021, 0)</f>
        <v>65.314099999999996</v>
      </c>
      <c r="I362" s="14">
        <f>65.312 * CHOOSE(CONTROL!$C$9, $D$9, 100%, $F$9) + CHOOSE(CONTROL!$C$27, 0.0021, 0)</f>
        <v>65.314099999999996</v>
      </c>
      <c r="J362" s="14">
        <f>65.312 * CHOOSE(CONTROL!$C$9, $D$9, 100%, $F$9) + CHOOSE(CONTROL!$C$27, 0.0021, 0)</f>
        <v>65.314099999999996</v>
      </c>
      <c r="K362" s="14">
        <f>65.312 * CHOOSE(CONTROL!$C$9, $D$9, 100%, $F$9) + CHOOSE(CONTROL!$C$27, 0.0021, 0)</f>
        <v>65.314099999999996</v>
      </c>
      <c r="L362" s="14"/>
    </row>
    <row r="363" spans="1:12" ht="15.75" x14ac:dyDescent="0.25">
      <c r="A363" s="33">
        <v>51986</v>
      </c>
      <c r="B363" s="14">
        <f>64.8228 * CHOOSE(CONTROL!$C$9, $D$9, 100%, $F$9) + CHOOSE(CONTROL!$C$27, 0.0021, 0)</f>
        <v>64.8249</v>
      </c>
      <c r="C363" s="14">
        <f>64.3905 * CHOOSE(CONTROL!$C$9, $D$9, 100%, $F$9) + CHOOSE(CONTROL!$C$27, 0.0021, 0)</f>
        <v>64.392600000000002</v>
      </c>
      <c r="D363" s="14">
        <f>64.3905 * CHOOSE(CONTROL!$C$9, $D$9, 100%, $F$9) + CHOOSE(CONTROL!$C$27, 0.0021, 0)</f>
        <v>64.392600000000002</v>
      </c>
      <c r="E363" s="14">
        <f>64.2539 * CHOOSE(CONTROL!$C$9, $D$9, 100%, $F$9) + CHOOSE(CONTROL!$C$27, 0.0021, 0)</f>
        <v>64.256</v>
      </c>
      <c r="F363" s="14">
        <f>64.2539 * CHOOSE(CONTROL!$C$9, $D$9, 100%, $F$9) + CHOOSE(CONTROL!$C$27, 0.0021, 0)</f>
        <v>64.256</v>
      </c>
      <c r="G363" s="14">
        <f>64.5252 * CHOOSE(CONTROL!$C$9, $D$9, 100%, $F$9) + CHOOSE(CONTROL!$C$27, 0.0021, 0)</f>
        <v>64.527299999999997</v>
      </c>
      <c r="H363" s="14">
        <f>64.3905 * CHOOSE(CONTROL!$C$9, $D$9, 100%, $F$9) + CHOOSE(CONTROL!$C$27, 0.0021, 0)</f>
        <v>64.392600000000002</v>
      </c>
      <c r="I363" s="14">
        <f>64.3905 * CHOOSE(CONTROL!$C$9, $D$9, 100%, $F$9) + CHOOSE(CONTROL!$C$27, 0.0021, 0)</f>
        <v>64.392600000000002</v>
      </c>
      <c r="J363" s="14">
        <f>64.3905 * CHOOSE(CONTROL!$C$9, $D$9, 100%, $F$9) + CHOOSE(CONTROL!$C$27, 0.0021, 0)</f>
        <v>64.392600000000002</v>
      </c>
      <c r="K363" s="14">
        <f>64.3905 * CHOOSE(CONTROL!$C$9, $D$9, 100%, $F$9) + CHOOSE(CONTROL!$C$27, 0.0021, 0)</f>
        <v>64.392600000000002</v>
      </c>
      <c r="L363" s="14"/>
    </row>
    <row r="364" spans="1:12" ht="15.75" x14ac:dyDescent="0.25">
      <c r="A364" s="33">
        <v>52017</v>
      </c>
      <c r="B364" s="14">
        <f>66.1359 * CHOOSE(CONTROL!$C$9, $D$9, 100%, $F$9) + CHOOSE(CONTROL!$C$27, 0.0021, 0)</f>
        <v>66.138000000000005</v>
      </c>
      <c r="C364" s="14">
        <f>65.7037 * CHOOSE(CONTROL!$C$9, $D$9, 100%, $F$9) + CHOOSE(CONTROL!$C$27, 0.0021, 0)</f>
        <v>65.705799999999996</v>
      </c>
      <c r="D364" s="14">
        <f>65.7037 * CHOOSE(CONTROL!$C$9, $D$9, 100%, $F$9) + CHOOSE(CONTROL!$C$27, 0.0021, 0)</f>
        <v>65.705799999999996</v>
      </c>
      <c r="E364" s="14">
        <f>65.567 * CHOOSE(CONTROL!$C$9, $D$9, 100%, $F$9) + CHOOSE(CONTROL!$C$27, 0.0021, 0)</f>
        <v>65.569099999999992</v>
      </c>
      <c r="F364" s="14">
        <f>65.567 * CHOOSE(CONTROL!$C$9, $D$9, 100%, $F$9) + CHOOSE(CONTROL!$C$27, 0.0021, 0)</f>
        <v>65.569099999999992</v>
      </c>
      <c r="G364" s="14">
        <f>65.8384 * CHOOSE(CONTROL!$C$9, $D$9, 100%, $F$9) + CHOOSE(CONTROL!$C$27, 0.0021, 0)</f>
        <v>65.840499999999992</v>
      </c>
      <c r="H364" s="14">
        <f>65.7037 * CHOOSE(CONTROL!$C$9, $D$9, 100%, $F$9) + CHOOSE(CONTROL!$C$27, 0.0021, 0)</f>
        <v>65.705799999999996</v>
      </c>
      <c r="I364" s="14">
        <f>65.7037 * CHOOSE(CONTROL!$C$9, $D$9, 100%, $F$9) + CHOOSE(CONTROL!$C$27, 0.0021, 0)</f>
        <v>65.705799999999996</v>
      </c>
      <c r="J364" s="14">
        <f>65.7037 * CHOOSE(CONTROL!$C$9, $D$9, 100%, $F$9) + CHOOSE(CONTROL!$C$27, 0.0021, 0)</f>
        <v>65.705799999999996</v>
      </c>
      <c r="K364" s="14">
        <f>65.7037 * CHOOSE(CONTROL!$C$9, $D$9, 100%, $F$9) + CHOOSE(CONTROL!$C$27, 0.0021, 0)</f>
        <v>65.705799999999996</v>
      </c>
      <c r="L364" s="14"/>
    </row>
    <row r="365" spans="1:12" ht="15.75" x14ac:dyDescent="0.25">
      <c r="A365" s="33">
        <v>52047</v>
      </c>
      <c r="B365" s="14">
        <f>66.9225 * CHOOSE(CONTROL!$C$9, $D$9, 100%, $F$9) + CHOOSE(CONTROL!$C$27, 0.0021, 0)</f>
        <v>66.924599999999998</v>
      </c>
      <c r="C365" s="14">
        <f>66.4902 * CHOOSE(CONTROL!$C$9, $D$9, 100%, $F$9) + CHOOSE(CONTROL!$C$27, 0.0021, 0)</f>
        <v>66.4923</v>
      </c>
      <c r="D365" s="14">
        <f>66.4902 * CHOOSE(CONTROL!$C$9, $D$9, 100%, $F$9) + CHOOSE(CONTROL!$C$27, 0.0021, 0)</f>
        <v>66.4923</v>
      </c>
      <c r="E365" s="14">
        <f>66.3536 * CHOOSE(CONTROL!$C$9, $D$9, 100%, $F$9) + CHOOSE(CONTROL!$C$27, 0.0021, 0)</f>
        <v>66.355699999999999</v>
      </c>
      <c r="F365" s="14">
        <f>66.3536 * CHOOSE(CONTROL!$C$9, $D$9, 100%, $F$9) + CHOOSE(CONTROL!$C$27, 0.0021, 0)</f>
        <v>66.355699999999999</v>
      </c>
      <c r="G365" s="14">
        <f>66.6249 * CHOOSE(CONTROL!$C$9, $D$9, 100%, $F$9) + CHOOSE(CONTROL!$C$27, 0.0021, 0)</f>
        <v>66.626999999999995</v>
      </c>
      <c r="H365" s="14">
        <f>66.4902 * CHOOSE(CONTROL!$C$9, $D$9, 100%, $F$9) + CHOOSE(CONTROL!$C$27, 0.0021, 0)</f>
        <v>66.4923</v>
      </c>
      <c r="I365" s="14">
        <f>66.4902 * CHOOSE(CONTROL!$C$9, $D$9, 100%, $F$9) + CHOOSE(CONTROL!$C$27, 0.0021, 0)</f>
        <v>66.4923</v>
      </c>
      <c r="J365" s="14">
        <f>66.4902 * CHOOSE(CONTROL!$C$9, $D$9, 100%, $F$9) + CHOOSE(CONTROL!$C$27, 0.0021, 0)</f>
        <v>66.4923</v>
      </c>
      <c r="K365" s="14">
        <f>66.4902 * CHOOSE(CONTROL!$C$9, $D$9, 100%, $F$9) + CHOOSE(CONTROL!$C$27, 0.0021, 0)</f>
        <v>66.4923</v>
      </c>
      <c r="L365" s="14"/>
    </row>
    <row r="366" spans="1:12" ht="15.75" x14ac:dyDescent="0.25">
      <c r="A366" s="33">
        <v>52078</v>
      </c>
      <c r="B366" s="14">
        <f>68.22 * CHOOSE(CONTROL!$C$9, $D$9, 100%, $F$9) + CHOOSE(CONTROL!$C$27, 0.0021, 0)</f>
        <v>68.222099999999998</v>
      </c>
      <c r="C366" s="14">
        <f>67.7877 * CHOOSE(CONTROL!$C$9, $D$9, 100%, $F$9) + CHOOSE(CONTROL!$C$27, 0.0021, 0)</f>
        <v>67.7898</v>
      </c>
      <c r="D366" s="14">
        <f>67.7877 * CHOOSE(CONTROL!$C$9, $D$9, 100%, $F$9) + CHOOSE(CONTROL!$C$27, 0.0021, 0)</f>
        <v>67.7898</v>
      </c>
      <c r="E366" s="14">
        <f>67.651 * CHOOSE(CONTROL!$C$9, $D$9, 100%, $F$9) + CHOOSE(CONTROL!$C$27, 0.0021, 0)</f>
        <v>67.653099999999995</v>
      </c>
      <c r="F366" s="14">
        <f>67.651 * CHOOSE(CONTROL!$C$9, $D$9, 100%, $F$9) + CHOOSE(CONTROL!$C$27, 0.0021, 0)</f>
        <v>67.653099999999995</v>
      </c>
      <c r="G366" s="14">
        <f>67.9224 * CHOOSE(CONTROL!$C$9, $D$9, 100%, $F$9) + CHOOSE(CONTROL!$C$27, 0.0021, 0)</f>
        <v>67.924499999999995</v>
      </c>
      <c r="H366" s="14">
        <f>67.7877 * CHOOSE(CONTROL!$C$9, $D$9, 100%, $F$9) + CHOOSE(CONTROL!$C$27, 0.0021, 0)</f>
        <v>67.7898</v>
      </c>
      <c r="I366" s="14">
        <f>67.7877 * CHOOSE(CONTROL!$C$9, $D$9, 100%, $F$9) + CHOOSE(CONTROL!$C$27, 0.0021, 0)</f>
        <v>67.7898</v>
      </c>
      <c r="J366" s="14">
        <f>67.7877 * CHOOSE(CONTROL!$C$9, $D$9, 100%, $F$9) + CHOOSE(CONTROL!$C$27, 0.0021, 0)</f>
        <v>67.7898</v>
      </c>
      <c r="K366" s="14">
        <f>67.7877 * CHOOSE(CONTROL!$C$9, $D$9, 100%, $F$9) + CHOOSE(CONTROL!$C$27, 0.0021, 0)</f>
        <v>67.7898</v>
      </c>
      <c r="L366" s="14"/>
    </row>
    <row r="367" spans="1:12" ht="15.75" x14ac:dyDescent="0.25">
      <c r="A367" s="33">
        <v>52109</v>
      </c>
      <c r="B367" s="14">
        <f>68.616 * CHOOSE(CONTROL!$C$9, $D$9, 100%, $F$9) + CHOOSE(CONTROL!$C$27, 0.0021, 0)</f>
        <v>68.618099999999998</v>
      </c>
      <c r="C367" s="14">
        <f>68.1837 * CHOOSE(CONTROL!$C$9, $D$9, 100%, $F$9) + CHOOSE(CONTROL!$C$27, 0.0021, 0)</f>
        <v>68.1858</v>
      </c>
      <c r="D367" s="14">
        <f>68.1837 * CHOOSE(CONTROL!$C$9, $D$9, 100%, $F$9) + CHOOSE(CONTROL!$C$27, 0.0021, 0)</f>
        <v>68.1858</v>
      </c>
      <c r="E367" s="14">
        <f>68.0471 * CHOOSE(CONTROL!$C$9, $D$9, 100%, $F$9) + CHOOSE(CONTROL!$C$27, 0.0021, 0)</f>
        <v>68.049199999999999</v>
      </c>
      <c r="F367" s="14">
        <f>68.0471 * CHOOSE(CONTROL!$C$9, $D$9, 100%, $F$9) + CHOOSE(CONTROL!$C$27, 0.0021, 0)</f>
        <v>68.049199999999999</v>
      </c>
      <c r="G367" s="14">
        <f>68.3185 * CHOOSE(CONTROL!$C$9, $D$9, 100%, $F$9) + CHOOSE(CONTROL!$C$27, 0.0021, 0)</f>
        <v>68.320599999999999</v>
      </c>
      <c r="H367" s="14">
        <f>68.1837 * CHOOSE(CONTROL!$C$9, $D$9, 100%, $F$9) + CHOOSE(CONTROL!$C$27, 0.0021, 0)</f>
        <v>68.1858</v>
      </c>
      <c r="I367" s="14">
        <f>68.1837 * CHOOSE(CONTROL!$C$9, $D$9, 100%, $F$9) + CHOOSE(CONTROL!$C$27, 0.0021, 0)</f>
        <v>68.1858</v>
      </c>
      <c r="J367" s="14">
        <f>68.1837 * CHOOSE(CONTROL!$C$9, $D$9, 100%, $F$9) + CHOOSE(CONTROL!$C$27, 0.0021, 0)</f>
        <v>68.1858</v>
      </c>
      <c r="K367" s="14">
        <f>68.1837 * CHOOSE(CONTROL!$C$9, $D$9, 100%, $F$9) + CHOOSE(CONTROL!$C$27, 0.0021, 0)</f>
        <v>68.1858</v>
      </c>
      <c r="L367" s="14"/>
    </row>
    <row r="368" spans="1:12" ht="15.75" x14ac:dyDescent="0.25">
      <c r="A368" s="33">
        <v>52139</v>
      </c>
      <c r="B368" s="14">
        <f>69.9647 * CHOOSE(CONTROL!$C$9, $D$9, 100%, $F$9) + CHOOSE(CONTROL!$C$27, 0.0021, 0)</f>
        <v>69.966799999999992</v>
      </c>
      <c r="C368" s="14">
        <f>69.5324 * CHOOSE(CONTROL!$C$9, $D$9, 100%, $F$9) + CHOOSE(CONTROL!$C$27, 0.0021, 0)</f>
        <v>69.534499999999994</v>
      </c>
      <c r="D368" s="14">
        <f>69.5324 * CHOOSE(CONTROL!$C$9, $D$9, 100%, $F$9) + CHOOSE(CONTROL!$C$27, 0.0021, 0)</f>
        <v>69.534499999999994</v>
      </c>
      <c r="E368" s="14">
        <f>69.3958 * CHOOSE(CONTROL!$C$9, $D$9, 100%, $F$9) + CHOOSE(CONTROL!$C$27, 0.0021, 0)</f>
        <v>69.397899999999993</v>
      </c>
      <c r="F368" s="14">
        <f>69.3958 * CHOOSE(CONTROL!$C$9, $D$9, 100%, $F$9) + CHOOSE(CONTROL!$C$27, 0.0021, 0)</f>
        <v>69.397899999999993</v>
      </c>
      <c r="G368" s="14">
        <f>69.6671 * CHOOSE(CONTROL!$C$9, $D$9, 100%, $F$9) + CHOOSE(CONTROL!$C$27, 0.0021, 0)</f>
        <v>69.669200000000004</v>
      </c>
      <c r="H368" s="14">
        <f>69.5324 * CHOOSE(CONTROL!$C$9, $D$9, 100%, $F$9) + CHOOSE(CONTROL!$C$27, 0.0021, 0)</f>
        <v>69.534499999999994</v>
      </c>
      <c r="I368" s="14">
        <f>69.5324 * CHOOSE(CONTROL!$C$9, $D$9, 100%, $F$9) + CHOOSE(CONTROL!$C$27, 0.0021, 0)</f>
        <v>69.534499999999994</v>
      </c>
      <c r="J368" s="14">
        <f>69.5324 * CHOOSE(CONTROL!$C$9, $D$9, 100%, $F$9) + CHOOSE(CONTROL!$C$27, 0.0021, 0)</f>
        <v>69.534499999999994</v>
      </c>
      <c r="K368" s="14">
        <f>69.5324 * CHOOSE(CONTROL!$C$9, $D$9, 100%, $F$9) + CHOOSE(CONTROL!$C$27, 0.0021, 0)</f>
        <v>69.534499999999994</v>
      </c>
      <c r="L368" s="14"/>
    </row>
    <row r="369" spans="1:12" ht="15.75" x14ac:dyDescent="0.25">
      <c r="A369" s="33">
        <v>52170</v>
      </c>
      <c r="B369" s="14">
        <f>71.6719 * CHOOSE(CONTROL!$C$9, $D$9, 100%, $F$9) + CHOOSE(CONTROL!$C$27, 0.0021, 0)</f>
        <v>71.673999999999992</v>
      </c>
      <c r="C369" s="14">
        <f>71.2396 * CHOOSE(CONTROL!$C$9, $D$9, 100%, $F$9) + CHOOSE(CONTROL!$C$27, 0.0021, 0)</f>
        <v>71.241699999999994</v>
      </c>
      <c r="D369" s="14">
        <f>71.2396 * CHOOSE(CONTROL!$C$9, $D$9, 100%, $F$9) + CHOOSE(CONTROL!$C$27, 0.0021, 0)</f>
        <v>71.241699999999994</v>
      </c>
      <c r="E369" s="14">
        <f>71.103 * CHOOSE(CONTROL!$C$9, $D$9, 100%, $F$9) + CHOOSE(CONTROL!$C$27, 0.0021, 0)</f>
        <v>71.105099999999993</v>
      </c>
      <c r="F369" s="14">
        <f>71.103 * CHOOSE(CONTROL!$C$9, $D$9, 100%, $F$9) + CHOOSE(CONTROL!$C$27, 0.0021, 0)</f>
        <v>71.105099999999993</v>
      </c>
      <c r="G369" s="14">
        <f>71.3744 * CHOOSE(CONTROL!$C$9, $D$9, 100%, $F$9) + CHOOSE(CONTROL!$C$27, 0.0021, 0)</f>
        <v>71.376499999999993</v>
      </c>
      <c r="H369" s="14">
        <f>71.2396 * CHOOSE(CONTROL!$C$9, $D$9, 100%, $F$9) + CHOOSE(CONTROL!$C$27, 0.0021, 0)</f>
        <v>71.241699999999994</v>
      </c>
      <c r="I369" s="14">
        <f>71.2396 * CHOOSE(CONTROL!$C$9, $D$9, 100%, $F$9) + CHOOSE(CONTROL!$C$27, 0.0021, 0)</f>
        <v>71.241699999999994</v>
      </c>
      <c r="J369" s="14">
        <f>71.2396 * CHOOSE(CONTROL!$C$9, $D$9, 100%, $F$9) + CHOOSE(CONTROL!$C$27, 0.0021, 0)</f>
        <v>71.241699999999994</v>
      </c>
      <c r="K369" s="14">
        <f>71.2396 * CHOOSE(CONTROL!$C$9, $D$9, 100%, $F$9) + CHOOSE(CONTROL!$C$27, 0.0021, 0)</f>
        <v>71.241699999999994</v>
      </c>
      <c r="L369" s="14"/>
    </row>
    <row r="370" spans="1:12" ht="15.75" x14ac:dyDescent="0.25">
      <c r="A370" s="33">
        <v>52200</v>
      </c>
      <c r="B370" s="14">
        <f>71.8322 * CHOOSE(CONTROL!$C$9, $D$9, 100%, $F$9) + CHOOSE(CONTROL!$C$27, 0.0021, 0)</f>
        <v>71.834299999999999</v>
      </c>
      <c r="C370" s="14">
        <f>71.3999 * CHOOSE(CONTROL!$C$9, $D$9, 100%, $F$9) + CHOOSE(CONTROL!$C$27, 0.0021, 0)</f>
        <v>71.402000000000001</v>
      </c>
      <c r="D370" s="14">
        <f>71.3999 * CHOOSE(CONTROL!$C$9, $D$9, 100%, $F$9) + CHOOSE(CONTROL!$C$27, 0.0021, 0)</f>
        <v>71.402000000000001</v>
      </c>
      <c r="E370" s="14">
        <f>71.2632 * CHOOSE(CONTROL!$C$9, $D$9, 100%, $F$9) + CHOOSE(CONTROL!$C$27, 0.0021, 0)</f>
        <v>71.265299999999996</v>
      </c>
      <c r="F370" s="14">
        <f>71.2632 * CHOOSE(CONTROL!$C$9, $D$9, 100%, $F$9) + CHOOSE(CONTROL!$C$27, 0.0021, 0)</f>
        <v>71.265299999999996</v>
      </c>
      <c r="G370" s="14">
        <f>71.5346 * CHOOSE(CONTROL!$C$9, $D$9, 100%, $F$9) + CHOOSE(CONTROL!$C$27, 0.0021, 0)</f>
        <v>71.536699999999996</v>
      </c>
      <c r="H370" s="14">
        <f>71.3999 * CHOOSE(CONTROL!$C$9, $D$9, 100%, $F$9) + CHOOSE(CONTROL!$C$27, 0.0021, 0)</f>
        <v>71.402000000000001</v>
      </c>
      <c r="I370" s="14">
        <f>71.3999 * CHOOSE(CONTROL!$C$9, $D$9, 100%, $F$9) + CHOOSE(CONTROL!$C$27, 0.0021, 0)</f>
        <v>71.402000000000001</v>
      </c>
      <c r="J370" s="14">
        <f>71.3999 * CHOOSE(CONTROL!$C$9, $D$9, 100%, $F$9) + CHOOSE(CONTROL!$C$27, 0.0021, 0)</f>
        <v>71.402000000000001</v>
      </c>
      <c r="K370" s="14">
        <f>71.3999 * CHOOSE(CONTROL!$C$9, $D$9, 100%, $F$9) + CHOOSE(CONTROL!$C$27, 0.0021, 0)</f>
        <v>71.402000000000001</v>
      </c>
      <c r="L370" s="14"/>
    </row>
    <row r="371" spans="1:12" ht="15.75" x14ac:dyDescent="0.25">
      <c r="A371" s="33">
        <v>52231</v>
      </c>
      <c r="B371" s="14">
        <f>70.4686 * CHOOSE(CONTROL!$C$9, $D$9, 100%, $F$9) + CHOOSE(CONTROL!$C$27, 0.0021, 0)</f>
        <v>70.470699999999994</v>
      </c>
      <c r="C371" s="14">
        <f>70.0364 * CHOOSE(CONTROL!$C$9, $D$9, 100%, $F$9) + CHOOSE(CONTROL!$C$27, 0.0021, 0)</f>
        <v>70.038499999999999</v>
      </c>
      <c r="D371" s="14">
        <f>70.0364 * CHOOSE(CONTROL!$C$9, $D$9, 100%, $F$9) + CHOOSE(CONTROL!$C$27, 0.0021, 0)</f>
        <v>70.038499999999999</v>
      </c>
      <c r="E371" s="14">
        <f>69.8997 * CHOOSE(CONTROL!$C$9, $D$9, 100%, $F$9) + CHOOSE(CONTROL!$C$27, 0.0021, 0)</f>
        <v>69.901799999999994</v>
      </c>
      <c r="F371" s="14">
        <f>69.8997 * CHOOSE(CONTROL!$C$9, $D$9, 100%, $F$9) + CHOOSE(CONTROL!$C$27, 0.0021, 0)</f>
        <v>69.901799999999994</v>
      </c>
      <c r="G371" s="14">
        <f>70.1711 * CHOOSE(CONTROL!$C$9, $D$9, 100%, $F$9) + CHOOSE(CONTROL!$C$27, 0.0021, 0)</f>
        <v>70.173199999999994</v>
      </c>
      <c r="H371" s="14">
        <f>70.0364 * CHOOSE(CONTROL!$C$9, $D$9, 100%, $F$9) + CHOOSE(CONTROL!$C$27, 0.0021, 0)</f>
        <v>70.038499999999999</v>
      </c>
      <c r="I371" s="14">
        <f>70.0364 * CHOOSE(CONTROL!$C$9, $D$9, 100%, $F$9) + CHOOSE(CONTROL!$C$27, 0.0021, 0)</f>
        <v>70.038499999999999</v>
      </c>
      <c r="J371" s="14">
        <f>70.0364 * CHOOSE(CONTROL!$C$9, $D$9, 100%, $F$9) + CHOOSE(CONTROL!$C$27, 0.0021, 0)</f>
        <v>70.038499999999999</v>
      </c>
      <c r="K371" s="14">
        <f>70.0364 * CHOOSE(CONTROL!$C$9, $D$9, 100%, $F$9) + CHOOSE(CONTROL!$C$27, 0.0021, 0)</f>
        <v>70.038499999999999</v>
      </c>
      <c r="L371" s="14"/>
    </row>
    <row r="372" spans="1:12" ht="15.75" x14ac:dyDescent="0.25">
      <c r="A372" s="33">
        <v>52262</v>
      </c>
      <c r="B372" s="14">
        <f>69.6068 * CHOOSE(CONTROL!$C$9, $D$9, 100%, $F$9) + CHOOSE(CONTROL!$C$27, 0.0021, 0)</f>
        <v>69.608900000000006</v>
      </c>
      <c r="C372" s="14">
        <f>69.1746 * CHOOSE(CONTROL!$C$9, $D$9, 100%, $F$9) + CHOOSE(CONTROL!$C$27, 0.0021, 0)</f>
        <v>69.176699999999997</v>
      </c>
      <c r="D372" s="14">
        <f>69.1746 * CHOOSE(CONTROL!$C$9, $D$9, 100%, $F$9) + CHOOSE(CONTROL!$C$27, 0.0021, 0)</f>
        <v>69.176699999999997</v>
      </c>
      <c r="E372" s="14">
        <f>69.0379 * CHOOSE(CONTROL!$C$9, $D$9, 100%, $F$9) + CHOOSE(CONTROL!$C$27, 0.0021, 0)</f>
        <v>69.039999999999992</v>
      </c>
      <c r="F372" s="14">
        <f>69.0379 * CHOOSE(CONTROL!$C$9, $D$9, 100%, $F$9) + CHOOSE(CONTROL!$C$27, 0.0021, 0)</f>
        <v>69.039999999999992</v>
      </c>
      <c r="G372" s="14">
        <f>69.3093 * CHOOSE(CONTROL!$C$9, $D$9, 100%, $F$9) + CHOOSE(CONTROL!$C$27, 0.0021, 0)</f>
        <v>69.311399999999992</v>
      </c>
      <c r="H372" s="14">
        <f>69.1746 * CHOOSE(CONTROL!$C$9, $D$9, 100%, $F$9) + CHOOSE(CONTROL!$C$27, 0.0021, 0)</f>
        <v>69.176699999999997</v>
      </c>
      <c r="I372" s="14">
        <f>69.1746 * CHOOSE(CONTROL!$C$9, $D$9, 100%, $F$9) + CHOOSE(CONTROL!$C$27, 0.0021, 0)</f>
        <v>69.176699999999997</v>
      </c>
      <c r="J372" s="14">
        <f>69.1746 * CHOOSE(CONTROL!$C$9, $D$9, 100%, $F$9) + CHOOSE(CONTROL!$C$27, 0.0021, 0)</f>
        <v>69.176699999999997</v>
      </c>
      <c r="K372" s="14">
        <f>69.1746 * CHOOSE(CONTROL!$C$9, $D$9, 100%, $F$9) + CHOOSE(CONTROL!$C$27, 0.0021, 0)</f>
        <v>69.176699999999997</v>
      </c>
      <c r="L372" s="14"/>
    </row>
    <row r="373" spans="1:12" ht="15.75" x14ac:dyDescent="0.25">
      <c r="A373" s="33">
        <v>52290</v>
      </c>
      <c r="B373" s="14">
        <f>67.7028 * CHOOSE(CONTROL!$C$9, $D$9, 100%, $F$9) + CHOOSE(CONTROL!$C$27, 0.0021, 0)</f>
        <v>67.704899999999995</v>
      </c>
      <c r="C373" s="14">
        <f>67.2706 * CHOOSE(CONTROL!$C$9, $D$9, 100%, $F$9) + CHOOSE(CONTROL!$C$27, 0.0021, 0)</f>
        <v>67.2727</v>
      </c>
      <c r="D373" s="14">
        <f>67.2706 * CHOOSE(CONTROL!$C$9, $D$9, 100%, $F$9) + CHOOSE(CONTROL!$C$27, 0.0021, 0)</f>
        <v>67.2727</v>
      </c>
      <c r="E373" s="14">
        <f>67.1339 * CHOOSE(CONTROL!$C$9, $D$9, 100%, $F$9) + CHOOSE(CONTROL!$C$27, 0.0021, 0)</f>
        <v>67.135999999999996</v>
      </c>
      <c r="F373" s="14">
        <f>67.1339 * CHOOSE(CONTROL!$C$9, $D$9, 100%, $F$9) + CHOOSE(CONTROL!$C$27, 0.0021, 0)</f>
        <v>67.135999999999996</v>
      </c>
      <c r="G373" s="14">
        <f>67.4053 * CHOOSE(CONTROL!$C$9, $D$9, 100%, $F$9) + CHOOSE(CONTROL!$C$27, 0.0021, 0)</f>
        <v>67.407399999999996</v>
      </c>
      <c r="H373" s="14">
        <f>67.2706 * CHOOSE(CONTROL!$C$9, $D$9, 100%, $F$9) + CHOOSE(CONTROL!$C$27, 0.0021, 0)</f>
        <v>67.2727</v>
      </c>
      <c r="I373" s="14">
        <f>67.2706 * CHOOSE(CONTROL!$C$9, $D$9, 100%, $F$9) + CHOOSE(CONTROL!$C$27, 0.0021, 0)</f>
        <v>67.2727</v>
      </c>
      <c r="J373" s="14">
        <f>67.2706 * CHOOSE(CONTROL!$C$9, $D$9, 100%, $F$9) + CHOOSE(CONTROL!$C$27, 0.0021, 0)</f>
        <v>67.2727</v>
      </c>
      <c r="K373" s="14">
        <f>67.2706 * CHOOSE(CONTROL!$C$9, $D$9, 100%, $F$9) + CHOOSE(CONTROL!$C$27, 0.0021, 0)</f>
        <v>67.2727</v>
      </c>
      <c r="L373" s="14"/>
    </row>
    <row r="374" spans="1:12" ht="15.75" x14ac:dyDescent="0.25">
      <c r="A374" s="33">
        <v>52321</v>
      </c>
      <c r="B374" s="14">
        <f>66.9168 * CHOOSE(CONTROL!$C$9, $D$9, 100%, $F$9) + CHOOSE(CONTROL!$C$27, 0.0021, 0)</f>
        <v>66.918899999999994</v>
      </c>
      <c r="C374" s="14">
        <f>66.4846 * CHOOSE(CONTROL!$C$9, $D$9, 100%, $F$9) + CHOOSE(CONTROL!$C$27, 0.0021, 0)</f>
        <v>66.486699999999999</v>
      </c>
      <c r="D374" s="14">
        <f>66.4846 * CHOOSE(CONTROL!$C$9, $D$9, 100%, $F$9) + CHOOSE(CONTROL!$C$27, 0.0021, 0)</f>
        <v>66.486699999999999</v>
      </c>
      <c r="E374" s="14">
        <f>66.3479 * CHOOSE(CONTROL!$C$9, $D$9, 100%, $F$9) + CHOOSE(CONTROL!$C$27, 0.0021, 0)</f>
        <v>66.349999999999994</v>
      </c>
      <c r="F374" s="14">
        <f>66.3479 * CHOOSE(CONTROL!$C$9, $D$9, 100%, $F$9) + CHOOSE(CONTROL!$C$27, 0.0021, 0)</f>
        <v>66.349999999999994</v>
      </c>
      <c r="G374" s="14">
        <f>66.6193 * CHOOSE(CONTROL!$C$9, $D$9, 100%, $F$9) + CHOOSE(CONTROL!$C$27, 0.0021, 0)</f>
        <v>66.621399999999994</v>
      </c>
      <c r="H374" s="14">
        <f>66.4846 * CHOOSE(CONTROL!$C$9, $D$9, 100%, $F$9) + CHOOSE(CONTROL!$C$27, 0.0021, 0)</f>
        <v>66.486699999999999</v>
      </c>
      <c r="I374" s="14">
        <f>66.4846 * CHOOSE(CONTROL!$C$9, $D$9, 100%, $F$9) + CHOOSE(CONTROL!$C$27, 0.0021, 0)</f>
        <v>66.486699999999999</v>
      </c>
      <c r="J374" s="14">
        <f>66.4846 * CHOOSE(CONTROL!$C$9, $D$9, 100%, $F$9) + CHOOSE(CONTROL!$C$27, 0.0021, 0)</f>
        <v>66.486699999999999</v>
      </c>
      <c r="K374" s="14">
        <f>66.4846 * CHOOSE(CONTROL!$C$9, $D$9, 100%, $F$9) + CHOOSE(CONTROL!$C$27, 0.0021, 0)</f>
        <v>66.486699999999999</v>
      </c>
      <c r="L374" s="14"/>
    </row>
    <row r="375" spans="1:12" ht="15.75" x14ac:dyDescent="0.25">
      <c r="A375" s="33">
        <v>52351</v>
      </c>
      <c r="B375" s="14">
        <f>65.9784 * CHOOSE(CONTROL!$C$9, $D$9, 100%, $F$9) + CHOOSE(CONTROL!$C$27, 0.0021, 0)</f>
        <v>65.980499999999992</v>
      </c>
      <c r="C375" s="14">
        <f>65.5461 * CHOOSE(CONTROL!$C$9, $D$9, 100%, $F$9) + CHOOSE(CONTROL!$C$27, 0.0021, 0)</f>
        <v>65.548199999999994</v>
      </c>
      <c r="D375" s="14">
        <f>65.5461 * CHOOSE(CONTROL!$C$9, $D$9, 100%, $F$9) + CHOOSE(CONTROL!$C$27, 0.0021, 0)</f>
        <v>65.548199999999994</v>
      </c>
      <c r="E375" s="14">
        <f>65.4095 * CHOOSE(CONTROL!$C$9, $D$9, 100%, $F$9) + CHOOSE(CONTROL!$C$27, 0.0021, 0)</f>
        <v>65.411599999999993</v>
      </c>
      <c r="F375" s="14">
        <f>65.4095 * CHOOSE(CONTROL!$C$9, $D$9, 100%, $F$9) + CHOOSE(CONTROL!$C$27, 0.0021, 0)</f>
        <v>65.411599999999993</v>
      </c>
      <c r="G375" s="14">
        <f>65.6808 * CHOOSE(CONTROL!$C$9, $D$9, 100%, $F$9) + CHOOSE(CONTROL!$C$27, 0.0021, 0)</f>
        <v>65.682900000000004</v>
      </c>
      <c r="H375" s="14">
        <f>65.5461 * CHOOSE(CONTROL!$C$9, $D$9, 100%, $F$9) + CHOOSE(CONTROL!$C$27, 0.0021, 0)</f>
        <v>65.548199999999994</v>
      </c>
      <c r="I375" s="14">
        <f>65.5461 * CHOOSE(CONTROL!$C$9, $D$9, 100%, $F$9) + CHOOSE(CONTROL!$C$27, 0.0021, 0)</f>
        <v>65.548199999999994</v>
      </c>
      <c r="J375" s="14">
        <f>65.5461 * CHOOSE(CONTROL!$C$9, $D$9, 100%, $F$9) + CHOOSE(CONTROL!$C$27, 0.0021, 0)</f>
        <v>65.548199999999994</v>
      </c>
      <c r="K375" s="14">
        <f>65.5461 * CHOOSE(CONTROL!$C$9, $D$9, 100%, $F$9) + CHOOSE(CONTROL!$C$27, 0.0021, 0)</f>
        <v>65.548199999999994</v>
      </c>
      <c r="L375" s="14"/>
    </row>
    <row r="376" spans="1:12" ht="15.75" x14ac:dyDescent="0.25">
      <c r="A376" s="33">
        <v>52382</v>
      </c>
      <c r="B376" s="14">
        <f>67.3158 * CHOOSE(CONTROL!$C$9, $D$9, 100%, $F$9) + CHOOSE(CONTROL!$C$27, 0.0021, 0)</f>
        <v>67.317899999999995</v>
      </c>
      <c r="C376" s="14">
        <f>66.8836 * CHOOSE(CONTROL!$C$9, $D$9, 100%, $F$9) + CHOOSE(CONTROL!$C$27, 0.0021, 0)</f>
        <v>66.8857</v>
      </c>
      <c r="D376" s="14">
        <f>66.8836 * CHOOSE(CONTROL!$C$9, $D$9, 100%, $F$9) + CHOOSE(CONTROL!$C$27, 0.0021, 0)</f>
        <v>66.8857</v>
      </c>
      <c r="E376" s="14">
        <f>66.7469 * CHOOSE(CONTROL!$C$9, $D$9, 100%, $F$9) + CHOOSE(CONTROL!$C$27, 0.0021, 0)</f>
        <v>66.748999999999995</v>
      </c>
      <c r="F376" s="14">
        <f>66.7469 * CHOOSE(CONTROL!$C$9, $D$9, 100%, $F$9) + CHOOSE(CONTROL!$C$27, 0.0021, 0)</f>
        <v>66.748999999999995</v>
      </c>
      <c r="G376" s="14">
        <f>67.0183 * CHOOSE(CONTROL!$C$9, $D$9, 100%, $F$9) + CHOOSE(CONTROL!$C$27, 0.0021, 0)</f>
        <v>67.020399999999995</v>
      </c>
      <c r="H376" s="14">
        <f>66.8836 * CHOOSE(CONTROL!$C$9, $D$9, 100%, $F$9) + CHOOSE(CONTROL!$C$27, 0.0021, 0)</f>
        <v>66.8857</v>
      </c>
      <c r="I376" s="14">
        <f>66.8836 * CHOOSE(CONTROL!$C$9, $D$9, 100%, $F$9) + CHOOSE(CONTROL!$C$27, 0.0021, 0)</f>
        <v>66.8857</v>
      </c>
      <c r="J376" s="14">
        <f>66.8836 * CHOOSE(CONTROL!$C$9, $D$9, 100%, $F$9) + CHOOSE(CONTROL!$C$27, 0.0021, 0)</f>
        <v>66.8857</v>
      </c>
      <c r="K376" s="14">
        <f>66.8836 * CHOOSE(CONTROL!$C$9, $D$9, 100%, $F$9) + CHOOSE(CONTROL!$C$27, 0.0021, 0)</f>
        <v>66.8857</v>
      </c>
      <c r="L376" s="14"/>
    </row>
    <row r="377" spans="1:12" ht="15.75" x14ac:dyDescent="0.25">
      <c r="A377" s="33">
        <v>52412</v>
      </c>
      <c r="B377" s="14">
        <f>68.1169 * CHOOSE(CONTROL!$C$9, $D$9, 100%, $F$9) + CHOOSE(CONTROL!$C$27, 0.0021, 0)</f>
        <v>68.119</v>
      </c>
      <c r="C377" s="14">
        <f>67.6846 * CHOOSE(CONTROL!$C$9, $D$9, 100%, $F$9) + CHOOSE(CONTROL!$C$27, 0.0021, 0)</f>
        <v>67.686700000000002</v>
      </c>
      <c r="D377" s="14">
        <f>67.6846 * CHOOSE(CONTROL!$C$9, $D$9, 100%, $F$9) + CHOOSE(CONTROL!$C$27, 0.0021, 0)</f>
        <v>67.686700000000002</v>
      </c>
      <c r="E377" s="14">
        <f>67.548 * CHOOSE(CONTROL!$C$9, $D$9, 100%, $F$9) + CHOOSE(CONTROL!$C$27, 0.0021, 0)</f>
        <v>67.5501</v>
      </c>
      <c r="F377" s="14">
        <f>67.548 * CHOOSE(CONTROL!$C$9, $D$9, 100%, $F$9) + CHOOSE(CONTROL!$C$27, 0.0021, 0)</f>
        <v>67.5501</v>
      </c>
      <c r="G377" s="14">
        <f>67.8193 * CHOOSE(CONTROL!$C$9, $D$9, 100%, $F$9) + CHOOSE(CONTROL!$C$27, 0.0021, 0)</f>
        <v>67.821399999999997</v>
      </c>
      <c r="H377" s="14">
        <f>67.6846 * CHOOSE(CONTROL!$C$9, $D$9, 100%, $F$9) + CHOOSE(CONTROL!$C$27, 0.0021, 0)</f>
        <v>67.686700000000002</v>
      </c>
      <c r="I377" s="14">
        <f>67.6846 * CHOOSE(CONTROL!$C$9, $D$9, 100%, $F$9) + CHOOSE(CONTROL!$C$27, 0.0021, 0)</f>
        <v>67.686700000000002</v>
      </c>
      <c r="J377" s="14">
        <f>67.6846 * CHOOSE(CONTROL!$C$9, $D$9, 100%, $F$9) + CHOOSE(CONTROL!$C$27, 0.0021, 0)</f>
        <v>67.686700000000002</v>
      </c>
      <c r="K377" s="14">
        <f>67.6846 * CHOOSE(CONTROL!$C$9, $D$9, 100%, $F$9) + CHOOSE(CONTROL!$C$27, 0.0021, 0)</f>
        <v>67.686700000000002</v>
      </c>
      <c r="L377" s="14"/>
    </row>
    <row r="378" spans="1:12" ht="15.75" x14ac:dyDescent="0.25">
      <c r="A378" s="33">
        <v>52443</v>
      </c>
      <c r="B378" s="14">
        <f>69.4383 * CHOOSE(CONTROL!$C$9, $D$9, 100%, $F$9) + CHOOSE(CONTROL!$C$27, 0.0021, 0)</f>
        <v>69.440399999999997</v>
      </c>
      <c r="C378" s="14">
        <f>69.0061 * CHOOSE(CONTROL!$C$9, $D$9, 100%, $F$9) + CHOOSE(CONTROL!$C$27, 0.0021, 0)</f>
        <v>69.008200000000002</v>
      </c>
      <c r="D378" s="14">
        <f>69.0061 * CHOOSE(CONTROL!$C$9, $D$9, 100%, $F$9) + CHOOSE(CONTROL!$C$27, 0.0021, 0)</f>
        <v>69.008200000000002</v>
      </c>
      <c r="E378" s="14">
        <f>68.8694 * CHOOSE(CONTROL!$C$9, $D$9, 100%, $F$9) + CHOOSE(CONTROL!$C$27, 0.0021, 0)</f>
        <v>68.871499999999997</v>
      </c>
      <c r="F378" s="14">
        <f>68.8694 * CHOOSE(CONTROL!$C$9, $D$9, 100%, $F$9) + CHOOSE(CONTROL!$C$27, 0.0021, 0)</f>
        <v>68.871499999999997</v>
      </c>
      <c r="G378" s="14">
        <f>69.1408 * CHOOSE(CONTROL!$C$9, $D$9, 100%, $F$9) + CHOOSE(CONTROL!$C$27, 0.0021, 0)</f>
        <v>69.142899999999997</v>
      </c>
      <c r="H378" s="14">
        <f>69.0061 * CHOOSE(CONTROL!$C$9, $D$9, 100%, $F$9) + CHOOSE(CONTROL!$C$27, 0.0021, 0)</f>
        <v>69.008200000000002</v>
      </c>
      <c r="I378" s="14">
        <f>69.0061 * CHOOSE(CONTROL!$C$9, $D$9, 100%, $F$9) + CHOOSE(CONTROL!$C$27, 0.0021, 0)</f>
        <v>69.008200000000002</v>
      </c>
      <c r="J378" s="14">
        <f>69.0061 * CHOOSE(CONTROL!$C$9, $D$9, 100%, $F$9) + CHOOSE(CONTROL!$C$27, 0.0021, 0)</f>
        <v>69.008200000000002</v>
      </c>
      <c r="K378" s="14">
        <f>69.0061 * CHOOSE(CONTROL!$C$9, $D$9, 100%, $F$9) + CHOOSE(CONTROL!$C$27, 0.0021, 0)</f>
        <v>69.008200000000002</v>
      </c>
      <c r="L378" s="14"/>
    </row>
    <row r="379" spans="1:12" ht="15.75" x14ac:dyDescent="0.25">
      <c r="A379" s="33">
        <v>52474</v>
      </c>
      <c r="B379" s="14">
        <f>69.8417 * CHOOSE(CONTROL!$C$9, $D$9, 100%, $F$9) + CHOOSE(CONTROL!$C$27, 0.0021, 0)</f>
        <v>69.843800000000002</v>
      </c>
      <c r="C379" s="14">
        <f>69.4095 * CHOOSE(CONTROL!$C$9, $D$9, 100%, $F$9) + CHOOSE(CONTROL!$C$27, 0.0021, 0)</f>
        <v>69.411599999999993</v>
      </c>
      <c r="D379" s="14">
        <f>69.4095 * CHOOSE(CONTROL!$C$9, $D$9, 100%, $F$9) + CHOOSE(CONTROL!$C$27, 0.0021, 0)</f>
        <v>69.411599999999993</v>
      </c>
      <c r="E379" s="14">
        <f>69.2728 * CHOOSE(CONTROL!$C$9, $D$9, 100%, $F$9) + CHOOSE(CONTROL!$C$27, 0.0021, 0)</f>
        <v>69.274900000000002</v>
      </c>
      <c r="F379" s="14">
        <f>69.2728 * CHOOSE(CONTROL!$C$9, $D$9, 100%, $F$9) + CHOOSE(CONTROL!$C$27, 0.0021, 0)</f>
        <v>69.274900000000002</v>
      </c>
      <c r="G379" s="14">
        <f>69.5442 * CHOOSE(CONTROL!$C$9, $D$9, 100%, $F$9) + CHOOSE(CONTROL!$C$27, 0.0021, 0)</f>
        <v>69.546300000000002</v>
      </c>
      <c r="H379" s="14">
        <f>69.4095 * CHOOSE(CONTROL!$C$9, $D$9, 100%, $F$9) + CHOOSE(CONTROL!$C$27, 0.0021, 0)</f>
        <v>69.411599999999993</v>
      </c>
      <c r="I379" s="14">
        <f>69.4095 * CHOOSE(CONTROL!$C$9, $D$9, 100%, $F$9) + CHOOSE(CONTROL!$C$27, 0.0021, 0)</f>
        <v>69.411599999999993</v>
      </c>
      <c r="J379" s="14">
        <f>69.4095 * CHOOSE(CONTROL!$C$9, $D$9, 100%, $F$9) + CHOOSE(CONTROL!$C$27, 0.0021, 0)</f>
        <v>69.411599999999993</v>
      </c>
      <c r="K379" s="14">
        <f>69.4095 * CHOOSE(CONTROL!$C$9, $D$9, 100%, $F$9) + CHOOSE(CONTROL!$C$27, 0.0021, 0)</f>
        <v>69.411599999999993</v>
      </c>
      <c r="L379" s="14"/>
    </row>
    <row r="380" spans="1:12" ht="15.75" x14ac:dyDescent="0.25">
      <c r="A380" s="33">
        <v>52504</v>
      </c>
      <c r="B380" s="14">
        <f>71.2153 * CHOOSE(CONTROL!$C$9, $D$9, 100%, $F$9) + CHOOSE(CONTROL!$C$27, 0.0021, 0)</f>
        <v>71.217399999999998</v>
      </c>
      <c r="C380" s="14">
        <f>70.7831 * CHOOSE(CONTROL!$C$9, $D$9, 100%, $F$9) + CHOOSE(CONTROL!$C$27, 0.0021, 0)</f>
        <v>70.785200000000003</v>
      </c>
      <c r="D380" s="14">
        <f>70.7831 * CHOOSE(CONTROL!$C$9, $D$9, 100%, $F$9) + CHOOSE(CONTROL!$C$27, 0.0021, 0)</f>
        <v>70.785200000000003</v>
      </c>
      <c r="E380" s="14">
        <f>70.6464 * CHOOSE(CONTROL!$C$9, $D$9, 100%, $F$9) + CHOOSE(CONTROL!$C$27, 0.0021, 0)</f>
        <v>70.648499999999999</v>
      </c>
      <c r="F380" s="14">
        <f>70.6464 * CHOOSE(CONTROL!$C$9, $D$9, 100%, $F$9) + CHOOSE(CONTROL!$C$27, 0.0021, 0)</f>
        <v>70.648499999999999</v>
      </c>
      <c r="G380" s="14">
        <f>70.9178 * CHOOSE(CONTROL!$C$9, $D$9, 100%, $F$9) + CHOOSE(CONTROL!$C$27, 0.0021, 0)</f>
        <v>70.919899999999998</v>
      </c>
      <c r="H380" s="14">
        <f>70.7831 * CHOOSE(CONTROL!$C$9, $D$9, 100%, $F$9) + CHOOSE(CONTROL!$C$27, 0.0021, 0)</f>
        <v>70.785200000000003</v>
      </c>
      <c r="I380" s="14">
        <f>70.7831 * CHOOSE(CONTROL!$C$9, $D$9, 100%, $F$9) + CHOOSE(CONTROL!$C$27, 0.0021, 0)</f>
        <v>70.785200000000003</v>
      </c>
      <c r="J380" s="14">
        <f>70.7831 * CHOOSE(CONTROL!$C$9, $D$9, 100%, $F$9) + CHOOSE(CONTROL!$C$27, 0.0021, 0)</f>
        <v>70.785200000000003</v>
      </c>
      <c r="K380" s="14">
        <f>70.7831 * CHOOSE(CONTROL!$C$9, $D$9, 100%, $F$9) + CHOOSE(CONTROL!$C$27, 0.0021, 0)</f>
        <v>70.785200000000003</v>
      </c>
      <c r="L380" s="14"/>
    </row>
    <row r="381" spans="1:12" ht="15.75" x14ac:dyDescent="0.25">
      <c r="A381" s="33">
        <v>52535</v>
      </c>
      <c r="B381" s="14">
        <f>72.9541 * CHOOSE(CONTROL!$C$9, $D$9, 100%, $F$9) + CHOOSE(CONTROL!$C$27, 0.0021, 0)</f>
        <v>72.956199999999995</v>
      </c>
      <c r="C381" s="14">
        <f>72.5218 * CHOOSE(CONTROL!$C$9, $D$9, 100%, $F$9) + CHOOSE(CONTROL!$C$27, 0.0021, 0)</f>
        <v>72.523899999999998</v>
      </c>
      <c r="D381" s="14">
        <f>72.5218 * CHOOSE(CONTROL!$C$9, $D$9, 100%, $F$9) + CHOOSE(CONTROL!$C$27, 0.0021, 0)</f>
        <v>72.523899999999998</v>
      </c>
      <c r="E381" s="14">
        <f>72.3852 * CHOOSE(CONTROL!$C$9, $D$9, 100%, $F$9) + CHOOSE(CONTROL!$C$27, 0.0021, 0)</f>
        <v>72.387299999999996</v>
      </c>
      <c r="F381" s="14">
        <f>72.3852 * CHOOSE(CONTROL!$C$9, $D$9, 100%, $F$9) + CHOOSE(CONTROL!$C$27, 0.0021, 0)</f>
        <v>72.387299999999996</v>
      </c>
      <c r="G381" s="14">
        <f>72.6565 * CHOOSE(CONTROL!$C$9, $D$9, 100%, $F$9) + CHOOSE(CONTROL!$C$27, 0.0021, 0)</f>
        <v>72.658599999999993</v>
      </c>
      <c r="H381" s="14">
        <f>72.5218 * CHOOSE(CONTROL!$C$9, $D$9, 100%, $F$9) + CHOOSE(CONTROL!$C$27, 0.0021, 0)</f>
        <v>72.523899999999998</v>
      </c>
      <c r="I381" s="14">
        <f>72.5218 * CHOOSE(CONTROL!$C$9, $D$9, 100%, $F$9) + CHOOSE(CONTROL!$C$27, 0.0021, 0)</f>
        <v>72.523899999999998</v>
      </c>
      <c r="J381" s="14">
        <f>72.5218 * CHOOSE(CONTROL!$C$9, $D$9, 100%, $F$9) + CHOOSE(CONTROL!$C$27, 0.0021, 0)</f>
        <v>72.523899999999998</v>
      </c>
      <c r="K381" s="14">
        <f>72.5218 * CHOOSE(CONTROL!$C$9, $D$9, 100%, $F$9) + CHOOSE(CONTROL!$C$27, 0.0021, 0)</f>
        <v>72.523899999999998</v>
      </c>
      <c r="L381" s="14"/>
    </row>
    <row r="382" spans="1:12" ht="15.75" x14ac:dyDescent="0.25">
      <c r="A382" s="33">
        <v>52565</v>
      </c>
      <c r="B382" s="14">
        <f>73.1173 * CHOOSE(CONTROL!$C$9, $D$9, 100%, $F$9) + CHOOSE(CONTROL!$C$27, 0.0021, 0)</f>
        <v>73.119399999999999</v>
      </c>
      <c r="C382" s="14">
        <f>72.6851 * CHOOSE(CONTROL!$C$9, $D$9, 100%, $F$9) + CHOOSE(CONTROL!$C$27, 0.0021, 0)</f>
        <v>72.687200000000004</v>
      </c>
      <c r="D382" s="14">
        <f>72.6851 * CHOOSE(CONTROL!$C$9, $D$9, 100%, $F$9) + CHOOSE(CONTROL!$C$27, 0.0021, 0)</f>
        <v>72.687200000000004</v>
      </c>
      <c r="E382" s="14">
        <f>72.5484 * CHOOSE(CONTROL!$C$9, $D$9, 100%, $F$9) + CHOOSE(CONTROL!$C$27, 0.0021, 0)</f>
        <v>72.5505</v>
      </c>
      <c r="F382" s="14">
        <f>72.5484 * CHOOSE(CONTROL!$C$9, $D$9, 100%, $F$9) + CHOOSE(CONTROL!$C$27, 0.0021, 0)</f>
        <v>72.5505</v>
      </c>
      <c r="G382" s="14">
        <f>72.8198 * CHOOSE(CONTROL!$C$9, $D$9, 100%, $F$9) + CHOOSE(CONTROL!$C$27, 0.0021, 0)</f>
        <v>72.821899999999999</v>
      </c>
      <c r="H382" s="14">
        <f>72.6851 * CHOOSE(CONTROL!$C$9, $D$9, 100%, $F$9) + CHOOSE(CONTROL!$C$27, 0.0021, 0)</f>
        <v>72.687200000000004</v>
      </c>
      <c r="I382" s="14">
        <f>72.6851 * CHOOSE(CONTROL!$C$9, $D$9, 100%, $F$9) + CHOOSE(CONTROL!$C$27, 0.0021, 0)</f>
        <v>72.687200000000004</v>
      </c>
      <c r="J382" s="14">
        <f>72.6851 * CHOOSE(CONTROL!$C$9, $D$9, 100%, $F$9) + CHOOSE(CONTROL!$C$27, 0.0021, 0)</f>
        <v>72.687200000000004</v>
      </c>
      <c r="K382" s="14">
        <f>72.6851 * CHOOSE(CONTROL!$C$9, $D$9, 100%, $F$9) + CHOOSE(CONTROL!$C$27, 0.0021, 0)</f>
        <v>72.687200000000004</v>
      </c>
      <c r="L382" s="14"/>
    </row>
    <row r="383" spans="1:12" ht="15.75" x14ac:dyDescent="0.25">
      <c r="A383" s="33">
        <v>52596</v>
      </c>
      <c r="B383" s="14">
        <f>71.7286 * CHOOSE(CONTROL!$C$9, $D$9, 100%, $F$9) + CHOOSE(CONTROL!$C$27, 0.0021, 0)</f>
        <v>71.730699999999999</v>
      </c>
      <c r="C383" s="14">
        <f>71.2963 * CHOOSE(CONTROL!$C$9, $D$9, 100%, $F$9) + CHOOSE(CONTROL!$C$27, 0.0021, 0)</f>
        <v>71.298400000000001</v>
      </c>
      <c r="D383" s="14">
        <f>71.2963 * CHOOSE(CONTROL!$C$9, $D$9, 100%, $F$9) + CHOOSE(CONTROL!$C$27, 0.0021, 0)</f>
        <v>71.298400000000001</v>
      </c>
      <c r="E383" s="14">
        <f>71.1597 * CHOOSE(CONTROL!$C$9, $D$9, 100%, $F$9) + CHOOSE(CONTROL!$C$27, 0.0021, 0)</f>
        <v>71.161799999999999</v>
      </c>
      <c r="F383" s="14">
        <f>71.1597 * CHOOSE(CONTROL!$C$9, $D$9, 100%, $F$9) + CHOOSE(CONTROL!$C$27, 0.0021, 0)</f>
        <v>71.161799999999999</v>
      </c>
      <c r="G383" s="14">
        <f>71.4311 * CHOOSE(CONTROL!$C$9, $D$9, 100%, $F$9) + CHOOSE(CONTROL!$C$27, 0.0021, 0)</f>
        <v>71.433199999999999</v>
      </c>
      <c r="H383" s="14">
        <f>71.2963 * CHOOSE(CONTROL!$C$9, $D$9, 100%, $F$9) + CHOOSE(CONTROL!$C$27, 0.0021, 0)</f>
        <v>71.298400000000001</v>
      </c>
      <c r="I383" s="14">
        <f>71.2963 * CHOOSE(CONTROL!$C$9, $D$9, 100%, $F$9) + CHOOSE(CONTROL!$C$27, 0.0021, 0)</f>
        <v>71.298400000000001</v>
      </c>
      <c r="J383" s="14">
        <f>71.2963 * CHOOSE(CONTROL!$C$9, $D$9, 100%, $F$9) + CHOOSE(CONTROL!$C$27, 0.0021, 0)</f>
        <v>71.298400000000001</v>
      </c>
      <c r="K383" s="14">
        <f>71.2963 * CHOOSE(CONTROL!$C$9, $D$9, 100%, $F$9) + CHOOSE(CONTROL!$C$27, 0.0021, 0)</f>
        <v>71.298400000000001</v>
      </c>
      <c r="L383" s="14"/>
    </row>
    <row r="384" spans="1:12" ht="15.75" x14ac:dyDescent="0.25">
      <c r="A384" s="33">
        <v>52627</v>
      </c>
      <c r="B384" s="14">
        <f>70.8509 * CHOOSE(CONTROL!$C$9, $D$9, 100%, $F$9) + CHOOSE(CONTROL!$C$27, 0.0021, 0)</f>
        <v>70.852999999999994</v>
      </c>
      <c r="C384" s="14">
        <f>70.4186 * CHOOSE(CONTROL!$C$9, $D$9, 100%, $F$9) + CHOOSE(CONTROL!$C$27, 0.0021, 0)</f>
        <v>70.420699999999997</v>
      </c>
      <c r="D384" s="14">
        <f>70.4186 * CHOOSE(CONTROL!$C$9, $D$9, 100%, $F$9) + CHOOSE(CONTROL!$C$27, 0.0021, 0)</f>
        <v>70.420699999999997</v>
      </c>
      <c r="E384" s="14">
        <f>70.2819 * CHOOSE(CONTROL!$C$9, $D$9, 100%, $F$9) + CHOOSE(CONTROL!$C$27, 0.0021, 0)</f>
        <v>70.283999999999992</v>
      </c>
      <c r="F384" s="14">
        <f>70.2819 * CHOOSE(CONTROL!$C$9, $D$9, 100%, $F$9) + CHOOSE(CONTROL!$C$27, 0.0021, 0)</f>
        <v>70.283999999999992</v>
      </c>
      <c r="G384" s="14">
        <f>70.5533 * CHOOSE(CONTROL!$C$9, $D$9, 100%, $F$9) + CHOOSE(CONTROL!$C$27, 0.0021, 0)</f>
        <v>70.555399999999992</v>
      </c>
      <c r="H384" s="14">
        <f>70.4186 * CHOOSE(CONTROL!$C$9, $D$9, 100%, $F$9) + CHOOSE(CONTROL!$C$27, 0.0021, 0)</f>
        <v>70.420699999999997</v>
      </c>
      <c r="I384" s="14">
        <f>70.4186 * CHOOSE(CONTROL!$C$9, $D$9, 100%, $F$9) + CHOOSE(CONTROL!$C$27, 0.0021, 0)</f>
        <v>70.420699999999997</v>
      </c>
      <c r="J384" s="14">
        <f>70.4186 * CHOOSE(CONTROL!$C$9, $D$9, 100%, $F$9) + CHOOSE(CONTROL!$C$27, 0.0021, 0)</f>
        <v>70.420699999999997</v>
      </c>
      <c r="K384" s="14">
        <f>70.4186 * CHOOSE(CONTROL!$C$9, $D$9, 100%, $F$9) + CHOOSE(CONTROL!$C$27, 0.0021, 0)</f>
        <v>70.420699999999997</v>
      </c>
      <c r="L384" s="14"/>
    </row>
    <row r="385" spans="1:12" ht="15.75" x14ac:dyDescent="0.25">
      <c r="A385" s="33">
        <v>52655</v>
      </c>
      <c r="B385" s="14">
        <f>68.9116 * CHOOSE(CONTROL!$C$9, $D$9, 100%, $F$9) + CHOOSE(CONTROL!$C$27, 0.0021, 0)</f>
        <v>68.913700000000006</v>
      </c>
      <c r="C385" s="14">
        <f>68.4794 * CHOOSE(CONTROL!$C$9, $D$9, 100%, $F$9) + CHOOSE(CONTROL!$C$27, 0.0021, 0)</f>
        <v>68.481499999999997</v>
      </c>
      <c r="D385" s="14">
        <f>68.4794 * CHOOSE(CONTROL!$C$9, $D$9, 100%, $F$9) + CHOOSE(CONTROL!$C$27, 0.0021, 0)</f>
        <v>68.481499999999997</v>
      </c>
      <c r="E385" s="14">
        <f>68.3427 * CHOOSE(CONTROL!$C$9, $D$9, 100%, $F$9) + CHOOSE(CONTROL!$C$27, 0.0021, 0)</f>
        <v>68.344799999999992</v>
      </c>
      <c r="F385" s="14">
        <f>68.3427 * CHOOSE(CONTROL!$C$9, $D$9, 100%, $F$9) + CHOOSE(CONTROL!$C$27, 0.0021, 0)</f>
        <v>68.344799999999992</v>
      </c>
      <c r="G385" s="14">
        <f>68.6141 * CHOOSE(CONTROL!$C$9, $D$9, 100%, $F$9) + CHOOSE(CONTROL!$C$27, 0.0021, 0)</f>
        <v>68.616199999999992</v>
      </c>
      <c r="H385" s="14">
        <f>68.4794 * CHOOSE(CONTROL!$C$9, $D$9, 100%, $F$9) + CHOOSE(CONTROL!$C$27, 0.0021, 0)</f>
        <v>68.481499999999997</v>
      </c>
      <c r="I385" s="14">
        <f>68.4794 * CHOOSE(CONTROL!$C$9, $D$9, 100%, $F$9) + CHOOSE(CONTROL!$C$27, 0.0021, 0)</f>
        <v>68.481499999999997</v>
      </c>
      <c r="J385" s="14">
        <f>68.4794 * CHOOSE(CONTROL!$C$9, $D$9, 100%, $F$9) + CHOOSE(CONTROL!$C$27, 0.0021, 0)</f>
        <v>68.481499999999997</v>
      </c>
      <c r="K385" s="14">
        <f>68.4794 * CHOOSE(CONTROL!$C$9, $D$9, 100%, $F$9) + CHOOSE(CONTROL!$C$27, 0.0021, 0)</f>
        <v>68.481499999999997</v>
      </c>
      <c r="L385" s="14"/>
    </row>
    <row r="386" spans="1:12" ht="15.75" x14ac:dyDescent="0.25">
      <c r="A386" s="33">
        <v>52687</v>
      </c>
      <c r="B386" s="14">
        <f>68.1111 * CHOOSE(CONTROL!$C$9, $D$9, 100%, $F$9) + CHOOSE(CONTROL!$C$27, 0.0021, 0)</f>
        <v>68.113199999999992</v>
      </c>
      <c r="C386" s="14">
        <f>67.6789 * CHOOSE(CONTROL!$C$9, $D$9, 100%, $F$9) + CHOOSE(CONTROL!$C$27, 0.0021, 0)</f>
        <v>67.680999999999997</v>
      </c>
      <c r="D386" s="14">
        <f>67.6789 * CHOOSE(CONTROL!$C$9, $D$9, 100%, $F$9) + CHOOSE(CONTROL!$C$27, 0.0021, 0)</f>
        <v>67.680999999999997</v>
      </c>
      <c r="E386" s="14">
        <f>67.5422 * CHOOSE(CONTROL!$C$9, $D$9, 100%, $F$9) + CHOOSE(CONTROL!$C$27, 0.0021, 0)</f>
        <v>67.544299999999993</v>
      </c>
      <c r="F386" s="14">
        <f>67.5422 * CHOOSE(CONTROL!$C$9, $D$9, 100%, $F$9) + CHOOSE(CONTROL!$C$27, 0.0021, 0)</f>
        <v>67.544299999999993</v>
      </c>
      <c r="G386" s="14">
        <f>67.8136 * CHOOSE(CONTROL!$C$9, $D$9, 100%, $F$9) + CHOOSE(CONTROL!$C$27, 0.0021, 0)</f>
        <v>67.815699999999993</v>
      </c>
      <c r="H386" s="14">
        <f>67.6789 * CHOOSE(CONTROL!$C$9, $D$9, 100%, $F$9) + CHOOSE(CONTROL!$C$27, 0.0021, 0)</f>
        <v>67.680999999999997</v>
      </c>
      <c r="I386" s="14">
        <f>67.6789 * CHOOSE(CONTROL!$C$9, $D$9, 100%, $F$9) + CHOOSE(CONTROL!$C$27, 0.0021, 0)</f>
        <v>67.680999999999997</v>
      </c>
      <c r="J386" s="14">
        <f>67.6789 * CHOOSE(CONTROL!$C$9, $D$9, 100%, $F$9) + CHOOSE(CONTROL!$C$27, 0.0021, 0)</f>
        <v>67.680999999999997</v>
      </c>
      <c r="K386" s="14">
        <f>67.6789 * CHOOSE(CONTROL!$C$9, $D$9, 100%, $F$9) + CHOOSE(CONTROL!$C$27, 0.0021, 0)</f>
        <v>67.680999999999997</v>
      </c>
      <c r="L386" s="14"/>
    </row>
    <row r="387" spans="1:12" ht="15.75" x14ac:dyDescent="0.25">
      <c r="A387" s="33">
        <v>52717</v>
      </c>
      <c r="B387" s="14">
        <f>67.1553 * CHOOSE(CONTROL!$C$9, $D$9, 100%, $F$9) + CHOOSE(CONTROL!$C$27, 0.0021, 0)</f>
        <v>67.157399999999996</v>
      </c>
      <c r="C387" s="14">
        <f>66.7231 * CHOOSE(CONTROL!$C$9, $D$9, 100%, $F$9) + CHOOSE(CONTROL!$C$27, 0.0021, 0)</f>
        <v>66.725200000000001</v>
      </c>
      <c r="D387" s="14">
        <f>66.7231 * CHOOSE(CONTROL!$C$9, $D$9, 100%, $F$9) + CHOOSE(CONTROL!$C$27, 0.0021, 0)</f>
        <v>66.725200000000001</v>
      </c>
      <c r="E387" s="14">
        <f>66.5864 * CHOOSE(CONTROL!$C$9, $D$9, 100%, $F$9) + CHOOSE(CONTROL!$C$27, 0.0021, 0)</f>
        <v>66.588499999999996</v>
      </c>
      <c r="F387" s="14">
        <f>66.5864 * CHOOSE(CONTROL!$C$9, $D$9, 100%, $F$9) + CHOOSE(CONTROL!$C$27, 0.0021, 0)</f>
        <v>66.588499999999996</v>
      </c>
      <c r="G387" s="14">
        <f>66.8578 * CHOOSE(CONTROL!$C$9, $D$9, 100%, $F$9) + CHOOSE(CONTROL!$C$27, 0.0021, 0)</f>
        <v>66.859899999999996</v>
      </c>
      <c r="H387" s="14">
        <f>66.7231 * CHOOSE(CONTROL!$C$9, $D$9, 100%, $F$9) + CHOOSE(CONTROL!$C$27, 0.0021, 0)</f>
        <v>66.725200000000001</v>
      </c>
      <c r="I387" s="14">
        <f>66.7231 * CHOOSE(CONTROL!$C$9, $D$9, 100%, $F$9) + CHOOSE(CONTROL!$C$27, 0.0021, 0)</f>
        <v>66.725200000000001</v>
      </c>
      <c r="J387" s="14">
        <f>66.7231 * CHOOSE(CONTROL!$C$9, $D$9, 100%, $F$9) + CHOOSE(CONTROL!$C$27, 0.0021, 0)</f>
        <v>66.725200000000001</v>
      </c>
      <c r="K387" s="14">
        <f>66.7231 * CHOOSE(CONTROL!$C$9, $D$9, 100%, $F$9) + CHOOSE(CONTROL!$C$27, 0.0021, 0)</f>
        <v>66.725200000000001</v>
      </c>
      <c r="L387" s="14"/>
    </row>
    <row r="388" spans="1:12" ht="15.75" x14ac:dyDescent="0.25">
      <c r="A388" s="33">
        <v>52748</v>
      </c>
      <c r="B388" s="14">
        <f>68.5175 * CHOOSE(CONTROL!$C$9, $D$9, 100%, $F$9) + CHOOSE(CONTROL!$C$27, 0.0021, 0)</f>
        <v>68.519599999999997</v>
      </c>
      <c r="C388" s="14">
        <f>68.0852 * CHOOSE(CONTROL!$C$9, $D$9, 100%, $F$9) + CHOOSE(CONTROL!$C$27, 0.0021, 0)</f>
        <v>68.087299999999999</v>
      </c>
      <c r="D388" s="14">
        <f>68.0852 * CHOOSE(CONTROL!$C$9, $D$9, 100%, $F$9) + CHOOSE(CONTROL!$C$27, 0.0021, 0)</f>
        <v>68.087299999999999</v>
      </c>
      <c r="E388" s="14">
        <f>67.9486 * CHOOSE(CONTROL!$C$9, $D$9, 100%, $F$9) + CHOOSE(CONTROL!$C$27, 0.0021, 0)</f>
        <v>67.950699999999998</v>
      </c>
      <c r="F388" s="14">
        <f>67.9486 * CHOOSE(CONTROL!$C$9, $D$9, 100%, $F$9) + CHOOSE(CONTROL!$C$27, 0.0021, 0)</f>
        <v>67.950699999999998</v>
      </c>
      <c r="G388" s="14">
        <f>68.22 * CHOOSE(CONTROL!$C$9, $D$9, 100%, $F$9) + CHOOSE(CONTROL!$C$27, 0.0021, 0)</f>
        <v>68.222099999999998</v>
      </c>
      <c r="H388" s="14">
        <f>68.0852 * CHOOSE(CONTROL!$C$9, $D$9, 100%, $F$9) + CHOOSE(CONTROL!$C$27, 0.0021, 0)</f>
        <v>68.087299999999999</v>
      </c>
      <c r="I388" s="14">
        <f>68.0852 * CHOOSE(CONTROL!$C$9, $D$9, 100%, $F$9) + CHOOSE(CONTROL!$C$27, 0.0021, 0)</f>
        <v>68.087299999999999</v>
      </c>
      <c r="J388" s="14">
        <f>68.0852 * CHOOSE(CONTROL!$C$9, $D$9, 100%, $F$9) + CHOOSE(CONTROL!$C$27, 0.0021, 0)</f>
        <v>68.087299999999999</v>
      </c>
      <c r="K388" s="14">
        <f>68.0852 * CHOOSE(CONTROL!$C$9, $D$9, 100%, $F$9) + CHOOSE(CONTROL!$C$27, 0.0021, 0)</f>
        <v>68.087299999999999</v>
      </c>
      <c r="L388" s="14"/>
    </row>
    <row r="389" spans="1:12" ht="15.75" x14ac:dyDescent="0.25">
      <c r="A389" s="33">
        <v>52778</v>
      </c>
      <c r="B389" s="14">
        <f>69.3334 * CHOOSE(CONTROL!$C$9, $D$9, 100%, $F$9) + CHOOSE(CONTROL!$C$27, 0.0021, 0)</f>
        <v>69.335499999999996</v>
      </c>
      <c r="C389" s="14">
        <f>68.9011 * CHOOSE(CONTROL!$C$9, $D$9, 100%, $F$9) + CHOOSE(CONTROL!$C$27, 0.0021, 0)</f>
        <v>68.903199999999998</v>
      </c>
      <c r="D389" s="14">
        <f>68.9011 * CHOOSE(CONTROL!$C$9, $D$9, 100%, $F$9) + CHOOSE(CONTROL!$C$27, 0.0021, 0)</f>
        <v>68.903199999999998</v>
      </c>
      <c r="E389" s="14">
        <f>68.7645 * CHOOSE(CONTROL!$C$9, $D$9, 100%, $F$9) + CHOOSE(CONTROL!$C$27, 0.0021, 0)</f>
        <v>68.766599999999997</v>
      </c>
      <c r="F389" s="14">
        <f>68.7645 * CHOOSE(CONTROL!$C$9, $D$9, 100%, $F$9) + CHOOSE(CONTROL!$C$27, 0.0021, 0)</f>
        <v>68.766599999999997</v>
      </c>
      <c r="G389" s="14">
        <f>69.0358 * CHOOSE(CONTROL!$C$9, $D$9, 100%, $F$9) + CHOOSE(CONTROL!$C$27, 0.0021, 0)</f>
        <v>69.037899999999993</v>
      </c>
      <c r="H389" s="14">
        <f>68.9011 * CHOOSE(CONTROL!$C$9, $D$9, 100%, $F$9) + CHOOSE(CONTROL!$C$27, 0.0021, 0)</f>
        <v>68.903199999999998</v>
      </c>
      <c r="I389" s="14">
        <f>68.9011 * CHOOSE(CONTROL!$C$9, $D$9, 100%, $F$9) + CHOOSE(CONTROL!$C$27, 0.0021, 0)</f>
        <v>68.903199999999998</v>
      </c>
      <c r="J389" s="14">
        <f>68.9011 * CHOOSE(CONTROL!$C$9, $D$9, 100%, $F$9) + CHOOSE(CONTROL!$C$27, 0.0021, 0)</f>
        <v>68.903199999999998</v>
      </c>
      <c r="K389" s="14">
        <f>68.9011 * CHOOSE(CONTROL!$C$9, $D$9, 100%, $F$9) + CHOOSE(CONTROL!$C$27, 0.0021, 0)</f>
        <v>68.903199999999998</v>
      </c>
      <c r="L389" s="14"/>
    </row>
    <row r="390" spans="1:12" ht="15.75" x14ac:dyDescent="0.25">
      <c r="A390" s="33">
        <v>52809</v>
      </c>
      <c r="B390" s="14">
        <f>70.6793 * CHOOSE(CONTROL!$C$9, $D$9, 100%, $F$9) + CHOOSE(CONTROL!$C$27, 0.0021, 0)</f>
        <v>70.681399999999996</v>
      </c>
      <c r="C390" s="14">
        <f>70.247 * CHOOSE(CONTROL!$C$9, $D$9, 100%, $F$9) + CHOOSE(CONTROL!$C$27, 0.0021, 0)</f>
        <v>70.249099999999999</v>
      </c>
      <c r="D390" s="14">
        <f>70.247 * CHOOSE(CONTROL!$C$9, $D$9, 100%, $F$9) + CHOOSE(CONTROL!$C$27, 0.0021, 0)</f>
        <v>70.249099999999999</v>
      </c>
      <c r="E390" s="14">
        <f>70.1103 * CHOOSE(CONTROL!$C$9, $D$9, 100%, $F$9) + CHOOSE(CONTROL!$C$27, 0.0021, 0)</f>
        <v>70.112399999999994</v>
      </c>
      <c r="F390" s="14">
        <f>70.1103 * CHOOSE(CONTROL!$C$9, $D$9, 100%, $F$9) + CHOOSE(CONTROL!$C$27, 0.0021, 0)</f>
        <v>70.112399999999994</v>
      </c>
      <c r="G390" s="14">
        <f>70.3817 * CHOOSE(CONTROL!$C$9, $D$9, 100%, $F$9) + CHOOSE(CONTROL!$C$27, 0.0021, 0)</f>
        <v>70.383799999999994</v>
      </c>
      <c r="H390" s="14">
        <f>70.247 * CHOOSE(CONTROL!$C$9, $D$9, 100%, $F$9) + CHOOSE(CONTROL!$C$27, 0.0021, 0)</f>
        <v>70.249099999999999</v>
      </c>
      <c r="I390" s="14">
        <f>70.247 * CHOOSE(CONTROL!$C$9, $D$9, 100%, $F$9) + CHOOSE(CONTROL!$C$27, 0.0021, 0)</f>
        <v>70.249099999999999</v>
      </c>
      <c r="J390" s="14">
        <f>70.247 * CHOOSE(CONTROL!$C$9, $D$9, 100%, $F$9) + CHOOSE(CONTROL!$C$27, 0.0021, 0)</f>
        <v>70.249099999999999</v>
      </c>
      <c r="K390" s="14">
        <f>70.247 * CHOOSE(CONTROL!$C$9, $D$9, 100%, $F$9) + CHOOSE(CONTROL!$C$27, 0.0021, 0)</f>
        <v>70.249099999999999</v>
      </c>
      <c r="L390" s="14"/>
    </row>
    <row r="391" spans="1:12" ht="15.75" x14ac:dyDescent="0.25">
      <c r="A391" s="33">
        <v>52840</v>
      </c>
      <c r="B391" s="14">
        <f>71.0901 * CHOOSE(CONTROL!$C$9, $D$9, 100%, $F$9) + CHOOSE(CONTROL!$C$27, 0.0021, 0)</f>
        <v>71.092200000000005</v>
      </c>
      <c r="C391" s="14">
        <f>70.6578 * CHOOSE(CONTROL!$C$9, $D$9, 100%, $F$9) + CHOOSE(CONTROL!$C$27, 0.0021, 0)</f>
        <v>70.659899999999993</v>
      </c>
      <c r="D391" s="14">
        <f>70.6578 * CHOOSE(CONTROL!$C$9, $D$9, 100%, $F$9) + CHOOSE(CONTROL!$C$27, 0.0021, 0)</f>
        <v>70.659899999999993</v>
      </c>
      <c r="E391" s="14">
        <f>70.5212 * CHOOSE(CONTROL!$C$9, $D$9, 100%, $F$9) + CHOOSE(CONTROL!$C$27, 0.0021, 0)</f>
        <v>70.523299999999992</v>
      </c>
      <c r="F391" s="14">
        <f>70.5212 * CHOOSE(CONTROL!$C$9, $D$9, 100%, $F$9) + CHOOSE(CONTROL!$C$27, 0.0021, 0)</f>
        <v>70.523299999999992</v>
      </c>
      <c r="G391" s="14">
        <f>70.7925 * CHOOSE(CONTROL!$C$9, $D$9, 100%, $F$9) + CHOOSE(CONTROL!$C$27, 0.0021, 0)</f>
        <v>70.794600000000003</v>
      </c>
      <c r="H391" s="14">
        <f>70.6578 * CHOOSE(CONTROL!$C$9, $D$9, 100%, $F$9) + CHOOSE(CONTROL!$C$27, 0.0021, 0)</f>
        <v>70.659899999999993</v>
      </c>
      <c r="I391" s="14">
        <f>70.6578 * CHOOSE(CONTROL!$C$9, $D$9, 100%, $F$9) + CHOOSE(CONTROL!$C$27, 0.0021, 0)</f>
        <v>70.659899999999993</v>
      </c>
      <c r="J391" s="14">
        <f>70.6578 * CHOOSE(CONTROL!$C$9, $D$9, 100%, $F$9) + CHOOSE(CONTROL!$C$27, 0.0021, 0)</f>
        <v>70.659899999999993</v>
      </c>
      <c r="K391" s="14">
        <f>70.6578 * CHOOSE(CONTROL!$C$9, $D$9, 100%, $F$9) + CHOOSE(CONTROL!$C$27, 0.0021, 0)</f>
        <v>70.659899999999993</v>
      </c>
      <c r="L391" s="14"/>
    </row>
    <row r="392" spans="1:12" ht="15.75" x14ac:dyDescent="0.25">
      <c r="A392" s="33">
        <v>52870</v>
      </c>
      <c r="B392" s="14">
        <f>72.4891 * CHOOSE(CONTROL!$C$9, $D$9, 100%, $F$9) + CHOOSE(CONTROL!$C$27, 0.0021, 0)</f>
        <v>72.491199999999992</v>
      </c>
      <c r="C392" s="14">
        <f>72.0568 * CHOOSE(CONTROL!$C$9, $D$9, 100%, $F$9) + CHOOSE(CONTROL!$C$27, 0.0021, 0)</f>
        <v>72.058899999999994</v>
      </c>
      <c r="D392" s="14">
        <f>72.0568 * CHOOSE(CONTROL!$C$9, $D$9, 100%, $F$9) + CHOOSE(CONTROL!$C$27, 0.0021, 0)</f>
        <v>72.058899999999994</v>
      </c>
      <c r="E392" s="14">
        <f>71.9202 * CHOOSE(CONTROL!$C$9, $D$9, 100%, $F$9) + CHOOSE(CONTROL!$C$27, 0.0021, 0)</f>
        <v>71.922299999999993</v>
      </c>
      <c r="F392" s="14">
        <f>71.9202 * CHOOSE(CONTROL!$C$9, $D$9, 100%, $F$9) + CHOOSE(CONTROL!$C$27, 0.0021, 0)</f>
        <v>71.922299999999993</v>
      </c>
      <c r="G392" s="14">
        <f>72.1915 * CHOOSE(CONTROL!$C$9, $D$9, 100%, $F$9) + CHOOSE(CONTROL!$C$27, 0.0021, 0)</f>
        <v>72.193600000000004</v>
      </c>
      <c r="H392" s="14">
        <f>72.0568 * CHOOSE(CONTROL!$C$9, $D$9, 100%, $F$9) + CHOOSE(CONTROL!$C$27, 0.0021, 0)</f>
        <v>72.058899999999994</v>
      </c>
      <c r="I392" s="14">
        <f>72.0568 * CHOOSE(CONTROL!$C$9, $D$9, 100%, $F$9) + CHOOSE(CONTROL!$C$27, 0.0021, 0)</f>
        <v>72.058899999999994</v>
      </c>
      <c r="J392" s="14">
        <f>72.0568 * CHOOSE(CONTROL!$C$9, $D$9, 100%, $F$9) + CHOOSE(CONTROL!$C$27, 0.0021, 0)</f>
        <v>72.058899999999994</v>
      </c>
      <c r="K392" s="14">
        <f>72.0568 * CHOOSE(CONTROL!$C$9, $D$9, 100%, $F$9) + CHOOSE(CONTROL!$C$27, 0.0021, 0)</f>
        <v>72.058899999999994</v>
      </c>
      <c r="L392" s="14"/>
    </row>
    <row r="393" spans="1:12" ht="15.75" x14ac:dyDescent="0.25">
      <c r="A393" s="33">
        <v>52901</v>
      </c>
      <c r="B393" s="14">
        <f>74.26 * CHOOSE(CONTROL!$C$9, $D$9, 100%, $F$9) + CHOOSE(CONTROL!$C$27, 0.0021, 0)</f>
        <v>74.262100000000004</v>
      </c>
      <c r="C393" s="14">
        <f>73.8277 * CHOOSE(CONTROL!$C$9, $D$9, 100%, $F$9) + CHOOSE(CONTROL!$C$27, 0.0021, 0)</f>
        <v>73.829799999999992</v>
      </c>
      <c r="D393" s="14">
        <f>73.8277 * CHOOSE(CONTROL!$C$9, $D$9, 100%, $F$9) + CHOOSE(CONTROL!$C$27, 0.0021, 0)</f>
        <v>73.829799999999992</v>
      </c>
      <c r="E393" s="14">
        <f>73.691 * CHOOSE(CONTROL!$C$9, $D$9, 100%, $F$9) + CHOOSE(CONTROL!$C$27, 0.0021, 0)</f>
        <v>73.693100000000001</v>
      </c>
      <c r="F393" s="14">
        <f>73.691 * CHOOSE(CONTROL!$C$9, $D$9, 100%, $F$9) + CHOOSE(CONTROL!$C$27, 0.0021, 0)</f>
        <v>73.693100000000001</v>
      </c>
      <c r="G393" s="14">
        <f>73.9624 * CHOOSE(CONTROL!$C$9, $D$9, 100%, $F$9) + CHOOSE(CONTROL!$C$27, 0.0021, 0)</f>
        <v>73.964500000000001</v>
      </c>
      <c r="H393" s="14">
        <f>73.8277 * CHOOSE(CONTROL!$C$9, $D$9, 100%, $F$9) + CHOOSE(CONTROL!$C$27, 0.0021, 0)</f>
        <v>73.829799999999992</v>
      </c>
      <c r="I393" s="14">
        <f>73.8277 * CHOOSE(CONTROL!$C$9, $D$9, 100%, $F$9) + CHOOSE(CONTROL!$C$27, 0.0021, 0)</f>
        <v>73.829799999999992</v>
      </c>
      <c r="J393" s="14">
        <f>73.8277 * CHOOSE(CONTROL!$C$9, $D$9, 100%, $F$9) + CHOOSE(CONTROL!$C$27, 0.0021, 0)</f>
        <v>73.829799999999992</v>
      </c>
      <c r="K393" s="14">
        <f>73.8277 * CHOOSE(CONTROL!$C$9, $D$9, 100%, $F$9) + CHOOSE(CONTROL!$C$27, 0.0021, 0)</f>
        <v>73.829799999999992</v>
      </c>
      <c r="L393" s="14"/>
    </row>
    <row r="394" spans="1:12" ht="15.75" x14ac:dyDescent="0.25">
      <c r="A394" s="33">
        <v>52931</v>
      </c>
      <c r="B394" s="14">
        <f>74.4262 * CHOOSE(CONTROL!$C$9, $D$9, 100%, $F$9) + CHOOSE(CONTROL!$C$27, 0.0021, 0)</f>
        <v>74.428299999999993</v>
      </c>
      <c r="C394" s="14">
        <f>73.994 * CHOOSE(CONTROL!$C$9, $D$9, 100%, $F$9) + CHOOSE(CONTROL!$C$27, 0.0021, 0)</f>
        <v>73.996099999999998</v>
      </c>
      <c r="D394" s="14">
        <f>73.994 * CHOOSE(CONTROL!$C$9, $D$9, 100%, $F$9) + CHOOSE(CONTROL!$C$27, 0.0021, 0)</f>
        <v>73.996099999999998</v>
      </c>
      <c r="E394" s="14">
        <f>73.8573 * CHOOSE(CONTROL!$C$9, $D$9, 100%, $F$9) + CHOOSE(CONTROL!$C$27, 0.0021, 0)</f>
        <v>73.859399999999994</v>
      </c>
      <c r="F394" s="14">
        <f>73.8573 * CHOOSE(CONTROL!$C$9, $D$9, 100%, $F$9) + CHOOSE(CONTROL!$C$27, 0.0021, 0)</f>
        <v>73.859399999999994</v>
      </c>
      <c r="G394" s="14">
        <f>74.1287 * CHOOSE(CONTROL!$C$9, $D$9, 100%, $F$9) + CHOOSE(CONTROL!$C$27, 0.0021, 0)</f>
        <v>74.130799999999994</v>
      </c>
      <c r="H394" s="14">
        <f>73.994 * CHOOSE(CONTROL!$C$9, $D$9, 100%, $F$9) + CHOOSE(CONTROL!$C$27, 0.0021, 0)</f>
        <v>73.996099999999998</v>
      </c>
      <c r="I394" s="14">
        <f>73.994 * CHOOSE(CONTROL!$C$9, $D$9, 100%, $F$9) + CHOOSE(CONTROL!$C$27, 0.0021, 0)</f>
        <v>73.996099999999998</v>
      </c>
      <c r="J394" s="14">
        <f>73.994 * CHOOSE(CONTROL!$C$9, $D$9, 100%, $F$9) + CHOOSE(CONTROL!$C$27, 0.0021, 0)</f>
        <v>73.996099999999998</v>
      </c>
      <c r="K394" s="14">
        <f>73.994 * CHOOSE(CONTROL!$C$9, $D$9, 100%, $F$9) + CHOOSE(CONTROL!$C$27, 0.0021, 0)</f>
        <v>73.996099999999998</v>
      </c>
      <c r="L394" s="14"/>
    </row>
    <row r="395" spans="1:12" ht="15.75" x14ac:dyDescent="0.25">
      <c r="A395" s="33">
        <v>52962</v>
      </c>
      <c r="B395" s="14">
        <f>73.0118 * CHOOSE(CONTROL!$C$9, $D$9, 100%, $F$9) + CHOOSE(CONTROL!$C$27, 0.0021, 0)</f>
        <v>73.013899999999992</v>
      </c>
      <c r="C395" s="14">
        <f>72.5796 * CHOOSE(CONTROL!$C$9, $D$9, 100%, $F$9) + CHOOSE(CONTROL!$C$27, 0.0021, 0)</f>
        <v>72.581699999999998</v>
      </c>
      <c r="D395" s="14">
        <f>72.5796 * CHOOSE(CONTROL!$C$9, $D$9, 100%, $F$9) + CHOOSE(CONTROL!$C$27, 0.0021, 0)</f>
        <v>72.581699999999998</v>
      </c>
      <c r="E395" s="14">
        <f>72.4429 * CHOOSE(CONTROL!$C$9, $D$9, 100%, $F$9) + CHOOSE(CONTROL!$C$27, 0.0021, 0)</f>
        <v>72.444999999999993</v>
      </c>
      <c r="F395" s="14">
        <f>72.4429 * CHOOSE(CONTROL!$C$9, $D$9, 100%, $F$9) + CHOOSE(CONTROL!$C$27, 0.0021, 0)</f>
        <v>72.444999999999993</v>
      </c>
      <c r="G395" s="14">
        <f>72.7143 * CHOOSE(CONTROL!$C$9, $D$9, 100%, $F$9) + CHOOSE(CONTROL!$C$27, 0.0021, 0)</f>
        <v>72.716399999999993</v>
      </c>
      <c r="H395" s="14">
        <f>72.5796 * CHOOSE(CONTROL!$C$9, $D$9, 100%, $F$9) + CHOOSE(CONTROL!$C$27, 0.0021, 0)</f>
        <v>72.581699999999998</v>
      </c>
      <c r="I395" s="14">
        <f>72.5796 * CHOOSE(CONTROL!$C$9, $D$9, 100%, $F$9) + CHOOSE(CONTROL!$C$27, 0.0021, 0)</f>
        <v>72.581699999999998</v>
      </c>
      <c r="J395" s="14">
        <f>72.5796 * CHOOSE(CONTROL!$C$9, $D$9, 100%, $F$9) + CHOOSE(CONTROL!$C$27, 0.0021, 0)</f>
        <v>72.581699999999998</v>
      </c>
      <c r="K395" s="14">
        <f>72.5796 * CHOOSE(CONTROL!$C$9, $D$9, 100%, $F$9) + CHOOSE(CONTROL!$C$27, 0.0021, 0)</f>
        <v>72.581699999999998</v>
      </c>
      <c r="L395" s="14"/>
    </row>
    <row r="396" spans="1:12" ht="15.75" x14ac:dyDescent="0.25">
      <c r="A396" s="33">
        <v>52993</v>
      </c>
      <c r="B396" s="14">
        <f>72.1179 * CHOOSE(CONTROL!$C$9, $D$9, 100%, $F$9) + CHOOSE(CONTROL!$C$27, 0.0021, 0)</f>
        <v>72.12</v>
      </c>
      <c r="C396" s="14">
        <f>71.6856 * CHOOSE(CONTROL!$C$9, $D$9, 100%, $F$9) + CHOOSE(CONTROL!$C$27, 0.0021, 0)</f>
        <v>71.687699999999992</v>
      </c>
      <c r="D396" s="14">
        <f>71.6856 * CHOOSE(CONTROL!$C$9, $D$9, 100%, $F$9) + CHOOSE(CONTROL!$C$27, 0.0021, 0)</f>
        <v>71.687699999999992</v>
      </c>
      <c r="E396" s="14">
        <f>71.549 * CHOOSE(CONTROL!$C$9, $D$9, 100%, $F$9) + CHOOSE(CONTROL!$C$27, 0.0021, 0)</f>
        <v>71.551100000000005</v>
      </c>
      <c r="F396" s="14">
        <f>71.549 * CHOOSE(CONTROL!$C$9, $D$9, 100%, $F$9) + CHOOSE(CONTROL!$C$27, 0.0021, 0)</f>
        <v>71.551100000000005</v>
      </c>
      <c r="G396" s="14">
        <f>71.8203 * CHOOSE(CONTROL!$C$9, $D$9, 100%, $F$9) + CHOOSE(CONTROL!$C$27, 0.0021, 0)</f>
        <v>71.822400000000002</v>
      </c>
      <c r="H396" s="14">
        <f>71.6856 * CHOOSE(CONTROL!$C$9, $D$9, 100%, $F$9) + CHOOSE(CONTROL!$C$27, 0.0021, 0)</f>
        <v>71.687699999999992</v>
      </c>
      <c r="I396" s="14">
        <f>71.6856 * CHOOSE(CONTROL!$C$9, $D$9, 100%, $F$9) + CHOOSE(CONTROL!$C$27, 0.0021, 0)</f>
        <v>71.687699999999992</v>
      </c>
      <c r="J396" s="14">
        <f>71.6856 * CHOOSE(CONTROL!$C$9, $D$9, 100%, $F$9) + CHOOSE(CONTROL!$C$27, 0.0021, 0)</f>
        <v>71.687699999999992</v>
      </c>
      <c r="K396" s="14">
        <f>71.6856 * CHOOSE(CONTROL!$C$9, $D$9, 100%, $F$9) + CHOOSE(CONTROL!$C$27, 0.0021, 0)</f>
        <v>71.687699999999992</v>
      </c>
      <c r="L396" s="14"/>
    </row>
    <row r="397" spans="1:12" ht="15.75" x14ac:dyDescent="0.25">
      <c r="A397" s="33">
        <v>53021</v>
      </c>
      <c r="B397" s="14">
        <f>70.1428 * CHOOSE(CONTROL!$C$9, $D$9, 100%, $F$9) + CHOOSE(CONTROL!$C$27, 0.0021, 0)</f>
        <v>70.144899999999993</v>
      </c>
      <c r="C397" s="14">
        <f>69.7106 * CHOOSE(CONTROL!$C$9, $D$9, 100%, $F$9) + CHOOSE(CONTROL!$C$27, 0.0021, 0)</f>
        <v>69.712699999999998</v>
      </c>
      <c r="D397" s="14">
        <f>69.7106 * CHOOSE(CONTROL!$C$9, $D$9, 100%, $F$9) + CHOOSE(CONTROL!$C$27, 0.0021, 0)</f>
        <v>69.712699999999998</v>
      </c>
      <c r="E397" s="14">
        <f>69.5739 * CHOOSE(CONTROL!$C$9, $D$9, 100%, $F$9) + CHOOSE(CONTROL!$C$27, 0.0021, 0)</f>
        <v>69.575999999999993</v>
      </c>
      <c r="F397" s="14">
        <f>69.5739 * CHOOSE(CONTROL!$C$9, $D$9, 100%, $F$9) + CHOOSE(CONTROL!$C$27, 0.0021, 0)</f>
        <v>69.575999999999993</v>
      </c>
      <c r="G397" s="14">
        <f>69.8453 * CHOOSE(CONTROL!$C$9, $D$9, 100%, $F$9) + CHOOSE(CONTROL!$C$27, 0.0021, 0)</f>
        <v>69.847399999999993</v>
      </c>
      <c r="H397" s="14">
        <f>69.7106 * CHOOSE(CONTROL!$C$9, $D$9, 100%, $F$9) + CHOOSE(CONTROL!$C$27, 0.0021, 0)</f>
        <v>69.712699999999998</v>
      </c>
      <c r="I397" s="14">
        <f>69.7106 * CHOOSE(CONTROL!$C$9, $D$9, 100%, $F$9) + CHOOSE(CONTROL!$C$27, 0.0021, 0)</f>
        <v>69.712699999999998</v>
      </c>
      <c r="J397" s="14">
        <f>69.7106 * CHOOSE(CONTROL!$C$9, $D$9, 100%, $F$9) + CHOOSE(CONTROL!$C$27, 0.0021, 0)</f>
        <v>69.712699999999998</v>
      </c>
      <c r="K397" s="14">
        <f>69.7106 * CHOOSE(CONTROL!$C$9, $D$9, 100%, $F$9) + CHOOSE(CONTROL!$C$27, 0.0021, 0)</f>
        <v>69.712699999999998</v>
      </c>
      <c r="L397" s="14"/>
    </row>
    <row r="398" spans="1:12" ht="15.75" x14ac:dyDescent="0.25">
      <c r="A398" s="33">
        <v>53052</v>
      </c>
      <c r="B398" s="14">
        <f>69.3275 * CHOOSE(CONTROL!$C$9, $D$9, 100%, $F$9) + CHOOSE(CONTROL!$C$27, 0.0021, 0)</f>
        <v>69.329599999999999</v>
      </c>
      <c r="C398" s="14">
        <f>68.8953 * CHOOSE(CONTROL!$C$9, $D$9, 100%, $F$9) + CHOOSE(CONTROL!$C$27, 0.0021, 0)</f>
        <v>68.897400000000005</v>
      </c>
      <c r="D398" s="14">
        <f>68.8953 * CHOOSE(CONTROL!$C$9, $D$9, 100%, $F$9) + CHOOSE(CONTROL!$C$27, 0.0021, 0)</f>
        <v>68.897400000000005</v>
      </c>
      <c r="E398" s="14">
        <f>68.7586 * CHOOSE(CONTROL!$C$9, $D$9, 100%, $F$9) + CHOOSE(CONTROL!$C$27, 0.0021, 0)</f>
        <v>68.7607</v>
      </c>
      <c r="F398" s="14">
        <f>68.7586 * CHOOSE(CONTROL!$C$9, $D$9, 100%, $F$9) + CHOOSE(CONTROL!$C$27, 0.0021, 0)</f>
        <v>68.7607</v>
      </c>
      <c r="G398" s="14">
        <f>69.03 * CHOOSE(CONTROL!$C$9, $D$9, 100%, $F$9) + CHOOSE(CONTROL!$C$27, 0.0021, 0)</f>
        <v>69.0321</v>
      </c>
      <c r="H398" s="14">
        <f>68.8953 * CHOOSE(CONTROL!$C$9, $D$9, 100%, $F$9) + CHOOSE(CONTROL!$C$27, 0.0021, 0)</f>
        <v>68.897400000000005</v>
      </c>
      <c r="I398" s="14">
        <f>68.8953 * CHOOSE(CONTROL!$C$9, $D$9, 100%, $F$9) + CHOOSE(CONTROL!$C$27, 0.0021, 0)</f>
        <v>68.897400000000005</v>
      </c>
      <c r="J398" s="14">
        <f>68.8953 * CHOOSE(CONTROL!$C$9, $D$9, 100%, $F$9) + CHOOSE(CONTROL!$C$27, 0.0021, 0)</f>
        <v>68.897400000000005</v>
      </c>
      <c r="K398" s="14">
        <f>68.8953 * CHOOSE(CONTROL!$C$9, $D$9, 100%, $F$9) + CHOOSE(CONTROL!$C$27, 0.0021, 0)</f>
        <v>68.897400000000005</v>
      </c>
      <c r="L398" s="14"/>
    </row>
    <row r="399" spans="1:12" ht="15.75" x14ac:dyDescent="0.25">
      <c r="A399" s="33">
        <v>53082</v>
      </c>
      <c r="B399" s="14">
        <f>68.3541 * CHOOSE(CONTROL!$C$9, $D$9, 100%, $F$9) + CHOOSE(CONTROL!$C$27, 0.0021, 0)</f>
        <v>68.356200000000001</v>
      </c>
      <c r="C399" s="14">
        <f>67.9218 * CHOOSE(CONTROL!$C$9, $D$9, 100%, $F$9) + CHOOSE(CONTROL!$C$27, 0.0021, 0)</f>
        <v>67.923900000000003</v>
      </c>
      <c r="D399" s="14">
        <f>67.9218 * CHOOSE(CONTROL!$C$9, $D$9, 100%, $F$9) + CHOOSE(CONTROL!$C$27, 0.0021, 0)</f>
        <v>67.923900000000003</v>
      </c>
      <c r="E399" s="14">
        <f>67.7851 * CHOOSE(CONTROL!$C$9, $D$9, 100%, $F$9) + CHOOSE(CONTROL!$C$27, 0.0021, 0)</f>
        <v>67.787199999999999</v>
      </c>
      <c r="F399" s="14">
        <f>67.7851 * CHOOSE(CONTROL!$C$9, $D$9, 100%, $F$9) + CHOOSE(CONTROL!$C$27, 0.0021, 0)</f>
        <v>67.787199999999999</v>
      </c>
      <c r="G399" s="14">
        <f>68.0565 * CHOOSE(CONTROL!$C$9, $D$9, 100%, $F$9) + CHOOSE(CONTROL!$C$27, 0.0021, 0)</f>
        <v>68.058599999999998</v>
      </c>
      <c r="H399" s="14">
        <f>67.9218 * CHOOSE(CONTROL!$C$9, $D$9, 100%, $F$9) + CHOOSE(CONTROL!$C$27, 0.0021, 0)</f>
        <v>67.923900000000003</v>
      </c>
      <c r="I399" s="14">
        <f>67.9218 * CHOOSE(CONTROL!$C$9, $D$9, 100%, $F$9) + CHOOSE(CONTROL!$C$27, 0.0021, 0)</f>
        <v>67.923900000000003</v>
      </c>
      <c r="J399" s="14">
        <f>67.9218 * CHOOSE(CONTROL!$C$9, $D$9, 100%, $F$9) + CHOOSE(CONTROL!$C$27, 0.0021, 0)</f>
        <v>67.923900000000003</v>
      </c>
      <c r="K399" s="14">
        <f>67.9218 * CHOOSE(CONTROL!$C$9, $D$9, 100%, $F$9) + CHOOSE(CONTROL!$C$27, 0.0021, 0)</f>
        <v>67.923900000000003</v>
      </c>
      <c r="L399" s="14"/>
    </row>
    <row r="400" spans="1:12" ht="15.75" x14ac:dyDescent="0.25">
      <c r="A400" s="33">
        <v>53113</v>
      </c>
      <c r="B400" s="14">
        <f>69.7414 * CHOOSE(CONTROL!$C$9, $D$9, 100%, $F$9) + CHOOSE(CONTROL!$C$27, 0.0021, 0)</f>
        <v>69.743499999999997</v>
      </c>
      <c r="C400" s="14">
        <f>69.3091 * CHOOSE(CONTROL!$C$9, $D$9, 100%, $F$9) + CHOOSE(CONTROL!$C$27, 0.0021, 0)</f>
        <v>69.311199999999999</v>
      </c>
      <c r="D400" s="14">
        <f>69.3091 * CHOOSE(CONTROL!$C$9, $D$9, 100%, $F$9) + CHOOSE(CONTROL!$C$27, 0.0021, 0)</f>
        <v>69.311199999999999</v>
      </c>
      <c r="E400" s="14">
        <f>69.1725 * CHOOSE(CONTROL!$C$9, $D$9, 100%, $F$9) + CHOOSE(CONTROL!$C$27, 0.0021, 0)</f>
        <v>69.174599999999998</v>
      </c>
      <c r="F400" s="14">
        <f>69.1725 * CHOOSE(CONTROL!$C$9, $D$9, 100%, $F$9) + CHOOSE(CONTROL!$C$27, 0.0021, 0)</f>
        <v>69.174599999999998</v>
      </c>
      <c r="G400" s="14">
        <f>69.4438 * CHOOSE(CONTROL!$C$9, $D$9, 100%, $F$9) + CHOOSE(CONTROL!$C$27, 0.0021, 0)</f>
        <v>69.445899999999995</v>
      </c>
      <c r="H400" s="14">
        <f>69.3091 * CHOOSE(CONTROL!$C$9, $D$9, 100%, $F$9) + CHOOSE(CONTROL!$C$27, 0.0021, 0)</f>
        <v>69.311199999999999</v>
      </c>
      <c r="I400" s="14">
        <f>69.3091 * CHOOSE(CONTROL!$C$9, $D$9, 100%, $F$9) + CHOOSE(CONTROL!$C$27, 0.0021, 0)</f>
        <v>69.311199999999999</v>
      </c>
      <c r="J400" s="14">
        <f>69.3091 * CHOOSE(CONTROL!$C$9, $D$9, 100%, $F$9) + CHOOSE(CONTROL!$C$27, 0.0021, 0)</f>
        <v>69.311199999999999</v>
      </c>
      <c r="K400" s="14">
        <f>69.3091 * CHOOSE(CONTROL!$C$9, $D$9, 100%, $F$9) + CHOOSE(CONTROL!$C$27, 0.0021, 0)</f>
        <v>69.311199999999999</v>
      </c>
      <c r="L400" s="14"/>
    </row>
    <row r="401" spans="1:12" ht="15.75" x14ac:dyDescent="0.25">
      <c r="A401" s="33">
        <v>53143</v>
      </c>
      <c r="B401" s="14">
        <f>70.5723 * CHOOSE(CONTROL!$C$9, $D$9, 100%, $F$9) + CHOOSE(CONTROL!$C$27, 0.0021, 0)</f>
        <v>70.574399999999997</v>
      </c>
      <c r="C401" s="14">
        <f>70.1401 * CHOOSE(CONTROL!$C$9, $D$9, 100%, $F$9) + CHOOSE(CONTROL!$C$27, 0.0021, 0)</f>
        <v>70.142200000000003</v>
      </c>
      <c r="D401" s="14">
        <f>70.1401 * CHOOSE(CONTROL!$C$9, $D$9, 100%, $F$9) + CHOOSE(CONTROL!$C$27, 0.0021, 0)</f>
        <v>70.142200000000003</v>
      </c>
      <c r="E401" s="14">
        <f>70.0034 * CHOOSE(CONTROL!$C$9, $D$9, 100%, $F$9) + CHOOSE(CONTROL!$C$27, 0.0021, 0)</f>
        <v>70.005499999999998</v>
      </c>
      <c r="F401" s="14">
        <f>70.0034 * CHOOSE(CONTROL!$C$9, $D$9, 100%, $F$9) + CHOOSE(CONTROL!$C$27, 0.0021, 0)</f>
        <v>70.005499999999998</v>
      </c>
      <c r="G401" s="14">
        <f>70.2748 * CHOOSE(CONTROL!$C$9, $D$9, 100%, $F$9) + CHOOSE(CONTROL!$C$27, 0.0021, 0)</f>
        <v>70.276899999999998</v>
      </c>
      <c r="H401" s="14">
        <f>70.1401 * CHOOSE(CONTROL!$C$9, $D$9, 100%, $F$9) + CHOOSE(CONTROL!$C$27, 0.0021, 0)</f>
        <v>70.142200000000003</v>
      </c>
      <c r="I401" s="14">
        <f>70.1401 * CHOOSE(CONTROL!$C$9, $D$9, 100%, $F$9) + CHOOSE(CONTROL!$C$27, 0.0021, 0)</f>
        <v>70.142200000000003</v>
      </c>
      <c r="J401" s="14">
        <f>70.1401 * CHOOSE(CONTROL!$C$9, $D$9, 100%, $F$9) + CHOOSE(CONTROL!$C$27, 0.0021, 0)</f>
        <v>70.142200000000003</v>
      </c>
      <c r="K401" s="14">
        <f>70.1401 * CHOOSE(CONTROL!$C$9, $D$9, 100%, $F$9) + CHOOSE(CONTROL!$C$27, 0.0021, 0)</f>
        <v>70.142200000000003</v>
      </c>
      <c r="L401" s="14"/>
    </row>
    <row r="402" spans="1:12" ht="15.75" x14ac:dyDescent="0.25">
      <c r="A402" s="33">
        <v>53174</v>
      </c>
      <c r="B402" s="14">
        <f>71.9431 * CHOOSE(CONTROL!$C$9, $D$9, 100%, $F$9) + CHOOSE(CONTROL!$C$27, 0.0021, 0)</f>
        <v>71.9452</v>
      </c>
      <c r="C402" s="14">
        <f>71.5108 * CHOOSE(CONTROL!$C$9, $D$9, 100%, $F$9) + CHOOSE(CONTROL!$C$27, 0.0021, 0)</f>
        <v>71.512900000000002</v>
      </c>
      <c r="D402" s="14">
        <f>71.5108 * CHOOSE(CONTROL!$C$9, $D$9, 100%, $F$9) + CHOOSE(CONTROL!$C$27, 0.0021, 0)</f>
        <v>71.512900000000002</v>
      </c>
      <c r="E402" s="14">
        <f>71.3742 * CHOOSE(CONTROL!$C$9, $D$9, 100%, $F$9) + CHOOSE(CONTROL!$C$27, 0.0021, 0)</f>
        <v>71.376300000000001</v>
      </c>
      <c r="F402" s="14">
        <f>71.3742 * CHOOSE(CONTROL!$C$9, $D$9, 100%, $F$9) + CHOOSE(CONTROL!$C$27, 0.0021, 0)</f>
        <v>71.376300000000001</v>
      </c>
      <c r="G402" s="14">
        <f>71.6456 * CHOOSE(CONTROL!$C$9, $D$9, 100%, $F$9) + CHOOSE(CONTROL!$C$27, 0.0021, 0)</f>
        <v>71.6477</v>
      </c>
      <c r="H402" s="14">
        <f>71.5108 * CHOOSE(CONTROL!$C$9, $D$9, 100%, $F$9) + CHOOSE(CONTROL!$C$27, 0.0021, 0)</f>
        <v>71.512900000000002</v>
      </c>
      <c r="I402" s="14">
        <f>71.5108 * CHOOSE(CONTROL!$C$9, $D$9, 100%, $F$9) + CHOOSE(CONTROL!$C$27, 0.0021, 0)</f>
        <v>71.512900000000002</v>
      </c>
      <c r="J402" s="14">
        <f>71.5108 * CHOOSE(CONTROL!$C$9, $D$9, 100%, $F$9) + CHOOSE(CONTROL!$C$27, 0.0021, 0)</f>
        <v>71.512900000000002</v>
      </c>
      <c r="K402" s="14">
        <f>71.5108 * CHOOSE(CONTROL!$C$9, $D$9, 100%, $F$9) + CHOOSE(CONTROL!$C$27, 0.0021, 0)</f>
        <v>71.512900000000002</v>
      </c>
      <c r="L402" s="14"/>
    </row>
    <row r="403" spans="1:12" ht="15.75" x14ac:dyDescent="0.25">
      <c r="A403" s="33">
        <v>53205</v>
      </c>
      <c r="B403" s="14">
        <f>72.3615 * CHOOSE(CONTROL!$C$9, $D$9, 100%, $F$9) + CHOOSE(CONTROL!$C$27, 0.0021, 0)</f>
        <v>72.363600000000005</v>
      </c>
      <c r="C403" s="14">
        <f>71.9292 * CHOOSE(CONTROL!$C$9, $D$9, 100%, $F$9) + CHOOSE(CONTROL!$C$27, 0.0021, 0)</f>
        <v>71.931299999999993</v>
      </c>
      <c r="D403" s="14">
        <f>71.9292 * CHOOSE(CONTROL!$C$9, $D$9, 100%, $F$9) + CHOOSE(CONTROL!$C$27, 0.0021, 0)</f>
        <v>71.931299999999993</v>
      </c>
      <c r="E403" s="14">
        <f>71.7926 * CHOOSE(CONTROL!$C$9, $D$9, 100%, $F$9) + CHOOSE(CONTROL!$C$27, 0.0021, 0)</f>
        <v>71.794699999999992</v>
      </c>
      <c r="F403" s="14">
        <f>71.7926 * CHOOSE(CONTROL!$C$9, $D$9, 100%, $F$9) + CHOOSE(CONTROL!$C$27, 0.0021, 0)</f>
        <v>71.794699999999992</v>
      </c>
      <c r="G403" s="14">
        <f>72.064 * CHOOSE(CONTROL!$C$9, $D$9, 100%, $F$9) + CHOOSE(CONTROL!$C$27, 0.0021, 0)</f>
        <v>72.066099999999992</v>
      </c>
      <c r="H403" s="14">
        <f>71.9292 * CHOOSE(CONTROL!$C$9, $D$9, 100%, $F$9) + CHOOSE(CONTROL!$C$27, 0.0021, 0)</f>
        <v>71.931299999999993</v>
      </c>
      <c r="I403" s="14">
        <f>71.9292 * CHOOSE(CONTROL!$C$9, $D$9, 100%, $F$9) + CHOOSE(CONTROL!$C$27, 0.0021, 0)</f>
        <v>71.931299999999993</v>
      </c>
      <c r="J403" s="14">
        <f>71.9292 * CHOOSE(CONTROL!$C$9, $D$9, 100%, $F$9) + CHOOSE(CONTROL!$C$27, 0.0021, 0)</f>
        <v>71.931299999999993</v>
      </c>
      <c r="K403" s="14">
        <f>71.9292 * CHOOSE(CONTROL!$C$9, $D$9, 100%, $F$9) + CHOOSE(CONTROL!$C$27, 0.0021, 0)</f>
        <v>71.931299999999993</v>
      </c>
      <c r="L403" s="14"/>
    </row>
    <row r="404" spans="1:12" ht="15.75" x14ac:dyDescent="0.25">
      <c r="A404" s="33">
        <v>53235</v>
      </c>
      <c r="B404" s="14">
        <f>73.7863 * CHOOSE(CONTROL!$C$9, $D$9, 100%, $F$9) + CHOOSE(CONTROL!$C$27, 0.0021, 0)</f>
        <v>73.788399999999996</v>
      </c>
      <c r="C404" s="14">
        <f>73.3541 * CHOOSE(CONTROL!$C$9, $D$9, 100%, $F$9) + CHOOSE(CONTROL!$C$27, 0.0021, 0)</f>
        <v>73.356200000000001</v>
      </c>
      <c r="D404" s="14">
        <f>73.3541 * CHOOSE(CONTROL!$C$9, $D$9, 100%, $F$9) + CHOOSE(CONTROL!$C$27, 0.0021, 0)</f>
        <v>73.356200000000001</v>
      </c>
      <c r="E404" s="14">
        <f>73.2174 * CHOOSE(CONTROL!$C$9, $D$9, 100%, $F$9) + CHOOSE(CONTROL!$C$27, 0.0021, 0)</f>
        <v>73.219499999999996</v>
      </c>
      <c r="F404" s="14">
        <f>73.2174 * CHOOSE(CONTROL!$C$9, $D$9, 100%, $F$9) + CHOOSE(CONTROL!$C$27, 0.0021, 0)</f>
        <v>73.219499999999996</v>
      </c>
      <c r="G404" s="14">
        <f>73.4888 * CHOOSE(CONTROL!$C$9, $D$9, 100%, $F$9) + CHOOSE(CONTROL!$C$27, 0.0021, 0)</f>
        <v>73.490899999999996</v>
      </c>
      <c r="H404" s="14">
        <f>73.3541 * CHOOSE(CONTROL!$C$9, $D$9, 100%, $F$9) + CHOOSE(CONTROL!$C$27, 0.0021, 0)</f>
        <v>73.356200000000001</v>
      </c>
      <c r="I404" s="14">
        <f>73.3541 * CHOOSE(CONTROL!$C$9, $D$9, 100%, $F$9) + CHOOSE(CONTROL!$C$27, 0.0021, 0)</f>
        <v>73.356200000000001</v>
      </c>
      <c r="J404" s="14">
        <f>73.3541 * CHOOSE(CONTROL!$C$9, $D$9, 100%, $F$9) + CHOOSE(CONTROL!$C$27, 0.0021, 0)</f>
        <v>73.356200000000001</v>
      </c>
      <c r="K404" s="14">
        <f>73.3541 * CHOOSE(CONTROL!$C$9, $D$9, 100%, $F$9) + CHOOSE(CONTROL!$C$27, 0.0021, 0)</f>
        <v>73.356200000000001</v>
      </c>
      <c r="L404" s="14"/>
    </row>
    <row r="405" spans="1:12" ht="15.75" x14ac:dyDescent="0.25">
      <c r="A405" s="33">
        <v>53266</v>
      </c>
      <c r="B405" s="14">
        <f>75.59 * CHOOSE(CONTROL!$C$9, $D$9, 100%, $F$9) + CHOOSE(CONTROL!$C$27, 0.0021, 0)</f>
        <v>75.592100000000002</v>
      </c>
      <c r="C405" s="14">
        <f>75.1577 * CHOOSE(CONTROL!$C$9, $D$9, 100%, $F$9) + CHOOSE(CONTROL!$C$27, 0.0021, 0)</f>
        <v>75.159800000000004</v>
      </c>
      <c r="D405" s="14">
        <f>75.1577 * CHOOSE(CONTROL!$C$9, $D$9, 100%, $F$9) + CHOOSE(CONTROL!$C$27, 0.0021, 0)</f>
        <v>75.159800000000004</v>
      </c>
      <c r="E405" s="14">
        <f>75.0211 * CHOOSE(CONTROL!$C$9, $D$9, 100%, $F$9) + CHOOSE(CONTROL!$C$27, 0.0021, 0)</f>
        <v>75.023200000000003</v>
      </c>
      <c r="F405" s="14">
        <f>75.0211 * CHOOSE(CONTROL!$C$9, $D$9, 100%, $F$9) + CHOOSE(CONTROL!$C$27, 0.0021, 0)</f>
        <v>75.023200000000003</v>
      </c>
      <c r="G405" s="14">
        <f>75.2924 * CHOOSE(CONTROL!$C$9, $D$9, 100%, $F$9) + CHOOSE(CONTROL!$C$27, 0.0021, 0)</f>
        <v>75.294499999999999</v>
      </c>
      <c r="H405" s="14">
        <f>75.1577 * CHOOSE(CONTROL!$C$9, $D$9, 100%, $F$9) + CHOOSE(CONTROL!$C$27, 0.0021, 0)</f>
        <v>75.159800000000004</v>
      </c>
      <c r="I405" s="14">
        <f>75.1577 * CHOOSE(CONTROL!$C$9, $D$9, 100%, $F$9) + CHOOSE(CONTROL!$C$27, 0.0021, 0)</f>
        <v>75.159800000000004</v>
      </c>
      <c r="J405" s="14">
        <f>75.1577 * CHOOSE(CONTROL!$C$9, $D$9, 100%, $F$9) + CHOOSE(CONTROL!$C$27, 0.0021, 0)</f>
        <v>75.159800000000004</v>
      </c>
      <c r="K405" s="14">
        <f>75.1577 * CHOOSE(CONTROL!$C$9, $D$9, 100%, $F$9) + CHOOSE(CONTROL!$C$27, 0.0021, 0)</f>
        <v>75.159800000000004</v>
      </c>
      <c r="L405" s="14"/>
    </row>
    <row r="406" spans="1:12" ht="15.75" x14ac:dyDescent="0.25">
      <c r="A406" s="33">
        <v>53296</v>
      </c>
      <c r="B406" s="14">
        <f>75.7593 * CHOOSE(CONTROL!$C$9, $D$9, 100%, $F$9) + CHOOSE(CONTROL!$C$27, 0.0021, 0)</f>
        <v>75.761399999999995</v>
      </c>
      <c r="C406" s="14">
        <f>75.327 * CHOOSE(CONTROL!$C$9, $D$9, 100%, $F$9) + CHOOSE(CONTROL!$C$27, 0.0021, 0)</f>
        <v>75.329099999999997</v>
      </c>
      <c r="D406" s="14">
        <f>75.327 * CHOOSE(CONTROL!$C$9, $D$9, 100%, $F$9) + CHOOSE(CONTROL!$C$27, 0.0021, 0)</f>
        <v>75.329099999999997</v>
      </c>
      <c r="E406" s="14">
        <f>75.1904 * CHOOSE(CONTROL!$C$9, $D$9, 100%, $F$9) + CHOOSE(CONTROL!$C$27, 0.0021, 0)</f>
        <v>75.192499999999995</v>
      </c>
      <c r="F406" s="14">
        <f>75.1904 * CHOOSE(CONTROL!$C$9, $D$9, 100%, $F$9) + CHOOSE(CONTROL!$C$27, 0.0021, 0)</f>
        <v>75.192499999999995</v>
      </c>
      <c r="G406" s="14">
        <f>75.4618 * CHOOSE(CONTROL!$C$9, $D$9, 100%, $F$9) + CHOOSE(CONTROL!$C$27, 0.0021, 0)</f>
        <v>75.463899999999995</v>
      </c>
      <c r="H406" s="14">
        <f>75.327 * CHOOSE(CONTROL!$C$9, $D$9, 100%, $F$9) + CHOOSE(CONTROL!$C$27, 0.0021, 0)</f>
        <v>75.329099999999997</v>
      </c>
      <c r="I406" s="14">
        <f>75.327 * CHOOSE(CONTROL!$C$9, $D$9, 100%, $F$9) + CHOOSE(CONTROL!$C$27, 0.0021, 0)</f>
        <v>75.329099999999997</v>
      </c>
      <c r="J406" s="14">
        <f>75.327 * CHOOSE(CONTROL!$C$9, $D$9, 100%, $F$9) + CHOOSE(CONTROL!$C$27, 0.0021, 0)</f>
        <v>75.329099999999997</v>
      </c>
      <c r="K406" s="14">
        <f>75.327 * CHOOSE(CONTROL!$C$9, $D$9, 100%, $F$9) + CHOOSE(CONTROL!$C$27, 0.0021, 0)</f>
        <v>75.329099999999997</v>
      </c>
      <c r="L406" s="14"/>
    </row>
    <row r="407" spans="1:12" ht="15.75" x14ac:dyDescent="0.25">
      <c r="A407" s="33">
        <v>53327</v>
      </c>
      <c r="B407" s="14">
        <f>74.3188 * CHOOSE(CONTROL!$C$9, $D$9, 100%, $F$9) + CHOOSE(CONTROL!$C$27, 0.0021, 0)</f>
        <v>74.320899999999995</v>
      </c>
      <c r="C407" s="14">
        <f>73.8865 * CHOOSE(CONTROL!$C$9, $D$9, 100%, $F$9) + CHOOSE(CONTROL!$C$27, 0.0021, 0)</f>
        <v>73.888599999999997</v>
      </c>
      <c r="D407" s="14">
        <f>73.8865 * CHOOSE(CONTROL!$C$9, $D$9, 100%, $F$9) + CHOOSE(CONTROL!$C$27, 0.0021, 0)</f>
        <v>73.888599999999997</v>
      </c>
      <c r="E407" s="14">
        <f>73.7499 * CHOOSE(CONTROL!$C$9, $D$9, 100%, $F$9) + CHOOSE(CONTROL!$C$27, 0.0021, 0)</f>
        <v>73.751999999999995</v>
      </c>
      <c r="F407" s="14">
        <f>73.7499 * CHOOSE(CONTROL!$C$9, $D$9, 100%, $F$9) + CHOOSE(CONTROL!$C$27, 0.0021, 0)</f>
        <v>73.751999999999995</v>
      </c>
      <c r="G407" s="14">
        <f>74.0212 * CHOOSE(CONTROL!$C$9, $D$9, 100%, $F$9) + CHOOSE(CONTROL!$C$27, 0.0021, 0)</f>
        <v>74.023299999999992</v>
      </c>
      <c r="H407" s="14">
        <f>73.8865 * CHOOSE(CONTROL!$C$9, $D$9, 100%, $F$9) + CHOOSE(CONTROL!$C$27, 0.0021, 0)</f>
        <v>73.888599999999997</v>
      </c>
      <c r="I407" s="14">
        <f>73.8865 * CHOOSE(CONTROL!$C$9, $D$9, 100%, $F$9) + CHOOSE(CONTROL!$C$27, 0.0021, 0)</f>
        <v>73.888599999999997</v>
      </c>
      <c r="J407" s="14">
        <f>73.8865 * CHOOSE(CONTROL!$C$9, $D$9, 100%, $F$9) + CHOOSE(CONTROL!$C$27, 0.0021, 0)</f>
        <v>73.888599999999997</v>
      </c>
      <c r="K407" s="14">
        <f>73.8865 * CHOOSE(CONTROL!$C$9, $D$9, 100%, $F$9) + CHOOSE(CONTROL!$C$27, 0.0021, 0)</f>
        <v>73.888599999999997</v>
      </c>
      <c r="L407" s="14"/>
    </row>
    <row r="408" spans="1:12" ht="15.75" x14ac:dyDescent="0.25">
      <c r="A408" s="33">
        <v>53358</v>
      </c>
      <c r="B408" s="14">
        <f>73.4083 * CHOOSE(CONTROL!$C$9, $D$9, 100%, $F$9) + CHOOSE(CONTROL!$C$27, 0.0021, 0)</f>
        <v>73.410399999999996</v>
      </c>
      <c r="C408" s="14">
        <f>72.976 * CHOOSE(CONTROL!$C$9, $D$9, 100%, $F$9) + CHOOSE(CONTROL!$C$27, 0.0021, 0)</f>
        <v>72.978099999999998</v>
      </c>
      <c r="D408" s="14">
        <f>72.976 * CHOOSE(CONTROL!$C$9, $D$9, 100%, $F$9) + CHOOSE(CONTROL!$C$27, 0.0021, 0)</f>
        <v>72.978099999999998</v>
      </c>
      <c r="E408" s="14">
        <f>72.8394 * CHOOSE(CONTROL!$C$9, $D$9, 100%, $F$9) + CHOOSE(CONTROL!$C$27, 0.0021, 0)</f>
        <v>72.841499999999996</v>
      </c>
      <c r="F408" s="14">
        <f>72.8394 * CHOOSE(CONTROL!$C$9, $D$9, 100%, $F$9) + CHOOSE(CONTROL!$C$27, 0.0021, 0)</f>
        <v>72.841499999999996</v>
      </c>
      <c r="G408" s="14">
        <f>73.1108 * CHOOSE(CONTROL!$C$9, $D$9, 100%, $F$9) + CHOOSE(CONTROL!$C$27, 0.0021, 0)</f>
        <v>73.112899999999996</v>
      </c>
      <c r="H408" s="14">
        <f>72.976 * CHOOSE(CONTROL!$C$9, $D$9, 100%, $F$9) + CHOOSE(CONTROL!$C$27, 0.0021, 0)</f>
        <v>72.978099999999998</v>
      </c>
      <c r="I408" s="14">
        <f>72.976 * CHOOSE(CONTROL!$C$9, $D$9, 100%, $F$9) + CHOOSE(CONTROL!$C$27, 0.0021, 0)</f>
        <v>72.978099999999998</v>
      </c>
      <c r="J408" s="14">
        <f>72.976 * CHOOSE(CONTROL!$C$9, $D$9, 100%, $F$9) + CHOOSE(CONTROL!$C$27, 0.0021, 0)</f>
        <v>72.978099999999998</v>
      </c>
      <c r="K408" s="14">
        <f>72.976 * CHOOSE(CONTROL!$C$9, $D$9, 100%, $F$9) + CHOOSE(CONTROL!$C$27, 0.0021, 0)</f>
        <v>72.978099999999998</v>
      </c>
      <c r="L408" s="14"/>
    </row>
    <row r="409" spans="1:12" ht="15.75" x14ac:dyDescent="0.25">
      <c r="A409" s="33">
        <v>53386</v>
      </c>
      <c r="B409" s="14">
        <f>71.3968 * CHOOSE(CONTROL!$C$9, $D$9, 100%, $F$9) + CHOOSE(CONTROL!$C$27, 0.0021, 0)</f>
        <v>71.398899999999998</v>
      </c>
      <c r="C409" s="14">
        <f>70.9645 * CHOOSE(CONTROL!$C$9, $D$9, 100%, $F$9) + CHOOSE(CONTROL!$C$27, 0.0021, 0)</f>
        <v>70.9666</v>
      </c>
      <c r="D409" s="14">
        <f>70.9645 * CHOOSE(CONTROL!$C$9, $D$9, 100%, $F$9) + CHOOSE(CONTROL!$C$27, 0.0021, 0)</f>
        <v>70.9666</v>
      </c>
      <c r="E409" s="14">
        <f>70.8278 * CHOOSE(CONTROL!$C$9, $D$9, 100%, $F$9) + CHOOSE(CONTROL!$C$27, 0.0021, 0)</f>
        <v>70.829899999999995</v>
      </c>
      <c r="F409" s="14">
        <f>70.8278 * CHOOSE(CONTROL!$C$9, $D$9, 100%, $F$9) + CHOOSE(CONTROL!$C$27, 0.0021, 0)</f>
        <v>70.829899999999995</v>
      </c>
      <c r="G409" s="14">
        <f>71.0992 * CHOOSE(CONTROL!$C$9, $D$9, 100%, $F$9) + CHOOSE(CONTROL!$C$27, 0.0021, 0)</f>
        <v>71.101299999999995</v>
      </c>
      <c r="H409" s="14">
        <f>70.9645 * CHOOSE(CONTROL!$C$9, $D$9, 100%, $F$9) + CHOOSE(CONTROL!$C$27, 0.0021, 0)</f>
        <v>70.9666</v>
      </c>
      <c r="I409" s="14">
        <f>70.9645 * CHOOSE(CONTROL!$C$9, $D$9, 100%, $F$9) + CHOOSE(CONTROL!$C$27, 0.0021, 0)</f>
        <v>70.9666</v>
      </c>
      <c r="J409" s="14">
        <f>70.9645 * CHOOSE(CONTROL!$C$9, $D$9, 100%, $F$9) + CHOOSE(CONTROL!$C$27, 0.0021, 0)</f>
        <v>70.9666</v>
      </c>
      <c r="K409" s="14">
        <f>70.9645 * CHOOSE(CONTROL!$C$9, $D$9, 100%, $F$9) + CHOOSE(CONTROL!$C$27, 0.0021, 0)</f>
        <v>70.9666</v>
      </c>
      <c r="L409" s="14"/>
    </row>
    <row r="410" spans="1:12" ht="15.75" x14ac:dyDescent="0.25">
      <c r="A410" s="33">
        <v>53417</v>
      </c>
      <c r="B410" s="14">
        <f>70.5664 * CHOOSE(CONTROL!$C$9, $D$9, 100%, $F$9) + CHOOSE(CONTROL!$C$27, 0.0021, 0)</f>
        <v>70.5685</v>
      </c>
      <c r="C410" s="14">
        <f>70.1341 * CHOOSE(CONTROL!$C$9, $D$9, 100%, $F$9) + CHOOSE(CONTROL!$C$27, 0.0021, 0)</f>
        <v>70.136200000000002</v>
      </c>
      <c r="D410" s="14">
        <f>70.1341 * CHOOSE(CONTROL!$C$9, $D$9, 100%, $F$9) + CHOOSE(CONTROL!$C$27, 0.0021, 0)</f>
        <v>70.136200000000002</v>
      </c>
      <c r="E410" s="14">
        <f>69.9975 * CHOOSE(CONTROL!$C$9, $D$9, 100%, $F$9) + CHOOSE(CONTROL!$C$27, 0.0021, 0)</f>
        <v>69.999600000000001</v>
      </c>
      <c r="F410" s="14">
        <f>69.9975 * CHOOSE(CONTROL!$C$9, $D$9, 100%, $F$9) + CHOOSE(CONTROL!$C$27, 0.0021, 0)</f>
        <v>69.999600000000001</v>
      </c>
      <c r="G410" s="14">
        <f>70.2689 * CHOOSE(CONTROL!$C$9, $D$9, 100%, $F$9) + CHOOSE(CONTROL!$C$27, 0.0021, 0)</f>
        <v>70.271000000000001</v>
      </c>
      <c r="H410" s="14">
        <f>70.1341 * CHOOSE(CONTROL!$C$9, $D$9, 100%, $F$9) + CHOOSE(CONTROL!$C$27, 0.0021, 0)</f>
        <v>70.136200000000002</v>
      </c>
      <c r="I410" s="14">
        <f>70.1341 * CHOOSE(CONTROL!$C$9, $D$9, 100%, $F$9) + CHOOSE(CONTROL!$C$27, 0.0021, 0)</f>
        <v>70.136200000000002</v>
      </c>
      <c r="J410" s="14">
        <f>70.1341 * CHOOSE(CONTROL!$C$9, $D$9, 100%, $F$9) + CHOOSE(CONTROL!$C$27, 0.0021, 0)</f>
        <v>70.136200000000002</v>
      </c>
      <c r="K410" s="14">
        <f>70.1341 * CHOOSE(CONTROL!$C$9, $D$9, 100%, $F$9) + CHOOSE(CONTROL!$C$27, 0.0021, 0)</f>
        <v>70.136200000000002</v>
      </c>
      <c r="L410" s="14"/>
    </row>
    <row r="411" spans="1:12" ht="15.75" x14ac:dyDescent="0.25">
      <c r="A411" s="33">
        <v>53447</v>
      </c>
      <c r="B411" s="14">
        <f>69.5749 * CHOOSE(CONTROL!$C$9, $D$9, 100%, $F$9) + CHOOSE(CONTROL!$C$27, 0.0021, 0)</f>
        <v>69.576999999999998</v>
      </c>
      <c r="C411" s="14">
        <f>69.1427 * CHOOSE(CONTROL!$C$9, $D$9, 100%, $F$9) + CHOOSE(CONTROL!$C$27, 0.0021, 0)</f>
        <v>69.144800000000004</v>
      </c>
      <c r="D411" s="14">
        <f>69.1427 * CHOOSE(CONTROL!$C$9, $D$9, 100%, $F$9) + CHOOSE(CONTROL!$C$27, 0.0021, 0)</f>
        <v>69.144800000000004</v>
      </c>
      <c r="E411" s="14">
        <f>69.006 * CHOOSE(CONTROL!$C$9, $D$9, 100%, $F$9) + CHOOSE(CONTROL!$C$27, 0.0021, 0)</f>
        <v>69.008099999999999</v>
      </c>
      <c r="F411" s="14">
        <f>69.006 * CHOOSE(CONTROL!$C$9, $D$9, 100%, $F$9) + CHOOSE(CONTROL!$C$27, 0.0021, 0)</f>
        <v>69.008099999999999</v>
      </c>
      <c r="G411" s="14">
        <f>69.2774 * CHOOSE(CONTROL!$C$9, $D$9, 100%, $F$9) + CHOOSE(CONTROL!$C$27, 0.0021, 0)</f>
        <v>69.279499999999999</v>
      </c>
      <c r="H411" s="14">
        <f>69.1427 * CHOOSE(CONTROL!$C$9, $D$9, 100%, $F$9) + CHOOSE(CONTROL!$C$27, 0.0021, 0)</f>
        <v>69.144800000000004</v>
      </c>
      <c r="I411" s="14">
        <f>69.1427 * CHOOSE(CONTROL!$C$9, $D$9, 100%, $F$9) + CHOOSE(CONTROL!$C$27, 0.0021, 0)</f>
        <v>69.144800000000004</v>
      </c>
      <c r="J411" s="14">
        <f>69.1427 * CHOOSE(CONTROL!$C$9, $D$9, 100%, $F$9) + CHOOSE(CONTROL!$C$27, 0.0021, 0)</f>
        <v>69.144800000000004</v>
      </c>
      <c r="K411" s="14">
        <f>69.1427 * CHOOSE(CONTROL!$C$9, $D$9, 100%, $F$9) + CHOOSE(CONTROL!$C$27, 0.0021, 0)</f>
        <v>69.144800000000004</v>
      </c>
      <c r="L411" s="14"/>
    </row>
    <row r="412" spans="1:12" ht="15.75" x14ac:dyDescent="0.25">
      <c r="A412" s="33">
        <v>53478</v>
      </c>
      <c r="B412" s="14">
        <f>70.9879 * CHOOSE(CONTROL!$C$9, $D$9, 100%, $F$9) + CHOOSE(CONTROL!$C$27, 0.0021, 0)</f>
        <v>70.989999999999995</v>
      </c>
      <c r="C412" s="14">
        <f>70.5556 * CHOOSE(CONTROL!$C$9, $D$9, 100%, $F$9) + CHOOSE(CONTROL!$C$27, 0.0021, 0)</f>
        <v>70.557699999999997</v>
      </c>
      <c r="D412" s="14">
        <f>70.5556 * CHOOSE(CONTROL!$C$9, $D$9, 100%, $F$9) + CHOOSE(CONTROL!$C$27, 0.0021, 0)</f>
        <v>70.557699999999997</v>
      </c>
      <c r="E412" s="14">
        <f>70.419 * CHOOSE(CONTROL!$C$9, $D$9, 100%, $F$9) + CHOOSE(CONTROL!$C$27, 0.0021, 0)</f>
        <v>70.421099999999996</v>
      </c>
      <c r="F412" s="14">
        <f>70.419 * CHOOSE(CONTROL!$C$9, $D$9, 100%, $F$9) + CHOOSE(CONTROL!$C$27, 0.0021, 0)</f>
        <v>70.421099999999996</v>
      </c>
      <c r="G412" s="14">
        <f>70.6904 * CHOOSE(CONTROL!$C$9, $D$9, 100%, $F$9) + CHOOSE(CONTROL!$C$27, 0.0021, 0)</f>
        <v>70.692499999999995</v>
      </c>
      <c r="H412" s="14">
        <f>70.5556 * CHOOSE(CONTROL!$C$9, $D$9, 100%, $F$9) + CHOOSE(CONTROL!$C$27, 0.0021, 0)</f>
        <v>70.557699999999997</v>
      </c>
      <c r="I412" s="14">
        <f>70.5556 * CHOOSE(CONTROL!$C$9, $D$9, 100%, $F$9) + CHOOSE(CONTROL!$C$27, 0.0021, 0)</f>
        <v>70.557699999999997</v>
      </c>
      <c r="J412" s="14">
        <f>70.5556 * CHOOSE(CONTROL!$C$9, $D$9, 100%, $F$9) + CHOOSE(CONTROL!$C$27, 0.0021, 0)</f>
        <v>70.557699999999997</v>
      </c>
      <c r="K412" s="14">
        <f>70.5556 * CHOOSE(CONTROL!$C$9, $D$9, 100%, $F$9) + CHOOSE(CONTROL!$C$27, 0.0021, 0)</f>
        <v>70.557699999999997</v>
      </c>
      <c r="L412" s="14"/>
    </row>
    <row r="413" spans="1:12" ht="15.75" x14ac:dyDescent="0.25">
      <c r="A413" s="33">
        <v>53508</v>
      </c>
      <c r="B413" s="14">
        <f>71.8342 * CHOOSE(CONTROL!$C$9, $D$9, 100%, $F$9) + CHOOSE(CONTROL!$C$27, 0.0021, 0)</f>
        <v>71.836299999999994</v>
      </c>
      <c r="C413" s="14">
        <f>71.4019 * CHOOSE(CONTROL!$C$9, $D$9, 100%, $F$9) + CHOOSE(CONTROL!$C$27, 0.0021, 0)</f>
        <v>71.403999999999996</v>
      </c>
      <c r="D413" s="14">
        <f>71.4019 * CHOOSE(CONTROL!$C$9, $D$9, 100%, $F$9) + CHOOSE(CONTROL!$C$27, 0.0021, 0)</f>
        <v>71.403999999999996</v>
      </c>
      <c r="E413" s="14">
        <f>71.2653 * CHOOSE(CONTROL!$C$9, $D$9, 100%, $F$9) + CHOOSE(CONTROL!$C$27, 0.0021, 0)</f>
        <v>71.267399999999995</v>
      </c>
      <c r="F413" s="14">
        <f>71.2653 * CHOOSE(CONTROL!$C$9, $D$9, 100%, $F$9) + CHOOSE(CONTROL!$C$27, 0.0021, 0)</f>
        <v>71.267399999999995</v>
      </c>
      <c r="G413" s="14">
        <f>71.5367 * CHOOSE(CONTROL!$C$9, $D$9, 100%, $F$9) + CHOOSE(CONTROL!$C$27, 0.0021, 0)</f>
        <v>71.538799999999995</v>
      </c>
      <c r="H413" s="14">
        <f>71.4019 * CHOOSE(CONTROL!$C$9, $D$9, 100%, $F$9) + CHOOSE(CONTROL!$C$27, 0.0021, 0)</f>
        <v>71.403999999999996</v>
      </c>
      <c r="I413" s="14">
        <f>71.4019 * CHOOSE(CONTROL!$C$9, $D$9, 100%, $F$9) + CHOOSE(CONTROL!$C$27, 0.0021, 0)</f>
        <v>71.403999999999996</v>
      </c>
      <c r="J413" s="14">
        <f>71.4019 * CHOOSE(CONTROL!$C$9, $D$9, 100%, $F$9) + CHOOSE(CONTROL!$C$27, 0.0021, 0)</f>
        <v>71.403999999999996</v>
      </c>
      <c r="K413" s="14">
        <f>71.4019 * CHOOSE(CONTROL!$C$9, $D$9, 100%, $F$9) + CHOOSE(CONTROL!$C$27, 0.0021, 0)</f>
        <v>71.403999999999996</v>
      </c>
      <c r="L413" s="14"/>
    </row>
    <row r="414" spans="1:12" ht="15.75" x14ac:dyDescent="0.25">
      <c r="A414" s="33">
        <v>53539</v>
      </c>
      <c r="B414" s="14">
        <f>73.2303 * CHOOSE(CONTROL!$C$9, $D$9, 100%, $F$9) + CHOOSE(CONTROL!$C$27, 0.0021, 0)</f>
        <v>73.232399999999998</v>
      </c>
      <c r="C414" s="14">
        <f>72.798 * CHOOSE(CONTROL!$C$9, $D$9, 100%, $F$9) + CHOOSE(CONTROL!$C$27, 0.0021, 0)</f>
        <v>72.8001</v>
      </c>
      <c r="D414" s="14">
        <f>72.798 * CHOOSE(CONTROL!$C$9, $D$9, 100%, $F$9) + CHOOSE(CONTROL!$C$27, 0.0021, 0)</f>
        <v>72.8001</v>
      </c>
      <c r="E414" s="14">
        <f>72.6614 * CHOOSE(CONTROL!$C$9, $D$9, 100%, $F$9) + CHOOSE(CONTROL!$C$27, 0.0021, 0)</f>
        <v>72.663499999999999</v>
      </c>
      <c r="F414" s="14">
        <f>72.6614 * CHOOSE(CONTROL!$C$9, $D$9, 100%, $F$9) + CHOOSE(CONTROL!$C$27, 0.0021, 0)</f>
        <v>72.663499999999999</v>
      </c>
      <c r="G414" s="14">
        <f>72.9328 * CHOOSE(CONTROL!$C$9, $D$9, 100%, $F$9) + CHOOSE(CONTROL!$C$27, 0.0021, 0)</f>
        <v>72.934899999999999</v>
      </c>
      <c r="H414" s="14">
        <f>72.798 * CHOOSE(CONTROL!$C$9, $D$9, 100%, $F$9) + CHOOSE(CONTROL!$C$27, 0.0021, 0)</f>
        <v>72.8001</v>
      </c>
      <c r="I414" s="14">
        <f>72.798 * CHOOSE(CONTROL!$C$9, $D$9, 100%, $F$9) + CHOOSE(CONTROL!$C$27, 0.0021, 0)</f>
        <v>72.8001</v>
      </c>
      <c r="J414" s="14">
        <f>72.798 * CHOOSE(CONTROL!$C$9, $D$9, 100%, $F$9) + CHOOSE(CONTROL!$C$27, 0.0021, 0)</f>
        <v>72.8001</v>
      </c>
      <c r="K414" s="14">
        <f>72.798 * CHOOSE(CONTROL!$C$9, $D$9, 100%, $F$9) + CHOOSE(CONTROL!$C$27, 0.0021, 0)</f>
        <v>72.8001</v>
      </c>
      <c r="L414" s="14"/>
    </row>
    <row r="415" spans="1:12" ht="15.75" x14ac:dyDescent="0.25">
      <c r="A415" s="33">
        <v>53570</v>
      </c>
      <c r="B415" s="14">
        <f>73.6564 * CHOOSE(CONTROL!$C$9, $D$9, 100%, $F$9) + CHOOSE(CONTROL!$C$27, 0.0021, 0)</f>
        <v>73.658500000000004</v>
      </c>
      <c r="C415" s="14">
        <f>73.2242 * CHOOSE(CONTROL!$C$9, $D$9, 100%, $F$9) + CHOOSE(CONTROL!$C$27, 0.0021, 0)</f>
        <v>73.226299999999995</v>
      </c>
      <c r="D415" s="14">
        <f>73.2242 * CHOOSE(CONTROL!$C$9, $D$9, 100%, $F$9) + CHOOSE(CONTROL!$C$27, 0.0021, 0)</f>
        <v>73.226299999999995</v>
      </c>
      <c r="E415" s="14">
        <f>73.0875 * CHOOSE(CONTROL!$C$9, $D$9, 100%, $F$9) + CHOOSE(CONTROL!$C$27, 0.0021, 0)</f>
        <v>73.089600000000004</v>
      </c>
      <c r="F415" s="14">
        <f>73.0875 * CHOOSE(CONTROL!$C$9, $D$9, 100%, $F$9) + CHOOSE(CONTROL!$C$27, 0.0021, 0)</f>
        <v>73.089600000000004</v>
      </c>
      <c r="G415" s="14">
        <f>73.3589 * CHOOSE(CONTROL!$C$9, $D$9, 100%, $F$9) + CHOOSE(CONTROL!$C$27, 0.0021, 0)</f>
        <v>73.361000000000004</v>
      </c>
      <c r="H415" s="14">
        <f>73.2242 * CHOOSE(CONTROL!$C$9, $D$9, 100%, $F$9) + CHOOSE(CONTROL!$C$27, 0.0021, 0)</f>
        <v>73.226299999999995</v>
      </c>
      <c r="I415" s="14">
        <f>73.2242 * CHOOSE(CONTROL!$C$9, $D$9, 100%, $F$9) + CHOOSE(CONTROL!$C$27, 0.0021, 0)</f>
        <v>73.226299999999995</v>
      </c>
      <c r="J415" s="14">
        <f>73.2242 * CHOOSE(CONTROL!$C$9, $D$9, 100%, $F$9) + CHOOSE(CONTROL!$C$27, 0.0021, 0)</f>
        <v>73.226299999999995</v>
      </c>
      <c r="K415" s="14">
        <f>73.2242 * CHOOSE(CONTROL!$C$9, $D$9, 100%, $F$9) + CHOOSE(CONTROL!$C$27, 0.0021, 0)</f>
        <v>73.226299999999995</v>
      </c>
      <c r="L415" s="14"/>
    </row>
    <row r="416" spans="1:12" ht="15.75" x14ac:dyDescent="0.25">
      <c r="A416" s="33">
        <v>53600</v>
      </c>
      <c r="B416" s="14">
        <f>75.1076 * CHOOSE(CONTROL!$C$9, $D$9, 100%, $F$9) + CHOOSE(CONTROL!$C$27, 0.0021, 0)</f>
        <v>75.109700000000004</v>
      </c>
      <c r="C416" s="14">
        <f>74.6754 * CHOOSE(CONTROL!$C$9, $D$9, 100%, $F$9) + CHOOSE(CONTROL!$C$27, 0.0021, 0)</f>
        <v>74.677499999999995</v>
      </c>
      <c r="D416" s="14">
        <f>74.6754 * CHOOSE(CONTROL!$C$9, $D$9, 100%, $F$9) + CHOOSE(CONTROL!$C$27, 0.0021, 0)</f>
        <v>74.677499999999995</v>
      </c>
      <c r="E416" s="14">
        <f>74.5387 * CHOOSE(CONTROL!$C$9, $D$9, 100%, $F$9) + CHOOSE(CONTROL!$C$27, 0.0021, 0)</f>
        <v>74.540800000000004</v>
      </c>
      <c r="F416" s="14">
        <f>74.5387 * CHOOSE(CONTROL!$C$9, $D$9, 100%, $F$9) + CHOOSE(CONTROL!$C$27, 0.0021, 0)</f>
        <v>74.540800000000004</v>
      </c>
      <c r="G416" s="14">
        <f>74.8101 * CHOOSE(CONTROL!$C$9, $D$9, 100%, $F$9) + CHOOSE(CONTROL!$C$27, 0.0021, 0)</f>
        <v>74.812200000000004</v>
      </c>
      <c r="H416" s="14">
        <f>74.6754 * CHOOSE(CONTROL!$C$9, $D$9, 100%, $F$9) + CHOOSE(CONTROL!$C$27, 0.0021, 0)</f>
        <v>74.677499999999995</v>
      </c>
      <c r="I416" s="14">
        <f>74.6754 * CHOOSE(CONTROL!$C$9, $D$9, 100%, $F$9) + CHOOSE(CONTROL!$C$27, 0.0021, 0)</f>
        <v>74.677499999999995</v>
      </c>
      <c r="J416" s="14">
        <f>74.6754 * CHOOSE(CONTROL!$C$9, $D$9, 100%, $F$9) + CHOOSE(CONTROL!$C$27, 0.0021, 0)</f>
        <v>74.677499999999995</v>
      </c>
      <c r="K416" s="14">
        <f>74.6754 * CHOOSE(CONTROL!$C$9, $D$9, 100%, $F$9) + CHOOSE(CONTROL!$C$27, 0.0021, 0)</f>
        <v>74.677499999999995</v>
      </c>
      <c r="L416" s="14"/>
    </row>
    <row r="417" spans="1:12" ht="15.75" x14ac:dyDescent="0.25">
      <c r="A417" s="33">
        <v>53631</v>
      </c>
      <c r="B417" s="14">
        <f>76.9446 * CHOOSE(CONTROL!$C$9, $D$9, 100%, $F$9) + CHOOSE(CONTROL!$C$27, 0.0021, 0)</f>
        <v>76.946699999999993</v>
      </c>
      <c r="C417" s="14">
        <f>76.5123 * CHOOSE(CONTROL!$C$9, $D$9, 100%, $F$9) + CHOOSE(CONTROL!$C$27, 0.0021, 0)</f>
        <v>76.514399999999995</v>
      </c>
      <c r="D417" s="14">
        <f>76.5123 * CHOOSE(CONTROL!$C$9, $D$9, 100%, $F$9) + CHOOSE(CONTROL!$C$27, 0.0021, 0)</f>
        <v>76.514399999999995</v>
      </c>
      <c r="E417" s="14">
        <f>76.3757 * CHOOSE(CONTROL!$C$9, $D$9, 100%, $F$9) + CHOOSE(CONTROL!$C$27, 0.0021, 0)</f>
        <v>76.377799999999993</v>
      </c>
      <c r="F417" s="14">
        <f>76.3757 * CHOOSE(CONTROL!$C$9, $D$9, 100%, $F$9) + CHOOSE(CONTROL!$C$27, 0.0021, 0)</f>
        <v>76.377799999999993</v>
      </c>
      <c r="G417" s="14">
        <f>76.647 * CHOOSE(CONTROL!$C$9, $D$9, 100%, $F$9) + CHOOSE(CONTROL!$C$27, 0.0021, 0)</f>
        <v>76.649100000000004</v>
      </c>
      <c r="H417" s="14">
        <f>76.5123 * CHOOSE(CONTROL!$C$9, $D$9, 100%, $F$9) + CHOOSE(CONTROL!$C$27, 0.0021, 0)</f>
        <v>76.514399999999995</v>
      </c>
      <c r="I417" s="14">
        <f>76.5123 * CHOOSE(CONTROL!$C$9, $D$9, 100%, $F$9) + CHOOSE(CONTROL!$C$27, 0.0021, 0)</f>
        <v>76.514399999999995</v>
      </c>
      <c r="J417" s="14">
        <f>76.5123 * CHOOSE(CONTROL!$C$9, $D$9, 100%, $F$9) + CHOOSE(CONTROL!$C$27, 0.0021, 0)</f>
        <v>76.514399999999995</v>
      </c>
      <c r="K417" s="14">
        <f>76.5123 * CHOOSE(CONTROL!$C$9, $D$9, 100%, $F$9) + CHOOSE(CONTROL!$C$27, 0.0021, 0)</f>
        <v>76.514399999999995</v>
      </c>
      <c r="L417" s="14"/>
    </row>
    <row r="418" spans="1:12" ht="15.75" x14ac:dyDescent="0.25">
      <c r="A418" s="33">
        <v>53661</v>
      </c>
      <c r="B418" s="14">
        <f>77.117 * CHOOSE(CONTROL!$C$9, $D$9, 100%, $F$9) + CHOOSE(CONTROL!$C$27, 0.0021, 0)</f>
        <v>77.119100000000003</v>
      </c>
      <c r="C418" s="14">
        <f>76.6848 * CHOOSE(CONTROL!$C$9, $D$9, 100%, $F$9) + CHOOSE(CONTROL!$C$27, 0.0021, 0)</f>
        <v>76.686899999999994</v>
      </c>
      <c r="D418" s="14">
        <f>76.6848 * CHOOSE(CONTROL!$C$9, $D$9, 100%, $F$9) + CHOOSE(CONTROL!$C$27, 0.0021, 0)</f>
        <v>76.686899999999994</v>
      </c>
      <c r="E418" s="14">
        <f>76.5481 * CHOOSE(CONTROL!$C$9, $D$9, 100%, $F$9) + CHOOSE(CONTROL!$C$27, 0.0021, 0)</f>
        <v>76.550200000000004</v>
      </c>
      <c r="F418" s="14">
        <f>76.5481 * CHOOSE(CONTROL!$C$9, $D$9, 100%, $F$9) + CHOOSE(CONTROL!$C$27, 0.0021, 0)</f>
        <v>76.550200000000004</v>
      </c>
      <c r="G418" s="14">
        <f>76.8195 * CHOOSE(CONTROL!$C$9, $D$9, 100%, $F$9) + CHOOSE(CONTROL!$C$27, 0.0021, 0)</f>
        <v>76.821600000000004</v>
      </c>
      <c r="H418" s="14">
        <f>76.6848 * CHOOSE(CONTROL!$C$9, $D$9, 100%, $F$9) + CHOOSE(CONTROL!$C$27, 0.0021, 0)</f>
        <v>76.686899999999994</v>
      </c>
      <c r="I418" s="14">
        <f>76.6848 * CHOOSE(CONTROL!$C$9, $D$9, 100%, $F$9) + CHOOSE(CONTROL!$C$27, 0.0021, 0)</f>
        <v>76.686899999999994</v>
      </c>
      <c r="J418" s="14">
        <f>76.6848 * CHOOSE(CONTROL!$C$9, $D$9, 100%, $F$9) + CHOOSE(CONTROL!$C$27, 0.0021, 0)</f>
        <v>76.686899999999994</v>
      </c>
      <c r="K418" s="14">
        <f>76.6848 * CHOOSE(CONTROL!$C$9, $D$9, 100%, $F$9) + CHOOSE(CONTROL!$C$27, 0.0021, 0)</f>
        <v>76.686899999999994</v>
      </c>
      <c r="L418" s="14"/>
    </row>
    <row r="419" spans="1:12" ht="15.75" x14ac:dyDescent="0.25">
      <c r="A419" s="33">
        <v>53692</v>
      </c>
      <c r="B419" s="14">
        <f>75.6499 * CHOOSE(CONTROL!$C$9, $D$9, 100%, $F$9) + CHOOSE(CONTROL!$C$27, 0.0021, 0)</f>
        <v>75.652000000000001</v>
      </c>
      <c r="C419" s="14">
        <f>75.2176 * CHOOSE(CONTROL!$C$9, $D$9, 100%, $F$9) + CHOOSE(CONTROL!$C$27, 0.0021, 0)</f>
        <v>75.219700000000003</v>
      </c>
      <c r="D419" s="14">
        <f>75.2176 * CHOOSE(CONTROL!$C$9, $D$9, 100%, $F$9) + CHOOSE(CONTROL!$C$27, 0.0021, 0)</f>
        <v>75.219700000000003</v>
      </c>
      <c r="E419" s="14">
        <f>75.081 * CHOOSE(CONTROL!$C$9, $D$9, 100%, $F$9) + CHOOSE(CONTROL!$C$27, 0.0021, 0)</f>
        <v>75.083100000000002</v>
      </c>
      <c r="F419" s="14">
        <f>75.081 * CHOOSE(CONTROL!$C$9, $D$9, 100%, $F$9) + CHOOSE(CONTROL!$C$27, 0.0021, 0)</f>
        <v>75.083100000000002</v>
      </c>
      <c r="G419" s="14">
        <f>75.3523 * CHOOSE(CONTROL!$C$9, $D$9, 100%, $F$9) + CHOOSE(CONTROL!$C$27, 0.0021, 0)</f>
        <v>75.354399999999998</v>
      </c>
      <c r="H419" s="14">
        <f>75.2176 * CHOOSE(CONTROL!$C$9, $D$9, 100%, $F$9) + CHOOSE(CONTROL!$C$27, 0.0021, 0)</f>
        <v>75.219700000000003</v>
      </c>
      <c r="I419" s="14">
        <f>75.2176 * CHOOSE(CONTROL!$C$9, $D$9, 100%, $F$9) + CHOOSE(CONTROL!$C$27, 0.0021, 0)</f>
        <v>75.219700000000003</v>
      </c>
      <c r="J419" s="14">
        <f>75.2176 * CHOOSE(CONTROL!$C$9, $D$9, 100%, $F$9) + CHOOSE(CONTROL!$C$27, 0.0021, 0)</f>
        <v>75.219700000000003</v>
      </c>
      <c r="K419" s="14">
        <f>75.2176 * CHOOSE(CONTROL!$C$9, $D$9, 100%, $F$9) + CHOOSE(CONTROL!$C$27, 0.0021, 0)</f>
        <v>75.219700000000003</v>
      </c>
      <c r="L419" s="14"/>
    </row>
    <row r="420" spans="1:12" ht="15.75" x14ac:dyDescent="0.25">
      <c r="A420" s="33">
        <v>53723</v>
      </c>
      <c r="B420" s="14">
        <f>74.7226 * CHOOSE(CONTROL!$C$9, $D$9, 100%, $F$9) + CHOOSE(CONTROL!$C$27, 0.0021, 0)</f>
        <v>74.724699999999999</v>
      </c>
      <c r="C420" s="14">
        <f>74.2903 * CHOOSE(CONTROL!$C$9, $D$9, 100%, $F$9) + CHOOSE(CONTROL!$C$27, 0.0021, 0)</f>
        <v>74.292400000000001</v>
      </c>
      <c r="D420" s="14">
        <f>74.2903 * CHOOSE(CONTROL!$C$9, $D$9, 100%, $F$9) + CHOOSE(CONTROL!$C$27, 0.0021, 0)</f>
        <v>74.292400000000001</v>
      </c>
      <c r="E420" s="14">
        <f>74.1537 * CHOOSE(CONTROL!$C$9, $D$9, 100%, $F$9) + CHOOSE(CONTROL!$C$27, 0.0021, 0)</f>
        <v>74.155799999999999</v>
      </c>
      <c r="F420" s="14">
        <f>74.1537 * CHOOSE(CONTROL!$C$9, $D$9, 100%, $F$9) + CHOOSE(CONTROL!$C$27, 0.0021, 0)</f>
        <v>74.155799999999999</v>
      </c>
      <c r="G420" s="14">
        <f>74.425 * CHOOSE(CONTROL!$C$9, $D$9, 100%, $F$9) + CHOOSE(CONTROL!$C$27, 0.0021, 0)</f>
        <v>74.427099999999996</v>
      </c>
      <c r="H420" s="14">
        <f>74.2903 * CHOOSE(CONTROL!$C$9, $D$9, 100%, $F$9) + CHOOSE(CONTROL!$C$27, 0.0021, 0)</f>
        <v>74.292400000000001</v>
      </c>
      <c r="I420" s="14">
        <f>74.2903 * CHOOSE(CONTROL!$C$9, $D$9, 100%, $F$9) + CHOOSE(CONTROL!$C$27, 0.0021, 0)</f>
        <v>74.292400000000001</v>
      </c>
      <c r="J420" s="14">
        <f>74.2903 * CHOOSE(CONTROL!$C$9, $D$9, 100%, $F$9) + CHOOSE(CONTROL!$C$27, 0.0021, 0)</f>
        <v>74.292400000000001</v>
      </c>
      <c r="K420" s="14">
        <f>74.2903 * CHOOSE(CONTROL!$C$9, $D$9, 100%, $F$9) + CHOOSE(CONTROL!$C$27, 0.0021, 0)</f>
        <v>74.292400000000001</v>
      </c>
      <c r="L420" s="14"/>
    </row>
    <row r="421" spans="1:12" ht="15.75" x14ac:dyDescent="0.25">
      <c r="A421" s="33">
        <v>53751</v>
      </c>
      <c r="B421" s="14">
        <f>72.6739 * CHOOSE(CONTROL!$C$9, $D$9, 100%, $F$9) + CHOOSE(CONTROL!$C$27, 0.0021, 0)</f>
        <v>72.676000000000002</v>
      </c>
      <c r="C421" s="14">
        <f>72.2416 * CHOOSE(CONTROL!$C$9, $D$9, 100%, $F$9) + CHOOSE(CONTROL!$C$27, 0.0021, 0)</f>
        <v>72.243700000000004</v>
      </c>
      <c r="D421" s="14">
        <f>72.2416 * CHOOSE(CONTROL!$C$9, $D$9, 100%, $F$9) + CHOOSE(CONTROL!$C$27, 0.0021, 0)</f>
        <v>72.243700000000004</v>
      </c>
      <c r="E421" s="14">
        <f>72.1049 * CHOOSE(CONTROL!$C$9, $D$9, 100%, $F$9) + CHOOSE(CONTROL!$C$27, 0.0021, 0)</f>
        <v>72.106999999999999</v>
      </c>
      <c r="F421" s="14">
        <f>72.1049 * CHOOSE(CONTROL!$C$9, $D$9, 100%, $F$9) + CHOOSE(CONTROL!$C$27, 0.0021, 0)</f>
        <v>72.106999999999999</v>
      </c>
      <c r="G421" s="14">
        <f>72.3763 * CHOOSE(CONTROL!$C$9, $D$9, 100%, $F$9) + CHOOSE(CONTROL!$C$27, 0.0021, 0)</f>
        <v>72.378399999999999</v>
      </c>
      <c r="H421" s="14">
        <f>72.2416 * CHOOSE(CONTROL!$C$9, $D$9, 100%, $F$9) + CHOOSE(CONTROL!$C$27, 0.0021, 0)</f>
        <v>72.243700000000004</v>
      </c>
      <c r="I421" s="14">
        <f>72.2416 * CHOOSE(CONTROL!$C$9, $D$9, 100%, $F$9) + CHOOSE(CONTROL!$C$27, 0.0021, 0)</f>
        <v>72.243700000000004</v>
      </c>
      <c r="J421" s="14">
        <f>72.2416 * CHOOSE(CONTROL!$C$9, $D$9, 100%, $F$9) + CHOOSE(CONTROL!$C$27, 0.0021, 0)</f>
        <v>72.243700000000004</v>
      </c>
      <c r="K421" s="14">
        <f>72.2416 * CHOOSE(CONTROL!$C$9, $D$9, 100%, $F$9) + CHOOSE(CONTROL!$C$27, 0.0021, 0)</f>
        <v>72.243700000000004</v>
      </c>
      <c r="L421" s="14"/>
    </row>
    <row r="422" spans="1:12" ht="15.75" x14ac:dyDescent="0.25">
      <c r="A422" s="33">
        <v>53782</v>
      </c>
      <c r="B422" s="14">
        <f>71.8281 * CHOOSE(CONTROL!$C$9, $D$9, 100%, $F$9) + CHOOSE(CONTROL!$C$27, 0.0021, 0)</f>
        <v>71.830200000000005</v>
      </c>
      <c r="C422" s="14">
        <f>71.3959 * CHOOSE(CONTROL!$C$9, $D$9, 100%, $F$9) + CHOOSE(CONTROL!$C$27, 0.0021, 0)</f>
        <v>71.397999999999996</v>
      </c>
      <c r="D422" s="14">
        <f>71.3959 * CHOOSE(CONTROL!$C$9, $D$9, 100%, $F$9) + CHOOSE(CONTROL!$C$27, 0.0021, 0)</f>
        <v>71.397999999999996</v>
      </c>
      <c r="E422" s="14">
        <f>71.2592 * CHOOSE(CONTROL!$C$9, $D$9, 100%, $F$9) + CHOOSE(CONTROL!$C$27, 0.0021, 0)</f>
        <v>71.261300000000006</v>
      </c>
      <c r="F422" s="14">
        <f>71.2592 * CHOOSE(CONTROL!$C$9, $D$9, 100%, $F$9) + CHOOSE(CONTROL!$C$27, 0.0021, 0)</f>
        <v>71.261300000000006</v>
      </c>
      <c r="G422" s="14">
        <f>71.5306 * CHOOSE(CONTROL!$C$9, $D$9, 100%, $F$9) + CHOOSE(CONTROL!$C$27, 0.0021, 0)</f>
        <v>71.532700000000006</v>
      </c>
      <c r="H422" s="14">
        <f>71.3959 * CHOOSE(CONTROL!$C$9, $D$9, 100%, $F$9) + CHOOSE(CONTROL!$C$27, 0.0021, 0)</f>
        <v>71.397999999999996</v>
      </c>
      <c r="I422" s="14">
        <f>71.3959 * CHOOSE(CONTROL!$C$9, $D$9, 100%, $F$9) + CHOOSE(CONTROL!$C$27, 0.0021, 0)</f>
        <v>71.397999999999996</v>
      </c>
      <c r="J422" s="14">
        <f>71.3959 * CHOOSE(CONTROL!$C$9, $D$9, 100%, $F$9) + CHOOSE(CONTROL!$C$27, 0.0021, 0)</f>
        <v>71.397999999999996</v>
      </c>
      <c r="K422" s="14">
        <f>71.3959 * CHOOSE(CONTROL!$C$9, $D$9, 100%, $F$9) + CHOOSE(CONTROL!$C$27, 0.0021, 0)</f>
        <v>71.397999999999996</v>
      </c>
      <c r="L422" s="14"/>
    </row>
    <row r="423" spans="1:12" ht="15.75" x14ac:dyDescent="0.25">
      <c r="A423" s="33">
        <v>53812</v>
      </c>
      <c r="B423" s="14">
        <f>70.8184 * CHOOSE(CONTROL!$C$9, $D$9, 100%, $F$9) + CHOOSE(CONTROL!$C$27, 0.0021, 0)</f>
        <v>70.820499999999996</v>
      </c>
      <c r="C423" s="14">
        <f>70.3861 * CHOOSE(CONTROL!$C$9, $D$9, 100%, $F$9) + CHOOSE(CONTROL!$C$27, 0.0021, 0)</f>
        <v>70.388199999999998</v>
      </c>
      <c r="D423" s="14">
        <f>70.3861 * CHOOSE(CONTROL!$C$9, $D$9, 100%, $F$9) + CHOOSE(CONTROL!$C$27, 0.0021, 0)</f>
        <v>70.388199999999998</v>
      </c>
      <c r="E423" s="14">
        <f>70.2494 * CHOOSE(CONTROL!$C$9, $D$9, 100%, $F$9) + CHOOSE(CONTROL!$C$27, 0.0021, 0)</f>
        <v>70.251499999999993</v>
      </c>
      <c r="F423" s="14">
        <f>70.2494 * CHOOSE(CONTROL!$C$9, $D$9, 100%, $F$9) + CHOOSE(CONTROL!$C$27, 0.0021, 0)</f>
        <v>70.251499999999993</v>
      </c>
      <c r="G423" s="14">
        <f>70.5208 * CHOOSE(CONTROL!$C$9, $D$9, 100%, $F$9) + CHOOSE(CONTROL!$C$27, 0.0021, 0)</f>
        <v>70.522899999999993</v>
      </c>
      <c r="H423" s="14">
        <f>70.3861 * CHOOSE(CONTROL!$C$9, $D$9, 100%, $F$9) + CHOOSE(CONTROL!$C$27, 0.0021, 0)</f>
        <v>70.388199999999998</v>
      </c>
      <c r="I423" s="14">
        <f>70.3861 * CHOOSE(CONTROL!$C$9, $D$9, 100%, $F$9) + CHOOSE(CONTROL!$C$27, 0.0021, 0)</f>
        <v>70.388199999999998</v>
      </c>
      <c r="J423" s="14">
        <f>70.3861 * CHOOSE(CONTROL!$C$9, $D$9, 100%, $F$9) + CHOOSE(CONTROL!$C$27, 0.0021, 0)</f>
        <v>70.388199999999998</v>
      </c>
      <c r="K423" s="14">
        <f>70.3861 * CHOOSE(CONTROL!$C$9, $D$9, 100%, $F$9) + CHOOSE(CONTROL!$C$27, 0.0021, 0)</f>
        <v>70.388199999999998</v>
      </c>
      <c r="L423" s="14"/>
    </row>
    <row r="424" spans="1:12" ht="15.75" x14ac:dyDescent="0.25">
      <c r="A424" s="33">
        <v>53843</v>
      </c>
      <c r="B424" s="14">
        <f>72.2574 * CHOOSE(CONTROL!$C$9, $D$9, 100%, $F$9) + CHOOSE(CONTROL!$C$27, 0.0021, 0)</f>
        <v>72.259500000000003</v>
      </c>
      <c r="C424" s="14">
        <f>71.8252 * CHOOSE(CONTROL!$C$9, $D$9, 100%, $F$9) + CHOOSE(CONTROL!$C$27, 0.0021, 0)</f>
        <v>71.827299999999994</v>
      </c>
      <c r="D424" s="14">
        <f>71.8252 * CHOOSE(CONTROL!$C$9, $D$9, 100%, $F$9) + CHOOSE(CONTROL!$C$27, 0.0021, 0)</f>
        <v>71.827299999999994</v>
      </c>
      <c r="E424" s="14">
        <f>71.6885 * CHOOSE(CONTROL!$C$9, $D$9, 100%, $F$9) + CHOOSE(CONTROL!$C$27, 0.0021, 0)</f>
        <v>71.690600000000003</v>
      </c>
      <c r="F424" s="14">
        <f>71.6885 * CHOOSE(CONTROL!$C$9, $D$9, 100%, $F$9) + CHOOSE(CONTROL!$C$27, 0.0021, 0)</f>
        <v>71.690600000000003</v>
      </c>
      <c r="G424" s="14">
        <f>71.9599 * CHOOSE(CONTROL!$C$9, $D$9, 100%, $F$9) + CHOOSE(CONTROL!$C$27, 0.0021, 0)</f>
        <v>71.962000000000003</v>
      </c>
      <c r="H424" s="14">
        <f>71.8252 * CHOOSE(CONTROL!$C$9, $D$9, 100%, $F$9) + CHOOSE(CONTROL!$C$27, 0.0021, 0)</f>
        <v>71.827299999999994</v>
      </c>
      <c r="I424" s="14">
        <f>71.8252 * CHOOSE(CONTROL!$C$9, $D$9, 100%, $F$9) + CHOOSE(CONTROL!$C$27, 0.0021, 0)</f>
        <v>71.827299999999994</v>
      </c>
      <c r="J424" s="14">
        <f>71.8252 * CHOOSE(CONTROL!$C$9, $D$9, 100%, $F$9) + CHOOSE(CONTROL!$C$27, 0.0021, 0)</f>
        <v>71.827299999999994</v>
      </c>
      <c r="K424" s="14">
        <f>71.8252 * CHOOSE(CONTROL!$C$9, $D$9, 100%, $F$9) + CHOOSE(CONTROL!$C$27, 0.0021, 0)</f>
        <v>71.827299999999994</v>
      </c>
      <c r="L424" s="14"/>
    </row>
    <row r="425" spans="1:12" ht="15.75" x14ac:dyDescent="0.25">
      <c r="A425" s="33">
        <v>53873</v>
      </c>
      <c r="B425" s="14">
        <f>73.1194 * CHOOSE(CONTROL!$C$9, $D$9, 100%, $F$9) + CHOOSE(CONTROL!$C$27, 0.0021, 0)</f>
        <v>73.121499999999997</v>
      </c>
      <c r="C425" s="14">
        <f>72.6871 * CHOOSE(CONTROL!$C$9, $D$9, 100%, $F$9) + CHOOSE(CONTROL!$C$27, 0.0021, 0)</f>
        <v>72.6892</v>
      </c>
      <c r="D425" s="14">
        <f>72.6871 * CHOOSE(CONTROL!$C$9, $D$9, 100%, $F$9) + CHOOSE(CONTROL!$C$27, 0.0021, 0)</f>
        <v>72.6892</v>
      </c>
      <c r="E425" s="14">
        <f>72.5505 * CHOOSE(CONTROL!$C$9, $D$9, 100%, $F$9) + CHOOSE(CONTROL!$C$27, 0.0021, 0)</f>
        <v>72.552599999999998</v>
      </c>
      <c r="F425" s="14">
        <f>72.5505 * CHOOSE(CONTROL!$C$9, $D$9, 100%, $F$9) + CHOOSE(CONTROL!$C$27, 0.0021, 0)</f>
        <v>72.552599999999998</v>
      </c>
      <c r="G425" s="14">
        <f>72.8218 * CHOOSE(CONTROL!$C$9, $D$9, 100%, $F$9) + CHOOSE(CONTROL!$C$27, 0.0021, 0)</f>
        <v>72.823899999999995</v>
      </c>
      <c r="H425" s="14">
        <f>72.6871 * CHOOSE(CONTROL!$C$9, $D$9, 100%, $F$9) + CHOOSE(CONTROL!$C$27, 0.0021, 0)</f>
        <v>72.6892</v>
      </c>
      <c r="I425" s="14">
        <f>72.6871 * CHOOSE(CONTROL!$C$9, $D$9, 100%, $F$9) + CHOOSE(CONTROL!$C$27, 0.0021, 0)</f>
        <v>72.6892</v>
      </c>
      <c r="J425" s="14">
        <f>72.6871 * CHOOSE(CONTROL!$C$9, $D$9, 100%, $F$9) + CHOOSE(CONTROL!$C$27, 0.0021, 0)</f>
        <v>72.6892</v>
      </c>
      <c r="K425" s="14">
        <f>72.6871 * CHOOSE(CONTROL!$C$9, $D$9, 100%, $F$9) + CHOOSE(CONTROL!$C$27, 0.0021, 0)</f>
        <v>72.6892</v>
      </c>
      <c r="L425" s="14"/>
    </row>
    <row r="426" spans="1:12" ht="15.75" x14ac:dyDescent="0.25">
      <c r="A426" s="33">
        <v>53904</v>
      </c>
      <c r="B426" s="14">
        <f>74.5413 * CHOOSE(CONTROL!$C$9, $D$9, 100%, $F$9) + CHOOSE(CONTROL!$C$27, 0.0021, 0)</f>
        <v>74.543400000000005</v>
      </c>
      <c r="C426" s="14">
        <f>74.109 * CHOOSE(CONTROL!$C$9, $D$9, 100%, $F$9) + CHOOSE(CONTROL!$C$27, 0.0021, 0)</f>
        <v>74.111099999999993</v>
      </c>
      <c r="D426" s="14">
        <f>74.109 * CHOOSE(CONTROL!$C$9, $D$9, 100%, $F$9) + CHOOSE(CONTROL!$C$27, 0.0021, 0)</f>
        <v>74.111099999999993</v>
      </c>
      <c r="E426" s="14">
        <f>73.9724 * CHOOSE(CONTROL!$C$9, $D$9, 100%, $F$9) + CHOOSE(CONTROL!$C$27, 0.0021, 0)</f>
        <v>73.974499999999992</v>
      </c>
      <c r="F426" s="14">
        <f>73.9724 * CHOOSE(CONTROL!$C$9, $D$9, 100%, $F$9) + CHOOSE(CONTROL!$C$27, 0.0021, 0)</f>
        <v>73.974499999999992</v>
      </c>
      <c r="G426" s="14">
        <f>74.2437 * CHOOSE(CONTROL!$C$9, $D$9, 100%, $F$9) + CHOOSE(CONTROL!$C$27, 0.0021, 0)</f>
        <v>74.245800000000003</v>
      </c>
      <c r="H426" s="14">
        <f>74.109 * CHOOSE(CONTROL!$C$9, $D$9, 100%, $F$9) + CHOOSE(CONTROL!$C$27, 0.0021, 0)</f>
        <v>74.111099999999993</v>
      </c>
      <c r="I426" s="14">
        <f>74.109 * CHOOSE(CONTROL!$C$9, $D$9, 100%, $F$9) + CHOOSE(CONTROL!$C$27, 0.0021, 0)</f>
        <v>74.111099999999993</v>
      </c>
      <c r="J426" s="14">
        <f>74.109 * CHOOSE(CONTROL!$C$9, $D$9, 100%, $F$9) + CHOOSE(CONTROL!$C$27, 0.0021, 0)</f>
        <v>74.111099999999993</v>
      </c>
      <c r="K426" s="14">
        <f>74.109 * CHOOSE(CONTROL!$C$9, $D$9, 100%, $F$9) + CHOOSE(CONTROL!$C$27, 0.0021, 0)</f>
        <v>74.111099999999993</v>
      </c>
      <c r="L426" s="14"/>
    </row>
    <row r="427" spans="1:12" ht="15.75" x14ac:dyDescent="0.25">
      <c r="A427" s="33">
        <v>53935</v>
      </c>
      <c r="B427" s="14">
        <f>74.9753 * CHOOSE(CONTROL!$C$9, $D$9, 100%, $F$9) + CHOOSE(CONTROL!$C$27, 0.0021, 0)</f>
        <v>74.977400000000003</v>
      </c>
      <c r="C427" s="14">
        <f>74.543 * CHOOSE(CONTROL!$C$9, $D$9, 100%, $F$9) + CHOOSE(CONTROL!$C$27, 0.0021, 0)</f>
        <v>74.545100000000005</v>
      </c>
      <c r="D427" s="14">
        <f>74.543 * CHOOSE(CONTROL!$C$9, $D$9, 100%, $F$9) + CHOOSE(CONTROL!$C$27, 0.0021, 0)</f>
        <v>74.545100000000005</v>
      </c>
      <c r="E427" s="14">
        <f>74.4064 * CHOOSE(CONTROL!$C$9, $D$9, 100%, $F$9) + CHOOSE(CONTROL!$C$27, 0.0021, 0)</f>
        <v>74.408500000000004</v>
      </c>
      <c r="F427" s="14">
        <f>74.4064 * CHOOSE(CONTROL!$C$9, $D$9, 100%, $F$9) + CHOOSE(CONTROL!$C$27, 0.0021, 0)</f>
        <v>74.408500000000004</v>
      </c>
      <c r="G427" s="14">
        <f>74.6778 * CHOOSE(CONTROL!$C$9, $D$9, 100%, $F$9) + CHOOSE(CONTROL!$C$27, 0.0021, 0)</f>
        <v>74.679900000000004</v>
      </c>
      <c r="H427" s="14">
        <f>74.543 * CHOOSE(CONTROL!$C$9, $D$9, 100%, $F$9) + CHOOSE(CONTROL!$C$27, 0.0021, 0)</f>
        <v>74.545100000000005</v>
      </c>
      <c r="I427" s="14">
        <f>74.543 * CHOOSE(CONTROL!$C$9, $D$9, 100%, $F$9) + CHOOSE(CONTROL!$C$27, 0.0021, 0)</f>
        <v>74.545100000000005</v>
      </c>
      <c r="J427" s="14">
        <f>74.543 * CHOOSE(CONTROL!$C$9, $D$9, 100%, $F$9) + CHOOSE(CONTROL!$C$27, 0.0021, 0)</f>
        <v>74.545100000000005</v>
      </c>
      <c r="K427" s="14">
        <f>74.543 * CHOOSE(CONTROL!$C$9, $D$9, 100%, $F$9) + CHOOSE(CONTROL!$C$27, 0.0021, 0)</f>
        <v>74.545100000000005</v>
      </c>
      <c r="L427" s="14"/>
    </row>
    <row r="428" spans="1:12" ht="15.75" x14ac:dyDescent="0.25">
      <c r="A428" s="33">
        <v>53965</v>
      </c>
      <c r="B428" s="14">
        <f>76.4533 * CHOOSE(CONTROL!$C$9, $D$9, 100%, $F$9) + CHOOSE(CONTROL!$C$27, 0.0021, 0)</f>
        <v>76.455399999999997</v>
      </c>
      <c r="C428" s="14">
        <f>76.021 * CHOOSE(CONTROL!$C$9, $D$9, 100%, $F$9) + CHOOSE(CONTROL!$C$27, 0.0021, 0)</f>
        <v>76.023099999999999</v>
      </c>
      <c r="D428" s="14">
        <f>76.021 * CHOOSE(CONTROL!$C$9, $D$9, 100%, $F$9) + CHOOSE(CONTROL!$C$27, 0.0021, 0)</f>
        <v>76.023099999999999</v>
      </c>
      <c r="E428" s="14">
        <f>75.8844 * CHOOSE(CONTROL!$C$9, $D$9, 100%, $F$9) + CHOOSE(CONTROL!$C$27, 0.0021, 0)</f>
        <v>75.886499999999998</v>
      </c>
      <c r="F428" s="14">
        <f>75.8844 * CHOOSE(CONTROL!$C$9, $D$9, 100%, $F$9) + CHOOSE(CONTROL!$C$27, 0.0021, 0)</f>
        <v>75.886499999999998</v>
      </c>
      <c r="G428" s="14">
        <f>76.1558 * CHOOSE(CONTROL!$C$9, $D$9, 100%, $F$9) + CHOOSE(CONTROL!$C$27, 0.0021, 0)</f>
        <v>76.157899999999998</v>
      </c>
      <c r="H428" s="14">
        <f>76.021 * CHOOSE(CONTROL!$C$9, $D$9, 100%, $F$9) + CHOOSE(CONTROL!$C$27, 0.0021, 0)</f>
        <v>76.023099999999999</v>
      </c>
      <c r="I428" s="14">
        <f>76.021 * CHOOSE(CONTROL!$C$9, $D$9, 100%, $F$9) + CHOOSE(CONTROL!$C$27, 0.0021, 0)</f>
        <v>76.023099999999999</v>
      </c>
      <c r="J428" s="14">
        <f>76.021 * CHOOSE(CONTROL!$C$9, $D$9, 100%, $F$9) + CHOOSE(CONTROL!$C$27, 0.0021, 0)</f>
        <v>76.023099999999999</v>
      </c>
      <c r="K428" s="14">
        <f>76.021 * CHOOSE(CONTROL!$C$9, $D$9, 100%, $F$9) + CHOOSE(CONTROL!$C$27, 0.0021, 0)</f>
        <v>76.023099999999999</v>
      </c>
      <c r="L428" s="14"/>
    </row>
    <row r="429" spans="1:12" ht="15.75" x14ac:dyDescent="0.25">
      <c r="A429" s="33">
        <v>53996</v>
      </c>
      <c r="B429" s="14">
        <f>78.3242 * CHOOSE(CONTROL!$C$9, $D$9, 100%, $F$9) + CHOOSE(CONTROL!$C$27, 0.0021, 0)</f>
        <v>78.326300000000003</v>
      </c>
      <c r="C429" s="14">
        <f>77.8919 * CHOOSE(CONTROL!$C$9, $D$9, 100%, $F$9) + CHOOSE(CONTROL!$C$27, 0.0021, 0)</f>
        <v>77.894000000000005</v>
      </c>
      <c r="D429" s="14">
        <f>77.8919 * CHOOSE(CONTROL!$C$9, $D$9, 100%, $F$9) + CHOOSE(CONTROL!$C$27, 0.0021, 0)</f>
        <v>77.894000000000005</v>
      </c>
      <c r="E429" s="14">
        <f>77.7553 * CHOOSE(CONTROL!$C$9, $D$9, 100%, $F$9) + CHOOSE(CONTROL!$C$27, 0.0021, 0)</f>
        <v>77.757400000000004</v>
      </c>
      <c r="F429" s="14">
        <f>77.7553 * CHOOSE(CONTROL!$C$9, $D$9, 100%, $F$9) + CHOOSE(CONTROL!$C$27, 0.0021, 0)</f>
        <v>77.757400000000004</v>
      </c>
      <c r="G429" s="14">
        <f>78.0267 * CHOOSE(CONTROL!$C$9, $D$9, 100%, $F$9) + CHOOSE(CONTROL!$C$27, 0.0021, 0)</f>
        <v>78.028800000000004</v>
      </c>
      <c r="H429" s="14">
        <f>77.8919 * CHOOSE(CONTROL!$C$9, $D$9, 100%, $F$9) + CHOOSE(CONTROL!$C$27, 0.0021, 0)</f>
        <v>77.894000000000005</v>
      </c>
      <c r="I429" s="14">
        <f>77.8919 * CHOOSE(CONTROL!$C$9, $D$9, 100%, $F$9) + CHOOSE(CONTROL!$C$27, 0.0021, 0)</f>
        <v>77.894000000000005</v>
      </c>
      <c r="J429" s="14">
        <f>77.8919 * CHOOSE(CONTROL!$C$9, $D$9, 100%, $F$9) + CHOOSE(CONTROL!$C$27, 0.0021, 0)</f>
        <v>77.894000000000005</v>
      </c>
      <c r="K429" s="14">
        <f>77.8919 * CHOOSE(CONTROL!$C$9, $D$9, 100%, $F$9) + CHOOSE(CONTROL!$C$27, 0.0021, 0)</f>
        <v>77.894000000000005</v>
      </c>
      <c r="L429" s="14"/>
    </row>
    <row r="430" spans="1:12" ht="15.75" x14ac:dyDescent="0.25">
      <c r="A430" s="33">
        <v>54026</v>
      </c>
      <c r="B430" s="14">
        <f>78.4998 * CHOOSE(CONTROL!$C$9, $D$9, 100%, $F$9) + CHOOSE(CONTROL!$C$27, 0.0021, 0)</f>
        <v>78.501899999999992</v>
      </c>
      <c r="C430" s="14">
        <f>78.0676 * CHOOSE(CONTROL!$C$9, $D$9, 100%, $F$9) + CHOOSE(CONTROL!$C$27, 0.0021, 0)</f>
        <v>78.069699999999997</v>
      </c>
      <c r="D430" s="14">
        <f>78.0676 * CHOOSE(CONTROL!$C$9, $D$9, 100%, $F$9) + CHOOSE(CONTROL!$C$27, 0.0021, 0)</f>
        <v>78.069699999999997</v>
      </c>
      <c r="E430" s="14">
        <f>77.9309 * CHOOSE(CONTROL!$C$9, $D$9, 100%, $F$9) + CHOOSE(CONTROL!$C$27, 0.0021, 0)</f>
        <v>77.932999999999993</v>
      </c>
      <c r="F430" s="14">
        <f>77.9309 * CHOOSE(CONTROL!$C$9, $D$9, 100%, $F$9) + CHOOSE(CONTROL!$C$27, 0.0021, 0)</f>
        <v>77.932999999999993</v>
      </c>
      <c r="G430" s="14">
        <f>78.2023 * CHOOSE(CONTROL!$C$9, $D$9, 100%, $F$9) + CHOOSE(CONTROL!$C$27, 0.0021, 0)</f>
        <v>78.204399999999993</v>
      </c>
      <c r="H430" s="14">
        <f>78.0676 * CHOOSE(CONTROL!$C$9, $D$9, 100%, $F$9) + CHOOSE(CONTROL!$C$27, 0.0021, 0)</f>
        <v>78.069699999999997</v>
      </c>
      <c r="I430" s="14">
        <f>78.0676 * CHOOSE(CONTROL!$C$9, $D$9, 100%, $F$9) + CHOOSE(CONTROL!$C$27, 0.0021, 0)</f>
        <v>78.069699999999997</v>
      </c>
      <c r="J430" s="14">
        <f>78.0676 * CHOOSE(CONTROL!$C$9, $D$9, 100%, $F$9) + CHOOSE(CONTROL!$C$27, 0.0021, 0)</f>
        <v>78.069699999999997</v>
      </c>
      <c r="K430" s="14">
        <f>78.0676 * CHOOSE(CONTROL!$C$9, $D$9, 100%, $F$9) + CHOOSE(CONTROL!$C$27, 0.0021, 0)</f>
        <v>78.069699999999997</v>
      </c>
      <c r="L430" s="14"/>
    </row>
    <row r="431" spans="1:12" ht="15.75" x14ac:dyDescent="0.25">
      <c r="A431" s="33">
        <v>54057</v>
      </c>
      <c r="B431" s="14">
        <f>77.0056 * CHOOSE(CONTROL!$C$9, $D$9, 100%, $F$9) + CHOOSE(CONTROL!$C$27, 0.0021, 0)</f>
        <v>77.0077</v>
      </c>
      <c r="C431" s="14">
        <f>76.5733 * CHOOSE(CONTROL!$C$9, $D$9, 100%, $F$9) + CHOOSE(CONTROL!$C$27, 0.0021, 0)</f>
        <v>76.575400000000002</v>
      </c>
      <c r="D431" s="14">
        <f>76.5733 * CHOOSE(CONTROL!$C$9, $D$9, 100%, $F$9) + CHOOSE(CONTROL!$C$27, 0.0021, 0)</f>
        <v>76.575400000000002</v>
      </c>
      <c r="E431" s="14">
        <f>76.4367 * CHOOSE(CONTROL!$C$9, $D$9, 100%, $F$9) + CHOOSE(CONTROL!$C$27, 0.0021, 0)</f>
        <v>76.438800000000001</v>
      </c>
      <c r="F431" s="14">
        <f>76.4367 * CHOOSE(CONTROL!$C$9, $D$9, 100%, $F$9) + CHOOSE(CONTROL!$C$27, 0.0021, 0)</f>
        <v>76.438800000000001</v>
      </c>
      <c r="G431" s="14">
        <f>76.708 * CHOOSE(CONTROL!$C$9, $D$9, 100%, $F$9) + CHOOSE(CONTROL!$C$27, 0.0021, 0)</f>
        <v>76.710099999999997</v>
      </c>
      <c r="H431" s="14">
        <f>76.5733 * CHOOSE(CONTROL!$C$9, $D$9, 100%, $F$9) + CHOOSE(CONTROL!$C$27, 0.0021, 0)</f>
        <v>76.575400000000002</v>
      </c>
      <c r="I431" s="14">
        <f>76.5733 * CHOOSE(CONTROL!$C$9, $D$9, 100%, $F$9) + CHOOSE(CONTROL!$C$27, 0.0021, 0)</f>
        <v>76.575400000000002</v>
      </c>
      <c r="J431" s="14">
        <f>76.5733 * CHOOSE(CONTROL!$C$9, $D$9, 100%, $F$9) + CHOOSE(CONTROL!$C$27, 0.0021, 0)</f>
        <v>76.575400000000002</v>
      </c>
      <c r="K431" s="14">
        <f>76.5733 * CHOOSE(CONTROL!$C$9, $D$9, 100%, $F$9) + CHOOSE(CONTROL!$C$27, 0.0021, 0)</f>
        <v>76.575400000000002</v>
      </c>
      <c r="L431" s="14"/>
    </row>
    <row r="432" spans="1:12" ht="15.75" x14ac:dyDescent="0.25">
      <c r="A432" s="33">
        <v>54088</v>
      </c>
      <c r="B432" s="14">
        <f>76.0611 * CHOOSE(CONTROL!$C$9, $D$9, 100%, $F$9) + CHOOSE(CONTROL!$C$27, 0.0021, 0)</f>
        <v>76.063199999999995</v>
      </c>
      <c r="C432" s="14">
        <f>75.6289 * CHOOSE(CONTROL!$C$9, $D$9, 100%, $F$9) + CHOOSE(CONTROL!$C$27, 0.0021, 0)</f>
        <v>75.631</v>
      </c>
      <c r="D432" s="14">
        <f>75.6289 * CHOOSE(CONTROL!$C$9, $D$9, 100%, $F$9) + CHOOSE(CONTROL!$C$27, 0.0021, 0)</f>
        <v>75.631</v>
      </c>
      <c r="E432" s="14">
        <f>75.4922 * CHOOSE(CONTROL!$C$9, $D$9, 100%, $F$9) + CHOOSE(CONTROL!$C$27, 0.0021, 0)</f>
        <v>75.494299999999996</v>
      </c>
      <c r="F432" s="14">
        <f>75.4922 * CHOOSE(CONTROL!$C$9, $D$9, 100%, $F$9) + CHOOSE(CONTROL!$C$27, 0.0021, 0)</f>
        <v>75.494299999999996</v>
      </c>
      <c r="G432" s="14">
        <f>75.7636 * CHOOSE(CONTROL!$C$9, $D$9, 100%, $F$9) + CHOOSE(CONTROL!$C$27, 0.0021, 0)</f>
        <v>75.765699999999995</v>
      </c>
      <c r="H432" s="14">
        <f>75.6289 * CHOOSE(CONTROL!$C$9, $D$9, 100%, $F$9) + CHOOSE(CONTROL!$C$27, 0.0021, 0)</f>
        <v>75.631</v>
      </c>
      <c r="I432" s="14">
        <f>75.6289 * CHOOSE(CONTROL!$C$9, $D$9, 100%, $F$9) + CHOOSE(CONTROL!$C$27, 0.0021, 0)</f>
        <v>75.631</v>
      </c>
      <c r="J432" s="14">
        <f>75.6289 * CHOOSE(CONTROL!$C$9, $D$9, 100%, $F$9) + CHOOSE(CONTROL!$C$27, 0.0021, 0)</f>
        <v>75.631</v>
      </c>
      <c r="K432" s="14">
        <f>75.6289 * CHOOSE(CONTROL!$C$9, $D$9, 100%, $F$9) + CHOOSE(CONTROL!$C$27, 0.0021, 0)</f>
        <v>75.631</v>
      </c>
      <c r="L432" s="14"/>
    </row>
    <row r="433" spans="1:12" ht="15.75" x14ac:dyDescent="0.25">
      <c r="A433" s="33">
        <v>54116</v>
      </c>
      <c r="B433" s="14">
        <f>73.9746 * CHOOSE(CONTROL!$C$9, $D$9, 100%, $F$9) + CHOOSE(CONTROL!$C$27, 0.0021, 0)</f>
        <v>73.976699999999994</v>
      </c>
      <c r="C433" s="14">
        <f>73.5423 * CHOOSE(CONTROL!$C$9, $D$9, 100%, $F$9) + CHOOSE(CONTROL!$C$27, 0.0021, 0)</f>
        <v>73.544399999999996</v>
      </c>
      <c r="D433" s="14">
        <f>73.5423 * CHOOSE(CONTROL!$C$9, $D$9, 100%, $F$9) + CHOOSE(CONTROL!$C$27, 0.0021, 0)</f>
        <v>73.544399999999996</v>
      </c>
      <c r="E433" s="14">
        <f>73.4056 * CHOOSE(CONTROL!$C$9, $D$9, 100%, $F$9) + CHOOSE(CONTROL!$C$27, 0.0021, 0)</f>
        <v>73.407700000000006</v>
      </c>
      <c r="F433" s="14">
        <f>73.4056 * CHOOSE(CONTROL!$C$9, $D$9, 100%, $F$9) + CHOOSE(CONTROL!$C$27, 0.0021, 0)</f>
        <v>73.407700000000006</v>
      </c>
      <c r="G433" s="14">
        <f>73.677 * CHOOSE(CONTROL!$C$9, $D$9, 100%, $F$9) + CHOOSE(CONTROL!$C$27, 0.0021, 0)</f>
        <v>73.679100000000005</v>
      </c>
      <c r="H433" s="14">
        <f>73.5423 * CHOOSE(CONTROL!$C$9, $D$9, 100%, $F$9) + CHOOSE(CONTROL!$C$27, 0.0021, 0)</f>
        <v>73.544399999999996</v>
      </c>
      <c r="I433" s="14">
        <f>73.5423 * CHOOSE(CONTROL!$C$9, $D$9, 100%, $F$9) + CHOOSE(CONTROL!$C$27, 0.0021, 0)</f>
        <v>73.544399999999996</v>
      </c>
      <c r="J433" s="14">
        <f>73.5423 * CHOOSE(CONTROL!$C$9, $D$9, 100%, $F$9) + CHOOSE(CONTROL!$C$27, 0.0021, 0)</f>
        <v>73.544399999999996</v>
      </c>
      <c r="K433" s="14">
        <f>73.5423 * CHOOSE(CONTROL!$C$9, $D$9, 100%, $F$9) + CHOOSE(CONTROL!$C$27, 0.0021, 0)</f>
        <v>73.544399999999996</v>
      </c>
      <c r="L433" s="14"/>
    </row>
    <row r="434" spans="1:12" ht="15.75" x14ac:dyDescent="0.25">
      <c r="A434" s="33">
        <v>54148</v>
      </c>
      <c r="B434" s="14">
        <f>73.1132 * CHOOSE(CONTROL!$C$9, $D$9, 100%, $F$9) + CHOOSE(CONTROL!$C$27, 0.0021, 0)</f>
        <v>73.115300000000005</v>
      </c>
      <c r="C434" s="14">
        <f>72.681 * CHOOSE(CONTROL!$C$9, $D$9, 100%, $F$9) + CHOOSE(CONTROL!$C$27, 0.0021, 0)</f>
        <v>72.683099999999996</v>
      </c>
      <c r="D434" s="14">
        <f>72.681 * CHOOSE(CONTROL!$C$9, $D$9, 100%, $F$9) + CHOOSE(CONTROL!$C$27, 0.0021, 0)</f>
        <v>72.683099999999996</v>
      </c>
      <c r="E434" s="14">
        <f>72.5443 * CHOOSE(CONTROL!$C$9, $D$9, 100%, $F$9) + CHOOSE(CONTROL!$C$27, 0.0021, 0)</f>
        <v>72.546400000000006</v>
      </c>
      <c r="F434" s="14">
        <f>72.5443 * CHOOSE(CONTROL!$C$9, $D$9, 100%, $F$9) + CHOOSE(CONTROL!$C$27, 0.0021, 0)</f>
        <v>72.546400000000006</v>
      </c>
      <c r="G434" s="14">
        <f>72.8157 * CHOOSE(CONTROL!$C$9, $D$9, 100%, $F$9) + CHOOSE(CONTROL!$C$27, 0.0021, 0)</f>
        <v>72.817800000000005</v>
      </c>
      <c r="H434" s="14">
        <f>72.681 * CHOOSE(CONTROL!$C$9, $D$9, 100%, $F$9) + CHOOSE(CONTROL!$C$27, 0.0021, 0)</f>
        <v>72.683099999999996</v>
      </c>
      <c r="I434" s="14">
        <f>72.681 * CHOOSE(CONTROL!$C$9, $D$9, 100%, $F$9) + CHOOSE(CONTROL!$C$27, 0.0021, 0)</f>
        <v>72.683099999999996</v>
      </c>
      <c r="J434" s="14">
        <f>72.681 * CHOOSE(CONTROL!$C$9, $D$9, 100%, $F$9) + CHOOSE(CONTROL!$C$27, 0.0021, 0)</f>
        <v>72.683099999999996</v>
      </c>
      <c r="K434" s="14">
        <f>72.681 * CHOOSE(CONTROL!$C$9, $D$9, 100%, $F$9) + CHOOSE(CONTROL!$C$27, 0.0021, 0)</f>
        <v>72.683099999999996</v>
      </c>
      <c r="L434" s="14"/>
    </row>
    <row r="435" spans="1:12" ht="15.75" x14ac:dyDescent="0.25">
      <c r="A435" s="33">
        <v>54178</v>
      </c>
      <c r="B435" s="14">
        <f>72.0848 * CHOOSE(CONTROL!$C$9, $D$9, 100%, $F$9) + CHOOSE(CONTROL!$C$27, 0.0021, 0)</f>
        <v>72.0869</v>
      </c>
      <c r="C435" s="14">
        <f>71.6525 * CHOOSE(CONTROL!$C$9, $D$9, 100%, $F$9) + CHOOSE(CONTROL!$C$27, 0.0021, 0)</f>
        <v>71.654600000000002</v>
      </c>
      <c r="D435" s="14">
        <f>71.6525 * CHOOSE(CONTROL!$C$9, $D$9, 100%, $F$9) + CHOOSE(CONTROL!$C$27, 0.0021, 0)</f>
        <v>71.654600000000002</v>
      </c>
      <c r="E435" s="14">
        <f>71.5159 * CHOOSE(CONTROL!$C$9, $D$9, 100%, $F$9) + CHOOSE(CONTROL!$C$27, 0.0021, 0)</f>
        <v>71.518000000000001</v>
      </c>
      <c r="F435" s="14">
        <f>71.5159 * CHOOSE(CONTROL!$C$9, $D$9, 100%, $F$9) + CHOOSE(CONTROL!$C$27, 0.0021, 0)</f>
        <v>71.518000000000001</v>
      </c>
      <c r="G435" s="14">
        <f>71.7872 * CHOOSE(CONTROL!$C$9, $D$9, 100%, $F$9) + CHOOSE(CONTROL!$C$27, 0.0021, 0)</f>
        <v>71.789299999999997</v>
      </c>
      <c r="H435" s="14">
        <f>71.6525 * CHOOSE(CONTROL!$C$9, $D$9, 100%, $F$9) + CHOOSE(CONTROL!$C$27, 0.0021, 0)</f>
        <v>71.654600000000002</v>
      </c>
      <c r="I435" s="14">
        <f>71.6525 * CHOOSE(CONTROL!$C$9, $D$9, 100%, $F$9) + CHOOSE(CONTROL!$C$27, 0.0021, 0)</f>
        <v>71.654600000000002</v>
      </c>
      <c r="J435" s="14">
        <f>71.6525 * CHOOSE(CONTROL!$C$9, $D$9, 100%, $F$9) + CHOOSE(CONTROL!$C$27, 0.0021, 0)</f>
        <v>71.654600000000002</v>
      </c>
      <c r="K435" s="14">
        <f>71.6525 * CHOOSE(CONTROL!$C$9, $D$9, 100%, $F$9) + CHOOSE(CONTROL!$C$27, 0.0021, 0)</f>
        <v>71.654600000000002</v>
      </c>
      <c r="L435" s="14"/>
    </row>
    <row r="436" spans="1:12" ht="15.75" x14ac:dyDescent="0.25">
      <c r="A436" s="33">
        <v>54209</v>
      </c>
      <c r="B436" s="14">
        <f>73.5504 * CHOOSE(CONTROL!$C$9, $D$9, 100%, $F$9) + CHOOSE(CONTROL!$C$27, 0.0021, 0)</f>
        <v>73.552499999999995</v>
      </c>
      <c r="C436" s="14">
        <f>73.1182 * CHOOSE(CONTROL!$C$9, $D$9, 100%, $F$9) + CHOOSE(CONTROL!$C$27, 0.0021, 0)</f>
        <v>73.1203</v>
      </c>
      <c r="D436" s="14">
        <f>73.1182 * CHOOSE(CONTROL!$C$9, $D$9, 100%, $F$9) + CHOOSE(CONTROL!$C$27, 0.0021, 0)</f>
        <v>73.1203</v>
      </c>
      <c r="E436" s="14">
        <f>72.9815 * CHOOSE(CONTROL!$C$9, $D$9, 100%, $F$9) + CHOOSE(CONTROL!$C$27, 0.0021, 0)</f>
        <v>72.983599999999996</v>
      </c>
      <c r="F436" s="14">
        <f>72.9815 * CHOOSE(CONTROL!$C$9, $D$9, 100%, $F$9) + CHOOSE(CONTROL!$C$27, 0.0021, 0)</f>
        <v>72.983599999999996</v>
      </c>
      <c r="G436" s="14">
        <f>73.2529 * CHOOSE(CONTROL!$C$9, $D$9, 100%, $F$9) + CHOOSE(CONTROL!$C$27, 0.0021, 0)</f>
        <v>73.254999999999995</v>
      </c>
      <c r="H436" s="14">
        <f>73.1182 * CHOOSE(CONTROL!$C$9, $D$9, 100%, $F$9) + CHOOSE(CONTROL!$C$27, 0.0021, 0)</f>
        <v>73.1203</v>
      </c>
      <c r="I436" s="14">
        <f>73.1182 * CHOOSE(CONTROL!$C$9, $D$9, 100%, $F$9) + CHOOSE(CONTROL!$C$27, 0.0021, 0)</f>
        <v>73.1203</v>
      </c>
      <c r="J436" s="14">
        <f>73.1182 * CHOOSE(CONTROL!$C$9, $D$9, 100%, $F$9) + CHOOSE(CONTROL!$C$27, 0.0021, 0)</f>
        <v>73.1203</v>
      </c>
      <c r="K436" s="14">
        <f>73.1182 * CHOOSE(CONTROL!$C$9, $D$9, 100%, $F$9) + CHOOSE(CONTROL!$C$27, 0.0021, 0)</f>
        <v>73.1203</v>
      </c>
      <c r="L436" s="14"/>
    </row>
    <row r="437" spans="1:12" ht="15.75" x14ac:dyDescent="0.25">
      <c r="A437" s="33">
        <v>54239</v>
      </c>
      <c r="B437" s="14">
        <f>74.4283 * CHOOSE(CONTROL!$C$9, $D$9, 100%, $F$9) + CHOOSE(CONTROL!$C$27, 0.0021, 0)</f>
        <v>74.430399999999992</v>
      </c>
      <c r="C437" s="14">
        <f>73.9961 * CHOOSE(CONTROL!$C$9, $D$9, 100%, $F$9) + CHOOSE(CONTROL!$C$27, 0.0021, 0)</f>
        <v>73.998199999999997</v>
      </c>
      <c r="D437" s="14">
        <f>73.9961 * CHOOSE(CONTROL!$C$9, $D$9, 100%, $F$9) + CHOOSE(CONTROL!$C$27, 0.0021, 0)</f>
        <v>73.998199999999997</v>
      </c>
      <c r="E437" s="14">
        <f>73.8594 * CHOOSE(CONTROL!$C$9, $D$9, 100%, $F$9) + CHOOSE(CONTROL!$C$27, 0.0021, 0)</f>
        <v>73.861499999999992</v>
      </c>
      <c r="F437" s="14">
        <f>73.8594 * CHOOSE(CONTROL!$C$9, $D$9, 100%, $F$9) + CHOOSE(CONTROL!$C$27, 0.0021, 0)</f>
        <v>73.861499999999992</v>
      </c>
      <c r="G437" s="14">
        <f>74.1308 * CHOOSE(CONTROL!$C$9, $D$9, 100%, $F$9) + CHOOSE(CONTROL!$C$27, 0.0021, 0)</f>
        <v>74.132899999999992</v>
      </c>
      <c r="H437" s="14">
        <f>73.9961 * CHOOSE(CONTROL!$C$9, $D$9, 100%, $F$9) + CHOOSE(CONTROL!$C$27, 0.0021, 0)</f>
        <v>73.998199999999997</v>
      </c>
      <c r="I437" s="14">
        <f>73.9961 * CHOOSE(CONTROL!$C$9, $D$9, 100%, $F$9) + CHOOSE(CONTROL!$C$27, 0.0021, 0)</f>
        <v>73.998199999999997</v>
      </c>
      <c r="J437" s="14">
        <f>73.9961 * CHOOSE(CONTROL!$C$9, $D$9, 100%, $F$9) + CHOOSE(CONTROL!$C$27, 0.0021, 0)</f>
        <v>73.998199999999997</v>
      </c>
      <c r="K437" s="14">
        <f>73.9961 * CHOOSE(CONTROL!$C$9, $D$9, 100%, $F$9) + CHOOSE(CONTROL!$C$27, 0.0021, 0)</f>
        <v>73.998199999999997</v>
      </c>
      <c r="L437" s="14"/>
    </row>
    <row r="438" spans="1:12" ht="15.75" x14ac:dyDescent="0.25">
      <c r="A438" s="33">
        <v>54270</v>
      </c>
      <c r="B438" s="14">
        <f>75.8765 * CHOOSE(CONTROL!$C$9, $D$9, 100%, $F$9) + CHOOSE(CONTROL!$C$27, 0.0021, 0)</f>
        <v>75.878599999999992</v>
      </c>
      <c r="C438" s="14">
        <f>75.4442 * CHOOSE(CONTROL!$C$9, $D$9, 100%, $F$9) + CHOOSE(CONTROL!$C$27, 0.0021, 0)</f>
        <v>75.446299999999994</v>
      </c>
      <c r="D438" s="14">
        <f>75.4442 * CHOOSE(CONTROL!$C$9, $D$9, 100%, $F$9) + CHOOSE(CONTROL!$C$27, 0.0021, 0)</f>
        <v>75.446299999999994</v>
      </c>
      <c r="E438" s="14">
        <f>75.3076 * CHOOSE(CONTROL!$C$9, $D$9, 100%, $F$9) + CHOOSE(CONTROL!$C$27, 0.0021, 0)</f>
        <v>75.309699999999992</v>
      </c>
      <c r="F438" s="14">
        <f>75.3076 * CHOOSE(CONTROL!$C$9, $D$9, 100%, $F$9) + CHOOSE(CONTROL!$C$27, 0.0021, 0)</f>
        <v>75.309699999999992</v>
      </c>
      <c r="G438" s="14">
        <f>75.579 * CHOOSE(CONTROL!$C$9, $D$9, 100%, $F$9) + CHOOSE(CONTROL!$C$27, 0.0021, 0)</f>
        <v>75.581099999999992</v>
      </c>
      <c r="H438" s="14">
        <f>75.4442 * CHOOSE(CONTROL!$C$9, $D$9, 100%, $F$9) + CHOOSE(CONTROL!$C$27, 0.0021, 0)</f>
        <v>75.446299999999994</v>
      </c>
      <c r="I438" s="14">
        <f>75.4442 * CHOOSE(CONTROL!$C$9, $D$9, 100%, $F$9) + CHOOSE(CONTROL!$C$27, 0.0021, 0)</f>
        <v>75.446299999999994</v>
      </c>
      <c r="J438" s="14">
        <f>75.4442 * CHOOSE(CONTROL!$C$9, $D$9, 100%, $F$9) + CHOOSE(CONTROL!$C$27, 0.0021, 0)</f>
        <v>75.446299999999994</v>
      </c>
      <c r="K438" s="14">
        <f>75.4442 * CHOOSE(CONTROL!$C$9, $D$9, 100%, $F$9) + CHOOSE(CONTROL!$C$27, 0.0021, 0)</f>
        <v>75.446299999999994</v>
      </c>
      <c r="L438" s="14"/>
    </row>
    <row r="439" spans="1:12" ht="15.75" x14ac:dyDescent="0.25">
      <c r="A439" s="33">
        <v>54301</v>
      </c>
      <c r="B439" s="14">
        <f>76.3185 * CHOOSE(CONTROL!$C$9, $D$9, 100%, $F$9) + CHOOSE(CONTROL!$C$27, 0.0021, 0)</f>
        <v>76.320599999999999</v>
      </c>
      <c r="C439" s="14">
        <f>75.8863 * CHOOSE(CONTROL!$C$9, $D$9, 100%, $F$9) + CHOOSE(CONTROL!$C$27, 0.0021, 0)</f>
        <v>75.888400000000004</v>
      </c>
      <c r="D439" s="14">
        <f>75.8863 * CHOOSE(CONTROL!$C$9, $D$9, 100%, $F$9) + CHOOSE(CONTROL!$C$27, 0.0021, 0)</f>
        <v>75.888400000000004</v>
      </c>
      <c r="E439" s="14">
        <f>75.7496 * CHOOSE(CONTROL!$C$9, $D$9, 100%, $F$9) + CHOOSE(CONTROL!$C$27, 0.0021, 0)</f>
        <v>75.7517</v>
      </c>
      <c r="F439" s="14">
        <f>75.7496 * CHOOSE(CONTROL!$C$9, $D$9, 100%, $F$9) + CHOOSE(CONTROL!$C$27, 0.0021, 0)</f>
        <v>75.7517</v>
      </c>
      <c r="G439" s="14">
        <f>76.021 * CHOOSE(CONTROL!$C$9, $D$9, 100%, $F$9) + CHOOSE(CONTROL!$C$27, 0.0021, 0)</f>
        <v>76.023099999999999</v>
      </c>
      <c r="H439" s="14">
        <f>75.8863 * CHOOSE(CONTROL!$C$9, $D$9, 100%, $F$9) + CHOOSE(CONTROL!$C$27, 0.0021, 0)</f>
        <v>75.888400000000004</v>
      </c>
      <c r="I439" s="14">
        <f>75.8863 * CHOOSE(CONTROL!$C$9, $D$9, 100%, $F$9) + CHOOSE(CONTROL!$C$27, 0.0021, 0)</f>
        <v>75.888400000000004</v>
      </c>
      <c r="J439" s="14">
        <f>75.8863 * CHOOSE(CONTROL!$C$9, $D$9, 100%, $F$9) + CHOOSE(CONTROL!$C$27, 0.0021, 0)</f>
        <v>75.888400000000004</v>
      </c>
      <c r="K439" s="14">
        <f>75.8863 * CHOOSE(CONTROL!$C$9, $D$9, 100%, $F$9) + CHOOSE(CONTROL!$C$27, 0.0021, 0)</f>
        <v>75.888400000000004</v>
      </c>
      <c r="L439" s="14"/>
    </row>
    <row r="440" spans="1:12" ht="15.75" x14ac:dyDescent="0.25">
      <c r="A440" s="33">
        <v>54331</v>
      </c>
      <c r="B440" s="14">
        <f>77.8238 * CHOOSE(CONTROL!$C$9, $D$9, 100%, $F$9) + CHOOSE(CONTROL!$C$27, 0.0021, 0)</f>
        <v>77.825900000000004</v>
      </c>
      <c r="C440" s="14">
        <f>77.3916 * CHOOSE(CONTROL!$C$9, $D$9, 100%, $F$9) + CHOOSE(CONTROL!$C$27, 0.0021, 0)</f>
        <v>77.393699999999995</v>
      </c>
      <c r="D440" s="14">
        <f>77.3916 * CHOOSE(CONTROL!$C$9, $D$9, 100%, $F$9) + CHOOSE(CONTROL!$C$27, 0.0021, 0)</f>
        <v>77.393699999999995</v>
      </c>
      <c r="E440" s="14">
        <f>77.2549 * CHOOSE(CONTROL!$C$9, $D$9, 100%, $F$9) + CHOOSE(CONTROL!$C$27, 0.0021, 0)</f>
        <v>77.257000000000005</v>
      </c>
      <c r="F440" s="14">
        <f>77.2549 * CHOOSE(CONTROL!$C$9, $D$9, 100%, $F$9) + CHOOSE(CONTROL!$C$27, 0.0021, 0)</f>
        <v>77.257000000000005</v>
      </c>
      <c r="G440" s="14">
        <f>77.5263 * CHOOSE(CONTROL!$C$9, $D$9, 100%, $F$9) + CHOOSE(CONTROL!$C$27, 0.0021, 0)</f>
        <v>77.528400000000005</v>
      </c>
      <c r="H440" s="14">
        <f>77.3916 * CHOOSE(CONTROL!$C$9, $D$9, 100%, $F$9) + CHOOSE(CONTROL!$C$27, 0.0021, 0)</f>
        <v>77.393699999999995</v>
      </c>
      <c r="I440" s="14">
        <f>77.3916 * CHOOSE(CONTROL!$C$9, $D$9, 100%, $F$9) + CHOOSE(CONTROL!$C$27, 0.0021, 0)</f>
        <v>77.393699999999995</v>
      </c>
      <c r="J440" s="14">
        <f>77.3916 * CHOOSE(CONTROL!$C$9, $D$9, 100%, $F$9) + CHOOSE(CONTROL!$C$27, 0.0021, 0)</f>
        <v>77.393699999999995</v>
      </c>
      <c r="K440" s="14">
        <f>77.3916 * CHOOSE(CONTROL!$C$9, $D$9, 100%, $F$9) + CHOOSE(CONTROL!$C$27, 0.0021, 0)</f>
        <v>77.393699999999995</v>
      </c>
      <c r="L440" s="14"/>
    </row>
    <row r="441" spans="1:12" ht="15.75" x14ac:dyDescent="0.25">
      <c r="A441" s="33">
        <v>54362</v>
      </c>
      <c r="B441" s="14">
        <f>79.7293 * CHOOSE(CONTROL!$C$9, $D$9, 100%, $F$9) + CHOOSE(CONTROL!$C$27, 0.0021, 0)</f>
        <v>79.731399999999994</v>
      </c>
      <c r="C441" s="14">
        <f>79.2971 * CHOOSE(CONTROL!$C$9, $D$9, 100%, $F$9) + CHOOSE(CONTROL!$C$27, 0.0021, 0)</f>
        <v>79.299199999999999</v>
      </c>
      <c r="D441" s="14">
        <f>79.2971 * CHOOSE(CONTROL!$C$9, $D$9, 100%, $F$9) + CHOOSE(CONTROL!$C$27, 0.0021, 0)</f>
        <v>79.299199999999999</v>
      </c>
      <c r="E441" s="14">
        <f>79.1604 * CHOOSE(CONTROL!$C$9, $D$9, 100%, $F$9) + CHOOSE(CONTROL!$C$27, 0.0021, 0)</f>
        <v>79.162499999999994</v>
      </c>
      <c r="F441" s="14">
        <f>79.1604 * CHOOSE(CONTROL!$C$9, $D$9, 100%, $F$9) + CHOOSE(CONTROL!$C$27, 0.0021, 0)</f>
        <v>79.162499999999994</v>
      </c>
      <c r="G441" s="14">
        <f>79.4318 * CHOOSE(CONTROL!$C$9, $D$9, 100%, $F$9) + CHOOSE(CONTROL!$C$27, 0.0021, 0)</f>
        <v>79.433899999999994</v>
      </c>
      <c r="H441" s="14">
        <f>79.2971 * CHOOSE(CONTROL!$C$9, $D$9, 100%, $F$9) + CHOOSE(CONTROL!$C$27, 0.0021, 0)</f>
        <v>79.299199999999999</v>
      </c>
      <c r="I441" s="14">
        <f>79.2971 * CHOOSE(CONTROL!$C$9, $D$9, 100%, $F$9) + CHOOSE(CONTROL!$C$27, 0.0021, 0)</f>
        <v>79.299199999999999</v>
      </c>
      <c r="J441" s="14">
        <f>79.2971 * CHOOSE(CONTROL!$C$9, $D$9, 100%, $F$9) + CHOOSE(CONTROL!$C$27, 0.0021, 0)</f>
        <v>79.299199999999999</v>
      </c>
      <c r="K441" s="14">
        <f>79.2971 * CHOOSE(CONTROL!$C$9, $D$9, 100%, $F$9) + CHOOSE(CONTROL!$C$27, 0.0021, 0)</f>
        <v>79.299199999999999</v>
      </c>
      <c r="L441" s="14"/>
    </row>
    <row r="442" spans="1:12" ht="15.75" x14ac:dyDescent="0.25">
      <c r="A442" s="33">
        <v>54392</v>
      </c>
      <c r="B442" s="14">
        <f>79.9082 * CHOOSE(CONTROL!$C$9, $D$9, 100%, $F$9) + CHOOSE(CONTROL!$C$27, 0.0021, 0)</f>
        <v>79.910299999999992</v>
      </c>
      <c r="C442" s="14">
        <f>79.476 * CHOOSE(CONTROL!$C$9, $D$9, 100%, $F$9) + CHOOSE(CONTROL!$C$27, 0.0021, 0)</f>
        <v>79.478099999999998</v>
      </c>
      <c r="D442" s="14">
        <f>79.476 * CHOOSE(CONTROL!$C$9, $D$9, 100%, $F$9) + CHOOSE(CONTROL!$C$27, 0.0021, 0)</f>
        <v>79.478099999999998</v>
      </c>
      <c r="E442" s="14">
        <f>79.3393 * CHOOSE(CONTROL!$C$9, $D$9, 100%, $F$9) + CHOOSE(CONTROL!$C$27, 0.0021, 0)</f>
        <v>79.341399999999993</v>
      </c>
      <c r="F442" s="14">
        <f>79.3393 * CHOOSE(CONTROL!$C$9, $D$9, 100%, $F$9) + CHOOSE(CONTROL!$C$27, 0.0021, 0)</f>
        <v>79.341399999999993</v>
      </c>
      <c r="G442" s="14">
        <f>79.6107 * CHOOSE(CONTROL!$C$9, $D$9, 100%, $F$9) + CHOOSE(CONTROL!$C$27, 0.0021, 0)</f>
        <v>79.612799999999993</v>
      </c>
      <c r="H442" s="14">
        <f>79.476 * CHOOSE(CONTROL!$C$9, $D$9, 100%, $F$9) + CHOOSE(CONTROL!$C$27, 0.0021, 0)</f>
        <v>79.478099999999998</v>
      </c>
      <c r="I442" s="14">
        <f>79.476 * CHOOSE(CONTROL!$C$9, $D$9, 100%, $F$9) + CHOOSE(CONTROL!$C$27, 0.0021, 0)</f>
        <v>79.478099999999998</v>
      </c>
      <c r="J442" s="14">
        <f>79.476 * CHOOSE(CONTROL!$C$9, $D$9, 100%, $F$9) + CHOOSE(CONTROL!$C$27, 0.0021, 0)</f>
        <v>79.478099999999998</v>
      </c>
      <c r="K442" s="14">
        <f>79.476 * CHOOSE(CONTROL!$C$9, $D$9, 100%, $F$9) + CHOOSE(CONTROL!$C$27, 0.0021, 0)</f>
        <v>79.478099999999998</v>
      </c>
      <c r="L442" s="14"/>
    </row>
    <row r="443" spans="1:12" ht="15.75" x14ac:dyDescent="0.25">
      <c r="A443" s="33">
        <v>54423</v>
      </c>
      <c r="B443" s="14">
        <f>78.3863 * CHOOSE(CONTROL!$C$9, $D$9, 100%, $F$9) + CHOOSE(CONTROL!$C$27, 0.0021, 0)</f>
        <v>78.388400000000004</v>
      </c>
      <c r="C443" s="14">
        <f>77.9541 * CHOOSE(CONTROL!$C$9, $D$9, 100%, $F$9) + CHOOSE(CONTROL!$C$27, 0.0021, 0)</f>
        <v>77.956199999999995</v>
      </c>
      <c r="D443" s="14">
        <f>77.9541 * CHOOSE(CONTROL!$C$9, $D$9, 100%, $F$9) + CHOOSE(CONTROL!$C$27, 0.0021, 0)</f>
        <v>77.956199999999995</v>
      </c>
      <c r="E443" s="14">
        <f>77.8174 * CHOOSE(CONTROL!$C$9, $D$9, 100%, $F$9) + CHOOSE(CONTROL!$C$27, 0.0021, 0)</f>
        <v>77.819500000000005</v>
      </c>
      <c r="F443" s="14">
        <f>77.8174 * CHOOSE(CONTROL!$C$9, $D$9, 100%, $F$9) + CHOOSE(CONTROL!$C$27, 0.0021, 0)</f>
        <v>77.819500000000005</v>
      </c>
      <c r="G443" s="14">
        <f>78.0888 * CHOOSE(CONTROL!$C$9, $D$9, 100%, $F$9) + CHOOSE(CONTROL!$C$27, 0.0021, 0)</f>
        <v>78.090900000000005</v>
      </c>
      <c r="H443" s="14">
        <f>77.9541 * CHOOSE(CONTROL!$C$9, $D$9, 100%, $F$9) + CHOOSE(CONTROL!$C$27, 0.0021, 0)</f>
        <v>77.956199999999995</v>
      </c>
      <c r="I443" s="14">
        <f>77.9541 * CHOOSE(CONTROL!$C$9, $D$9, 100%, $F$9) + CHOOSE(CONTROL!$C$27, 0.0021, 0)</f>
        <v>77.956199999999995</v>
      </c>
      <c r="J443" s="14">
        <f>77.9541 * CHOOSE(CONTROL!$C$9, $D$9, 100%, $F$9) + CHOOSE(CONTROL!$C$27, 0.0021, 0)</f>
        <v>77.956199999999995</v>
      </c>
      <c r="K443" s="14">
        <f>77.9541 * CHOOSE(CONTROL!$C$9, $D$9, 100%, $F$9) + CHOOSE(CONTROL!$C$27, 0.0021, 0)</f>
        <v>77.956199999999995</v>
      </c>
      <c r="L443" s="14"/>
    </row>
    <row r="444" spans="1:12" ht="15.75" x14ac:dyDescent="0.25">
      <c r="A444" s="33">
        <v>54454</v>
      </c>
      <c r="B444" s="14">
        <f>77.4244 * CHOOSE(CONTROL!$C$9, $D$9, 100%, $F$9) + CHOOSE(CONTROL!$C$27, 0.0021, 0)</f>
        <v>77.426500000000004</v>
      </c>
      <c r="C444" s="14">
        <f>76.9922 * CHOOSE(CONTROL!$C$9, $D$9, 100%, $F$9) + CHOOSE(CONTROL!$C$27, 0.0021, 0)</f>
        <v>76.994299999999996</v>
      </c>
      <c r="D444" s="14">
        <f>76.9922 * CHOOSE(CONTROL!$C$9, $D$9, 100%, $F$9) + CHOOSE(CONTROL!$C$27, 0.0021, 0)</f>
        <v>76.994299999999996</v>
      </c>
      <c r="E444" s="14">
        <f>76.8555 * CHOOSE(CONTROL!$C$9, $D$9, 100%, $F$9) + CHOOSE(CONTROL!$C$27, 0.0021, 0)</f>
        <v>76.857600000000005</v>
      </c>
      <c r="F444" s="14">
        <f>76.8555 * CHOOSE(CONTROL!$C$9, $D$9, 100%, $F$9) + CHOOSE(CONTROL!$C$27, 0.0021, 0)</f>
        <v>76.857600000000005</v>
      </c>
      <c r="G444" s="14">
        <f>77.1269 * CHOOSE(CONTROL!$C$9, $D$9, 100%, $F$9) + CHOOSE(CONTROL!$C$27, 0.0021, 0)</f>
        <v>77.129000000000005</v>
      </c>
      <c r="H444" s="14">
        <f>76.9922 * CHOOSE(CONTROL!$C$9, $D$9, 100%, $F$9) + CHOOSE(CONTROL!$C$27, 0.0021, 0)</f>
        <v>76.994299999999996</v>
      </c>
      <c r="I444" s="14">
        <f>76.9922 * CHOOSE(CONTROL!$C$9, $D$9, 100%, $F$9) + CHOOSE(CONTROL!$C$27, 0.0021, 0)</f>
        <v>76.994299999999996</v>
      </c>
      <c r="J444" s="14">
        <f>76.9922 * CHOOSE(CONTROL!$C$9, $D$9, 100%, $F$9) + CHOOSE(CONTROL!$C$27, 0.0021, 0)</f>
        <v>76.994299999999996</v>
      </c>
      <c r="K444" s="14">
        <f>76.9922 * CHOOSE(CONTROL!$C$9, $D$9, 100%, $F$9) + CHOOSE(CONTROL!$C$27, 0.0021, 0)</f>
        <v>76.994299999999996</v>
      </c>
      <c r="L444" s="14"/>
    </row>
    <row r="445" spans="1:12" ht="15.75" x14ac:dyDescent="0.25">
      <c r="A445" s="33">
        <v>54482</v>
      </c>
      <c r="B445" s="14">
        <f>75.2993 * CHOOSE(CONTROL!$C$9, $D$9, 100%, $F$9) + CHOOSE(CONTROL!$C$27, 0.0021, 0)</f>
        <v>75.301400000000001</v>
      </c>
      <c r="C445" s="14">
        <f>74.867 * CHOOSE(CONTROL!$C$9, $D$9, 100%, $F$9) + CHOOSE(CONTROL!$C$27, 0.0021, 0)</f>
        <v>74.869100000000003</v>
      </c>
      <c r="D445" s="14">
        <f>74.867 * CHOOSE(CONTROL!$C$9, $D$9, 100%, $F$9) + CHOOSE(CONTROL!$C$27, 0.0021, 0)</f>
        <v>74.869100000000003</v>
      </c>
      <c r="E445" s="14">
        <f>74.7304 * CHOOSE(CONTROL!$C$9, $D$9, 100%, $F$9) + CHOOSE(CONTROL!$C$27, 0.0021, 0)</f>
        <v>74.732500000000002</v>
      </c>
      <c r="F445" s="14">
        <f>74.7304 * CHOOSE(CONTROL!$C$9, $D$9, 100%, $F$9) + CHOOSE(CONTROL!$C$27, 0.0021, 0)</f>
        <v>74.732500000000002</v>
      </c>
      <c r="G445" s="14">
        <f>75.0018 * CHOOSE(CONTROL!$C$9, $D$9, 100%, $F$9) + CHOOSE(CONTROL!$C$27, 0.0021, 0)</f>
        <v>75.003900000000002</v>
      </c>
      <c r="H445" s="14">
        <f>74.867 * CHOOSE(CONTROL!$C$9, $D$9, 100%, $F$9) + CHOOSE(CONTROL!$C$27, 0.0021, 0)</f>
        <v>74.869100000000003</v>
      </c>
      <c r="I445" s="14">
        <f>74.867 * CHOOSE(CONTROL!$C$9, $D$9, 100%, $F$9) + CHOOSE(CONTROL!$C$27, 0.0021, 0)</f>
        <v>74.869100000000003</v>
      </c>
      <c r="J445" s="14">
        <f>74.867 * CHOOSE(CONTROL!$C$9, $D$9, 100%, $F$9) + CHOOSE(CONTROL!$C$27, 0.0021, 0)</f>
        <v>74.869100000000003</v>
      </c>
      <c r="K445" s="14">
        <f>74.867 * CHOOSE(CONTROL!$C$9, $D$9, 100%, $F$9) + CHOOSE(CONTROL!$C$27, 0.0021, 0)</f>
        <v>74.869100000000003</v>
      </c>
      <c r="L445" s="14"/>
    </row>
    <row r="446" spans="1:12" ht="15.75" x14ac:dyDescent="0.25">
      <c r="A446" s="33">
        <v>54513</v>
      </c>
      <c r="B446" s="14">
        <f>74.422 * CHOOSE(CONTROL!$C$9, $D$9, 100%, $F$9) + CHOOSE(CONTROL!$C$27, 0.0021, 0)</f>
        <v>74.424099999999996</v>
      </c>
      <c r="C446" s="14">
        <f>73.9898 * CHOOSE(CONTROL!$C$9, $D$9, 100%, $F$9) + CHOOSE(CONTROL!$C$27, 0.0021, 0)</f>
        <v>73.991900000000001</v>
      </c>
      <c r="D446" s="14">
        <f>73.9898 * CHOOSE(CONTROL!$C$9, $D$9, 100%, $F$9) + CHOOSE(CONTROL!$C$27, 0.0021, 0)</f>
        <v>73.991900000000001</v>
      </c>
      <c r="E446" s="14">
        <f>73.8531 * CHOOSE(CONTROL!$C$9, $D$9, 100%, $F$9) + CHOOSE(CONTROL!$C$27, 0.0021, 0)</f>
        <v>73.855199999999996</v>
      </c>
      <c r="F446" s="14">
        <f>73.8531 * CHOOSE(CONTROL!$C$9, $D$9, 100%, $F$9) + CHOOSE(CONTROL!$C$27, 0.0021, 0)</f>
        <v>73.855199999999996</v>
      </c>
      <c r="G446" s="14">
        <f>74.1245 * CHOOSE(CONTROL!$C$9, $D$9, 100%, $F$9) + CHOOSE(CONTROL!$C$27, 0.0021, 0)</f>
        <v>74.126599999999996</v>
      </c>
      <c r="H446" s="14">
        <f>73.9898 * CHOOSE(CONTROL!$C$9, $D$9, 100%, $F$9) + CHOOSE(CONTROL!$C$27, 0.0021, 0)</f>
        <v>73.991900000000001</v>
      </c>
      <c r="I446" s="14">
        <f>73.9898 * CHOOSE(CONTROL!$C$9, $D$9, 100%, $F$9) + CHOOSE(CONTROL!$C$27, 0.0021, 0)</f>
        <v>73.991900000000001</v>
      </c>
      <c r="J446" s="14">
        <f>73.9898 * CHOOSE(CONTROL!$C$9, $D$9, 100%, $F$9) + CHOOSE(CONTROL!$C$27, 0.0021, 0)</f>
        <v>73.991900000000001</v>
      </c>
      <c r="K446" s="14">
        <f>73.9898 * CHOOSE(CONTROL!$C$9, $D$9, 100%, $F$9) + CHOOSE(CONTROL!$C$27, 0.0021, 0)</f>
        <v>73.991900000000001</v>
      </c>
      <c r="L446" s="14"/>
    </row>
    <row r="447" spans="1:12" ht="15.75" x14ac:dyDescent="0.25">
      <c r="A447" s="33">
        <v>54543</v>
      </c>
      <c r="B447" s="14">
        <f>73.3746 * CHOOSE(CONTROL!$C$9, $D$9, 100%, $F$9) + CHOOSE(CONTROL!$C$27, 0.0021, 0)</f>
        <v>73.3767</v>
      </c>
      <c r="C447" s="14">
        <f>72.9423 * CHOOSE(CONTROL!$C$9, $D$9, 100%, $F$9) + CHOOSE(CONTROL!$C$27, 0.0021, 0)</f>
        <v>72.944400000000002</v>
      </c>
      <c r="D447" s="14">
        <f>72.9423 * CHOOSE(CONTROL!$C$9, $D$9, 100%, $F$9) + CHOOSE(CONTROL!$C$27, 0.0021, 0)</f>
        <v>72.944400000000002</v>
      </c>
      <c r="E447" s="14">
        <f>72.8057 * CHOOSE(CONTROL!$C$9, $D$9, 100%, $F$9) + CHOOSE(CONTROL!$C$27, 0.0021, 0)</f>
        <v>72.8078</v>
      </c>
      <c r="F447" s="14">
        <f>72.8057 * CHOOSE(CONTROL!$C$9, $D$9, 100%, $F$9) + CHOOSE(CONTROL!$C$27, 0.0021, 0)</f>
        <v>72.8078</v>
      </c>
      <c r="G447" s="14">
        <f>73.0771 * CHOOSE(CONTROL!$C$9, $D$9, 100%, $F$9) + CHOOSE(CONTROL!$C$27, 0.0021, 0)</f>
        <v>73.0792</v>
      </c>
      <c r="H447" s="14">
        <f>72.9423 * CHOOSE(CONTROL!$C$9, $D$9, 100%, $F$9) + CHOOSE(CONTROL!$C$27, 0.0021, 0)</f>
        <v>72.944400000000002</v>
      </c>
      <c r="I447" s="14">
        <f>72.9423 * CHOOSE(CONTROL!$C$9, $D$9, 100%, $F$9) + CHOOSE(CONTROL!$C$27, 0.0021, 0)</f>
        <v>72.944400000000002</v>
      </c>
      <c r="J447" s="14">
        <f>72.9423 * CHOOSE(CONTROL!$C$9, $D$9, 100%, $F$9) + CHOOSE(CONTROL!$C$27, 0.0021, 0)</f>
        <v>72.944400000000002</v>
      </c>
      <c r="K447" s="14">
        <f>72.9423 * CHOOSE(CONTROL!$C$9, $D$9, 100%, $F$9) + CHOOSE(CONTROL!$C$27, 0.0021, 0)</f>
        <v>72.944400000000002</v>
      </c>
      <c r="L447" s="14"/>
    </row>
    <row r="448" spans="1:12" ht="15.75" x14ac:dyDescent="0.25">
      <c r="A448" s="33">
        <v>54574</v>
      </c>
      <c r="B448" s="14">
        <f>74.8673 * CHOOSE(CONTROL!$C$9, $D$9, 100%, $F$9) + CHOOSE(CONTROL!$C$27, 0.0021, 0)</f>
        <v>74.869399999999999</v>
      </c>
      <c r="C448" s="14">
        <f>74.4351 * CHOOSE(CONTROL!$C$9, $D$9, 100%, $F$9) + CHOOSE(CONTROL!$C$27, 0.0021, 0)</f>
        <v>74.437200000000004</v>
      </c>
      <c r="D448" s="14">
        <f>74.4351 * CHOOSE(CONTROL!$C$9, $D$9, 100%, $F$9) + CHOOSE(CONTROL!$C$27, 0.0021, 0)</f>
        <v>74.437200000000004</v>
      </c>
      <c r="E448" s="14">
        <f>74.2984 * CHOOSE(CONTROL!$C$9, $D$9, 100%, $F$9) + CHOOSE(CONTROL!$C$27, 0.0021, 0)</f>
        <v>74.3005</v>
      </c>
      <c r="F448" s="14">
        <f>74.2984 * CHOOSE(CONTROL!$C$9, $D$9, 100%, $F$9) + CHOOSE(CONTROL!$C$27, 0.0021, 0)</f>
        <v>74.3005</v>
      </c>
      <c r="G448" s="14">
        <f>74.5698 * CHOOSE(CONTROL!$C$9, $D$9, 100%, $F$9) + CHOOSE(CONTROL!$C$27, 0.0021, 0)</f>
        <v>74.571899999999999</v>
      </c>
      <c r="H448" s="14">
        <f>74.4351 * CHOOSE(CONTROL!$C$9, $D$9, 100%, $F$9) + CHOOSE(CONTROL!$C$27, 0.0021, 0)</f>
        <v>74.437200000000004</v>
      </c>
      <c r="I448" s="14">
        <f>74.4351 * CHOOSE(CONTROL!$C$9, $D$9, 100%, $F$9) + CHOOSE(CONTROL!$C$27, 0.0021, 0)</f>
        <v>74.437200000000004</v>
      </c>
      <c r="J448" s="14">
        <f>74.4351 * CHOOSE(CONTROL!$C$9, $D$9, 100%, $F$9) + CHOOSE(CONTROL!$C$27, 0.0021, 0)</f>
        <v>74.437200000000004</v>
      </c>
      <c r="K448" s="14">
        <f>74.4351 * CHOOSE(CONTROL!$C$9, $D$9, 100%, $F$9) + CHOOSE(CONTROL!$C$27, 0.0021, 0)</f>
        <v>74.437200000000004</v>
      </c>
      <c r="L448" s="14"/>
    </row>
    <row r="449" spans="1:12" ht="15.75" x14ac:dyDescent="0.25">
      <c r="A449" s="33">
        <v>54604</v>
      </c>
      <c r="B449" s="14">
        <f>75.7614 * CHOOSE(CONTROL!$C$9, $D$9, 100%, $F$9) + CHOOSE(CONTROL!$C$27, 0.0021, 0)</f>
        <v>75.763499999999993</v>
      </c>
      <c r="C449" s="14">
        <f>75.3292 * CHOOSE(CONTROL!$C$9, $D$9, 100%, $F$9) + CHOOSE(CONTROL!$C$27, 0.0021, 0)</f>
        <v>75.331299999999999</v>
      </c>
      <c r="D449" s="14">
        <f>75.3292 * CHOOSE(CONTROL!$C$9, $D$9, 100%, $F$9) + CHOOSE(CONTROL!$C$27, 0.0021, 0)</f>
        <v>75.331299999999999</v>
      </c>
      <c r="E449" s="14">
        <f>75.1925 * CHOOSE(CONTROL!$C$9, $D$9, 100%, $F$9) + CHOOSE(CONTROL!$C$27, 0.0021, 0)</f>
        <v>75.194599999999994</v>
      </c>
      <c r="F449" s="14">
        <f>75.1925 * CHOOSE(CONTROL!$C$9, $D$9, 100%, $F$9) + CHOOSE(CONTROL!$C$27, 0.0021, 0)</f>
        <v>75.194599999999994</v>
      </c>
      <c r="G449" s="14">
        <f>75.4639 * CHOOSE(CONTROL!$C$9, $D$9, 100%, $F$9) + CHOOSE(CONTROL!$C$27, 0.0021, 0)</f>
        <v>75.465999999999994</v>
      </c>
      <c r="H449" s="14">
        <f>75.3292 * CHOOSE(CONTROL!$C$9, $D$9, 100%, $F$9) + CHOOSE(CONTROL!$C$27, 0.0021, 0)</f>
        <v>75.331299999999999</v>
      </c>
      <c r="I449" s="14">
        <f>75.3292 * CHOOSE(CONTROL!$C$9, $D$9, 100%, $F$9) + CHOOSE(CONTROL!$C$27, 0.0021, 0)</f>
        <v>75.331299999999999</v>
      </c>
      <c r="J449" s="14">
        <f>75.3292 * CHOOSE(CONTROL!$C$9, $D$9, 100%, $F$9) + CHOOSE(CONTROL!$C$27, 0.0021, 0)</f>
        <v>75.331299999999999</v>
      </c>
      <c r="K449" s="14">
        <f>75.3292 * CHOOSE(CONTROL!$C$9, $D$9, 100%, $F$9) + CHOOSE(CONTROL!$C$27, 0.0021, 0)</f>
        <v>75.331299999999999</v>
      </c>
      <c r="L449" s="14"/>
    </row>
    <row r="450" spans="1:12" ht="15.75" x14ac:dyDescent="0.25">
      <c r="A450" s="33">
        <v>54635</v>
      </c>
      <c r="B450" s="14">
        <f>77.2364 * CHOOSE(CONTROL!$C$9, $D$9, 100%, $F$9) + CHOOSE(CONTROL!$C$27, 0.0021, 0)</f>
        <v>77.238500000000002</v>
      </c>
      <c r="C450" s="14">
        <f>76.8041 * CHOOSE(CONTROL!$C$9, $D$9, 100%, $F$9) + CHOOSE(CONTROL!$C$27, 0.0021, 0)</f>
        <v>76.806200000000004</v>
      </c>
      <c r="D450" s="14">
        <f>76.8041 * CHOOSE(CONTROL!$C$9, $D$9, 100%, $F$9) + CHOOSE(CONTROL!$C$27, 0.0021, 0)</f>
        <v>76.806200000000004</v>
      </c>
      <c r="E450" s="14">
        <f>76.6675 * CHOOSE(CONTROL!$C$9, $D$9, 100%, $F$9) + CHOOSE(CONTROL!$C$27, 0.0021, 0)</f>
        <v>76.669600000000003</v>
      </c>
      <c r="F450" s="14">
        <f>76.6675 * CHOOSE(CONTROL!$C$9, $D$9, 100%, $F$9) + CHOOSE(CONTROL!$C$27, 0.0021, 0)</f>
        <v>76.669600000000003</v>
      </c>
      <c r="G450" s="14">
        <f>76.9389 * CHOOSE(CONTROL!$C$9, $D$9, 100%, $F$9) + CHOOSE(CONTROL!$C$27, 0.0021, 0)</f>
        <v>76.941000000000003</v>
      </c>
      <c r="H450" s="14">
        <f>76.8041 * CHOOSE(CONTROL!$C$9, $D$9, 100%, $F$9) + CHOOSE(CONTROL!$C$27, 0.0021, 0)</f>
        <v>76.806200000000004</v>
      </c>
      <c r="I450" s="14">
        <f>76.8041 * CHOOSE(CONTROL!$C$9, $D$9, 100%, $F$9) + CHOOSE(CONTROL!$C$27, 0.0021, 0)</f>
        <v>76.806200000000004</v>
      </c>
      <c r="J450" s="14">
        <f>76.8041 * CHOOSE(CONTROL!$C$9, $D$9, 100%, $F$9) + CHOOSE(CONTROL!$C$27, 0.0021, 0)</f>
        <v>76.806200000000004</v>
      </c>
      <c r="K450" s="14">
        <f>76.8041 * CHOOSE(CONTROL!$C$9, $D$9, 100%, $F$9) + CHOOSE(CONTROL!$C$27, 0.0021, 0)</f>
        <v>76.806200000000004</v>
      </c>
      <c r="L450" s="14"/>
    </row>
    <row r="451" spans="1:12" ht="15.75" x14ac:dyDescent="0.25">
      <c r="A451" s="33">
        <v>54666</v>
      </c>
      <c r="B451" s="14">
        <f>77.6866 * CHOOSE(CONTROL!$C$9, $D$9, 100%, $F$9) + CHOOSE(CONTROL!$C$27, 0.0021, 0)</f>
        <v>77.688699999999997</v>
      </c>
      <c r="C451" s="14">
        <f>77.2543 * CHOOSE(CONTROL!$C$9, $D$9, 100%, $F$9) + CHOOSE(CONTROL!$C$27, 0.0021, 0)</f>
        <v>77.256399999999999</v>
      </c>
      <c r="D451" s="14">
        <f>77.2543 * CHOOSE(CONTROL!$C$9, $D$9, 100%, $F$9) + CHOOSE(CONTROL!$C$27, 0.0021, 0)</f>
        <v>77.256399999999999</v>
      </c>
      <c r="E451" s="14">
        <f>77.1177 * CHOOSE(CONTROL!$C$9, $D$9, 100%, $F$9) + CHOOSE(CONTROL!$C$27, 0.0021, 0)</f>
        <v>77.119799999999998</v>
      </c>
      <c r="F451" s="14">
        <f>77.1177 * CHOOSE(CONTROL!$C$9, $D$9, 100%, $F$9) + CHOOSE(CONTROL!$C$27, 0.0021, 0)</f>
        <v>77.119799999999998</v>
      </c>
      <c r="G451" s="14">
        <f>77.389 * CHOOSE(CONTROL!$C$9, $D$9, 100%, $F$9) + CHOOSE(CONTROL!$C$27, 0.0021, 0)</f>
        <v>77.391099999999994</v>
      </c>
      <c r="H451" s="14">
        <f>77.2543 * CHOOSE(CONTROL!$C$9, $D$9, 100%, $F$9) + CHOOSE(CONTROL!$C$27, 0.0021, 0)</f>
        <v>77.256399999999999</v>
      </c>
      <c r="I451" s="14">
        <f>77.2543 * CHOOSE(CONTROL!$C$9, $D$9, 100%, $F$9) + CHOOSE(CONTROL!$C$27, 0.0021, 0)</f>
        <v>77.256399999999999</v>
      </c>
      <c r="J451" s="14">
        <f>77.2543 * CHOOSE(CONTROL!$C$9, $D$9, 100%, $F$9) + CHOOSE(CONTROL!$C$27, 0.0021, 0)</f>
        <v>77.256399999999999</v>
      </c>
      <c r="K451" s="14">
        <f>77.2543 * CHOOSE(CONTROL!$C$9, $D$9, 100%, $F$9) + CHOOSE(CONTROL!$C$27, 0.0021, 0)</f>
        <v>77.256399999999999</v>
      </c>
      <c r="L451" s="14"/>
    </row>
    <row r="452" spans="1:12" ht="15.75" x14ac:dyDescent="0.25">
      <c r="A452" s="33">
        <v>54696</v>
      </c>
      <c r="B452" s="14">
        <f>79.2197 * CHOOSE(CONTROL!$C$9, $D$9, 100%, $F$9) + CHOOSE(CONTROL!$C$27, 0.0021, 0)</f>
        <v>79.221800000000002</v>
      </c>
      <c r="C452" s="14">
        <f>78.7875 * CHOOSE(CONTROL!$C$9, $D$9, 100%, $F$9) + CHOOSE(CONTROL!$C$27, 0.0021, 0)</f>
        <v>78.789599999999993</v>
      </c>
      <c r="D452" s="14">
        <f>78.7875 * CHOOSE(CONTROL!$C$9, $D$9, 100%, $F$9) + CHOOSE(CONTROL!$C$27, 0.0021, 0)</f>
        <v>78.789599999999993</v>
      </c>
      <c r="E452" s="14">
        <f>78.6508 * CHOOSE(CONTROL!$C$9, $D$9, 100%, $F$9) + CHOOSE(CONTROL!$C$27, 0.0021, 0)</f>
        <v>78.652900000000002</v>
      </c>
      <c r="F452" s="14">
        <f>78.6508 * CHOOSE(CONTROL!$C$9, $D$9, 100%, $F$9) + CHOOSE(CONTROL!$C$27, 0.0021, 0)</f>
        <v>78.652900000000002</v>
      </c>
      <c r="G452" s="14">
        <f>78.9222 * CHOOSE(CONTROL!$C$9, $D$9, 100%, $F$9) + CHOOSE(CONTROL!$C$27, 0.0021, 0)</f>
        <v>78.924300000000002</v>
      </c>
      <c r="H452" s="14">
        <f>78.7875 * CHOOSE(CONTROL!$C$9, $D$9, 100%, $F$9) + CHOOSE(CONTROL!$C$27, 0.0021, 0)</f>
        <v>78.789599999999993</v>
      </c>
      <c r="I452" s="14">
        <f>78.7875 * CHOOSE(CONTROL!$C$9, $D$9, 100%, $F$9) + CHOOSE(CONTROL!$C$27, 0.0021, 0)</f>
        <v>78.789599999999993</v>
      </c>
      <c r="J452" s="14">
        <f>78.7875 * CHOOSE(CONTROL!$C$9, $D$9, 100%, $F$9) + CHOOSE(CONTROL!$C$27, 0.0021, 0)</f>
        <v>78.789599999999993</v>
      </c>
      <c r="K452" s="14">
        <f>78.7875 * CHOOSE(CONTROL!$C$9, $D$9, 100%, $F$9) + CHOOSE(CONTROL!$C$27, 0.0021, 0)</f>
        <v>78.789599999999993</v>
      </c>
      <c r="L452" s="14"/>
    </row>
    <row r="453" spans="1:12" ht="15.75" x14ac:dyDescent="0.25">
      <c r="A453" s="33">
        <v>54727</v>
      </c>
      <c r="B453" s="14">
        <f>81.1604 * CHOOSE(CONTROL!$C$9, $D$9, 100%, $F$9) + CHOOSE(CONTROL!$C$27, 0.0021, 0)</f>
        <v>81.162499999999994</v>
      </c>
      <c r="C453" s="14">
        <f>80.7282 * CHOOSE(CONTROL!$C$9, $D$9, 100%, $F$9) + CHOOSE(CONTROL!$C$27, 0.0021, 0)</f>
        <v>80.7303</v>
      </c>
      <c r="D453" s="14">
        <f>80.7282 * CHOOSE(CONTROL!$C$9, $D$9, 100%, $F$9) + CHOOSE(CONTROL!$C$27, 0.0021, 0)</f>
        <v>80.7303</v>
      </c>
      <c r="E453" s="14">
        <f>80.5915 * CHOOSE(CONTROL!$C$9, $D$9, 100%, $F$9) + CHOOSE(CONTROL!$C$27, 0.0021, 0)</f>
        <v>80.593599999999995</v>
      </c>
      <c r="F453" s="14">
        <f>80.5915 * CHOOSE(CONTROL!$C$9, $D$9, 100%, $F$9) + CHOOSE(CONTROL!$C$27, 0.0021, 0)</f>
        <v>80.593599999999995</v>
      </c>
      <c r="G453" s="14">
        <f>80.8629 * CHOOSE(CONTROL!$C$9, $D$9, 100%, $F$9) + CHOOSE(CONTROL!$C$27, 0.0021, 0)</f>
        <v>80.864999999999995</v>
      </c>
      <c r="H453" s="14">
        <f>80.7282 * CHOOSE(CONTROL!$C$9, $D$9, 100%, $F$9) + CHOOSE(CONTROL!$C$27, 0.0021, 0)</f>
        <v>80.7303</v>
      </c>
      <c r="I453" s="14">
        <f>80.7282 * CHOOSE(CONTROL!$C$9, $D$9, 100%, $F$9) + CHOOSE(CONTROL!$C$27, 0.0021, 0)</f>
        <v>80.7303</v>
      </c>
      <c r="J453" s="14">
        <f>80.7282 * CHOOSE(CONTROL!$C$9, $D$9, 100%, $F$9) + CHOOSE(CONTROL!$C$27, 0.0021, 0)</f>
        <v>80.7303</v>
      </c>
      <c r="K453" s="14">
        <f>80.7282 * CHOOSE(CONTROL!$C$9, $D$9, 100%, $F$9) + CHOOSE(CONTROL!$C$27, 0.0021, 0)</f>
        <v>80.7303</v>
      </c>
      <c r="L453" s="14"/>
    </row>
    <row r="454" spans="1:12" ht="15.75" x14ac:dyDescent="0.25">
      <c r="A454" s="33">
        <v>54757</v>
      </c>
      <c r="B454" s="14">
        <f>81.3426 * CHOOSE(CONTROL!$C$9, $D$9, 100%, $F$9) + CHOOSE(CONTROL!$C$27, 0.0021, 0)</f>
        <v>81.344700000000003</v>
      </c>
      <c r="C454" s="14">
        <f>80.9104 * CHOOSE(CONTROL!$C$9, $D$9, 100%, $F$9) + CHOOSE(CONTROL!$C$27, 0.0021, 0)</f>
        <v>80.912499999999994</v>
      </c>
      <c r="D454" s="14">
        <f>80.9104 * CHOOSE(CONTROL!$C$9, $D$9, 100%, $F$9) + CHOOSE(CONTROL!$C$27, 0.0021, 0)</f>
        <v>80.912499999999994</v>
      </c>
      <c r="E454" s="14">
        <f>80.7737 * CHOOSE(CONTROL!$C$9, $D$9, 100%, $F$9) + CHOOSE(CONTROL!$C$27, 0.0021, 0)</f>
        <v>80.775800000000004</v>
      </c>
      <c r="F454" s="14">
        <f>80.7737 * CHOOSE(CONTROL!$C$9, $D$9, 100%, $F$9) + CHOOSE(CONTROL!$C$27, 0.0021, 0)</f>
        <v>80.775800000000004</v>
      </c>
      <c r="G454" s="14">
        <f>81.0451 * CHOOSE(CONTROL!$C$9, $D$9, 100%, $F$9) + CHOOSE(CONTROL!$C$27, 0.0021, 0)</f>
        <v>81.047200000000004</v>
      </c>
      <c r="H454" s="14">
        <f>80.9104 * CHOOSE(CONTROL!$C$9, $D$9, 100%, $F$9) + CHOOSE(CONTROL!$C$27, 0.0021, 0)</f>
        <v>80.912499999999994</v>
      </c>
      <c r="I454" s="14">
        <f>80.9104 * CHOOSE(CONTROL!$C$9, $D$9, 100%, $F$9) + CHOOSE(CONTROL!$C$27, 0.0021, 0)</f>
        <v>80.912499999999994</v>
      </c>
      <c r="J454" s="14">
        <f>80.9104 * CHOOSE(CONTROL!$C$9, $D$9, 100%, $F$9) + CHOOSE(CONTROL!$C$27, 0.0021, 0)</f>
        <v>80.912499999999994</v>
      </c>
      <c r="K454" s="14">
        <f>80.9104 * CHOOSE(CONTROL!$C$9, $D$9, 100%, $F$9) + CHOOSE(CONTROL!$C$27, 0.0021, 0)</f>
        <v>80.912499999999994</v>
      </c>
      <c r="L454" s="14"/>
    </row>
    <row r="455" spans="1:12" ht="15.75" x14ac:dyDescent="0.25">
      <c r="A455" s="33">
        <v>54788</v>
      </c>
      <c r="B455" s="14">
        <f>79.7926 * CHOOSE(CONTROL!$C$9, $D$9, 100%, $F$9) + CHOOSE(CONTROL!$C$27, 0.0021, 0)</f>
        <v>79.794699999999992</v>
      </c>
      <c r="C455" s="14">
        <f>79.3604 * CHOOSE(CONTROL!$C$9, $D$9, 100%, $F$9) + CHOOSE(CONTROL!$C$27, 0.0021, 0)</f>
        <v>79.362499999999997</v>
      </c>
      <c r="D455" s="14">
        <f>79.3604 * CHOOSE(CONTROL!$C$9, $D$9, 100%, $F$9) + CHOOSE(CONTROL!$C$27, 0.0021, 0)</f>
        <v>79.362499999999997</v>
      </c>
      <c r="E455" s="14">
        <f>79.2237 * CHOOSE(CONTROL!$C$9, $D$9, 100%, $F$9) + CHOOSE(CONTROL!$C$27, 0.0021, 0)</f>
        <v>79.225799999999992</v>
      </c>
      <c r="F455" s="14">
        <f>79.2237 * CHOOSE(CONTROL!$C$9, $D$9, 100%, $F$9) + CHOOSE(CONTROL!$C$27, 0.0021, 0)</f>
        <v>79.225799999999992</v>
      </c>
      <c r="G455" s="14">
        <f>79.4951 * CHOOSE(CONTROL!$C$9, $D$9, 100%, $F$9) + CHOOSE(CONTROL!$C$27, 0.0021, 0)</f>
        <v>79.497199999999992</v>
      </c>
      <c r="H455" s="14">
        <f>79.3604 * CHOOSE(CONTROL!$C$9, $D$9, 100%, $F$9) + CHOOSE(CONTROL!$C$27, 0.0021, 0)</f>
        <v>79.362499999999997</v>
      </c>
      <c r="I455" s="14">
        <f>79.3604 * CHOOSE(CONTROL!$C$9, $D$9, 100%, $F$9) + CHOOSE(CONTROL!$C$27, 0.0021, 0)</f>
        <v>79.362499999999997</v>
      </c>
      <c r="J455" s="14">
        <f>79.3604 * CHOOSE(CONTROL!$C$9, $D$9, 100%, $F$9) + CHOOSE(CONTROL!$C$27, 0.0021, 0)</f>
        <v>79.362499999999997</v>
      </c>
      <c r="K455" s="14">
        <f>79.3604 * CHOOSE(CONTROL!$C$9, $D$9, 100%, $F$9) + CHOOSE(CONTROL!$C$27, 0.0021, 0)</f>
        <v>79.362499999999997</v>
      </c>
      <c r="L455" s="14"/>
    </row>
    <row r="456" spans="1:12" ht="15.75" x14ac:dyDescent="0.25">
      <c r="A456" s="33">
        <v>54819</v>
      </c>
      <c r="B456" s="14">
        <f>78.8129 * CHOOSE(CONTROL!$C$9, $D$9, 100%, $F$9) + CHOOSE(CONTROL!$C$27, 0.0021, 0)</f>
        <v>78.814999999999998</v>
      </c>
      <c r="C456" s="14">
        <f>78.3807 * CHOOSE(CONTROL!$C$9, $D$9, 100%, $F$9) + CHOOSE(CONTROL!$C$27, 0.0021, 0)</f>
        <v>78.382800000000003</v>
      </c>
      <c r="D456" s="14">
        <f>78.3807 * CHOOSE(CONTROL!$C$9, $D$9, 100%, $F$9) + CHOOSE(CONTROL!$C$27, 0.0021, 0)</f>
        <v>78.382800000000003</v>
      </c>
      <c r="E456" s="14">
        <f>78.244 * CHOOSE(CONTROL!$C$9, $D$9, 100%, $F$9) + CHOOSE(CONTROL!$C$27, 0.0021, 0)</f>
        <v>78.246099999999998</v>
      </c>
      <c r="F456" s="14">
        <f>78.244 * CHOOSE(CONTROL!$C$9, $D$9, 100%, $F$9) + CHOOSE(CONTROL!$C$27, 0.0021, 0)</f>
        <v>78.246099999999998</v>
      </c>
      <c r="G456" s="14">
        <f>78.5154 * CHOOSE(CONTROL!$C$9, $D$9, 100%, $F$9) + CHOOSE(CONTROL!$C$27, 0.0021, 0)</f>
        <v>78.517499999999998</v>
      </c>
      <c r="H456" s="14">
        <f>78.3807 * CHOOSE(CONTROL!$C$9, $D$9, 100%, $F$9) + CHOOSE(CONTROL!$C$27, 0.0021, 0)</f>
        <v>78.382800000000003</v>
      </c>
      <c r="I456" s="14">
        <f>78.3807 * CHOOSE(CONTROL!$C$9, $D$9, 100%, $F$9) + CHOOSE(CONTROL!$C$27, 0.0021, 0)</f>
        <v>78.382800000000003</v>
      </c>
      <c r="J456" s="14">
        <f>78.3807 * CHOOSE(CONTROL!$C$9, $D$9, 100%, $F$9) + CHOOSE(CONTROL!$C$27, 0.0021, 0)</f>
        <v>78.382800000000003</v>
      </c>
      <c r="K456" s="14">
        <f>78.3807 * CHOOSE(CONTROL!$C$9, $D$9, 100%, $F$9) + CHOOSE(CONTROL!$C$27, 0.0021, 0)</f>
        <v>78.382800000000003</v>
      </c>
      <c r="L456" s="14"/>
    </row>
    <row r="457" spans="1:12" ht="15.75" x14ac:dyDescent="0.25">
      <c r="A457" s="33">
        <v>54847</v>
      </c>
      <c r="B457" s="14">
        <f>76.6485 * CHOOSE(CONTROL!$C$9, $D$9, 100%, $F$9) + CHOOSE(CONTROL!$C$27, 0.0021, 0)</f>
        <v>76.650599999999997</v>
      </c>
      <c r="C457" s="14">
        <f>76.2163 * CHOOSE(CONTROL!$C$9, $D$9, 100%, $F$9) + CHOOSE(CONTROL!$C$27, 0.0021, 0)</f>
        <v>76.218400000000003</v>
      </c>
      <c r="D457" s="14">
        <f>76.2163 * CHOOSE(CONTROL!$C$9, $D$9, 100%, $F$9) + CHOOSE(CONTROL!$C$27, 0.0021, 0)</f>
        <v>76.218400000000003</v>
      </c>
      <c r="E457" s="14">
        <f>76.0796 * CHOOSE(CONTROL!$C$9, $D$9, 100%, $F$9) + CHOOSE(CONTROL!$C$27, 0.0021, 0)</f>
        <v>76.081699999999998</v>
      </c>
      <c r="F457" s="14">
        <f>76.0796 * CHOOSE(CONTROL!$C$9, $D$9, 100%, $F$9) + CHOOSE(CONTROL!$C$27, 0.0021, 0)</f>
        <v>76.081699999999998</v>
      </c>
      <c r="G457" s="14">
        <f>76.351 * CHOOSE(CONTROL!$C$9, $D$9, 100%, $F$9) + CHOOSE(CONTROL!$C$27, 0.0021, 0)</f>
        <v>76.353099999999998</v>
      </c>
      <c r="H457" s="14">
        <f>76.2163 * CHOOSE(CONTROL!$C$9, $D$9, 100%, $F$9) + CHOOSE(CONTROL!$C$27, 0.0021, 0)</f>
        <v>76.218400000000003</v>
      </c>
      <c r="I457" s="14">
        <f>76.2163 * CHOOSE(CONTROL!$C$9, $D$9, 100%, $F$9) + CHOOSE(CONTROL!$C$27, 0.0021, 0)</f>
        <v>76.218400000000003</v>
      </c>
      <c r="J457" s="14">
        <f>76.2163 * CHOOSE(CONTROL!$C$9, $D$9, 100%, $F$9) + CHOOSE(CONTROL!$C$27, 0.0021, 0)</f>
        <v>76.218400000000003</v>
      </c>
      <c r="K457" s="14">
        <f>76.2163 * CHOOSE(CONTROL!$C$9, $D$9, 100%, $F$9) + CHOOSE(CONTROL!$C$27, 0.0021, 0)</f>
        <v>76.218400000000003</v>
      </c>
      <c r="L457" s="14"/>
    </row>
    <row r="458" spans="1:12" ht="15.75" x14ac:dyDescent="0.25">
      <c r="A458" s="33">
        <v>54878</v>
      </c>
      <c r="B458" s="14">
        <f>75.7551 * CHOOSE(CONTROL!$C$9, $D$9, 100%, $F$9) + CHOOSE(CONTROL!$C$27, 0.0021, 0)</f>
        <v>75.757199999999997</v>
      </c>
      <c r="C458" s="14">
        <f>75.3228 * CHOOSE(CONTROL!$C$9, $D$9, 100%, $F$9) + CHOOSE(CONTROL!$C$27, 0.0021, 0)</f>
        <v>75.3249</v>
      </c>
      <c r="D458" s="14">
        <f>75.3228 * CHOOSE(CONTROL!$C$9, $D$9, 100%, $F$9) + CHOOSE(CONTROL!$C$27, 0.0021, 0)</f>
        <v>75.3249</v>
      </c>
      <c r="E458" s="14">
        <f>75.1861 * CHOOSE(CONTROL!$C$9, $D$9, 100%, $F$9) + CHOOSE(CONTROL!$C$27, 0.0021, 0)</f>
        <v>75.188199999999995</v>
      </c>
      <c r="F458" s="14">
        <f>75.1861 * CHOOSE(CONTROL!$C$9, $D$9, 100%, $F$9) + CHOOSE(CONTROL!$C$27, 0.0021, 0)</f>
        <v>75.188199999999995</v>
      </c>
      <c r="G458" s="14">
        <f>75.4575 * CHOOSE(CONTROL!$C$9, $D$9, 100%, $F$9) + CHOOSE(CONTROL!$C$27, 0.0021, 0)</f>
        <v>75.459599999999995</v>
      </c>
      <c r="H458" s="14">
        <f>75.3228 * CHOOSE(CONTROL!$C$9, $D$9, 100%, $F$9) + CHOOSE(CONTROL!$C$27, 0.0021, 0)</f>
        <v>75.3249</v>
      </c>
      <c r="I458" s="14">
        <f>75.3228 * CHOOSE(CONTROL!$C$9, $D$9, 100%, $F$9) + CHOOSE(CONTROL!$C$27, 0.0021, 0)</f>
        <v>75.3249</v>
      </c>
      <c r="J458" s="14">
        <f>75.3228 * CHOOSE(CONTROL!$C$9, $D$9, 100%, $F$9) + CHOOSE(CONTROL!$C$27, 0.0021, 0)</f>
        <v>75.3249</v>
      </c>
      <c r="K458" s="14">
        <f>75.3228 * CHOOSE(CONTROL!$C$9, $D$9, 100%, $F$9) + CHOOSE(CONTROL!$C$27, 0.0021, 0)</f>
        <v>75.3249</v>
      </c>
      <c r="L458" s="14"/>
    </row>
    <row r="459" spans="1:12" ht="15.75" x14ac:dyDescent="0.25">
      <c r="A459" s="33">
        <v>54908</v>
      </c>
      <c r="B459" s="14">
        <f>74.6882 * CHOOSE(CONTROL!$C$9, $D$9, 100%, $F$9) + CHOOSE(CONTROL!$C$27, 0.0021, 0)</f>
        <v>74.690299999999993</v>
      </c>
      <c r="C459" s="14">
        <f>74.256 * CHOOSE(CONTROL!$C$9, $D$9, 100%, $F$9) + CHOOSE(CONTROL!$C$27, 0.0021, 0)</f>
        <v>74.258099999999999</v>
      </c>
      <c r="D459" s="14">
        <f>74.256 * CHOOSE(CONTROL!$C$9, $D$9, 100%, $F$9) + CHOOSE(CONTROL!$C$27, 0.0021, 0)</f>
        <v>74.258099999999999</v>
      </c>
      <c r="E459" s="14">
        <f>74.1193 * CHOOSE(CONTROL!$C$9, $D$9, 100%, $F$9) + CHOOSE(CONTROL!$C$27, 0.0021, 0)</f>
        <v>74.121399999999994</v>
      </c>
      <c r="F459" s="14">
        <f>74.1193 * CHOOSE(CONTROL!$C$9, $D$9, 100%, $F$9) + CHOOSE(CONTROL!$C$27, 0.0021, 0)</f>
        <v>74.121399999999994</v>
      </c>
      <c r="G459" s="14">
        <f>74.3907 * CHOOSE(CONTROL!$C$9, $D$9, 100%, $F$9) + CHOOSE(CONTROL!$C$27, 0.0021, 0)</f>
        <v>74.392799999999994</v>
      </c>
      <c r="H459" s="14">
        <f>74.256 * CHOOSE(CONTROL!$C$9, $D$9, 100%, $F$9) + CHOOSE(CONTROL!$C$27, 0.0021, 0)</f>
        <v>74.258099999999999</v>
      </c>
      <c r="I459" s="14">
        <f>74.256 * CHOOSE(CONTROL!$C$9, $D$9, 100%, $F$9) + CHOOSE(CONTROL!$C$27, 0.0021, 0)</f>
        <v>74.258099999999999</v>
      </c>
      <c r="J459" s="14">
        <f>74.256 * CHOOSE(CONTROL!$C$9, $D$9, 100%, $F$9) + CHOOSE(CONTROL!$C$27, 0.0021, 0)</f>
        <v>74.258099999999999</v>
      </c>
      <c r="K459" s="14">
        <f>74.256 * CHOOSE(CONTROL!$C$9, $D$9, 100%, $F$9) + CHOOSE(CONTROL!$C$27, 0.0021, 0)</f>
        <v>74.258099999999999</v>
      </c>
      <c r="L459" s="14"/>
    </row>
    <row r="460" spans="1:12" ht="15.75" x14ac:dyDescent="0.25">
      <c r="A460" s="33">
        <v>54939</v>
      </c>
      <c r="B460" s="14">
        <f>76.2086 * CHOOSE(CONTROL!$C$9, $D$9, 100%, $F$9) + CHOOSE(CONTROL!$C$27, 0.0021, 0)</f>
        <v>76.210700000000003</v>
      </c>
      <c r="C460" s="14">
        <f>75.7763 * CHOOSE(CONTROL!$C$9, $D$9, 100%, $F$9) + CHOOSE(CONTROL!$C$27, 0.0021, 0)</f>
        <v>75.778400000000005</v>
      </c>
      <c r="D460" s="14">
        <f>75.7763 * CHOOSE(CONTROL!$C$9, $D$9, 100%, $F$9) + CHOOSE(CONTROL!$C$27, 0.0021, 0)</f>
        <v>75.778400000000005</v>
      </c>
      <c r="E460" s="14">
        <f>75.6397 * CHOOSE(CONTROL!$C$9, $D$9, 100%, $F$9) + CHOOSE(CONTROL!$C$27, 0.0021, 0)</f>
        <v>75.641800000000003</v>
      </c>
      <c r="F460" s="14">
        <f>75.6397 * CHOOSE(CONTROL!$C$9, $D$9, 100%, $F$9) + CHOOSE(CONTROL!$C$27, 0.0021, 0)</f>
        <v>75.641800000000003</v>
      </c>
      <c r="G460" s="14">
        <f>75.911 * CHOOSE(CONTROL!$C$9, $D$9, 100%, $F$9) + CHOOSE(CONTROL!$C$27, 0.0021, 0)</f>
        <v>75.9131</v>
      </c>
      <c r="H460" s="14">
        <f>75.7763 * CHOOSE(CONTROL!$C$9, $D$9, 100%, $F$9) + CHOOSE(CONTROL!$C$27, 0.0021, 0)</f>
        <v>75.778400000000005</v>
      </c>
      <c r="I460" s="14">
        <f>75.7763 * CHOOSE(CONTROL!$C$9, $D$9, 100%, $F$9) + CHOOSE(CONTROL!$C$27, 0.0021, 0)</f>
        <v>75.778400000000005</v>
      </c>
      <c r="J460" s="14">
        <f>75.7763 * CHOOSE(CONTROL!$C$9, $D$9, 100%, $F$9) + CHOOSE(CONTROL!$C$27, 0.0021, 0)</f>
        <v>75.778400000000005</v>
      </c>
      <c r="K460" s="14">
        <f>75.7763 * CHOOSE(CONTROL!$C$9, $D$9, 100%, $F$9) + CHOOSE(CONTROL!$C$27, 0.0021, 0)</f>
        <v>75.778400000000005</v>
      </c>
      <c r="L460" s="14"/>
    </row>
    <row r="461" spans="1:12" ht="15.75" x14ac:dyDescent="0.25">
      <c r="A461" s="33">
        <v>54969</v>
      </c>
      <c r="B461" s="14">
        <f>77.1192 * CHOOSE(CONTROL!$C$9, $D$9, 100%, $F$9) + CHOOSE(CONTROL!$C$27, 0.0021, 0)</f>
        <v>77.121300000000005</v>
      </c>
      <c r="C461" s="14">
        <f>76.687 * CHOOSE(CONTROL!$C$9, $D$9, 100%, $F$9) + CHOOSE(CONTROL!$C$27, 0.0021, 0)</f>
        <v>76.689099999999996</v>
      </c>
      <c r="D461" s="14">
        <f>76.687 * CHOOSE(CONTROL!$C$9, $D$9, 100%, $F$9) + CHOOSE(CONTROL!$C$27, 0.0021, 0)</f>
        <v>76.689099999999996</v>
      </c>
      <c r="E461" s="14">
        <f>76.5503 * CHOOSE(CONTROL!$C$9, $D$9, 100%, $F$9) + CHOOSE(CONTROL!$C$27, 0.0021, 0)</f>
        <v>76.552399999999992</v>
      </c>
      <c r="F461" s="14">
        <f>76.5503 * CHOOSE(CONTROL!$C$9, $D$9, 100%, $F$9) + CHOOSE(CONTROL!$C$27, 0.0021, 0)</f>
        <v>76.552399999999992</v>
      </c>
      <c r="G461" s="14">
        <f>76.8217 * CHOOSE(CONTROL!$C$9, $D$9, 100%, $F$9) + CHOOSE(CONTROL!$C$27, 0.0021, 0)</f>
        <v>76.823800000000006</v>
      </c>
      <c r="H461" s="14">
        <f>76.687 * CHOOSE(CONTROL!$C$9, $D$9, 100%, $F$9) + CHOOSE(CONTROL!$C$27, 0.0021, 0)</f>
        <v>76.689099999999996</v>
      </c>
      <c r="I461" s="14">
        <f>76.687 * CHOOSE(CONTROL!$C$9, $D$9, 100%, $F$9) + CHOOSE(CONTROL!$C$27, 0.0021, 0)</f>
        <v>76.689099999999996</v>
      </c>
      <c r="J461" s="14">
        <f>76.687 * CHOOSE(CONTROL!$C$9, $D$9, 100%, $F$9) + CHOOSE(CONTROL!$C$27, 0.0021, 0)</f>
        <v>76.689099999999996</v>
      </c>
      <c r="K461" s="14">
        <f>76.687 * CHOOSE(CONTROL!$C$9, $D$9, 100%, $F$9) + CHOOSE(CONTROL!$C$27, 0.0021, 0)</f>
        <v>76.689099999999996</v>
      </c>
      <c r="L461" s="14"/>
    </row>
    <row r="462" spans="1:12" ht="15.75" x14ac:dyDescent="0.25">
      <c r="A462" s="33">
        <v>55000</v>
      </c>
      <c r="B462" s="14">
        <f>78.6214 * CHOOSE(CONTROL!$C$9, $D$9, 100%, $F$9) + CHOOSE(CONTROL!$C$27, 0.0021, 0)</f>
        <v>78.623499999999993</v>
      </c>
      <c r="C462" s="14">
        <f>78.1892 * CHOOSE(CONTROL!$C$9, $D$9, 100%, $F$9) + CHOOSE(CONTROL!$C$27, 0.0021, 0)</f>
        <v>78.191299999999998</v>
      </c>
      <c r="D462" s="14">
        <f>78.1892 * CHOOSE(CONTROL!$C$9, $D$9, 100%, $F$9) + CHOOSE(CONTROL!$C$27, 0.0021, 0)</f>
        <v>78.191299999999998</v>
      </c>
      <c r="E462" s="14">
        <f>78.0525 * CHOOSE(CONTROL!$C$9, $D$9, 100%, $F$9) + CHOOSE(CONTROL!$C$27, 0.0021, 0)</f>
        <v>78.054599999999994</v>
      </c>
      <c r="F462" s="14">
        <f>78.0525 * CHOOSE(CONTROL!$C$9, $D$9, 100%, $F$9) + CHOOSE(CONTROL!$C$27, 0.0021, 0)</f>
        <v>78.054599999999994</v>
      </c>
      <c r="G462" s="14">
        <f>78.3239 * CHOOSE(CONTROL!$C$9, $D$9, 100%, $F$9) + CHOOSE(CONTROL!$C$27, 0.0021, 0)</f>
        <v>78.325999999999993</v>
      </c>
      <c r="H462" s="14">
        <f>78.1892 * CHOOSE(CONTROL!$C$9, $D$9, 100%, $F$9) + CHOOSE(CONTROL!$C$27, 0.0021, 0)</f>
        <v>78.191299999999998</v>
      </c>
      <c r="I462" s="14">
        <f>78.1892 * CHOOSE(CONTROL!$C$9, $D$9, 100%, $F$9) + CHOOSE(CONTROL!$C$27, 0.0021, 0)</f>
        <v>78.191299999999998</v>
      </c>
      <c r="J462" s="14">
        <f>78.1892 * CHOOSE(CONTROL!$C$9, $D$9, 100%, $F$9) + CHOOSE(CONTROL!$C$27, 0.0021, 0)</f>
        <v>78.191299999999998</v>
      </c>
      <c r="K462" s="14">
        <f>78.1892 * CHOOSE(CONTROL!$C$9, $D$9, 100%, $F$9) + CHOOSE(CONTROL!$C$27, 0.0021, 0)</f>
        <v>78.191299999999998</v>
      </c>
      <c r="L462" s="14"/>
    </row>
    <row r="463" spans="1:12" ht="15.75" x14ac:dyDescent="0.25">
      <c r="A463" s="33">
        <v>55031</v>
      </c>
      <c r="B463" s="14">
        <f>79.0799 * CHOOSE(CONTROL!$C$9, $D$9, 100%, $F$9) + CHOOSE(CONTROL!$C$27, 0.0021, 0)</f>
        <v>79.081999999999994</v>
      </c>
      <c r="C463" s="14">
        <f>78.6477 * CHOOSE(CONTROL!$C$9, $D$9, 100%, $F$9) + CHOOSE(CONTROL!$C$27, 0.0021, 0)</f>
        <v>78.649799999999999</v>
      </c>
      <c r="D463" s="14">
        <f>78.6477 * CHOOSE(CONTROL!$C$9, $D$9, 100%, $F$9) + CHOOSE(CONTROL!$C$27, 0.0021, 0)</f>
        <v>78.649799999999999</v>
      </c>
      <c r="E463" s="14">
        <f>78.511 * CHOOSE(CONTROL!$C$9, $D$9, 100%, $F$9) + CHOOSE(CONTROL!$C$27, 0.0021, 0)</f>
        <v>78.513099999999994</v>
      </c>
      <c r="F463" s="14">
        <f>78.511 * CHOOSE(CONTROL!$C$9, $D$9, 100%, $F$9) + CHOOSE(CONTROL!$C$27, 0.0021, 0)</f>
        <v>78.513099999999994</v>
      </c>
      <c r="G463" s="14">
        <f>78.7824 * CHOOSE(CONTROL!$C$9, $D$9, 100%, $F$9) + CHOOSE(CONTROL!$C$27, 0.0021, 0)</f>
        <v>78.784499999999994</v>
      </c>
      <c r="H463" s="14">
        <f>78.6477 * CHOOSE(CONTROL!$C$9, $D$9, 100%, $F$9) + CHOOSE(CONTROL!$C$27, 0.0021, 0)</f>
        <v>78.649799999999999</v>
      </c>
      <c r="I463" s="14">
        <f>78.6477 * CHOOSE(CONTROL!$C$9, $D$9, 100%, $F$9) + CHOOSE(CONTROL!$C$27, 0.0021, 0)</f>
        <v>78.649799999999999</v>
      </c>
      <c r="J463" s="14">
        <f>78.6477 * CHOOSE(CONTROL!$C$9, $D$9, 100%, $F$9) + CHOOSE(CONTROL!$C$27, 0.0021, 0)</f>
        <v>78.649799999999999</v>
      </c>
      <c r="K463" s="14">
        <f>78.6477 * CHOOSE(CONTROL!$C$9, $D$9, 100%, $F$9) + CHOOSE(CONTROL!$C$27, 0.0021, 0)</f>
        <v>78.649799999999999</v>
      </c>
      <c r="L463" s="14"/>
    </row>
    <row r="464" spans="1:12" ht="15.75" x14ac:dyDescent="0.25">
      <c r="A464" s="33">
        <v>55061</v>
      </c>
      <c r="B464" s="14">
        <f>80.6414 * CHOOSE(CONTROL!$C$9, $D$9, 100%, $F$9) + CHOOSE(CONTROL!$C$27, 0.0021, 0)</f>
        <v>80.643500000000003</v>
      </c>
      <c r="C464" s="14">
        <f>80.2091 * CHOOSE(CONTROL!$C$9, $D$9, 100%, $F$9) + CHOOSE(CONTROL!$C$27, 0.0021, 0)</f>
        <v>80.211200000000005</v>
      </c>
      <c r="D464" s="14">
        <f>80.2091 * CHOOSE(CONTROL!$C$9, $D$9, 100%, $F$9) + CHOOSE(CONTROL!$C$27, 0.0021, 0)</f>
        <v>80.211200000000005</v>
      </c>
      <c r="E464" s="14">
        <f>80.0725 * CHOOSE(CONTROL!$C$9, $D$9, 100%, $F$9) + CHOOSE(CONTROL!$C$27, 0.0021, 0)</f>
        <v>80.074600000000004</v>
      </c>
      <c r="F464" s="14">
        <f>80.0725 * CHOOSE(CONTROL!$C$9, $D$9, 100%, $F$9) + CHOOSE(CONTROL!$C$27, 0.0021, 0)</f>
        <v>80.074600000000004</v>
      </c>
      <c r="G464" s="14">
        <f>80.3439 * CHOOSE(CONTROL!$C$9, $D$9, 100%, $F$9) + CHOOSE(CONTROL!$C$27, 0.0021, 0)</f>
        <v>80.346000000000004</v>
      </c>
      <c r="H464" s="14">
        <f>80.2091 * CHOOSE(CONTROL!$C$9, $D$9, 100%, $F$9) + CHOOSE(CONTROL!$C$27, 0.0021, 0)</f>
        <v>80.211200000000005</v>
      </c>
      <c r="I464" s="14">
        <f>80.2091 * CHOOSE(CONTROL!$C$9, $D$9, 100%, $F$9) + CHOOSE(CONTROL!$C$27, 0.0021, 0)</f>
        <v>80.211200000000005</v>
      </c>
      <c r="J464" s="14">
        <f>80.2091 * CHOOSE(CONTROL!$C$9, $D$9, 100%, $F$9) + CHOOSE(CONTROL!$C$27, 0.0021, 0)</f>
        <v>80.211200000000005</v>
      </c>
      <c r="K464" s="14">
        <f>80.2091 * CHOOSE(CONTROL!$C$9, $D$9, 100%, $F$9) + CHOOSE(CONTROL!$C$27, 0.0021, 0)</f>
        <v>80.211200000000005</v>
      </c>
      <c r="L464" s="14"/>
    </row>
    <row r="465" spans="1:12" ht="15.75" x14ac:dyDescent="0.25">
      <c r="A465" s="33">
        <v>55092</v>
      </c>
      <c r="B465" s="14">
        <f>82.618 * CHOOSE(CONTROL!$C$9, $D$9, 100%, $F$9) + CHOOSE(CONTROL!$C$27, 0.0021, 0)</f>
        <v>82.620099999999994</v>
      </c>
      <c r="C465" s="14">
        <f>82.1857 * CHOOSE(CONTROL!$C$9, $D$9, 100%, $F$9) + CHOOSE(CONTROL!$C$27, 0.0021, 0)</f>
        <v>82.187799999999996</v>
      </c>
      <c r="D465" s="14">
        <f>82.1857 * CHOOSE(CONTROL!$C$9, $D$9, 100%, $F$9) + CHOOSE(CONTROL!$C$27, 0.0021, 0)</f>
        <v>82.187799999999996</v>
      </c>
      <c r="E465" s="14">
        <f>82.049 * CHOOSE(CONTROL!$C$9, $D$9, 100%, $F$9) + CHOOSE(CONTROL!$C$27, 0.0021, 0)</f>
        <v>82.051100000000005</v>
      </c>
      <c r="F465" s="14">
        <f>82.049 * CHOOSE(CONTROL!$C$9, $D$9, 100%, $F$9) + CHOOSE(CONTROL!$C$27, 0.0021, 0)</f>
        <v>82.051100000000005</v>
      </c>
      <c r="G465" s="14">
        <f>82.3204 * CHOOSE(CONTROL!$C$9, $D$9, 100%, $F$9) + CHOOSE(CONTROL!$C$27, 0.0021, 0)</f>
        <v>82.322500000000005</v>
      </c>
      <c r="H465" s="14">
        <f>82.1857 * CHOOSE(CONTROL!$C$9, $D$9, 100%, $F$9) + CHOOSE(CONTROL!$C$27, 0.0021, 0)</f>
        <v>82.187799999999996</v>
      </c>
      <c r="I465" s="14">
        <f>82.1857 * CHOOSE(CONTROL!$C$9, $D$9, 100%, $F$9) + CHOOSE(CONTROL!$C$27, 0.0021, 0)</f>
        <v>82.187799999999996</v>
      </c>
      <c r="J465" s="14">
        <f>82.1857 * CHOOSE(CONTROL!$C$9, $D$9, 100%, $F$9) + CHOOSE(CONTROL!$C$27, 0.0021, 0)</f>
        <v>82.187799999999996</v>
      </c>
      <c r="K465" s="14">
        <f>82.1857 * CHOOSE(CONTROL!$C$9, $D$9, 100%, $F$9) + CHOOSE(CONTROL!$C$27, 0.0021, 0)</f>
        <v>82.187799999999996</v>
      </c>
      <c r="L465" s="14"/>
    </row>
    <row r="466" spans="1:12" ht="15.75" x14ac:dyDescent="0.25">
      <c r="A466" s="33">
        <v>55122</v>
      </c>
      <c r="B466" s="14">
        <f>82.8035 * CHOOSE(CONTROL!$C$9, $D$9, 100%, $F$9) + CHOOSE(CONTROL!$C$27, 0.0021, 0)</f>
        <v>82.805599999999998</v>
      </c>
      <c r="C466" s="14">
        <f>82.3713 * CHOOSE(CONTROL!$C$9, $D$9, 100%, $F$9) + CHOOSE(CONTROL!$C$27, 0.0021, 0)</f>
        <v>82.373400000000004</v>
      </c>
      <c r="D466" s="14">
        <f>82.3713 * CHOOSE(CONTROL!$C$9, $D$9, 100%, $F$9) + CHOOSE(CONTROL!$C$27, 0.0021, 0)</f>
        <v>82.373400000000004</v>
      </c>
      <c r="E466" s="14">
        <f>82.2346 * CHOOSE(CONTROL!$C$9, $D$9, 100%, $F$9) + CHOOSE(CONTROL!$C$27, 0.0021, 0)</f>
        <v>82.236699999999999</v>
      </c>
      <c r="F466" s="14">
        <f>82.2346 * CHOOSE(CONTROL!$C$9, $D$9, 100%, $F$9) + CHOOSE(CONTROL!$C$27, 0.0021, 0)</f>
        <v>82.236699999999999</v>
      </c>
      <c r="G466" s="14">
        <f>82.506 * CHOOSE(CONTROL!$C$9, $D$9, 100%, $F$9) + CHOOSE(CONTROL!$C$27, 0.0021, 0)</f>
        <v>82.508099999999999</v>
      </c>
      <c r="H466" s="14">
        <f>82.3713 * CHOOSE(CONTROL!$C$9, $D$9, 100%, $F$9) + CHOOSE(CONTROL!$C$27, 0.0021, 0)</f>
        <v>82.373400000000004</v>
      </c>
      <c r="I466" s="14">
        <f>82.3713 * CHOOSE(CONTROL!$C$9, $D$9, 100%, $F$9) + CHOOSE(CONTROL!$C$27, 0.0021, 0)</f>
        <v>82.373400000000004</v>
      </c>
      <c r="J466" s="14">
        <f>82.3713 * CHOOSE(CONTROL!$C$9, $D$9, 100%, $F$9) + CHOOSE(CONTROL!$C$27, 0.0021, 0)</f>
        <v>82.373400000000004</v>
      </c>
      <c r="K466" s="14">
        <f>82.3713 * CHOOSE(CONTROL!$C$9, $D$9, 100%, $F$9) + CHOOSE(CONTROL!$C$27, 0.0021, 0)</f>
        <v>82.373400000000004</v>
      </c>
      <c r="L466" s="14"/>
    </row>
    <row r="467" spans="1:12" ht="15.75" x14ac:dyDescent="0.25">
      <c r="A467" s="33">
        <v>55153</v>
      </c>
      <c r="B467" s="14">
        <f>81.2249 * CHOOSE(CONTROL!$C$9, $D$9, 100%, $F$9) + CHOOSE(CONTROL!$C$27, 0.0021, 0)</f>
        <v>81.227000000000004</v>
      </c>
      <c r="C467" s="14">
        <f>80.7926 * CHOOSE(CONTROL!$C$9, $D$9, 100%, $F$9) + CHOOSE(CONTROL!$C$27, 0.0021, 0)</f>
        <v>80.794699999999992</v>
      </c>
      <c r="D467" s="14">
        <f>80.7926 * CHOOSE(CONTROL!$C$9, $D$9, 100%, $F$9) + CHOOSE(CONTROL!$C$27, 0.0021, 0)</f>
        <v>80.794699999999992</v>
      </c>
      <c r="E467" s="14">
        <f>80.656 * CHOOSE(CONTROL!$C$9, $D$9, 100%, $F$9) + CHOOSE(CONTROL!$C$27, 0.0021, 0)</f>
        <v>80.658100000000005</v>
      </c>
      <c r="F467" s="14">
        <f>80.656 * CHOOSE(CONTROL!$C$9, $D$9, 100%, $F$9) + CHOOSE(CONTROL!$C$27, 0.0021, 0)</f>
        <v>80.658100000000005</v>
      </c>
      <c r="G467" s="14">
        <f>80.9273 * CHOOSE(CONTROL!$C$9, $D$9, 100%, $F$9) + CHOOSE(CONTROL!$C$27, 0.0021, 0)</f>
        <v>80.929400000000001</v>
      </c>
      <c r="H467" s="14">
        <f>80.7926 * CHOOSE(CONTROL!$C$9, $D$9, 100%, $F$9) + CHOOSE(CONTROL!$C$27, 0.0021, 0)</f>
        <v>80.794699999999992</v>
      </c>
      <c r="I467" s="14">
        <f>80.7926 * CHOOSE(CONTROL!$C$9, $D$9, 100%, $F$9) + CHOOSE(CONTROL!$C$27, 0.0021, 0)</f>
        <v>80.794699999999992</v>
      </c>
      <c r="J467" s="14">
        <f>80.7926 * CHOOSE(CONTROL!$C$9, $D$9, 100%, $F$9) + CHOOSE(CONTROL!$C$27, 0.0021, 0)</f>
        <v>80.794699999999992</v>
      </c>
      <c r="K467" s="14">
        <f>80.7926 * CHOOSE(CONTROL!$C$9, $D$9, 100%, $F$9) + CHOOSE(CONTROL!$C$27, 0.0021, 0)</f>
        <v>80.794699999999992</v>
      </c>
      <c r="L467" s="14"/>
    </row>
    <row r="468" spans="1:12" ht="15.75" x14ac:dyDescent="0.25">
      <c r="A468" s="33">
        <v>55184</v>
      </c>
      <c r="B468" s="14">
        <f>80.2271 * CHOOSE(CONTROL!$C$9, $D$9, 100%, $F$9) + CHOOSE(CONTROL!$C$27, 0.0021, 0)</f>
        <v>80.229199999999992</v>
      </c>
      <c r="C468" s="14">
        <f>79.7948 * CHOOSE(CONTROL!$C$9, $D$9, 100%, $F$9) + CHOOSE(CONTROL!$C$27, 0.0021, 0)</f>
        <v>79.796899999999994</v>
      </c>
      <c r="D468" s="14">
        <f>79.7948 * CHOOSE(CONTROL!$C$9, $D$9, 100%, $F$9) + CHOOSE(CONTROL!$C$27, 0.0021, 0)</f>
        <v>79.796899999999994</v>
      </c>
      <c r="E468" s="14">
        <f>79.6582 * CHOOSE(CONTROL!$C$9, $D$9, 100%, $F$9) + CHOOSE(CONTROL!$C$27, 0.0021, 0)</f>
        <v>79.660299999999992</v>
      </c>
      <c r="F468" s="14">
        <f>79.6582 * CHOOSE(CONTROL!$C$9, $D$9, 100%, $F$9) + CHOOSE(CONTROL!$C$27, 0.0021, 0)</f>
        <v>79.660299999999992</v>
      </c>
      <c r="G468" s="14">
        <f>79.9296 * CHOOSE(CONTROL!$C$9, $D$9, 100%, $F$9) + CHOOSE(CONTROL!$C$27, 0.0021, 0)</f>
        <v>79.931699999999992</v>
      </c>
      <c r="H468" s="14">
        <f>79.7948 * CHOOSE(CONTROL!$C$9, $D$9, 100%, $F$9) + CHOOSE(CONTROL!$C$27, 0.0021, 0)</f>
        <v>79.796899999999994</v>
      </c>
      <c r="I468" s="14">
        <f>79.7948 * CHOOSE(CONTROL!$C$9, $D$9, 100%, $F$9) + CHOOSE(CONTROL!$C$27, 0.0021, 0)</f>
        <v>79.796899999999994</v>
      </c>
      <c r="J468" s="14">
        <f>79.7948 * CHOOSE(CONTROL!$C$9, $D$9, 100%, $F$9) + CHOOSE(CONTROL!$C$27, 0.0021, 0)</f>
        <v>79.796899999999994</v>
      </c>
      <c r="K468" s="14">
        <f>79.7948 * CHOOSE(CONTROL!$C$9, $D$9, 100%, $F$9) + CHOOSE(CONTROL!$C$27, 0.0021, 0)</f>
        <v>79.796899999999994</v>
      </c>
      <c r="L468" s="14"/>
    </row>
    <row r="469" spans="1:12" ht="15.75" x14ac:dyDescent="0.25">
      <c r="A469" s="33">
        <v>55212</v>
      </c>
      <c r="B469" s="14">
        <f>78.0227 * CHOOSE(CONTROL!$C$9, $D$9, 100%, $F$9) + CHOOSE(CONTROL!$C$27, 0.0021, 0)</f>
        <v>78.024799999999999</v>
      </c>
      <c r="C469" s="14">
        <f>77.5904 * CHOOSE(CONTROL!$C$9, $D$9, 100%, $F$9) + CHOOSE(CONTROL!$C$27, 0.0021, 0)</f>
        <v>77.592500000000001</v>
      </c>
      <c r="D469" s="14">
        <f>77.5904 * CHOOSE(CONTROL!$C$9, $D$9, 100%, $F$9) + CHOOSE(CONTROL!$C$27, 0.0021, 0)</f>
        <v>77.592500000000001</v>
      </c>
      <c r="E469" s="14">
        <f>77.4538 * CHOOSE(CONTROL!$C$9, $D$9, 100%, $F$9) + CHOOSE(CONTROL!$C$27, 0.0021, 0)</f>
        <v>77.4559</v>
      </c>
      <c r="F469" s="14">
        <f>77.4538 * CHOOSE(CONTROL!$C$9, $D$9, 100%, $F$9) + CHOOSE(CONTROL!$C$27, 0.0021, 0)</f>
        <v>77.4559</v>
      </c>
      <c r="G469" s="14">
        <f>77.7251 * CHOOSE(CONTROL!$C$9, $D$9, 100%, $F$9) + CHOOSE(CONTROL!$C$27, 0.0021, 0)</f>
        <v>77.727199999999996</v>
      </c>
      <c r="H469" s="14">
        <f>77.5904 * CHOOSE(CONTROL!$C$9, $D$9, 100%, $F$9) + CHOOSE(CONTROL!$C$27, 0.0021, 0)</f>
        <v>77.592500000000001</v>
      </c>
      <c r="I469" s="14">
        <f>77.5904 * CHOOSE(CONTROL!$C$9, $D$9, 100%, $F$9) + CHOOSE(CONTROL!$C$27, 0.0021, 0)</f>
        <v>77.592500000000001</v>
      </c>
      <c r="J469" s="14">
        <f>77.5904 * CHOOSE(CONTROL!$C$9, $D$9, 100%, $F$9) + CHOOSE(CONTROL!$C$27, 0.0021, 0)</f>
        <v>77.592500000000001</v>
      </c>
      <c r="K469" s="14">
        <f>77.5904 * CHOOSE(CONTROL!$C$9, $D$9, 100%, $F$9) + CHOOSE(CONTROL!$C$27, 0.0021, 0)</f>
        <v>77.592500000000001</v>
      </c>
      <c r="L469" s="14"/>
    </row>
    <row r="470" spans="1:12" ht="15.75" x14ac:dyDescent="0.25">
      <c r="A470" s="33">
        <v>55243</v>
      </c>
      <c r="B470" s="14">
        <f>77.1127 * CHOOSE(CONTROL!$C$9, $D$9, 100%, $F$9) + CHOOSE(CONTROL!$C$27, 0.0021, 0)</f>
        <v>77.114800000000002</v>
      </c>
      <c r="C470" s="14">
        <f>76.6805 * CHOOSE(CONTROL!$C$9, $D$9, 100%, $F$9) + CHOOSE(CONTROL!$C$27, 0.0021, 0)</f>
        <v>76.682599999999994</v>
      </c>
      <c r="D470" s="14">
        <f>76.6805 * CHOOSE(CONTROL!$C$9, $D$9, 100%, $F$9) + CHOOSE(CONTROL!$C$27, 0.0021, 0)</f>
        <v>76.682599999999994</v>
      </c>
      <c r="E470" s="14">
        <f>76.5438 * CHOOSE(CONTROL!$C$9, $D$9, 100%, $F$9) + CHOOSE(CONTROL!$C$27, 0.0021, 0)</f>
        <v>76.545900000000003</v>
      </c>
      <c r="F470" s="14">
        <f>76.5438 * CHOOSE(CONTROL!$C$9, $D$9, 100%, $F$9) + CHOOSE(CONTROL!$C$27, 0.0021, 0)</f>
        <v>76.545900000000003</v>
      </c>
      <c r="G470" s="14">
        <f>76.8152 * CHOOSE(CONTROL!$C$9, $D$9, 100%, $F$9) + CHOOSE(CONTROL!$C$27, 0.0021, 0)</f>
        <v>76.817300000000003</v>
      </c>
      <c r="H470" s="14">
        <f>76.6805 * CHOOSE(CONTROL!$C$9, $D$9, 100%, $F$9) + CHOOSE(CONTROL!$C$27, 0.0021, 0)</f>
        <v>76.682599999999994</v>
      </c>
      <c r="I470" s="14">
        <f>76.6805 * CHOOSE(CONTROL!$C$9, $D$9, 100%, $F$9) + CHOOSE(CONTROL!$C$27, 0.0021, 0)</f>
        <v>76.682599999999994</v>
      </c>
      <c r="J470" s="14">
        <f>76.6805 * CHOOSE(CONTROL!$C$9, $D$9, 100%, $F$9) + CHOOSE(CONTROL!$C$27, 0.0021, 0)</f>
        <v>76.682599999999994</v>
      </c>
      <c r="K470" s="14">
        <f>76.6805 * CHOOSE(CONTROL!$C$9, $D$9, 100%, $F$9) + CHOOSE(CONTROL!$C$27, 0.0021, 0)</f>
        <v>76.682599999999994</v>
      </c>
      <c r="L470" s="14"/>
    </row>
    <row r="471" spans="1:12" ht="15.75" x14ac:dyDescent="0.25">
      <c r="A471" s="33">
        <v>55273</v>
      </c>
      <c r="B471" s="14">
        <f>76.0262 * CHOOSE(CONTROL!$C$9, $D$9, 100%, $F$9) + CHOOSE(CONTROL!$C$27, 0.0021, 0)</f>
        <v>76.028300000000002</v>
      </c>
      <c r="C471" s="14">
        <f>75.5939 * CHOOSE(CONTROL!$C$9, $D$9, 100%, $F$9) + CHOOSE(CONTROL!$C$27, 0.0021, 0)</f>
        <v>75.596000000000004</v>
      </c>
      <c r="D471" s="14">
        <f>75.5939 * CHOOSE(CONTROL!$C$9, $D$9, 100%, $F$9) + CHOOSE(CONTROL!$C$27, 0.0021, 0)</f>
        <v>75.596000000000004</v>
      </c>
      <c r="E471" s="14">
        <f>75.4573 * CHOOSE(CONTROL!$C$9, $D$9, 100%, $F$9) + CHOOSE(CONTROL!$C$27, 0.0021, 0)</f>
        <v>75.459400000000002</v>
      </c>
      <c r="F471" s="14">
        <f>75.4573 * CHOOSE(CONTROL!$C$9, $D$9, 100%, $F$9) + CHOOSE(CONTROL!$C$27, 0.0021, 0)</f>
        <v>75.459400000000002</v>
      </c>
      <c r="G471" s="14">
        <f>75.7286 * CHOOSE(CONTROL!$C$9, $D$9, 100%, $F$9) + CHOOSE(CONTROL!$C$27, 0.0021, 0)</f>
        <v>75.730699999999999</v>
      </c>
      <c r="H471" s="14">
        <f>75.5939 * CHOOSE(CONTROL!$C$9, $D$9, 100%, $F$9) + CHOOSE(CONTROL!$C$27, 0.0021, 0)</f>
        <v>75.596000000000004</v>
      </c>
      <c r="I471" s="14">
        <f>75.5939 * CHOOSE(CONTROL!$C$9, $D$9, 100%, $F$9) + CHOOSE(CONTROL!$C$27, 0.0021, 0)</f>
        <v>75.596000000000004</v>
      </c>
      <c r="J471" s="14">
        <f>75.5939 * CHOOSE(CONTROL!$C$9, $D$9, 100%, $F$9) + CHOOSE(CONTROL!$C$27, 0.0021, 0)</f>
        <v>75.596000000000004</v>
      </c>
      <c r="K471" s="14">
        <f>75.5939 * CHOOSE(CONTROL!$C$9, $D$9, 100%, $F$9) + CHOOSE(CONTROL!$C$27, 0.0021, 0)</f>
        <v>75.596000000000004</v>
      </c>
      <c r="L471" s="14"/>
    </row>
    <row r="472" spans="1:12" ht="15.75" x14ac:dyDescent="0.25">
      <c r="A472" s="33">
        <v>55304</v>
      </c>
      <c r="B472" s="14">
        <f>77.5746 * CHOOSE(CONTROL!$C$9, $D$9, 100%, $F$9) + CHOOSE(CONTROL!$C$27, 0.0021, 0)</f>
        <v>77.576700000000002</v>
      </c>
      <c r="C472" s="14">
        <f>77.1424 * CHOOSE(CONTROL!$C$9, $D$9, 100%, $F$9) + CHOOSE(CONTROL!$C$27, 0.0021, 0)</f>
        <v>77.144499999999994</v>
      </c>
      <c r="D472" s="14">
        <f>77.1424 * CHOOSE(CONTROL!$C$9, $D$9, 100%, $F$9) + CHOOSE(CONTROL!$C$27, 0.0021, 0)</f>
        <v>77.144499999999994</v>
      </c>
      <c r="E472" s="14">
        <f>77.0057 * CHOOSE(CONTROL!$C$9, $D$9, 100%, $F$9) + CHOOSE(CONTROL!$C$27, 0.0021, 0)</f>
        <v>77.007800000000003</v>
      </c>
      <c r="F472" s="14">
        <f>77.0057 * CHOOSE(CONTROL!$C$9, $D$9, 100%, $F$9) + CHOOSE(CONTROL!$C$27, 0.0021, 0)</f>
        <v>77.007800000000003</v>
      </c>
      <c r="G472" s="14">
        <f>77.2771 * CHOOSE(CONTROL!$C$9, $D$9, 100%, $F$9) + CHOOSE(CONTROL!$C$27, 0.0021, 0)</f>
        <v>77.279200000000003</v>
      </c>
      <c r="H472" s="14">
        <f>77.1424 * CHOOSE(CONTROL!$C$9, $D$9, 100%, $F$9) + CHOOSE(CONTROL!$C$27, 0.0021, 0)</f>
        <v>77.144499999999994</v>
      </c>
      <c r="I472" s="14">
        <f>77.1424 * CHOOSE(CONTROL!$C$9, $D$9, 100%, $F$9) + CHOOSE(CONTROL!$C$27, 0.0021, 0)</f>
        <v>77.144499999999994</v>
      </c>
      <c r="J472" s="14">
        <f>77.1424 * CHOOSE(CONTROL!$C$9, $D$9, 100%, $F$9) + CHOOSE(CONTROL!$C$27, 0.0021, 0)</f>
        <v>77.144499999999994</v>
      </c>
      <c r="K472" s="14">
        <f>77.1424 * CHOOSE(CONTROL!$C$9, $D$9, 100%, $F$9) + CHOOSE(CONTROL!$C$27, 0.0021, 0)</f>
        <v>77.144499999999994</v>
      </c>
      <c r="L472" s="14"/>
    </row>
    <row r="473" spans="1:12" ht="15.75" x14ac:dyDescent="0.25">
      <c r="A473" s="33">
        <v>55334</v>
      </c>
      <c r="B473" s="14">
        <f>78.5021 * CHOOSE(CONTROL!$C$9, $D$9, 100%, $F$9) + CHOOSE(CONTROL!$C$27, 0.0021, 0)</f>
        <v>78.504199999999997</v>
      </c>
      <c r="C473" s="14">
        <f>78.0698 * CHOOSE(CONTROL!$C$9, $D$9, 100%, $F$9) + CHOOSE(CONTROL!$C$27, 0.0021, 0)</f>
        <v>78.071899999999999</v>
      </c>
      <c r="D473" s="14">
        <f>78.0698 * CHOOSE(CONTROL!$C$9, $D$9, 100%, $F$9) + CHOOSE(CONTROL!$C$27, 0.0021, 0)</f>
        <v>78.071899999999999</v>
      </c>
      <c r="E473" s="14">
        <f>77.9332 * CHOOSE(CONTROL!$C$9, $D$9, 100%, $F$9) + CHOOSE(CONTROL!$C$27, 0.0021, 0)</f>
        <v>77.935299999999998</v>
      </c>
      <c r="F473" s="14">
        <f>77.9332 * CHOOSE(CONTROL!$C$9, $D$9, 100%, $F$9) + CHOOSE(CONTROL!$C$27, 0.0021, 0)</f>
        <v>77.935299999999998</v>
      </c>
      <c r="G473" s="14">
        <f>78.2045 * CHOOSE(CONTROL!$C$9, $D$9, 100%, $F$9) + CHOOSE(CONTROL!$C$27, 0.0021, 0)</f>
        <v>78.206599999999995</v>
      </c>
      <c r="H473" s="14">
        <f>78.0698 * CHOOSE(CONTROL!$C$9, $D$9, 100%, $F$9) + CHOOSE(CONTROL!$C$27, 0.0021, 0)</f>
        <v>78.071899999999999</v>
      </c>
      <c r="I473" s="14">
        <f>78.0698 * CHOOSE(CONTROL!$C$9, $D$9, 100%, $F$9) + CHOOSE(CONTROL!$C$27, 0.0021, 0)</f>
        <v>78.071899999999999</v>
      </c>
      <c r="J473" s="14">
        <f>78.0698 * CHOOSE(CONTROL!$C$9, $D$9, 100%, $F$9) + CHOOSE(CONTROL!$C$27, 0.0021, 0)</f>
        <v>78.071899999999999</v>
      </c>
      <c r="K473" s="14">
        <f>78.0698 * CHOOSE(CONTROL!$C$9, $D$9, 100%, $F$9) + CHOOSE(CONTROL!$C$27, 0.0021, 0)</f>
        <v>78.071899999999999</v>
      </c>
      <c r="L473" s="14"/>
    </row>
    <row r="474" spans="1:12" ht="15.75" x14ac:dyDescent="0.25">
      <c r="A474" s="33">
        <v>55365</v>
      </c>
      <c r="B474" s="14">
        <f>80.032 * CHOOSE(CONTROL!$C$9, $D$9, 100%, $F$9) + CHOOSE(CONTROL!$C$27, 0.0021, 0)</f>
        <v>80.034099999999995</v>
      </c>
      <c r="C474" s="14">
        <f>79.5998 * CHOOSE(CONTROL!$C$9, $D$9, 100%, $F$9) + CHOOSE(CONTROL!$C$27, 0.0021, 0)</f>
        <v>79.601900000000001</v>
      </c>
      <c r="D474" s="14">
        <f>79.5998 * CHOOSE(CONTROL!$C$9, $D$9, 100%, $F$9) + CHOOSE(CONTROL!$C$27, 0.0021, 0)</f>
        <v>79.601900000000001</v>
      </c>
      <c r="E474" s="14">
        <f>79.4631 * CHOOSE(CONTROL!$C$9, $D$9, 100%, $F$9) + CHOOSE(CONTROL!$C$27, 0.0021, 0)</f>
        <v>79.465199999999996</v>
      </c>
      <c r="F474" s="14">
        <f>79.4631 * CHOOSE(CONTROL!$C$9, $D$9, 100%, $F$9) + CHOOSE(CONTROL!$C$27, 0.0021, 0)</f>
        <v>79.465199999999996</v>
      </c>
      <c r="G474" s="14">
        <f>79.7345 * CHOOSE(CONTROL!$C$9, $D$9, 100%, $F$9) + CHOOSE(CONTROL!$C$27, 0.0021, 0)</f>
        <v>79.736599999999996</v>
      </c>
      <c r="H474" s="14">
        <f>79.5998 * CHOOSE(CONTROL!$C$9, $D$9, 100%, $F$9) + CHOOSE(CONTROL!$C$27, 0.0021, 0)</f>
        <v>79.601900000000001</v>
      </c>
      <c r="I474" s="14">
        <f>79.5998 * CHOOSE(CONTROL!$C$9, $D$9, 100%, $F$9) + CHOOSE(CONTROL!$C$27, 0.0021, 0)</f>
        <v>79.601900000000001</v>
      </c>
      <c r="J474" s="14">
        <f>79.5998 * CHOOSE(CONTROL!$C$9, $D$9, 100%, $F$9) + CHOOSE(CONTROL!$C$27, 0.0021, 0)</f>
        <v>79.601900000000001</v>
      </c>
      <c r="K474" s="14">
        <f>79.5998 * CHOOSE(CONTROL!$C$9, $D$9, 100%, $F$9) + CHOOSE(CONTROL!$C$27, 0.0021, 0)</f>
        <v>79.601900000000001</v>
      </c>
      <c r="L474" s="14"/>
    </row>
    <row r="475" spans="1:12" ht="15.75" x14ac:dyDescent="0.25">
      <c r="A475" s="33">
        <v>55396</v>
      </c>
      <c r="B475" s="14">
        <f>80.499 * CHOOSE(CONTROL!$C$9, $D$9, 100%, $F$9) + CHOOSE(CONTROL!$C$27, 0.0021, 0)</f>
        <v>80.501099999999994</v>
      </c>
      <c r="C475" s="14">
        <f>80.0668 * CHOOSE(CONTROL!$C$9, $D$9, 100%, $F$9) + CHOOSE(CONTROL!$C$27, 0.0021, 0)</f>
        <v>80.068899999999999</v>
      </c>
      <c r="D475" s="14">
        <f>80.0668 * CHOOSE(CONTROL!$C$9, $D$9, 100%, $F$9) + CHOOSE(CONTROL!$C$27, 0.0021, 0)</f>
        <v>80.068899999999999</v>
      </c>
      <c r="E475" s="14">
        <f>79.9301 * CHOOSE(CONTROL!$C$9, $D$9, 100%, $F$9) + CHOOSE(CONTROL!$C$27, 0.0021, 0)</f>
        <v>79.932199999999995</v>
      </c>
      <c r="F475" s="14">
        <f>79.9301 * CHOOSE(CONTROL!$C$9, $D$9, 100%, $F$9) + CHOOSE(CONTROL!$C$27, 0.0021, 0)</f>
        <v>79.932199999999995</v>
      </c>
      <c r="G475" s="14">
        <f>80.2015 * CHOOSE(CONTROL!$C$9, $D$9, 100%, $F$9) + CHOOSE(CONTROL!$C$27, 0.0021, 0)</f>
        <v>80.203599999999994</v>
      </c>
      <c r="H475" s="14">
        <f>80.0668 * CHOOSE(CONTROL!$C$9, $D$9, 100%, $F$9) + CHOOSE(CONTROL!$C$27, 0.0021, 0)</f>
        <v>80.068899999999999</v>
      </c>
      <c r="I475" s="14">
        <f>80.0668 * CHOOSE(CONTROL!$C$9, $D$9, 100%, $F$9) + CHOOSE(CONTROL!$C$27, 0.0021, 0)</f>
        <v>80.068899999999999</v>
      </c>
      <c r="J475" s="14">
        <f>80.0668 * CHOOSE(CONTROL!$C$9, $D$9, 100%, $F$9) + CHOOSE(CONTROL!$C$27, 0.0021, 0)</f>
        <v>80.068899999999999</v>
      </c>
      <c r="K475" s="14">
        <f>80.0668 * CHOOSE(CONTROL!$C$9, $D$9, 100%, $F$9) + CHOOSE(CONTROL!$C$27, 0.0021, 0)</f>
        <v>80.068899999999999</v>
      </c>
      <c r="L475" s="14"/>
    </row>
    <row r="476" spans="1:12" ht="15.75" x14ac:dyDescent="0.25">
      <c r="A476" s="33">
        <v>55426</v>
      </c>
      <c r="B476" s="14">
        <f>82.0893 * CHOOSE(CONTROL!$C$9, $D$9, 100%, $F$9) + CHOOSE(CONTROL!$C$27, 0.0021, 0)</f>
        <v>82.091399999999993</v>
      </c>
      <c r="C476" s="14">
        <f>81.6571 * CHOOSE(CONTROL!$C$9, $D$9, 100%, $F$9) + CHOOSE(CONTROL!$C$27, 0.0021, 0)</f>
        <v>81.659199999999998</v>
      </c>
      <c r="D476" s="14">
        <f>81.6571 * CHOOSE(CONTROL!$C$9, $D$9, 100%, $F$9) + CHOOSE(CONTROL!$C$27, 0.0021, 0)</f>
        <v>81.659199999999998</v>
      </c>
      <c r="E476" s="14">
        <f>81.5204 * CHOOSE(CONTROL!$C$9, $D$9, 100%, $F$9) + CHOOSE(CONTROL!$C$27, 0.0021, 0)</f>
        <v>81.522499999999994</v>
      </c>
      <c r="F476" s="14">
        <f>81.5204 * CHOOSE(CONTROL!$C$9, $D$9, 100%, $F$9) + CHOOSE(CONTROL!$C$27, 0.0021, 0)</f>
        <v>81.522499999999994</v>
      </c>
      <c r="G476" s="14">
        <f>81.7918 * CHOOSE(CONTROL!$C$9, $D$9, 100%, $F$9) + CHOOSE(CONTROL!$C$27, 0.0021, 0)</f>
        <v>81.793899999999994</v>
      </c>
      <c r="H476" s="14">
        <f>81.6571 * CHOOSE(CONTROL!$C$9, $D$9, 100%, $F$9) + CHOOSE(CONTROL!$C$27, 0.0021, 0)</f>
        <v>81.659199999999998</v>
      </c>
      <c r="I476" s="14">
        <f>81.6571 * CHOOSE(CONTROL!$C$9, $D$9, 100%, $F$9) + CHOOSE(CONTROL!$C$27, 0.0021, 0)</f>
        <v>81.659199999999998</v>
      </c>
      <c r="J476" s="14">
        <f>81.6571 * CHOOSE(CONTROL!$C$9, $D$9, 100%, $F$9) + CHOOSE(CONTROL!$C$27, 0.0021, 0)</f>
        <v>81.659199999999998</v>
      </c>
      <c r="K476" s="14">
        <f>81.6571 * CHOOSE(CONTROL!$C$9, $D$9, 100%, $F$9) + CHOOSE(CONTROL!$C$27, 0.0021, 0)</f>
        <v>81.659199999999998</v>
      </c>
      <c r="L476" s="14"/>
    </row>
    <row r="477" spans="1:12" ht="15.75" x14ac:dyDescent="0.25">
      <c r="A477" s="33">
        <v>55457</v>
      </c>
      <c r="B477" s="14">
        <f>84.1024 * CHOOSE(CONTROL!$C$9, $D$9, 100%, $F$9) + CHOOSE(CONTROL!$C$27, 0.0021, 0)</f>
        <v>84.104500000000002</v>
      </c>
      <c r="C477" s="14">
        <f>83.6702 * CHOOSE(CONTROL!$C$9, $D$9, 100%, $F$9) + CHOOSE(CONTROL!$C$27, 0.0021, 0)</f>
        <v>83.672299999999993</v>
      </c>
      <c r="D477" s="14">
        <f>83.6702 * CHOOSE(CONTROL!$C$9, $D$9, 100%, $F$9) + CHOOSE(CONTROL!$C$27, 0.0021, 0)</f>
        <v>83.672299999999993</v>
      </c>
      <c r="E477" s="14">
        <f>83.5335 * CHOOSE(CONTROL!$C$9, $D$9, 100%, $F$9) + CHOOSE(CONTROL!$C$27, 0.0021, 0)</f>
        <v>83.535600000000002</v>
      </c>
      <c r="F477" s="14">
        <f>83.5335 * CHOOSE(CONTROL!$C$9, $D$9, 100%, $F$9) + CHOOSE(CONTROL!$C$27, 0.0021, 0)</f>
        <v>83.535600000000002</v>
      </c>
      <c r="G477" s="14">
        <f>83.8049 * CHOOSE(CONTROL!$C$9, $D$9, 100%, $F$9) + CHOOSE(CONTROL!$C$27, 0.0021, 0)</f>
        <v>83.807000000000002</v>
      </c>
      <c r="H477" s="14">
        <f>83.6702 * CHOOSE(CONTROL!$C$9, $D$9, 100%, $F$9) + CHOOSE(CONTROL!$C$27, 0.0021, 0)</f>
        <v>83.672299999999993</v>
      </c>
      <c r="I477" s="14">
        <f>83.6702 * CHOOSE(CONTROL!$C$9, $D$9, 100%, $F$9) + CHOOSE(CONTROL!$C$27, 0.0021, 0)</f>
        <v>83.672299999999993</v>
      </c>
      <c r="J477" s="14">
        <f>83.6702 * CHOOSE(CONTROL!$C$9, $D$9, 100%, $F$9) + CHOOSE(CONTROL!$C$27, 0.0021, 0)</f>
        <v>83.672299999999993</v>
      </c>
      <c r="K477" s="14">
        <f>83.6702 * CHOOSE(CONTROL!$C$9, $D$9, 100%, $F$9) + CHOOSE(CONTROL!$C$27, 0.0021, 0)</f>
        <v>83.672299999999993</v>
      </c>
      <c r="L477" s="14"/>
    </row>
    <row r="478" spans="1:12" ht="15.75" x14ac:dyDescent="0.25">
      <c r="A478" s="33">
        <v>55487</v>
      </c>
      <c r="B478" s="14">
        <f>84.2914 * CHOOSE(CONTROL!$C$9, $D$9, 100%, $F$9) + CHOOSE(CONTROL!$C$27, 0.0021, 0)</f>
        <v>84.293499999999995</v>
      </c>
      <c r="C478" s="14">
        <f>83.8592 * CHOOSE(CONTROL!$C$9, $D$9, 100%, $F$9) + CHOOSE(CONTROL!$C$27, 0.0021, 0)</f>
        <v>83.8613</v>
      </c>
      <c r="D478" s="14">
        <f>83.8592 * CHOOSE(CONTROL!$C$9, $D$9, 100%, $F$9) + CHOOSE(CONTROL!$C$27, 0.0021, 0)</f>
        <v>83.8613</v>
      </c>
      <c r="E478" s="14">
        <f>83.7225 * CHOOSE(CONTROL!$C$9, $D$9, 100%, $F$9) + CHOOSE(CONTROL!$C$27, 0.0021, 0)</f>
        <v>83.724599999999995</v>
      </c>
      <c r="F478" s="14">
        <f>83.7225 * CHOOSE(CONTROL!$C$9, $D$9, 100%, $F$9) + CHOOSE(CONTROL!$C$27, 0.0021, 0)</f>
        <v>83.724599999999995</v>
      </c>
      <c r="G478" s="14">
        <f>83.9939 * CHOOSE(CONTROL!$C$9, $D$9, 100%, $F$9) + CHOOSE(CONTROL!$C$27, 0.0021, 0)</f>
        <v>83.995999999999995</v>
      </c>
      <c r="H478" s="14">
        <f>83.8592 * CHOOSE(CONTROL!$C$9, $D$9, 100%, $F$9) + CHOOSE(CONTROL!$C$27, 0.0021, 0)</f>
        <v>83.8613</v>
      </c>
      <c r="I478" s="14">
        <f>83.8592 * CHOOSE(CONTROL!$C$9, $D$9, 100%, $F$9) + CHOOSE(CONTROL!$C$27, 0.0021, 0)</f>
        <v>83.8613</v>
      </c>
      <c r="J478" s="14">
        <f>83.8592 * CHOOSE(CONTROL!$C$9, $D$9, 100%, $F$9) + CHOOSE(CONTROL!$C$27, 0.0021, 0)</f>
        <v>83.8613</v>
      </c>
      <c r="K478" s="14">
        <f>83.8592 * CHOOSE(CONTROL!$C$9, $D$9, 100%, $F$9) + CHOOSE(CONTROL!$C$27, 0.0021, 0)</f>
        <v>83.8613</v>
      </c>
      <c r="L478" s="14"/>
    </row>
    <row r="479" spans="1:12" ht="15.75" x14ac:dyDescent="0.25">
      <c r="A479" s="33">
        <v>55518</v>
      </c>
      <c r="B479" s="14">
        <f>82.6836 * CHOOSE(CONTROL!$C$9, $D$9, 100%, $F$9) + CHOOSE(CONTROL!$C$27, 0.0021, 0)</f>
        <v>82.685699999999997</v>
      </c>
      <c r="C479" s="14">
        <f>82.2514 * CHOOSE(CONTROL!$C$9, $D$9, 100%, $F$9) + CHOOSE(CONTROL!$C$27, 0.0021, 0)</f>
        <v>82.253500000000003</v>
      </c>
      <c r="D479" s="14">
        <f>82.2514 * CHOOSE(CONTROL!$C$9, $D$9, 100%, $F$9) + CHOOSE(CONTROL!$C$27, 0.0021, 0)</f>
        <v>82.253500000000003</v>
      </c>
      <c r="E479" s="14">
        <f>82.1147 * CHOOSE(CONTROL!$C$9, $D$9, 100%, $F$9) + CHOOSE(CONTROL!$C$27, 0.0021, 0)</f>
        <v>82.116799999999998</v>
      </c>
      <c r="F479" s="14">
        <f>82.1147 * CHOOSE(CONTROL!$C$9, $D$9, 100%, $F$9) + CHOOSE(CONTROL!$C$27, 0.0021, 0)</f>
        <v>82.116799999999998</v>
      </c>
      <c r="G479" s="14">
        <f>82.3861 * CHOOSE(CONTROL!$C$9, $D$9, 100%, $F$9) + CHOOSE(CONTROL!$C$27, 0.0021, 0)</f>
        <v>82.388199999999998</v>
      </c>
      <c r="H479" s="14">
        <f>82.2514 * CHOOSE(CONTROL!$C$9, $D$9, 100%, $F$9) + CHOOSE(CONTROL!$C$27, 0.0021, 0)</f>
        <v>82.253500000000003</v>
      </c>
      <c r="I479" s="14">
        <f>82.2514 * CHOOSE(CONTROL!$C$9, $D$9, 100%, $F$9) + CHOOSE(CONTROL!$C$27, 0.0021, 0)</f>
        <v>82.253500000000003</v>
      </c>
      <c r="J479" s="14">
        <f>82.2514 * CHOOSE(CONTROL!$C$9, $D$9, 100%, $F$9) + CHOOSE(CONTROL!$C$27, 0.0021, 0)</f>
        <v>82.253500000000003</v>
      </c>
      <c r="K479" s="14">
        <f>82.2514 * CHOOSE(CONTROL!$C$9, $D$9, 100%, $F$9) + CHOOSE(CONTROL!$C$27, 0.0021, 0)</f>
        <v>82.253500000000003</v>
      </c>
      <c r="L479" s="14"/>
    </row>
    <row r="480" spans="1:12" ht="15.75" x14ac:dyDescent="0.25">
      <c r="A480" s="33">
        <v>55549</v>
      </c>
      <c r="B480" s="14">
        <f>81.6674 * CHOOSE(CONTROL!$C$9, $D$9, 100%, $F$9) + CHOOSE(CONTROL!$C$27, 0.0021, 0)</f>
        <v>81.669499999999999</v>
      </c>
      <c r="C480" s="14">
        <f>81.2351 * CHOOSE(CONTROL!$C$9, $D$9, 100%, $F$9) + CHOOSE(CONTROL!$C$27, 0.0021, 0)</f>
        <v>81.237200000000001</v>
      </c>
      <c r="D480" s="14">
        <f>81.2351 * CHOOSE(CONTROL!$C$9, $D$9, 100%, $F$9) + CHOOSE(CONTROL!$C$27, 0.0021, 0)</f>
        <v>81.237200000000001</v>
      </c>
      <c r="E480" s="14">
        <f>81.0985 * CHOOSE(CONTROL!$C$9, $D$9, 100%, $F$9) + CHOOSE(CONTROL!$C$27, 0.0021, 0)</f>
        <v>81.1006</v>
      </c>
      <c r="F480" s="14">
        <f>81.0985 * CHOOSE(CONTROL!$C$9, $D$9, 100%, $F$9) + CHOOSE(CONTROL!$C$27, 0.0021, 0)</f>
        <v>81.1006</v>
      </c>
      <c r="G480" s="14">
        <f>81.3699 * CHOOSE(CONTROL!$C$9, $D$9, 100%, $F$9) + CHOOSE(CONTROL!$C$27, 0.0021, 0)</f>
        <v>81.372</v>
      </c>
      <c r="H480" s="14">
        <f>81.2351 * CHOOSE(CONTROL!$C$9, $D$9, 100%, $F$9) + CHOOSE(CONTROL!$C$27, 0.0021, 0)</f>
        <v>81.237200000000001</v>
      </c>
      <c r="I480" s="14">
        <f>81.2351 * CHOOSE(CONTROL!$C$9, $D$9, 100%, $F$9) + CHOOSE(CONTROL!$C$27, 0.0021, 0)</f>
        <v>81.237200000000001</v>
      </c>
      <c r="J480" s="14">
        <f>81.2351 * CHOOSE(CONTROL!$C$9, $D$9, 100%, $F$9) + CHOOSE(CONTROL!$C$27, 0.0021, 0)</f>
        <v>81.237200000000001</v>
      </c>
      <c r="K480" s="14">
        <f>81.2351 * CHOOSE(CONTROL!$C$9, $D$9, 100%, $F$9) + CHOOSE(CONTROL!$C$27, 0.0021, 0)</f>
        <v>81.237200000000001</v>
      </c>
      <c r="L480" s="14"/>
    </row>
    <row r="481" spans="1:12" ht="15.75" x14ac:dyDescent="0.25">
      <c r="A481" s="33">
        <v>55577</v>
      </c>
      <c r="B481" s="14">
        <f>79.4222 * CHOOSE(CONTROL!$C$9, $D$9, 100%, $F$9) + CHOOSE(CONTROL!$C$27, 0.0021, 0)</f>
        <v>79.424300000000002</v>
      </c>
      <c r="C481" s="14">
        <f>78.99 * CHOOSE(CONTROL!$C$9, $D$9, 100%, $F$9) + CHOOSE(CONTROL!$C$27, 0.0021, 0)</f>
        <v>78.992099999999994</v>
      </c>
      <c r="D481" s="14">
        <f>78.99 * CHOOSE(CONTROL!$C$9, $D$9, 100%, $F$9) + CHOOSE(CONTROL!$C$27, 0.0021, 0)</f>
        <v>78.992099999999994</v>
      </c>
      <c r="E481" s="14">
        <f>78.8533 * CHOOSE(CONTROL!$C$9, $D$9, 100%, $F$9) + CHOOSE(CONTROL!$C$27, 0.0021, 0)</f>
        <v>78.855400000000003</v>
      </c>
      <c r="F481" s="14">
        <f>78.8533 * CHOOSE(CONTROL!$C$9, $D$9, 100%, $F$9) + CHOOSE(CONTROL!$C$27, 0.0021, 0)</f>
        <v>78.855400000000003</v>
      </c>
      <c r="G481" s="14">
        <f>79.1247 * CHOOSE(CONTROL!$C$9, $D$9, 100%, $F$9) + CHOOSE(CONTROL!$C$27, 0.0021, 0)</f>
        <v>79.126800000000003</v>
      </c>
      <c r="H481" s="14">
        <f>78.99 * CHOOSE(CONTROL!$C$9, $D$9, 100%, $F$9) + CHOOSE(CONTROL!$C$27, 0.0021, 0)</f>
        <v>78.992099999999994</v>
      </c>
      <c r="I481" s="14">
        <f>78.99 * CHOOSE(CONTROL!$C$9, $D$9, 100%, $F$9) + CHOOSE(CONTROL!$C$27, 0.0021, 0)</f>
        <v>78.992099999999994</v>
      </c>
      <c r="J481" s="14">
        <f>78.99 * CHOOSE(CONTROL!$C$9, $D$9, 100%, $F$9) + CHOOSE(CONTROL!$C$27, 0.0021, 0)</f>
        <v>78.992099999999994</v>
      </c>
      <c r="K481" s="14">
        <f>78.99 * CHOOSE(CONTROL!$C$9, $D$9, 100%, $F$9) + CHOOSE(CONTROL!$C$27, 0.0021, 0)</f>
        <v>78.992099999999994</v>
      </c>
      <c r="L481" s="14"/>
    </row>
    <row r="482" spans="1:12" ht="15.75" x14ac:dyDescent="0.25">
      <c r="A482" s="33">
        <v>55609</v>
      </c>
      <c r="B482" s="14">
        <f>78.4954 * CHOOSE(CONTROL!$C$9, $D$9, 100%, $F$9) + CHOOSE(CONTROL!$C$27, 0.0021, 0)</f>
        <v>78.497500000000002</v>
      </c>
      <c r="C482" s="14">
        <f>78.0632 * CHOOSE(CONTROL!$C$9, $D$9, 100%, $F$9) + CHOOSE(CONTROL!$C$27, 0.0021, 0)</f>
        <v>78.065299999999993</v>
      </c>
      <c r="D482" s="14">
        <f>78.0632 * CHOOSE(CONTROL!$C$9, $D$9, 100%, $F$9) + CHOOSE(CONTROL!$C$27, 0.0021, 0)</f>
        <v>78.065299999999993</v>
      </c>
      <c r="E482" s="14">
        <f>77.9265 * CHOOSE(CONTROL!$C$9, $D$9, 100%, $F$9) + CHOOSE(CONTROL!$C$27, 0.0021, 0)</f>
        <v>77.928600000000003</v>
      </c>
      <c r="F482" s="14">
        <f>77.9265 * CHOOSE(CONTROL!$C$9, $D$9, 100%, $F$9) + CHOOSE(CONTROL!$C$27, 0.0021, 0)</f>
        <v>77.928600000000003</v>
      </c>
      <c r="G482" s="14">
        <f>78.1979 * CHOOSE(CONTROL!$C$9, $D$9, 100%, $F$9) + CHOOSE(CONTROL!$C$27, 0.0021, 0)</f>
        <v>78.2</v>
      </c>
      <c r="H482" s="14">
        <f>78.0632 * CHOOSE(CONTROL!$C$9, $D$9, 100%, $F$9) + CHOOSE(CONTROL!$C$27, 0.0021, 0)</f>
        <v>78.065299999999993</v>
      </c>
      <c r="I482" s="14">
        <f>78.0632 * CHOOSE(CONTROL!$C$9, $D$9, 100%, $F$9) + CHOOSE(CONTROL!$C$27, 0.0021, 0)</f>
        <v>78.065299999999993</v>
      </c>
      <c r="J482" s="14">
        <f>78.0632 * CHOOSE(CONTROL!$C$9, $D$9, 100%, $F$9) + CHOOSE(CONTROL!$C$27, 0.0021, 0)</f>
        <v>78.065299999999993</v>
      </c>
      <c r="K482" s="14">
        <f>78.0632 * CHOOSE(CONTROL!$C$9, $D$9, 100%, $F$9) + CHOOSE(CONTROL!$C$27, 0.0021, 0)</f>
        <v>78.065299999999993</v>
      </c>
      <c r="L482" s="14"/>
    </row>
    <row r="483" spans="1:12" ht="15.75" x14ac:dyDescent="0.25">
      <c r="A483" s="33">
        <v>55639</v>
      </c>
      <c r="B483" s="14">
        <f>77.3888 * CHOOSE(CONTROL!$C$9, $D$9, 100%, $F$9) + CHOOSE(CONTROL!$C$27, 0.0021, 0)</f>
        <v>77.390900000000002</v>
      </c>
      <c r="C483" s="14">
        <f>76.9566 * CHOOSE(CONTROL!$C$9, $D$9, 100%, $F$9) + CHOOSE(CONTROL!$C$27, 0.0021, 0)</f>
        <v>76.958699999999993</v>
      </c>
      <c r="D483" s="14">
        <f>76.9566 * CHOOSE(CONTROL!$C$9, $D$9, 100%, $F$9) + CHOOSE(CONTROL!$C$27, 0.0021, 0)</f>
        <v>76.958699999999993</v>
      </c>
      <c r="E483" s="14">
        <f>76.8199 * CHOOSE(CONTROL!$C$9, $D$9, 100%, $F$9) + CHOOSE(CONTROL!$C$27, 0.0021, 0)</f>
        <v>76.822000000000003</v>
      </c>
      <c r="F483" s="14">
        <f>76.8199 * CHOOSE(CONTROL!$C$9, $D$9, 100%, $F$9) + CHOOSE(CONTROL!$C$27, 0.0021, 0)</f>
        <v>76.822000000000003</v>
      </c>
      <c r="G483" s="14">
        <f>77.0913 * CHOOSE(CONTROL!$C$9, $D$9, 100%, $F$9) + CHOOSE(CONTROL!$C$27, 0.0021, 0)</f>
        <v>77.093400000000003</v>
      </c>
      <c r="H483" s="14">
        <f>76.9566 * CHOOSE(CONTROL!$C$9, $D$9, 100%, $F$9) + CHOOSE(CONTROL!$C$27, 0.0021, 0)</f>
        <v>76.958699999999993</v>
      </c>
      <c r="I483" s="14">
        <f>76.9566 * CHOOSE(CONTROL!$C$9, $D$9, 100%, $F$9) + CHOOSE(CONTROL!$C$27, 0.0021, 0)</f>
        <v>76.958699999999993</v>
      </c>
      <c r="J483" s="14">
        <f>76.9566 * CHOOSE(CONTROL!$C$9, $D$9, 100%, $F$9) + CHOOSE(CONTROL!$C$27, 0.0021, 0)</f>
        <v>76.958699999999993</v>
      </c>
      <c r="K483" s="14">
        <f>76.9566 * CHOOSE(CONTROL!$C$9, $D$9, 100%, $F$9) + CHOOSE(CONTROL!$C$27, 0.0021, 0)</f>
        <v>76.958699999999993</v>
      </c>
      <c r="L483" s="14"/>
    </row>
    <row r="484" spans="1:12" ht="15.75" x14ac:dyDescent="0.25">
      <c r="A484" s="33">
        <v>55670</v>
      </c>
      <c r="B484" s="14">
        <f>78.9659 * CHOOSE(CONTROL!$C$9, $D$9, 100%, $F$9) + CHOOSE(CONTROL!$C$27, 0.0021, 0)</f>
        <v>78.968000000000004</v>
      </c>
      <c r="C484" s="14">
        <f>78.5336 * CHOOSE(CONTROL!$C$9, $D$9, 100%, $F$9) + CHOOSE(CONTROL!$C$27, 0.0021, 0)</f>
        <v>78.535700000000006</v>
      </c>
      <c r="D484" s="14">
        <f>78.5336 * CHOOSE(CONTROL!$C$9, $D$9, 100%, $F$9) + CHOOSE(CONTROL!$C$27, 0.0021, 0)</f>
        <v>78.535700000000006</v>
      </c>
      <c r="E484" s="14">
        <f>78.397 * CHOOSE(CONTROL!$C$9, $D$9, 100%, $F$9) + CHOOSE(CONTROL!$C$27, 0.0021, 0)</f>
        <v>78.399100000000004</v>
      </c>
      <c r="F484" s="14">
        <f>78.397 * CHOOSE(CONTROL!$C$9, $D$9, 100%, $F$9) + CHOOSE(CONTROL!$C$27, 0.0021, 0)</f>
        <v>78.399100000000004</v>
      </c>
      <c r="G484" s="14">
        <f>78.6683 * CHOOSE(CONTROL!$C$9, $D$9, 100%, $F$9) + CHOOSE(CONTROL!$C$27, 0.0021, 0)</f>
        <v>78.670400000000001</v>
      </c>
      <c r="H484" s="14">
        <f>78.5336 * CHOOSE(CONTROL!$C$9, $D$9, 100%, $F$9) + CHOOSE(CONTROL!$C$27, 0.0021, 0)</f>
        <v>78.535700000000006</v>
      </c>
      <c r="I484" s="14">
        <f>78.5336 * CHOOSE(CONTROL!$C$9, $D$9, 100%, $F$9) + CHOOSE(CONTROL!$C$27, 0.0021, 0)</f>
        <v>78.535700000000006</v>
      </c>
      <c r="J484" s="14">
        <f>78.5336 * CHOOSE(CONTROL!$C$9, $D$9, 100%, $F$9) + CHOOSE(CONTROL!$C$27, 0.0021, 0)</f>
        <v>78.535700000000006</v>
      </c>
      <c r="K484" s="14">
        <f>78.5336 * CHOOSE(CONTROL!$C$9, $D$9, 100%, $F$9) + CHOOSE(CONTROL!$C$27, 0.0021, 0)</f>
        <v>78.535700000000006</v>
      </c>
      <c r="L484" s="14"/>
    </row>
    <row r="485" spans="1:12" ht="15.75" x14ac:dyDescent="0.25">
      <c r="A485" s="33">
        <v>55700</v>
      </c>
      <c r="B485" s="14">
        <f>79.9105 * CHOOSE(CONTROL!$C$9, $D$9, 100%, $F$9) + CHOOSE(CONTROL!$C$27, 0.0021, 0)</f>
        <v>79.912599999999998</v>
      </c>
      <c r="C485" s="14">
        <f>79.4782 * CHOOSE(CONTROL!$C$9, $D$9, 100%, $F$9) + CHOOSE(CONTROL!$C$27, 0.0021, 0)</f>
        <v>79.4803</v>
      </c>
      <c r="D485" s="14">
        <f>79.4782 * CHOOSE(CONTROL!$C$9, $D$9, 100%, $F$9) + CHOOSE(CONTROL!$C$27, 0.0021, 0)</f>
        <v>79.4803</v>
      </c>
      <c r="E485" s="14">
        <f>79.3416 * CHOOSE(CONTROL!$C$9, $D$9, 100%, $F$9) + CHOOSE(CONTROL!$C$27, 0.0021, 0)</f>
        <v>79.343699999999998</v>
      </c>
      <c r="F485" s="14">
        <f>79.3416 * CHOOSE(CONTROL!$C$9, $D$9, 100%, $F$9) + CHOOSE(CONTROL!$C$27, 0.0021, 0)</f>
        <v>79.343699999999998</v>
      </c>
      <c r="G485" s="14">
        <f>79.6129 * CHOOSE(CONTROL!$C$9, $D$9, 100%, $F$9) + CHOOSE(CONTROL!$C$27, 0.0021, 0)</f>
        <v>79.614999999999995</v>
      </c>
      <c r="H485" s="14">
        <f>79.4782 * CHOOSE(CONTROL!$C$9, $D$9, 100%, $F$9) + CHOOSE(CONTROL!$C$27, 0.0021, 0)</f>
        <v>79.4803</v>
      </c>
      <c r="I485" s="14">
        <f>79.4782 * CHOOSE(CONTROL!$C$9, $D$9, 100%, $F$9) + CHOOSE(CONTROL!$C$27, 0.0021, 0)</f>
        <v>79.4803</v>
      </c>
      <c r="J485" s="14">
        <f>79.4782 * CHOOSE(CONTROL!$C$9, $D$9, 100%, $F$9) + CHOOSE(CONTROL!$C$27, 0.0021, 0)</f>
        <v>79.4803</v>
      </c>
      <c r="K485" s="14">
        <f>79.4782 * CHOOSE(CONTROL!$C$9, $D$9, 100%, $F$9) + CHOOSE(CONTROL!$C$27, 0.0021, 0)</f>
        <v>79.4803</v>
      </c>
      <c r="L485" s="14"/>
    </row>
    <row r="486" spans="1:12" ht="15.75" x14ac:dyDescent="0.25">
      <c r="A486" s="33">
        <v>55731</v>
      </c>
      <c r="B486" s="14">
        <f>81.4687 * CHOOSE(CONTROL!$C$9, $D$9, 100%, $F$9) + CHOOSE(CONTROL!$C$27, 0.0021, 0)</f>
        <v>81.470799999999997</v>
      </c>
      <c r="C486" s="14">
        <f>81.0365 * CHOOSE(CONTROL!$C$9, $D$9, 100%, $F$9) + CHOOSE(CONTROL!$C$27, 0.0021, 0)</f>
        <v>81.038600000000002</v>
      </c>
      <c r="D486" s="14">
        <f>81.0365 * CHOOSE(CONTROL!$C$9, $D$9, 100%, $F$9) + CHOOSE(CONTROL!$C$27, 0.0021, 0)</f>
        <v>81.038600000000002</v>
      </c>
      <c r="E486" s="14">
        <f>80.8998 * CHOOSE(CONTROL!$C$9, $D$9, 100%, $F$9) + CHOOSE(CONTROL!$C$27, 0.0021, 0)</f>
        <v>80.901899999999998</v>
      </c>
      <c r="F486" s="14">
        <f>80.8998 * CHOOSE(CONTROL!$C$9, $D$9, 100%, $F$9) + CHOOSE(CONTROL!$C$27, 0.0021, 0)</f>
        <v>80.901899999999998</v>
      </c>
      <c r="G486" s="14">
        <f>81.1712 * CHOOSE(CONTROL!$C$9, $D$9, 100%, $F$9) + CHOOSE(CONTROL!$C$27, 0.0021, 0)</f>
        <v>81.173299999999998</v>
      </c>
      <c r="H486" s="14">
        <f>81.0365 * CHOOSE(CONTROL!$C$9, $D$9, 100%, $F$9) + CHOOSE(CONTROL!$C$27, 0.0021, 0)</f>
        <v>81.038600000000002</v>
      </c>
      <c r="I486" s="14">
        <f>81.0365 * CHOOSE(CONTROL!$C$9, $D$9, 100%, $F$9) + CHOOSE(CONTROL!$C$27, 0.0021, 0)</f>
        <v>81.038600000000002</v>
      </c>
      <c r="J486" s="14">
        <f>81.0365 * CHOOSE(CONTROL!$C$9, $D$9, 100%, $F$9) + CHOOSE(CONTROL!$C$27, 0.0021, 0)</f>
        <v>81.038600000000002</v>
      </c>
      <c r="K486" s="14">
        <f>81.0365 * CHOOSE(CONTROL!$C$9, $D$9, 100%, $F$9) + CHOOSE(CONTROL!$C$27, 0.0021, 0)</f>
        <v>81.038600000000002</v>
      </c>
      <c r="L486" s="14"/>
    </row>
    <row r="487" spans="1:12" ht="15.75" x14ac:dyDescent="0.25">
      <c r="A487" s="33">
        <v>55762</v>
      </c>
      <c r="B487" s="14">
        <f>81.9443 * CHOOSE(CONTROL!$C$9, $D$9, 100%, $F$9) + CHOOSE(CONTROL!$C$27, 0.0021, 0)</f>
        <v>81.946399999999997</v>
      </c>
      <c r="C487" s="14">
        <f>81.5121 * CHOOSE(CONTROL!$C$9, $D$9, 100%, $F$9) + CHOOSE(CONTROL!$C$27, 0.0021, 0)</f>
        <v>81.514200000000002</v>
      </c>
      <c r="D487" s="14">
        <f>81.5121 * CHOOSE(CONTROL!$C$9, $D$9, 100%, $F$9) + CHOOSE(CONTROL!$C$27, 0.0021, 0)</f>
        <v>81.514200000000002</v>
      </c>
      <c r="E487" s="14">
        <f>81.3754 * CHOOSE(CONTROL!$C$9, $D$9, 100%, $F$9) + CHOOSE(CONTROL!$C$27, 0.0021, 0)</f>
        <v>81.377499999999998</v>
      </c>
      <c r="F487" s="14">
        <f>81.3754 * CHOOSE(CONTROL!$C$9, $D$9, 100%, $F$9) + CHOOSE(CONTROL!$C$27, 0.0021, 0)</f>
        <v>81.377499999999998</v>
      </c>
      <c r="G487" s="14">
        <f>81.6468 * CHOOSE(CONTROL!$C$9, $D$9, 100%, $F$9) + CHOOSE(CONTROL!$C$27, 0.0021, 0)</f>
        <v>81.648899999999998</v>
      </c>
      <c r="H487" s="14">
        <f>81.5121 * CHOOSE(CONTROL!$C$9, $D$9, 100%, $F$9) + CHOOSE(CONTROL!$C$27, 0.0021, 0)</f>
        <v>81.514200000000002</v>
      </c>
      <c r="I487" s="14">
        <f>81.5121 * CHOOSE(CONTROL!$C$9, $D$9, 100%, $F$9) + CHOOSE(CONTROL!$C$27, 0.0021, 0)</f>
        <v>81.514200000000002</v>
      </c>
      <c r="J487" s="14">
        <f>81.5121 * CHOOSE(CONTROL!$C$9, $D$9, 100%, $F$9) + CHOOSE(CONTROL!$C$27, 0.0021, 0)</f>
        <v>81.514200000000002</v>
      </c>
      <c r="K487" s="14">
        <f>81.5121 * CHOOSE(CONTROL!$C$9, $D$9, 100%, $F$9) + CHOOSE(CONTROL!$C$27, 0.0021, 0)</f>
        <v>81.514200000000002</v>
      </c>
      <c r="L487" s="14"/>
    </row>
    <row r="488" spans="1:12" ht="15.75" x14ac:dyDescent="0.25">
      <c r="A488" s="33">
        <v>55792</v>
      </c>
      <c r="B488" s="14">
        <f>83.5641 * CHOOSE(CONTROL!$C$9, $D$9, 100%, $F$9) + CHOOSE(CONTROL!$C$27, 0.0021, 0)</f>
        <v>83.566199999999995</v>
      </c>
      <c r="C488" s="14">
        <f>83.1318 * CHOOSE(CONTROL!$C$9, $D$9, 100%, $F$9) + CHOOSE(CONTROL!$C$27, 0.0021, 0)</f>
        <v>83.133899999999997</v>
      </c>
      <c r="D488" s="14">
        <f>83.1318 * CHOOSE(CONTROL!$C$9, $D$9, 100%, $F$9) + CHOOSE(CONTROL!$C$27, 0.0021, 0)</f>
        <v>83.133899999999997</v>
      </c>
      <c r="E488" s="14">
        <f>82.9951 * CHOOSE(CONTROL!$C$9, $D$9, 100%, $F$9) + CHOOSE(CONTROL!$C$27, 0.0021, 0)</f>
        <v>82.997199999999992</v>
      </c>
      <c r="F488" s="14">
        <f>82.9951 * CHOOSE(CONTROL!$C$9, $D$9, 100%, $F$9) + CHOOSE(CONTROL!$C$27, 0.0021, 0)</f>
        <v>82.997199999999992</v>
      </c>
      <c r="G488" s="14">
        <f>83.2665 * CHOOSE(CONTROL!$C$9, $D$9, 100%, $F$9) + CHOOSE(CONTROL!$C$27, 0.0021, 0)</f>
        <v>83.268599999999992</v>
      </c>
      <c r="H488" s="14">
        <f>83.1318 * CHOOSE(CONTROL!$C$9, $D$9, 100%, $F$9) + CHOOSE(CONTROL!$C$27, 0.0021, 0)</f>
        <v>83.133899999999997</v>
      </c>
      <c r="I488" s="14">
        <f>83.1318 * CHOOSE(CONTROL!$C$9, $D$9, 100%, $F$9) + CHOOSE(CONTROL!$C$27, 0.0021, 0)</f>
        <v>83.133899999999997</v>
      </c>
      <c r="J488" s="14">
        <f>83.1318 * CHOOSE(CONTROL!$C$9, $D$9, 100%, $F$9) + CHOOSE(CONTROL!$C$27, 0.0021, 0)</f>
        <v>83.133899999999997</v>
      </c>
      <c r="K488" s="14">
        <f>83.1318 * CHOOSE(CONTROL!$C$9, $D$9, 100%, $F$9) + CHOOSE(CONTROL!$C$27, 0.0021, 0)</f>
        <v>83.133899999999997</v>
      </c>
      <c r="L488" s="14"/>
    </row>
    <row r="489" spans="1:12" ht="15.75" x14ac:dyDescent="0.25">
      <c r="A489" s="33">
        <v>55823</v>
      </c>
      <c r="B489" s="14">
        <f>85.6143 * CHOOSE(CONTROL!$C$9, $D$9, 100%, $F$9) + CHOOSE(CONTROL!$C$27, 0.0021, 0)</f>
        <v>85.616399999999999</v>
      </c>
      <c r="C489" s="14">
        <f>85.1821 * CHOOSE(CONTROL!$C$9, $D$9, 100%, $F$9) + CHOOSE(CONTROL!$C$27, 0.0021, 0)</f>
        <v>85.184200000000004</v>
      </c>
      <c r="D489" s="14">
        <f>85.1821 * CHOOSE(CONTROL!$C$9, $D$9, 100%, $F$9) + CHOOSE(CONTROL!$C$27, 0.0021, 0)</f>
        <v>85.184200000000004</v>
      </c>
      <c r="E489" s="14">
        <f>85.0454 * CHOOSE(CONTROL!$C$9, $D$9, 100%, $F$9) + CHOOSE(CONTROL!$C$27, 0.0021, 0)</f>
        <v>85.047499999999999</v>
      </c>
      <c r="F489" s="14">
        <f>85.0454 * CHOOSE(CONTROL!$C$9, $D$9, 100%, $F$9) + CHOOSE(CONTROL!$C$27, 0.0021, 0)</f>
        <v>85.047499999999999</v>
      </c>
      <c r="G489" s="14">
        <f>85.3168 * CHOOSE(CONTROL!$C$9, $D$9, 100%, $F$9) + CHOOSE(CONTROL!$C$27, 0.0021, 0)</f>
        <v>85.318899999999999</v>
      </c>
      <c r="H489" s="14">
        <f>85.1821 * CHOOSE(CONTROL!$C$9, $D$9, 100%, $F$9) + CHOOSE(CONTROL!$C$27, 0.0021, 0)</f>
        <v>85.184200000000004</v>
      </c>
      <c r="I489" s="14">
        <f>85.1821 * CHOOSE(CONTROL!$C$9, $D$9, 100%, $F$9) + CHOOSE(CONTROL!$C$27, 0.0021, 0)</f>
        <v>85.184200000000004</v>
      </c>
      <c r="J489" s="14">
        <f>85.1821 * CHOOSE(CONTROL!$C$9, $D$9, 100%, $F$9) + CHOOSE(CONTROL!$C$27, 0.0021, 0)</f>
        <v>85.184200000000004</v>
      </c>
      <c r="K489" s="14">
        <f>85.1821 * CHOOSE(CONTROL!$C$9, $D$9, 100%, $F$9) + CHOOSE(CONTROL!$C$27, 0.0021, 0)</f>
        <v>85.184200000000004</v>
      </c>
      <c r="L489" s="14"/>
    </row>
    <row r="490" spans="1:12" ht="15.75" x14ac:dyDescent="0.25">
      <c r="A490" s="33">
        <v>55853</v>
      </c>
      <c r="B490" s="14">
        <f>85.8068 * CHOOSE(CONTROL!$C$9, $D$9, 100%, $F$9) + CHOOSE(CONTROL!$C$27, 0.0021, 0)</f>
        <v>85.808899999999994</v>
      </c>
      <c r="C490" s="14">
        <f>85.3746 * CHOOSE(CONTROL!$C$9, $D$9, 100%, $F$9) + CHOOSE(CONTROL!$C$27, 0.0021, 0)</f>
        <v>85.3767</v>
      </c>
      <c r="D490" s="14">
        <f>85.3746 * CHOOSE(CONTROL!$C$9, $D$9, 100%, $F$9) + CHOOSE(CONTROL!$C$27, 0.0021, 0)</f>
        <v>85.3767</v>
      </c>
      <c r="E490" s="14">
        <f>85.2379 * CHOOSE(CONTROL!$C$9, $D$9, 100%, $F$9) + CHOOSE(CONTROL!$C$27, 0.0021, 0)</f>
        <v>85.24</v>
      </c>
      <c r="F490" s="14">
        <f>85.2379 * CHOOSE(CONTROL!$C$9, $D$9, 100%, $F$9) + CHOOSE(CONTROL!$C$27, 0.0021, 0)</f>
        <v>85.24</v>
      </c>
      <c r="G490" s="14">
        <f>85.5093 * CHOOSE(CONTROL!$C$9, $D$9, 100%, $F$9) + CHOOSE(CONTROL!$C$27, 0.0021, 0)</f>
        <v>85.511399999999995</v>
      </c>
      <c r="H490" s="14">
        <f>85.3746 * CHOOSE(CONTROL!$C$9, $D$9, 100%, $F$9) + CHOOSE(CONTROL!$C$27, 0.0021, 0)</f>
        <v>85.3767</v>
      </c>
      <c r="I490" s="14">
        <f>85.3746 * CHOOSE(CONTROL!$C$9, $D$9, 100%, $F$9) + CHOOSE(CONTROL!$C$27, 0.0021, 0)</f>
        <v>85.3767</v>
      </c>
      <c r="J490" s="14">
        <f>85.3746 * CHOOSE(CONTROL!$C$9, $D$9, 100%, $F$9) + CHOOSE(CONTROL!$C$27, 0.0021, 0)</f>
        <v>85.3767</v>
      </c>
      <c r="K490" s="14">
        <f>85.3746 * CHOOSE(CONTROL!$C$9, $D$9, 100%, $F$9) + CHOOSE(CONTROL!$C$27, 0.0021, 0)</f>
        <v>85.3767</v>
      </c>
      <c r="L490" s="14"/>
    </row>
    <row r="491" spans="1:12" ht="15.75" x14ac:dyDescent="0.25">
      <c r="A491" s="33">
        <v>55884</v>
      </c>
      <c r="B491" s="14">
        <f>84.1693 * CHOOSE(CONTROL!$C$9, $D$9, 100%, $F$9) + CHOOSE(CONTROL!$C$27, 0.0021, 0)</f>
        <v>84.171400000000006</v>
      </c>
      <c r="C491" s="14">
        <f>83.737 * CHOOSE(CONTROL!$C$9, $D$9, 100%, $F$9) + CHOOSE(CONTROL!$C$27, 0.0021, 0)</f>
        <v>83.739099999999993</v>
      </c>
      <c r="D491" s="14">
        <f>83.737 * CHOOSE(CONTROL!$C$9, $D$9, 100%, $F$9) + CHOOSE(CONTROL!$C$27, 0.0021, 0)</f>
        <v>83.739099999999993</v>
      </c>
      <c r="E491" s="14">
        <f>83.6004 * CHOOSE(CONTROL!$C$9, $D$9, 100%, $F$9) + CHOOSE(CONTROL!$C$27, 0.0021, 0)</f>
        <v>83.602499999999992</v>
      </c>
      <c r="F491" s="14">
        <f>83.6004 * CHOOSE(CONTROL!$C$9, $D$9, 100%, $F$9) + CHOOSE(CONTROL!$C$27, 0.0021, 0)</f>
        <v>83.602499999999992</v>
      </c>
      <c r="G491" s="14">
        <f>83.8718 * CHOOSE(CONTROL!$C$9, $D$9, 100%, $F$9) + CHOOSE(CONTROL!$C$27, 0.0021, 0)</f>
        <v>83.873899999999992</v>
      </c>
      <c r="H491" s="14">
        <f>83.737 * CHOOSE(CONTROL!$C$9, $D$9, 100%, $F$9) + CHOOSE(CONTROL!$C$27, 0.0021, 0)</f>
        <v>83.739099999999993</v>
      </c>
      <c r="I491" s="14">
        <f>83.737 * CHOOSE(CONTROL!$C$9, $D$9, 100%, $F$9) + CHOOSE(CONTROL!$C$27, 0.0021, 0)</f>
        <v>83.739099999999993</v>
      </c>
      <c r="J491" s="14">
        <f>83.737 * CHOOSE(CONTROL!$C$9, $D$9, 100%, $F$9) + CHOOSE(CONTROL!$C$27, 0.0021, 0)</f>
        <v>83.739099999999993</v>
      </c>
      <c r="K491" s="14">
        <f>83.737 * CHOOSE(CONTROL!$C$9, $D$9, 100%, $F$9) + CHOOSE(CONTROL!$C$27, 0.0021, 0)</f>
        <v>83.739099999999993</v>
      </c>
      <c r="L491" s="14"/>
    </row>
    <row r="492" spans="1:12" ht="15.75" x14ac:dyDescent="0.25">
      <c r="A492" s="33">
        <v>55915</v>
      </c>
      <c r="B492" s="14">
        <f>83.1343 * CHOOSE(CONTROL!$C$9, $D$9, 100%, $F$9) + CHOOSE(CONTROL!$C$27, 0.0021, 0)</f>
        <v>83.136399999999995</v>
      </c>
      <c r="C492" s="14">
        <f>82.7021 * CHOOSE(CONTROL!$C$9, $D$9, 100%, $F$9) + CHOOSE(CONTROL!$C$27, 0.0021, 0)</f>
        <v>82.7042</v>
      </c>
      <c r="D492" s="14">
        <f>82.7021 * CHOOSE(CONTROL!$C$9, $D$9, 100%, $F$9) + CHOOSE(CONTROL!$C$27, 0.0021, 0)</f>
        <v>82.7042</v>
      </c>
      <c r="E492" s="14">
        <f>82.5654 * CHOOSE(CONTROL!$C$9, $D$9, 100%, $F$9) + CHOOSE(CONTROL!$C$27, 0.0021, 0)</f>
        <v>82.567499999999995</v>
      </c>
      <c r="F492" s="14">
        <f>82.5654 * CHOOSE(CONTROL!$C$9, $D$9, 100%, $F$9) + CHOOSE(CONTROL!$C$27, 0.0021, 0)</f>
        <v>82.567499999999995</v>
      </c>
      <c r="G492" s="14">
        <f>82.8368 * CHOOSE(CONTROL!$C$9, $D$9, 100%, $F$9) + CHOOSE(CONTROL!$C$27, 0.0021, 0)</f>
        <v>82.838899999999995</v>
      </c>
      <c r="H492" s="14">
        <f>82.7021 * CHOOSE(CONTROL!$C$9, $D$9, 100%, $F$9) + CHOOSE(CONTROL!$C$27, 0.0021, 0)</f>
        <v>82.7042</v>
      </c>
      <c r="I492" s="14">
        <f>82.7021 * CHOOSE(CONTROL!$C$9, $D$9, 100%, $F$9) + CHOOSE(CONTROL!$C$27, 0.0021, 0)</f>
        <v>82.7042</v>
      </c>
      <c r="J492" s="14">
        <f>82.7021 * CHOOSE(CONTROL!$C$9, $D$9, 100%, $F$9) + CHOOSE(CONTROL!$C$27, 0.0021, 0)</f>
        <v>82.7042</v>
      </c>
      <c r="K492" s="14">
        <f>82.7021 * CHOOSE(CONTROL!$C$9, $D$9, 100%, $F$9) + CHOOSE(CONTROL!$C$27, 0.0021, 0)</f>
        <v>82.7042</v>
      </c>
      <c r="L492" s="14"/>
    </row>
    <row r="493" spans="1:12" ht="15.75" x14ac:dyDescent="0.25">
      <c r="A493" s="33">
        <v>55943</v>
      </c>
      <c r="B493" s="14">
        <f>80.8476 * CHOOSE(CONTROL!$C$9, $D$9, 100%, $F$9) + CHOOSE(CONTROL!$C$27, 0.0021, 0)</f>
        <v>80.849699999999999</v>
      </c>
      <c r="C493" s="14">
        <f>80.4154 * CHOOSE(CONTROL!$C$9, $D$9, 100%, $F$9) + CHOOSE(CONTROL!$C$27, 0.0021, 0)</f>
        <v>80.417500000000004</v>
      </c>
      <c r="D493" s="14">
        <f>80.4154 * CHOOSE(CONTROL!$C$9, $D$9, 100%, $F$9) + CHOOSE(CONTROL!$C$27, 0.0021, 0)</f>
        <v>80.417500000000004</v>
      </c>
      <c r="E493" s="14">
        <f>80.2787 * CHOOSE(CONTROL!$C$9, $D$9, 100%, $F$9) + CHOOSE(CONTROL!$C$27, 0.0021, 0)</f>
        <v>80.280799999999999</v>
      </c>
      <c r="F493" s="14">
        <f>80.2787 * CHOOSE(CONTROL!$C$9, $D$9, 100%, $F$9) + CHOOSE(CONTROL!$C$27, 0.0021, 0)</f>
        <v>80.280799999999999</v>
      </c>
      <c r="G493" s="14">
        <f>80.5501 * CHOOSE(CONTROL!$C$9, $D$9, 100%, $F$9) + CHOOSE(CONTROL!$C$27, 0.0021, 0)</f>
        <v>80.552199999999999</v>
      </c>
      <c r="H493" s="14">
        <f>80.4154 * CHOOSE(CONTROL!$C$9, $D$9, 100%, $F$9) + CHOOSE(CONTROL!$C$27, 0.0021, 0)</f>
        <v>80.417500000000004</v>
      </c>
      <c r="I493" s="14">
        <f>80.4154 * CHOOSE(CONTROL!$C$9, $D$9, 100%, $F$9) + CHOOSE(CONTROL!$C$27, 0.0021, 0)</f>
        <v>80.417500000000004</v>
      </c>
      <c r="J493" s="14">
        <f>80.4154 * CHOOSE(CONTROL!$C$9, $D$9, 100%, $F$9) + CHOOSE(CONTROL!$C$27, 0.0021, 0)</f>
        <v>80.417500000000004</v>
      </c>
      <c r="K493" s="14">
        <f>80.4154 * CHOOSE(CONTROL!$C$9, $D$9, 100%, $F$9) + CHOOSE(CONTROL!$C$27, 0.0021, 0)</f>
        <v>80.417500000000004</v>
      </c>
      <c r="L493" s="14"/>
    </row>
    <row r="494" spans="1:12" ht="15.75" x14ac:dyDescent="0.25">
      <c r="A494" s="33">
        <v>55974</v>
      </c>
      <c r="B494" s="14">
        <f>79.9037 * CHOOSE(CONTROL!$C$9, $D$9, 100%, $F$9) + CHOOSE(CONTROL!$C$27, 0.0021, 0)</f>
        <v>79.905799999999999</v>
      </c>
      <c r="C494" s="14">
        <f>79.4715 * CHOOSE(CONTROL!$C$9, $D$9, 100%, $F$9) + CHOOSE(CONTROL!$C$27, 0.0021, 0)</f>
        <v>79.473600000000005</v>
      </c>
      <c r="D494" s="14">
        <f>79.4715 * CHOOSE(CONTROL!$C$9, $D$9, 100%, $F$9) + CHOOSE(CONTROL!$C$27, 0.0021, 0)</f>
        <v>79.473600000000005</v>
      </c>
      <c r="E494" s="14">
        <f>79.3348 * CHOOSE(CONTROL!$C$9, $D$9, 100%, $F$9) + CHOOSE(CONTROL!$C$27, 0.0021, 0)</f>
        <v>79.3369</v>
      </c>
      <c r="F494" s="14">
        <f>79.3348 * CHOOSE(CONTROL!$C$9, $D$9, 100%, $F$9) + CHOOSE(CONTROL!$C$27, 0.0021, 0)</f>
        <v>79.3369</v>
      </c>
      <c r="G494" s="14">
        <f>79.6062 * CHOOSE(CONTROL!$C$9, $D$9, 100%, $F$9) + CHOOSE(CONTROL!$C$27, 0.0021, 0)</f>
        <v>79.6083</v>
      </c>
      <c r="H494" s="14">
        <f>79.4715 * CHOOSE(CONTROL!$C$9, $D$9, 100%, $F$9) + CHOOSE(CONTROL!$C$27, 0.0021, 0)</f>
        <v>79.473600000000005</v>
      </c>
      <c r="I494" s="14">
        <f>79.4715 * CHOOSE(CONTROL!$C$9, $D$9, 100%, $F$9) + CHOOSE(CONTROL!$C$27, 0.0021, 0)</f>
        <v>79.473600000000005</v>
      </c>
      <c r="J494" s="14">
        <f>79.4715 * CHOOSE(CONTROL!$C$9, $D$9, 100%, $F$9) + CHOOSE(CONTROL!$C$27, 0.0021, 0)</f>
        <v>79.473600000000005</v>
      </c>
      <c r="K494" s="14">
        <f>79.4715 * CHOOSE(CONTROL!$C$9, $D$9, 100%, $F$9) + CHOOSE(CONTROL!$C$27, 0.0021, 0)</f>
        <v>79.473600000000005</v>
      </c>
      <c r="L494" s="14"/>
    </row>
    <row r="495" spans="1:12" ht="15.75" x14ac:dyDescent="0.25">
      <c r="A495" s="33">
        <v>56004</v>
      </c>
      <c r="B495" s="14">
        <f>78.7767 * CHOOSE(CONTROL!$C$9, $D$9, 100%, $F$9) + CHOOSE(CONTROL!$C$27, 0.0021, 0)</f>
        <v>78.778800000000004</v>
      </c>
      <c r="C495" s="14">
        <f>78.3444 * CHOOSE(CONTROL!$C$9, $D$9, 100%, $F$9) + CHOOSE(CONTROL!$C$27, 0.0021, 0)</f>
        <v>78.346499999999992</v>
      </c>
      <c r="D495" s="14">
        <f>78.3444 * CHOOSE(CONTROL!$C$9, $D$9, 100%, $F$9) + CHOOSE(CONTROL!$C$27, 0.0021, 0)</f>
        <v>78.346499999999992</v>
      </c>
      <c r="E495" s="14">
        <f>78.2078 * CHOOSE(CONTROL!$C$9, $D$9, 100%, $F$9) + CHOOSE(CONTROL!$C$27, 0.0021, 0)</f>
        <v>78.209900000000005</v>
      </c>
      <c r="F495" s="14">
        <f>78.2078 * CHOOSE(CONTROL!$C$9, $D$9, 100%, $F$9) + CHOOSE(CONTROL!$C$27, 0.0021, 0)</f>
        <v>78.209900000000005</v>
      </c>
      <c r="G495" s="14">
        <f>78.4791 * CHOOSE(CONTROL!$C$9, $D$9, 100%, $F$9) + CHOOSE(CONTROL!$C$27, 0.0021, 0)</f>
        <v>78.481200000000001</v>
      </c>
      <c r="H495" s="14">
        <f>78.3444 * CHOOSE(CONTROL!$C$9, $D$9, 100%, $F$9) + CHOOSE(CONTROL!$C$27, 0.0021, 0)</f>
        <v>78.346499999999992</v>
      </c>
      <c r="I495" s="14">
        <f>78.3444 * CHOOSE(CONTROL!$C$9, $D$9, 100%, $F$9) + CHOOSE(CONTROL!$C$27, 0.0021, 0)</f>
        <v>78.346499999999992</v>
      </c>
      <c r="J495" s="14">
        <f>78.3444 * CHOOSE(CONTROL!$C$9, $D$9, 100%, $F$9) + CHOOSE(CONTROL!$C$27, 0.0021, 0)</f>
        <v>78.346499999999992</v>
      </c>
      <c r="K495" s="14">
        <f>78.3444 * CHOOSE(CONTROL!$C$9, $D$9, 100%, $F$9) + CHOOSE(CONTROL!$C$27, 0.0021, 0)</f>
        <v>78.346499999999992</v>
      </c>
      <c r="L495" s="14"/>
    </row>
    <row r="496" spans="1:12" ht="15.75" x14ac:dyDescent="0.25">
      <c r="A496" s="33">
        <v>56035</v>
      </c>
      <c r="B496" s="14">
        <f>80.3829 * CHOOSE(CONTROL!$C$9, $D$9, 100%, $F$9) + CHOOSE(CONTROL!$C$27, 0.0021, 0)</f>
        <v>80.385000000000005</v>
      </c>
      <c r="C496" s="14">
        <f>79.9506 * CHOOSE(CONTROL!$C$9, $D$9, 100%, $F$9) + CHOOSE(CONTROL!$C$27, 0.0021, 0)</f>
        <v>79.952699999999993</v>
      </c>
      <c r="D496" s="14">
        <f>79.9506 * CHOOSE(CONTROL!$C$9, $D$9, 100%, $F$9) + CHOOSE(CONTROL!$C$27, 0.0021, 0)</f>
        <v>79.952699999999993</v>
      </c>
      <c r="E496" s="14">
        <f>79.814 * CHOOSE(CONTROL!$C$9, $D$9, 100%, $F$9) + CHOOSE(CONTROL!$C$27, 0.0021, 0)</f>
        <v>79.816099999999992</v>
      </c>
      <c r="F496" s="14">
        <f>79.814 * CHOOSE(CONTROL!$C$9, $D$9, 100%, $F$9) + CHOOSE(CONTROL!$C$27, 0.0021, 0)</f>
        <v>79.816099999999992</v>
      </c>
      <c r="G496" s="14">
        <f>80.0853 * CHOOSE(CONTROL!$C$9, $D$9, 100%, $F$9) + CHOOSE(CONTROL!$C$27, 0.0021, 0)</f>
        <v>80.087400000000002</v>
      </c>
      <c r="H496" s="14">
        <f>79.9506 * CHOOSE(CONTROL!$C$9, $D$9, 100%, $F$9) + CHOOSE(CONTROL!$C$27, 0.0021, 0)</f>
        <v>79.952699999999993</v>
      </c>
      <c r="I496" s="14">
        <f>79.9506 * CHOOSE(CONTROL!$C$9, $D$9, 100%, $F$9) + CHOOSE(CONTROL!$C$27, 0.0021, 0)</f>
        <v>79.952699999999993</v>
      </c>
      <c r="J496" s="14">
        <f>79.9506 * CHOOSE(CONTROL!$C$9, $D$9, 100%, $F$9) + CHOOSE(CONTROL!$C$27, 0.0021, 0)</f>
        <v>79.952699999999993</v>
      </c>
      <c r="K496" s="14">
        <f>79.9506 * CHOOSE(CONTROL!$C$9, $D$9, 100%, $F$9) + CHOOSE(CONTROL!$C$27, 0.0021, 0)</f>
        <v>79.952699999999993</v>
      </c>
      <c r="L496" s="14"/>
    </row>
    <row r="497" spans="1:12" ht="15.75" x14ac:dyDescent="0.25">
      <c r="A497" s="33">
        <v>56065</v>
      </c>
      <c r="B497" s="14">
        <f>81.3449 * CHOOSE(CONTROL!$C$9, $D$9, 100%, $F$9) + CHOOSE(CONTROL!$C$27, 0.0021, 0)</f>
        <v>81.346999999999994</v>
      </c>
      <c r="C497" s="14">
        <f>80.9127 * CHOOSE(CONTROL!$C$9, $D$9, 100%, $F$9) + CHOOSE(CONTROL!$C$27, 0.0021, 0)</f>
        <v>80.9148</v>
      </c>
      <c r="D497" s="14">
        <f>80.9127 * CHOOSE(CONTROL!$C$9, $D$9, 100%, $F$9) + CHOOSE(CONTROL!$C$27, 0.0021, 0)</f>
        <v>80.9148</v>
      </c>
      <c r="E497" s="14">
        <f>80.776 * CHOOSE(CONTROL!$C$9, $D$9, 100%, $F$9) + CHOOSE(CONTROL!$C$27, 0.0021, 0)</f>
        <v>80.778099999999995</v>
      </c>
      <c r="F497" s="14">
        <f>80.776 * CHOOSE(CONTROL!$C$9, $D$9, 100%, $F$9) + CHOOSE(CONTROL!$C$27, 0.0021, 0)</f>
        <v>80.778099999999995</v>
      </c>
      <c r="G497" s="14">
        <f>81.0474 * CHOOSE(CONTROL!$C$9, $D$9, 100%, $F$9) + CHOOSE(CONTROL!$C$27, 0.0021, 0)</f>
        <v>81.049499999999995</v>
      </c>
      <c r="H497" s="14">
        <f>80.9127 * CHOOSE(CONTROL!$C$9, $D$9, 100%, $F$9) + CHOOSE(CONTROL!$C$27, 0.0021, 0)</f>
        <v>80.9148</v>
      </c>
      <c r="I497" s="14">
        <f>80.9127 * CHOOSE(CONTROL!$C$9, $D$9, 100%, $F$9) + CHOOSE(CONTROL!$C$27, 0.0021, 0)</f>
        <v>80.9148</v>
      </c>
      <c r="J497" s="14">
        <f>80.9127 * CHOOSE(CONTROL!$C$9, $D$9, 100%, $F$9) + CHOOSE(CONTROL!$C$27, 0.0021, 0)</f>
        <v>80.9148</v>
      </c>
      <c r="K497" s="14">
        <f>80.9127 * CHOOSE(CONTROL!$C$9, $D$9, 100%, $F$9) + CHOOSE(CONTROL!$C$27, 0.0021, 0)</f>
        <v>80.9148</v>
      </c>
      <c r="L497" s="14"/>
    </row>
    <row r="498" spans="1:12" ht="15.75" x14ac:dyDescent="0.25">
      <c r="A498" s="33">
        <v>56096</v>
      </c>
      <c r="B498" s="14">
        <f>82.9319 * CHOOSE(CONTROL!$C$9, $D$9, 100%, $F$9) + CHOOSE(CONTROL!$C$27, 0.0021, 0)</f>
        <v>82.933999999999997</v>
      </c>
      <c r="C498" s="14">
        <f>82.4997 * CHOOSE(CONTROL!$C$9, $D$9, 100%, $F$9) + CHOOSE(CONTROL!$C$27, 0.0021, 0)</f>
        <v>82.501800000000003</v>
      </c>
      <c r="D498" s="14">
        <f>82.4997 * CHOOSE(CONTROL!$C$9, $D$9, 100%, $F$9) + CHOOSE(CONTROL!$C$27, 0.0021, 0)</f>
        <v>82.501800000000003</v>
      </c>
      <c r="E498" s="14">
        <f>82.363 * CHOOSE(CONTROL!$C$9, $D$9, 100%, $F$9) + CHOOSE(CONTROL!$C$27, 0.0021, 0)</f>
        <v>82.365099999999998</v>
      </c>
      <c r="F498" s="14">
        <f>82.363 * CHOOSE(CONTROL!$C$9, $D$9, 100%, $F$9) + CHOOSE(CONTROL!$C$27, 0.0021, 0)</f>
        <v>82.365099999999998</v>
      </c>
      <c r="G498" s="14">
        <f>82.6344 * CHOOSE(CONTROL!$C$9, $D$9, 100%, $F$9) + CHOOSE(CONTROL!$C$27, 0.0021, 0)</f>
        <v>82.636499999999998</v>
      </c>
      <c r="H498" s="14">
        <f>82.4997 * CHOOSE(CONTROL!$C$9, $D$9, 100%, $F$9) + CHOOSE(CONTROL!$C$27, 0.0021, 0)</f>
        <v>82.501800000000003</v>
      </c>
      <c r="I498" s="14">
        <f>82.4997 * CHOOSE(CONTROL!$C$9, $D$9, 100%, $F$9) + CHOOSE(CONTROL!$C$27, 0.0021, 0)</f>
        <v>82.501800000000003</v>
      </c>
      <c r="J498" s="14">
        <f>82.4997 * CHOOSE(CONTROL!$C$9, $D$9, 100%, $F$9) + CHOOSE(CONTROL!$C$27, 0.0021, 0)</f>
        <v>82.501800000000003</v>
      </c>
      <c r="K498" s="14">
        <f>82.4997 * CHOOSE(CONTROL!$C$9, $D$9, 100%, $F$9) + CHOOSE(CONTROL!$C$27, 0.0021, 0)</f>
        <v>82.501800000000003</v>
      </c>
      <c r="L498" s="14"/>
    </row>
    <row r="499" spans="1:12" ht="15.75" x14ac:dyDescent="0.25">
      <c r="A499" s="33">
        <v>56127</v>
      </c>
      <c r="B499" s="14">
        <f>83.4164 * CHOOSE(CONTROL!$C$9, $D$9, 100%, $F$9) + CHOOSE(CONTROL!$C$27, 0.0021, 0)</f>
        <v>83.418499999999995</v>
      </c>
      <c r="C499" s="14">
        <f>82.9841 * CHOOSE(CONTROL!$C$9, $D$9, 100%, $F$9) + CHOOSE(CONTROL!$C$27, 0.0021, 0)</f>
        <v>82.986199999999997</v>
      </c>
      <c r="D499" s="14">
        <f>82.9841 * CHOOSE(CONTROL!$C$9, $D$9, 100%, $F$9) + CHOOSE(CONTROL!$C$27, 0.0021, 0)</f>
        <v>82.986199999999997</v>
      </c>
      <c r="E499" s="14">
        <f>82.8475 * CHOOSE(CONTROL!$C$9, $D$9, 100%, $F$9) + CHOOSE(CONTROL!$C$27, 0.0021, 0)</f>
        <v>82.849599999999995</v>
      </c>
      <c r="F499" s="14">
        <f>82.8475 * CHOOSE(CONTROL!$C$9, $D$9, 100%, $F$9) + CHOOSE(CONTROL!$C$27, 0.0021, 0)</f>
        <v>82.849599999999995</v>
      </c>
      <c r="G499" s="14">
        <f>83.1188 * CHOOSE(CONTROL!$C$9, $D$9, 100%, $F$9) + CHOOSE(CONTROL!$C$27, 0.0021, 0)</f>
        <v>83.120899999999992</v>
      </c>
      <c r="H499" s="14">
        <f>82.9841 * CHOOSE(CONTROL!$C$9, $D$9, 100%, $F$9) + CHOOSE(CONTROL!$C$27, 0.0021, 0)</f>
        <v>82.986199999999997</v>
      </c>
      <c r="I499" s="14">
        <f>82.9841 * CHOOSE(CONTROL!$C$9, $D$9, 100%, $F$9) + CHOOSE(CONTROL!$C$27, 0.0021, 0)</f>
        <v>82.986199999999997</v>
      </c>
      <c r="J499" s="14">
        <f>82.9841 * CHOOSE(CONTROL!$C$9, $D$9, 100%, $F$9) + CHOOSE(CONTROL!$C$27, 0.0021, 0)</f>
        <v>82.986199999999997</v>
      </c>
      <c r="K499" s="14">
        <f>82.9841 * CHOOSE(CONTROL!$C$9, $D$9, 100%, $F$9) + CHOOSE(CONTROL!$C$27, 0.0021, 0)</f>
        <v>82.986199999999997</v>
      </c>
      <c r="L499" s="14"/>
    </row>
    <row r="500" spans="1:12" ht="15.75" x14ac:dyDescent="0.25">
      <c r="A500" s="33">
        <v>56157</v>
      </c>
      <c r="B500" s="14">
        <f>85.066 * CHOOSE(CONTROL!$C$9, $D$9, 100%, $F$9) + CHOOSE(CONTROL!$C$27, 0.0021, 0)</f>
        <v>85.068100000000001</v>
      </c>
      <c r="C500" s="14">
        <f>84.6338 * CHOOSE(CONTROL!$C$9, $D$9, 100%, $F$9) + CHOOSE(CONTROL!$C$27, 0.0021, 0)</f>
        <v>84.635899999999992</v>
      </c>
      <c r="D500" s="14">
        <f>84.6338 * CHOOSE(CONTROL!$C$9, $D$9, 100%, $F$9) + CHOOSE(CONTROL!$C$27, 0.0021, 0)</f>
        <v>84.635899999999992</v>
      </c>
      <c r="E500" s="14">
        <f>84.4971 * CHOOSE(CONTROL!$C$9, $D$9, 100%, $F$9) + CHOOSE(CONTROL!$C$27, 0.0021, 0)</f>
        <v>84.499200000000002</v>
      </c>
      <c r="F500" s="14">
        <f>84.4971 * CHOOSE(CONTROL!$C$9, $D$9, 100%, $F$9) + CHOOSE(CONTROL!$C$27, 0.0021, 0)</f>
        <v>84.499200000000002</v>
      </c>
      <c r="G500" s="14">
        <f>84.7685 * CHOOSE(CONTROL!$C$9, $D$9, 100%, $F$9) + CHOOSE(CONTROL!$C$27, 0.0021, 0)</f>
        <v>84.770600000000002</v>
      </c>
      <c r="H500" s="14">
        <f>84.6338 * CHOOSE(CONTROL!$C$9, $D$9, 100%, $F$9) + CHOOSE(CONTROL!$C$27, 0.0021, 0)</f>
        <v>84.635899999999992</v>
      </c>
      <c r="I500" s="14">
        <f>84.6338 * CHOOSE(CONTROL!$C$9, $D$9, 100%, $F$9) + CHOOSE(CONTROL!$C$27, 0.0021, 0)</f>
        <v>84.635899999999992</v>
      </c>
      <c r="J500" s="14">
        <f>84.6338 * CHOOSE(CONTROL!$C$9, $D$9, 100%, $F$9) + CHOOSE(CONTROL!$C$27, 0.0021, 0)</f>
        <v>84.635899999999992</v>
      </c>
      <c r="K500" s="14">
        <f>84.6338 * CHOOSE(CONTROL!$C$9, $D$9, 100%, $F$9) + CHOOSE(CONTROL!$C$27, 0.0021, 0)</f>
        <v>84.635899999999992</v>
      </c>
      <c r="L500" s="14"/>
    </row>
    <row r="501" spans="1:12" ht="15.75" x14ac:dyDescent="0.25">
      <c r="A501" s="33">
        <v>56188</v>
      </c>
      <c r="B501" s="14">
        <f>87.1542 * CHOOSE(CONTROL!$C$9, $D$9, 100%, $F$9) + CHOOSE(CONTROL!$C$27, 0.0021, 0)</f>
        <v>87.156300000000002</v>
      </c>
      <c r="C501" s="14">
        <f>86.7219 * CHOOSE(CONTROL!$C$9, $D$9, 100%, $F$9) + CHOOSE(CONTROL!$C$27, 0.0021, 0)</f>
        <v>86.724000000000004</v>
      </c>
      <c r="D501" s="14">
        <f>86.7219 * CHOOSE(CONTROL!$C$9, $D$9, 100%, $F$9) + CHOOSE(CONTROL!$C$27, 0.0021, 0)</f>
        <v>86.724000000000004</v>
      </c>
      <c r="E501" s="14">
        <f>86.5853 * CHOOSE(CONTROL!$C$9, $D$9, 100%, $F$9) + CHOOSE(CONTROL!$C$27, 0.0021, 0)</f>
        <v>86.587400000000002</v>
      </c>
      <c r="F501" s="14">
        <f>86.5853 * CHOOSE(CONTROL!$C$9, $D$9, 100%, $F$9) + CHOOSE(CONTROL!$C$27, 0.0021, 0)</f>
        <v>86.587400000000002</v>
      </c>
      <c r="G501" s="14">
        <f>86.8567 * CHOOSE(CONTROL!$C$9, $D$9, 100%, $F$9) + CHOOSE(CONTROL!$C$27, 0.0021, 0)</f>
        <v>86.858800000000002</v>
      </c>
      <c r="H501" s="14">
        <f>86.7219 * CHOOSE(CONTROL!$C$9, $D$9, 100%, $F$9) + CHOOSE(CONTROL!$C$27, 0.0021, 0)</f>
        <v>86.724000000000004</v>
      </c>
      <c r="I501" s="14">
        <f>86.7219 * CHOOSE(CONTROL!$C$9, $D$9, 100%, $F$9) + CHOOSE(CONTROL!$C$27, 0.0021, 0)</f>
        <v>86.724000000000004</v>
      </c>
      <c r="J501" s="14">
        <f>86.7219 * CHOOSE(CONTROL!$C$9, $D$9, 100%, $F$9) + CHOOSE(CONTROL!$C$27, 0.0021, 0)</f>
        <v>86.724000000000004</v>
      </c>
      <c r="K501" s="14">
        <f>86.7219 * CHOOSE(CONTROL!$C$9, $D$9, 100%, $F$9) + CHOOSE(CONTROL!$C$27, 0.0021, 0)</f>
        <v>86.724000000000004</v>
      </c>
      <c r="L501" s="14"/>
    </row>
    <row r="502" spans="1:12" ht="15.75" x14ac:dyDescent="0.25">
      <c r="A502" s="33">
        <v>56218</v>
      </c>
      <c r="B502" s="14">
        <f>87.3502 * CHOOSE(CONTROL!$C$9, $D$9, 100%, $F$9) + CHOOSE(CONTROL!$C$27, 0.0021, 0)</f>
        <v>87.3523</v>
      </c>
      <c r="C502" s="14">
        <f>86.918 * CHOOSE(CONTROL!$C$9, $D$9, 100%, $F$9) + CHOOSE(CONTROL!$C$27, 0.0021, 0)</f>
        <v>86.920100000000005</v>
      </c>
      <c r="D502" s="14">
        <f>86.918 * CHOOSE(CONTROL!$C$9, $D$9, 100%, $F$9) + CHOOSE(CONTROL!$C$27, 0.0021, 0)</f>
        <v>86.920100000000005</v>
      </c>
      <c r="E502" s="14">
        <f>86.7813 * CHOOSE(CONTROL!$C$9, $D$9, 100%, $F$9) + CHOOSE(CONTROL!$C$27, 0.0021, 0)</f>
        <v>86.7834</v>
      </c>
      <c r="F502" s="14">
        <f>86.7813 * CHOOSE(CONTROL!$C$9, $D$9, 100%, $F$9) + CHOOSE(CONTROL!$C$27, 0.0021, 0)</f>
        <v>86.7834</v>
      </c>
      <c r="G502" s="14">
        <f>87.0527 * CHOOSE(CONTROL!$C$9, $D$9, 100%, $F$9) + CHOOSE(CONTROL!$C$27, 0.0021, 0)</f>
        <v>87.0548</v>
      </c>
      <c r="H502" s="14">
        <f>86.918 * CHOOSE(CONTROL!$C$9, $D$9, 100%, $F$9) + CHOOSE(CONTROL!$C$27, 0.0021, 0)</f>
        <v>86.920100000000005</v>
      </c>
      <c r="I502" s="14">
        <f>86.918 * CHOOSE(CONTROL!$C$9, $D$9, 100%, $F$9) + CHOOSE(CONTROL!$C$27, 0.0021, 0)</f>
        <v>86.920100000000005</v>
      </c>
      <c r="J502" s="14">
        <f>86.918 * CHOOSE(CONTROL!$C$9, $D$9, 100%, $F$9) + CHOOSE(CONTROL!$C$27, 0.0021, 0)</f>
        <v>86.920100000000005</v>
      </c>
      <c r="K502" s="14">
        <f>86.918 * CHOOSE(CONTROL!$C$9, $D$9, 100%, $F$9) + CHOOSE(CONTROL!$C$27, 0.0021, 0)</f>
        <v>86.920100000000005</v>
      </c>
      <c r="L502" s="14"/>
    </row>
    <row r="503" spans="1:12" ht="15.75" x14ac:dyDescent="0.25">
      <c r="A503" s="33">
        <v>56249</v>
      </c>
      <c r="B503" s="14">
        <f>85.6824 * CHOOSE(CONTROL!$C$9, $D$9, 100%, $F$9) + CHOOSE(CONTROL!$C$27, 0.0021, 0)</f>
        <v>85.6845</v>
      </c>
      <c r="C503" s="14">
        <f>85.2502 * CHOOSE(CONTROL!$C$9, $D$9, 100%, $F$9) + CHOOSE(CONTROL!$C$27, 0.0021, 0)</f>
        <v>85.252300000000005</v>
      </c>
      <c r="D503" s="14">
        <f>85.2502 * CHOOSE(CONTROL!$C$9, $D$9, 100%, $F$9) + CHOOSE(CONTROL!$C$27, 0.0021, 0)</f>
        <v>85.252300000000005</v>
      </c>
      <c r="E503" s="14">
        <f>85.1135 * CHOOSE(CONTROL!$C$9, $D$9, 100%, $F$9) + CHOOSE(CONTROL!$C$27, 0.0021, 0)</f>
        <v>85.115600000000001</v>
      </c>
      <c r="F503" s="14">
        <f>85.1135 * CHOOSE(CONTROL!$C$9, $D$9, 100%, $F$9) + CHOOSE(CONTROL!$C$27, 0.0021, 0)</f>
        <v>85.115600000000001</v>
      </c>
      <c r="G503" s="14">
        <f>85.3849 * CHOOSE(CONTROL!$C$9, $D$9, 100%, $F$9) + CHOOSE(CONTROL!$C$27, 0.0021, 0)</f>
        <v>85.387</v>
      </c>
      <c r="H503" s="14">
        <f>85.2502 * CHOOSE(CONTROL!$C$9, $D$9, 100%, $F$9) + CHOOSE(CONTROL!$C$27, 0.0021, 0)</f>
        <v>85.252300000000005</v>
      </c>
      <c r="I503" s="14">
        <f>85.2502 * CHOOSE(CONTROL!$C$9, $D$9, 100%, $F$9) + CHOOSE(CONTROL!$C$27, 0.0021, 0)</f>
        <v>85.252300000000005</v>
      </c>
      <c r="J503" s="14">
        <f>85.2502 * CHOOSE(CONTROL!$C$9, $D$9, 100%, $F$9) + CHOOSE(CONTROL!$C$27, 0.0021, 0)</f>
        <v>85.252300000000005</v>
      </c>
      <c r="K503" s="14">
        <f>85.2502 * CHOOSE(CONTROL!$C$9, $D$9, 100%, $F$9) + CHOOSE(CONTROL!$C$27, 0.0021, 0)</f>
        <v>85.252300000000005</v>
      </c>
      <c r="L503" s="14"/>
    </row>
    <row r="504" spans="1:12" ht="15.75" x14ac:dyDescent="0.25">
      <c r="A504" s="33">
        <v>56280</v>
      </c>
      <c r="B504" s="14">
        <f>84.6283 * CHOOSE(CONTROL!$C$9, $D$9, 100%, $F$9) + CHOOSE(CONTROL!$C$27, 0.0021, 0)</f>
        <v>84.630399999999995</v>
      </c>
      <c r="C504" s="14">
        <f>84.1961 * CHOOSE(CONTROL!$C$9, $D$9, 100%, $F$9) + CHOOSE(CONTROL!$C$27, 0.0021, 0)</f>
        <v>84.1982</v>
      </c>
      <c r="D504" s="14">
        <f>84.1961 * CHOOSE(CONTROL!$C$9, $D$9, 100%, $F$9) + CHOOSE(CONTROL!$C$27, 0.0021, 0)</f>
        <v>84.1982</v>
      </c>
      <c r="E504" s="14">
        <f>84.0594 * CHOOSE(CONTROL!$C$9, $D$9, 100%, $F$9) + CHOOSE(CONTROL!$C$27, 0.0021, 0)</f>
        <v>84.061499999999995</v>
      </c>
      <c r="F504" s="14">
        <f>84.0594 * CHOOSE(CONTROL!$C$9, $D$9, 100%, $F$9) + CHOOSE(CONTROL!$C$27, 0.0021, 0)</f>
        <v>84.061499999999995</v>
      </c>
      <c r="G504" s="14">
        <f>84.3308 * CHOOSE(CONTROL!$C$9, $D$9, 100%, $F$9) + CHOOSE(CONTROL!$C$27, 0.0021, 0)</f>
        <v>84.332899999999995</v>
      </c>
      <c r="H504" s="14">
        <f>84.1961 * CHOOSE(CONTROL!$C$9, $D$9, 100%, $F$9) + CHOOSE(CONTROL!$C$27, 0.0021, 0)</f>
        <v>84.1982</v>
      </c>
      <c r="I504" s="14">
        <f>84.1961 * CHOOSE(CONTROL!$C$9, $D$9, 100%, $F$9) + CHOOSE(CONTROL!$C$27, 0.0021, 0)</f>
        <v>84.1982</v>
      </c>
      <c r="J504" s="14">
        <f>84.1961 * CHOOSE(CONTROL!$C$9, $D$9, 100%, $F$9) + CHOOSE(CONTROL!$C$27, 0.0021, 0)</f>
        <v>84.1982</v>
      </c>
      <c r="K504" s="14">
        <f>84.1961 * CHOOSE(CONTROL!$C$9, $D$9, 100%, $F$9) + CHOOSE(CONTROL!$C$27, 0.0021, 0)</f>
        <v>84.1982</v>
      </c>
      <c r="L504" s="14"/>
    </row>
    <row r="505" spans="1:12" ht="15.75" x14ac:dyDescent="0.25">
      <c r="A505" s="33">
        <v>56308</v>
      </c>
      <c r="B505" s="14">
        <f>82.2994 * CHOOSE(CONTROL!$C$9, $D$9, 100%, $F$9) + CHOOSE(CONTROL!$C$27, 0.0021, 0)</f>
        <v>82.301500000000004</v>
      </c>
      <c r="C505" s="14">
        <f>81.8672 * CHOOSE(CONTROL!$C$9, $D$9, 100%, $F$9) + CHOOSE(CONTROL!$C$27, 0.0021, 0)</f>
        <v>81.869299999999996</v>
      </c>
      <c r="D505" s="14">
        <f>81.8672 * CHOOSE(CONTROL!$C$9, $D$9, 100%, $F$9) + CHOOSE(CONTROL!$C$27, 0.0021, 0)</f>
        <v>81.869299999999996</v>
      </c>
      <c r="E505" s="14">
        <f>81.7305 * CHOOSE(CONTROL!$C$9, $D$9, 100%, $F$9) + CHOOSE(CONTROL!$C$27, 0.0021, 0)</f>
        <v>81.732600000000005</v>
      </c>
      <c r="F505" s="14">
        <f>81.7305 * CHOOSE(CONTROL!$C$9, $D$9, 100%, $F$9) + CHOOSE(CONTROL!$C$27, 0.0021, 0)</f>
        <v>81.732600000000005</v>
      </c>
      <c r="G505" s="14">
        <f>82.0019 * CHOOSE(CONTROL!$C$9, $D$9, 100%, $F$9) + CHOOSE(CONTROL!$C$27, 0.0021, 0)</f>
        <v>82.004000000000005</v>
      </c>
      <c r="H505" s="14">
        <f>81.8672 * CHOOSE(CONTROL!$C$9, $D$9, 100%, $F$9) + CHOOSE(CONTROL!$C$27, 0.0021, 0)</f>
        <v>81.869299999999996</v>
      </c>
      <c r="I505" s="14">
        <f>81.8672 * CHOOSE(CONTROL!$C$9, $D$9, 100%, $F$9) + CHOOSE(CONTROL!$C$27, 0.0021, 0)</f>
        <v>81.869299999999996</v>
      </c>
      <c r="J505" s="14">
        <f>81.8672 * CHOOSE(CONTROL!$C$9, $D$9, 100%, $F$9) + CHOOSE(CONTROL!$C$27, 0.0021, 0)</f>
        <v>81.869299999999996</v>
      </c>
      <c r="K505" s="14">
        <f>81.8672 * CHOOSE(CONTROL!$C$9, $D$9, 100%, $F$9) + CHOOSE(CONTROL!$C$27, 0.0021, 0)</f>
        <v>81.869299999999996</v>
      </c>
      <c r="L505" s="14"/>
    </row>
    <row r="506" spans="1:12" ht="15.75" x14ac:dyDescent="0.25">
      <c r="A506" s="33">
        <v>56339</v>
      </c>
      <c r="B506" s="14">
        <f>81.338 * CHOOSE(CONTROL!$C$9, $D$9, 100%, $F$9) + CHOOSE(CONTROL!$C$27, 0.0021, 0)</f>
        <v>81.340099999999993</v>
      </c>
      <c r="C506" s="14">
        <f>80.9058 * CHOOSE(CONTROL!$C$9, $D$9, 100%, $F$9) + CHOOSE(CONTROL!$C$27, 0.0021, 0)</f>
        <v>80.907899999999998</v>
      </c>
      <c r="D506" s="14">
        <f>80.9058 * CHOOSE(CONTROL!$C$9, $D$9, 100%, $F$9) + CHOOSE(CONTROL!$C$27, 0.0021, 0)</f>
        <v>80.907899999999998</v>
      </c>
      <c r="E506" s="14">
        <f>80.7691 * CHOOSE(CONTROL!$C$9, $D$9, 100%, $F$9) + CHOOSE(CONTROL!$C$27, 0.0021, 0)</f>
        <v>80.771199999999993</v>
      </c>
      <c r="F506" s="14">
        <f>80.7691 * CHOOSE(CONTROL!$C$9, $D$9, 100%, $F$9) + CHOOSE(CONTROL!$C$27, 0.0021, 0)</f>
        <v>80.771199999999993</v>
      </c>
      <c r="G506" s="14">
        <f>81.0405 * CHOOSE(CONTROL!$C$9, $D$9, 100%, $F$9) + CHOOSE(CONTROL!$C$27, 0.0021, 0)</f>
        <v>81.042599999999993</v>
      </c>
      <c r="H506" s="14">
        <f>80.9058 * CHOOSE(CONTROL!$C$9, $D$9, 100%, $F$9) + CHOOSE(CONTROL!$C$27, 0.0021, 0)</f>
        <v>80.907899999999998</v>
      </c>
      <c r="I506" s="14">
        <f>80.9058 * CHOOSE(CONTROL!$C$9, $D$9, 100%, $F$9) + CHOOSE(CONTROL!$C$27, 0.0021, 0)</f>
        <v>80.907899999999998</v>
      </c>
      <c r="J506" s="14">
        <f>80.9058 * CHOOSE(CONTROL!$C$9, $D$9, 100%, $F$9) + CHOOSE(CONTROL!$C$27, 0.0021, 0)</f>
        <v>80.907899999999998</v>
      </c>
      <c r="K506" s="14">
        <f>80.9058 * CHOOSE(CONTROL!$C$9, $D$9, 100%, $F$9) + CHOOSE(CONTROL!$C$27, 0.0021, 0)</f>
        <v>80.907899999999998</v>
      </c>
      <c r="L506" s="14"/>
    </row>
    <row r="507" spans="1:12" ht="15.75" x14ac:dyDescent="0.25">
      <c r="A507" s="33">
        <v>56369</v>
      </c>
      <c r="B507" s="14">
        <f>80.1901 * CHOOSE(CONTROL!$C$9, $D$9, 100%, $F$9) + CHOOSE(CONTROL!$C$27, 0.0021, 0)</f>
        <v>80.1922</v>
      </c>
      <c r="C507" s="14">
        <f>79.7579 * CHOOSE(CONTROL!$C$9, $D$9, 100%, $F$9) + CHOOSE(CONTROL!$C$27, 0.0021, 0)</f>
        <v>79.760000000000005</v>
      </c>
      <c r="D507" s="14">
        <f>79.7579 * CHOOSE(CONTROL!$C$9, $D$9, 100%, $F$9) + CHOOSE(CONTROL!$C$27, 0.0021, 0)</f>
        <v>79.760000000000005</v>
      </c>
      <c r="E507" s="14">
        <f>79.6212 * CHOOSE(CONTROL!$C$9, $D$9, 100%, $F$9) + CHOOSE(CONTROL!$C$27, 0.0021, 0)</f>
        <v>79.6233</v>
      </c>
      <c r="F507" s="14">
        <f>79.6212 * CHOOSE(CONTROL!$C$9, $D$9, 100%, $F$9) + CHOOSE(CONTROL!$C$27, 0.0021, 0)</f>
        <v>79.6233</v>
      </c>
      <c r="G507" s="14">
        <f>79.8926 * CHOOSE(CONTROL!$C$9, $D$9, 100%, $F$9) + CHOOSE(CONTROL!$C$27, 0.0021, 0)</f>
        <v>79.8947</v>
      </c>
      <c r="H507" s="14">
        <f>79.7579 * CHOOSE(CONTROL!$C$9, $D$9, 100%, $F$9) + CHOOSE(CONTROL!$C$27, 0.0021, 0)</f>
        <v>79.760000000000005</v>
      </c>
      <c r="I507" s="14">
        <f>79.7579 * CHOOSE(CONTROL!$C$9, $D$9, 100%, $F$9) + CHOOSE(CONTROL!$C$27, 0.0021, 0)</f>
        <v>79.760000000000005</v>
      </c>
      <c r="J507" s="14">
        <f>79.7579 * CHOOSE(CONTROL!$C$9, $D$9, 100%, $F$9) + CHOOSE(CONTROL!$C$27, 0.0021, 0)</f>
        <v>79.760000000000005</v>
      </c>
      <c r="K507" s="14">
        <f>79.7579 * CHOOSE(CONTROL!$C$9, $D$9, 100%, $F$9) + CHOOSE(CONTROL!$C$27, 0.0021, 0)</f>
        <v>79.760000000000005</v>
      </c>
      <c r="L507" s="14"/>
    </row>
    <row r="508" spans="1:12" ht="15.75" x14ac:dyDescent="0.25">
      <c r="A508" s="33">
        <v>56400</v>
      </c>
      <c r="B508" s="14">
        <f>81.826 * CHOOSE(CONTROL!$C$9, $D$9, 100%, $F$9) + CHOOSE(CONTROL!$C$27, 0.0021, 0)</f>
        <v>81.828099999999992</v>
      </c>
      <c r="C508" s="14">
        <f>81.3938 * CHOOSE(CONTROL!$C$9, $D$9, 100%, $F$9) + CHOOSE(CONTROL!$C$27, 0.0021, 0)</f>
        <v>81.395899999999997</v>
      </c>
      <c r="D508" s="14">
        <f>81.3938 * CHOOSE(CONTROL!$C$9, $D$9, 100%, $F$9) + CHOOSE(CONTROL!$C$27, 0.0021, 0)</f>
        <v>81.395899999999997</v>
      </c>
      <c r="E508" s="14">
        <f>81.2571 * CHOOSE(CONTROL!$C$9, $D$9, 100%, $F$9) + CHOOSE(CONTROL!$C$27, 0.0021, 0)</f>
        <v>81.259199999999993</v>
      </c>
      <c r="F508" s="14">
        <f>81.2571 * CHOOSE(CONTROL!$C$9, $D$9, 100%, $F$9) + CHOOSE(CONTROL!$C$27, 0.0021, 0)</f>
        <v>81.259199999999993</v>
      </c>
      <c r="G508" s="14">
        <f>81.5285 * CHOOSE(CONTROL!$C$9, $D$9, 100%, $F$9) + CHOOSE(CONTROL!$C$27, 0.0021, 0)</f>
        <v>81.530599999999993</v>
      </c>
      <c r="H508" s="14">
        <f>81.3938 * CHOOSE(CONTROL!$C$9, $D$9, 100%, $F$9) + CHOOSE(CONTROL!$C$27, 0.0021, 0)</f>
        <v>81.395899999999997</v>
      </c>
      <c r="I508" s="14">
        <f>81.3938 * CHOOSE(CONTROL!$C$9, $D$9, 100%, $F$9) + CHOOSE(CONTROL!$C$27, 0.0021, 0)</f>
        <v>81.395899999999997</v>
      </c>
      <c r="J508" s="14">
        <f>81.3938 * CHOOSE(CONTROL!$C$9, $D$9, 100%, $F$9) + CHOOSE(CONTROL!$C$27, 0.0021, 0)</f>
        <v>81.395899999999997</v>
      </c>
      <c r="K508" s="14">
        <f>81.3938 * CHOOSE(CONTROL!$C$9, $D$9, 100%, $F$9) + CHOOSE(CONTROL!$C$27, 0.0021, 0)</f>
        <v>81.395899999999997</v>
      </c>
      <c r="L508" s="14"/>
    </row>
    <row r="509" spans="1:12" ht="15.75" x14ac:dyDescent="0.25">
      <c r="A509" s="33">
        <v>56430</v>
      </c>
      <c r="B509" s="14">
        <f>82.8059 * CHOOSE(CONTROL!$C$9, $D$9, 100%, $F$9) + CHOOSE(CONTROL!$C$27, 0.0021, 0)</f>
        <v>82.807999999999993</v>
      </c>
      <c r="C509" s="14">
        <f>82.3736 * CHOOSE(CONTROL!$C$9, $D$9, 100%, $F$9) + CHOOSE(CONTROL!$C$27, 0.0021, 0)</f>
        <v>82.375699999999995</v>
      </c>
      <c r="D509" s="14">
        <f>82.3736 * CHOOSE(CONTROL!$C$9, $D$9, 100%, $F$9) + CHOOSE(CONTROL!$C$27, 0.0021, 0)</f>
        <v>82.375699999999995</v>
      </c>
      <c r="E509" s="14">
        <f>82.237 * CHOOSE(CONTROL!$C$9, $D$9, 100%, $F$9) + CHOOSE(CONTROL!$C$27, 0.0021, 0)</f>
        <v>82.239099999999993</v>
      </c>
      <c r="F509" s="14">
        <f>82.237 * CHOOSE(CONTROL!$C$9, $D$9, 100%, $F$9) + CHOOSE(CONTROL!$C$27, 0.0021, 0)</f>
        <v>82.239099999999993</v>
      </c>
      <c r="G509" s="14">
        <f>82.5083 * CHOOSE(CONTROL!$C$9, $D$9, 100%, $F$9) + CHOOSE(CONTROL!$C$27, 0.0021, 0)</f>
        <v>82.510400000000004</v>
      </c>
      <c r="H509" s="14">
        <f>82.3736 * CHOOSE(CONTROL!$C$9, $D$9, 100%, $F$9) + CHOOSE(CONTROL!$C$27, 0.0021, 0)</f>
        <v>82.375699999999995</v>
      </c>
      <c r="I509" s="14">
        <f>82.3736 * CHOOSE(CONTROL!$C$9, $D$9, 100%, $F$9) + CHOOSE(CONTROL!$C$27, 0.0021, 0)</f>
        <v>82.375699999999995</v>
      </c>
      <c r="J509" s="14">
        <f>82.3736 * CHOOSE(CONTROL!$C$9, $D$9, 100%, $F$9) + CHOOSE(CONTROL!$C$27, 0.0021, 0)</f>
        <v>82.375699999999995</v>
      </c>
      <c r="K509" s="14">
        <f>82.3736 * CHOOSE(CONTROL!$C$9, $D$9, 100%, $F$9) + CHOOSE(CONTROL!$C$27, 0.0021, 0)</f>
        <v>82.375699999999995</v>
      </c>
      <c r="L509" s="14"/>
    </row>
    <row r="510" spans="1:12" ht="15.75" x14ac:dyDescent="0.25">
      <c r="A510" s="33">
        <v>56461</v>
      </c>
      <c r="B510" s="14">
        <f>84.4222 * CHOOSE(CONTROL!$C$9, $D$9, 100%, $F$9) + CHOOSE(CONTROL!$C$27, 0.0021, 0)</f>
        <v>84.424300000000002</v>
      </c>
      <c r="C510" s="14">
        <f>83.99 * CHOOSE(CONTROL!$C$9, $D$9, 100%, $F$9) + CHOOSE(CONTROL!$C$27, 0.0021, 0)</f>
        <v>83.992099999999994</v>
      </c>
      <c r="D510" s="14">
        <f>83.99 * CHOOSE(CONTROL!$C$9, $D$9, 100%, $F$9) + CHOOSE(CONTROL!$C$27, 0.0021, 0)</f>
        <v>83.992099999999994</v>
      </c>
      <c r="E510" s="14">
        <f>83.8533 * CHOOSE(CONTROL!$C$9, $D$9, 100%, $F$9) + CHOOSE(CONTROL!$C$27, 0.0021, 0)</f>
        <v>83.855400000000003</v>
      </c>
      <c r="F510" s="14">
        <f>83.8533 * CHOOSE(CONTROL!$C$9, $D$9, 100%, $F$9) + CHOOSE(CONTROL!$C$27, 0.0021, 0)</f>
        <v>83.855400000000003</v>
      </c>
      <c r="G510" s="14">
        <f>84.1247 * CHOOSE(CONTROL!$C$9, $D$9, 100%, $F$9) + CHOOSE(CONTROL!$C$27, 0.0021, 0)</f>
        <v>84.126800000000003</v>
      </c>
      <c r="H510" s="14">
        <f>83.99 * CHOOSE(CONTROL!$C$9, $D$9, 100%, $F$9) + CHOOSE(CONTROL!$C$27, 0.0021, 0)</f>
        <v>83.992099999999994</v>
      </c>
      <c r="I510" s="14">
        <f>83.99 * CHOOSE(CONTROL!$C$9, $D$9, 100%, $F$9) + CHOOSE(CONTROL!$C$27, 0.0021, 0)</f>
        <v>83.992099999999994</v>
      </c>
      <c r="J510" s="14">
        <f>83.99 * CHOOSE(CONTROL!$C$9, $D$9, 100%, $F$9) + CHOOSE(CONTROL!$C$27, 0.0021, 0)</f>
        <v>83.992099999999994</v>
      </c>
      <c r="K510" s="14">
        <f>83.99 * CHOOSE(CONTROL!$C$9, $D$9, 100%, $F$9) + CHOOSE(CONTROL!$C$27, 0.0021, 0)</f>
        <v>83.992099999999994</v>
      </c>
      <c r="L510" s="14"/>
    </row>
    <row r="511" spans="1:12" ht="15.75" x14ac:dyDescent="0.25">
      <c r="A511" s="33">
        <v>56492</v>
      </c>
      <c r="B511" s="14">
        <f>84.9156 * CHOOSE(CONTROL!$C$9, $D$9, 100%, $F$9) + CHOOSE(CONTROL!$C$27, 0.0021, 0)</f>
        <v>84.917699999999996</v>
      </c>
      <c r="C511" s="14">
        <f>84.4833 * CHOOSE(CONTROL!$C$9, $D$9, 100%, $F$9) + CHOOSE(CONTROL!$C$27, 0.0021, 0)</f>
        <v>84.485399999999998</v>
      </c>
      <c r="D511" s="14">
        <f>84.4833 * CHOOSE(CONTROL!$C$9, $D$9, 100%, $F$9) + CHOOSE(CONTROL!$C$27, 0.0021, 0)</f>
        <v>84.485399999999998</v>
      </c>
      <c r="E511" s="14">
        <f>84.3467 * CHOOSE(CONTROL!$C$9, $D$9, 100%, $F$9) + CHOOSE(CONTROL!$C$27, 0.0021, 0)</f>
        <v>84.348799999999997</v>
      </c>
      <c r="F511" s="14">
        <f>84.3467 * CHOOSE(CONTROL!$C$9, $D$9, 100%, $F$9) + CHOOSE(CONTROL!$C$27, 0.0021, 0)</f>
        <v>84.348799999999997</v>
      </c>
      <c r="G511" s="14">
        <f>84.6181 * CHOOSE(CONTROL!$C$9, $D$9, 100%, $F$9) + CHOOSE(CONTROL!$C$27, 0.0021, 0)</f>
        <v>84.620199999999997</v>
      </c>
      <c r="H511" s="14">
        <f>84.4833 * CHOOSE(CONTROL!$C$9, $D$9, 100%, $F$9) + CHOOSE(CONTROL!$C$27, 0.0021, 0)</f>
        <v>84.485399999999998</v>
      </c>
      <c r="I511" s="14">
        <f>84.4833 * CHOOSE(CONTROL!$C$9, $D$9, 100%, $F$9) + CHOOSE(CONTROL!$C$27, 0.0021, 0)</f>
        <v>84.485399999999998</v>
      </c>
      <c r="J511" s="14">
        <f>84.4833 * CHOOSE(CONTROL!$C$9, $D$9, 100%, $F$9) + CHOOSE(CONTROL!$C$27, 0.0021, 0)</f>
        <v>84.485399999999998</v>
      </c>
      <c r="K511" s="14">
        <f>84.4833 * CHOOSE(CONTROL!$C$9, $D$9, 100%, $F$9) + CHOOSE(CONTROL!$C$27, 0.0021, 0)</f>
        <v>84.485399999999998</v>
      </c>
      <c r="L511" s="14"/>
    </row>
    <row r="512" spans="1:12" ht="15.75" x14ac:dyDescent="0.25">
      <c r="A512" s="33">
        <v>56522</v>
      </c>
      <c r="B512" s="14">
        <f>86.5957 * CHOOSE(CONTROL!$C$9, $D$9, 100%, $F$9) + CHOOSE(CONTROL!$C$27, 0.0021, 0)</f>
        <v>86.597799999999992</v>
      </c>
      <c r="C512" s="14">
        <f>86.1635 * CHOOSE(CONTROL!$C$9, $D$9, 100%, $F$9) + CHOOSE(CONTROL!$C$27, 0.0021, 0)</f>
        <v>86.165599999999998</v>
      </c>
      <c r="D512" s="14">
        <f>86.1635 * CHOOSE(CONTROL!$C$9, $D$9, 100%, $F$9) + CHOOSE(CONTROL!$C$27, 0.0021, 0)</f>
        <v>86.165599999999998</v>
      </c>
      <c r="E512" s="14">
        <f>86.0268 * CHOOSE(CONTROL!$C$9, $D$9, 100%, $F$9) + CHOOSE(CONTROL!$C$27, 0.0021, 0)</f>
        <v>86.028899999999993</v>
      </c>
      <c r="F512" s="14">
        <f>86.0268 * CHOOSE(CONTROL!$C$9, $D$9, 100%, $F$9) + CHOOSE(CONTROL!$C$27, 0.0021, 0)</f>
        <v>86.028899999999993</v>
      </c>
      <c r="G512" s="14">
        <f>86.2982 * CHOOSE(CONTROL!$C$9, $D$9, 100%, $F$9) + CHOOSE(CONTROL!$C$27, 0.0021, 0)</f>
        <v>86.300299999999993</v>
      </c>
      <c r="H512" s="14">
        <f>86.1635 * CHOOSE(CONTROL!$C$9, $D$9, 100%, $F$9) + CHOOSE(CONTROL!$C$27, 0.0021, 0)</f>
        <v>86.165599999999998</v>
      </c>
      <c r="I512" s="14">
        <f>86.1635 * CHOOSE(CONTROL!$C$9, $D$9, 100%, $F$9) + CHOOSE(CONTROL!$C$27, 0.0021, 0)</f>
        <v>86.165599999999998</v>
      </c>
      <c r="J512" s="14">
        <f>86.1635 * CHOOSE(CONTROL!$C$9, $D$9, 100%, $F$9) + CHOOSE(CONTROL!$C$27, 0.0021, 0)</f>
        <v>86.165599999999998</v>
      </c>
      <c r="K512" s="14">
        <f>86.1635 * CHOOSE(CONTROL!$C$9, $D$9, 100%, $F$9) + CHOOSE(CONTROL!$C$27, 0.0021, 0)</f>
        <v>86.165599999999998</v>
      </c>
      <c r="L512" s="14"/>
    </row>
    <row r="513" spans="1:12" ht="15.75" x14ac:dyDescent="0.25">
      <c r="A513" s="33">
        <v>56553</v>
      </c>
      <c r="B513" s="14">
        <f>88.7225 * CHOOSE(CONTROL!$C$9, $D$9, 100%, $F$9) + CHOOSE(CONTROL!$C$27, 0.0021, 0)</f>
        <v>88.724599999999995</v>
      </c>
      <c r="C513" s="14">
        <f>88.2903 * CHOOSE(CONTROL!$C$9, $D$9, 100%, $F$9) + CHOOSE(CONTROL!$C$27, 0.0021, 0)</f>
        <v>88.292400000000001</v>
      </c>
      <c r="D513" s="14">
        <f>88.2903 * CHOOSE(CONTROL!$C$9, $D$9, 100%, $F$9) + CHOOSE(CONTROL!$C$27, 0.0021, 0)</f>
        <v>88.292400000000001</v>
      </c>
      <c r="E513" s="14">
        <f>88.1536 * CHOOSE(CONTROL!$C$9, $D$9, 100%, $F$9) + CHOOSE(CONTROL!$C$27, 0.0021, 0)</f>
        <v>88.155699999999996</v>
      </c>
      <c r="F513" s="14">
        <f>88.1536 * CHOOSE(CONTROL!$C$9, $D$9, 100%, $F$9) + CHOOSE(CONTROL!$C$27, 0.0021, 0)</f>
        <v>88.155699999999996</v>
      </c>
      <c r="G513" s="14">
        <f>88.425 * CHOOSE(CONTROL!$C$9, $D$9, 100%, $F$9) + CHOOSE(CONTROL!$C$27, 0.0021, 0)</f>
        <v>88.427099999999996</v>
      </c>
      <c r="H513" s="14">
        <f>88.2903 * CHOOSE(CONTROL!$C$9, $D$9, 100%, $F$9) + CHOOSE(CONTROL!$C$27, 0.0021, 0)</f>
        <v>88.292400000000001</v>
      </c>
      <c r="I513" s="14">
        <f>88.2903 * CHOOSE(CONTROL!$C$9, $D$9, 100%, $F$9) + CHOOSE(CONTROL!$C$27, 0.0021, 0)</f>
        <v>88.292400000000001</v>
      </c>
      <c r="J513" s="14">
        <f>88.2903 * CHOOSE(CONTROL!$C$9, $D$9, 100%, $F$9) + CHOOSE(CONTROL!$C$27, 0.0021, 0)</f>
        <v>88.292400000000001</v>
      </c>
      <c r="K513" s="14">
        <f>88.2903 * CHOOSE(CONTROL!$C$9, $D$9, 100%, $F$9) + CHOOSE(CONTROL!$C$27, 0.0021, 0)</f>
        <v>88.292400000000001</v>
      </c>
      <c r="L513" s="14"/>
    </row>
    <row r="514" spans="1:12" ht="15.75" x14ac:dyDescent="0.25">
      <c r="A514" s="33">
        <v>56583</v>
      </c>
      <c r="B514" s="14">
        <f>88.9222 * CHOOSE(CONTROL!$C$9, $D$9, 100%, $F$9) + CHOOSE(CONTROL!$C$27, 0.0021, 0)</f>
        <v>88.924300000000002</v>
      </c>
      <c r="C514" s="14">
        <f>88.4899 * CHOOSE(CONTROL!$C$9, $D$9, 100%, $F$9) + CHOOSE(CONTROL!$C$27, 0.0021, 0)</f>
        <v>88.492000000000004</v>
      </c>
      <c r="D514" s="14">
        <f>88.4899 * CHOOSE(CONTROL!$C$9, $D$9, 100%, $F$9) + CHOOSE(CONTROL!$C$27, 0.0021, 0)</f>
        <v>88.492000000000004</v>
      </c>
      <c r="E514" s="14">
        <f>88.3533 * CHOOSE(CONTROL!$C$9, $D$9, 100%, $F$9) + CHOOSE(CONTROL!$C$27, 0.0021, 0)</f>
        <v>88.355400000000003</v>
      </c>
      <c r="F514" s="14">
        <f>88.3533 * CHOOSE(CONTROL!$C$9, $D$9, 100%, $F$9) + CHOOSE(CONTROL!$C$27, 0.0021, 0)</f>
        <v>88.355400000000003</v>
      </c>
      <c r="G514" s="14">
        <f>88.6246 * CHOOSE(CONTROL!$C$9, $D$9, 100%, $F$9) + CHOOSE(CONTROL!$C$27, 0.0021, 0)</f>
        <v>88.6267</v>
      </c>
      <c r="H514" s="14">
        <f>88.4899 * CHOOSE(CONTROL!$C$9, $D$9, 100%, $F$9) + CHOOSE(CONTROL!$C$27, 0.0021, 0)</f>
        <v>88.492000000000004</v>
      </c>
      <c r="I514" s="14">
        <f>88.4899 * CHOOSE(CONTROL!$C$9, $D$9, 100%, $F$9) + CHOOSE(CONTROL!$C$27, 0.0021, 0)</f>
        <v>88.492000000000004</v>
      </c>
      <c r="J514" s="14">
        <f>88.4899 * CHOOSE(CONTROL!$C$9, $D$9, 100%, $F$9) + CHOOSE(CONTROL!$C$27, 0.0021, 0)</f>
        <v>88.492000000000004</v>
      </c>
      <c r="K514" s="14">
        <f>88.4899 * CHOOSE(CONTROL!$C$9, $D$9, 100%, $F$9) + CHOOSE(CONTROL!$C$27, 0.0021, 0)</f>
        <v>88.492000000000004</v>
      </c>
      <c r="L514" s="14"/>
    </row>
    <row r="515" spans="1:12" ht="15.75" x14ac:dyDescent="0.25">
      <c r="A515" s="33">
        <v>56614</v>
      </c>
      <c r="B515" s="14">
        <f>87.2236 * CHOOSE(CONTROL!$C$9, $D$9, 100%, $F$9) + CHOOSE(CONTROL!$C$27, 0.0021, 0)</f>
        <v>87.225700000000003</v>
      </c>
      <c r="C515" s="14">
        <f>86.7913 * CHOOSE(CONTROL!$C$9, $D$9, 100%, $F$9) + CHOOSE(CONTROL!$C$27, 0.0021, 0)</f>
        <v>86.793400000000005</v>
      </c>
      <c r="D515" s="14">
        <f>86.7913 * CHOOSE(CONTROL!$C$9, $D$9, 100%, $F$9) + CHOOSE(CONTROL!$C$27, 0.0021, 0)</f>
        <v>86.793400000000005</v>
      </c>
      <c r="E515" s="14">
        <f>86.6546 * CHOOSE(CONTROL!$C$9, $D$9, 100%, $F$9) + CHOOSE(CONTROL!$C$27, 0.0021, 0)</f>
        <v>86.656700000000001</v>
      </c>
      <c r="F515" s="14">
        <f>86.6546 * CHOOSE(CONTROL!$C$9, $D$9, 100%, $F$9) + CHOOSE(CONTROL!$C$27, 0.0021, 0)</f>
        <v>86.656700000000001</v>
      </c>
      <c r="G515" s="14">
        <f>86.926 * CHOOSE(CONTROL!$C$9, $D$9, 100%, $F$9) + CHOOSE(CONTROL!$C$27, 0.0021, 0)</f>
        <v>86.928100000000001</v>
      </c>
      <c r="H515" s="14">
        <f>86.7913 * CHOOSE(CONTROL!$C$9, $D$9, 100%, $F$9) + CHOOSE(CONTROL!$C$27, 0.0021, 0)</f>
        <v>86.793400000000005</v>
      </c>
      <c r="I515" s="14">
        <f>86.7913 * CHOOSE(CONTROL!$C$9, $D$9, 100%, $F$9) + CHOOSE(CONTROL!$C$27, 0.0021, 0)</f>
        <v>86.793400000000005</v>
      </c>
      <c r="J515" s="14">
        <f>86.7913 * CHOOSE(CONTROL!$C$9, $D$9, 100%, $F$9) + CHOOSE(CONTROL!$C$27, 0.0021, 0)</f>
        <v>86.793400000000005</v>
      </c>
      <c r="K515" s="14">
        <f>86.7913 * CHOOSE(CONTROL!$C$9, $D$9, 100%, $F$9) + CHOOSE(CONTROL!$C$27, 0.0021, 0)</f>
        <v>86.793400000000005</v>
      </c>
      <c r="L515" s="14"/>
    </row>
    <row r="516" spans="1:12" ht="15.75" x14ac:dyDescent="0.25">
      <c r="A516" s="32">
        <v>56645</v>
      </c>
      <c r="B516" s="14">
        <f>86.1499 * CHOOSE(CONTROL!$C$9, $D$9, 100%, $F$9) + CHOOSE(CONTROL!$C$27, 0.0021, 0)</f>
        <v>86.152000000000001</v>
      </c>
      <c r="C516" s="14">
        <f>85.7177 * CHOOSE(CONTROL!$C$9, $D$9, 100%, $F$9) + CHOOSE(CONTROL!$C$27, 0.0021, 0)</f>
        <v>85.719799999999992</v>
      </c>
      <c r="D516" s="14">
        <f>85.7177 * CHOOSE(CONTROL!$C$9, $D$9, 100%, $F$9) + CHOOSE(CONTROL!$C$27, 0.0021, 0)</f>
        <v>85.719799999999992</v>
      </c>
      <c r="E516" s="14">
        <f>85.581 * CHOOSE(CONTROL!$C$9, $D$9, 100%, $F$9) + CHOOSE(CONTROL!$C$27, 0.0021, 0)</f>
        <v>85.583100000000002</v>
      </c>
      <c r="F516" s="14">
        <f>85.581 * CHOOSE(CONTROL!$C$9, $D$9, 100%, $F$9) + CHOOSE(CONTROL!$C$27, 0.0021, 0)</f>
        <v>85.583100000000002</v>
      </c>
      <c r="G516" s="14">
        <f>85.8524 * CHOOSE(CONTROL!$C$9, $D$9, 100%, $F$9) + CHOOSE(CONTROL!$C$27, 0.0021, 0)</f>
        <v>85.854500000000002</v>
      </c>
      <c r="H516" s="14">
        <f>85.7177 * CHOOSE(CONTROL!$C$9, $D$9, 100%, $F$9) + CHOOSE(CONTROL!$C$27, 0.0021, 0)</f>
        <v>85.719799999999992</v>
      </c>
      <c r="I516" s="14">
        <f>85.7177 * CHOOSE(CONTROL!$C$9, $D$9, 100%, $F$9) + CHOOSE(CONTROL!$C$27, 0.0021, 0)</f>
        <v>85.719799999999992</v>
      </c>
      <c r="J516" s="14">
        <f>85.7177 * CHOOSE(CONTROL!$C$9, $D$9, 100%, $F$9) + CHOOSE(CONTROL!$C$27, 0.0021, 0)</f>
        <v>85.719799999999992</v>
      </c>
      <c r="K516" s="14">
        <f>85.7177 * CHOOSE(CONTROL!$C$9, $D$9, 100%, $F$9) + CHOOSE(CONTROL!$C$27, 0.0021, 0)</f>
        <v>85.719799999999992</v>
      </c>
      <c r="L516" s="14"/>
    </row>
    <row r="517" spans="1:12" ht="15.75" x14ac:dyDescent="0.25">
      <c r="A517" s="32">
        <v>56673</v>
      </c>
      <c r="B517" s="14">
        <f>83.778 * CHOOSE(CONTROL!$C$9, $D$9, 100%, $F$9) + CHOOSE(CONTROL!$C$27, 0.0021, 0)</f>
        <v>83.780100000000004</v>
      </c>
      <c r="C517" s="14">
        <f>83.3458 * CHOOSE(CONTROL!$C$9, $D$9, 100%, $F$9) + CHOOSE(CONTROL!$C$27, 0.0021, 0)</f>
        <v>83.347899999999996</v>
      </c>
      <c r="D517" s="14">
        <f>83.3458 * CHOOSE(CONTROL!$C$9, $D$9, 100%, $F$9) + CHOOSE(CONTROL!$C$27, 0.0021, 0)</f>
        <v>83.347899999999996</v>
      </c>
      <c r="E517" s="14">
        <f>83.2091 * CHOOSE(CONTROL!$C$9, $D$9, 100%, $F$9) + CHOOSE(CONTROL!$C$27, 0.0021, 0)</f>
        <v>83.211200000000005</v>
      </c>
      <c r="F517" s="14">
        <f>83.2091 * CHOOSE(CONTROL!$C$9, $D$9, 100%, $F$9) + CHOOSE(CONTROL!$C$27, 0.0021, 0)</f>
        <v>83.211200000000005</v>
      </c>
      <c r="G517" s="14">
        <f>83.4805 * CHOOSE(CONTROL!$C$9, $D$9, 100%, $F$9) + CHOOSE(CONTROL!$C$27, 0.0021, 0)</f>
        <v>83.482600000000005</v>
      </c>
      <c r="H517" s="14">
        <f>83.3458 * CHOOSE(CONTROL!$C$9, $D$9, 100%, $F$9) + CHOOSE(CONTROL!$C$27, 0.0021, 0)</f>
        <v>83.347899999999996</v>
      </c>
      <c r="I517" s="14">
        <f>83.3458 * CHOOSE(CONTROL!$C$9, $D$9, 100%, $F$9) + CHOOSE(CONTROL!$C$27, 0.0021, 0)</f>
        <v>83.347899999999996</v>
      </c>
      <c r="J517" s="14">
        <f>83.3458 * CHOOSE(CONTROL!$C$9, $D$9, 100%, $F$9) + CHOOSE(CONTROL!$C$27, 0.0021, 0)</f>
        <v>83.347899999999996</v>
      </c>
      <c r="K517" s="14">
        <f>83.3458 * CHOOSE(CONTROL!$C$9, $D$9, 100%, $F$9) + CHOOSE(CONTROL!$C$27, 0.0021, 0)</f>
        <v>83.347899999999996</v>
      </c>
      <c r="L517" s="14"/>
    </row>
    <row r="518" spans="1:12" ht="15.75" x14ac:dyDescent="0.25">
      <c r="A518" s="32">
        <v>56704</v>
      </c>
      <c r="B518" s="14">
        <f>82.7989 * CHOOSE(CONTROL!$C$9, $D$9, 100%, $F$9) + CHOOSE(CONTROL!$C$27, 0.0021, 0)</f>
        <v>82.801000000000002</v>
      </c>
      <c r="C518" s="14">
        <f>82.3666 * CHOOSE(CONTROL!$C$9, $D$9, 100%, $F$9) + CHOOSE(CONTROL!$C$27, 0.0021, 0)</f>
        <v>82.368700000000004</v>
      </c>
      <c r="D518" s="14">
        <f>82.3666 * CHOOSE(CONTROL!$C$9, $D$9, 100%, $F$9) + CHOOSE(CONTROL!$C$27, 0.0021, 0)</f>
        <v>82.368700000000004</v>
      </c>
      <c r="E518" s="14">
        <f>82.23 * CHOOSE(CONTROL!$C$9, $D$9, 100%, $F$9) + CHOOSE(CONTROL!$C$27, 0.0021, 0)</f>
        <v>82.232100000000003</v>
      </c>
      <c r="F518" s="14">
        <f>82.23 * CHOOSE(CONTROL!$C$9, $D$9, 100%, $F$9) + CHOOSE(CONTROL!$C$27, 0.0021, 0)</f>
        <v>82.232100000000003</v>
      </c>
      <c r="G518" s="14">
        <f>82.5013 * CHOOSE(CONTROL!$C$9, $D$9, 100%, $F$9) + CHOOSE(CONTROL!$C$27, 0.0021, 0)</f>
        <v>82.503399999999999</v>
      </c>
      <c r="H518" s="14">
        <f>82.3666 * CHOOSE(CONTROL!$C$9, $D$9, 100%, $F$9) + CHOOSE(CONTROL!$C$27, 0.0021, 0)</f>
        <v>82.368700000000004</v>
      </c>
      <c r="I518" s="14">
        <f>82.3666 * CHOOSE(CONTROL!$C$9, $D$9, 100%, $F$9) + CHOOSE(CONTROL!$C$27, 0.0021, 0)</f>
        <v>82.368700000000004</v>
      </c>
      <c r="J518" s="14">
        <f>82.3666 * CHOOSE(CONTROL!$C$9, $D$9, 100%, $F$9) + CHOOSE(CONTROL!$C$27, 0.0021, 0)</f>
        <v>82.368700000000004</v>
      </c>
      <c r="K518" s="14">
        <f>82.3666 * CHOOSE(CONTROL!$C$9, $D$9, 100%, $F$9) + CHOOSE(CONTROL!$C$27, 0.0021, 0)</f>
        <v>82.368700000000004</v>
      </c>
      <c r="L518" s="14"/>
    </row>
    <row r="519" spans="1:12" ht="15.75" x14ac:dyDescent="0.25">
      <c r="A519" s="32">
        <v>56734</v>
      </c>
      <c r="B519" s="14">
        <f>81.6298 * CHOOSE(CONTROL!$C$9, $D$9, 100%, $F$9) + CHOOSE(CONTROL!$C$27, 0.0021, 0)</f>
        <v>81.631900000000002</v>
      </c>
      <c r="C519" s="14">
        <f>81.1975 * CHOOSE(CONTROL!$C$9, $D$9, 100%, $F$9) + CHOOSE(CONTROL!$C$27, 0.0021, 0)</f>
        <v>81.199600000000004</v>
      </c>
      <c r="D519" s="14">
        <f>81.1975 * CHOOSE(CONTROL!$C$9, $D$9, 100%, $F$9) + CHOOSE(CONTROL!$C$27, 0.0021, 0)</f>
        <v>81.199600000000004</v>
      </c>
      <c r="E519" s="14">
        <f>81.0609 * CHOOSE(CONTROL!$C$9, $D$9, 100%, $F$9) + CHOOSE(CONTROL!$C$27, 0.0021, 0)</f>
        <v>81.063000000000002</v>
      </c>
      <c r="F519" s="14">
        <f>81.0609 * CHOOSE(CONTROL!$C$9, $D$9, 100%, $F$9) + CHOOSE(CONTROL!$C$27, 0.0021, 0)</f>
        <v>81.063000000000002</v>
      </c>
      <c r="G519" s="14">
        <f>81.3322 * CHOOSE(CONTROL!$C$9, $D$9, 100%, $F$9) + CHOOSE(CONTROL!$C$27, 0.0021, 0)</f>
        <v>81.334299999999999</v>
      </c>
      <c r="H519" s="14">
        <f>81.1975 * CHOOSE(CONTROL!$C$9, $D$9, 100%, $F$9) + CHOOSE(CONTROL!$C$27, 0.0021, 0)</f>
        <v>81.199600000000004</v>
      </c>
      <c r="I519" s="14">
        <f>81.1975 * CHOOSE(CONTROL!$C$9, $D$9, 100%, $F$9) + CHOOSE(CONTROL!$C$27, 0.0021, 0)</f>
        <v>81.199600000000004</v>
      </c>
      <c r="J519" s="14">
        <f>81.1975 * CHOOSE(CONTROL!$C$9, $D$9, 100%, $F$9) + CHOOSE(CONTROL!$C$27, 0.0021, 0)</f>
        <v>81.199600000000004</v>
      </c>
      <c r="K519" s="14">
        <f>81.1975 * CHOOSE(CONTROL!$C$9, $D$9, 100%, $F$9) + CHOOSE(CONTROL!$C$27, 0.0021, 0)</f>
        <v>81.199600000000004</v>
      </c>
      <c r="L519" s="14"/>
    </row>
    <row r="520" spans="1:12" ht="15.75" x14ac:dyDescent="0.25">
      <c r="A520" s="32">
        <v>56765</v>
      </c>
      <c r="B520" s="14">
        <f>83.2959 * CHOOSE(CONTROL!$C$9, $D$9, 100%, $F$9) + CHOOSE(CONTROL!$C$27, 0.0021, 0)</f>
        <v>83.298000000000002</v>
      </c>
      <c r="C520" s="14">
        <f>82.8636 * CHOOSE(CONTROL!$C$9, $D$9, 100%, $F$9) + CHOOSE(CONTROL!$C$27, 0.0021, 0)</f>
        <v>82.865700000000004</v>
      </c>
      <c r="D520" s="14">
        <f>82.8636 * CHOOSE(CONTROL!$C$9, $D$9, 100%, $F$9) + CHOOSE(CONTROL!$C$27, 0.0021, 0)</f>
        <v>82.865700000000004</v>
      </c>
      <c r="E520" s="14">
        <f>82.727 * CHOOSE(CONTROL!$C$9, $D$9, 100%, $F$9) + CHOOSE(CONTROL!$C$27, 0.0021, 0)</f>
        <v>82.729100000000003</v>
      </c>
      <c r="F520" s="14">
        <f>82.727 * CHOOSE(CONTROL!$C$9, $D$9, 100%, $F$9) + CHOOSE(CONTROL!$C$27, 0.0021, 0)</f>
        <v>82.729100000000003</v>
      </c>
      <c r="G520" s="14">
        <f>82.9983 * CHOOSE(CONTROL!$C$9, $D$9, 100%, $F$9) + CHOOSE(CONTROL!$C$27, 0.0021, 0)</f>
        <v>83.000399999999999</v>
      </c>
      <c r="H520" s="14">
        <f>82.8636 * CHOOSE(CONTROL!$C$9, $D$9, 100%, $F$9) + CHOOSE(CONTROL!$C$27, 0.0021, 0)</f>
        <v>82.865700000000004</v>
      </c>
      <c r="I520" s="14">
        <f>82.8636 * CHOOSE(CONTROL!$C$9, $D$9, 100%, $F$9) + CHOOSE(CONTROL!$C$27, 0.0021, 0)</f>
        <v>82.865700000000004</v>
      </c>
      <c r="J520" s="14">
        <f>82.8636 * CHOOSE(CONTROL!$C$9, $D$9, 100%, $F$9) + CHOOSE(CONTROL!$C$27, 0.0021, 0)</f>
        <v>82.865700000000004</v>
      </c>
      <c r="K520" s="14">
        <f>82.8636 * CHOOSE(CONTROL!$C$9, $D$9, 100%, $F$9) + CHOOSE(CONTROL!$C$27, 0.0021, 0)</f>
        <v>82.865700000000004</v>
      </c>
      <c r="L520" s="14"/>
    </row>
    <row r="521" spans="1:12" ht="15.75" x14ac:dyDescent="0.25">
      <c r="A521" s="32">
        <v>56795</v>
      </c>
      <c r="B521" s="14">
        <f>84.2938 * CHOOSE(CONTROL!$C$9, $D$9, 100%, $F$9) + CHOOSE(CONTROL!$C$27, 0.0021, 0)</f>
        <v>84.295900000000003</v>
      </c>
      <c r="C521" s="14">
        <f>83.8616 * CHOOSE(CONTROL!$C$9, $D$9, 100%, $F$9) + CHOOSE(CONTROL!$C$27, 0.0021, 0)</f>
        <v>83.863699999999994</v>
      </c>
      <c r="D521" s="14">
        <f>83.8616 * CHOOSE(CONTROL!$C$9, $D$9, 100%, $F$9) + CHOOSE(CONTROL!$C$27, 0.0021, 0)</f>
        <v>83.863699999999994</v>
      </c>
      <c r="E521" s="14">
        <f>83.7249 * CHOOSE(CONTROL!$C$9, $D$9, 100%, $F$9) + CHOOSE(CONTROL!$C$27, 0.0021, 0)</f>
        <v>83.727000000000004</v>
      </c>
      <c r="F521" s="14">
        <f>83.7249 * CHOOSE(CONTROL!$C$9, $D$9, 100%, $F$9) + CHOOSE(CONTROL!$C$27, 0.0021, 0)</f>
        <v>83.727000000000004</v>
      </c>
      <c r="G521" s="14">
        <f>83.9963 * CHOOSE(CONTROL!$C$9, $D$9, 100%, $F$9) + CHOOSE(CONTROL!$C$27, 0.0021, 0)</f>
        <v>83.998400000000004</v>
      </c>
      <c r="H521" s="14">
        <f>83.8616 * CHOOSE(CONTROL!$C$9, $D$9, 100%, $F$9) + CHOOSE(CONTROL!$C$27, 0.0021, 0)</f>
        <v>83.863699999999994</v>
      </c>
      <c r="I521" s="14">
        <f>83.8616 * CHOOSE(CONTROL!$C$9, $D$9, 100%, $F$9) + CHOOSE(CONTROL!$C$27, 0.0021, 0)</f>
        <v>83.863699999999994</v>
      </c>
      <c r="J521" s="14">
        <f>83.8616 * CHOOSE(CONTROL!$C$9, $D$9, 100%, $F$9) + CHOOSE(CONTROL!$C$27, 0.0021, 0)</f>
        <v>83.863699999999994</v>
      </c>
      <c r="K521" s="14">
        <f>83.8616 * CHOOSE(CONTROL!$C$9, $D$9, 100%, $F$9) + CHOOSE(CONTROL!$C$27, 0.0021, 0)</f>
        <v>83.863699999999994</v>
      </c>
      <c r="L521" s="14"/>
    </row>
    <row r="522" spans="1:12" ht="15.75" x14ac:dyDescent="0.25">
      <c r="A522" s="32">
        <v>56826</v>
      </c>
      <c r="B522" s="14">
        <f>85.9401 * CHOOSE(CONTROL!$C$9, $D$9, 100%, $F$9) + CHOOSE(CONTROL!$C$27, 0.0021, 0)</f>
        <v>85.9422</v>
      </c>
      <c r="C522" s="14">
        <f>85.5078 * CHOOSE(CONTROL!$C$9, $D$9, 100%, $F$9) + CHOOSE(CONTROL!$C$27, 0.0021, 0)</f>
        <v>85.509900000000002</v>
      </c>
      <c r="D522" s="14">
        <f>85.5078 * CHOOSE(CONTROL!$C$9, $D$9, 100%, $F$9) + CHOOSE(CONTROL!$C$27, 0.0021, 0)</f>
        <v>85.509900000000002</v>
      </c>
      <c r="E522" s="14">
        <f>85.3711 * CHOOSE(CONTROL!$C$9, $D$9, 100%, $F$9) + CHOOSE(CONTROL!$C$27, 0.0021, 0)</f>
        <v>85.373199999999997</v>
      </c>
      <c r="F522" s="14">
        <f>85.3711 * CHOOSE(CONTROL!$C$9, $D$9, 100%, $F$9) + CHOOSE(CONTROL!$C$27, 0.0021, 0)</f>
        <v>85.373199999999997</v>
      </c>
      <c r="G522" s="14">
        <f>85.6425 * CHOOSE(CONTROL!$C$9, $D$9, 100%, $F$9) + CHOOSE(CONTROL!$C$27, 0.0021, 0)</f>
        <v>85.644599999999997</v>
      </c>
      <c r="H522" s="14">
        <f>85.5078 * CHOOSE(CONTROL!$C$9, $D$9, 100%, $F$9) + CHOOSE(CONTROL!$C$27, 0.0021, 0)</f>
        <v>85.509900000000002</v>
      </c>
      <c r="I522" s="14">
        <f>85.5078 * CHOOSE(CONTROL!$C$9, $D$9, 100%, $F$9) + CHOOSE(CONTROL!$C$27, 0.0021, 0)</f>
        <v>85.509900000000002</v>
      </c>
      <c r="J522" s="14">
        <f>85.5078 * CHOOSE(CONTROL!$C$9, $D$9, 100%, $F$9) + CHOOSE(CONTROL!$C$27, 0.0021, 0)</f>
        <v>85.509900000000002</v>
      </c>
      <c r="K522" s="14">
        <f>85.5078 * CHOOSE(CONTROL!$C$9, $D$9, 100%, $F$9) + CHOOSE(CONTROL!$C$27, 0.0021, 0)</f>
        <v>85.509900000000002</v>
      </c>
      <c r="L522" s="14"/>
    </row>
    <row r="523" spans="1:12" ht="15.75" x14ac:dyDescent="0.25">
      <c r="A523" s="32">
        <v>56857</v>
      </c>
      <c r="B523" s="14">
        <f>86.4425 * CHOOSE(CONTROL!$C$9, $D$9, 100%, $F$9) + CHOOSE(CONTROL!$C$27, 0.0021, 0)</f>
        <v>86.444599999999994</v>
      </c>
      <c r="C523" s="14">
        <f>86.0103 * CHOOSE(CONTROL!$C$9, $D$9, 100%, $F$9) + CHOOSE(CONTROL!$C$27, 0.0021, 0)</f>
        <v>86.0124</v>
      </c>
      <c r="D523" s="14">
        <f>86.0103 * CHOOSE(CONTROL!$C$9, $D$9, 100%, $F$9) + CHOOSE(CONTROL!$C$27, 0.0021, 0)</f>
        <v>86.0124</v>
      </c>
      <c r="E523" s="14">
        <f>85.8736 * CHOOSE(CONTROL!$C$9, $D$9, 100%, $F$9) + CHOOSE(CONTROL!$C$27, 0.0021, 0)</f>
        <v>85.875699999999995</v>
      </c>
      <c r="F523" s="14">
        <f>85.8736 * CHOOSE(CONTROL!$C$9, $D$9, 100%, $F$9) + CHOOSE(CONTROL!$C$27, 0.0021, 0)</f>
        <v>85.875699999999995</v>
      </c>
      <c r="G523" s="14">
        <f>86.145 * CHOOSE(CONTROL!$C$9, $D$9, 100%, $F$9) + CHOOSE(CONTROL!$C$27, 0.0021, 0)</f>
        <v>86.147099999999995</v>
      </c>
      <c r="H523" s="14">
        <f>86.0103 * CHOOSE(CONTROL!$C$9, $D$9, 100%, $F$9) + CHOOSE(CONTROL!$C$27, 0.0021, 0)</f>
        <v>86.0124</v>
      </c>
      <c r="I523" s="14">
        <f>86.0103 * CHOOSE(CONTROL!$C$9, $D$9, 100%, $F$9) + CHOOSE(CONTROL!$C$27, 0.0021, 0)</f>
        <v>86.0124</v>
      </c>
      <c r="J523" s="14">
        <f>86.0103 * CHOOSE(CONTROL!$C$9, $D$9, 100%, $F$9) + CHOOSE(CONTROL!$C$27, 0.0021, 0)</f>
        <v>86.0124</v>
      </c>
      <c r="K523" s="14">
        <f>86.0103 * CHOOSE(CONTROL!$C$9, $D$9, 100%, $F$9) + CHOOSE(CONTROL!$C$27, 0.0021, 0)</f>
        <v>86.0124</v>
      </c>
      <c r="L523" s="14"/>
    </row>
    <row r="524" spans="1:12" ht="15.75" x14ac:dyDescent="0.25">
      <c r="A524" s="32">
        <v>56887</v>
      </c>
      <c r="B524" s="14">
        <f>88.1537 * CHOOSE(CONTROL!$C$9, $D$9, 100%, $F$9) + CHOOSE(CONTROL!$C$27, 0.0021, 0)</f>
        <v>88.155799999999999</v>
      </c>
      <c r="C524" s="14">
        <f>87.7215 * CHOOSE(CONTROL!$C$9, $D$9, 100%, $F$9) + CHOOSE(CONTROL!$C$27, 0.0021, 0)</f>
        <v>87.723600000000005</v>
      </c>
      <c r="D524" s="14">
        <f>87.7215 * CHOOSE(CONTROL!$C$9, $D$9, 100%, $F$9) + CHOOSE(CONTROL!$C$27, 0.0021, 0)</f>
        <v>87.723600000000005</v>
      </c>
      <c r="E524" s="14">
        <f>87.5848 * CHOOSE(CONTROL!$C$9, $D$9, 100%, $F$9) + CHOOSE(CONTROL!$C$27, 0.0021, 0)</f>
        <v>87.5869</v>
      </c>
      <c r="F524" s="14">
        <f>87.5848 * CHOOSE(CONTROL!$C$9, $D$9, 100%, $F$9) + CHOOSE(CONTROL!$C$27, 0.0021, 0)</f>
        <v>87.5869</v>
      </c>
      <c r="G524" s="14">
        <f>87.8562 * CHOOSE(CONTROL!$C$9, $D$9, 100%, $F$9) + CHOOSE(CONTROL!$C$27, 0.0021, 0)</f>
        <v>87.8583</v>
      </c>
      <c r="H524" s="14">
        <f>87.7215 * CHOOSE(CONTROL!$C$9, $D$9, 100%, $F$9) + CHOOSE(CONTROL!$C$27, 0.0021, 0)</f>
        <v>87.723600000000005</v>
      </c>
      <c r="I524" s="14">
        <f>87.7215 * CHOOSE(CONTROL!$C$9, $D$9, 100%, $F$9) + CHOOSE(CONTROL!$C$27, 0.0021, 0)</f>
        <v>87.723600000000005</v>
      </c>
      <c r="J524" s="14">
        <f>87.7215 * CHOOSE(CONTROL!$C$9, $D$9, 100%, $F$9) + CHOOSE(CONTROL!$C$27, 0.0021, 0)</f>
        <v>87.723600000000005</v>
      </c>
      <c r="K524" s="14">
        <f>87.7215 * CHOOSE(CONTROL!$C$9, $D$9, 100%, $F$9) + CHOOSE(CONTROL!$C$27, 0.0021, 0)</f>
        <v>87.723600000000005</v>
      </c>
      <c r="L524" s="14"/>
    </row>
    <row r="525" spans="1:12" ht="15.75" x14ac:dyDescent="0.25">
      <c r="A525" s="32">
        <v>56918</v>
      </c>
      <c r="B525" s="14">
        <f>90.3198 * CHOOSE(CONTROL!$C$9, $D$9, 100%, $F$9) + CHOOSE(CONTROL!$C$27, 0.0021, 0)</f>
        <v>90.321899999999999</v>
      </c>
      <c r="C525" s="14">
        <f>89.8876 * CHOOSE(CONTROL!$C$9, $D$9, 100%, $F$9) + CHOOSE(CONTROL!$C$27, 0.0021, 0)</f>
        <v>89.889700000000005</v>
      </c>
      <c r="D525" s="14">
        <f>89.8876 * CHOOSE(CONTROL!$C$9, $D$9, 100%, $F$9) + CHOOSE(CONTROL!$C$27, 0.0021, 0)</f>
        <v>89.889700000000005</v>
      </c>
      <c r="E525" s="14">
        <f>89.7509 * CHOOSE(CONTROL!$C$9, $D$9, 100%, $F$9) + CHOOSE(CONTROL!$C$27, 0.0021, 0)</f>
        <v>89.753</v>
      </c>
      <c r="F525" s="14">
        <f>89.7509 * CHOOSE(CONTROL!$C$9, $D$9, 100%, $F$9) + CHOOSE(CONTROL!$C$27, 0.0021, 0)</f>
        <v>89.753</v>
      </c>
      <c r="G525" s="14">
        <f>90.0223 * CHOOSE(CONTROL!$C$9, $D$9, 100%, $F$9) + CHOOSE(CONTROL!$C$27, 0.0021, 0)</f>
        <v>90.0244</v>
      </c>
      <c r="H525" s="14">
        <f>89.8876 * CHOOSE(CONTROL!$C$9, $D$9, 100%, $F$9) + CHOOSE(CONTROL!$C$27, 0.0021, 0)</f>
        <v>89.889700000000005</v>
      </c>
      <c r="I525" s="14">
        <f>89.8876 * CHOOSE(CONTROL!$C$9, $D$9, 100%, $F$9) + CHOOSE(CONTROL!$C$27, 0.0021, 0)</f>
        <v>89.889700000000005</v>
      </c>
      <c r="J525" s="14">
        <f>89.8876 * CHOOSE(CONTROL!$C$9, $D$9, 100%, $F$9) + CHOOSE(CONTROL!$C$27, 0.0021, 0)</f>
        <v>89.889700000000005</v>
      </c>
      <c r="K525" s="14">
        <f>89.8876 * CHOOSE(CONTROL!$C$9, $D$9, 100%, $F$9) + CHOOSE(CONTROL!$C$27, 0.0021, 0)</f>
        <v>89.889700000000005</v>
      </c>
      <c r="L525" s="14"/>
    </row>
    <row r="526" spans="1:12" ht="15.75" x14ac:dyDescent="0.25">
      <c r="A526" s="32">
        <v>56948</v>
      </c>
      <c r="B526" s="14">
        <f>90.5231 * CHOOSE(CONTROL!$C$9, $D$9, 100%, $F$9) + CHOOSE(CONTROL!$C$27, 0.0021, 0)</f>
        <v>90.525199999999998</v>
      </c>
      <c r="C526" s="14">
        <f>90.0909 * CHOOSE(CONTROL!$C$9, $D$9, 100%, $F$9) + CHOOSE(CONTROL!$C$27, 0.0021, 0)</f>
        <v>90.093000000000004</v>
      </c>
      <c r="D526" s="14">
        <f>90.0909 * CHOOSE(CONTROL!$C$9, $D$9, 100%, $F$9) + CHOOSE(CONTROL!$C$27, 0.0021, 0)</f>
        <v>90.093000000000004</v>
      </c>
      <c r="E526" s="14">
        <f>89.9542 * CHOOSE(CONTROL!$C$9, $D$9, 100%, $F$9) + CHOOSE(CONTROL!$C$27, 0.0021, 0)</f>
        <v>89.956299999999999</v>
      </c>
      <c r="F526" s="14">
        <f>89.9542 * CHOOSE(CONTROL!$C$9, $D$9, 100%, $F$9) + CHOOSE(CONTROL!$C$27, 0.0021, 0)</f>
        <v>89.956299999999999</v>
      </c>
      <c r="G526" s="14">
        <f>90.2256 * CHOOSE(CONTROL!$C$9, $D$9, 100%, $F$9) + CHOOSE(CONTROL!$C$27, 0.0021, 0)</f>
        <v>90.227699999999999</v>
      </c>
      <c r="H526" s="14">
        <f>90.0909 * CHOOSE(CONTROL!$C$9, $D$9, 100%, $F$9) + CHOOSE(CONTROL!$C$27, 0.0021, 0)</f>
        <v>90.093000000000004</v>
      </c>
      <c r="I526" s="14">
        <f>90.0909 * CHOOSE(CONTROL!$C$9, $D$9, 100%, $F$9) + CHOOSE(CONTROL!$C$27, 0.0021, 0)</f>
        <v>90.093000000000004</v>
      </c>
      <c r="J526" s="14">
        <f>90.0909 * CHOOSE(CONTROL!$C$9, $D$9, 100%, $F$9) + CHOOSE(CONTROL!$C$27, 0.0021, 0)</f>
        <v>90.093000000000004</v>
      </c>
      <c r="K526" s="14">
        <f>90.0909 * CHOOSE(CONTROL!$C$9, $D$9, 100%, $F$9) + CHOOSE(CONTROL!$C$27, 0.0021, 0)</f>
        <v>90.093000000000004</v>
      </c>
      <c r="L526" s="14"/>
    </row>
    <row r="527" spans="1:12" ht="15.75" x14ac:dyDescent="0.25">
      <c r="A527" s="32">
        <v>56979</v>
      </c>
      <c r="B527" s="14">
        <f>88.7931 * CHOOSE(CONTROL!$C$9, $D$9, 100%, $F$9) + CHOOSE(CONTROL!$C$27, 0.0021, 0)</f>
        <v>88.795199999999994</v>
      </c>
      <c r="C527" s="14">
        <f>88.3609 * CHOOSE(CONTROL!$C$9, $D$9, 100%, $F$9) + CHOOSE(CONTROL!$C$27, 0.0021, 0)</f>
        <v>88.363</v>
      </c>
      <c r="D527" s="14">
        <f>88.3609 * CHOOSE(CONTROL!$C$9, $D$9, 100%, $F$9) + CHOOSE(CONTROL!$C$27, 0.0021, 0)</f>
        <v>88.363</v>
      </c>
      <c r="E527" s="14">
        <f>88.2242 * CHOOSE(CONTROL!$C$9, $D$9, 100%, $F$9) + CHOOSE(CONTROL!$C$27, 0.0021, 0)</f>
        <v>88.226299999999995</v>
      </c>
      <c r="F527" s="14">
        <f>88.2242 * CHOOSE(CONTROL!$C$9, $D$9, 100%, $F$9) + CHOOSE(CONTROL!$C$27, 0.0021, 0)</f>
        <v>88.226299999999995</v>
      </c>
      <c r="G527" s="14">
        <f>88.4956 * CHOOSE(CONTROL!$C$9, $D$9, 100%, $F$9) + CHOOSE(CONTROL!$C$27, 0.0021, 0)</f>
        <v>88.497699999999995</v>
      </c>
      <c r="H527" s="14">
        <f>88.3609 * CHOOSE(CONTROL!$C$9, $D$9, 100%, $F$9) + CHOOSE(CONTROL!$C$27, 0.0021, 0)</f>
        <v>88.363</v>
      </c>
      <c r="I527" s="14">
        <f>88.3609 * CHOOSE(CONTROL!$C$9, $D$9, 100%, $F$9) + CHOOSE(CONTROL!$C$27, 0.0021, 0)</f>
        <v>88.363</v>
      </c>
      <c r="J527" s="14">
        <f>88.3609 * CHOOSE(CONTROL!$C$9, $D$9, 100%, $F$9) + CHOOSE(CONTROL!$C$27, 0.0021, 0)</f>
        <v>88.363</v>
      </c>
      <c r="K527" s="14">
        <f>88.3609 * CHOOSE(CONTROL!$C$9, $D$9, 100%, $F$9) + CHOOSE(CONTROL!$C$27, 0.0021, 0)</f>
        <v>88.363</v>
      </c>
      <c r="L527" s="14"/>
    </row>
    <row r="528" spans="1:12" ht="15.75" x14ac:dyDescent="0.25">
      <c r="A528" s="32">
        <v>57010</v>
      </c>
      <c r="B528" s="14">
        <f>87.6997 * CHOOSE(CONTROL!$C$9, $D$9, 100%, $F$9) + CHOOSE(CONTROL!$C$27, 0.0021, 0)</f>
        <v>87.701800000000006</v>
      </c>
      <c r="C528" s="14">
        <f>87.2675 * CHOOSE(CONTROL!$C$9, $D$9, 100%, $F$9) + CHOOSE(CONTROL!$C$27, 0.0021, 0)</f>
        <v>87.269599999999997</v>
      </c>
      <c r="D528" s="14">
        <f>87.2675 * CHOOSE(CONTROL!$C$9, $D$9, 100%, $F$9) + CHOOSE(CONTROL!$C$27, 0.0021, 0)</f>
        <v>87.269599999999997</v>
      </c>
      <c r="E528" s="14">
        <f>87.1308 * CHOOSE(CONTROL!$C$9, $D$9, 100%, $F$9) + CHOOSE(CONTROL!$C$27, 0.0021, 0)</f>
        <v>87.132899999999992</v>
      </c>
      <c r="F528" s="14">
        <f>87.1308 * CHOOSE(CONTROL!$C$9, $D$9, 100%, $F$9) + CHOOSE(CONTROL!$C$27, 0.0021, 0)</f>
        <v>87.132899999999992</v>
      </c>
      <c r="G528" s="14">
        <f>87.4022 * CHOOSE(CONTROL!$C$9, $D$9, 100%, $F$9) + CHOOSE(CONTROL!$C$27, 0.0021, 0)</f>
        <v>87.404299999999992</v>
      </c>
      <c r="H528" s="14">
        <f>87.2675 * CHOOSE(CONTROL!$C$9, $D$9, 100%, $F$9) + CHOOSE(CONTROL!$C$27, 0.0021, 0)</f>
        <v>87.269599999999997</v>
      </c>
      <c r="I528" s="14">
        <f>87.2675 * CHOOSE(CONTROL!$C$9, $D$9, 100%, $F$9) + CHOOSE(CONTROL!$C$27, 0.0021, 0)</f>
        <v>87.269599999999997</v>
      </c>
      <c r="J528" s="14">
        <f>87.2675 * CHOOSE(CONTROL!$C$9, $D$9, 100%, $F$9) + CHOOSE(CONTROL!$C$27, 0.0021, 0)</f>
        <v>87.269599999999997</v>
      </c>
      <c r="K528" s="14">
        <f>87.2675 * CHOOSE(CONTROL!$C$9, $D$9, 100%, $F$9) + CHOOSE(CONTROL!$C$27, 0.0021, 0)</f>
        <v>87.269599999999997</v>
      </c>
      <c r="L528" s="14"/>
    </row>
    <row r="529" spans="1:12" ht="15.75" x14ac:dyDescent="0.25">
      <c r="A529" s="32">
        <v>57038</v>
      </c>
      <c r="B529" s="14">
        <f>85.2839 * CHOOSE(CONTROL!$C$9, $D$9, 100%, $F$9) + CHOOSE(CONTROL!$C$27, 0.0021, 0)</f>
        <v>85.286000000000001</v>
      </c>
      <c r="C529" s="14">
        <f>84.8517 * CHOOSE(CONTROL!$C$9, $D$9, 100%, $F$9) + CHOOSE(CONTROL!$C$27, 0.0021, 0)</f>
        <v>84.853799999999993</v>
      </c>
      <c r="D529" s="14">
        <f>84.8517 * CHOOSE(CONTROL!$C$9, $D$9, 100%, $F$9) + CHOOSE(CONTROL!$C$27, 0.0021, 0)</f>
        <v>84.853799999999993</v>
      </c>
      <c r="E529" s="14">
        <f>84.715 * CHOOSE(CONTROL!$C$9, $D$9, 100%, $F$9) + CHOOSE(CONTROL!$C$27, 0.0021, 0)</f>
        <v>84.717100000000002</v>
      </c>
      <c r="F529" s="14">
        <f>84.715 * CHOOSE(CONTROL!$C$9, $D$9, 100%, $F$9) + CHOOSE(CONTROL!$C$27, 0.0021, 0)</f>
        <v>84.717100000000002</v>
      </c>
      <c r="G529" s="14">
        <f>84.9864 * CHOOSE(CONTROL!$C$9, $D$9, 100%, $F$9) + CHOOSE(CONTROL!$C$27, 0.0021, 0)</f>
        <v>84.988500000000002</v>
      </c>
      <c r="H529" s="14">
        <f>84.8517 * CHOOSE(CONTROL!$C$9, $D$9, 100%, $F$9) + CHOOSE(CONTROL!$C$27, 0.0021, 0)</f>
        <v>84.853799999999993</v>
      </c>
      <c r="I529" s="14">
        <f>84.8517 * CHOOSE(CONTROL!$C$9, $D$9, 100%, $F$9) + CHOOSE(CONTROL!$C$27, 0.0021, 0)</f>
        <v>84.853799999999993</v>
      </c>
      <c r="J529" s="14">
        <f>84.8517 * CHOOSE(CONTROL!$C$9, $D$9, 100%, $F$9) + CHOOSE(CONTROL!$C$27, 0.0021, 0)</f>
        <v>84.853799999999993</v>
      </c>
      <c r="K529" s="14">
        <f>84.8517 * CHOOSE(CONTROL!$C$9, $D$9, 100%, $F$9) + CHOOSE(CONTROL!$C$27, 0.0021, 0)</f>
        <v>84.853799999999993</v>
      </c>
      <c r="L529" s="14"/>
    </row>
    <row r="530" spans="1:12" ht="15.75" x14ac:dyDescent="0.25">
      <c r="A530" s="32">
        <v>57070</v>
      </c>
      <c r="B530" s="14">
        <f>84.2867 * CHOOSE(CONTROL!$C$9, $D$9, 100%, $F$9) + CHOOSE(CONTROL!$C$27, 0.0021, 0)</f>
        <v>84.288799999999995</v>
      </c>
      <c r="C530" s="14">
        <f>83.8544 * CHOOSE(CONTROL!$C$9, $D$9, 100%, $F$9) + CHOOSE(CONTROL!$C$27, 0.0021, 0)</f>
        <v>83.856499999999997</v>
      </c>
      <c r="D530" s="14">
        <f>83.8544 * CHOOSE(CONTROL!$C$9, $D$9, 100%, $F$9) + CHOOSE(CONTROL!$C$27, 0.0021, 0)</f>
        <v>83.856499999999997</v>
      </c>
      <c r="E530" s="14">
        <f>83.7178 * CHOOSE(CONTROL!$C$9, $D$9, 100%, $F$9) + CHOOSE(CONTROL!$C$27, 0.0021, 0)</f>
        <v>83.719899999999996</v>
      </c>
      <c r="F530" s="14">
        <f>83.7178 * CHOOSE(CONTROL!$C$9, $D$9, 100%, $F$9) + CHOOSE(CONTROL!$C$27, 0.0021, 0)</f>
        <v>83.719899999999996</v>
      </c>
      <c r="G530" s="14">
        <f>83.9892 * CHOOSE(CONTROL!$C$9, $D$9, 100%, $F$9) + CHOOSE(CONTROL!$C$27, 0.0021, 0)</f>
        <v>83.991299999999995</v>
      </c>
      <c r="H530" s="14">
        <f>83.8544 * CHOOSE(CONTROL!$C$9, $D$9, 100%, $F$9) + CHOOSE(CONTROL!$C$27, 0.0021, 0)</f>
        <v>83.856499999999997</v>
      </c>
      <c r="I530" s="14">
        <f>83.8544 * CHOOSE(CONTROL!$C$9, $D$9, 100%, $F$9) + CHOOSE(CONTROL!$C$27, 0.0021, 0)</f>
        <v>83.856499999999997</v>
      </c>
      <c r="J530" s="14">
        <f>83.8544 * CHOOSE(CONTROL!$C$9, $D$9, 100%, $F$9) + CHOOSE(CONTROL!$C$27, 0.0021, 0)</f>
        <v>83.856499999999997</v>
      </c>
      <c r="K530" s="14">
        <f>83.8544 * CHOOSE(CONTROL!$C$9, $D$9, 100%, $F$9) + CHOOSE(CONTROL!$C$27, 0.0021, 0)</f>
        <v>83.856499999999997</v>
      </c>
      <c r="L530" s="14"/>
    </row>
    <row r="531" spans="1:12" ht="15.75" x14ac:dyDescent="0.25">
      <c r="A531" s="32">
        <v>57100</v>
      </c>
      <c r="B531" s="14">
        <f>83.096 * CHOOSE(CONTROL!$C$9, $D$9, 100%, $F$9) + CHOOSE(CONTROL!$C$27, 0.0021, 0)</f>
        <v>83.098100000000002</v>
      </c>
      <c r="C531" s="14">
        <f>82.6637 * CHOOSE(CONTROL!$C$9, $D$9, 100%, $F$9) + CHOOSE(CONTROL!$C$27, 0.0021, 0)</f>
        <v>82.665800000000004</v>
      </c>
      <c r="D531" s="14">
        <f>82.6637 * CHOOSE(CONTROL!$C$9, $D$9, 100%, $F$9) + CHOOSE(CONTROL!$C$27, 0.0021, 0)</f>
        <v>82.665800000000004</v>
      </c>
      <c r="E531" s="14">
        <f>82.5271 * CHOOSE(CONTROL!$C$9, $D$9, 100%, $F$9) + CHOOSE(CONTROL!$C$27, 0.0021, 0)</f>
        <v>82.529200000000003</v>
      </c>
      <c r="F531" s="14">
        <f>82.5271 * CHOOSE(CONTROL!$C$9, $D$9, 100%, $F$9) + CHOOSE(CONTROL!$C$27, 0.0021, 0)</f>
        <v>82.529200000000003</v>
      </c>
      <c r="G531" s="14">
        <f>82.7984 * CHOOSE(CONTROL!$C$9, $D$9, 100%, $F$9) + CHOOSE(CONTROL!$C$27, 0.0021, 0)</f>
        <v>82.8005</v>
      </c>
      <c r="H531" s="14">
        <f>82.6637 * CHOOSE(CONTROL!$C$9, $D$9, 100%, $F$9) + CHOOSE(CONTROL!$C$27, 0.0021, 0)</f>
        <v>82.665800000000004</v>
      </c>
      <c r="I531" s="14">
        <f>82.6637 * CHOOSE(CONTROL!$C$9, $D$9, 100%, $F$9) + CHOOSE(CONTROL!$C$27, 0.0021, 0)</f>
        <v>82.665800000000004</v>
      </c>
      <c r="J531" s="14">
        <f>82.6637 * CHOOSE(CONTROL!$C$9, $D$9, 100%, $F$9) + CHOOSE(CONTROL!$C$27, 0.0021, 0)</f>
        <v>82.665800000000004</v>
      </c>
      <c r="K531" s="14">
        <f>82.6637 * CHOOSE(CONTROL!$C$9, $D$9, 100%, $F$9) + CHOOSE(CONTROL!$C$27, 0.0021, 0)</f>
        <v>82.665800000000004</v>
      </c>
      <c r="L531" s="14"/>
    </row>
    <row r="532" spans="1:12" ht="15.75" x14ac:dyDescent="0.25">
      <c r="A532" s="32">
        <v>57131</v>
      </c>
      <c r="B532" s="14">
        <f>84.7929 * CHOOSE(CONTROL!$C$9, $D$9, 100%, $F$9) + CHOOSE(CONTROL!$C$27, 0.0021, 0)</f>
        <v>84.795000000000002</v>
      </c>
      <c r="C532" s="14">
        <f>84.3606 * CHOOSE(CONTROL!$C$9, $D$9, 100%, $F$9) + CHOOSE(CONTROL!$C$27, 0.0021, 0)</f>
        <v>84.362700000000004</v>
      </c>
      <c r="D532" s="14">
        <f>84.3606 * CHOOSE(CONTROL!$C$9, $D$9, 100%, $F$9) + CHOOSE(CONTROL!$C$27, 0.0021, 0)</f>
        <v>84.362700000000004</v>
      </c>
      <c r="E532" s="14">
        <f>84.224 * CHOOSE(CONTROL!$C$9, $D$9, 100%, $F$9) + CHOOSE(CONTROL!$C$27, 0.0021, 0)</f>
        <v>84.226100000000002</v>
      </c>
      <c r="F532" s="14">
        <f>84.224 * CHOOSE(CONTROL!$C$9, $D$9, 100%, $F$9) + CHOOSE(CONTROL!$C$27, 0.0021, 0)</f>
        <v>84.226100000000002</v>
      </c>
      <c r="G532" s="14">
        <f>84.4954 * CHOOSE(CONTROL!$C$9, $D$9, 100%, $F$9) + CHOOSE(CONTROL!$C$27, 0.0021, 0)</f>
        <v>84.497500000000002</v>
      </c>
      <c r="H532" s="14">
        <f>84.3606 * CHOOSE(CONTROL!$C$9, $D$9, 100%, $F$9) + CHOOSE(CONTROL!$C$27, 0.0021, 0)</f>
        <v>84.362700000000004</v>
      </c>
      <c r="I532" s="14">
        <f>84.3606 * CHOOSE(CONTROL!$C$9, $D$9, 100%, $F$9) + CHOOSE(CONTROL!$C$27, 0.0021, 0)</f>
        <v>84.362700000000004</v>
      </c>
      <c r="J532" s="14">
        <f>84.3606 * CHOOSE(CONTROL!$C$9, $D$9, 100%, $F$9) + CHOOSE(CONTROL!$C$27, 0.0021, 0)</f>
        <v>84.362700000000004</v>
      </c>
      <c r="K532" s="14">
        <f>84.3606 * CHOOSE(CONTROL!$C$9, $D$9, 100%, $F$9) + CHOOSE(CONTROL!$C$27, 0.0021, 0)</f>
        <v>84.362700000000004</v>
      </c>
      <c r="L532" s="14"/>
    </row>
    <row r="533" spans="1:12" ht="15.75" x14ac:dyDescent="0.25">
      <c r="A533" s="32">
        <v>57161</v>
      </c>
      <c r="B533" s="14">
        <f>85.8093 * CHOOSE(CONTROL!$C$9, $D$9, 100%, $F$9) + CHOOSE(CONTROL!$C$27, 0.0021, 0)</f>
        <v>85.811399999999992</v>
      </c>
      <c r="C533" s="14">
        <f>85.377 * CHOOSE(CONTROL!$C$9, $D$9, 100%, $F$9) + CHOOSE(CONTROL!$C$27, 0.0021, 0)</f>
        <v>85.379099999999994</v>
      </c>
      <c r="D533" s="14">
        <f>85.377 * CHOOSE(CONTROL!$C$9, $D$9, 100%, $F$9) + CHOOSE(CONTROL!$C$27, 0.0021, 0)</f>
        <v>85.379099999999994</v>
      </c>
      <c r="E533" s="14">
        <f>85.2404 * CHOOSE(CONTROL!$C$9, $D$9, 100%, $F$9) + CHOOSE(CONTROL!$C$27, 0.0021, 0)</f>
        <v>85.242499999999993</v>
      </c>
      <c r="F533" s="14">
        <f>85.2404 * CHOOSE(CONTROL!$C$9, $D$9, 100%, $F$9) + CHOOSE(CONTROL!$C$27, 0.0021, 0)</f>
        <v>85.242499999999993</v>
      </c>
      <c r="G533" s="14">
        <f>85.5117 * CHOOSE(CONTROL!$C$9, $D$9, 100%, $F$9) + CHOOSE(CONTROL!$C$27, 0.0021, 0)</f>
        <v>85.513800000000003</v>
      </c>
      <c r="H533" s="14">
        <f>85.377 * CHOOSE(CONTROL!$C$9, $D$9, 100%, $F$9) + CHOOSE(CONTROL!$C$27, 0.0021, 0)</f>
        <v>85.379099999999994</v>
      </c>
      <c r="I533" s="14">
        <f>85.377 * CHOOSE(CONTROL!$C$9, $D$9, 100%, $F$9) + CHOOSE(CONTROL!$C$27, 0.0021, 0)</f>
        <v>85.379099999999994</v>
      </c>
      <c r="J533" s="14">
        <f>85.377 * CHOOSE(CONTROL!$C$9, $D$9, 100%, $F$9) + CHOOSE(CONTROL!$C$27, 0.0021, 0)</f>
        <v>85.379099999999994</v>
      </c>
      <c r="K533" s="14">
        <f>85.377 * CHOOSE(CONTROL!$C$9, $D$9, 100%, $F$9) + CHOOSE(CONTROL!$C$27, 0.0021, 0)</f>
        <v>85.379099999999994</v>
      </c>
      <c r="L533" s="14"/>
    </row>
    <row r="534" spans="1:12" ht="15.75" x14ac:dyDescent="0.25">
      <c r="A534" s="32">
        <v>57192</v>
      </c>
      <c r="B534" s="14">
        <f>87.4859 * CHOOSE(CONTROL!$C$9, $D$9, 100%, $F$9) + CHOOSE(CONTROL!$C$27, 0.0021, 0)</f>
        <v>87.488</v>
      </c>
      <c r="C534" s="14">
        <f>87.0537 * CHOOSE(CONTROL!$C$9, $D$9, 100%, $F$9) + CHOOSE(CONTROL!$C$27, 0.0021, 0)</f>
        <v>87.055800000000005</v>
      </c>
      <c r="D534" s="14">
        <f>87.0537 * CHOOSE(CONTROL!$C$9, $D$9, 100%, $F$9) + CHOOSE(CONTROL!$C$27, 0.0021, 0)</f>
        <v>87.055800000000005</v>
      </c>
      <c r="E534" s="14">
        <f>86.917 * CHOOSE(CONTROL!$C$9, $D$9, 100%, $F$9) + CHOOSE(CONTROL!$C$27, 0.0021, 0)</f>
        <v>86.9191</v>
      </c>
      <c r="F534" s="14">
        <f>86.917 * CHOOSE(CONTROL!$C$9, $D$9, 100%, $F$9) + CHOOSE(CONTROL!$C$27, 0.0021, 0)</f>
        <v>86.9191</v>
      </c>
      <c r="G534" s="14">
        <f>87.1884 * CHOOSE(CONTROL!$C$9, $D$9, 100%, $F$9) + CHOOSE(CONTROL!$C$27, 0.0021, 0)</f>
        <v>87.1905</v>
      </c>
      <c r="H534" s="14">
        <f>87.0537 * CHOOSE(CONTROL!$C$9, $D$9, 100%, $F$9) + CHOOSE(CONTROL!$C$27, 0.0021, 0)</f>
        <v>87.055800000000005</v>
      </c>
      <c r="I534" s="14">
        <f>87.0537 * CHOOSE(CONTROL!$C$9, $D$9, 100%, $F$9) + CHOOSE(CONTROL!$C$27, 0.0021, 0)</f>
        <v>87.055800000000005</v>
      </c>
      <c r="J534" s="14">
        <f>87.0537 * CHOOSE(CONTROL!$C$9, $D$9, 100%, $F$9) + CHOOSE(CONTROL!$C$27, 0.0021, 0)</f>
        <v>87.055800000000005</v>
      </c>
      <c r="K534" s="14">
        <f>87.0537 * CHOOSE(CONTROL!$C$9, $D$9, 100%, $F$9) + CHOOSE(CONTROL!$C$27, 0.0021, 0)</f>
        <v>87.055800000000005</v>
      </c>
      <c r="L534" s="14"/>
    </row>
    <row r="535" spans="1:12" ht="15.75" x14ac:dyDescent="0.25">
      <c r="A535" s="32">
        <v>57223</v>
      </c>
      <c r="B535" s="14">
        <f>87.9977 * CHOOSE(CONTROL!$C$9, $D$9, 100%, $F$9) + CHOOSE(CONTROL!$C$27, 0.0021, 0)</f>
        <v>87.999799999999993</v>
      </c>
      <c r="C535" s="14">
        <f>87.5654 * CHOOSE(CONTROL!$C$9, $D$9, 100%, $F$9) + CHOOSE(CONTROL!$C$27, 0.0021, 0)</f>
        <v>87.567499999999995</v>
      </c>
      <c r="D535" s="14">
        <f>87.5654 * CHOOSE(CONTROL!$C$9, $D$9, 100%, $F$9) + CHOOSE(CONTROL!$C$27, 0.0021, 0)</f>
        <v>87.567499999999995</v>
      </c>
      <c r="E535" s="14">
        <f>87.4288 * CHOOSE(CONTROL!$C$9, $D$9, 100%, $F$9) + CHOOSE(CONTROL!$C$27, 0.0021, 0)</f>
        <v>87.430899999999994</v>
      </c>
      <c r="F535" s="14">
        <f>87.4288 * CHOOSE(CONTROL!$C$9, $D$9, 100%, $F$9) + CHOOSE(CONTROL!$C$27, 0.0021, 0)</f>
        <v>87.430899999999994</v>
      </c>
      <c r="G535" s="14">
        <f>87.7002 * CHOOSE(CONTROL!$C$9, $D$9, 100%, $F$9) + CHOOSE(CONTROL!$C$27, 0.0021, 0)</f>
        <v>87.702299999999994</v>
      </c>
      <c r="H535" s="14">
        <f>87.5654 * CHOOSE(CONTROL!$C$9, $D$9, 100%, $F$9) + CHOOSE(CONTROL!$C$27, 0.0021, 0)</f>
        <v>87.567499999999995</v>
      </c>
      <c r="I535" s="14">
        <f>87.5654 * CHOOSE(CONTROL!$C$9, $D$9, 100%, $F$9) + CHOOSE(CONTROL!$C$27, 0.0021, 0)</f>
        <v>87.567499999999995</v>
      </c>
      <c r="J535" s="14">
        <f>87.5654 * CHOOSE(CONTROL!$C$9, $D$9, 100%, $F$9) + CHOOSE(CONTROL!$C$27, 0.0021, 0)</f>
        <v>87.567499999999995</v>
      </c>
      <c r="K535" s="14">
        <f>87.5654 * CHOOSE(CONTROL!$C$9, $D$9, 100%, $F$9) + CHOOSE(CONTROL!$C$27, 0.0021, 0)</f>
        <v>87.567499999999995</v>
      </c>
      <c r="L535" s="14"/>
    </row>
    <row r="536" spans="1:12" ht="15.75" x14ac:dyDescent="0.25">
      <c r="A536" s="32">
        <v>57253</v>
      </c>
      <c r="B536" s="14">
        <f>89.7405 * CHOOSE(CONTROL!$C$9, $D$9, 100%, $F$9) + CHOOSE(CONTROL!$C$27, 0.0021, 0)</f>
        <v>89.742599999999996</v>
      </c>
      <c r="C536" s="14">
        <f>89.3083 * CHOOSE(CONTROL!$C$9, $D$9, 100%, $F$9) + CHOOSE(CONTROL!$C$27, 0.0021, 0)</f>
        <v>89.310400000000001</v>
      </c>
      <c r="D536" s="14">
        <f>89.3083 * CHOOSE(CONTROL!$C$9, $D$9, 100%, $F$9) + CHOOSE(CONTROL!$C$27, 0.0021, 0)</f>
        <v>89.310400000000001</v>
      </c>
      <c r="E536" s="14">
        <f>89.1716 * CHOOSE(CONTROL!$C$9, $D$9, 100%, $F$9) + CHOOSE(CONTROL!$C$27, 0.0021, 0)</f>
        <v>89.173699999999997</v>
      </c>
      <c r="F536" s="14">
        <f>89.1716 * CHOOSE(CONTROL!$C$9, $D$9, 100%, $F$9) + CHOOSE(CONTROL!$C$27, 0.0021, 0)</f>
        <v>89.173699999999997</v>
      </c>
      <c r="G536" s="14">
        <f>89.443 * CHOOSE(CONTROL!$C$9, $D$9, 100%, $F$9) + CHOOSE(CONTROL!$C$27, 0.0021, 0)</f>
        <v>89.445099999999996</v>
      </c>
      <c r="H536" s="14">
        <f>89.3083 * CHOOSE(CONTROL!$C$9, $D$9, 100%, $F$9) + CHOOSE(CONTROL!$C$27, 0.0021, 0)</f>
        <v>89.310400000000001</v>
      </c>
      <c r="I536" s="14">
        <f>89.3083 * CHOOSE(CONTROL!$C$9, $D$9, 100%, $F$9) + CHOOSE(CONTROL!$C$27, 0.0021, 0)</f>
        <v>89.310400000000001</v>
      </c>
      <c r="J536" s="14">
        <f>89.3083 * CHOOSE(CONTROL!$C$9, $D$9, 100%, $F$9) + CHOOSE(CONTROL!$C$27, 0.0021, 0)</f>
        <v>89.310400000000001</v>
      </c>
      <c r="K536" s="14">
        <f>89.3083 * CHOOSE(CONTROL!$C$9, $D$9, 100%, $F$9) + CHOOSE(CONTROL!$C$27, 0.0021, 0)</f>
        <v>89.310400000000001</v>
      </c>
      <c r="L536" s="14"/>
    </row>
    <row r="537" spans="1:12" ht="15.75" x14ac:dyDescent="0.25">
      <c r="A537" s="32">
        <v>57284</v>
      </c>
      <c r="B537" s="14">
        <f>91.9466 * CHOOSE(CONTROL!$C$9, $D$9, 100%, $F$9) + CHOOSE(CONTROL!$C$27, 0.0021, 0)</f>
        <v>91.948700000000002</v>
      </c>
      <c r="C537" s="14">
        <f>91.5144 * CHOOSE(CONTROL!$C$9, $D$9, 100%, $F$9) + CHOOSE(CONTROL!$C$27, 0.0021, 0)</f>
        <v>91.516499999999994</v>
      </c>
      <c r="D537" s="14">
        <f>91.5144 * CHOOSE(CONTROL!$C$9, $D$9, 100%, $F$9) + CHOOSE(CONTROL!$C$27, 0.0021, 0)</f>
        <v>91.516499999999994</v>
      </c>
      <c r="E537" s="14">
        <f>91.3777 * CHOOSE(CONTROL!$C$9, $D$9, 100%, $F$9) + CHOOSE(CONTROL!$C$27, 0.0021, 0)</f>
        <v>91.379800000000003</v>
      </c>
      <c r="F537" s="14">
        <f>91.3777 * CHOOSE(CONTROL!$C$9, $D$9, 100%, $F$9) + CHOOSE(CONTROL!$C$27, 0.0021, 0)</f>
        <v>91.379800000000003</v>
      </c>
      <c r="G537" s="14">
        <f>91.6491 * CHOOSE(CONTROL!$C$9, $D$9, 100%, $F$9) + CHOOSE(CONTROL!$C$27, 0.0021, 0)</f>
        <v>91.651200000000003</v>
      </c>
      <c r="H537" s="14">
        <f>91.5144 * CHOOSE(CONTROL!$C$9, $D$9, 100%, $F$9) + CHOOSE(CONTROL!$C$27, 0.0021, 0)</f>
        <v>91.516499999999994</v>
      </c>
      <c r="I537" s="14">
        <f>91.5144 * CHOOSE(CONTROL!$C$9, $D$9, 100%, $F$9) + CHOOSE(CONTROL!$C$27, 0.0021, 0)</f>
        <v>91.516499999999994</v>
      </c>
      <c r="J537" s="14">
        <f>91.5144 * CHOOSE(CONTROL!$C$9, $D$9, 100%, $F$9) + CHOOSE(CONTROL!$C$27, 0.0021, 0)</f>
        <v>91.516499999999994</v>
      </c>
      <c r="K537" s="14">
        <f>91.5144 * CHOOSE(CONTROL!$C$9, $D$9, 100%, $F$9) + CHOOSE(CONTROL!$C$27, 0.0021, 0)</f>
        <v>91.516499999999994</v>
      </c>
      <c r="L537" s="14"/>
    </row>
    <row r="538" spans="1:12" ht="15.75" x14ac:dyDescent="0.25">
      <c r="A538" s="32">
        <v>57314</v>
      </c>
      <c r="B538" s="14">
        <f>92.1537 * CHOOSE(CONTROL!$C$9, $D$9, 100%, $F$9) + CHOOSE(CONTROL!$C$27, 0.0021, 0)</f>
        <v>92.155799999999999</v>
      </c>
      <c r="C538" s="14">
        <f>91.7215 * CHOOSE(CONTROL!$C$9, $D$9, 100%, $F$9) + CHOOSE(CONTROL!$C$27, 0.0021, 0)</f>
        <v>91.723600000000005</v>
      </c>
      <c r="D538" s="14">
        <f>91.7215 * CHOOSE(CONTROL!$C$9, $D$9, 100%, $F$9) + CHOOSE(CONTROL!$C$27, 0.0021, 0)</f>
        <v>91.723600000000005</v>
      </c>
      <c r="E538" s="14">
        <f>91.5848 * CHOOSE(CONTROL!$C$9, $D$9, 100%, $F$9) + CHOOSE(CONTROL!$C$27, 0.0021, 0)</f>
        <v>91.5869</v>
      </c>
      <c r="F538" s="14">
        <f>91.5848 * CHOOSE(CONTROL!$C$9, $D$9, 100%, $F$9) + CHOOSE(CONTROL!$C$27, 0.0021, 0)</f>
        <v>91.5869</v>
      </c>
      <c r="G538" s="14">
        <f>91.8562 * CHOOSE(CONTROL!$C$9, $D$9, 100%, $F$9) + CHOOSE(CONTROL!$C$27, 0.0021, 0)</f>
        <v>91.8583</v>
      </c>
      <c r="H538" s="14">
        <f>91.7215 * CHOOSE(CONTROL!$C$9, $D$9, 100%, $F$9) + CHOOSE(CONTROL!$C$27, 0.0021, 0)</f>
        <v>91.723600000000005</v>
      </c>
      <c r="I538" s="14">
        <f>91.7215 * CHOOSE(CONTROL!$C$9, $D$9, 100%, $F$9) + CHOOSE(CONTROL!$C$27, 0.0021, 0)</f>
        <v>91.723600000000005</v>
      </c>
      <c r="J538" s="14">
        <f>91.7215 * CHOOSE(CONTROL!$C$9, $D$9, 100%, $F$9) + CHOOSE(CONTROL!$C$27, 0.0021, 0)</f>
        <v>91.723600000000005</v>
      </c>
      <c r="K538" s="14">
        <f>91.7215 * CHOOSE(CONTROL!$C$9, $D$9, 100%, $F$9) + CHOOSE(CONTROL!$C$27, 0.0021, 0)</f>
        <v>91.723600000000005</v>
      </c>
      <c r="L538" s="14"/>
    </row>
    <row r="539" spans="1:12" ht="15.75" x14ac:dyDescent="0.25">
      <c r="A539" s="32">
        <v>57345</v>
      </c>
      <c r="B539" s="14">
        <f>90.3917 * CHOOSE(CONTROL!$C$9, $D$9, 100%, $F$9) + CHOOSE(CONTROL!$C$27, 0.0021, 0)</f>
        <v>90.393799999999999</v>
      </c>
      <c r="C539" s="14">
        <f>89.9595 * CHOOSE(CONTROL!$C$9, $D$9, 100%, $F$9) + CHOOSE(CONTROL!$C$27, 0.0021, 0)</f>
        <v>89.961600000000004</v>
      </c>
      <c r="D539" s="14">
        <f>89.9595 * CHOOSE(CONTROL!$C$9, $D$9, 100%, $F$9) + CHOOSE(CONTROL!$C$27, 0.0021, 0)</f>
        <v>89.961600000000004</v>
      </c>
      <c r="E539" s="14">
        <f>89.8228 * CHOOSE(CONTROL!$C$9, $D$9, 100%, $F$9) + CHOOSE(CONTROL!$C$27, 0.0021, 0)</f>
        <v>89.8249</v>
      </c>
      <c r="F539" s="14">
        <f>89.8228 * CHOOSE(CONTROL!$C$9, $D$9, 100%, $F$9) + CHOOSE(CONTROL!$C$27, 0.0021, 0)</f>
        <v>89.8249</v>
      </c>
      <c r="G539" s="14">
        <f>90.0942 * CHOOSE(CONTROL!$C$9, $D$9, 100%, $F$9) + CHOOSE(CONTROL!$C$27, 0.0021, 0)</f>
        <v>90.096299999999999</v>
      </c>
      <c r="H539" s="14">
        <f>89.9595 * CHOOSE(CONTROL!$C$9, $D$9, 100%, $F$9) + CHOOSE(CONTROL!$C$27, 0.0021, 0)</f>
        <v>89.961600000000004</v>
      </c>
      <c r="I539" s="14">
        <f>89.9595 * CHOOSE(CONTROL!$C$9, $D$9, 100%, $F$9) + CHOOSE(CONTROL!$C$27, 0.0021, 0)</f>
        <v>89.961600000000004</v>
      </c>
      <c r="J539" s="14">
        <f>89.9595 * CHOOSE(CONTROL!$C$9, $D$9, 100%, $F$9) + CHOOSE(CONTROL!$C$27, 0.0021, 0)</f>
        <v>89.961600000000004</v>
      </c>
      <c r="K539" s="14">
        <f>89.9595 * CHOOSE(CONTROL!$C$9, $D$9, 100%, $F$9) + CHOOSE(CONTROL!$C$27, 0.0021, 0)</f>
        <v>89.961600000000004</v>
      </c>
      <c r="L539" s="14"/>
    </row>
    <row r="540" spans="1:12" ht="15.75" x14ac:dyDescent="0.25">
      <c r="A540" s="32">
        <v>57376</v>
      </c>
      <c r="B540" s="14">
        <f>89.2781 * CHOOSE(CONTROL!$C$9, $D$9, 100%, $F$9) + CHOOSE(CONTROL!$C$27, 0.0021, 0)</f>
        <v>89.280199999999994</v>
      </c>
      <c r="C540" s="14">
        <f>88.8458 * CHOOSE(CONTROL!$C$9, $D$9, 100%, $F$9) + CHOOSE(CONTROL!$C$27, 0.0021, 0)</f>
        <v>88.847899999999996</v>
      </c>
      <c r="D540" s="14">
        <f>88.8458 * CHOOSE(CONTROL!$C$9, $D$9, 100%, $F$9) + CHOOSE(CONTROL!$C$27, 0.0021, 0)</f>
        <v>88.847899999999996</v>
      </c>
      <c r="E540" s="14">
        <f>88.7092 * CHOOSE(CONTROL!$C$9, $D$9, 100%, $F$9) + CHOOSE(CONTROL!$C$27, 0.0021, 0)</f>
        <v>88.711299999999994</v>
      </c>
      <c r="F540" s="14">
        <f>88.7092 * CHOOSE(CONTROL!$C$9, $D$9, 100%, $F$9) + CHOOSE(CONTROL!$C$27, 0.0021, 0)</f>
        <v>88.711299999999994</v>
      </c>
      <c r="G540" s="14">
        <f>88.9806 * CHOOSE(CONTROL!$C$9, $D$9, 100%, $F$9) + CHOOSE(CONTROL!$C$27, 0.0021, 0)</f>
        <v>88.982699999999994</v>
      </c>
      <c r="H540" s="14">
        <f>88.8458 * CHOOSE(CONTROL!$C$9, $D$9, 100%, $F$9) + CHOOSE(CONTROL!$C$27, 0.0021, 0)</f>
        <v>88.847899999999996</v>
      </c>
      <c r="I540" s="14">
        <f>88.8458 * CHOOSE(CONTROL!$C$9, $D$9, 100%, $F$9) + CHOOSE(CONTROL!$C$27, 0.0021, 0)</f>
        <v>88.847899999999996</v>
      </c>
      <c r="J540" s="14">
        <f>88.8458 * CHOOSE(CONTROL!$C$9, $D$9, 100%, $F$9) + CHOOSE(CONTROL!$C$27, 0.0021, 0)</f>
        <v>88.847899999999996</v>
      </c>
      <c r="K540" s="14">
        <f>88.8458 * CHOOSE(CONTROL!$C$9, $D$9, 100%, $F$9) + CHOOSE(CONTROL!$C$27, 0.0021, 0)</f>
        <v>88.847899999999996</v>
      </c>
      <c r="L540" s="14"/>
    </row>
    <row r="541" spans="1:12" ht="15.75" x14ac:dyDescent="0.25">
      <c r="A541" s="32">
        <v>57404</v>
      </c>
      <c r="B541" s="14">
        <f>86.8177 * CHOOSE(CONTROL!$C$9, $D$9, 100%, $F$9) + CHOOSE(CONTROL!$C$27, 0.0021, 0)</f>
        <v>86.819800000000001</v>
      </c>
      <c r="C541" s="14">
        <f>86.3854 * CHOOSE(CONTROL!$C$9, $D$9, 100%, $F$9) + CHOOSE(CONTROL!$C$27, 0.0021, 0)</f>
        <v>86.387500000000003</v>
      </c>
      <c r="D541" s="14">
        <f>86.3854 * CHOOSE(CONTROL!$C$9, $D$9, 100%, $F$9) + CHOOSE(CONTROL!$C$27, 0.0021, 0)</f>
        <v>86.387500000000003</v>
      </c>
      <c r="E541" s="14">
        <f>86.2488 * CHOOSE(CONTROL!$C$9, $D$9, 100%, $F$9) + CHOOSE(CONTROL!$C$27, 0.0021, 0)</f>
        <v>86.250900000000001</v>
      </c>
      <c r="F541" s="14">
        <f>86.2488 * CHOOSE(CONTROL!$C$9, $D$9, 100%, $F$9) + CHOOSE(CONTROL!$C$27, 0.0021, 0)</f>
        <v>86.250900000000001</v>
      </c>
      <c r="G541" s="14">
        <f>86.5201 * CHOOSE(CONTROL!$C$9, $D$9, 100%, $F$9) + CHOOSE(CONTROL!$C$27, 0.0021, 0)</f>
        <v>86.522199999999998</v>
      </c>
      <c r="H541" s="14">
        <f>86.3854 * CHOOSE(CONTROL!$C$9, $D$9, 100%, $F$9) + CHOOSE(CONTROL!$C$27, 0.0021, 0)</f>
        <v>86.387500000000003</v>
      </c>
      <c r="I541" s="14">
        <f>86.3854 * CHOOSE(CONTROL!$C$9, $D$9, 100%, $F$9) + CHOOSE(CONTROL!$C$27, 0.0021, 0)</f>
        <v>86.387500000000003</v>
      </c>
      <c r="J541" s="14">
        <f>86.3854 * CHOOSE(CONTROL!$C$9, $D$9, 100%, $F$9) + CHOOSE(CONTROL!$C$27, 0.0021, 0)</f>
        <v>86.387500000000003</v>
      </c>
      <c r="K541" s="14">
        <f>86.3854 * CHOOSE(CONTROL!$C$9, $D$9, 100%, $F$9) + CHOOSE(CONTROL!$C$27, 0.0021, 0)</f>
        <v>86.387500000000003</v>
      </c>
      <c r="L541" s="14"/>
    </row>
    <row r="542" spans="1:12" ht="15.75" x14ac:dyDescent="0.25">
      <c r="A542" s="32">
        <v>57435</v>
      </c>
      <c r="B542" s="14">
        <f>85.802 * CHOOSE(CONTROL!$C$9, $D$9, 100%, $F$9) + CHOOSE(CONTROL!$C$27, 0.0021, 0)</f>
        <v>85.804100000000005</v>
      </c>
      <c r="C542" s="14">
        <f>85.3698 * CHOOSE(CONTROL!$C$9, $D$9, 100%, $F$9) + CHOOSE(CONTROL!$C$27, 0.0021, 0)</f>
        <v>85.371899999999997</v>
      </c>
      <c r="D542" s="14">
        <f>85.3698 * CHOOSE(CONTROL!$C$9, $D$9, 100%, $F$9) + CHOOSE(CONTROL!$C$27, 0.0021, 0)</f>
        <v>85.371899999999997</v>
      </c>
      <c r="E542" s="14">
        <f>85.2331 * CHOOSE(CONTROL!$C$9, $D$9, 100%, $F$9) + CHOOSE(CONTROL!$C$27, 0.0021, 0)</f>
        <v>85.235199999999992</v>
      </c>
      <c r="F542" s="14">
        <f>85.2331 * CHOOSE(CONTROL!$C$9, $D$9, 100%, $F$9) + CHOOSE(CONTROL!$C$27, 0.0021, 0)</f>
        <v>85.235199999999992</v>
      </c>
      <c r="G542" s="14">
        <f>85.5045 * CHOOSE(CONTROL!$C$9, $D$9, 100%, $F$9) + CHOOSE(CONTROL!$C$27, 0.0021, 0)</f>
        <v>85.506599999999992</v>
      </c>
      <c r="H542" s="14">
        <f>85.3698 * CHOOSE(CONTROL!$C$9, $D$9, 100%, $F$9) + CHOOSE(CONTROL!$C$27, 0.0021, 0)</f>
        <v>85.371899999999997</v>
      </c>
      <c r="I542" s="14">
        <f>85.3698 * CHOOSE(CONTROL!$C$9, $D$9, 100%, $F$9) + CHOOSE(CONTROL!$C$27, 0.0021, 0)</f>
        <v>85.371899999999997</v>
      </c>
      <c r="J542" s="14">
        <f>85.3698 * CHOOSE(CONTROL!$C$9, $D$9, 100%, $F$9) + CHOOSE(CONTROL!$C$27, 0.0021, 0)</f>
        <v>85.371899999999997</v>
      </c>
      <c r="K542" s="14">
        <f>85.3698 * CHOOSE(CONTROL!$C$9, $D$9, 100%, $F$9) + CHOOSE(CONTROL!$C$27, 0.0021, 0)</f>
        <v>85.371899999999997</v>
      </c>
      <c r="L542" s="14"/>
    </row>
    <row r="543" spans="1:12" ht="15.75" x14ac:dyDescent="0.25">
      <c r="A543" s="32">
        <v>57465</v>
      </c>
      <c r="B543" s="14">
        <f>84.5893 * CHOOSE(CONTROL!$C$9, $D$9, 100%, $F$9) + CHOOSE(CONTROL!$C$27, 0.0021, 0)</f>
        <v>84.591399999999993</v>
      </c>
      <c r="C543" s="14">
        <f>84.157 * CHOOSE(CONTROL!$C$9, $D$9, 100%, $F$9) + CHOOSE(CONTROL!$C$27, 0.0021, 0)</f>
        <v>84.159099999999995</v>
      </c>
      <c r="D543" s="14">
        <f>84.157 * CHOOSE(CONTROL!$C$9, $D$9, 100%, $F$9) + CHOOSE(CONTROL!$C$27, 0.0021, 0)</f>
        <v>84.159099999999995</v>
      </c>
      <c r="E543" s="14">
        <f>84.0204 * CHOOSE(CONTROL!$C$9, $D$9, 100%, $F$9) + CHOOSE(CONTROL!$C$27, 0.0021, 0)</f>
        <v>84.022499999999994</v>
      </c>
      <c r="F543" s="14">
        <f>84.0204 * CHOOSE(CONTROL!$C$9, $D$9, 100%, $F$9) + CHOOSE(CONTROL!$C$27, 0.0021, 0)</f>
        <v>84.022499999999994</v>
      </c>
      <c r="G543" s="14">
        <f>84.2918 * CHOOSE(CONTROL!$C$9, $D$9, 100%, $F$9) + CHOOSE(CONTROL!$C$27, 0.0021, 0)</f>
        <v>84.293899999999994</v>
      </c>
      <c r="H543" s="14">
        <f>84.157 * CHOOSE(CONTROL!$C$9, $D$9, 100%, $F$9) + CHOOSE(CONTROL!$C$27, 0.0021, 0)</f>
        <v>84.159099999999995</v>
      </c>
      <c r="I543" s="14">
        <f>84.157 * CHOOSE(CONTROL!$C$9, $D$9, 100%, $F$9) + CHOOSE(CONTROL!$C$27, 0.0021, 0)</f>
        <v>84.159099999999995</v>
      </c>
      <c r="J543" s="14">
        <f>84.157 * CHOOSE(CONTROL!$C$9, $D$9, 100%, $F$9) + CHOOSE(CONTROL!$C$27, 0.0021, 0)</f>
        <v>84.159099999999995</v>
      </c>
      <c r="K543" s="14">
        <f>84.157 * CHOOSE(CONTROL!$C$9, $D$9, 100%, $F$9) + CHOOSE(CONTROL!$C$27, 0.0021, 0)</f>
        <v>84.159099999999995</v>
      </c>
      <c r="L543" s="14"/>
    </row>
    <row r="544" spans="1:12" ht="15.75" x14ac:dyDescent="0.25">
      <c r="A544" s="32">
        <v>57496</v>
      </c>
      <c r="B544" s="14">
        <f>86.3176 * CHOOSE(CONTROL!$C$9, $D$9, 100%, $F$9) + CHOOSE(CONTROL!$C$27, 0.0021, 0)</f>
        <v>86.319699999999997</v>
      </c>
      <c r="C544" s="14">
        <f>85.8853 * CHOOSE(CONTROL!$C$9, $D$9, 100%, $F$9) + CHOOSE(CONTROL!$C$27, 0.0021, 0)</f>
        <v>85.8874</v>
      </c>
      <c r="D544" s="14">
        <f>85.8853 * CHOOSE(CONTROL!$C$9, $D$9, 100%, $F$9) + CHOOSE(CONTROL!$C$27, 0.0021, 0)</f>
        <v>85.8874</v>
      </c>
      <c r="E544" s="14">
        <f>85.7486 * CHOOSE(CONTROL!$C$9, $D$9, 100%, $F$9) + CHOOSE(CONTROL!$C$27, 0.0021, 0)</f>
        <v>85.750699999999995</v>
      </c>
      <c r="F544" s="14">
        <f>85.7486 * CHOOSE(CONTROL!$C$9, $D$9, 100%, $F$9) + CHOOSE(CONTROL!$C$27, 0.0021, 0)</f>
        <v>85.750699999999995</v>
      </c>
      <c r="G544" s="14">
        <f>86.02 * CHOOSE(CONTROL!$C$9, $D$9, 100%, $F$9) + CHOOSE(CONTROL!$C$27, 0.0021, 0)</f>
        <v>86.022099999999995</v>
      </c>
      <c r="H544" s="14">
        <f>85.8853 * CHOOSE(CONTROL!$C$9, $D$9, 100%, $F$9) + CHOOSE(CONTROL!$C$27, 0.0021, 0)</f>
        <v>85.8874</v>
      </c>
      <c r="I544" s="14">
        <f>85.8853 * CHOOSE(CONTROL!$C$9, $D$9, 100%, $F$9) + CHOOSE(CONTROL!$C$27, 0.0021, 0)</f>
        <v>85.8874</v>
      </c>
      <c r="J544" s="14">
        <f>85.8853 * CHOOSE(CONTROL!$C$9, $D$9, 100%, $F$9) + CHOOSE(CONTROL!$C$27, 0.0021, 0)</f>
        <v>85.8874</v>
      </c>
      <c r="K544" s="14">
        <f>85.8853 * CHOOSE(CONTROL!$C$9, $D$9, 100%, $F$9) + CHOOSE(CONTROL!$C$27, 0.0021, 0)</f>
        <v>85.8874</v>
      </c>
      <c r="L544" s="14"/>
    </row>
    <row r="545" spans="1:12" ht="15.75" x14ac:dyDescent="0.25">
      <c r="A545" s="32">
        <v>57526</v>
      </c>
      <c r="B545" s="14">
        <f>87.3527 * CHOOSE(CONTROL!$C$9, $D$9, 100%, $F$9) + CHOOSE(CONTROL!$C$27, 0.0021, 0)</f>
        <v>87.354799999999997</v>
      </c>
      <c r="C545" s="14">
        <f>86.9205 * CHOOSE(CONTROL!$C$9, $D$9, 100%, $F$9) + CHOOSE(CONTROL!$C$27, 0.0021, 0)</f>
        <v>86.922600000000003</v>
      </c>
      <c r="D545" s="14">
        <f>86.9205 * CHOOSE(CONTROL!$C$9, $D$9, 100%, $F$9) + CHOOSE(CONTROL!$C$27, 0.0021, 0)</f>
        <v>86.922600000000003</v>
      </c>
      <c r="E545" s="14">
        <f>86.7838 * CHOOSE(CONTROL!$C$9, $D$9, 100%, $F$9) + CHOOSE(CONTROL!$C$27, 0.0021, 0)</f>
        <v>86.785899999999998</v>
      </c>
      <c r="F545" s="14">
        <f>86.7838 * CHOOSE(CONTROL!$C$9, $D$9, 100%, $F$9) + CHOOSE(CONTROL!$C$27, 0.0021, 0)</f>
        <v>86.785899999999998</v>
      </c>
      <c r="G545" s="14">
        <f>87.0552 * CHOOSE(CONTROL!$C$9, $D$9, 100%, $F$9) + CHOOSE(CONTROL!$C$27, 0.0021, 0)</f>
        <v>87.057299999999998</v>
      </c>
      <c r="H545" s="14">
        <f>86.9205 * CHOOSE(CONTROL!$C$9, $D$9, 100%, $F$9) + CHOOSE(CONTROL!$C$27, 0.0021, 0)</f>
        <v>86.922600000000003</v>
      </c>
      <c r="I545" s="14">
        <f>86.9205 * CHOOSE(CONTROL!$C$9, $D$9, 100%, $F$9) + CHOOSE(CONTROL!$C$27, 0.0021, 0)</f>
        <v>86.922600000000003</v>
      </c>
      <c r="J545" s="14">
        <f>86.9205 * CHOOSE(CONTROL!$C$9, $D$9, 100%, $F$9) + CHOOSE(CONTROL!$C$27, 0.0021, 0)</f>
        <v>86.922600000000003</v>
      </c>
      <c r="K545" s="14">
        <f>86.9205 * CHOOSE(CONTROL!$C$9, $D$9, 100%, $F$9) + CHOOSE(CONTROL!$C$27, 0.0021, 0)</f>
        <v>86.922600000000003</v>
      </c>
      <c r="L545" s="14"/>
    </row>
    <row r="546" spans="1:12" ht="15.75" x14ac:dyDescent="0.25">
      <c r="A546" s="32">
        <v>57557</v>
      </c>
      <c r="B546" s="14">
        <f>89.0604 * CHOOSE(CONTROL!$C$9, $D$9, 100%, $F$9) + CHOOSE(CONTROL!$C$27, 0.0021, 0)</f>
        <v>89.0625</v>
      </c>
      <c r="C546" s="14">
        <f>88.6281 * CHOOSE(CONTROL!$C$9, $D$9, 100%, $F$9) + CHOOSE(CONTROL!$C$27, 0.0021, 0)</f>
        <v>88.630200000000002</v>
      </c>
      <c r="D546" s="14">
        <f>88.6281 * CHOOSE(CONTROL!$C$9, $D$9, 100%, $F$9) + CHOOSE(CONTROL!$C$27, 0.0021, 0)</f>
        <v>88.630200000000002</v>
      </c>
      <c r="E546" s="14">
        <f>88.4915 * CHOOSE(CONTROL!$C$9, $D$9, 100%, $F$9) + CHOOSE(CONTROL!$C$27, 0.0021, 0)</f>
        <v>88.493600000000001</v>
      </c>
      <c r="F546" s="14">
        <f>88.4915 * CHOOSE(CONTROL!$C$9, $D$9, 100%, $F$9) + CHOOSE(CONTROL!$C$27, 0.0021, 0)</f>
        <v>88.493600000000001</v>
      </c>
      <c r="G546" s="14">
        <f>88.7628 * CHOOSE(CONTROL!$C$9, $D$9, 100%, $F$9) + CHOOSE(CONTROL!$C$27, 0.0021, 0)</f>
        <v>88.764899999999997</v>
      </c>
      <c r="H546" s="14">
        <f>88.6281 * CHOOSE(CONTROL!$C$9, $D$9, 100%, $F$9) + CHOOSE(CONTROL!$C$27, 0.0021, 0)</f>
        <v>88.630200000000002</v>
      </c>
      <c r="I546" s="14">
        <f>88.6281 * CHOOSE(CONTROL!$C$9, $D$9, 100%, $F$9) + CHOOSE(CONTROL!$C$27, 0.0021, 0)</f>
        <v>88.630200000000002</v>
      </c>
      <c r="J546" s="14">
        <f>88.6281 * CHOOSE(CONTROL!$C$9, $D$9, 100%, $F$9) + CHOOSE(CONTROL!$C$27, 0.0021, 0)</f>
        <v>88.630200000000002</v>
      </c>
      <c r="K546" s="14">
        <f>88.6281 * CHOOSE(CONTROL!$C$9, $D$9, 100%, $F$9) + CHOOSE(CONTROL!$C$27, 0.0021, 0)</f>
        <v>88.630200000000002</v>
      </c>
      <c r="L546" s="14"/>
    </row>
    <row r="547" spans="1:12" ht="15.75" x14ac:dyDescent="0.25">
      <c r="A547" s="32">
        <v>57588</v>
      </c>
      <c r="B547" s="14">
        <f>89.5816 * CHOOSE(CONTROL!$C$9, $D$9, 100%, $F$9) + CHOOSE(CONTROL!$C$27, 0.0021, 0)</f>
        <v>89.583699999999993</v>
      </c>
      <c r="C547" s="14">
        <f>89.1493 * CHOOSE(CONTROL!$C$9, $D$9, 100%, $F$9) + CHOOSE(CONTROL!$C$27, 0.0021, 0)</f>
        <v>89.151399999999995</v>
      </c>
      <c r="D547" s="14">
        <f>89.1493 * CHOOSE(CONTROL!$C$9, $D$9, 100%, $F$9) + CHOOSE(CONTROL!$C$27, 0.0021, 0)</f>
        <v>89.151399999999995</v>
      </c>
      <c r="E547" s="14">
        <f>89.0127 * CHOOSE(CONTROL!$C$9, $D$9, 100%, $F$9) + CHOOSE(CONTROL!$C$27, 0.0021, 0)</f>
        <v>89.014799999999994</v>
      </c>
      <c r="F547" s="14">
        <f>89.0127 * CHOOSE(CONTROL!$C$9, $D$9, 100%, $F$9) + CHOOSE(CONTROL!$C$27, 0.0021, 0)</f>
        <v>89.014799999999994</v>
      </c>
      <c r="G547" s="14">
        <f>89.2841 * CHOOSE(CONTROL!$C$9, $D$9, 100%, $F$9) + CHOOSE(CONTROL!$C$27, 0.0021, 0)</f>
        <v>89.286199999999994</v>
      </c>
      <c r="H547" s="14">
        <f>89.1493 * CHOOSE(CONTROL!$C$9, $D$9, 100%, $F$9) + CHOOSE(CONTROL!$C$27, 0.0021, 0)</f>
        <v>89.151399999999995</v>
      </c>
      <c r="I547" s="14">
        <f>89.1493 * CHOOSE(CONTROL!$C$9, $D$9, 100%, $F$9) + CHOOSE(CONTROL!$C$27, 0.0021, 0)</f>
        <v>89.151399999999995</v>
      </c>
      <c r="J547" s="14">
        <f>89.1493 * CHOOSE(CONTROL!$C$9, $D$9, 100%, $F$9) + CHOOSE(CONTROL!$C$27, 0.0021, 0)</f>
        <v>89.151399999999995</v>
      </c>
      <c r="K547" s="14">
        <f>89.1493 * CHOOSE(CONTROL!$C$9, $D$9, 100%, $F$9) + CHOOSE(CONTROL!$C$27, 0.0021, 0)</f>
        <v>89.151399999999995</v>
      </c>
      <c r="L547" s="14"/>
    </row>
    <row r="548" spans="1:12" ht="15.75" x14ac:dyDescent="0.25">
      <c r="A548" s="32">
        <v>57618</v>
      </c>
      <c r="B548" s="14">
        <f>91.3566 * CHOOSE(CONTROL!$C$9, $D$9, 100%, $F$9) + CHOOSE(CONTROL!$C$27, 0.0021, 0)</f>
        <v>91.358699999999999</v>
      </c>
      <c r="C548" s="14">
        <f>90.9244 * CHOOSE(CONTROL!$C$9, $D$9, 100%, $F$9) + CHOOSE(CONTROL!$C$27, 0.0021, 0)</f>
        <v>90.926500000000004</v>
      </c>
      <c r="D548" s="14">
        <f>90.9244 * CHOOSE(CONTROL!$C$9, $D$9, 100%, $F$9) + CHOOSE(CONTROL!$C$27, 0.0021, 0)</f>
        <v>90.926500000000004</v>
      </c>
      <c r="E548" s="14">
        <f>90.7877 * CHOOSE(CONTROL!$C$9, $D$9, 100%, $F$9) + CHOOSE(CONTROL!$C$27, 0.0021, 0)</f>
        <v>90.7898</v>
      </c>
      <c r="F548" s="14">
        <f>90.7877 * CHOOSE(CONTROL!$C$9, $D$9, 100%, $F$9) + CHOOSE(CONTROL!$C$27, 0.0021, 0)</f>
        <v>90.7898</v>
      </c>
      <c r="G548" s="14">
        <f>91.0591 * CHOOSE(CONTROL!$C$9, $D$9, 100%, $F$9) + CHOOSE(CONTROL!$C$27, 0.0021, 0)</f>
        <v>91.061199999999999</v>
      </c>
      <c r="H548" s="14">
        <f>90.9244 * CHOOSE(CONTROL!$C$9, $D$9, 100%, $F$9) + CHOOSE(CONTROL!$C$27, 0.0021, 0)</f>
        <v>90.926500000000004</v>
      </c>
      <c r="I548" s="14">
        <f>90.9244 * CHOOSE(CONTROL!$C$9, $D$9, 100%, $F$9) + CHOOSE(CONTROL!$C$27, 0.0021, 0)</f>
        <v>90.926500000000004</v>
      </c>
      <c r="J548" s="14">
        <f>90.9244 * CHOOSE(CONTROL!$C$9, $D$9, 100%, $F$9) + CHOOSE(CONTROL!$C$27, 0.0021, 0)</f>
        <v>90.926500000000004</v>
      </c>
      <c r="K548" s="14">
        <f>90.9244 * CHOOSE(CONTROL!$C$9, $D$9, 100%, $F$9) + CHOOSE(CONTROL!$C$27, 0.0021, 0)</f>
        <v>90.926500000000004</v>
      </c>
      <c r="L548" s="14"/>
    </row>
    <row r="549" spans="1:12" ht="15.75" x14ac:dyDescent="0.25">
      <c r="A549" s="32">
        <v>57649</v>
      </c>
      <c r="B549" s="14">
        <f>93.6035 * CHOOSE(CONTROL!$C$9, $D$9, 100%, $F$9) + CHOOSE(CONTROL!$C$27, 0.0021, 0)</f>
        <v>93.605599999999995</v>
      </c>
      <c r="C549" s="14">
        <f>93.1712 * CHOOSE(CONTROL!$C$9, $D$9, 100%, $F$9) + CHOOSE(CONTROL!$C$27, 0.0021, 0)</f>
        <v>93.173299999999998</v>
      </c>
      <c r="D549" s="14">
        <f>93.1712 * CHOOSE(CONTROL!$C$9, $D$9, 100%, $F$9) + CHOOSE(CONTROL!$C$27, 0.0021, 0)</f>
        <v>93.173299999999998</v>
      </c>
      <c r="E549" s="14">
        <f>93.0346 * CHOOSE(CONTROL!$C$9, $D$9, 100%, $F$9) + CHOOSE(CONTROL!$C$27, 0.0021, 0)</f>
        <v>93.036699999999996</v>
      </c>
      <c r="F549" s="14">
        <f>93.0346 * CHOOSE(CONTROL!$C$9, $D$9, 100%, $F$9) + CHOOSE(CONTROL!$C$27, 0.0021, 0)</f>
        <v>93.036699999999996</v>
      </c>
      <c r="G549" s="14">
        <f>93.306 * CHOOSE(CONTROL!$C$9, $D$9, 100%, $F$9) + CHOOSE(CONTROL!$C$27, 0.0021, 0)</f>
        <v>93.308099999999996</v>
      </c>
      <c r="H549" s="14">
        <f>93.1712 * CHOOSE(CONTROL!$C$9, $D$9, 100%, $F$9) + CHOOSE(CONTROL!$C$27, 0.0021, 0)</f>
        <v>93.173299999999998</v>
      </c>
      <c r="I549" s="14">
        <f>93.1712 * CHOOSE(CONTROL!$C$9, $D$9, 100%, $F$9) + CHOOSE(CONTROL!$C$27, 0.0021, 0)</f>
        <v>93.173299999999998</v>
      </c>
      <c r="J549" s="14">
        <f>93.1712 * CHOOSE(CONTROL!$C$9, $D$9, 100%, $F$9) + CHOOSE(CONTROL!$C$27, 0.0021, 0)</f>
        <v>93.173299999999998</v>
      </c>
      <c r="K549" s="14">
        <f>93.1712 * CHOOSE(CONTROL!$C$9, $D$9, 100%, $F$9) + CHOOSE(CONTROL!$C$27, 0.0021, 0)</f>
        <v>93.173299999999998</v>
      </c>
      <c r="L549" s="14"/>
    </row>
    <row r="550" spans="1:12" ht="15.75" x14ac:dyDescent="0.25">
      <c r="A550" s="32">
        <v>57679</v>
      </c>
      <c r="B550" s="14">
        <f>93.8144 * CHOOSE(CONTROL!$C$9, $D$9, 100%, $F$9) + CHOOSE(CONTROL!$C$27, 0.0021, 0)</f>
        <v>93.816500000000005</v>
      </c>
      <c r="C550" s="14">
        <f>93.3822 * CHOOSE(CONTROL!$C$9, $D$9, 100%, $F$9) + CHOOSE(CONTROL!$C$27, 0.0021, 0)</f>
        <v>93.384299999999996</v>
      </c>
      <c r="D550" s="14">
        <f>93.3822 * CHOOSE(CONTROL!$C$9, $D$9, 100%, $F$9) + CHOOSE(CONTROL!$C$27, 0.0021, 0)</f>
        <v>93.384299999999996</v>
      </c>
      <c r="E550" s="14">
        <f>93.2455 * CHOOSE(CONTROL!$C$9, $D$9, 100%, $F$9) + CHOOSE(CONTROL!$C$27, 0.0021, 0)</f>
        <v>93.247600000000006</v>
      </c>
      <c r="F550" s="14">
        <f>93.2455 * CHOOSE(CONTROL!$C$9, $D$9, 100%, $F$9) + CHOOSE(CONTROL!$C$27, 0.0021, 0)</f>
        <v>93.247600000000006</v>
      </c>
      <c r="G550" s="14">
        <f>93.5169 * CHOOSE(CONTROL!$C$9, $D$9, 100%, $F$9) + CHOOSE(CONTROL!$C$27, 0.0021, 0)</f>
        <v>93.519000000000005</v>
      </c>
      <c r="H550" s="14">
        <f>93.3822 * CHOOSE(CONTROL!$C$9, $D$9, 100%, $F$9) + CHOOSE(CONTROL!$C$27, 0.0021, 0)</f>
        <v>93.384299999999996</v>
      </c>
      <c r="I550" s="14">
        <f>93.3822 * CHOOSE(CONTROL!$C$9, $D$9, 100%, $F$9) + CHOOSE(CONTROL!$C$27, 0.0021, 0)</f>
        <v>93.384299999999996</v>
      </c>
      <c r="J550" s="14">
        <f>93.3822 * CHOOSE(CONTROL!$C$9, $D$9, 100%, $F$9) + CHOOSE(CONTROL!$C$27, 0.0021, 0)</f>
        <v>93.384299999999996</v>
      </c>
      <c r="K550" s="14">
        <f>93.3822 * CHOOSE(CONTROL!$C$9, $D$9, 100%, $F$9) + CHOOSE(CONTROL!$C$27, 0.0021, 0)</f>
        <v>93.384299999999996</v>
      </c>
      <c r="L550" s="14"/>
    </row>
    <row r="551" spans="1:12" ht="15.75" x14ac:dyDescent="0.25">
      <c r="A551" s="32">
        <v>57710</v>
      </c>
      <c r="B551" s="14">
        <f>92.0199 * CHOOSE(CONTROL!$C$9, $D$9, 100%, $F$9) + CHOOSE(CONTROL!$C$27, 0.0021, 0)</f>
        <v>92.022000000000006</v>
      </c>
      <c r="C551" s="14">
        <f>91.5876 * CHOOSE(CONTROL!$C$9, $D$9, 100%, $F$9) + CHOOSE(CONTROL!$C$27, 0.0021, 0)</f>
        <v>91.589699999999993</v>
      </c>
      <c r="D551" s="14">
        <f>91.5876 * CHOOSE(CONTROL!$C$9, $D$9, 100%, $F$9) + CHOOSE(CONTROL!$C$27, 0.0021, 0)</f>
        <v>91.589699999999993</v>
      </c>
      <c r="E551" s="14">
        <f>91.451 * CHOOSE(CONTROL!$C$9, $D$9, 100%, $F$9) + CHOOSE(CONTROL!$C$27, 0.0021, 0)</f>
        <v>91.453099999999992</v>
      </c>
      <c r="F551" s="14">
        <f>91.451 * CHOOSE(CONTROL!$C$9, $D$9, 100%, $F$9) + CHOOSE(CONTROL!$C$27, 0.0021, 0)</f>
        <v>91.453099999999992</v>
      </c>
      <c r="G551" s="14">
        <f>91.7224 * CHOOSE(CONTROL!$C$9, $D$9, 100%, $F$9) + CHOOSE(CONTROL!$C$27, 0.0021, 0)</f>
        <v>91.724499999999992</v>
      </c>
      <c r="H551" s="14">
        <f>91.5876 * CHOOSE(CONTROL!$C$9, $D$9, 100%, $F$9) + CHOOSE(CONTROL!$C$27, 0.0021, 0)</f>
        <v>91.589699999999993</v>
      </c>
      <c r="I551" s="14">
        <f>91.5876 * CHOOSE(CONTROL!$C$9, $D$9, 100%, $F$9) + CHOOSE(CONTROL!$C$27, 0.0021, 0)</f>
        <v>91.589699999999993</v>
      </c>
      <c r="J551" s="14">
        <f>91.5876 * CHOOSE(CONTROL!$C$9, $D$9, 100%, $F$9) + CHOOSE(CONTROL!$C$27, 0.0021, 0)</f>
        <v>91.589699999999993</v>
      </c>
      <c r="K551" s="14">
        <f>91.5876 * CHOOSE(CONTROL!$C$9, $D$9, 100%, $F$9) + CHOOSE(CONTROL!$C$27, 0.0021, 0)</f>
        <v>91.589699999999993</v>
      </c>
      <c r="L551" s="14"/>
    </row>
    <row r="552" spans="1:12" ht="15.75" x14ac:dyDescent="0.25">
      <c r="A552" s="32">
        <v>57741</v>
      </c>
      <c r="B552" s="14">
        <f>90.8857 * CHOOSE(CONTROL!$C$9, $D$9, 100%, $F$9) + CHOOSE(CONTROL!$C$27, 0.0021, 0)</f>
        <v>90.887799999999999</v>
      </c>
      <c r="C552" s="14">
        <f>90.4534 * CHOOSE(CONTROL!$C$9, $D$9, 100%, $F$9) + CHOOSE(CONTROL!$C$27, 0.0021, 0)</f>
        <v>90.455500000000001</v>
      </c>
      <c r="D552" s="14">
        <f>90.4534 * CHOOSE(CONTROL!$C$9, $D$9, 100%, $F$9) + CHOOSE(CONTROL!$C$27, 0.0021, 0)</f>
        <v>90.455500000000001</v>
      </c>
      <c r="E552" s="14">
        <f>90.3167 * CHOOSE(CONTROL!$C$9, $D$9, 100%, $F$9) + CHOOSE(CONTROL!$C$27, 0.0021, 0)</f>
        <v>90.318799999999996</v>
      </c>
      <c r="F552" s="14">
        <f>90.3167 * CHOOSE(CONTROL!$C$9, $D$9, 100%, $F$9) + CHOOSE(CONTROL!$C$27, 0.0021, 0)</f>
        <v>90.318799999999996</v>
      </c>
      <c r="G552" s="14">
        <f>90.5881 * CHOOSE(CONTROL!$C$9, $D$9, 100%, $F$9) + CHOOSE(CONTROL!$C$27, 0.0021, 0)</f>
        <v>90.590199999999996</v>
      </c>
      <c r="H552" s="14">
        <f>90.4534 * CHOOSE(CONTROL!$C$9, $D$9, 100%, $F$9) + CHOOSE(CONTROL!$C$27, 0.0021, 0)</f>
        <v>90.455500000000001</v>
      </c>
      <c r="I552" s="14">
        <f>90.4534 * CHOOSE(CONTROL!$C$9, $D$9, 100%, $F$9) + CHOOSE(CONTROL!$C$27, 0.0021, 0)</f>
        <v>90.455500000000001</v>
      </c>
      <c r="J552" s="14">
        <f>90.4534 * CHOOSE(CONTROL!$C$9, $D$9, 100%, $F$9) + CHOOSE(CONTROL!$C$27, 0.0021, 0)</f>
        <v>90.455500000000001</v>
      </c>
      <c r="K552" s="14">
        <f>90.4534 * CHOOSE(CONTROL!$C$9, $D$9, 100%, $F$9) + CHOOSE(CONTROL!$C$27, 0.0021, 0)</f>
        <v>90.455500000000001</v>
      </c>
      <c r="L552" s="14"/>
    </row>
    <row r="553" spans="1:12" ht="15.75" x14ac:dyDescent="0.25">
      <c r="A553" s="32">
        <v>57769</v>
      </c>
      <c r="B553" s="14">
        <f>88.3798 * CHOOSE(CONTROL!$C$9, $D$9, 100%, $F$9) + CHOOSE(CONTROL!$C$27, 0.0021, 0)</f>
        <v>88.381900000000002</v>
      </c>
      <c r="C553" s="14">
        <f>87.9475 * CHOOSE(CONTROL!$C$9, $D$9, 100%, $F$9) + CHOOSE(CONTROL!$C$27, 0.0021, 0)</f>
        <v>87.949600000000004</v>
      </c>
      <c r="D553" s="14">
        <f>87.9475 * CHOOSE(CONTROL!$C$9, $D$9, 100%, $F$9) + CHOOSE(CONTROL!$C$27, 0.0021, 0)</f>
        <v>87.949600000000004</v>
      </c>
      <c r="E553" s="14">
        <f>87.8108 * CHOOSE(CONTROL!$C$9, $D$9, 100%, $F$9) + CHOOSE(CONTROL!$C$27, 0.0021, 0)</f>
        <v>87.812899999999999</v>
      </c>
      <c r="F553" s="14">
        <f>87.8108 * CHOOSE(CONTROL!$C$9, $D$9, 100%, $F$9) + CHOOSE(CONTROL!$C$27, 0.0021, 0)</f>
        <v>87.812899999999999</v>
      </c>
      <c r="G553" s="14">
        <f>88.0822 * CHOOSE(CONTROL!$C$9, $D$9, 100%, $F$9) + CHOOSE(CONTROL!$C$27, 0.0021, 0)</f>
        <v>88.084299999999999</v>
      </c>
      <c r="H553" s="14">
        <f>87.9475 * CHOOSE(CONTROL!$C$9, $D$9, 100%, $F$9) + CHOOSE(CONTROL!$C$27, 0.0021, 0)</f>
        <v>87.949600000000004</v>
      </c>
      <c r="I553" s="14">
        <f>87.9475 * CHOOSE(CONTROL!$C$9, $D$9, 100%, $F$9) + CHOOSE(CONTROL!$C$27, 0.0021, 0)</f>
        <v>87.949600000000004</v>
      </c>
      <c r="J553" s="14">
        <f>87.9475 * CHOOSE(CONTROL!$C$9, $D$9, 100%, $F$9) + CHOOSE(CONTROL!$C$27, 0.0021, 0)</f>
        <v>87.949600000000004</v>
      </c>
      <c r="K553" s="14">
        <f>87.9475 * CHOOSE(CONTROL!$C$9, $D$9, 100%, $F$9) + CHOOSE(CONTROL!$C$27, 0.0021, 0)</f>
        <v>87.949600000000004</v>
      </c>
      <c r="L553" s="14"/>
    </row>
    <row r="554" spans="1:12" ht="15.75" x14ac:dyDescent="0.25">
      <c r="A554" s="32">
        <v>57800</v>
      </c>
      <c r="B554" s="14">
        <f>87.3453 * CHOOSE(CONTROL!$C$9, $D$9, 100%, $F$9) + CHOOSE(CONTROL!$C$27, 0.0021, 0)</f>
        <v>87.347399999999993</v>
      </c>
      <c r="C554" s="14">
        <f>86.9131 * CHOOSE(CONTROL!$C$9, $D$9, 100%, $F$9) + CHOOSE(CONTROL!$C$27, 0.0021, 0)</f>
        <v>86.915199999999999</v>
      </c>
      <c r="D554" s="14">
        <f>86.9131 * CHOOSE(CONTROL!$C$9, $D$9, 100%, $F$9) + CHOOSE(CONTROL!$C$27, 0.0021, 0)</f>
        <v>86.915199999999999</v>
      </c>
      <c r="E554" s="14">
        <f>86.7764 * CHOOSE(CONTROL!$C$9, $D$9, 100%, $F$9) + CHOOSE(CONTROL!$C$27, 0.0021, 0)</f>
        <v>86.778499999999994</v>
      </c>
      <c r="F554" s="14">
        <f>86.7764 * CHOOSE(CONTROL!$C$9, $D$9, 100%, $F$9) + CHOOSE(CONTROL!$C$27, 0.0021, 0)</f>
        <v>86.778499999999994</v>
      </c>
      <c r="G554" s="14">
        <f>87.0478 * CHOOSE(CONTROL!$C$9, $D$9, 100%, $F$9) + CHOOSE(CONTROL!$C$27, 0.0021, 0)</f>
        <v>87.049899999999994</v>
      </c>
      <c r="H554" s="14">
        <f>86.9131 * CHOOSE(CONTROL!$C$9, $D$9, 100%, $F$9) + CHOOSE(CONTROL!$C$27, 0.0021, 0)</f>
        <v>86.915199999999999</v>
      </c>
      <c r="I554" s="14">
        <f>86.9131 * CHOOSE(CONTROL!$C$9, $D$9, 100%, $F$9) + CHOOSE(CONTROL!$C$27, 0.0021, 0)</f>
        <v>86.915199999999999</v>
      </c>
      <c r="J554" s="14">
        <f>86.9131 * CHOOSE(CONTROL!$C$9, $D$9, 100%, $F$9) + CHOOSE(CONTROL!$C$27, 0.0021, 0)</f>
        <v>86.915199999999999</v>
      </c>
      <c r="K554" s="14">
        <f>86.9131 * CHOOSE(CONTROL!$C$9, $D$9, 100%, $F$9) + CHOOSE(CONTROL!$C$27, 0.0021, 0)</f>
        <v>86.915199999999999</v>
      </c>
      <c r="L554" s="14"/>
    </row>
    <row r="555" spans="1:12" ht="15.75" x14ac:dyDescent="0.25">
      <c r="A555" s="32">
        <v>57830</v>
      </c>
      <c r="B555" s="14">
        <f>86.1102 * CHOOSE(CONTROL!$C$9, $D$9, 100%, $F$9) + CHOOSE(CONTROL!$C$27, 0.0021, 0)</f>
        <v>86.112300000000005</v>
      </c>
      <c r="C555" s="14">
        <f>85.6779 * CHOOSE(CONTROL!$C$9, $D$9, 100%, $F$9) + CHOOSE(CONTROL!$C$27, 0.0021, 0)</f>
        <v>85.679999999999993</v>
      </c>
      <c r="D555" s="14">
        <f>85.6779 * CHOOSE(CONTROL!$C$9, $D$9, 100%, $F$9) + CHOOSE(CONTROL!$C$27, 0.0021, 0)</f>
        <v>85.679999999999993</v>
      </c>
      <c r="E555" s="14">
        <f>85.5413 * CHOOSE(CONTROL!$C$9, $D$9, 100%, $F$9) + CHOOSE(CONTROL!$C$27, 0.0021, 0)</f>
        <v>85.543400000000005</v>
      </c>
      <c r="F555" s="14">
        <f>85.5413 * CHOOSE(CONTROL!$C$9, $D$9, 100%, $F$9) + CHOOSE(CONTROL!$C$27, 0.0021, 0)</f>
        <v>85.543400000000005</v>
      </c>
      <c r="G555" s="14">
        <f>85.8127 * CHOOSE(CONTROL!$C$9, $D$9, 100%, $F$9) + CHOOSE(CONTROL!$C$27, 0.0021, 0)</f>
        <v>85.814800000000005</v>
      </c>
      <c r="H555" s="14">
        <f>85.6779 * CHOOSE(CONTROL!$C$9, $D$9, 100%, $F$9) + CHOOSE(CONTROL!$C$27, 0.0021, 0)</f>
        <v>85.679999999999993</v>
      </c>
      <c r="I555" s="14">
        <f>85.6779 * CHOOSE(CONTROL!$C$9, $D$9, 100%, $F$9) + CHOOSE(CONTROL!$C$27, 0.0021, 0)</f>
        <v>85.679999999999993</v>
      </c>
      <c r="J555" s="14">
        <f>85.6779 * CHOOSE(CONTROL!$C$9, $D$9, 100%, $F$9) + CHOOSE(CONTROL!$C$27, 0.0021, 0)</f>
        <v>85.679999999999993</v>
      </c>
      <c r="K555" s="14">
        <f>85.6779 * CHOOSE(CONTROL!$C$9, $D$9, 100%, $F$9) + CHOOSE(CONTROL!$C$27, 0.0021, 0)</f>
        <v>85.679999999999993</v>
      </c>
      <c r="L555" s="14"/>
    </row>
    <row r="556" spans="1:12" ht="15.75" x14ac:dyDescent="0.25">
      <c r="A556" s="32">
        <v>57861</v>
      </c>
      <c r="B556" s="14">
        <f>87.8704 * CHOOSE(CONTROL!$C$9, $D$9, 100%, $F$9) + CHOOSE(CONTROL!$C$27, 0.0021, 0)</f>
        <v>87.872500000000002</v>
      </c>
      <c r="C556" s="14">
        <f>87.4382 * CHOOSE(CONTROL!$C$9, $D$9, 100%, $F$9) + CHOOSE(CONTROL!$C$27, 0.0021, 0)</f>
        <v>87.440299999999993</v>
      </c>
      <c r="D556" s="14">
        <f>87.4382 * CHOOSE(CONTROL!$C$9, $D$9, 100%, $F$9) + CHOOSE(CONTROL!$C$27, 0.0021, 0)</f>
        <v>87.440299999999993</v>
      </c>
      <c r="E556" s="14">
        <f>87.3015 * CHOOSE(CONTROL!$C$9, $D$9, 100%, $F$9) + CHOOSE(CONTROL!$C$27, 0.0021, 0)</f>
        <v>87.303600000000003</v>
      </c>
      <c r="F556" s="14">
        <f>87.3015 * CHOOSE(CONTROL!$C$9, $D$9, 100%, $F$9) + CHOOSE(CONTROL!$C$27, 0.0021, 0)</f>
        <v>87.303600000000003</v>
      </c>
      <c r="G556" s="14">
        <f>87.5729 * CHOOSE(CONTROL!$C$9, $D$9, 100%, $F$9) + CHOOSE(CONTROL!$C$27, 0.0021, 0)</f>
        <v>87.575000000000003</v>
      </c>
      <c r="H556" s="14">
        <f>87.4382 * CHOOSE(CONTROL!$C$9, $D$9, 100%, $F$9) + CHOOSE(CONTROL!$C$27, 0.0021, 0)</f>
        <v>87.440299999999993</v>
      </c>
      <c r="I556" s="14">
        <f>87.4382 * CHOOSE(CONTROL!$C$9, $D$9, 100%, $F$9) + CHOOSE(CONTROL!$C$27, 0.0021, 0)</f>
        <v>87.440299999999993</v>
      </c>
      <c r="J556" s="14">
        <f>87.4382 * CHOOSE(CONTROL!$C$9, $D$9, 100%, $F$9) + CHOOSE(CONTROL!$C$27, 0.0021, 0)</f>
        <v>87.440299999999993</v>
      </c>
      <c r="K556" s="14">
        <f>87.4382 * CHOOSE(CONTROL!$C$9, $D$9, 100%, $F$9) + CHOOSE(CONTROL!$C$27, 0.0021, 0)</f>
        <v>87.440299999999993</v>
      </c>
      <c r="L556" s="14"/>
    </row>
    <row r="557" spans="1:12" ht="15.75" x14ac:dyDescent="0.25">
      <c r="A557" s="32">
        <v>57891</v>
      </c>
      <c r="B557" s="14">
        <f>88.9247 * CHOOSE(CONTROL!$C$9, $D$9, 100%, $F$9) + CHOOSE(CONTROL!$C$27, 0.0021, 0)</f>
        <v>88.9268</v>
      </c>
      <c r="C557" s="14">
        <f>88.4925 * CHOOSE(CONTROL!$C$9, $D$9, 100%, $F$9) + CHOOSE(CONTROL!$C$27, 0.0021, 0)</f>
        <v>88.494600000000005</v>
      </c>
      <c r="D557" s="14">
        <f>88.4925 * CHOOSE(CONTROL!$C$9, $D$9, 100%, $F$9) + CHOOSE(CONTROL!$C$27, 0.0021, 0)</f>
        <v>88.494600000000005</v>
      </c>
      <c r="E557" s="14">
        <f>88.3558 * CHOOSE(CONTROL!$C$9, $D$9, 100%, $F$9) + CHOOSE(CONTROL!$C$27, 0.0021, 0)</f>
        <v>88.357900000000001</v>
      </c>
      <c r="F557" s="14">
        <f>88.3558 * CHOOSE(CONTROL!$C$9, $D$9, 100%, $F$9) + CHOOSE(CONTROL!$C$27, 0.0021, 0)</f>
        <v>88.357900000000001</v>
      </c>
      <c r="G557" s="14">
        <f>88.6272 * CHOOSE(CONTROL!$C$9, $D$9, 100%, $F$9) + CHOOSE(CONTROL!$C$27, 0.0021, 0)</f>
        <v>88.629300000000001</v>
      </c>
      <c r="H557" s="14">
        <f>88.4925 * CHOOSE(CONTROL!$C$9, $D$9, 100%, $F$9) + CHOOSE(CONTROL!$C$27, 0.0021, 0)</f>
        <v>88.494600000000005</v>
      </c>
      <c r="I557" s="14">
        <f>88.4925 * CHOOSE(CONTROL!$C$9, $D$9, 100%, $F$9) + CHOOSE(CONTROL!$C$27, 0.0021, 0)</f>
        <v>88.494600000000005</v>
      </c>
      <c r="J557" s="14">
        <f>88.4925 * CHOOSE(CONTROL!$C$9, $D$9, 100%, $F$9) + CHOOSE(CONTROL!$C$27, 0.0021, 0)</f>
        <v>88.494600000000005</v>
      </c>
      <c r="K557" s="14">
        <f>88.4925 * CHOOSE(CONTROL!$C$9, $D$9, 100%, $F$9) + CHOOSE(CONTROL!$C$27, 0.0021, 0)</f>
        <v>88.494600000000005</v>
      </c>
      <c r="L557" s="14"/>
    </row>
    <row r="558" spans="1:12" ht="15.75" x14ac:dyDescent="0.25">
      <c r="A558" s="32">
        <v>57922</v>
      </c>
      <c r="B558" s="14">
        <f>90.6639 * CHOOSE(CONTROL!$C$9, $D$9, 100%, $F$9) + CHOOSE(CONTROL!$C$27, 0.0021, 0)</f>
        <v>90.665999999999997</v>
      </c>
      <c r="C558" s="14">
        <f>90.2317 * CHOOSE(CONTROL!$C$9, $D$9, 100%, $F$9) + CHOOSE(CONTROL!$C$27, 0.0021, 0)</f>
        <v>90.233800000000002</v>
      </c>
      <c r="D558" s="14">
        <f>90.2317 * CHOOSE(CONTROL!$C$9, $D$9, 100%, $F$9) + CHOOSE(CONTROL!$C$27, 0.0021, 0)</f>
        <v>90.233800000000002</v>
      </c>
      <c r="E558" s="14">
        <f>90.095 * CHOOSE(CONTROL!$C$9, $D$9, 100%, $F$9) + CHOOSE(CONTROL!$C$27, 0.0021, 0)</f>
        <v>90.097099999999998</v>
      </c>
      <c r="F558" s="14">
        <f>90.095 * CHOOSE(CONTROL!$C$9, $D$9, 100%, $F$9) + CHOOSE(CONTROL!$C$27, 0.0021, 0)</f>
        <v>90.097099999999998</v>
      </c>
      <c r="G558" s="14">
        <f>90.3664 * CHOOSE(CONTROL!$C$9, $D$9, 100%, $F$9) + CHOOSE(CONTROL!$C$27, 0.0021, 0)</f>
        <v>90.368499999999997</v>
      </c>
      <c r="H558" s="14">
        <f>90.2317 * CHOOSE(CONTROL!$C$9, $D$9, 100%, $F$9) + CHOOSE(CONTROL!$C$27, 0.0021, 0)</f>
        <v>90.233800000000002</v>
      </c>
      <c r="I558" s="14">
        <f>90.2317 * CHOOSE(CONTROL!$C$9, $D$9, 100%, $F$9) + CHOOSE(CONTROL!$C$27, 0.0021, 0)</f>
        <v>90.233800000000002</v>
      </c>
      <c r="J558" s="14">
        <f>90.2317 * CHOOSE(CONTROL!$C$9, $D$9, 100%, $F$9) + CHOOSE(CONTROL!$C$27, 0.0021, 0)</f>
        <v>90.233800000000002</v>
      </c>
      <c r="K558" s="14">
        <f>90.2317 * CHOOSE(CONTROL!$C$9, $D$9, 100%, $F$9) + CHOOSE(CONTROL!$C$27, 0.0021, 0)</f>
        <v>90.233800000000002</v>
      </c>
      <c r="L558" s="14"/>
    </row>
    <row r="559" spans="1:12" ht="15.75" x14ac:dyDescent="0.25">
      <c r="A559" s="32">
        <v>57953</v>
      </c>
      <c r="B559" s="14">
        <f>91.1948 * CHOOSE(CONTROL!$C$9, $D$9, 100%, $F$9) + CHOOSE(CONTROL!$C$27, 0.0021, 0)</f>
        <v>91.196899999999999</v>
      </c>
      <c r="C559" s="14">
        <f>90.7625 * CHOOSE(CONTROL!$C$9, $D$9, 100%, $F$9) + CHOOSE(CONTROL!$C$27, 0.0021, 0)</f>
        <v>90.764600000000002</v>
      </c>
      <c r="D559" s="14">
        <f>90.7625 * CHOOSE(CONTROL!$C$9, $D$9, 100%, $F$9) + CHOOSE(CONTROL!$C$27, 0.0021, 0)</f>
        <v>90.764600000000002</v>
      </c>
      <c r="E559" s="14">
        <f>90.6259 * CHOOSE(CONTROL!$C$9, $D$9, 100%, $F$9) + CHOOSE(CONTROL!$C$27, 0.0021, 0)</f>
        <v>90.628</v>
      </c>
      <c r="F559" s="14">
        <f>90.6259 * CHOOSE(CONTROL!$C$9, $D$9, 100%, $F$9) + CHOOSE(CONTROL!$C$27, 0.0021, 0)</f>
        <v>90.628</v>
      </c>
      <c r="G559" s="14">
        <f>90.8972 * CHOOSE(CONTROL!$C$9, $D$9, 100%, $F$9) + CHOOSE(CONTROL!$C$27, 0.0021, 0)</f>
        <v>90.899299999999997</v>
      </c>
      <c r="H559" s="14">
        <f>90.7625 * CHOOSE(CONTROL!$C$9, $D$9, 100%, $F$9) + CHOOSE(CONTROL!$C$27, 0.0021, 0)</f>
        <v>90.764600000000002</v>
      </c>
      <c r="I559" s="14">
        <f>90.7625 * CHOOSE(CONTROL!$C$9, $D$9, 100%, $F$9) + CHOOSE(CONTROL!$C$27, 0.0021, 0)</f>
        <v>90.764600000000002</v>
      </c>
      <c r="J559" s="14">
        <f>90.7625 * CHOOSE(CONTROL!$C$9, $D$9, 100%, $F$9) + CHOOSE(CONTROL!$C$27, 0.0021, 0)</f>
        <v>90.764600000000002</v>
      </c>
      <c r="K559" s="14">
        <f>90.7625 * CHOOSE(CONTROL!$C$9, $D$9, 100%, $F$9) + CHOOSE(CONTROL!$C$27, 0.0021, 0)</f>
        <v>90.764600000000002</v>
      </c>
      <c r="L559" s="14"/>
    </row>
    <row r="560" spans="1:12" ht="15.75" x14ac:dyDescent="0.25">
      <c r="A560" s="32">
        <v>57983</v>
      </c>
      <c r="B560" s="14">
        <f>93.0026 * CHOOSE(CONTROL!$C$9, $D$9, 100%, $F$9) + CHOOSE(CONTROL!$C$27, 0.0021, 0)</f>
        <v>93.0047</v>
      </c>
      <c r="C560" s="14">
        <f>92.5703 * CHOOSE(CONTROL!$C$9, $D$9, 100%, $F$9) + CHOOSE(CONTROL!$C$27, 0.0021, 0)</f>
        <v>92.572400000000002</v>
      </c>
      <c r="D560" s="14">
        <f>92.5703 * CHOOSE(CONTROL!$C$9, $D$9, 100%, $F$9) + CHOOSE(CONTROL!$C$27, 0.0021, 0)</f>
        <v>92.572400000000002</v>
      </c>
      <c r="E560" s="14">
        <f>92.4337 * CHOOSE(CONTROL!$C$9, $D$9, 100%, $F$9) + CHOOSE(CONTROL!$C$27, 0.0021, 0)</f>
        <v>92.4358</v>
      </c>
      <c r="F560" s="14">
        <f>92.4337 * CHOOSE(CONTROL!$C$9, $D$9, 100%, $F$9) + CHOOSE(CONTROL!$C$27, 0.0021, 0)</f>
        <v>92.4358</v>
      </c>
      <c r="G560" s="14">
        <f>92.7051 * CHOOSE(CONTROL!$C$9, $D$9, 100%, $F$9) + CHOOSE(CONTROL!$C$27, 0.0021, 0)</f>
        <v>92.7072</v>
      </c>
      <c r="H560" s="14">
        <f>92.5703 * CHOOSE(CONTROL!$C$9, $D$9, 100%, $F$9) + CHOOSE(CONTROL!$C$27, 0.0021, 0)</f>
        <v>92.572400000000002</v>
      </c>
      <c r="I560" s="14">
        <f>92.5703 * CHOOSE(CONTROL!$C$9, $D$9, 100%, $F$9) + CHOOSE(CONTROL!$C$27, 0.0021, 0)</f>
        <v>92.572400000000002</v>
      </c>
      <c r="J560" s="14">
        <f>92.5703 * CHOOSE(CONTROL!$C$9, $D$9, 100%, $F$9) + CHOOSE(CONTROL!$C$27, 0.0021, 0)</f>
        <v>92.572400000000002</v>
      </c>
      <c r="K560" s="14">
        <f>92.5703 * CHOOSE(CONTROL!$C$9, $D$9, 100%, $F$9) + CHOOSE(CONTROL!$C$27, 0.0021, 0)</f>
        <v>92.572400000000002</v>
      </c>
      <c r="L560" s="14"/>
    </row>
    <row r="561" spans="1:12" ht="15.75" x14ac:dyDescent="0.25">
      <c r="A561" s="32">
        <v>58014</v>
      </c>
      <c r="B561" s="14">
        <f>95.291 * CHOOSE(CONTROL!$C$9, $D$9, 100%, $F$9) + CHOOSE(CONTROL!$C$27, 0.0021, 0)</f>
        <v>95.293099999999995</v>
      </c>
      <c r="C561" s="14">
        <f>94.8587 * CHOOSE(CONTROL!$C$9, $D$9, 100%, $F$9) + CHOOSE(CONTROL!$C$27, 0.0021, 0)</f>
        <v>94.860799999999998</v>
      </c>
      <c r="D561" s="14">
        <f>94.8587 * CHOOSE(CONTROL!$C$9, $D$9, 100%, $F$9) + CHOOSE(CONTROL!$C$27, 0.0021, 0)</f>
        <v>94.860799999999998</v>
      </c>
      <c r="E561" s="14">
        <f>94.7221 * CHOOSE(CONTROL!$C$9, $D$9, 100%, $F$9) + CHOOSE(CONTROL!$C$27, 0.0021, 0)</f>
        <v>94.724199999999996</v>
      </c>
      <c r="F561" s="14">
        <f>94.7221 * CHOOSE(CONTROL!$C$9, $D$9, 100%, $F$9) + CHOOSE(CONTROL!$C$27, 0.0021, 0)</f>
        <v>94.724199999999996</v>
      </c>
      <c r="G561" s="14">
        <f>94.9935 * CHOOSE(CONTROL!$C$9, $D$9, 100%, $F$9) + CHOOSE(CONTROL!$C$27, 0.0021, 0)</f>
        <v>94.995599999999996</v>
      </c>
      <c r="H561" s="14">
        <f>94.8587 * CHOOSE(CONTROL!$C$9, $D$9, 100%, $F$9) + CHOOSE(CONTROL!$C$27, 0.0021, 0)</f>
        <v>94.860799999999998</v>
      </c>
      <c r="I561" s="14">
        <f>94.8587 * CHOOSE(CONTROL!$C$9, $D$9, 100%, $F$9) + CHOOSE(CONTROL!$C$27, 0.0021, 0)</f>
        <v>94.860799999999998</v>
      </c>
      <c r="J561" s="14">
        <f>94.8587 * CHOOSE(CONTROL!$C$9, $D$9, 100%, $F$9) + CHOOSE(CONTROL!$C$27, 0.0021, 0)</f>
        <v>94.860799999999998</v>
      </c>
      <c r="K561" s="14">
        <f>94.8587 * CHOOSE(CONTROL!$C$9, $D$9, 100%, $F$9) + CHOOSE(CONTROL!$C$27, 0.0021, 0)</f>
        <v>94.860799999999998</v>
      </c>
      <c r="L561" s="14"/>
    </row>
    <row r="562" spans="1:12" ht="15.75" x14ac:dyDescent="0.25">
      <c r="A562" s="32">
        <v>58044</v>
      </c>
      <c r="B562" s="14">
        <f>95.5058 * CHOOSE(CONTROL!$C$9, $D$9, 100%, $F$9) + CHOOSE(CONTROL!$C$27, 0.0021, 0)</f>
        <v>95.507899999999992</v>
      </c>
      <c r="C562" s="14">
        <f>95.0736 * CHOOSE(CONTROL!$C$9, $D$9, 100%, $F$9) + CHOOSE(CONTROL!$C$27, 0.0021, 0)</f>
        <v>95.075699999999998</v>
      </c>
      <c r="D562" s="14">
        <f>95.0736 * CHOOSE(CONTROL!$C$9, $D$9, 100%, $F$9) + CHOOSE(CONTROL!$C$27, 0.0021, 0)</f>
        <v>95.075699999999998</v>
      </c>
      <c r="E562" s="14">
        <f>94.9369 * CHOOSE(CONTROL!$C$9, $D$9, 100%, $F$9) + CHOOSE(CONTROL!$C$27, 0.0021, 0)</f>
        <v>94.938999999999993</v>
      </c>
      <c r="F562" s="14">
        <f>94.9369 * CHOOSE(CONTROL!$C$9, $D$9, 100%, $F$9) + CHOOSE(CONTROL!$C$27, 0.0021, 0)</f>
        <v>94.938999999999993</v>
      </c>
      <c r="G562" s="14">
        <f>95.2083 * CHOOSE(CONTROL!$C$9, $D$9, 100%, $F$9) + CHOOSE(CONTROL!$C$27, 0.0021, 0)</f>
        <v>95.210399999999993</v>
      </c>
      <c r="H562" s="14">
        <f>95.0736 * CHOOSE(CONTROL!$C$9, $D$9, 100%, $F$9) + CHOOSE(CONTROL!$C$27, 0.0021, 0)</f>
        <v>95.075699999999998</v>
      </c>
      <c r="I562" s="14">
        <f>95.0736 * CHOOSE(CONTROL!$C$9, $D$9, 100%, $F$9) + CHOOSE(CONTROL!$C$27, 0.0021, 0)</f>
        <v>95.075699999999998</v>
      </c>
      <c r="J562" s="14">
        <f>95.0736 * CHOOSE(CONTROL!$C$9, $D$9, 100%, $F$9) + CHOOSE(CONTROL!$C$27, 0.0021, 0)</f>
        <v>95.075699999999998</v>
      </c>
      <c r="K562" s="14">
        <f>95.0736 * CHOOSE(CONTROL!$C$9, $D$9, 100%, $F$9) + CHOOSE(CONTROL!$C$27, 0.0021, 0)</f>
        <v>95.075699999999998</v>
      </c>
      <c r="L562" s="14"/>
    </row>
    <row r="563" spans="1:12" ht="15.75" x14ac:dyDescent="0.25">
      <c r="A563" s="32">
        <v>58075</v>
      </c>
      <c r="B563" s="14">
        <f>93.6781 * CHOOSE(CONTROL!$C$9, $D$9, 100%, $F$9) + CHOOSE(CONTROL!$C$27, 0.0021, 0)</f>
        <v>93.680199999999999</v>
      </c>
      <c r="C563" s="14">
        <f>93.2459 * CHOOSE(CONTROL!$C$9, $D$9, 100%, $F$9) + CHOOSE(CONTROL!$C$27, 0.0021, 0)</f>
        <v>93.248000000000005</v>
      </c>
      <c r="D563" s="14">
        <f>93.2459 * CHOOSE(CONTROL!$C$9, $D$9, 100%, $F$9) + CHOOSE(CONTROL!$C$27, 0.0021, 0)</f>
        <v>93.248000000000005</v>
      </c>
      <c r="E563" s="14">
        <f>93.1092 * CHOOSE(CONTROL!$C$9, $D$9, 100%, $F$9) + CHOOSE(CONTROL!$C$27, 0.0021, 0)</f>
        <v>93.1113</v>
      </c>
      <c r="F563" s="14">
        <f>93.1092 * CHOOSE(CONTROL!$C$9, $D$9, 100%, $F$9) + CHOOSE(CONTROL!$C$27, 0.0021, 0)</f>
        <v>93.1113</v>
      </c>
      <c r="G563" s="14">
        <f>93.3806 * CHOOSE(CONTROL!$C$9, $D$9, 100%, $F$9) + CHOOSE(CONTROL!$C$27, 0.0021, 0)</f>
        <v>93.3827</v>
      </c>
      <c r="H563" s="14">
        <f>93.2459 * CHOOSE(CONTROL!$C$9, $D$9, 100%, $F$9) + CHOOSE(CONTROL!$C$27, 0.0021, 0)</f>
        <v>93.248000000000005</v>
      </c>
      <c r="I563" s="14">
        <f>93.2459 * CHOOSE(CONTROL!$C$9, $D$9, 100%, $F$9) + CHOOSE(CONTROL!$C$27, 0.0021, 0)</f>
        <v>93.248000000000005</v>
      </c>
      <c r="J563" s="14">
        <f>93.2459 * CHOOSE(CONTROL!$C$9, $D$9, 100%, $F$9) + CHOOSE(CONTROL!$C$27, 0.0021, 0)</f>
        <v>93.248000000000005</v>
      </c>
      <c r="K563" s="14">
        <f>93.2459 * CHOOSE(CONTROL!$C$9, $D$9, 100%, $F$9) + CHOOSE(CONTROL!$C$27, 0.0021, 0)</f>
        <v>93.248000000000005</v>
      </c>
      <c r="L563" s="14"/>
    </row>
    <row r="564" spans="1:12" ht="15.75" x14ac:dyDescent="0.25">
      <c r="A564" s="32">
        <v>58106</v>
      </c>
      <c r="B564" s="14">
        <f>92.5229 * CHOOSE(CONTROL!$C$9, $D$9, 100%, $F$9) + CHOOSE(CONTROL!$C$27, 0.0021, 0)</f>
        <v>92.525000000000006</v>
      </c>
      <c r="C564" s="14">
        <f>92.0907 * CHOOSE(CONTROL!$C$9, $D$9, 100%, $F$9) + CHOOSE(CONTROL!$C$27, 0.0021, 0)</f>
        <v>92.092799999999997</v>
      </c>
      <c r="D564" s="14">
        <f>92.0907 * CHOOSE(CONTROL!$C$9, $D$9, 100%, $F$9) + CHOOSE(CONTROL!$C$27, 0.0021, 0)</f>
        <v>92.092799999999997</v>
      </c>
      <c r="E564" s="14">
        <f>91.954 * CHOOSE(CONTROL!$C$9, $D$9, 100%, $F$9) + CHOOSE(CONTROL!$C$27, 0.0021, 0)</f>
        <v>91.956099999999992</v>
      </c>
      <c r="F564" s="14">
        <f>91.954 * CHOOSE(CONTROL!$C$9, $D$9, 100%, $F$9) + CHOOSE(CONTROL!$C$27, 0.0021, 0)</f>
        <v>91.956099999999992</v>
      </c>
      <c r="G564" s="14">
        <f>92.2254 * CHOOSE(CONTROL!$C$9, $D$9, 100%, $F$9) + CHOOSE(CONTROL!$C$27, 0.0021, 0)</f>
        <v>92.227499999999992</v>
      </c>
      <c r="H564" s="14">
        <f>92.0907 * CHOOSE(CONTROL!$C$9, $D$9, 100%, $F$9) + CHOOSE(CONTROL!$C$27, 0.0021, 0)</f>
        <v>92.092799999999997</v>
      </c>
      <c r="I564" s="14">
        <f>92.0907 * CHOOSE(CONTROL!$C$9, $D$9, 100%, $F$9) + CHOOSE(CONTROL!$C$27, 0.0021, 0)</f>
        <v>92.092799999999997</v>
      </c>
      <c r="J564" s="14">
        <f>92.0907 * CHOOSE(CONTROL!$C$9, $D$9, 100%, $F$9) + CHOOSE(CONTROL!$C$27, 0.0021, 0)</f>
        <v>92.092799999999997</v>
      </c>
      <c r="K564" s="14">
        <f>92.0907 * CHOOSE(CONTROL!$C$9, $D$9, 100%, $F$9) + CHOOSE(CONTROL!$C$27, 0.0021, 0)</f>
        <v>92.092799999999997</v>
      </c>
      <c r="L564" s="14"/>
    </row>
    <row r="565" spans="1:12" ht="15.75" x14ac:dyDescent="0.25">
      <c r="A565" s="32">
        <v>58134</v>
      </c>
      <c r="B565" s="14">
        <f>89.9707 * CHOOSE(CONTROL!$C$9, $D$9, 100%, $F$9) + CHOOSE(CONTROL!$C$27, 0.0021, 0)</f>
        <v>89.972799999999992</v>
      </c>
      <c r="C565" s="14">
        <f>89.5385 * CHOOSE(CONTROL!$C$9, $D$9, 100%, $F$9) + CHOOSE(CONTROL!$C$27, 0.0021, 0)</f>
        <v>89.540599999999998</v>
      </c>
      <c r="D565" s="14">
        <f>89.5385 * CHOOSE(CONTROL!$C$9, $D$9, 100%, $F$9) + CHOOSE(CONTROL!$C$27, 0.0021, 0)</f>
        <v>89.540599999999998</v>
      </c>
      <c r="E565" s="14">
        <f>89.4018 * CHOOSE(CONTROL!$C$9, $D$9, 100%, $F$9) + CHOOSE(CONTROL!$C$27, 0.0021, 0)</f>
        <v>89.403899999999993</v>
      </c>
      <c r="F565" s="14">
        <f>89.4018 * CHOOSE(CONTROL!$C$9, $D$9, 100%, $F$9) + CHOOSE(CONTROL!$C$27, 0.0021, 0)</f>
        <v>89.403899999999993</v>
      </c>
      <c r="G565" s="14">
        <f>89.6732 * CHOOSE(CONTROL!$C$9, $D$9, 100%, $F$9) + CHOOSE(CONTROL!$C$27, 0.0021, 0)</f>
        <v>89.675299999999993</v>
      </c>
      <c r="H565" s="14">
        <f>89.5385 * CHOOSE(CONTROL!$C$9, $D$9, 100%, $F$9) + CHOOSE(CONTROL!$C$27, 0.0021, 0)</f>
        <v>89.540599999999998</v>
      </c>
      <c r="I565" s="14">
        <f>89.5385 * CHOOSE(CONTROL!$C$9, $D$9, 100%, $F$9) + CHOOSE(CONTROL!$C$27, 0.0021, 0)</f>
        <v>89.540599999999998</v>
      </c>
      <c r="J565" s="14">
        <f>89.5385 * CHOOSE(CONTROL!$C$9, $D$9, 100%, $F$9) + CHOOSE(CONTROL!$C$27, 0.0021, 0)</f>
        <v>89.540599999999998</v>
      </c>
      <c r="K565" s="14">
        <f>89.5385 * CHOOSE(CONTROL!$C$9, $D$9, 100%, $F$9) + CHOOSE(CONTROL!$C$27, 0.0021, 0)</f>
        <v>89.540599999999998</v>
      </c>
      <c r="L565" s="14"/>
    </row>
    <row r="566" spans="1:12" ht="15.75" x14ac:dyDescent="0.25">
      <c r="A566" s="32">
        <v>58165</v>
      </c>
      <c r="B566" s="14">
        <f>88.9172 * CHOOSE(CONTROL!$C$9, $D$9, 100%, $F$9) + CHOOSE(CONTROL!$C$27, 0.0021, 0)</f>
        <v>88.919299999999993</v>
      </c>
      <c r="C566" s="14">
        <f>88.4849 * CHOOSE(CONTROL!$C$9, $D$9, 100%, $F$9) + CHOOSE(CONTROL!$C$27, 0.0021, 0)</f>
        <v>88.486999999999995</v>
      </c>
      <c r="D566" s="14">
        <f>88.4849 * CHOOSE(CONTROL!$C$9, $D$9, 100%, $F$9) + CHOOSE(CONTROL!$C$27, 0.0021, 0)</f>
        <v>88.486999999999995</v>
      </c>
      <c r="E566" s="14">
        <f>88.3483 * CHOOSE(CONTROL!$C$9, $D$9, 100%, $F$9) + CHOOSE(CONTROL!$C$27, 0.0021, 0)</f>
        <v>88.350399999999993</v>
      </c>
      <c r="F566" s="14">
        <f>88.3483 * CHOOSE(CONTROL!$C$9, $D$9, 100%, $F$9) + CHOOSE(CONTROL!$C$27, 0.0021, 0)</f>
        <v>88.350399999999993</v>
      </c>
      <c r="G566" s="14">
        <f>88.6196 * CHOOSE(CONTROL!$C$9, $D$9, 100%, $F$9) + CHOOSE(CONTROL!$C$27, 0.0021, 0)</f>
        <v>88.621700000000004</v>
      </c>
      <c r="H566" s="14">
        <f>88.4849 * CHOOSE(CONTROL!$C$9, $D$9, 100%, $F$9) + CHOOSE(CONTROL!$C$27, 0.0021, 0)</f>
        <v>88.486999999999995</v>
      </c>
      <c r="I566" s="14">
        <f>88.4849 * CHOOSE(CONTROL!$C$9, $D$9, 100%, $F$9) + CHOOSE(CONTROL!$C$27, 0.0021, 0)</f>
        <v>88.486999999999995</v>
      </c>
      <c r="J566" s="14">
        <f>88.4849 * CHOOSE(CONTROL!$C$9, $D$9, 100%, $F$9) + CHOOSE(CONTROL!$C$27, 0.0021, 0)</f>
        <v>88.486999999999995</v>
      </c>
      <c r="K566" s="14">
        <f>88.4849 * CHOOSE(CONTROL!$C$9, $D$9, 100%, $F$9) + CHOOSE(CONTROL!$C$27, 0.0021, 0)</f>
        <v>88.486999999999995</v>
      </c>
      <c r="L566" s="14"/>
    </row>
    <row r="567" spans="1:12" ht="15.75" x14ac:dyDescent="0.25">
      <c r="A567" s="32">
        <v>58195</v>
      </c>
      <c r="B567" s="14">
        <f>87.6592 * CHOOSE(CONTROL!$C$9, $D$9, 100%, $F$9) + CHOOSE(CONTROL!$C$27, 0.0021, 0)</f>
        <v>87.661299999999997</v>
      </c>
      <c r="C567" s="14">
        <f>87.227 * CHOOSE(CONTROL!$C$9, $D$9, 100%, $F$9) + CHOOSE(CONTROL!$C$27, 0.0021, 0)</f>
        <v>87.229100000000003</v>
      </c>
      <c r="D567" s="14">
        <f>87.227 * CHOOSE(CONTROL!$C$9, $D$9, 100%, $F$9) + CHOOSE(CONTROL!$C$27, 0.0021, 0)</f>
        <v>87.229100000000003</v>
      </c>
      <c r="E567" s="14">
        <f>87.0903 * CHOOSE(CONTROL!$C$9, $D$9, 100%, $F$9) + CHOOSE(CONTROL!$C$27, 0.0021, 0)</f>
        <v>87.092399999999998</v>
      </c>
      <c r="F567" s="14">
        <f>87.0903 * CHOOSE(CONTROL!$C$9, $D$9, 100%, $F$9) + CHOOSE(CONTROL!$C$27, 0.0021, 0)</f>
        <v>87.092399999999998</v>
      </c>
      <c r="G567" s="14">
        <f>87.3617 * CHOOSE(CONTROL!$C$9, $D$9, 100%, $F$9) + CHOOSE(CONTROL!$C$27, 0.0021, 0)</f>
        <v>87.363799999999998</v>
      </c>
      <c r="H567" s="14">
        <f>87.227 * CHOOSE(CONTROL!$C$9, $D$9, 100%, $F$9) + CHOOSE(CONTROL!$C$27, 0.0021, 0)</f>
        <v>87.229100000000003</v>
      </c>
      <c r="I567" s="14">
        <f>87.227 * CHOOSE(CONTROL!$C$9, $D$9, 100%, $F$9) + CHOOSE(CONTROL!$C$27, 0.0021, 0)</f>
        <v>87.229100000000003</v>
      </c>
      <c r="J567" s="14">
        <f>87.227 * CHOOSE(CONTROL!$C$9, $D$9, 100%, $F$9) + CHOOSE(CONTROL!$C$27, 0.0021, 0)</f>
        <v>87.229100000000003</v>
      </c>
      <c r="K567" s="14">
        <f>87.227 * CHOOSE(CONTROL!$C$9, $D$9, 100%, $F$9) + CHOOSE(CONTROL!$C$27, 0.0021, 0)</f>
        <v>87.229100000000003</v>
      </c>
      <c r="L567" s="14"/>
    </row>
    <row r="568" spans="1:12" ht="15.75" x14ac:dyDescent="0.25">
      <c r="A568" s="32">
        <v>58226</v>
      </c>
      <c r="B568" s="14">
        <f>89.452 * CHOOSE(CONTROL!$C$9, $D$9, 100%, $F$9) + CHOOSE(CONTROL!$C$27, 0.0021, 0)</f>
        <v>89.454099999999997</v>
      </c>
      <c r="C568" s="14">
        <f>89.0197 * CHOOSE(CONTROL!$C$9, $D$9, 100%, $F$9) + CHOOSE(CONTROL!$C$27, 0.0021, 0)</f>
        <v>89.021799999999999</v>
      </c>
      <c r="D568" s="14">
        <f>89.0197 * CHOOSE(CONTROL!$C$9, $D$9, 100%, $F$9) + CHOOSE(CONTROL!$C$27, 0.0021, 0)</f>
        <v>89.021799999999999</v>
      </c>
      <c r="E568" s="14">
        <f>88.883 * CHOOSE(CONTROL!$C$9, $D$9, 100%, $F$9) + CHOOSE(CONTROL!$C$27, 0.0021, 0)</f>
        <v>88.885099999999994</v>
      </c>
      <c r="F568" s="14">
        <f>88.883 * CHOOSE(CONTROL!$C$9, $D$9, 100%, $F$9) + CHOOSE(CONTROL!$C$27, 0.0021, 0)</f>
        <v>88.885099999999994</v>
      </c>
      <c r="G568" s="14">
        <f>89.1544 * CHOOSE(CONTROL!$C$9, $D$9, 100%, $F$9) + CHOOSE(CONTROL!$C$27, 0.0021, 0)</f>
        <v>89.156499999999994</v>
      </c>
      <c r="H568" s="14">
        <f>89.0197 * CHOOSE(CONTROL!$C$9, $D$9, 100%, $F$9) + CHOOSE(CONTROL!$C$27, 0.0021, 0)</f>
        <v>89.021799999999999</v>
      </c>
      <c r="I568" s="14">
        <f>89.0197 * CHOOSE(CONTROL!$C$9, $D$9, 100%, $F$9) + CHOOSE(CONTROL!$C$27, 0.0021, 0)</f>
        <v>89.021799999999999</v>
      </c>
      <c r="J568" s="14">
        <f>89.0197 * CHOOSE(CONTROL!$C$9, $D$9, 100%, $F$9) + CHOOSE(CONTROL!$C$27, 0.0021, 0)</f>
        <v>89.021799999999999</v>
      </c>
      <c r="K568" s="14">
        <f>89.0197 * CHOOSE(CONTROL!$C$9, $D$9, 100%, $F$9) + CHOOSE(CONTROL!$C$27, 0.0021, 0)</f>
        <v>89.021799999999999</v>
      </c>
      <c r="L568" s="14"/>
    </row>
    <row r="569" spans="1:12" ht="15.75" x14ac:dyDescent="0.25">
      <c r="A569" s="32">
        <v>58256</v>
      </c>
      <c r="B569" s="14">
        <f>90.5257 * CHOOSE(CONTROL!$C$9, $D$9, 100%, $F$9) + CHOOSE(CONTROL!$C$27, 0.0021, 0)</f>
        <v>90.527799999999999</v>
      </c>
      <c r="C569" s="14">
        <f>90.0935 * CHOOSE(CONTROL!$C$9, $D$9, 100%, $F$9) + CHOOSE(CONTROL!$C$27, 0.0021, 0)</f>
        <v>90.095600000000005</v>
      </c>
      <c r="D569" s="14">
        <f>90.0935 * CHOOSE(CONTROL!$C$9, $D$9, 100%, $F$9) + CHOOSE(CONTROL!$C$27, 0.0021, 0)</f>
        <v>90.095600000000005</v>
      </c>
      <c r="E569" s="14">
        <f>89.9568 * CHOOSE(CONTROL!$C$9, $D$9, 100%, $F$9) + CHOOSE(CONTROL!$C$27, 0.0021, 0)</f>
        <v>89.9589</v>
      </c>
      <c r="F569" s="14">
        <f>89.9568 * CHOOSE(CONTROL!$C$9, $D$9, 100%, $F$9) + CHOOSE(CONTROL!$C$27, 0.0021, 0)</f>
        <v>89.9589</v>
      </c>
      <c r="G569" s="14">
        <f>90.2282 * CHOOSE(CONTROL!$C$9, $D$9, 100%, $F$9) + CHOOSE(CONTROL!$C$27, 0.0021, 0)</f>
        <v>90.2303</v>
      </c>
      <c r="H569" s="14">
        <f>90.0935 * CHOOSE(CONTROL!$C$9, $D$9, 100%, $F$9) + CHOOSE(CONTROL!$C$27, 0.0021, 0)</f>
        <v>90.095600000000005</v>
      </c>
      <c r="I569" s="14">
        <f>90.0935 * CHOOSE(CONTROL!$C$9, $D$9, 100%, $F$9) + CHOOSE(CONTROL!$C$27, 0.0021, 0)</f>
        <v>90.095600000000005</v>
      </c>
      <c r="J569" s="14">
        <f>90.0935 * CHOOSE(CONTROL!$C$9, $D$9, 100%, $F$9) + CHOOSE(CONTROL!$C$27, 0.0021, 0)</f>
        <v>90.095600000000005</v>
      </c>
      <c r="K569" s="14">
        <f>90.0935 * CHOOSE(CONTROL!$C$9, $D$9, 100%, $F$9) + CHOOSE(CONTROL!$C$27, 0.0021, 0)</f>
        <v>90.095600000000005</v>
      </c>
      <c r="L569" s="14"/>
    </row>
    <row r="570" spans="1:12" ht="15.75" x14ac:dyDescent="0.25">
      <c r="A570" s="32">
        <v>58287</v>
      </c>
      <c r="B570" s="14">
        <f>92.2971 * CHOOSE(CONTROL!$C$9, $D$9, 100%, $F$9) + CHOOSE(CONTROL!$C$27, 0.0021, 0)</f>
        <v>92.299199999999999</v>
      </c>
      <c r="C570" s="14">
        <f>91.8648 * CHOOSE(CONTROL!$C$9, $D$9, 100%, $F$9) + CHOOSE(CONTROL!$C$27, 0.0021, 0)</f>
        <v>91.866900000000001</v>
      </c>
      <c r="D570" s="14">
        <f>91.8648 * CHOOSE(CONTROL!$C$9, $D$9, 100%, $F$9) + CHOOSE(CONTROL!$C$27, 0.0021, 0)</f>
        <v>91.866900000000001</v>
      </c>
      <c r="E570" s="14">
        <f>91.7282 * CHOOSE(CONTROL!$C$9, $D$9, 100%, $F$9) + CHOOSE(CONTROL!$C$27, 0.0021, 0)</f>
        <v>91.7303</v>
      </c>
      <c r="F570" s="14">
        <f>91.7282 * CHOOSE(CONTROL!$C$9, $D$9, 100%, $F$9) + CHOOSE(CONTROL!$C$27, 0.0021, 0)</f>
        <v>91.7303</v>
      </c>
      <c r="G570" s="14">
        <f>91.9995 * CHOOSE(CONTROL!$C$9, $D$9, 100%, $F$9) + CHOOSE(CONTROL!$C$27, 0.0021, 0)</f>
        <v>92.001599999999996</v>
      </c>
      <c r="H570" s="14">
        <f>91.8648 * CHOOSE(CONTROL!$C$9, $D$9, 100%, $F$9) + CHOOSE(CONTROL!$C$27, 0.0021, 0)</f>
        <v>91.866900000000001</v>
      </c>
      <c r="I570" s="14">
        <f>91.8648 * CHOOSE(CONTROL!$C$9, $D$9, 100%, $F$9) + CHOOSE(CONTROL!$C$27, 0.0021, 0)</f>
        <v>91.866900000000001</v>
      </c>
      <c r="J570" s="14">
        <f>91.8648 * CHOOSE(CONTROL!$C$9, $D$9, 100%, $F$9) + CHOOSE(CONTROL!$C$27, 0.0021, 0)</f>
        <v>91.866900000000001</v>
      </c>
      <c r="K570" s="14">
        <f>91.8648 * CHOOSE(CONTROL!$C$9, $D$9, 100%, $F$9) + CHOOSE(CONTROL!$C$27, 0.0021, 0)</f>
        <v>91.866900000000001</v>
      </c>
      <c r="L570" s="14"/>
    </row>
    <row r="571" spans="1:12" ht="15.75" x14ac:dyDescent="0.25">
      <c r="A571" s="32">
        <v>58318</v>
      </c>
      <c r="B571" s="14">
        <f>92.8377 * CHOOSE(CONTROL!$C$9, $D$9, 100%, $F$9) + CHOOSE(CONTROL!$C$27, 0.0021, 0)</f>
        <v>92.839799999999997</v>
      </c>
      <c r="C571" s="14">
        <f>92.4055 * CHOOSE(CONTROL!$C$9, $D$9, 100%, $F$9) + CHOOSE(CONTROL!$C$27, 0.0021, 0)</f>
        <v>92.407600000000002</v>
      </c>
      <c r="D571" s="14">
        <f>92.4055 * CHOOSE(CONTROL!$C$9, $D$9, 100%, $F$9) + CHOOSE(CONTROL!$C$27, 0.0021, 0)</f>
        <v>92.407600000000002</v>
      </c>
      <c r="E571" s="14">
        <f>92.2688 * CHOOSE(CONTROL!$C$9, $D$9, 100%, $F$9) + CHOOSE(CONTROL!$C$27, 0.0021, 0)</f>
        <v>92.270899999999997</v>
      </c>
      <c r="F571" s="14">
        <f>92.2688 * CHOOSE(CONTROL!$C$9, $D$9, 100%, $F$9) + CHOOSE(CONTROL!$C$27, 0.0021, 0)</f>
        <v>92.270899999999997</v>
      </c>
      <c r="G571" s="14">
        <f>92.5402 * CHOOSE(CONTROL!$C$9, $D$9, 100%, $F$9) + CHOOSE(CONTROL!$C$27, 0.0021, 0)</f>
        <v>92.542299999999997</v>
      </c>
      <c r="H571" s="14">
        <f>92.4055 * CHOOSE(CONTROL!$C$9, $D$9, 100%, $F$9) + CHOOSE(CONTROL!$C$27, 0.0021, 0)</f>
        <v>92.407600000000002</v>
      </c>
      <c r="I571" s="14">
        <f>92.4055 * CHOOSE(CONTROL!$C$9, $D$9, 100%, $F$9) + CHOOSE(CONTROL!$C$27, 0.0021, 0)</f>
        <v>92.407600000000002</v>
      </c>
      <c r="J571" s="14">
        <f>92.4055 * CHOOSE(CONTROL!$C$9, $D$9, 100%, $F$9) + CHOOSE(CONTROL!$C$27, 0.0021, 0)</f>
        <v>92.407600000000002</v>
      </c>
      <c r="K571" s="14">
        <f>92.4055 * CHOOSE(CONTROL!$C$9, $D$9, 100%, $F$9) + CHOOSE(CONTROL!$C$27, 0.0021, 0)</f>
        <v>92.407600000000002</v>
      </c>
      <c r="L571" s="14"/>
    </row>
    <row r="572" spans="1:12" ht="15.75" x14ac:dyDescent="0.25">
      <c r="A572" s="32">
        <v>58348</v>
      </c>
      <c r="B572" s="14">
        <f>94.679 * CHOOSE(CONTROL!$C$9, $D$9, 100%, $F$9) + CHOOSE(CONTROL!$C$27, 0.0021, 0)</f>
        <v>94.681100000000001</v>
      </c>
      <c r="C572" s="14">
        <f>94.2467 * CHOOSE(CONTROL!$C$9, $D$9, 100%, $F$9) + CHOOSE(CONTROL!$C$27, 0.0021, 0)</f>
        <v>94.248800000000003</v>
      </c>
      <c r="D572" s="14">
        <f>94.2467 * CHOOSE(CONTROL!$C$9, $D$9, 100%, $F$9) + CHOOSE(CONTROL!$C$27, 0.0021, 0)</f>
        <v>94.248800000000003</v>
      </c>
      <c r="E572" s="14">
        <f>94.1101 * CHOOSE(CONTROL!$C$9, $D$9, 100%, $F$9) + CHOOSE(CONTROL!$C$27, 0.0021, 0)</f>
        <v>94.112200000000001</v>
      </c>
      <c r="F572" s="14">
        <f>94.1101 * CHOOSE(CONTROL!$C$9, $D$9, 100%, $F$9) + CHOOSE(CONTROL!$C$27, 0.0021, 0)</f>
        <v>94.112200000000001</v>
      </c>
      <c r="G572" s="14">
        <f>94.3815 * CHOOSE(CONTROL!$C$9, $D$9, 100%, $F$9) + CHOOSE(CONTROL!$C$27, 0.0021, 0)</f>
        <v>94.383600000000001</v>
      </c>
      <c r="H572" s="14">
        <f>94.2467 * CHOOSE(CONTROL!$C$9, $D$9, 100%, $F$9) + CHOOSE(CONTROL!$C$27, 0.0021, 0)</f>
        <v>94.248800000000003</v>
      </c>
      <c r="I572" s="14">
        <f>94.2467 * CHOOSE(CONTROL!$C$9, $D$9, 100%, $F$9) + CHOOSE(CONTROL!$C$27, 0.0021, 0)</f>
        <v>94.248800000000003</v>
      </c>
      <c r="J572" s="14">
        <f>94.2467 * CHOOSE(CONTROL!$C$9, $D$9, 100%, $F$9) + CHOOSE(CONTROL!$C$27, 0.0021, 0)</f>
        <v>94.248800000000003</v>
      </c>
      <c r="K572" s="14">
        <f>94.2467 * CHOOSE(CONTROL!$C$9, $D$9, 100%, $F$9) + CHOOSE(CONTROL!$C$27, 0.0021, 0)</f>
        <v>94.248800000000003</v>
      </c>
      <c r="L572" s="14"/>
    </row>
    <row r="573" spans="1:12" ht="15.75" x14ac:dyDescent="0.25">
      <c r="A573" s="32">
        <v>58379</v>
      </c>
      <c r="B573" s="14">
        <f>97.0097 * CHOOSE(CONTROL!$C$9, $D$9, 100%, $F$9) + CHOOSE(CONTROL!$C$27, 0.0021, 0)</f>
        <v>97.011799999999994</v>
      </c>
      <c r="C573" s="14">
        <f>96.5774 * CHOOSE(CONTROL!$C$9, $D$9, 100%, $F$9) + CHOOSE(CONTROL!$C$27, 0.0021, 0)</f>
        <v>96.579499999999996</v>
      </c>
      <c r="D573" s="14">
        <f>96.5774 * CHOOSE(CONTROL!$C$9, $D$9, 100%, $F$9) + CHOOSE(CONTROL!$C$27, 0.0021, 0)</f>
        <v>96.579499999999996</v>
      </c>
      <c r="E573" s="14">
        <f>96.4408 * CHOOSE(CONTROL!$C$9, $D$9, 100%, $F$9) + CHOOSE(CONTROL!$C$27, 0.0021, 0)</f>
        <v>96.442899999999995</v>
      </c>
      <c r="F573" s="14">
        <f>96.4408 * CHOOSE(CONTROL!$C$9, $D$9, 100%, $F$9) + CHOOSE(CONTROL!$C$27, 0.0021, 0)</f>
        <v>96.442899999999995</v>
      </c>
      <c r="G573" s="14">
        <f>96.7121 * CHOOSE(CONTROL!$C$9, $D$9, 100%, $F$9) + CHOOSE(CONTROL!$C$27, 0.0021, 0)</f>
        <v>96.714200000000005</v>
      </c>
      <c r="H573" s="14">
        <f>96.5774 * CHOOSE(CONTROL!$C$9, $D$9, 100%, $F$9) + CHOOSE(CONTROL!$C$27, 0.0021, 0)</f>
        <v>96.579499999999996</v>
      </c>
      <c r="I573" s="14">
        <f>96.5774 * CHOOSE(CONTROL!$C$9, $D$9, 100%, $F$9) + CHOOSE(CONTROL!$C$27, 0.0021, 0)</f>
        <v>96.579499999999996</v>
      </c>
      <c r="J573" s="14">
        <f>96.5774 * CHOOSE(CONTROL!$C$9, $D$9, 100%, $F$9) + CHOOSE(CONTROL!$C$27, 0.0021, 0)</f>
        <v>96.579499999999996</v>
      </c>
      <c r="K573" s="14">
        <f>96.5774 * CHOOSE(CONTROL!$C$9, $D$9, 100%, $F$9) + CHOOSE(CONTROL!$C$27, 0.0021, 0)</f>
        <v>96.579499999999996</v>
      </c>
      <c r="L573" s="14"/>
    </row>
    <row r="574" spans="1:12" ht="15.75" x14ac:dyDescent="0.25">
      <c r="A574" s="32">
        <v>58409</v>
      </c>
      <c r="B574" s="14">
        <f>97.2285 * CHOOSE(CONTROL!$C$9, $D$9, 100%, $F$9) + CHOOSE(CONTROL!$C$27, 0.0021, 0)</f>
        <v>97.230599999999995</v>
      </c>
      <c r="C574" s="14">
        <f>96.7962 * CHOOSE(CONTROL!$C$9, $D$9, 100%, $F$9) + CHOOSE(CONTROL!$C$27, 0.0021, 0)</f>
        <v>96.798299999999998</v>
      </c>
      <c r="D574" s="14">
        <f>96.7962 * CHOOSE(CONTROL!$C$9, $D$9, 100%, $F$9) + CHOOSE(CONTROL!$C$27, 0.0021, 0)</f>
        <v>96.798299999999998</v>
      </c>
      <c r="E574" s="14">
        <f>96.6596 * CHOOSE(CONTROL!$C$9, $D$9, 100%, $F$9) + CHOOSE(CONTROL!$C$27, 0.0021, 0)</f>
        <v>96.661699999999996</v>
      </c>
      <c r="F574" s="14">
        <f>96.6596 * CHOOSE(CONTROL!$C$9, $D$9, 100%, $F$9) + CHOOSE(CONTROL!$C$27, 0.0021, 0)</f>
        <v>96.661699999999996</v>
      </c>
      <c r="G574" s="14">
        <f>96.9309 * CHOOSE(CONTROL!$C$9, $D$9, 100%, $F$9) + CHOOSE(CONTROL!$C$27, 0.0021, 0)</f>
        <v>96.932999999999993</v>
      </c>
      <c r="H574" s="14">
        <f>96.7962 * CHOOSE(CONTROL!$C$9, $D$9, 100%, $F$9) + CHOOSE(CONTROL!$C$27, 0.0021, 0)</f>
        <v>96.798299999999998</v>
      </c>
      <c r="I574" s="14">
        <f>96.7962 * CHOOSE(CONTROL!$C$9, $D$9, 100%, $F$9) + CHOOSE(CONTROL!$C$27, 0.0021, 0)</f>
        <v>96.798299999999998</v>
      </c>
      <c r="J574" s="14">
        <f>96.7962 * CHOOSE(CONTROL!$C$9, $D$9, 100%, $F$9) + CHOOSE(CONTROL!$C$27, 0.0021, 0)</f>
        <v>96.798299999999998</v>
      </c>
      <c r="K574" s="14">
        <f>96.7962 * CHOOSE(CONTROL!$C$9, $D$9, 100%, $F$9) + CHOOSE(CONTROL!$C$27, 0.0021, 0)</f>
        <v>96.798299999999998</v>
      </c>
      <c r="L574" s="14"/>
    </row>
    <row r="575" spans="1:12" ht="15.75" x14ac:dyDescent="0.25">
      <c r="A575" s="32">
        <v>58440</v>
      </c>
      <c r="B575" s="14">
        <f>95.367 * CHOOSE(CONTROL!$C$9, $D$9, 100%, $F$9) + CHOOSE(CONTROL!$C$27, 0.0021, 0)</f>
        <v>95.369100000000003</v>
      </c>
      <c r="C575" s="14">
        <f>94.9347 * CHOOSE(CONTROL!$C$9, $D$9, 100%, $F$9) + CHOOSE(CONTROL!$C$27, 0.0021, 0)</f>
        <v>94.936800000000005</v>
      </c>
      <c r="D575" s="14">
        <f>94.9347 * CHOOSE(CONTROL!$C$9, $D$9, 100%, $F$9) + CHOOSE(CONTROL!$C$27, 0.0021, 0)</f>
        <v>94.936800000000005</v>
      </c>
      <c r="E575" s="14">
        <f>94.7981 * CHOOSE(CONTROL!$C$9, $D$9, 100%, $F$9) + CHOOSE(CONTROL!$C$27, 0.0021, 0)</f>
        <v>94.800200000000004</v>
      </c>
      <c r="F575" s="14">
        <f>94.7981 * CHOOSE(CONTROL!$C$9, $D$9, 100%, $F$9) + CHOOSE(CONTROL!$C$27, 0.0021, 0)</f>
        <v>94.800200000000004</v>
      </c>
      <c r="G575" s="14">
        <f>95.0695 * CHOOSE(CONTROL!$C$9, $D$9, 100%, $F$9) + CHOOSE(CONTROL!$C$27, 0.0021, 0)</f>
        <v>95.071600000000004</v>
      </c>
      <c r="H575" s="14">
        <f>94.9347 * CHOOSE(CONTROL!$C$9, $D$9, 100%, $F$9) + CHOOSE(CONTROL!$C$27, 0.0021, 0)</f>
        <v>94.936800000000005</v>
      </c>
      <c r="I575" s="14">
        <f>94.9347 * CHOOSE(CONTROL!$C$9, $D$9, 100%, $F$9) + CHOOSE(CONTROL!$C$27, 0.0021, 0)</f>
        <v>94.936800000000005</v>
      </c>
      <c r="J575" s="14">
        <f>94.9347 * CHOOSE(CONTROL!$C$9, $D$9, 100%, $F$9) + CHOOSE(CONTROL!$C$27, 0.0021, 0)</f>
        <v>94.936800000000005</v>
      </c>
      <c r="K575" s="14">
        <f>94.9347 * CHOOSE(CONTROL!$C$9, $D$9, 100%, $F$9) + CHOOSE(CONTROL!$C$27, 0.0021, 0)</f>
        <v>94.936800000000005</v>
      </c>
      <c r="L575" s="14"/>
    </row>
    <row r="576" spans="1:12" ht="15.75" x14ac:dyDescent="0.25">
      <c r="A576" s="32">
        <v>58471</v>
      </c>
      <c r="B576" s="14">
        <f>94.1905 * CHOOSE(CONTROL!$C$9, $D$9, 100%, $F$9) + CHOOSE(CONTROL!$C$27, 0.0021, 0)</f>
        <v>94.192599999999999</v>
      </c>
      <c r="C576" s="14">
        <f>93.7582 * CHOOSE(CONTROL!$C$9, $D$9, 100%, $F$9) + CHOOSE(CONTROL!$C$27, 0.0021, 0)</f>
        <v>93.760300000000001</v>
      </c>
      <c r="D576" s="14">
        <f>93.7582 * CHOOSE(CONTROL!$C$9, $D$9, 100%, $F$9) + CHOOSE(CONTROL!$C$27, 0.0021, 0)</f>
        <v>93.760300000000001</v>
      </c>
      <c r="E576" s="14">
        <f>93.6215 * CHOOSE(CONTROL!$C$9, $D$9, 100%, $F$9) + CHOOSE(CONTROL!$C$27, 0.0021, 0)</f>
        <v>93.623599999999996</v>
      </c>
      <c r="F576" s="14">
        <f>93.6215 * CHOOSE(CONTROL!$C$9, $D$9, 100%, $F$9) + CHOOSE(CONTROL!$C$27, 0.0021, 0)</f>
        <v>93.623599999999996</v>
      </c>
      <c r="G576" s="14">
        <f>93.8929 * CHOOSE(CONTROL!$C$9, $D$9, 100%, $F$9) + CHOOSE(CONTROL!$C$27, 0.0021, 0)</f>
        <v>93.894999999999996</v>
      </c>
      <c r="H576" s="14">
        <f>93.7582 * CHOOSE(CONTROL!$C$9, $D$9, 100%, $F$9) + CHOOSE(CONTROL!$C$27, 0.0021, 0)</f>
        <v>93.760300000000001</v>
      </c>
      <c r="I576" s="14">
        <f>93.7582 * CHOOSE(CONTROL!$C$9, $D$9, 100%, $F$9) + CHOOSE(CONTROL!$C$27, 0.0021, 0)</f>
        <v>93.760300000000001</v>
      </c>
      <c r="J576" s="14">
        <f>93.7582 * CHOOSE(CONTROL!$C$9, $D$9, 100%, $F$9) + CHOOSE(CONTROL!$C$27, 0.0021, 0)</f>
        <v>93.760300000000001</v>
      </c>
      <c r="K576" s="14">
        <f>93.7582 * CHOOSE(CONTROL!$C$9, $D$9, 100%, $F$9) + CHOOSE(CONTROL!$C$27, 0.0021, 0)</f>
        <v>93.760300000000001</v>
      </c>
      <c r="L576" s="14"/>
    </row>
    <row r="577" spans="1:12" ht="15.75" x14ac:dyDescent="0.25">
      <c r="A577" s="32">
        <v>58499</v>
      </c>
      <c r="B577" s="14">
        <f>91.5911 * CHOOSE(CONTROL!$C$9, $D$9, 100%, $F$9) + CHOOSE(CONTROL!$C$27, 0.0021, 0)</f>
        <v>91.593199999999996</v>
      </c>
      <c r="C577" s="14">
        <f>91.1588 * CHOOSE(CONTROL!$C$9, $D$9, 100%, $F$9) + CHOOSE(CONTROL!$C$27, 0.0021, 0)</f>
        <v>91.160899999999998</v>
      </c>
      <c r="D577" s="14">
        <f>91.1588 * CHOOSE(CONTROL!$C$9, $D$9, 100%, $F$9) + CHOOSE(CONTROL!$C$27, 0.0021, 0)</f>
        <v>91.160899999999998</v>
      </c>
      <c r="E577" s="14">
        <f>91.0222 * CHOOSE(CONTROL!$C$9, $D$9, 100%, $F$9) + CHOOSE(CONTROL!$C$27, 0.0021, 0)</f>
        <v>91.024299999999997</v>
      </c>
      <c r="F577" s="14">
        <f>91.0222 * CHOOSE(CONTROL!$C$9, $D$9, 100%, $F$9) + CHOOSE(CONTROL!$C$27, 0.0021, 0)</f>
        <v>91.024299999999997</v>
      </c>
      <c r="G577" s="14">
        <f>91.2935 * CHOOSE(CONTROL!$C$9, $D$9, 100%, $F$9) + CHOOSE(CONTROL!$C$27, 0.0021, 0)</f>
        <v>91.295599999999993</v>
      </c>
      <c r="H577" s="14">
        <f>91.1588 * CHOOSE(CONTROL!$C$9, $D$9, 100%, $F$9) + CHOOSE(CONTROL!$C$27, 0.0021, 0)</f>
        <v>91.160899999999998</v>
      </c>
      <c r="I577" s="14">
        <f>91.1588 * CHOOSE(CONTROL!$C$9, $D$9, 100%, $F$9) + CHOOSE(CONTROL!$C$27, 0.0021, 0)</f>
        <v>91.160899999999998</v>
      </c>
      <c r="J577" s="14">
        <f>91.1588 * CHOOSE(CONTROL!$C$9, $D$9, 100%, $F$9) + CHOOSE(CONTROL!$C$27, 0.0021, 0)</f>
        <v>91.160899999999998</v>
      </c>
      <c r="K577" s="14">
        <f>91.1588 * CHOOSE(CONTROL!$C$9, $D$9, 100%, $F$9) + CHOOSE(CONTROL!$C$27, 0.0021, 0)</f>
        <v>91.160899999999998</v>
      </c>
      <c r="L577" s="14"/>
    </row>
    <row r="578" spans="1:12" ht="15.75" x14ac:dyDescent="0.25">
      <c r="A578" s="32">
        <v>58531</v>
      </c>
      <c r="B578" s="14">
        <f>90.5181 * CHOOSE(CONTROL!$C$9, $D$9, 100%, $F$9) + CHOOSE(CONTROL!$C$27, 0.0021, 0)</f>
        <v>90.520200000000003</v>
      </c>
      <c r="C578" s="14">
        <f>90.0858 * CHOOSE(CONTROL!$C$9, $D$9, 100%, $F$9) + CHOOSE(CONTROL!$C$27, 0.0021, 0)</f>
        <v>90.087900000000005</v>
      </c>
      <c r="D578" s="14">
        <f>90.0858 * CHOOSE(CONTROL!$C$9, $D$9, 100%, $F$9) + CHOOSE(CONTROL!$C$27, 0.0021, 0)</f>
        <v>90.087900000000005</v>
      </c>
      <c r="E578" s="14">
        <f>89.9492 * CHOOSE(CONTROL!$C$9, $D$9, 100%, $F$9) + CHOOSE(CONTROL!$C$27, 0.0021, 0)</f>
        <v>89.951300000000003</v>
      </c>
      <c r="F578" s="14">
        <f>89.9492 * CHOOSE(CONTROL!$C$9, $D$9, 100%, $F$9) + CHOOSE(CONTROL!$C$27, 0.0021, 0)</f>
        <v>89.951300000000003</v>
      </c>
      <c r="G578" s="14">
        <f>90.2205 * CHOOSE(CONTROL!$C$9, $D$9, 100%, $F$9) + CHOOSE(CONTROL!$C$27, 0.0021, 0)</f>
        <v>90.2226</v>
      </c>
      <c r="H578" s="14">
        <f>90.0858 * CHOOSE(CONTROL!$C$9, $D$9, 100%, $F$9) + CHOOSE(CONTROL!$C$27, 0.0021, 0)</f>
        <v>90.087900000000005</v>
      </c>
      <c r="I578" s="14">
        <f>90.0858 * CHOOSE(CONTROL!$C$9, $D$9, 100%, $F$9) + CHOOSE(CONTROL!$C$27, 0.0021, 0)</f>
        <v>90.087900000000005</v>
      </c>
      <c r="J578" s="14">
        <f>90.0858 * CHOOSE(CONTROL!$C$9, $D$9, 100%, $F$9) + CHOOSE(CONTROL!$C$27, 0.0021, 0)</f>
        <v>90.087900000000005</v>
      </c>
      <c r="K578" s="14">
        <f>90.0858 * CHOOSE(CONTROL!$C$9, $D$9, 100%, $F$9) + CHOOSE(CONTROL!$C$27, 0.0021, 0)</f>
        <v>90.087900000000005</v>
      </c>
      <c r="L578" s="14"/>
    </row>
    <row r="579" spans="1:12" ht="15.75" x14ac:dyDescent="0.25">
      <c r="A579" s="32">
        <v>58561</v>
      </c>
      <c r="B579" s="14">
        <f>89.2369 * CHOOSE(CONTROL!$C$9, $D$9, 100%, $F$9) + CHOOSE(CONTROL!$C$27, 0.0021, 0)</f>
        <v>89.239000000000004</v>
      </c>
      <c r="C579" s="14">
        <f>88.8046 * CHOOSE(CONTROL!$C$9, $D$9, 100%, $F$9) + CHOOSE(CONTROL!$C$27, 0.0021, 0)</f>
        <v>88.806699999999992</v>
      </c>
      <c r="D579" s="14">
        <f>88.8046 * CHOOSE(CONTROL!$C$9, $D$9, 100%, $F$9) + CHOOSE(CONTROL!$C$27, 0.0021, 0)</f>
        <v>88.806699999999992</v>
      </c>
      <c r="E579" s="14">
        <f>88.6679 * CHOOSE(CONTROL!$C$9, $D$9, 100%, $F$9) + CHOOSE(CONTROL!$C$27, 0.0021, 0)</f>
        <v>88.67</v>
      </c>
      <c r="F579" s="14">
        <f>88.6679 * CHOOSE(CONTROL!$C$9, $D$9, 100%, $F$9) + CHOOSE(CONTROL!$C$27, 0.0021, 0)</f>
        <v>88.67</v>
      </c>
      <c r="G579" s="14">
        <f>88.9393 * CHOOSE(CONTROL!$C$9, $D$9, 100%, $F$9) + CHOOSE(CONTROL!$C$27, 0.0021, 0)</f>
        <v>88.941400000000002</v>
      </c>
      <c r="H579" s="14">
        <f>88.8046 * CHOOSE(CONTROL!$C$9, $D$9, 100%, $F$9) + CHOOSE(CONTROL!$C$27, 0.0021, 0)</f>
        <v>88.806699999999992</v>
      </c>
      <c r="I579" s="14">
        <f>88.8046 * CHOOSE(CONTROL!$C$9, $D$9, 100%, $F$9) + CHOOSE(CONTROL!$C$27, 0.0021, 0)</f>
        <v>88.806699999999992</v>
      </c>
      <c r="J579" s="14">
        <f>88.8046 * CHOOSE(CONTROL!$C$9, $D$9, 100%, $F$9) + CHOOSE(CONTROL!$C$27, 0.0021, 0)</f>
        <v>88.806699999999992</v>
      </c>
      <c r="K579" s="14">
        <f>88.8046 * CHOOSE(CONTROL!$C$9, $D$9, 100%, $F$9) + CHOOSE(CONTROL!$C$27, 0.0021, 0)</f>
        <v>88.806699999999992</v>
      </c>
      <c r="L579" s="14"/>
    </row>
    <row r="580" spans="1:12" ht="15.75" x14ac:dyDescent="0.25">
      <c r="A580" s="32">
        <v>58592</v>
      </c>
      <c r="B580" s="14">
        <f>91.0627 * CHOOSE(CONTROL!$C$9, $D$9, 100%, $F$9) + CHOOSE(CONTROL!$C$27, 0.0021, 0)</f>
        <v>91.064800000000005</v>
      </c>
      <c r="C580" s="14">
        <f>90.6305 * CHOOSE(CONTROL!$C$9, $D$9, 100%, $F$9) + CHOOSE(CONTROL!$C$27, 0.0021, 0)</f>
        <v>90.632599999999996</v>
      </c>
      <c r="D580" s="14">
        <f>90.6305 * CHOOSE(CONTROL!$C$9, $D$9, 100%, $F$9) + CHOOSE(CONTROL!$C$27, 0.0021, 0)</f>
        <v>90.632599999999996</v>
      </c>
      <c r="E580" s="14">
        <f>90.4938 * CHOOSE(CONTROL!$C$9, $D$9, 100%, $F$9) + CHOOSE(CONTROL!$C$27, 0.0021, 0)</f>
        <v>90.495899999999992</v>
      </c>
      <c r="F580" s="14">
        <f>90.4938 * CHOOSE(CONTROL!$C$9, $D$9, 100%, $F$9) + CHOOSE(CONTROL!$C$27, 0.0021, 0)</f>
        <v>90.495899999999992</v>
      </c>
      <c r="G580" s="14">
        <f>90.7652 * CHOOSE(CONTROL!$C$9, $D$9, 100%, $F$9) + CHOOSE(CONTROL!$C$27, 0.0021, 0)</f>
        <v>90.767299999999992</v>
      </c>
      <c r="H580" s="14">
        <f>90.6305 * CHOOSE(CONTROL!$C$9, $D$9, 100%, $F$9) + CHOOSE(CONTROL!$C$27, 0.0021, 0)</f>
        <v>90.632599999999996</v>
      </c>
      <c r="I580" s="14">
        <f>90.6305 * CHOOSE(CONTROL!$C$9, $D$9, 100%, $F$9) + CHOOSE(CONTROL!$C$27, 0.0021, 0)</f>
        <v>90.632599999999996</v>
      </c>
      <c r="J580" s="14">
        <f>90.6305 * CHOOSE(CONTROL!$C$9, $D$9, 100%, $F$9) + CHOOSE(CONTROL!$C$27, 0.0021, 0)</f>
        <v>90.632599999999996</v>
      </c>
      <c r="K580" s="14">
        <f>90.6305 * CHOOSE(CONTROL!$C$9, $D$9, 100%, $F$9) + CHOOSE(CONTROL!$C$27, 0.0021, 0)</f>
        <v>90.632599999999996</v>
      </c>
      <c r="L580" s="14"/>
    </row>
    <row r="581" spans="1:12" ht="15.75" x14ac:dyDescent="0.25">
      <c r="A581" s="32">
        <v>58622</v>
      </c>
      <c r="B581" s="14">
        <f>92.1564 * CHOOSE(CONTROL!$C$9, $D$9, 100%, $F$9) + CHOOSE(CONTROL!$C$27, 0.0021, 0)</f>
        <v>92.158500000000004</v>
      </c>
      <c r="C581" s="14">
        <f>91.7241 * CHOOSE(CONTROL!$C$9, $D$9, 100%, $F$9) + CHOOSE(CONTROL!$C$27, 0.0021, 0)</f>
        <v>91.726200000000006</v>
      </c>
      <c r="D581" s="14">
        <f>91.7241 * CHOOSE(CONTROL!$C$9, $D$9, 100%, $F$9) + CHOOSE(CONTROL!$C$27, 0.0021, 0)</f>
        <v>91.726200000000006</v>
      </c>
      <c r="E581" s="14">
        <f>91.5874 * CHOOSE(CONTROL!$C$9, $D$9, 100%, $F$9) + CHOOSE(CONTROL!$C$27, 0.0021, 0)</f>
        <v>91.589500000000001</v>
      </c>
      <c r="F581" s="14">
        <f>91.5874 * CHOOSE(CONTROL!$C$9, $D$9, 100%, $F$9) + CHOOSE(CONTROL!$C$27, 0.0021, 0)</f>
        <v>91.589500000000001</v>
      </c>
      <c r="G581" s="14">
        <f>91.8588 * CHOOSE(CONTROL!$C$9, $D$9, 100%, $F$9) + CHOOSE(CONTROL!$C$27, 0.0021, 0)</f>
        <v>91.860900000000001</v>
      </c>
      <c r="H581" s="14">
        <f>91.7241 * CHOOSE(CONTROL!$C$9, $D$9, 100%, $F$9) + CHOOSE(CONTROL!$C$27, 0.0021, 0)</f>
        <v>91.726200000000006</v>
      </c>
      <c r="I581" s="14">
        <f>91.7241 * CHOOSE(CONTROL!$C$9, $D$9, 100%, $F$9) + CHOOSE(CONTROL!$C$27, 0.0021, 0)</f>
        <v>91.726200000000006</v>
      </c>
      <c r="J581" s="14">
        <f>91.7241 * CHOOSE(CONTROL!$C$9, $D$9, 100%, $F$9) + CHOOSE(CONTROL!$C$27, 0.0021, 0)</f>
        <v>91.726200000000006</v>
      </c>
      <c r="K581" s="14">
        <f>91.7241 * CHOOSE(CONTROL!$C$9, $D$9, 100%, $F$9) + CHOOSE(CONTROL!$C$27, 0.0021, 0)</f>
        <v>91.726200000000006</v>
      </c>
      <c r="L581" s="14"/>
    </row>
    <row r="582" spans="1:12" ht="15.75" x14ac:dyDescent="0.25">
      <c r="A582" s="32">
        <v>58653</v>
      </c>
      <c r="B582" s="14">
        <f>93.9604 * CHOOSE(CONTROL!$C$9, $D$9, 100%, $F$9) + CHOOSE(CONTROL!$C$27, 0.0021, 0)</f>
        <v>93.962500000000006</v>
      </c>
      <c r="C582" s="14">
        <f>93.5282 * CHOOSE(CONTROL!$C$9, $D$9, 100%, $F$9) + CHOOSE(CONTROL!$C$27, 0.0021, 0)</f>
        <v>93.530299999999997</v>
      </c>
      <c r="D582" s="14">
        <f>93.5282 * CHOOSE(CONTROL!$C$9, $D$9, 100%, $F$9) + CHOOSE(CONTROL!$C$27, 0.0021, 0)</f>
        <v>93.530299999999997</v>
      </c>
      <c r="E582" s="14">
        <f>93.3915 * CHOOSE(CONTROL!$C$9, $D$9, 100%, $F$9) + CHOOSE(CONTROL!$C$27, 0.0021, 0)</f>
        <v>93.393599999999992</v>
      </c>
      <c r="F582" s="14">
        <f>93.3915 * CHOOSE(CONTROL!$C$9, $D$9, 100%, $F$9) + CHOOSE(CONTROL!$C$27, 0.0021, 0)</f>
        <v>93.393599999999992</v>
      </c>
      <c r="G582" s="14">
        <f>93.6629 * CHOOSE(CONTROL!$C$9, $D$9, 100%, $F$9) + CHOOSE(CONTROL!$C$27, 0.0021, 0)</f>
        <v>93.664999999999992</v>
      </c>
      <c r="H582" s="14">
        <f>93.5282 * CHOOSE(CONTROL!$C$9, $D$9, 100%, $F$9) + CHOOSE(CONTROL!$C$27, 0.0021, 0)</f>
        <v>93.530299999999997</v>
      </c>
      <c r="I582" s="14">
        <f>93.5282 * CHOOSE(CONTROL!$C$9, $D$9, 100%, $F$9) + CHOOSE(CONTROL!$C$27, 0.0021, 0)</f>
        <v>93.530299999999997</v>
      </c>
      <c r="J582" s="14">
        <f>93.5282 * CHOOSE(CONTROL!$C$9, $D$9, 100%, $F$9) + CHOOSE(CONTROL!$C$27, 0.0021, 0)</f>
        <v>93.530299999999997</v>
      </c>
      <c r="K582" s="14">
        <f>93.5282 * CHOOSE(CONTROL!$C$9, $D$9, 100%, $F$9) + CHOOSE(CONTROL!$C$27, 0.0021, 0)</f>
        <v>93.530299999999997</v>
      </c>
      <c r="L582" s="14"/>
    </row>
    <row r="583" spans="1:12" ht="15.75" x14ac:dyDescent="0.25">
      <c r="A583" s="32">
        <v>58684</v>
      </c>
      <c r="B583" s="14">
        <f>94.5111 * CHOOSE(CONTROL!$C$9, $D$9, 100%, $F$9) + CHOOSE(CONTROL!$C$27, 0.0021, 0)</f>
        <v>94.513199999999998</v>
      </c>
      <c r="C583" s="14">
        <f>94.0788 * CHOOSE(CONTROL!$C$9, $D$9, 100%, $F$9) + CHOOSE(CONTROL!$C$27, 0.0021, 0)</f>
        <v>94.0809</v>
      </c>
      <c r="D583" s="14">
        <f>94.0788 * CHOOSE(CONTROL!$C$9, $D$9, 100%, $F$9) + CHOOSE(CONTROL!$C$27, 0.0021, 0)</f>
        <v>94.0809</v>
      </c>
      <c r="E583" s="14">
        <f>93.9422 * CHOOSE(CONTROL!$C$9, $D$9, 100%, $F$9) + CHOOSE(CONTROL!$C$27, 0.0021, 0)</f>
        <v>93.944299999999998</v>
      </c>
      <c r="F583" s="14">
        <f>93.9422 * CHOOSE(CONTROL!$C$9, $D$9, 100%, $F$9) + CHOOSE(CONTROL!$C$27, 0.0021, 0)</f>
        <v>93.944299999999998</v>
      </c>
      <c r="G583" s="14">
        <f>94.2136 * CHOOSE(CONTROL!$C$9, $D$9, 100%, $F$9) + CHOOSE(CONTROL!$C$27, 0.0021, 0)</f>
        <v>94.215699999999998</v>
      </c>
      <c r="H583" s="14">
        <f>94.0788 * CHOOSE(CONTROL!$C$9, $D$9, 100%, $F$9) + CHOOSE(CONTROL!$C$27, 0.0021, 0)</f>
        <v>94.0809</v>
      </c>
      <c r="I583" s="14">
        <f>94.0788 * CHOOSE(CONTROL!$C$9, $D$9, 100%, $F$9) + CHOOSE(CONTROL!$C$27, 0.0021, 0)</f>
        <v>94.0809</v>
      </c>
      <c r="J583" s="14">
        <f>94.0788 * CHOOSE(CONTROL!$C$9, $D$9, 100%, $F$9) + CHOOSE(CONTROL!$C$27, 0.0021, 0)</f>
        <v>94.0809</v>
      </c>
      <c r="K583" s="14">
        <f>94.0788 * CHOOSE(CONTROL!$C$9, $D$9, 100%, $F$9) + CHOOSE(CONTROL!$C$27, 0.0021, 0)</f>
        <v>94.0809</v>
      </c>
      <c r="L583" s="14"/>
    </row>
    <row r="584" spans="1:12" ht="15.75" x14ac:dyDescent="0.25">
      <c r="A584" s="32">
        <v>58714</v>
      </c>
      <c r="B584" s="14">
        <f>96.3864 * CHOOSE(CONTROL!$C$9, $D$9, 100%, $F$9) + CHOOSE(CONTROL!$C$27, 0.0021, 0)</f>
        <v>96.388499999999993</v>
      </c>
      <c r="C584" s="14">
        <f>95.9541 * CHOOSE(CONTROL!$C$9, $D$9, 100%, $F$9) + CHOOSE(CONTROL!$C$27, 0.0021, 0)</f>
        <v>95.956199999999995</v>
      </c>
      <c r="D584" s="14">
        <f>95.9541 * CHOOSE(CONTROL!$C$9, $D$9, 100%, $F$9) + CHOOSE(CONTROL!$C$27, 0.0021, 0)</f>
        <v>95.956199999999995</v>
      </c>
      <c r="E584" s="14">
        <f>95.8175 * CHOOSE(CONTROL!$C$9, $D$9, 100%, $F$9) + CHOOSE(CONTROL!$C$27, 0.0021, 0)</f>
        <v>95.819599999999994</v>
      </c>
      <c r="F584" s="14">
        <f>95.8175 * CHOOSE(CONTROL!$C$9, $D$9, 100%, $F$9) + CHOOSE(CONTROL!$C$27, 0.0021, 0)</f>
        <v>95.819599999999994</v>
      </c>
      <c r="G584" s="14">
        <f>96.0888 * CHOOSE(CONTROL!$C$9, $D$9, 100%, $F$9) + CHOOSE(CONTROL!$C$27, 0.0021, 0)</f>
        <v>96.090900000000005</v>
      </c>
      <c r="H584" s="14">
        <f>95.9541 * CHOOSE(CONTROL!$C$9, $D$9, 100%, $F$9) + CHOOSE(CONTROL!$C$27, 0.0021, 0)</f>
        <v>95.956199999999995</v>
      </c>
      <c r="I584" s="14">
        <f>95.9541 * CHOOSE(CONTROL!$C$9, $D$9, 100%, $F$9) + CHOOSE(CONTROL!$C$27, 0.0021, 0)</f>
        <v>95.956199999999995</v>
      </c>
      <c r="J584" s="14">
        <f>95.9541 * CHOOSE(CONTROL!$C$9, $D$9, 100%, $F$9) + CHOOSE(CONTROL!$C$27, 0.0021, 0)</f>
        <v>95.956199999999995</v>
      </c>
      <c r="K584" s="14">
        <f>95.9541 * CHOOSE(CONTROL!$C$9, $D$9, 100%, $F$9) + CHOOSE(CONTROL!$C$27, 0.0021, 0)</f>
        <v>95.956199999999995</v>
      </c>
      <c r="L584" s="14"/>
    </row>
    <row r="585" spans="1:12" ht="15.75" x14ac:dyDescent="0.25">
      <c r="A585" s="32">
        <v>58745</v>
      </c>
      <c r="B585" s="14">
        <f>98.7601 * CHOOSE(CONTROL!$C$9, $D$9, 100%, $F$9) + CHOOSE(CONTROL!$C$27, 0.0021, 0)</f>
        <v>98.762199999999993</v>
      </c>
      <c r="C585" s="14">
        <f>98.3279 * CHOOSE(CONTROL!$C$9, $D$9, 100%, $F$9) + CHOOSE(CONTROL!$C$27, 0.0021, 0)</f>
        <v>98.33</v>
      </c>
      <c r="D585" s="14">
        <f>98.3279 * CHOOSE(CONTROL!$C$9, $D$9, 100%, $F$9) + CHOOSE(CONTROL!$C$27, 0.0021, 0)</f>
        <v>98.33</v>
      </c>
      <c r="E585" s="14">
        <f>98.1912 * CHOOSE(CONTROL!$C$9, $D$9, 100%, $F$9) + CHOOSE(CONTROL!$C$27, 0.0021, 0)</f>
        <v>98.193299999999994</v>
      </c>
      <c r="F585" s="14">
        <f>98.1912 * CHOOSE(CONTROL!$C$9, $D$9, 100%, $F$9) + CHOOSE(CONTROL!$C$27, 0.0021, 0)</f>
        <v>98.193299999999994</v>
      </c>
      <c r="G585" s="14">
        <f>98.4626 * CHOOSE(CONTROL!$C$9, $D$9, 100%, $F$9) + CHOOSE(CONTROL!$C$27, 0.0021, 0)</f>
        <v>98.464699999999993</v>
      </c>
      <c r="H585" s="14">
        <f>98.3279 * CHOOSE(CONTROL!$C$9, $D$9, 100%, $F$9) + CHOOSE(CONTROL!$C$27, 0.0021, 0)</f>
        <v>98.33</v>
      </c>
      <c r="I585" s="14">
        <f>98.3279 * CHOOSE(CONTROL!$C$9, $D$9, 100%, $F$9) + CHOOSE(CONTROL!$C$27, 0.0021, 0)</f>
        <v>98.33</v>
      </c>
      <c r="J585" s="14">
        <f>98.3279 * CHOOSE(CONTROL!$C$9, $D$9, 100%, $F$9) + CHOOSE(CONTROL!$C$27, 0.0021, 0)</f>
        <v>98.33</v>
      </c>
      <c r="K585" s="14">
        <f>98.3279 * CHOOSE(CONTROL!$C$9, $D$9, 100%, $F$9) + CHOOSE(CONTROL!$C$27, 0.0021, 0)</f>
        <v>98.33</v>
      </c>
      <c r="L585" s="14"/>
    </row>
    <row r="586" spans="1:12" ht="15.75" x14ac:dyDescent="0.25">
      <c r="A586" s="32">
        <v>58775</v>
      </c>
      <c r="B586" s="14">
        <f>98.983 * CHOOSE(CONTROL!$C$9, $D$9, 100%, $F$9) + CHOOSE(CONTROL!$C$27, 0.0021, 0)</f>
        <v>98.985100000000003</v>
      </c>
      <c r="C586" s="14">
        <f>98.5507 * CHOOSE(CONTROL!$C$9, $D$9, 100%, $F$9) + CHOOSE(CONTROL!$C$27, 0.0021, 0)</f>
        <v>98.552800000000005</v>
      </c>
      <c r="D586" s="14">
        <f>98.5507 * CHOOSE(CONTROL!$C$9, $D$9, 100%, $F$9) + CHOOSE(CONTROL!$C$27, 0.0021, 0)</f>
        <v>98.552800000000005</v>
      </c>
      <c r="E586" s="14">
        <f>98.4141 * CHOOSE(CONTROL!$C$9, $D$9, 100%, $F$9) + CHOOSE(CONTROL!$C$27, 0.0021, 0)</f>
        <v>98.416200000000003</v>
      </c>
      <c r="F586" s="14">
        <f>98.4141 * CHOOSE(CONTROL!$C$9, $D$9, 100%, $F$9) + CHOOSE(CONTROL!$C$27, 0.0021, 0)</f>
        <v>98.416200000000003</v>
      </c>
      <c r="G586" s="14">
        <f>98.6854 * CHOOSE(CONTROL!$C$9, $D$9, 100%, $F$9) + CHOOSE(CONTROL!$C$27, 0.0021, 0)</f>
        <v>98.6875</v>
      </c>
      <c r="H586" s="14">
        <f>98.5507 * CHOOSE(CONTROL!$C$9, $D$9, 100%, $F$9) + CHOOSE(CONTROL!$C$27, 0.0021, 0)</f>
        <v>98.552800000000005</v>
      </c>
      <c r="I586" s="14">
        <f>98.5507 * CHOOSE(CONTROL!$C$9, $D$9, 100%, $F$9) + CHOOSE(CONTROL!$C$27, 0.0021, 0)</f>
        <v>98.552800000000005</v>
      </c>
      <c r="J586" s="14">
        <f>98.5507 * CHOOSE(CONTROL!$C$9, $D$9, 100%, $F$9) + CHOOSE(CONTROL!$C$27, 0.0021, 0)</f>
        <v>98.552800000000005</v>
      </c>
      <c r="K586" s="14">
        <f>98.5507 * CHOOSE(CONTROL!$C$9, $D$9, 100%, $F$9) + CHOOSE(CONTROL!$C$27, 0.0021, 0)</f>
        <v>98.552800000000005</v>
      </c>
      <c r="L586" s="14"/>
    </row>
    <row r="587" spans="1:12" ht="15.75" x14ac:dyDescent="0.25">
      <c r="A587" s="32">
        <v>58806</v>
      </c>
      <c r="B587" s="14">
        <f>97.0871 * CHOOSE(CONTROL!$C$9, $D$9, 100%, $F$9) + CHOOSE(CONTROL!$C$27, 0.0021, 0)</f>
        <v>97.089200000000005</v>
      </c>
      <c r="C587" s="14">
        <f>96.6548 * CHOOSE(CONTROL!$C$9, $D$9, 100%, $F$9) + CHOOSE(CONTROL!$C$27, 0.0021, 0)</f>
        <v>96.656899999999993</v>
      </c>
      <c r="D587" s="14">
        <f>96.6548 * CHOOSE(CONTROL!$C$9, $D$9, 100%, $F$9) + CHOOSE(CONTROL!$C$27, 0.0021, 0)</f>
        <v>96.656899999999993</v>
      </c>
      <c r="E587" s="14">
        <f>96.5182 * CHOOSE(CONTROL!$C$9, $D$9, 100%, $F$9) + CHOOSE(CONTROL!$C$27, 0.0021, 0)</f>
        <v>96.520299999999992</v>
      </c>
      <c r="F587" s="14">
        <f>96.5182 * CHOOSE(CONTROL!$C$9, $D$9, 100%, $F$9) + CHOOSE(CONTROL!$C$27, 0.0021, 0)</f>
        <v>96.520299999999992</v>
      </c>
      <c r="G587" s="14">
        <f>96.7896 * CHOOSE(CONTROL!$C$9, $D$9, 100%, $F$9) + CHOOSE(CONTROL!$C$27, 0.0021, 0)</f>
        <v>96.791699999999992</v>
      </c>
      <c r="H587" s="14">
        <f>96.6548 * CHOOSE(CONTROL!$C$9, $D$9, 100%, $F$9) + CHOOSE(CONTROL!$C$27, 0.0021, 0)</f>
        <v>96.656899999999993</v>
      </c>
      <c r="I587" s="14">
        <f>96.6548 * CHOOSE(CONTROL!$C$9, $D$9, 100%, $F$9) + CHOOSE(CONTROL!$C$27, 0.0021, 0)</f>
        <v>96.656899999999993</v>
      </c>
      <c r="J587" s="14">
        <f>96.6548 * CHOOSE(CONTROL!$C$9, $D$9, 100%, $F$9) + CHOOSE(CONTROL!$C$27, 0.0021, 0)</f>
        <v>96.656899999999993</v>
      </c>
      <c r="K587" s="14">
        <f>96.6548 * CHOOSE(CONTROL!$C$9, $D$9, 100%, $F$9) + CHOOSE(CONTROL!$C$27, 0.0021, 0)</f>
        <v>96.656899999999993</v>
      </c>
      <c r="L587" s="14"/>
    </row>
    <row r="588" spans="1:12" ht="15.75" x14ac:dyDescent="0.25">
      <c r="A588" s="32">
        <v>58837</v>
      </c>
      <c r="B588" s="14">
        <f>95.8888 * CHOOSE(CONTROL!$C$9, $D$9, 100%, $F$9) + CHOOSE(CONTROL!$C$27, 0.0021, 0)</f>
        <v>95.890900000000002</v>
      </c>
      <c r="C588" s="14">
        <f>95.4566 * CHOOSE(CONTROL!$C$9, $D$9, 100%, $F$9) + CHOOSE(CONTROL!$C$27, 0.0021, 0)</f>
        <v>95.458699999999993</v>
      </c>
      <c r="D588" s="14">
        <f>95.4566 * CHOOSE(CONTROL!$C$9, $D$9, 100%, $F$9) + CHOOSE(CONTROL!$C$27, 0.0021, 0)</f>
        <v>95.458699999999993</v>
      </c>
      <c r="E588" s="14">
        <f>95.3199 * CHOOSE(CONTROL!$C$9, $D$9, 100%, $F$9) + CHOOSE(CONTROL!$C$27, 0.0021, 0)</f>
        <v>95.322000000000003</v>
      </c>
      <c r="F588" s="14">
        <f>95.3199 * CHOOSE(CONTROL!$C$9, $D$9, 100%, $F$9) + CHOOSE(CONTROL!$C$27, 0.0021, 0)</f>
        <v>95.322000000000003</v>
      </c>
      <c r="G588" s="14">
        <f>95.5913 * CHOOSE(CONTROL!$C$9, $D$9, 100%, $F$9) + CHOOSE(CONTROL!$C$27, 0.0021, 0)</f>
        <v>95.593400000000003</v>
      </c>
      <c r="H588" s="14">
        <f>95.4566 * CHOOSE(CONTROL!$C$9, $D$9, 100%, $F$9) + CHOOSE(CONTROL!$C$27, 0.0021, 0)</f>
        <v>95.458699999999993</v>
      </c>
      <c r="I588" s="14">
        <f>95.4566 * CHOOSE(CONTROL!$C$9, $D$9, 100%, $F$9) + CHOOSE(CONTROL!$C$27, 0.0021, 0)</f>
        <v>95.458699999999993</v>
      </c>
      <c r="J588" s="14">
        <f>95.4566 * CHOOSE(CONTROL!$C$9, $D$9, 100%, $F$9) + CHOOSE(CONTROL!$C$27, 0.0021, 0)</f>
        <v>95.458699999999993</v>
      </c>
      <c r="K588" s="14">
        <f>95.4566 * CHOOSE(CONTROL!$C$9, $D$9, 100%, $F$9) + CHOOSE(CONTROL!$C$27, 0.0021, 0)</f>
        <v>95.458699999999993</v>
      </c>
      <c r="L588" s="14"/>
    </row>
    <row r="589" spans="1:12" ht="15.75" x14ac:dyDescent="0.25">
      <c r="A589" s="32">
        <v>58865</v>
      </c>
      <c r="B589" s="14">
        <f>93.2414 * CHOOSE(CONTROL!$C$9, $D$9, 100%, $F$9) + CHOOSE(CONTROL!$C$27, 0.0021, 0)</f>
        <v>93.243499999999997</v>
      </c>
      <c r="C589" s="14">
        <f>92.8091 * CHOOSE(CONTROL!$C$9, $D$9, 100%, $F$9) + CHOOSE(CONTROL!$C$27, 0.0021, 0)</f>
        <v>92.811199999999999</v>
      </c>
      <c r="D589" s="14">
        <f>92.8091 * CHOOSE(CONTROL!$C$9, $D$9, 100%, $F$9) + CHOOSE(CONTROL!$C$27, 0.0021, 0)</f>
        <v>92.811199999999999</v>
      </c>
      <c r="E589" s="14">
        <f>92.6725 * CHOOSE(CONTROL!$C$9, $D$9, 100%, $F$9) + CHOOSE(CONTROL!$C$27, 0.0021, 0)</f>
        <v>92.674599999999998</v>
      </c>
      <c r="F589" s="14">
        <f>92.6725 * CHOOSE(CONTROL!$C$9, $D$9, 100%, $F$9) + CHOOSE(CONTROL!$C$27, 0.0021, 0)</f>
        <v>92.674599999999998</v>
      </c>
      <c r="G589" s="14">
        <f>92.9439 * CHOOSE(CONTROL!$C$9, $D$9, 100%, $F$9) + CHOOSE(CONTROL!$C$27, 0.0021, 0)</f>
        <v>92.945999999999998</v>
      </c>
      <c r="H589" s="14">
        <f>92.8091 * CHOOSE(CONTROL!$C$9, $D$9, 100%, $F$9) + CHOOSE(CONTROL!$C$27, 0.0021, 0)</f>
        <v>92.811199999999999</v>
      </c>
      <c r="I589" s="14">
        <f>92.8091 * CHOOSE(CONTROL!$C$9, $D$9, 100%, $F$9) + CHOOSE(CONTROL!$C$27, 0.0021, 0)</f>
        <v>92.811199999999999</v>
      </c>
      <c r="J589" s="14">
        <f>92.8091 * CHOOSE(CONTROL!$C$9, $D$9, 100%, $F$9) + CHOOSE(CONTROL!$C$27, 0.0021, 0)</f>
        <v>92.811199999999999</v>
      </c>
      <c r="K589" s="14">
        <f>92.8091 * CHOOSE(CONTROL!$C$9, $D$9, 100%, $F$9) + CHOOSE(CONTROL!$C$27, 0.0021, 0)</f>
        <v>92.811199999999999</v>
      </c>
      <c r="L589" s="14"/>
    </row>
    <row r="590" spans="1:12" ht="15.75" x14ac:dyDescent="0.25">
      <c r="A590" s="32">
        <v>58893</v>
      </c>
      <c r="B590" s="14">
        <f>92.1485 * CHOOSE(CONTROL!$C$9, $D$9, 100%, $F$9) + CHOOSE(CONTROL!$C$27, 0.0021, 0)</f>
        <v>92.150599999999997</v>
      </c>
      <c r="C590" s="14">
        <f>91.7163 * CHOOSE(CONTROL!$C$9, $D$9, 100%, $F$9) + CHOOSE(CONTROL!$C$27, 0.0021, 0)</f>
        <v>91.718400000000003</v>
      </c>
      <c r="D590" s="14">
        <f>91.7163 * CHOOSE(CONTROL!$C$9, $D$9, 100%, $F$9) + CHOOSE(CONTROL!$C$27, 0.0021, 0)</f>
        <v>91.718400000000003</v>
      </c>
      <c r="E590" s="14">
        <f>91.5796 * CHOOSE(CONTROL!$C$9, $D$9, 100%, $F$9) + CHOOSE(CONTROL!$C$27, 0.0021, 0)</f>
        <v>91.581699999999998</v>
      </c>
      <c r="F590" s="14">
        <f>91.5796 * CHOOSE(CONTROL!$C$9, $D$9, 100%, $F$9) + CHOOSE(CONTROL!$C$27, 0.0021, 0)</f>
        <v>91.581699999999998</v>
      </c>
      <c r="G590" s="14">
        <f>91.851 * CHOOSE(CONTROL!$C$9, $D$9, 100%, $F$9) + CHOOSE(CONTROL!$C$27, 0.0021, 0)</f>
        <v>91.853099999999998</v>
      </c>
      <c r="H590" s="14">
        <f>91.7163 * CHOOSE(CONTROL!$C$9, $D$9, 100%, $F$9) + CHOOSE(CONTROL!$C$27, 0.0021, 0)</f>
        <v>91.718400000000003</v>
      </c>
      <c r="I590" s="14">
        <f>91.7163 * CHOOSE(CONTROL!$C$9, $D$9, 100%, $F$9) + CHOOSE(CONTROL!$C$27, 0.0021, 0)</f>
        <v>91.718400000000003</v>
      </c>
      <c r="J590" s="14">
        <f>91.7163 * CHOOSE(CONTROL!$C$9, $D$9, 100%, $F$9) + CHOOSE(CONTROL!$C$27, 0.0021, 0)</f>
        <v>91.718400000000003</v>
      </c>
      <c r="K590" s="14">
        <f>91.7163 * CHOOSE(CONTROL!$C$9, $D$9, 100%, $F$9) + CHOOSE(CONTROL!$C$27, 0.0021, 0)</f>
        <v>91.718400000000003</v>
      </c>
      <c r="L590" s="14"/>
    </row>
    <row r="591" spans="1:12" ht="15.75" x14ac:dyDescent="0.25">
      <c r="A591" s="32">
        <v>58926</v>
      </c>
      <c r="B591" s="14">
        <f>90.8437 * CHOOSE(CONTROL!$C$9, $D$9, 100%, $F$9) + CHOOSE(CONTROL!$C$27, 0.0021, 0)</f>
        <v>90.845799999999997</v>
      </c>
      <c r="C591" s="14">
        <f>90.4114 * CHOOSE(CONTROL!$C$9, $D$9, 100%, $F$9) + CHOOSE(CONTROL!$C$27, 0.0021, 0)</f>
        <v>90.413499999999999</v>
      </c>
      <c r="D591" s="14">
        <f>90.4114 * CHOOSE(CONTROL!$C$9, $D$9, 100%, $F$9) + CHOOSE(CONTROL!$C$27, 0.0021, 0)</f>
        <v>90.413499999999999</v>
      </c>
      <c r="E591" s="14">
        <f>90.2747 * CHOOSE(CONTROL!$C$9, $D$9, 100%, $F$9) + CHOOSE(CONTROL!$C$27, 0.0021, 0)</f>
        <v>90.276799999999994</v>
      </c>
      <c r="F591" s="14">
        <f>90.2747 * CHOOSE(CONTROL!$C$9, $D$9, 100%, $F$9) + CHOOSE(CONTROL!$C$27, 0.0021, 0)</f>
        <v>90.276799999999994</v>
      </c>
      <c r="G591" s="14">
        <f>90.5461 * CHOOSE(CONTROL!$C$9, $D$9, 100%, $F$9) + CHOOSE(CONTROL!$C$27, 0.0021, 0)</f>
        <v>90.548199999999994</v>
      </c>
      <c r="H591" s="14">
        <f>90.4114 * CHOOSE(CONTROL!$C$9, $D$9, 100%, $F$9) + CHOOSE(CONTROL!$C$27, 0.0021, 0)</f>
        <v>90.413499999999999</v>
      </c>
      <c r="I591" s="14">
        <f>90.4114 * CHOOSE(CONTROL!$C$9, $D$9, 100%, $F$9) + CHOOSE(CONTROL!$C$27, 0.0021, 0)</f>
        <v>90.413499999999999</v>
      </c>
      <c r="J591" s="14">
        <f>90.4114 * CHOOSE(CONTROL!$C$9, $D$9, 100%, $F$9) + CHOOSE(CONTROL!$C$27, 0.0021, 0)</f>
        <v>90.413499999999999</v>
      </c>
      <c r="K591" s="14">
        <f>90.4114 * CHOOSE(CONTROL!$C$9, $D$9, 100%, $F$9) + CHOOSE(CONTROL!$C$27, 0.0021, 0)</f>
        <v>90.413499999999999</v>
      </c>
      <c r="L591" s="14"/>
    </row>
    <row r="592" spans="1:12" ht="15.75" x14ac:dyDescent="0.25">
      <c r="A592" s="32">
        <v>58957</v>
      </c>
      <c r="B592" s="14">
        <f>92.7033 * CHOOSE(CONTROL!$C$9, $D$9, 100%, $F$9) + CHOOSE(CONTROL!$C$27, 0.0021, 0)</f>
        <v>92.705399999999997</v>
      </c>
      <c r="C592" s="14">
        <f>92.271 * CHOOSE(CONTROL!$C$9, $D$9, 100%, $F$9) + CHOOSE(CONTROL!$C$27, 0.0021, 0)</f>
        <v>92.273099999999999</v>
      </c>
      <c r="D592" s="14">
        <f>92.271 * CHOOSE(CONTROL!$C$9, $D$9, 100%, $F$9) + CHOOSE(CONTROL!$C$27, 0.0021, 0)</f>
        <v>92.273099999999999</v>
      </c>
      <c r="E592" s="14">
        <f>92.1344 * CHOOSE(CONTROL!$C$9, $D$9, 100%, $F$9) + CHOOSE(CONTROL!$C$27, 0.0021, 0)</f>
        <v>92.136499999999998</v>
      </c>
      <c r="F592" s="14">
        <f>92.1344 * CHOOSE(CONTROL!$C$9, $D$9, 100%, $F$9) + CHOOSE(CONTROL!$C$27, 0.0021, 0)</f>
        <v>92.136499999999998</v>
      </c>
      <c r="G592" s="14">
        <f>92.4057 * CHOOSE(CONTROL!$C$9, $D$9, 100%, $F$9) + CHOOSE(CONTROL!$C$27, 0.0021, 0)</f>
        <v>92.407799999999995</v>
      </c>
      <c r="H592" s="14">
        <f>92.271 * CHOOSE(CONTROL!$C$9, $D$9, 100%, $F$9) + CHOOSE(CONTROL!$C$27, 0.0021, 0)</f>
        <v>92.273099999999999</v>
      </c>
      <c r="I592" s="14">
        <f>92.271 * CHOOSE(CONTROL!$C$9, $D$9, 100%, $F$9) + CHOOSE(CONTROL!$C$27, 0.0021, 0)</f>
        <v>92.273099999999999</v>
      </c>
      <c r="J592" s="14">
        <f>92.271 * CHOOSE(CONTROL!$C$9, $D$9, 100%, $F$9) + CHOOSE(CONTROL!$C$27, 0.0021, 0)</f>
        <v>92.273099999999999</v>
      </c>
      <c r="K592" s="14">
        <f>92.271 * CHOOSE(CONTROL!$C$9, $D$9, 100%, $F$9) + CHOOSE(CONTROL!$C$27, 0.0021, 0)</f>
        <v>92.273099999999999</v>
      </c>
      <c r="L592" s="14"/>
    </row>
    <row r="593" spans="1:12" ht="15.75" x14ac:dyDescent="0.25">
      <c r="A593" s="32">
        <v>58987</v>
      </c>
      <c r="B593" s="14">
        <f>93.8171 * CHOOSE(CONTROL!$C$9, $D$9, 100%, $F$9) + CHOOSE(CONTROL!$C$27, 0.0021, 0)</f>
        <v>93.819199999999995</v>
      </c>
      <c r="C593" s="14">
        <f>93.3849 * CHOOSE(CONTROL!$C$9, $D$9, 100%, $F$9) + CHOOSE(CONTROL!$C$27, 0.0021, 0)</f>
        <v>93.387</v>
      </c>
      <c r="D593" s="14">
        <f>93.3849 * CHOOSE(CONTROL!$C$9, $D$9, 100%, $F$9) + CHOOSE(CONTROL!$C$27, 0.0021, 0)</f>
        <v>93.387</v>
      </c>
      <c r="E593" s="14">
        <f>93.2482 * CHOOSE(CONTROL!$C$9, $D$9, 100%, $F$9) + CHOOSE(CONTROL!$C$27, 0.0021, 0)</f>
        <v>93.250299999999996</v>
      </c>
      <c r="F593" s="14">
        <f>93.2482 * CHOOSE(CONTROL!$C$9, $D$9, 100%, $F$9) + CHOOSE(CONTROL!$C$27, 0.0021, 0)</f>
        <v>93.250299999999996</v>
      </c>
      <c r="G593" s="14">
        <f>93.5196 * CHOOSE(CONTROL!$C$9, $D$9, 100%, $F$9) + CHOOSE(CONTROL!$C$27, 0.0021, 0)</f>
        <v>93.521699999999996</v>
      </c>
      <c r="H593" s="14">
        <f>93.3849 * CHOOSE(CONTROL!$C$9, $D$9, 100%, $F$9) + CHOOSE(CONTROL!$C$27, 0.0021, 0)</f>
        <v>93.387</v>
      </c>
      <c r="I593" s="14">
        <f>93.3849 * CHOOSE(CONTROL!$C$9, $D$9, 100%, $F$9) + CHOOSE(CONTROL!$C$27, 0.0021, 0)</f>
        <v>93.387</v>
      </c>
      <c r="J593" s="14">
        <f>93.3849 * CHOOSE(CONTROL!$C$9, $D$9, 100%, $F$9) + CHOOSE(CONTROL!$C$27, 0.0021, 0)</f>
        <v>93.387</v>
      </c>
      <c r="K593" s="14">
        <f>93.3849 * CHOOSE(CONTROL!$C$9, $D$9, 100%, $F$9) + CHOOSE(CONTROL!$C$27, 0.0021, 0)</f>
        <v>93.387</v>
      </c>
      <c r="L593" s="14"/>
    </row>
    <row r="594" spans="1:12" ht="15.75" x14ac:dyDescent="0.25">
      <c r="A594" s="32">
        <v>59018</v>
      </c>
      <c r="B594" s="14">
        <f>95.6545 * CHOOSE(CONTROL!$C$9, $D$9, 100%, $F$9) + CHOOSE(CONTROL!$C$27, 0.0021, 0)</f>
        <v>95.656599999999997</v>
      </c>
      <c r="C594" s="14">
        <f>95.2223 * CHOOSE(CONTROL!$C$9, $D$9, 100%, $F$9) + CHOOSE(CONTROL!$C$27, 0.0021, 0)</f>
        <v>95.224400000000003</v>
      </c>
      <c r="D594" s="14">
        <f>95.2223 * CHOOSE(CONTROL!$C$9, $D$9, 100%, $F$9) + CHOOSE(CONTROL!$C$27, 0.0021, 0)</f>
        <v>95.224400000000003</v>
      </c>
      <c r="E594" s="14">
        <f>95.0856 * CHOOSE(CONTROL!$C$9, $D$9, 100%, $F$9) + CHOOSE(CONTROL!$C$27, 0.0021, 0)</f>
        <v>95.087699999999998</v>
      </c>
      <c r="F594" s="14">
        <f>95.0856 * CHOOSE(CONTROL!$C$9, $D$9, 100%, $F$9) + CHOOSE(CONTROL!$C$27, 0.0021, 0)</f>
        <v>95.087699999999998</v>
      </c>
      <c r="G594" s="14">
        <f>95.357 * CHOOSE(CONTROL!$C$9, $D$9, 100%, $F$9) + CHOOSE(CONTROL!$C$27, 0.0021, 0)</f>
        <v>95.359099999999998</v>
      </c>
      <c r="H594" s="14">
        <f>95.2223 * CHOOSE(CONTROL!$C$9, $D$9, 100%, $F$9) + CHOOSE(CONTROL!$C$27, 0.0021, 0)</f>
        <v>95.224400000000003</v>
      </c>
      <c r="I594" s="14">
        <f>95.2223 * CHOOSE(CONTROL!$C$9, $D$9, 100%, $F$9) + CHOOSE(CONTROL!$C$27, 0.0021, 0)</f>
        <v>95.224400000000003</v>
      </c>
      <c r="J594" s="14">
        <f>95.2223 * CHOOSE(CONTROL!$C$9, $D$9, 100%, $F$9) + CHOOSE(CONTROL!$C$27, 0.0021, 0)</f>
        <v>95.224400000000003</v>
      </c>
      <c r="K594" s="14">
        <f>95.2223 * CHOOSE(CONTROL!$C$9, $D$9, 100%, $F$9) + CHOOSE(CONTROL!$C$27, 0.0021, 0)</f>
        <v>95.224400000000003</v>
      </c>
      <c r="L594" s="14"/>
    </row>
    <row r="595" spans="1:12" ht="15.75" x14ac:dyDescent="0.25">
      <c r="A595" s="32">
        <v>59049</v>
      </c>
      <c r="B595" s="14">
        <f>96.2154 * CHOOSE(CONTROL!$C$9, $D$9, 100%, $F$9) + CHOOSE(CONTROL!$C$27, 0.0021, 0)</f>
        <v>96.217500000000001</v>
      </c>
      <c r="C595" s="14">
        <f>95.7831 * CHOOSE(CONTROL!$C$9, $D$9, 100%, $F$9) + CHOOSE(CONTROL!$C$27, 0.0021, 0)</f>
        <v>95.785200000000003</v>
      </c>
      <c r="D595" s="14">
        <f>95.7831 * CHOOSE(CONTROL!$C$9, $D$9, 100%, $F$9) + CHOOSE(CONTROL!$C$27, 0.0021, 0)</f>
        <v>95.785200000000003</v>
      </c>
      <c r="E595" s="14">
        <f>95.6465 * CHOOSE(CONTROL!$C$9, $D$9, 100%, $F$9) + CHOOSE(CONTROL!$C$27, 0.0021, 0)</f>
        <v>95.648600000000002</v>
      </c>
      <c r="F595" s="14">
        <f>95.6465 * CHOOSE(CONTROL!$C$9, $D$9, 100%, $F$9) + CHOOSE(CONTROL!$C$27, 0.0021, 0)</f>
        <v>95.648600000000002</v>
      </c>
      <c r="G595" s="14">
        <f>95.9178 * CHOOSE(CONTROL!$C$9, $D$9, 100%, $F$9) + CHOOSE(CONTROL!$C$27, 0.0021, 0)</f>
        <v>95.919899999999998</v>
      </c>
      <c r="H595" s="14">
        <f>95.7831 * CHOOSE(CONTROL!$C$9, $D$9, 100%, $F$9) + CHOOSE(CONTROL!$C$27, 0.0021, 0)</f>
        <v>95.785200000000003</v>
      </c>
      <c r="I595" s="14">
        <f>95.7831 * CHOOSE(CONTROL!$C$9, $D$9, 100%, $F$9) + CHOOSE(CONTROL!$C$27, 0.0021, 0)</f>
        <v>95.785200000000003</v>
      </c>
      <c r="J595" s="14">
        <f>95.7831 * CHOOSE(CONTROL!$C$9, $D$9, 100%, $F$9) + CHOOSE(CONTROL!$C$27, 0.0021, 0)</f>
        <v>95.785200000000003</v>
      </c>
      <c r="K595" s="14">
        <f>95.7831 * CHOOSE(CONTROL!$C$9, $D$9, 100%, $F$9) + CHOOSE(CONTROL!$C$27, 0.0021, 0)</f>
        <v>95.785200000000003</v>
      </c>
      <c r="L595" s="14"/>
    </row>
    <row r="596" spans="1:12" ht="15.75" x14ac:dyDescent="0.25">
      <c r="A596" s="32">
        <v>59079</v>
      </c>
      <c r="B596" s="14">
        <f>98.1253 * CHOOSE(CONTROL!$C$9, $D$9, 100%, $F$9) + CHOOSE(CONTROL!$C$27, 0.0021, 0)</f>
        <v>98.127399999999994</v>
      </c>
      <c r="C596" s="14">
        <f>97.693 * CHOOSE(CONTROL!$C$9, $D$9, 100%, $F$9) + CHOOSE(CONTROL!$C$27, 0.0021, 0)</f>
        <v>97.695099999999996</v>
      </c>
      <c r="D596" s="14">
        <f>97.693 * CHOOSE(CONTROL!$C$9, $D$9, 100%, $F$9) + CHOOSE(CONTROL!$C$27, 0.0021, 0)</f>
        <v>97.695099999999996</v>
      </c>
      <c r="E596" s="14">
        <f>97.5564 * CHOOSE(CONTROL!$C$9, $D$9, 100%, $F$9) + CHOOSE(CONTROL!$C$27, 0.0021, 0)</f>
        <v>97.558499999999995</v>
      </c>
      <c r="F596" s="14">
        <f>97.5564 * CHOOSE(CONTROL!$C$9, $D$9, 100%, $F$9) + CHOOSE(CONTROL!$C$27, 0.0021, 0)</f>
        <v>97.558499999999995</v>
      </c>
      <c r="G596" s="14">
        <f>97.8278 * CHOOSE(CONTROL!$C$9, $D$9, 100%, $F$9) + CHOOSE(CONTROL!$C$27, 0.0021, 0)</f>
        <v>97.829899999999995</v>
      </c>
      <c r="H596" s="14">
        <f>97.693 * CHOOSE(CONTROL!$C$9, $D$9, 100%, $F$9) + CHOOSE(CONTROL!$C$27, 0.0021, 0)</f>
        <v>97.695099999999996</v>
      </c>
      <c r="I596" s="14">
        <f>97.693 * CHOOSE(CONTROL!$C$9, $D$9, 100%, $F$9) + CHOOSE(CONTROL!$C$27, 0.0021, 0)</f>
        <v>97.695099999999996</v>
      </c>
      <c r="J596" s="14">
        <f>97.693 * CHOOSE(CONTROL!$C$9, $D$9, 100%, $F$9) + CHOOSE(CONTROL!$C$27, 0.0021, 0)</f>
        <v>97.695099999999996</v>
      </c>
      <c r="K596" s="14">
        <f>97.693 * CHOOSE(CONTROL!$C$9, $D$9, 100%, $F$9) + CHOOSE(CONTROL!$C$27, 0.0021, 0)</f>
        <v>97.695099999999996</v>
      </c>
      <c r="L596" s="14"/>
    </row>
    <row r="597" spans="1:12" ht="15.75" x14ac:dyDescent="0.25">
      <c r="A597" s="32">
        <v>59110</v>
      </c>
      <c r="B597" s="14">
        <f>100.5429 * CHOOSE(CONTROL!$C$9, $D$9, 100%, $F$9) + CHOOSE(CONTROL!$C$27, 0.0021, 0)</f>
        <v>100.545</v>
      </c>
      <c r="C597" s="14">
        <f>100.1107 * CHOOSE(CONTROL!$C$9, $D$9, 100%, $F$9) + CHOOSE(CONTROL!$C$27, 0.0021, 0)</f>
        <v>100.11279999999999</v>
      </c>
      <c r="D597" s="14">
        <f>100.1107 * CHOOSE(CONTROL!$C$9, $D$9, 100%, $F$9) + CHOOSE(CONTROL!$C$27, 0.0021, 0)</f>
        <v>100.11279999999999</v>
      </c>
      <c r="E597" s="14">
        <f>99.974 * CHOOSE(CONTROL!$C$9, $D$9, 100%, $F$9) + CHOOSE(CONTROL!$C$27, 0.0021, 0)</f>
        <v>99.976100000000002</v>
      </c>
      <c r="F597" s="14">
        <f>99.974 * CHOOSE(CONTROL!$C$9, $D$9, 100%, $F$9) + CHOOSE(CONTROL!$C$27, 0.0021, 0)</f>
        <v>99.976100000000002</v>
      </c>
      <c r="G597" s="14">
        <f>100.2454 * CHOOSE(CONTROL!$C$9, $D$9, 100%, $F$9) + CHOOSE(CONTROL!$C$27, 0.0021, 0)</f>
        <v>100.2475</v>
      </c>
      <c r="H597" s="14">
        <f>100.1107 * CHOOSE(CONTROL!$C$9, $D$9, 100%, $F$9) + CHOOSE(CONTROL!$C$27, 0.0021, 0)</f>
        <v>100.11279999999999</v>
      </c>
      <c r="I597" s="14">
        <f>100.1107 * CHOOSE(CONTROL!$C$9, $D$9, 100%, $F$9) + CHOOSE(CONTROL!$C$27, 0.0021, 0)</f>
        <v>100.11279999999999</v>
      </c>
      <c r="J597" s="14">
        <f>100.1107 * CHOOSE(CONTROL!$C$9, $D$9, 100%, $F$9) + CHOOSE(CONTROL!$C$27, 0.0021, 0)</f>
        <v>100.11279999999999</v>
      </c>
      <c r="K597" s="14">
        <f>100.1107 * CHOOSE(CONTROL!$C$9, $D$9, 100%, $F$9) + CHOOSE(CONTROL!$C$27, 0.0021, 0)</f>
        <v>100.11279999999999</v>
      </c>
      <c r="L597" s="14"/>
    </row>
    <row r="598" spans="1:12" ht="15.75" x14ac:dyDescent="0.25">
      <c r="A598" s="32">
        <v>59140</v>
      </c>
      <c r="B598" s="14">
        <f>100.7699 * CHOOSE(CONTROL!$C$9, $D$9, 100%, $F$9) + CHOOSE(CONTROL!$C$27, 0.0021, 0)</f>
        <v>100.77200000000001</v>
      </c>
      <c r="C598" s="14">
        <f>100.3376 * CHOOSE(CONTROL!$C$9, $D$9, 100%, $F$9) + CHOOSE(CONTROL!$C$27, 0.0021, 0)</f>
        <v>100.33969999999999</v>
      </c>
      <c r="D598" s="14">
        <f>100.3376 * CHOOSE(CONTROL!$C$9, $D$9, 100%, $F$9) + CHOOSE(CONTROL!$C$27, 0.0021, 0)</f>
        <v>100.33969999999999</v>
      </c>
      <c r="E598" s="14">
        <f>100.201 * CHOOSE(CONTROL!$C$9, $D$9, 100%, $F$9) + CHOOSE(CONTROL!$C$27, 0.0021, 0)</f>
        <v>100.20309999999999</v>
      </c>
      <c r="F598" s="14">
        <f>100.201 * CHOOSE(CONTROL!$C$9, $D$9, 100%, $F$9) + CHOOSE(CONTROL!$C$27, 0.0021, 0)</f>
        <v>100.20309999999999</v>
      </c>
      <c r="G598" s="14">
        <f>100.4723 * CHOOSE(CONTROL!$C$9, $D$9, 100%, $F$9) + CHOOSE(CONTROL!$C$27, 0.0021, 0)</f>
        <v>100.4744</v>
      </c>
      <c r="H598" s="14">
        <f>100.3376 * CHOOSE(CONTROL!$C$9, $D$9, 100%, $F$9) + CHOOSE(CONTROL!$C$27, 0.0021, 0)</f>
        <v>100.33969999999999</v>
      </c>
      <c r="I598" s="14">
        <f>100.3376 * CHOOSE(CONTROL!$C$9, $D$9, 100%, $F$9) + CHOOSE(CONTROL!$C$27, 0.0021, 0)</f>
        <v>100.33969999999999</v>
      </c>
      <c r="J598" s="14">
        <f>100.3376 * CHOOSE(CONTROL!$C$9, $D$9, 100%, $F$9) + CHOOSE(CONTROL!$C$27, 0.0021, 0)</f>
        <v>100.33969999999999</v>
      </c>
      <c r="K598" s="14">
        <f>100.3376 * CHOOSE(CONTROL!$C$9, $D$9, 100%, $F$9) + CHOOSE(CONTROL!$C$27, 0.0021, 0)</f>
        <v>100.33969999999999</v>
      </c>
      <c r="L598" s="14"/>
    </row>
    <row r="599" spans="1:12" ht="15.75" x14ac:dyDescent="0.25">
      <c r="A599" s="32">
        <v>59171</v>
      </c>
      <c r="B599" s="14">
        <f>98.839 * CHOOSE(CONTROL!$C$9, $D$9, 100%, $F$9) + CHOOSE(CONTROL!$C$27, 0.0021, 0)</f>
        <v>98.841099999999997</v>
      </c>
      <c r="C599" s="14">
        <f>98.4067 * CHOOSE(CONTROL!$C$9, $D$9, 100%, $F$9) + CHOOSE(CONTROL!$C$27, 0.0021, 0)</f>
        <v>98.408799999999999</v>
      </c>
      <c r="D599" s="14">
        <f>98.4067 * CHOOSE(CONTROL!$C$9, $D$9, 100%, $F$9) + CHOOSE(CONTROL!$C$27, 0.0021, 0)</f>
        <v>98.408799999999999</v>
      </c>
      <c r="E599" s="14">
        <f>98.2701 * CHOOSE(CONTROL!$C$9, $D$9, 100%, $F$9) + CHOOSE(CONTROL!$C$27, 0.0021, 0)</f>
        <v>98.272199999999998</v>
      </c>
      <c r="F599" s="14">
        <f>98.2701 * CHOOSE(CONTROL!$C$9, $D$9, 100%, $F$9) + CHOOSE(CONTROL!$C$27, 0.0021, 0)</f>
        <v>98.272199999999998</v>
      </c>
      <c r="G599" s="14">
        <f>98.5414 * CHOOSE(CONTROL!$C$9, $D$9, 100%, $F$9) + CHOOSE(CONTROL!$C$27, 0.0021, 0)</f>
        <v>98.543499999999995</v>
      </c>
      <c r="H599" s="14">
        <f>98.4067 * CHOOSE(CONTROL!$C$9, $D$9, 100%, $F$9) + CHOOSE(CONTROL!$C$27, 0.0021, 0)</f>
        <v>98.408799999999999</v>
      </c>
      <c r="I599" s="14">
        <f>98.4067 * CHOOSE(CONTROL!$C$9, $D$9, 100%, $F$9) + CHOOSE(CONTROL!$C$27, 0.0021, 0)</f>
        <v>98.408799999999999</v>
      </c>
      <c r="J599" s="14">
        <f>98.4067 * CHOOSE(CONTROL!$C$9, $D$9, 100%, $F$9) + CHOOSE(CONTROL!$C$27, 0.0021, 0)</f>
        <v>98.408799999999999</v>
      </c>
      <c r="K599" s="14">
        <f>98.4067 * CHOOSE(CONTROL!$C$9, $D$9, 100%, $F$9) + CHOOSE(CONTROL!$C$27, 0.0021, 0)</f>
        <v>98.408799999999999</v>
      </c>
      <c r="L599" s="14"/>
    </row>
    <row r="600" spans="1:12" ht="15.75" x14ac:dyDescent="0.25">
      <c r="A600" s="32">
        <v>59202</v>
      </c>
      <c r="B600" s="14">
        <f>89.8415 * CHOOSE(CONTROL!$C$9, $D$9, 100%, $F$9) + CHOOSE(CONTROL!$C$27, 0.0021, 0)</f>
        <v>89.843599999999995</v>
      </c>
      <c r="C600" s="14">
        <f>89.4092 * CHOOSE(CONTROL!$C$9, $D$9, 100%, $F$9) + CHOOSE(CONTROL!$C$27, 0.0021, 0)</f>
        <v>89.411299999999997</v>
      </c>
      <c r="D600" s="14">
        <f>89.4092 * CHOOSE(CONTROL!$C$9, $D$9, 100%, $F$9) + CHOOSE(CONTROL!$C$27, 0.0021, 0)</f>
        <v>89.411299999999997</v>
      </c>
      <c r="E600" s="14">
        <f>89.2726 * CHOOSE(CONTROL!$C$9, $D$9, 100%, $F$9) + CHOOSE(CONTROL!$C$27, 0.0021, 0)</f>
        <v>89.274699999999996</v>
      </c>
      <c r="F600" s="14">
        <f>89.2726 * CHOOSE(CONTROL!$C$9, $D$9, 100%, $F$9) + CHOOSE(CONTROL!$C$27, 0.0021, 0)</f>
        <v>89.274699999999996</v>
      </c>
      <c r="G600" s="14">
        <f>89.5439 * CHOOSE(CONTROL!$C$9, $D$9, 100%, $F$9) + CHOOSE(CONTROL!$C$27, 0.0021, 0)</f>
        <v>89.545999999999992</v>
      </c>
      <c r="H600" s="14">
        <f>89.4092 * CHOOSE(CONTROL!$C$9, $D$9, 100%, $F$9) + CHOOSE(CONTROL!$C$27, 0.0021, 0)</f>
        <v>89.411299999999997</v>
      </c>
      <c r="I600" s="14">
        <f>89.4092 * CHOOSE(CONTROL!$C$9, $D$9, 100%, $F$9) + CHOOSE(CONTROL!$C$27, 0.0021, 0)</f>
        <v>89.411299999999997</v>
      </c>
      <c r="J600" s="14">
        <f>89.4092 * CHOOSE(CONTROL!$C$9, $D$9, 100%, $F$9) + CHOOSE(CONTROL!$C$27, 0.0021, 0)</f>
        <v>89.411299999999997</v>
      </c>
      <c r="K600" s="14">
        <f>89.4092 * CHOOSE(CONTROL!$C$9, $D$9, 100%, $F$9) + CHOOSE(CONTROL!$C$27, 0.0021, 0)</f>
        <v>89.411299999999997</v>
      </c>
      <c r="L600" s="14"/>
    </row>
    <row r="601" spans="1:12" ht="15.75" x14ac:dyDescent="0.25">
      <c r="A601" s="32">
        <v>59230</v>
      </c>
      <c r="B601" s="14">
        <f>89.5981 * CHOOSE(CONTROL!$C$9, $D$9, 100%, $F$9) + CHOOSE(CONTROL!$C$27, 0.0021, 0)</f>
        <v>89.600200000000001</v>
      </c>
      <c r="C601" s="14">
        <f>89.1659 * CHOOSE(CONTROL!$C$9, $D$9, 100%, $F$9) + CHOOSE(CONTROL!$C$27, 0.0021, 0)</f>
        <v>89.167999999999992</v>
      </c>
      <c r="D601" s="14">
        <f>89.1659 * CHOOSE(CONTROL!$C$9, $D$9, 100%, $F$9) + CHOOSE(CONTROL!$C$27, 0.0021, 0)</f>
        <v>89.167999999999992</v>
      </c>
      <c r="E601" s="14">
        <f>89.0292 * CHOOSE(CONTROL!$C$9, $D$9, 100%, $F$9) + CHOOSE(CONTROL!$C$27, 0.0021, 0)</f>
        <v>89.031300000000002</v>
      </c>
      <c r="F601" s="14">
        <f>89.0292 * CHOOSE(CONTROL!$C$9, $D$9, 100%, $F$9) + CHOOSE(CONTROL!$C$27, 0.0021, 0)</f>
        <v>89.031300000000002</v>
      </c>
      <c r="G601" s="14">
        <f>89.3006 * CHOOSE(CONTROL!$C$9, $D$9, 100%, $F$9) + CHOOSE(CONTROL!$C$27, 0.0021, 0)</f>
        <v>89.302700000000002</v>
      </c>
      <c r="H601" s="14">
        <f>89.1659 * CHOOSE(CONTROL!$C$9, $D$9, 100%, $F$9) + CHOOSE(CONTROL!$C$27, 0.0021, 0)</f>
        <v>89.167999999999992</v>
      </c>
      <c r="I601" s="14">
        <f>89.1659 * CHOOSE(CONTROL!$C$9, $D$9, 100%, $F$9) + CHOOSE(CONTROL!$C$27, 0.0021, 0)</f>
        <v>89.167999999999992</v>
      </c>
      <c r="J601" s="14">
        <f>89.1659 * CHOOSE(CONTROL!$C$9, $D$9, 100%, $F$9) + CHOOSE(CONTROL!$C$27, 0.0021, 0)</f>
        <v>89.167999999999992</v>
      </c>
      <c r="K601" s="14">
        <f>89.1659 * CHOOSE(CONTROL!$C$9, $D$9, 100%, $F$9) + CHOOSE(CONTROL!$C$27, 0.0021, 0)</f>
        <v>89.167999999999992</v>
      </c>
      <c r="L601" s="14"/>
    </row>
    <row r="602" spans="1:12" ht="15.75" x14ac:dyDescent="0.25">
      <c r="A602" s="32">
        <v>59261</v>
      </c>
      <c r="B602" s="14">
        <f>94.1996 * CHOOSE(CONTROL!$C$9, $D$9, 100%, $F$9) + CHOOSE(CONTROL!$C$27, 0.0021, 0)</f>
        <v>94.201700000000002</v>
      </c>
      <c r="C602" s="14">
        <f>93.7674 * CHOOSE(CONTROL!$C$9, $D$9, 100%, $F$9) + CHOOSE(CONTROL!$C$27, 0.0021, 0)</f>
        <v>93.769499999999994</v>
      </c>
      <c r="D602" s="14">
        <f>93.7674 * CHOOSE(CONTROL!$C$9, $D$9, 100%, $F$9) + CHOOSE(CONTROL!$C$27, 0.0021, 0)</f>
        <v>93.769499999999994</v>
      </c>
      <c r="E602" s="14">
        <f>93.6307 * CHOOSE(CONTROL!$C$9, $D$9, 100%, $F$9) + CHOOSE(CONTROL!$C$27, 0.0021, 0)</f>
        <v>93.632800000000003</v>
      </c>
      <c r="F602" s="14">
        <f>93.6307 * CHOOSE(CONTROL!$C$9, $D$9, 100%, $F$9) + CHOOSE(CONTROL!$C$27, 0.0021, 0)</f>
        <v>93.632800000000003</v>
      </c>
      <c r="G602" s="14">
        <f>93.9021 * CHOOSE(CONTROL!$C$9, $D$9, 100%, $F$9) + CHOOSE(CONTROL!$C$27, 0.0021, 0)</f>
        <v>93.904200000000003</v>
      </c>
      <c r="H602" s="14">
        <f>93.7674 * CHOOSE(CONTROL!$C$9, $D$9, 100%, $F$9) + CHOOSE(CONTROL!$C$27, 0.0021, 0)</f>
        <v>93.769499999999994</v>
      </c>
      <c r="I602" s="14">
        <f>93.7674 * CHOOSE(CONTROL!$C$9, $D$9, 100%, $F$9) + CHOOSE(CONTROL!$C$27, 0.0021, 0)</f>
        <v>93.769499999999994</v>
      </c>
      <c r="J602" s="14">
        <f>93.7674 * CHOOSE(CONTROL!$C$9, $D$9, 100%, $F$9) + CHOOSE(CONTROL!$C$27, 0.0021, 0)</f>
        <v>93.769499999999994</v>
      </c>
      <c r="K602" s="14">
        <f>93.7674 * CHOOSE(CONTROL!$C$9, $D$9, 100%, $F$9) + CHOOSE(CONTROL!$C$27, 0.0021, 0)</f>
        <v>93.769499999999994</v>
      </c>
      <c r="L602" s="14"/>
    </row>
    <row r="603" spans="1:12" ht="15.75" x14ac:dyDescent="0.25">
      <c r="A603" s="32">
        <v>59291</v>
      </c>
      <c r="B603" s="14">
        <f>100.1667 * CHOOSE(CONTROL!$C$9, $D$9, 100%, $F$9) + CHOOSE(CONTROL!$C$27, 0.0021, 0)</f>
        <v>100.1688</v>
      </c>
      <c r="C603" s="14">
        <f>99.7345 * CHOOSE(CONTROL!$C$9, $D$9, 100%, $F$9) + CHOOSE(CONTROL!$C$27, 0.0021, 0)</f>
        <v>99.736599999999996</v>
      </c>
      <c r="D603" s="14">
        <f>99.7345 * CHOOSE(CONTROL!$C$9, $D$9, 100%, $F$9) + CHOOSE(CONTROL!$C$27, 0.0021, 0)</f>
        <v>99.736599999999996</v>
      </c>
      <c r="E603" s="14">
        <f>99.5978 * CHOOSE(CONTROL!$C$9, $D$9, 100%, $F$9) + CHOOSE(CONTROL!$C$27, 0.0021, 0)</f>
        <v>99.599900000000005</v>
      </c>
      <c r="F603" s="14">
        <f>99.5978 * CHOOSE(CONTROL!$C$9, $D$9, 100%, $F$9) + CHOOSE(CONTROL!$C$27, 0.0021, 0)</f>
        <v>99.599900000000005</v>
      </c>
      <c r="G603" s="14">
        <f>99.8692 * CHOOSE(CONTROL!$C$9, $D$9, 100%, $F$9) + CHOOSE(CONTROL!$C$27, 0.0021, 0)</f>
        <v>99.871300000000005</v>
      </c>
      <c r="H603" s="14">
        <f>99.7345 * CHOOSE(CONTROL!$C$9, $D$9, 100%, $F$9) + CHOOSE(CONTROL!$C$27, 0.0021, 0)</f>
        <v>99.736599999999996</v>
      </c>
      <c r="I603" s="14">
        <f>99.7345 * CHOOSE(CONTROL!$C$9, $D$9, 100%, $F$9) + CHOOSE(CONTROL!$C$27, 0.0021, 0)</f>
        <v>99.736599999999996</v>
      </c>
      <c r="J603" s="14">
        <f>99.7345 * CHOOSE(CONTROL!$C$9, $D$9, 100%, $F$9) + CHOOSE(CONTROL!$C$27, 0.0021, 0)</f>
        <v>99.736599999999996</v>
      </c>
      <c r="K603" s="14">
        <f>99.7345 * CHOOSE(CONTROL!$C$9, $D$9, 100%, $F$9) + CHOOSE(CONTROL!$C$27, 0.0021, 0)</f>
        <v>99.736599999999996</v>
      </c>
      <c r="L603" s="14"/>
    </row>
    <row r="604" spans="1:12" ht="15.75" x14ac:dyDescent="0.25">
      <c r="A604" s="32">
        <v>59322</v>
      </c>
      <c r="B604" s="14">
        <f>103.4512 * CHOOSE(CONTROL!$C$9, $D$9, 100%, $F$9) + CHOOSE(CONTROL!$C$27, 0.0021, 0)</f>
        <v>103.4533</v>
      </c>
      <c r="C604" s="14">
        <f>103.0189 * CHOOSE(CONTROL!$C$9, $D$9, 100%, $F$9) + CHOOSE(CONTROL!$C$27, 0.0021, 0)</f>
        <v>103.021</v>
      </c>
      <c r="D604" s="14">
        <f>103.0189 * CHOOSE(CONTROL!$C$9, $D$9, 100%, $F$9) + CHOOSE(CONTROL!$C$27, 0.0021, 0)</f>
        <v>103.021</v>
      </c>
      <c r="E604" s="14">
        <f>102.8823 * CHOOSE(CONTROL!$C$9, $D$9, 100%, $F$9) + CHOOSE(CONTROL!$C$27, 0.0021, 0)</f>
        <v>102.8844</v>
      </c>
      <c r="F604" s="14">
        <f>102.8823 * CHOOSE(CONTROL!$C$9, $D$9, 100%, $F$9) + CHOOSE(CONTROL!$C$27, 0.0021, 0)</f>
        <v>102.8844</v>
      </c>
      <c r="G604" s="14">
        <f>103.1536 * CHOOSE(CONTROL!$C$9, $D$9, 100%, $F$9) + CHOOSE(CONTROL!$C$27, 0.0021, 0)</f>
        <v>103.1557</v>
      </c>
      <c r="H604" s="14">
        <f>103.0189 * CHOOSE(CONTROL!$C$9, $D$9, 100%, $F$9) + CHOOSE(CONTROL!$C$27, 0.0021, 0)</f>
        <v>103.021</v>
      </c>
      <c r="I604" s="14">
        <f>103.0189 * CHOOSE(CONTROL!$C$9, $D$9, 100%, $F$9) + CHOOSE(CONTROL!$C$27, 0.0021, 0)</f>
        <v>103.021</v>
      </c>
      <c r="J604" s="14">
        <f>103.0189 * CHOOSE(CONTROL!$C$9, $D$9, 100%, $F$9) + CHOOSE(CONTROL!$C$27, 0.0021, 0)</f>
        <v>103.021</v>
      </c>
      <c r="K604" s="14">
        <f>103.0189 * CHOOSE(CONTROL!$C$9, $D$9, 100%, $F$9) + CHOOSE(CONTROL!$C$27, 0.0021, 0)</f>
        <v>103.021</v>
      </c>
      <c r="L604" s="14"/>
    </row>
    <row r="605" spans="1:12" ht="15.75" x14ac:dyDescent="0.25">
      <c r="A605" s="32">
        <v>59352</v>
      </c>
      <c r="B605" s="14">
        <f>104.9088 * CHOOSE(CONTROL!$C$9, $D$9, 100%, $F$9) + CHOOSE(CONTROL!$C$27, 0.0021, 0)</f>
        <v>104.9109</v>
      </c>
      <c r="C605" s="14">
        <f>104.4765 * CHOOSE(CONTROL!$C$9, $D$9, 100%, $F$9) + CHOOSE(CONTROL!$C$27, 0.0021, 0)</f>
        <v>104.4786</v>
      </c>
      <c r="D605" s="14">
        <f>104.4765 * CHOOSE(CONTROL!$C$9, $D$9, 100%, $F$9) + CHOOSE(CONTROL!$C$27, 0.0021, 0)</f>
        <v>104.4786</v>
      </c>
      <c r="E605" s="14">
        <f>104.3399 * CHOOSE(CONTROL!$C$9, $D$9, 100%, $F$9) + CHOOSE(CONTROL!$C$27, 0.0021, 0)</f>
        <v>104.342</v>
      </c>
      <c r="F605" s="14">
        <f>104.3399 * CHOOSE(CONTROL!$C$9, $D$9, 100%, $F$9) + CHOOSE(CONTROL!$C$27, 0.0021, 0)</f>
        <v>104.342</v>
      </c>
      <c r="G605" s="14">
        <f>104.6112 * CHOOSE(CONTROL!$C$9, $D$9, 100%, $F$9) + CHOOSE(CONTROL!$C$27, 0.0021, 0)</f>
        <v>104.6133</v>
      </c>
      <c r="H605" s="14">
        <f>104.4765 * CHOOSE(CONTROL!$C$9, $D$9, 100%, $F$9) + CHOOSE(CONTROL!$C$27, 0.0021, 0)</f>
        <v>104.4786</v>
      </c>
      <c r="I605" s="14">
        <f>104.4765 * CHOOSE(CONTROL!$C$9, $D$9, 100%, $F$9) + CHOOSE(CONTROL!$C$27, 0.0021, 0)</f>
        <v>104.4786</v>
      </c>
      <c r="J605" s="14">
        <f>104.4765 * CHOOSE(CONTROL!$C$9, $D$9, 100%, $F$9) + CHOOSE(CONTROL!$C$27, 0.0021, 0)</f>
        <v>104.4786</v>
      </c>
      <c r="K605" s="14">
        <f>104.4765 * CHOOSE(CONTROL!$C$9, $D$9, 100%, $F$9) + CHOOSE(CONTROL!$C$27, 0.0021, 0)</f>
        <v>104.4786</v>
      </c>
      <c r="L605" s="14"/>
    </row>
    <row r="606" spans="1:12" ht="15.75" x14ac:dyDescent="0.25">
      <c r="A606" s="32">
        <v>59383</v>
      </c>
      <c r="B606" s="14">
        <f>104.4289 * CHOOSE(CONTROL!$C$9, $D$9, 100%, $F$9) + CHOOSE(CONTROL!$C$27, 0.0021, 0)</f>
        <v>104.431</v>
      </c>
      <c r="C606" s="14">
        <f>103.9966 * CHOOSE(CONTROL!$C$9, $D$9, 100%, $F$9) + CHOOSE(CONTROL!$C$27, 0.0021, 0)</f>
        <v>103.9987</v>
      </c>
      <c r="D606" s="14">
        <f>103.9966 * CHOOSE(CONTROL!$C$9, $D$9, 100%, $F$9) + CHOOSE(CONTROL!$C$27, 0.0021, 0)</f>
        <v>103.9987</v>
      </c>
      <c r="E606" s="14">
        <f>103.8599 * CHOOSE(CONTROL!$C$9, $D$9, 100%, $F$9) + CHOOSE(CONTROL!$C$27, 0.0021, 0)</f>
        <v>103.86199999999999</v>
      </c>
      <c r="F606" s="14">
        <f>103.8599 * CHOOSE(CONTROL!$C$9, $D$9, 100%, $F$9) + CHOOSE(CONTROL!$C$27, 0.0021, 0)</f>
        <v>103.86199999999999</v>
      </c>
      <c r="G606" s="14">
        <f>104.1313 * CHOOSE(CONTROL!$C$9, $D$9, 100%, $F$9) + CHOOSE(CONTROL!$C$27, 0.0021, 0)</f>
        <v>104.13339999999999</v>
      </c>
      <c r="H606" s="14">
        <f>103.9966 * CHOOSE(CONTROL!$C$9, $D$9, 100%, $F$9) + CHOOSE(CONTROL!$C$27, 0.0021, 0)</f>
        <v>103.9987</v>
      </c>
      <c r="I606" s="14">
        <f>103.9966 * CHOOSE(CONTROL!$C$9, $D$9, 100%, $F$9) + CHOOSE(CONTROL!$C$27, 0.0021, 0)</f>
        <v>103.9987</v>
      </c>
      <c r="J606" s="14">
        <f>103.9966 * CHOOSE(CONTROL!$C$9, $D$9, 100%, $F$9) + CHOOSE(CONTROL!$C$27, 0.0021, 0)</f>
        <v>103.9987</v>
      </c>
      <c r="K606" s="14">
        <f>103.9966 * CHOOSE(CONTROL!$C$9, $D$9, 100%, $F$9) + CHOOSE(CONTROL!$C$27, 0.0021, 0)</f>
        <v>103.9987</v>
      </c>
      <c r="L606" s="14"/>
    </row>
    <row r="607" spans="1:12" ht="15.75" x14ac:dyDescent="0.25">
      <c r="A607" s="32">
        <v>59414</v>
      </c>
      <c r="B607" s="14">
        <f>102.0512 * CHOOSE(CONTROL!$C$9, $D$9, 100%, $F$9) + CHOOSE(CONTROL!$C$27, 0.0021, 0)</f>
        <v>102.05329999999999</v>
      </c>
      <c r="C607" s="14">
        <f>101.6189 * CHOOSE(CONTROL!$C$9, $D$9, 100%, $F$9) + CHOOSE(CONTROL!$C$27, 0.0021, 0)</f>
        <v>101.621</v>
      </c>
      <c r="D607" s="14">
        <f>101.6189 * CHOOSE(CONTROL!$C$9, $D$9, 100%, $F$9) + CHOOSE(CONTROL!$C$27, 0.0021, 0)</f>
        <v>101.621</v>
      </c>
      <c r="E607" s="14">
        <f>101.4822 * CHOOSE(CONTROL!$C$9, $D$9, 100%, $F$9) + CHOOSE(CONTROL!$C$27, 0.0021, 0)</f>
        <v>101.4843</v>
      </c>
      <c r="F607" s="14">
        <f>101.4822 * CHOOSE(CONTROL!$C$9, $D$9, 100%, $F$9) + CHOOSE(CONTROL!$C$27, 0.0021, 0)</f>
        <v>101.4843</v>
      </c>
      <c r="G607" s="14">
        <f>101.7536 * CHOOSE(CONTROL!$C$9, $D$9, 100%, $F$9) + CHOOSE(CONTROL!$C$27, 0.0021, 0)</f>
        <v>101.7557</v>
      </c>
      <c r="H607" s="14">
        <f>101.6189 * CHOOSE(CONTROL!$C$9, $D$9, 100%, $F$9) + CHOOSE(CONTROL!$C$27, 0.0021, 0)</f>
        <v>101.621</v>
      </c>
      <c r="I607" s="14">
        <f>101.6189 * CHOOSE(CONTROL!$C$9, $D$9, 100%, $F$9) + CHOOSE(CONTROL!$C$27, 0.0021, 0)</f>
        <v>101.621</v>
      </c>
      <c r="J607" s="14">
        <f>101.6189 * CHOOSE(CONTROL!$C$9, $D$9, 100%, $F$9) + CHOOSE(CONTROL!$C$27, 0.0021, 0)</f>
        <v>101.621</v>
      </c>
      <c r="K607" s="14">
        <f>101.6189 * CHOOSE(CONTROL!$C$9, $D$9, 100%, $F$9) + CHOOSE(CONTROL!$C$27, 0.0021, 0)</f>
        <v>101.621</v>
      </c>
      <c r="L607" s="14"/>
    </row>
    <row r="608" spans="1:12" ht="15.75" x14ac:dyDescent="0.25">
      <c r="A608" s="32">
        <v>59444</v>
      </c>
      <c r="B608" s="14">
        <f>98.7353 * CHOOSE(CONTROL!$C$9, $D$9, 100%, $F$9) + CHOOSE(CONTROL!$C$27, 0.0021, 0)</f>
        <v>98.737399999999994</v>
      </c>
      <c r="C608" s="14">
        <f>98.3031 * CHOOSE(CONTROL!$C$9, $D$9, 100%, $F$9) + CHOOSE(CONTROL!$C$27, 0.0021, 0)</f>
        <v>98.305199999999999</v>
      </c>
      <c r="D608" s="14">
        <f>98.3031 * CHOOSE(CONTROL!$C$9, $D$9, 100%, $F$9) + CHOOSE(CONTROL!$C$27, 0.0021, 0)</f>
        <v>98.305199999999999</v>
      </c>
      <c r="E608" s="14">
        <f>98.1664 * CHOOSE(CONTROL!$C$9, $D$9, 100%, $F$9) + CHOOSE(CONTROL!$C$27, 0.0021, 0)</f>
        <v>98.168499999999995</v>
      </c>
      <c r="F608" s="14">
        <f>98.1664 * CHOOSE(CONTROL!$C$9, $D$9, 100%, $F$9) + CHOOSE(CONTROL!$C$27, 0.0021, 0)</f>
        <v>98.168499999999995</v>
      </c>
      <c r="G608" s="14">
        <f>98.4378 * CHOOSE(CONTROL!$C$9, $D$9, 100%, $F$9) + CHOOSE(CONTROL!$C$27, 0.0021, 0)</f>
        <v>98.439899999999994</v>
      </c>
      <c r="H608" s="14">
        <f>98.3031 * CHOOSE(CONTROL!$C$9, $D$9, 100%, $F$9) + CHOOSE(CONTROL!$C$27, 0.0021, 0)</f>
        <v>98.305199999999999</v>
      </c>
      <c r="I608" s="14">
        <f>98.3031 * CHOOSE(CONTROL!$C$9, $D$9, 100%, $F$9) + CHOOSE(CONTROL!$C$27, 0.0021, 0)</f>
        <v>98.305199999999999</v>
      </c>
      <c r="J608" s="14">
        <f>98.3031 * CHOOSE(CONTROL!$C$9, $D$9, 100%, $F$9) + CHOOSE(CONTROL!$C$27, 0.0021, 0)</f>
        <v>98.305199999999999</v>
      </c>
      <c r="K608" s="14">
        <f>98.3031 * CHOOSE(CONTROL!$C$9, $D$9, 100%, $F$9) + CHOOSE(CONTROL!$C$27, 0.0021, 0)</f>
        <v>98.305199999999999</v>
      </c>
      <c r="L608" s="14"/>
    </row>
    <row r="609" spans="1:12" ht="15.75" x14ac:dyDescent="0.25">
      <c r="A609" s="32">
        <v>59475</v>
      </c>
      <c r="B609" s="14">
        <f>95.4002 * CHOOSE(CONTROL!$C$9, $D$9, 100%, $F$9) + CHOOSE(CONTROL!$C$27, 0.0021, 0)</f>
        <v>95.402299999999997</v>
      </c>
      <c r="C609" s="14">
        <f>94.968 * CHOOSE(CONTROL!$C$9, $D$9, 100%, $F$9) + CHOOSE(CONTROL!$C$27, 0.0021, 0)</f>
        <v>94.970100000000002</v>
      </c>
      <c r="D609" s="14">
        <f>94.968 * CHOOSE(CONTROL!$C$9, $D$9, 100%, $F$9) + CHOOSE(CONTROL!$C$27, 0.0021, 0)</f>
        <v>94.970100000000002</v>
      </c>
      <c r="E609" s="14">
        <f>94.8313 * CHOOSE(CONTROL!$C$9, $D$9, 100%, $F$9) + CHOOSE(CONTROL!$C$27, 0.0021, 0)</f>
        <v>94.833399999999997</v>
      </c>
      <c r="F609" s="14">
        <f>94.8313 * CHOOSE(CONTROL!$C$9, $D$9, 100%, $F$9) + CHOOSE(CONTROL!$C$27, 0.0021, 0)</f>
        <v>94.833399999999997</v>
      </c>
      <c r="G609" s="14">
        <f>95.1027 * CHOOSE(CONTROL!$C$9, $D$9, 100%, $F$9) + CHOOSE(CONTROL!$C$27, 0.0021, 0)</f>
        <v>95.104799999999997</v>
      </c>
      <c r="H609" s="14">
        <f>94.968 * CHOOSE(CONTROL!$C$9, $D$9, 100%, $F$9) + CHOOSE(CONTROL!$C$27, 0.0021, 0)</f>
        <v>94.970100000000002</v>
      </c>
      <c r="I609" s="14">
        <f>94.968 * CHOOSE(CONTROL!$C$9, $D$9, 100%, $F$9) + CHOOSE(CONTROL!$C$27, 0.0021, 0)</f>
        <v>94.970100000000002</v>
      </c>
      <c r="J609" s="14">
        <f>94.968 * CHOOSE(CONTROL!$C$9, $D$9, 100%, $F$9) + CHOOSE(CONTROL!$C$27, 0.0021, 0)</f>
        <v>94.970100000000002</v>
      </c>
      <c r="K609" s="14">
        <f>94.968 * CHOOSE(CONTROL!$C$9, $D$9, 100%, $F$9) + CHOOSE(CONTROL!$C$27, 0.0021, 0)</f>
        <v>94.970100000000002</v>
      </c>
      <c r="L609" s="14"/>
    </row>
    <row r="610" spans="1:12" ht="15.75" x14ac:dyDescent="0.25">
      <c r="A610" s="32">
        <v>59505</v>
      </c>
      <c r="B610" s="14">
        <f>94.7368 * CHOOSE(CONTROL!$C$9, $D$9, 100%, $F$9) + CHOOSE(CONTROL!$C$27, 0.0021, 0)</f>
        <v>94.738900000000001</v>
      </c>
      <c r="C610" s="14">
        <f>94.3046 * CHOOSE(CONTROL!$C$9, $D$9, 100%, $F$9) + CHOOSE(CONTROL!$C$27, 0.0021, 0)</f>
        <v>94.306699999999992</v>
      </c>
      <c r="D610" s="14">
        <f>94.3046 * CHOOSE(CONTROL!$C$9, $D$9, 100%, $F$9) + CHOOSE(CONTROL!$C$27, 0.0021, 0)</f>
        <v>94.306699999999992</v>
      </c>
      <c r="E610" s="14">
        <f>94.1679 * CHOOSE(CONTROL!$C$9, $D$9, 100%, $F$9) + CHOOSE(CONTROL!$C$27, 0.0021, 0)</f>
        <v>94.17</v>
      </c>
      <c r="F610" s="14">
        <f>94.1679 * CHOOSE(CONTROL!$C$9, $D$9, 100%, $F$9) + CHOOSE(CONTROL!$C$27, 0.0021, 0)</f>
        <v>94.17</v>
      </c>
      <c r="G610" s="14">
        <f>94.4393 * CHOOSE(CONTROL!$C$9, $D$9, 100%, $F$9) + CHOOSE(CONTROL!$C$27, 0.0021, 0)</f>
        <v>94.441400000000002</v>
      </c>
      <c r="H610" s="14">
        <f>94.3046 * CHOOSE(CONTROL!$C$9, $D$9, 100%, $F$9) + CHOOSE(CONTROL!$C$27, 0.0021, 0)</f>
        <v>94.306699999999992</v>
      </c>
      <c r="I610" s="14">
        <f>94.3046 * CHOOSE(CONTROL!$C$9, $D$9, 100%, $F$9) + CHOOSE(CONTROL!$C$27, 0.0021, 0)</f>
        <v>94.306699999999992</v>
      </c>
      <c r="J610" s="14">
        <f>94.3046 * CHOOSE(CONTROL!$C$9, $D$9, 100%, $F$9) + CHOOSE(CONTROL!$C$27, 0.0021, 0)</f>
        <v>94.306699999999992</v>
      </c>
      <c r="K610" s="14">
        <f>94.3046 * CHOOSE(CONTROL!$C$9, $D$9, 100%, $F$9) + CHOOSE(CONTROL!$C$27, 0.0021, 0)</f>
        <v>94.306699999999992</v>
      </c>
      <c r="L610" s="14"/>
    </row>
    <row r="611" spans="1:12" ht="15.75" x14ac:dyDescent="0.25">
      <c r="A611" s="32">
        <v>59536</v>
      </c>
      <c r="B611" s="14">
        <f>91.9935 * CHOOSE(CONTROL!$C$9, $D$9, 100%, $F$9) + CHOOSE(CONTROL!$C$27, 0.0021, 0)</f>
        <v>91.995599999999996</v>
      </c>
      <c r="C611" s="14">
        <f>91.5613 * CHOOSE(CONTROL!$C$9, $D$9, 100%, $F$9) + CHOOSE(CONTROL!$C$27, 0.0021, 0)</f>
        <v>91.563400000000001</v>
      </c>
      <c r="D611" s="14">
        <f>91.5613 * CHOOSE(CONTROL!$C$9, $D$9, 100%, $F$9) + CHOOSE(CONTROL!$C$27, 0.0021, 0)</f>
        <v>91.563400000000001</v>
      </c>
      <c r="E611" s="14">
        <f>91.4246 * CHOOSE(CONTROL!$C$9, $D$9, 100%, $F$9) + CHOOSE(CONTROL!$C$27, 0.0021, 0)</f>
        <v>91.426699999999997</v>
      </c>
      <c r="F611" s="14">
        <f>91.4246 * CHOOSE(CONTROL!$C$9, $D$9, 100%, $F$9) + CHOOSE(CONTROL!$C$27, 0.0021, 0)</f>
        <v>91.426699999999997</v>
      </c>
      <c r="G611" s="14">
        <f>91.696 * CHOOSE(CONTROL!$C$9, $D$9, 100%, $F$9) + CHOOSE(CONTROL!$C$27, 0.0021, 0)</f>
        <v>91.698099999999997</v>
      </c>
      <c r="H611" s="14">
        <f>91.5613 * CHOOSE(CONTROL!$C$9, $D$9, 100%, $F$9) + CHOOSE(CONTROL!$C$27, 0.0021, 0)</f>
        <v>91.563400000000001</v>
      </c>
      <c r="I611" s="14">
        <f>91.5613 * CHOOSE(CONTROL!$C$9, $D$9, 100%, $F$9) + CHOOSE(CONTROL!$C$27, 0.0021, 0)</f>
        <v>91.563400000000001</v>
      </c>
      <c r="J611" s="14">
        <f>91.5613 * CHOOSE(CONTROL!$C$9, $D$9, 100%, $F$9) + CHOOSE(CONTROL!$C$27, 0.0021, 0)</f>
        <v>91.563400000000001</v>
      </c>
      <c r="K611" s="14">
        <f>91.5613 * CHOOSE(CONTROL!$C$9, $D$9, 100%, $F$9) + CHOOSE(CONTROL!$C$27, 0.0021, 0)</f>
        <v>91.563400000000001</v>
      </c>
      <c r="L611" s="14"/>
    </row>
    <row r="612" spans="1:12" ht="15.75" x14ac:dyDescent="0.25">
      <c r="A612" s="32">
        <v>59567</v>
      </c>
      <c r="B612" s="14">
        <f>91.4594 * CHOOSE(CONTROL!$C$9, $D$9, 100%, $F$9) + CHOOSE(CONTROL!$C$27, 0.0021, 0)</f>
        <v>91.461500000000001</v>
      </c>
      <c r="C612" s="14">
        <f>91.0272 * CHOOSE(CONTROL!$C$9, $D$9, 100%, $F$9) + CHOOSE(CONTROL!$C$27, 0.0021, 0)</f>
        <v>91.029299999999992</v>
      </c>
      <c r="D612" s="14">
        <f>91.0272 * CHOOSE(CONTROL!$C$9, $D$9, 100%, $F$9) + CHOOSE(CONTROL!$C$27, 0.0021, 0)</f>
        <v>91.029299999999992</v>
      </c>
      <c r="E612" s="14">
        <f>90.8905 * CHOOSE(CONTROL!$C$9, $D$9, 100%, $F$9) + CHOOSE(CONTROL!$C$27, 0.0021, 0)</f>
        <v>90.892600000000002</v>
      </c>
      <c r="F612" s="14">
        <f>90.8905 * CHOOSE(CONTROL!$C$9, $D$9, 100%, $F$9) + CHOOSE(CONTROL!$C$27, 0.0021, 0)</f>
        <v>90.892600000000002</v>
      </c>
      <c r="G612" s="14">
        <f>91.1619 * CHOOSE(CONTROL!$C$9, $D$9, 100%, $F$9) + CHOOSE(CONTROL!$C$27, 0.0021, 0)</f>
        <v>91.164000000000001</v>
      </c>
      <c r="H612" s="14">
        <f>91.0272 * CHOOSE(CONTROL!$C$9, $D$9, 100%, $F$9) + CHOOSE(CONTROL!$C$27, 0.0021, 0)</f>
        <v>91.029299999999992</v>
      </c>
      <c r="I612" s="14">
        <f>91.0272 * CHOOSE(CONTROL!$C$9, $D$9, 100%, $F$9) + CHOOSE(CONTROL!$C$27, 0.0021, 0)</f>
        <v>91.029299999999992</v>
      </c>
      <c r="J612" s="14">
        <f>91.0272 * CHOOSE(CONTROL!$C$9, $D$9, 100%, $F$9) + CHOOSE(CONTROL!$C$27, 0.0021, 0)</f>
        <v>91.029299999999992</v>
      </c>
      <c r="K612" s="14">
        <f>91.0272 * CHOOSE(CONTROL!$C$9, $D$9, 100%, $F$9) + CHOOSE(CONTROL!$C$27, 0.0021, 0)</f>
        <v>91.029299999999992</v>
      </c>
      <c r="L612" s="14"/>
    </row>
    <row r="613" spans="1:12" ht="15.75" x14ac:dyDescent="0.25">
      <c r="A613" s="32">
        <v>59595</v>
      </c>
      <c r="B613" s="14">
        <f>91.2116 * CHOOSE(CONTROL!$C$9, $D$9, 100%, $F$9) + CHOOSE(CONTROL!$C$27, 0.0021, 0)</f>
        <v>91.213700000000003</v>
      </c>
      <c r="C613" s="14">
        <f>90.7793 * CHOOSE(CONTROL!$C$9, $D$9, 100%, $F$9) + CHOOSE(CONTROL!$C$27, 0.0021, 0)</f>
        <v>90.781400000000005</v>
      </c>
      <c r="D613" s="14">
        <f>90.7793 * CHOOSE(CONTROL!$C$9, $D$9, 100%, $F$9) + CHOOSE(CONTROL!$C$27, 0.0021, 0)</f>
        <v>90.781400000000005</v>
      </c>
      <c r="E613" s="14">
        <f>90.6427 * CHOOSE(CONTROL!$C$9, $D$9, 100%, $F$9) + CHOOSE(CONTROL!$C$27, 0.0021, 0)</f>
        <v>90.644800000000004</v>
      </c>
      <c r="F613" s="14">
        <f>90.6427 * CHOOSE(CONTROL!$C$9, $D$9, 100%, $F$9) + CHOOSE(CONTROL!$C$27, 0.0021, 0)</f>
        <v>90.644800000000004</v>
      </c>
      <c r="G613" s="14">
        <f>90.9141 * CHOOSE(CONTROL!$C$9, $D$9, 100%, $F$9) + CHOOSE(CONTROL!$C$27, 0.0021, 0)</f>
        <v>90.916200000000003</v>
      </c>
      <c r="H613" s="14">
        <f>90.7793 * CHOOSE(CONTROL!$C$9, $D$9, 100%, $F$9) + CHOOSE(CONTROL!$C$27, 0.0021, 0)</f>
        <v>90.781400000000005</v>
      </c>
      <c r="I613" s="14">
        <f>90.7793 * CHOOSE(CONTROL!$C$9, $D$9, 100%, $F$9) + CHOOSE(CONTROL!$C$27, 0.0021, 0)</f>
        <v>90.781400000000005</v>
      </c>
      <c r="J613" s="14">
        <f>90.7793 * CHOOSE(CONTROL!$C$9, $D$9, 100%, $F$9) + CHOOSE(CONTROL!$C$27, 0.0021, 0)</f>
        <v>90.781400000000005</v>
      </c>
      <c r="K613" s="14">
        <f>90.7793 * CHOOSE(CONTROL!$C$9, $D$9, 100%, $F$9) + CHOOSE(CONTROL!$C$27, 0.0021, 0)</f>
        <v>90.781400000000005</v>
      </c>
      <c r="L613" s="14"/>
    </row>
    <row r="614" spans="1:12" ht="15.75" x14ac:dyDescent="0.25">
      <c r="A614" s="32">
        <v>59626</v>
      </c>
      <c r="B614" s="14">
        <f>95.8981 * CHOOSE(CONTROL!$C$9, $D$9, 100%, $F$9) + CHOOSE(CONTROL!$C$27, 0.0021, 0)</f>
        <v>95.900199999999998</v>
      </c>
      <c r="C614" s="14">
        <f>95.4659 * CHOOSE(CONTROL!$C$9, $D$9, 100%, $F$9) + CHOOSE(CONTROL!$C$27, 0.0021, 0)</f>
        <v>95.468000000000004</v>
      </c>
      <c r="D614" s="14">
        <f>95.4659 * CHOOSE(CONTROL!$C$9, $D$9, 100%, $F$9) + CHOOSE(CONTROL!$C$27, 0.0021, 0)</f>
        <v>95.468000000000004</v>
      </c>
      <c r="E614" s="14">
        <f>95.3292 * CHOOSE(CONTROL!$C$9, $D$9, 100%, $F$9) + CHOOSE(CONTROL!$C$27, 0.0021, 0)</f>
        <v>95.331299999999999</v>
      </c>
      <c r="F614" s="14">
        <f>95.3292 * CHOOSE(CONTROL!$C$9, $D$9, 100%, $F$9) + CHOOSE(CONTROL!$C$27, 0.0021, 0)</f>
        <v>95.331299999999999</v>
      </c>
      <c r="G614" s="14">
        <f>95.6006 * CHOOSE(CONTROL!$C$9, $D$9, 100%, $F$9) + CHOOSE(CONTROL!$C$27, 0.0021, 0)</f>
        <v>95.602699999999999</v>
      </c>
      <c r="H614" s="14">
        <f>95.4659 * CHOOSE(CONTROL!$C$9, $D$9, 100%, $F$9) + CHOOSE(CONTROL!$C$27, 0.0021, 0)</f>
        <v>95.468000000000004</v>
      </c>
      <c r="I614" s="14">
        <f>95.4659 * CHOOSE(CONTROL!$C$9, $D$9, 100%, $F$9) + CHOOSE(CONTROL!$C$27, 0.0021, 0)</f>
        <v>95.468000000000004</v>
      </c>
      <c r="J614" s="14">
        <f>95.4659 * CHOOSE(CONTROL!$C$9, $D$9, 100%, $F$9) + CHOOSE(CONTROL!$C$27, 0.0021, 0)</f>
        <v>95.468000000000004</v>
      </c>
      <c r="K614" s="14">
        <f>95.4659 * CHOOSE(CONTROL!$C$9, $D$9, 100%, $F$9) + CHOOSE(CONTROL!$C$27, 0.0021, 0)</f>
        <v>95.468000000000004</v>
      </c>
      <c r="L614" s="14"/>
    </row>
    <row r="615" spans="1:12" ht="15.75" x14ac:dyDescent="0.25">
      <c r="A615" s="32">
        <v>59656</v>
      </c>
      <c r="B615" s="14">
        <f>101.9755 * CHOOSE(CONTROL!$C$9, $D$9, 100%, $F$9) + CHOOSE(CONTROL!$C$27, 0.0021, 0)</f>
        <v>101.9776</v>
      </c>
      <c r="C615" s="14">
        <f>101.5432 * CHOOSE(CONTROL!$C$9, $D$9, 100%, $F$9) + CHOOSE(CONTROL!$C$27, 0.0021, 0)</f>
        <v>101.5453</v>
      </c>
      <c r="D615" s="14">
        <f>101.5432 * CHOOSE(CONTROL!$C$9, $D$9, 100%, $F$9) + CHOOSE(CONTROL!$C$27, 0.0021, 0)</f>
        <v>101.5453</v>
      </c>
      <c r="E615" s="14">
        <f>101.4066 * CHOOSE(CONTROL!$C$9, $D$9, 100%, $F$9) + CHOOSE(CONTROL!$C$27, 0.0021, 0)</f>
        <v>101.4087</v>
      </c>
      <c r="F615" s="14">
        <f>101.4066 * CHOOSE(CONTROL!$C$9, $D$9, 100%, $F$9) + CHOOSE(CONTROL!$C$27, 0.0021, 0)</f>
        <v>101.4087</v>
      </c>
      <c r="G615" s="14">
        <f>101.678 * CHOOSE(CONTROL!$C$9, $D$9, 100%, $F$9) + CHOOSE(CONTROL!$C$27, 0.0021, 0)</f>
        <v>101.6801</v>
      </c>
      <c r="H615" s="14">
        <f>101.5432 * CHOOSE(CONTROL!$C$9, $D$9, 100%, $F$9) + CHOOSE(CONTROL!$C$27, 0.0021, 0)</f>
        <v>101.5453</v>
      </c>
      <c r="I615" s="14">
        <f>101.5432 * CHOOSE(CONTROL!$C$9, $D$9, 100%, $F$9) + CHOOSE(CONTROL!$C$27, 0.0021, 0)</f>
        <v>101.5453</v>
      </c>
      <c r="J615" s="14">
        <f>101.5432 * CHOOSE(CONTROL!$C$9, $D$9, 100%, $F$9) + CHOOSE(CONTROL!$C$27, 0.0021, 0)</f>
        <v>101.5453</v>
      </c>
      <c r="K615" s="14">
        <f>101.5432 * CHOOSE(CONTROL!$C$9, $D$9, 100%, $F$9) + CHOOSE(CONTROL!$C$27, 0.0021, 0)</f>
        <v>101.5453</v>
      </c>
      <c r="L615" s="14"/>
    </row>
    <row r="616" spans="1:12" ht="15.75" x14ac:dyDescent="0.25">
      <c r="A616" s="32">
        <v>59687</v>
      </c>
      <c r="B616" s="14">
        <f>105.3207 * CHOOSE(CONTROL!$C$9, $D$9, 100%, $F$9) + CHOOSE(CONTROL!$C$27, 0.0021, 0)</f>
        <v>105.3228</v>
      </c>
      <c r="C616" s="14">
        <f>104.8884 * CHOOSE(CONTROL!$C$9, $D$9, 100%, $F$9) + CHOOSE(CONTROL!$C$27, 0.0021, 0)</f>
        <v>104.8905</v>
      </c>
      <c r="D616" s="14">
        <f>104.8884 * CHOOSE(CONTROL!$C$9, $D$9, 100%, $F$9) + CHOOSE(CONTROL!$C$27, 0.0021, 0)</f>
        <v>104.8905</v>
      </c>
      <c r="E616" s="14">
        <f>104.7518 * CHOOSE(CONTROL!$C$9, $D$9, 100%, $F$9) + CHOOSE(CONTROL!$C$27, 0.0021, 0)</f>
        <v>104.7539</v>
      </c>
      <c r="F616" s="14">
        <f>104.7518 * CHOOSE(CONTROL!$C$9, $D$9, 100%, $F$9) + CHOOSE(CONTROL!$C$27, 0.0021, 0)</f>
        <v>104.7539</v>
      </c>
      <c r="G616" s="14">
        <f>105.0231 * CHOOSE(CONTROL!$C$9, $D$9, 100%, $F$9) + CHOOSE(CONTROL!$C$27, 0.0021, 0)</f>
        <v>105.0252</v>
      </c>
      <c r="H616" s="14">
        <f>104.8884 * CHOOSE(CONTROL!$C$9, $D$9, 100%, $F$9) + CHOOSE(CONTROL!$C$27, 0.0021, 0)</f>
        <v>104.8905</v>
      </c>
      <c r="I616" s="14">
        <f>104.8884 * CHOOSE(CONTROL!$C$9, $D$9, 100%, $F$9) + CHOOSE(CONTROL!$C$27, 0.0021, 0)</f>
        <v>104.8905</v>
      </c>
      <c r="J616" s="14">
        <f>104.8884 * CHOOSE(CONTROL!$C$9, $D$9, 100%, $F$9) + CHOOSE(CONTROL!$C$27, 0.0021, 0)</f>
        <v>104.8905</v>
      </c>
      <c r="K616" s="14">
        <f>104.8884 * CHOOSE(CONTROL!$C$9, $D$9, 100%, $F$9) + CHOOSE(CONTROL!$C$27, 0.0021, 0)</f>
        <v>104.8905</v>
      </c>
      <c r="L616" s="14"/>
    </row>
    <row r="617" spans="1:12" ht="15.75" x14ac:dyDescent="0.25">
      <c r="A617" s="32">
        <v>59717</v>
      </c>
      <c r="B617" s="14">
        <f>106.8052 * CHOOSE(CONTROL!$C$9, $D$9, 100%, $F$9) + CHOOSE(CONTROL!$C$27, 0.0021, 0)</f>
        <v>106.8073</v>
      </c>
      <c r="C617" s="14">
        <f>106.3729 * CHOOSE(CONTROL!$C$9, $D$9, 100%, $F$9) + CHOOSE(CONTROL!$C$27, 0.0021, 0)</f>
        <v>106.375</v>
      </c>
      <c r="D617" s="14">
        <f>106.3729 * CHOOSE(CONTROL!$C$9, $D$9, 100%, $F$9) + CHOOSE(CONTROL!$C$27, 0.0021, 0)</f>
        <v>106.375</v>
      </c>
      <c r="E617" s="14">
        <f>106.2363 * CHOOSE(CONTROL!$C$9, $D$9, 100%, $F$9) + CHOOSE(CONTROL!$C$27, 0.0021, 0)</f>
        <v>106.2384</v>
      </c>
      <c r="F617" s="14">
        <f>106.2363 * CHOOSE(CONTROL!$C$9, $D$9, 100%, $F$9) + CHOOSE(CONTROL!$C$27, 0.0021, 0)</f>
        <v>106.2384</v>
      </c>
      <c r="G617" s="14">
        <f>106.5077 * CHOOSE(CONTROL!$C$9, $D$9, 100%, $F$9) + CHOOSE(CONTROL!$C$27, 0.0021, 0)</f>
        <v>106.5098</v>
      </c>
      <c r="H617" s="14">
        <f>106.3729 * CHOOSE(CONTROL!$C$9, $D$9, 100%, $F$9) + CHOOSE(CONTROL!$C$27, 0.0021, 0)</f>
        <v>106.375</v>
      </c>
      <c r="I617" s="14">
        <f>106.3729 * CHOOSE(CONTROL!$C$9, $D$9, 100%, $F$9) + CHOOSE(CONTROL!$C$27, 0.0021, 0)</f>
        <v>106.375</v>
      </c>
      <c r="J617" s="14">
        <f>106.3729 * CHOOSE(CONTROL!$C$9, $D$9, 100%, $F$9) + CHOOSE(CONTROL!$C$27, 0.0021, 0)</f>
        <v>106.375</v>
      </c>
      <c r="K617" s="14">
        <f>106.3729 * CHOOSE(CONTROL!$C$9, $D$9, 100%, $F$9) + CHOOSE(CONTROL!$C$27, 0.0021, 0)</f>
        <v>106.375</v>
      </c>
      <c r="L617" s="14"/>
    </row>
    <row r="618" spans="1:12" ht="15.75" x14ac:dyDescent="0.25">
      <c r="A618" s="32">
        <v>59748</v>
      </c>
      <c r="B618" s="14">
        <f>106.3164 * CHOOSE(CONTROL!$C$9, $D$9, 100%, $F$9) + CHOOSE(CONTROL!$C$27, 0.0021, 0)</f>
        <v>106.3185</v>
      </c>
      <c r="C618" s="14">
        <f>105.8842 * CHOOSE(CONTROL!$C$9, $D$9, 100%, $F$9) + CHOOSE(CONTROL!$C$27, 0.0021, 0)</f>
        <v>105.88630000000001</v>
      </c>
      <c r="D618" s="14">
        <f>105.8842 * CHOOSE(CONTROL!$C$9, $D$9, 100%, $F$9) + CHOOSE(CONTROL!$C$27, 0.0021, 0)</f>
        <v>105.88630000000001</v>
      </c>
      <c r="E618" s="14">
        <f>105.7475 * CHOOSE(CONTROL!$C$9, $D$9, 100%, $F$9) + CHOOSE(CONTROL!$C$27, 0.0021, 0)</f>
        <v>105.7496</v>
      </c>
      <c r="F618" s="14">
        <f>105.7475 * CHOOSE(CONTROL!$C$9, $D$9, 100%, $F$9) + CHOOSE(CONTROL!$C$27, 0.0021, 0)</f>
        <v>105.7496</v>
      </c>
      <c r="G618" s="14">
        <f>106.0189 * CHOOSE(CONTROL!$C$9, $D$9, 100%, $F$9) + CHOOSE(CONTROL!$C$27, 0.0021, 0)</f>
        <v>106.021</v>
      </c>
      <c r="H618" s="14">
        <f>105.8842 * CHOOSE(CONTROL!$C$9, $D$9, 100%, $F$9) + CHOOSE(CONTROL!$C$27, 0.0021, 0)</f>
        <v>105.88630000000001</v>
      </c>
      <c r="I618" s="14">
        <f>105.8842 * CHOOSE(CONTROL!$C$9, $D$9, 100%, $F$9) + CHOOSE(CONTROL!$C$27, 0.0021, 0)</f>
        <v>105.88630000000001</v>
      </c>
      <c r="J618" s="14">
        <f>105.8842 * CHOOSE(CONTROL!$C$9, $D$9, 100%, $F$9) + CHOOSE(CONTROL!$C$27, 0.0021, 0)</f>
        <v>105.88630000000001</v>
      </c>
      <c r="K618" s="14">
        <f>105.8842 * CHOOSE(CONTROL!$C$9, $D$9, 100%, $F$9) + CHOOSE(CONTROL!$C$27, 0.0021, 0)</f>
        <v>105.88630000000001</v>
      </c>
      <c r="L618" s="14"/>
    </row>
    <row r="619" spans="1:12" ht="15.75" x14ac:dyDescent="0.25">
      <c r="A619" s="32">
        <v>59779</v>
      </c>
      <c r="B619" s="14">
        <f>103.8948 * CHOOSE(CONTROL!$C$9, $D$9, 100%, $F$9) + CHOOSE(CONTROL!$C$27, 0.0021, 0)</f>
        <v>103.8969</v>
      </c>
      <c r="C619" s="14">
        <f>103.4625 * CHOOSE(CONTROL!$C$9, $D$9, 100%, $F$9) + CHOOSE(CONTROL!$C$27, 0.0021, 0)</f>
        <v>103.4646</v>
      </c>
      <c r="D619" s="14">
        <f>103.4625 * CHOOSE(CONTROL!$C$9, $D$9, 100%, $F$9) + CHOOSE(CONTROL!$C$27, 0.0021, 0)</f>
        <v>103.4646</v>
      </c>
      <c r="E619" s="14">
        <f>103.3259 * CHOOSE(CONTROL!$C$9, $D$9, 100%, $F$9) + CHOOSE(CONTROL!$C$27, 0.0021, 0)</f>
        <v>103.328</v>
      </c>
      <c r="F619" s="14">
        <f>103.3259 * CHOOSE(CONTROL!$C$9, $D$9, 100%, $F$9) + CHOOSE(CONTROL!$C$27, 0.0021, 0)</f>
        <v>103.328</v>
      </c>
      <c r="G619" s="14">
        <f>103.5972 * CHOOSE(CONTROL!$C$9, $D$9, 100%, $F$9) + CHOOSE(CONTROL!$C$27, 0.0021, 0)</f>
        <v>103.5993</v>
      </c>
      <c r="H619" s="14">
        <f>103.4625 * CHOOSE(CONTROL!$C$9, $D$9, 100%, $F$9) + CHOOSE(CONTROL!$C$27, 0.0021, 0)</f>
        <v>103.4646</v>
      </c>
      <c r="I619" s="14">
        <f>103.4625 * CHOOSE(CONTROL!$C$9, $D$9, 100%, $F$9) + CHOOSE(CONTROL!$C$27, 0.0021, 0)</f>
        <v>103.4646</v>
      </c>
      <c r="J619" s="14">
        <f>103.4625 * CHOOSE(CONTROL!$C$9, $D$9, 100%, $F$9) + CHOOSE(CONTROL!$C$27, 0.0021, 0)</f>
        <v>103.4646</v>
      </c>
      <c r="K619" s="14">
        <f>103.4625 * CHOOSE(CONTROL!$C$9, $D$9, 100%, $F$9) + CHOOSE(CONTROL!$C$27, 0.0021, 0)</f>
        <v>103.4646</v>
      </c>
      <c r="L619" s="14"/>
    </row>
    <row r="620" spans="1:12" ht="15.75" x14ac:dyDescent="0.25">
      <c r="A620" s="32">
        <v>59809</v>
      </c>
      <c r="B620" s="14">
        <f>100.5177 * CHOOSE(CONTROL!$C$9, $D$9, 100%, $F$9) + CHOOSE(CONTROL!$C$27, 0.0021, 0)</f>
        <v>100.5198</v>
      </c>
      <c r="C620" s="14">
        <f>100.0854 * CHOOSE(CONTROL!$C$9, $D$9, 100%, $F$9) + CHOOSE(CONTROL!$C$27, 0.0021, 0)</f>
        <v>100.08750000000001</v>
      </c>
      <c r="D620" s="14">
        <f>100.0854 * CHOOSE(CONTROL!$C$9, $D$9, 100%, $F$9) + CHOOSE(CONTROL!$C$27, 0.0021, 0)</f>
        <v>100.08750000000001</v>
      </c>
      <c r="E620" s="14">
        <f>99.9488 * CHOOSE(CONTROL!$C$9, $D$9, 100%, $F$9) + CHOOSE(CONTROL!$C$27, 0.0021, 0)</f>
        <v>99.950900000000004</v>
      </c>
      <c r="F620" s="14">
        <f>99.9488 * CHOOSE(CONTROL!$C$9, $D$9, 100%, $F$9) + CHOOSE(CONTROL!$C$27, 0.0021, 0)</f>
        <v>99.950900000000004</v>
      </c>
      <c r="G620" s="14">
        <f>100.2202 * CHOOSE(CONTROL!$C$9, $D$9, 100%, $F$9) + CHOOSE(CONTROL!$C$27, 0.0021, 0)</f>
        <v>100.2223</v>
      </c>
      <c r="H620" s="14">
        <f>100.0854 * CHOOSE(CONTROL!$C$9, $D$9, 100%, $F$9) + CHOOSE(CONTROL!$C$27, 0.0021, 0)</f>
        <v>100.08750000000001</v>
      </c>
      <c r="I620" s="14">
        <f>100.0854 * CHOOSE(CONTROL!$C$9, $D$9, 100%, $F$9) + CHOOSE(CONTROL!$C$27, 0.0021, 0)</f>
        <v>100.08750000000001</v>
      </c>
      <c r="J620" s="14">
        <f>100.0854 * CHOOSE(CONTROL!$C$9, $D$9, 100%, $F$9) + CHOOSE(CONTROL!$C$27, 0.0021, 0)</f>
        <v>100.08750000000001</v>
      </c>
      <c r="K620" s="14">
        <f>100.0854 * CHOOSE(CONTROL!$C$9, $D$9, 100%, $F$9) + CHOOSE(CONTROL!$C$27, 0.0021, 0)</f>
        <v>100.08750000000001</v>
      </c>
      <c r="L620" s="14"/>
    </row>
    <row r="621" spans="1:12" ht="15.75" x14ac:dyDescent="0.25">
      <c r="A621" s="32">
        <v>59840</v>
      </c>
      <c r="B621" s="14">
        <f>97.121 * CHOOSE(CONTROL!$C$9, $D$9, 100%, $F$9) + CHOOSE(CONTROL!$C$27, 0.0021, 0)</f>
        <v>97.123099999999994</v>
      </c>
      <c r="C621" s="14">
        <f>96.6887 * CHOOSE(CONTROL!$C$9, $D$9, 100%, $F$9) + CHOOSE(CONTROL!$C$27, 0.0021, 0)</f>
        <v>96.690799999999996</v>
      </c>
      <c r="D621" s="14">
        <f>96.6887 * CHOOSE(CONTROL!$C$9, $D$9, 100%, $F$9) + CHOOSE(CONTROL!$C$27, 0.0021, 0)</f>
        <v>96.690799999999996</v>
      </c>
      <c r="E621" s="14">
        <f>96.552 * CHOOSE(CONTROL!$C$9, $D$9, 100%, $F$9) + CHOOSE(CONTROL!$C$27, 0.0021, 0)</f>
        <v>96.554100000000005</v>
      </c>
      <c r="F621" s="14">
        <f>96.552 * CHOOSE(CONTROL!$C$9, $D$9, 100%, $F$9) + CHOOSE(CONTROL!$C$27, 0.0021, 0)</f>
        <v>96.554100000000005</v>
      </c>
      <c r="G621" s="14">
        <f>96.8234 * CHOOSE(CONTROL!$C$9, $D$9, 100%, $F$9) + CHOOSE(CONTROL!$C$27, 0.0021, 0)</f>
        <v>96.825500000000005</v>
      </c>
      <c r="H621" s="14">
        <f>96.6887 * CHOOSE(CONTROL!$C$9, $D$9, 100%, $F$9) + CHOOSE(CONTROL!$C$27, 0.0021, 0)</f>
        <v>96.690799999999996</v>
      </c>
      <c r="I621" s="14">
        <f>96.6887 * CHOOSE(CONTROL!$C$9, $D$9, 100%, $F$9) + CHOOSE(CONTROL!$C$27, 0.0021, 0)</f>
        <v>96.690799999999996</v>
      </c>
      <c r="J621" s="14">
        <f>96.6887 * CHOOSE(CONTROL!$C$9, $D$9, 100%, $F$9) + CHOOSE(CONTROL!$C$27, 0.0021, 0)</f>
        <v>96.690799999999996</v>
      </c>
      <c r="K621" s="14">
        <f>96.6887 * CHOOSE(CONTROL!$C$9, $D$9, 100%, $F$9) + CHOOSE(CONTROL!$C$27, 0.0021, 0)</f>
        <v>96.690799999999996</v>
      </c>
      <c r="L621" s="14"/>
    </row>
    <row r="622" spans="1:12" ht="15.75" x14ac:dyDescent="0.25">
      <c r="A622" s="32">
        <v>59870</v>
      </c>
      <c r="B622" s="14">
        <f>96.4453 * CHOOSE(CONTROL!$C$9, $D$9, 100%, $F$9) + CHOOSE(CONTROL!$C$27, 0.0021, 0)</f>
        <v>96.447400000000002</v>
      </c>
      <c r="C622" s="14">
        <f>96.013 * CHOOSE(CONTROL!$C$9, $D$9, 100%, $F$9) + CHOOSE(CONTROL!$C$27, 0.0021, 0)</f>
        <v>96.015100000000004</v>
      </c>
      <c r="D622" s="14">
        <f>96.013 * CHOOSE(CONTROL!$C$9, $D$9, 100%, $F$9) + CHOOSE(CONTROL!$C$27, 0.0021, 0)</f>
        <v>96.015100000000004</v>
      </c>
      <c r="E622" s="14">
        <f>95.8764 * CHOOSE(CONTROL!$C$9, $D$9, 100%, $F$9) + CHOOSE(CONTROL!$C$27, 0.0021, 0)</f>
        <v>95.878500000000003</v>
      </c>
      <c r="F622" s="14">
        <f>95.8764 * CHOOSE(CONTROL!$C$9, $D$9, 100%, $F$9) + CHOOSE(CONTROL!$C$27, 0.0021, 0)</f>
        <v>95.878500000000003</v>
      </c>
      <c r="G622" s="14">
        <f>96.1477 * CHOOSE(CONTROL!$C$9, $D$9, 100%, $F$9) + CHOOSE(CONTROL!$C$27, 0.0021, 0)</f>
        <v>96.149799999999999</v>
      </c>
      <c r="H622" s="14">
        <f>96.013 * CHOOSE(CONTROL!$C$9, $D$9, 100%, $F$9) + CHOOSE(CONTROL!$C$27, 0.0021, 0)</f>
        <v>96.015100000000004</v>
      </c>
      <c r="I622" s="14">
        <f>96.013 * CHOOSE(CONTROL!$C$9, $D$9, 100%, $F$9) + CHOOSE(CONTROL!$C$27, 0.0021, 0)</f>
        <v>96.015100000000004</v>
      </c>
      <c r="J622" s="14">
        <f>96.013 * CHOOSE(CONTROL!$C$9, $D$9, 100%, $F$9) + CHOOSE(CONTROL!$C$27, 0.0021, 0)</f>
        <v>96.015100000000004</v>
      </c>
      <c r="K622" s="14">
        <f>96.013 * CHOOSE(CONTROL!$C$9, $D$9, 100%, $F$9) + CHOOSE(CONTROL!$C$27, 0.0021, 0)</f>
        <v>96.015100000000004</v>
      </c>
      <c r="L622" s="14"/>
    </row>
    <row r="623" spans="1:12" ht="15.75" x14ac:dyDescent="0.25">
      <c r="A623" s="32">
        <v>59901</v>
      </c>
      <c r="B623" s="14">
        <f>93.6513 * CHOOSE(CONTROL!$C$9, $D$9, 100%, $F$9) + CHOOSE(CONTROL!$C$27, 0.0021, 0)</f>
        <v>93.653400000000005</v>
      </c>
      <c r="C623" s="14">
        <f>93.219 * CHOOSE(CONTROL!$C$9, $D$9, 100%, $F$9) + CHOOSE(CONTROL!$C$27, 0.0021, 0)</f>
        <v>93.221099999999993</v>
      </c>
      <c r="D623" s="14">
        <f>93.219 * CHOOSE(CONTROL!$C$9, $D$9, 100%, $F$9) + CHOOSE(CONTROL!$C$27, 0.0021, 0)</f>
        <v>93.221099999999993</v>
      </c>
      <c r="E623" s="14">
        <f>93.0824 * CHOOSE(CONTROL!$C$9, $D$9, 100%, $F$9) + CHOOSE(CONTROL!$C$27, 0.0021, 0)</f>
        <v>93.084500000000006</v>
      </c>
      <c r="F623" s="14">
        <f>93.0824 * CHOOSE(CONTROL!$C$9, $D$9, 100%, $F$9) + CHOOSE(CONTROL!$C$27, 0.0021, 0)</f>
        <v>93.084500000000006</v>
      </c>
      <c r="G623" s="14">
        <f>93.3537 * CHOOSE(CONTROL!$C$9, $D$9, 100%, $F$9) + CHOOSE(CONTROL!$C$27, 0.0021, 0)</f>
        <v>93.355800000000002</v>
      </c>
      <c r="H623" s="14">
        <f>93.219 * CHOOSE(CONTROL!$C$9, $D$9, 100%, $F$9) + CHOOSE(CONTROL!$C$27, 0.0021, 0)</f>
        <v>93.221099999999993</v>
      </c>
      <c r="I623" s="14">
        <f>93.219 * CHOOSE(CONTROL!$C$9, $D$9, 100%, $F$9) + CHOOSE(CONTROL!$C$27, 0.0021, 0)</f>
        <v>93.221099999999993</v>
      </c>
      <c r="J623" s="14">
        <f>93.219 * CHOOSE(CONTROL!$C$9, $D$9, 100%, $F$9) + CHOOSE(CONTROL!$C$27, 0.0021, 0)</f>
        <v>93.221099999999993</v>
      </c>
      <c r="K623" s="14">
        <f>93.219 * CHOOSE(CONTROL!$C$9, $D$9, 100%, $F$9) + CHOOSE(CONTROL!$C$27, 0.0021, 0)</f>
        <v>93.221099999999993</v>
      </c>
      <c r="L623" s="14"/>
    </row>
    <row r="624" spans="1:12" ht="15.75" x14ac:dyDescent="0.25">
      <c r="A624" s="32">
        <v>59932</v>
      </c>
      <c r="B624" s="14">
        <f>93.1073 * CHOOSE(CONTROL!$C$9, $D$9, 100%, $F$9) + CHOOSE(CONTROL!$C$27, 0.0021, 0)</f>
        <v>93.109399999999994</v>
      </c>
      <c r="C624" s="14">
        <f>92.6751 * CHOOSE(CONTROL!$C$9, $D$9, 100%, $F$9) + CHOOSE(CONTROL!$C$27, 0.0021, 0)</f>
        <v>92.677199999999999</v>
      </c>
      <c r="D624" s="14">
        <f>92.6751 * CHOOSE(CONTROL!$C$9, $D$9, 100%, $F$9) + CHOOSE(CONTROL!$C$27, 0.0021, 0)</f>
        <v>92.677199999999999</v>
      </c>
      <c r="E624" s="14">
        <f>92.5384 * CHOOSE(CONTROL!$C$9, $D$9, 100%, $F$9) + CHOOSE(CONTROL!$C$27, 0.0021, 0)</f>
        <v>92.540499999999994</v>
      </c>
      <c r="F624" s="14">
        <f>92.5384 * CHOOSE(CONTROL!$C$9, $D$9, 100%, $F$9) + CHOOSE(CONTROL!$C$27, 0.0021, 0)</f>
        <v>92.540499999999994</v>
      </c>
      <c r="G624" s="14">
        <f>92.8098 * CHOOSE(CONTROL!$C$9, $D$9, 100%, $F$9) + CHOOSE(CONTROL!$C$27, 0.0021, 0)</f>
        <v>92.811899999999994</v>
      </c>
      <c r="H624" s="14">
        <f>92.6751 * CHOOSE(CONTROL!$C$9, $D$9, 100%, $F$9) + CHOOSE(CONTROL!$C$27, 0.0021, 0)</f>
        <v>92.677199999999999</v>
      </c>
      <c r="I624" s="14">
        <f>92.6751 * CHOOSE(CONTROL!$C$9, $D$9, 100%, $F$9) + CHOOSE(CONTROL!$C$27, 0.0021, 0)</f>
        <v>92.677199999999999</v>
      </c>
      <c r="J624" s="14">
        <f>92.6751 * CHOOSE(CONTROL!$C$9, $D$9, 100%, $F$9) + CHOOSE(CONTROL!$C$27, 0.0021, 0)</f>
        <v>92.677199999999999</v>
      </c>
      <c r="K624" s="14">
        <f>92.6751 * CHOOSE(CONTROL!$C$9, $D$9, 100%, $F$9) + CHOOSE(CONTROL!$C$27, 0.0021, 0)</f>
        <v>92.677199999999999</v>
      </c>
      <c r="L624" s="14"/>
    </row>
    <row r="625" spans="1:12" ht="15.75" x14ac:dyDescent="0.25">
      <c r="A625" s="32">
        <v>59961</v>
      </c>
      <c r="B625" s="14">
        <f>92.8549 * CHOOSE(CONTROL!$C$9, $D$9, 100%, $F$9) + CHOOSE(CONTROL!$C$27, 0.0021, 0)</f>
        <v>92.856999999999999</v>
      </c>
      <c r="C625" s="14">
        <f>92.4226 * CHOOSE(CONTROL!$C$9, $D$9, 100%, $F$9) + CHOOSE(CONTROL!$C$27, 0.0021, 0)</f>
        <v>92.424700000000001</v>
      </c>
      <c r="D625" s="14">
        <f>92.4226 * CHOOSE(CONTROL!$C$9, $D$9, 100%, $F$9) + CHOOSE(CONTROL!$C$27, 0.0021, 0)</f>
        <v>92.424700000000001</v>
      </c>
      <c r="E625" s="14">
        <f>92.286 * CHOOSE(CONTROL!$C$9, $D$9, 100%, $F$9) + CHOOSE(CONTROL!$C$27, 0.0021, 0)</f>
        <v>92.2881</v>
      </c>
      <c r="F625" s="14">
        <f>92.286 * CHOOSE(CONTROL!$C$9, $D$9, 100%, $F$9) + CHOOSE(CONTROL!$C$27, 0.0021, 0)</f>
        <v>92.2881</v>
      </c>
      <c r="G625" s="14">
        <f>92.5573 * CHOOSE(CONTROL!$C$9, $D$9, 100%, $F$9) + CHOOSE(CONTROL!$C$27, 0.0021, 0)</f>
        <v>92.559399999999997</v>
      </c>
      <c r="H625" s="14">
        <f>92.4226 * CHOOSE(CONTROL!$C$9, $D$9, 100%, $F$9) + CHOOSE(CONTROL!$C$27, 0.0021, 0)</f>
        <v>92.424700000000001</v>
      </c>
      <c r="I625" s="14">
        <f>92.4226 * CHOOSE(CONTROL!$C$9, $D$9, 100%, $F$9) + CHOOSE(CONTROL!$C$27, 0.0021, 0)</f>
        <v>92.424700000000001</v>
      </c>
      <c r="J625" s="14">
        <f>92.4226 * CHOOSE(CONTROL!$C$9, $D$9, 100%, $F$9) + CHOOSE(CONTROL!$C$27, 0.0021, 0)</f>
        <v>92.424700000000001</v>
      </c>
      <c r="K625" s="14">
        <f>92.4226 * CHOOSE(CONTROL!$C$9, $D$9, 100%, $F$9) + CHOOSE(CONTROL!$C$27, 0.0021, 0)</f>
        <v>92.424700000000001</v>
      </c>
      <c r="L625" s="14"/>
    </row>
    <row r="626" spans="1:12" ht="15.75" x14ac:dyDescent="0.25">
      <c r="A626" s="32">
        <v>59992</v>
      </c>
      <c r="B626" s="14">
        <f>97.628 * CHOOSE(CONTROL!$C$9, $D$9, 100%, $F$9) + CHOOSE(CONTROL!$C$27, 0.0021, 0)</f>
        <v>97.630099999999999</v>
      </c>
      <c r="C626" s="14">
        <f>97.1958 * CHOOSE(CONTROL!$C$9, $D$9, 100%, $F$9) + CHOOSE(CONTROL!$C$27, 0.0021, 0)</f>
        <v>97.197900000000004</v>
      </c>
      <c r="D626" s="14">
        <f>97.1958 * CHOOSE(CONTROL!$C$9, $D$9, 100%, $F$9) + CHOOSE(CONTROL!$C$27, 0.0021, 0)</f>
        <v>97.197900000000004</v>
      </c>
      <c r="E626" s="14">
        <f>97.0591 * CHOOSE(CONTROL!$C$9, $D$9, 100%, $F$9) + CHOOSE(CONTROL!$C$27, 0.0021, 0)</f>
        <v>97.061199999999999</v>
      </c>
      <c r="F626" s="14">
        <f>97.0591 * CHOOSE(CONTROL!$C$9, $D$9, 100%, $F$9) + CHOOSE(CONTROL!$C$27, 0.0021, 0)</f>
        <v>97.061199999999999</v>
      </c>
      <c r="G626" s="14">
        <f>97.3305 * CHOOSE(CONTROL!$C$9, $D$9, 100%, $F$9) + CHOOSE(CONTROL!$C$27, 0.0021, 0)</f>
        <v>97.332599999999999</v>
      </c>
      <c r="H626" s="14">
        <f>97.1958 * CHOOSE(CONTROL!$C$9, $D$9, 100%, $F$9) + CHOOSE(CONTROL!$C$27, 0.0021, 0)</f>
        <v>97.197900000000004</v>
      </c>
      <c r="I626" s="14">
        <f>97.1958 * CHOOSE(CONTROL!$C$9, $D$9, 100%, $F$9) + CHOOSE(CONTROL!$C$27, 0.0021, 0)</f>
        <v>97.197900000000004</v>
      </c>
      <c r="J626" s="14">
        <f>97.1958 * CHOOSE(CONTROL!$C$9, $D$9, 100%, $F$9) + CHOOSE(CONTROL!$C$27, 0.0021, 0)</f>
        <v>97.197900000000004</v>
      </c>
      <c r="K626" s="14">
        <f>97.1958 * CHOOSE(CONTROL!$C$9, $D$9, 100%, $F$9) + CHOOSE(CONTROL!$C$27, 0.0021, 0)</f>
        <v>97.197900000000004</v>
      </c>
      <c r="L626" s="14"/>
    </row>
    <row r="627" spans="1:12" ht="15.75" x14ac:dyDescent="0.25">
      <c r="A627" s="32">
        <v>60022</v>
      </c>
      <c r="B627" s="14">
        <f>103.8177 * CHOOSE(CONTROL!$C$9, $D$9, 100%, $F$9) + CHOOSE(CONTROL!$C$27, 0.0021, 0)</f>
        <v>103.8198</v>
      </c>
      <c r="C627" s="14">
        <f>103.3855 * CHOOSE(CONTROL!$C$9, $D$9, 100%, $F$9) + CHOOSE(CONTROL!$C$27, 0.0021, 0)</f>
        <v>103.38759999999999</v>
      </c>
      <c r="D627" s="14">
        <f>103.3855 * CHOOSE(CONTROL!$C$9, $D$9, 100%, $F$9) + CHOOSE(CONTROL!$C$27, 0.0021, 0)</f>
        <v>103.38759999999999</v>
      </c>
      <c r="E627" s="14">
        <f>103.2488 * CHOOSE(CONTROL!$C$9, $D$9, 100%, $F$9) + CHOOSE(CONTROL!$C$27, 0.0021, 0)</f>
        <v>103.2509</v>
      </c>
      <c r="F627" s="14">
        <f>103.2488 * CHOOSE(CONTROL!$C$9, $D$9, 100%, $F$9) + CHOOSE(CONTROL!$C$27, 0.0021, 0)</f>
        <v>103.2509</v>
      </c>
      <c r="G627" s="14">
        <f>103.5202 * CHOOSE(CONTROL!$C$9, $D$9, 100%, $F$9) + CHOOSE(CONTROL!$C$27, 0.0021, 0)</f>
        <v>103.5223</v>
      </c>
      <c r="H627" s="14">
        <f>103.3855 * CHOOSE(CONTROL!$C$9, $D$9, 100%, $F$9) + CHOOSE(CONTROL!$C$27, 0.0021, 0)</f>
        <v>103.38759999999999</v>
      </c>
      <c r="I627" s="14">
        <f>103.3855 * CHOOSE(CONTROL!$C$9, $D$9, 100%, $F$9) + CHOOSE(CONTROL!$C$27, 0.0021, 0)</f>
        <v>103.38759999999999</v>
      </c>
      <c r="J627" s="14">
        <f>103.3855 * CHOOSE(CONTROL!$C$9, $D$9, 100%, $F$9) + CHOOSE(CONTROL!$C$27, 0.0021, 0)</f>
        <v>103.38759999999999</v>
      </c>
      <c r="K627" s="14">
        <f>103.3855 * CHOOSE(CONTROL!$C$9, $D$9, 100%, $F$9) + CHOOSE(CONTROL!$C$27, 0.0021, 0)</f>
        <v>103.38759999999999</v>
      </c>
      <c r="L627" s="14"/>
    </row>
    <row r="628" spans="1:12" ht="15.75" x14ac:dyDescent="0.25">
      <c r="A628" s="32">
        <v>60053</v>
      </c>
      <c r="B628" s="14">
        <f>107.2247 * CHOOSE(CONTROL!$C$9, $D$9, 100%, $F$9) + CHOOSE(CONTROL!$C$27, 0.0021, 0)</f>
        <v>107.2268</v>
      </c>
      <c r="C628" s="14">
        <f>106.7925 * CHOOSE(CONTROL!$C$9, $D$9, 100%, $F$9) + CHOOSE(CONTROL!$C$27, 0.0021, 0)</f>
        <v>106.7946</v>
      </c>
      <c r="D628" s="14">
        <f>106.7925 * CHOOSE(CONTROL!$C$9, $D$9, 100%, $F$9) + CHOOSE(CONTROL!$C$27, 0.0021, 0)</f>
        <v>106.7946</v>
      </c>
      <c r="E628" s="14">
        <f>106.6558 * CHOOSE(CONTROL!$C$9, $D$9, 100%, $F$9) + CHOOSE(CONTROL!$C$27, 0.0021, 0)</f>
        <v>106.6579</v>
      </c>
      <c r="F628" s="14">
        <f>106.6558 * CHOOSE(CONTROL!$C$9, $D$9, 100%, $F$9) + CHOOSE(CONTROL!$C$27, 0.0021, 0)</f>
        <v>106.6579</v>
      </c>
      <c r="G628" s="14">
        <f>106.9272 * CHOOSE(CONTROL!$C$9, $D$9, 100%, $F$9) + CHOOSE(CONTROL!$C$27, 0.0021, 0)</f>
        <v>106.9293</v>
      </c>
      <c r="H628" s="14">
        <f>106.7925 * CHOOSE(CONTROL!$C$9, $D$9, 100%, $F$9) + CHOOSE(CONTROL!$C$27, 0.0021, 0)</f>
        <v>106.7946</v>
      </c>
      <c r="I628" s="14">
        <f>106.7925 * CHOOSE(CONTROL!$C$9, $D$9, 100%, $F$9) + CHOOSE(CONTROL!$C$27, 0.0021, 0)</f>
        <v>106.7946</v>
      </c>
      <c r="J628" s="14">
        <f>106.7925 * CHOOSE(CONTROL!$C$9, $D$9, 100%, $F$9) + CHOOSE(CONTROL!$C$27, 0.0021, 0)</f>
        <v>106.7946</v>
      </c>
      <c r="K628" s="14">
        <f>106.7925 * CHOOSE(CONTROL!$C$9, $D$9, 100%, $F$9) + CHOOSE(CONTROL!$C$27, 0.0021, 0)</f>
        <v>106.7946</v>
      </c>
      <c r="L628" s="14"/>
    </row>
    <row r="629" spans="1:12" ht="15.75" x14ac:dyDescent="0.25">
      <c r="A629" s="32">
        <v>60083</v>
      </c>
      <c r="B629" s="14">
        <f>108.7367 * CHOOSE(CONTROL!$C$9, $D$9, 100%, $F$9) + CHOOSE(CONTROL!$C$27, 0.0021, 0)</f>
        <v>108.7388</v>
      </c>
      <c r="C629" s="14">
        <f>108.3044 * CHOOSE(CONTROL!$C$9, $D$9, 100%, $F$9) + CHOOSE(CONTROL!$C$27, 0.0021, 0)</f>
        <v>108.3065</v>
      </c>
      <c r="D629" s="14">
        <f>108.3044 * CHOOSE(CONTROL!$C$9, $D$9, 100%, $F$9) + CHOOSE(CONTROL!$C$27, 0.0021, 0)</f>
        <v>108.3065</v>
      </c>
      <c r="E629" s="14">
        <f>108.1678 * CHOOSE(CONTROL!$C$9, $D$9, 100%, $F$9) + CHOOSE(CONTROL!$C$27, 0.0021, 0)</f>
        <v>108.1699</v>
      </c>
      <c r="F629" s="14">
        <f>108.1678 * CHOOSE(CONTROL!$C$9, $D$9, 100%, $F$9) + CHOOSE(CONTROL!$C$27, 0.0021, 0)</f>
        <v>108.1699</v>
      </c>
      <c r="G629" s="14">
        <f>108.4391 * CHOOSE(CONTROL!$C$9, $D$9, 100%, $F$9) + CHOOSE(CONTROL!$C$27, 0.0021, 0)</f>
        <v>108.44119999999999</v>
      </c>
      <c r="H629" s="14">
        <f>108.3044 * CHOOSE(CONTROL!$C$9, $D$9, 100%, $F$9) + CHOOSE(CONTROL!$C$27, 0.0021, 0)</f>
        <v>108.3065</v>
      </c>
      <c r="I629" s="14">
        <f>108.3044 * CHOOSE(CONTROL!$C$9, $D$9, 100%, $F$9) + CHOOSE(CONTROL!$C$27, 0.0021, 0)</f>
        <v>108.3065</v>
      </c>
      <c r="J629" s="14">
        <f>108.3044 * CHOOSE(CONTROL!$C$9, $D$9, 100%, $F$9) + CHOOSE(CONTROL!$C$27, 0.0021, 0)</f>
        <v>108.3065</v>
      </c>
      <c r="K629" s="14">
        <f>108.3044 * CHOOSE(CONTROL!$C$9, $D$9, 100%, $F$9) + CHOOSE(CONTROL!$C$27, 0.0021, 0)</f>
        <v>108.3065</v>
      </c>
      <c r="L629" s="14"/>
    </row>
    <row r="630" spans="1:12" ht="15.75" x14ac:dyDescent="0.25">
      <c r="A630" s="32">
        <v>60114</v>
      </c>
      <c r="B630" s="14">
        <f>108.2389 * CHOOSE(CONTROL!$C$9, $D$9, 100%, $F$9) + CHOOSE(CONTROL!$C$27, 0.0021, 0)</f>
        <v>108.241</v>
      </c>
      <c r="C630" s="14">
        <f>107.8066 * CHOOSE(CONTROL!$C$9, $D$9, 100%, $F$9) + CHOOSE(CONTROL!$C$27, 0.0021, 0)</f>
        <v>107.8087</v>
      </c>
      <c r="D630" s="14">
        <f>107.8066 * CHOOSE(CONTROL!$C$9, $D$9, 100%, $F$9) + CHOOSE(CONTROL!$C$27, 0.0021, 0)</f>
        <v>107.8087</v>
      </c>
      <c r="E630" s="14">
        <f>107.6699 * CHOOSE(CONTROL!$C$9, $D$9, 100%, $F$9) + CHOOSE(CONTROL!$C$27, 0.0021, 0)</f>
        <v>107.672</v>
      </c>
      <c r="F630" s="14">
        <f>107.6699 * CHOOSE(CONTROL!$C$9, $D$9, 100%, $F$9) + CHOOSE(CONTROL!$C$27, 0.0021, 0)</f>
        <v>107.672</v>
      </c>
      <c r="G630" s="14">
        <f>107.9413 * CHOOSE(CONTROL!$C$9, $D$9, 100%, $F$9) + CHOOSE(CONTROL!$C$27, 0.0021, 0)</f>
        <v>107.9434</v>
      </c>
      <c r="H630" s="14">
        <f>107.8066 * CHOOSE(CONTROL!$C$9, $D$9, 100%, $F$9) + CHOOSE(CONTROL!$C$27, 0.0021, 0)</f>
        <v>107.8087</v>
      </c>
      <c r="I630" s="14">
        <f>107.8066 * CHOOSE(CONTROL!$C$9, $D$9, 100%, $F$9) + CHOOSE(CONTROL!$C$27, 0.0021, 0)</f>
        <v>107.8087</v>
      </c>
      <c r="J630" s="14">
        <f>107.8066 * CHOOSE(CONTROL!$C$9, $D$9, 100%, $F$9) + CHOOSE(CONTROL!$C$27, 0.0021, 0)</f>
        <v>107.8087</v>
      </c>
      <c r="K630" s="14">
        <f>107.8066 * CHOOSE(CONTROL!$C$9, $D$9, 100%, $F$9) + CHOOSE(CONTROL!$C$27, 0.0021, 0)</f>
        <v>107.8087</v>
      </c>
      <c r="L630" s="14"/>
    </row>
    <row r="631" spans="1:12" ht="15.75" x14ac:dyDescent="0.25">
      <c r="A631" s="32">
        <v>60145</v>
      </c>
      <c r="B631" s="14">
        <f>105.7725 * CHOOSE(CONTROL!$C$9, $D$9, 100%, $F$9) + CHOOSE(CONTROL!$C$27, 0.0021, 0)</f>
        <v>105.77459999999999</v>
      </c>
      <c r="C631" s="14">
        <f>105.3402 * CHOOSE(CONTROL!$C$9, $D$9, 100%, $F$9) + CHOOSE(CONTROL!$C$27, 0.0021, 0)</f>
        <v>105.34229999999999</v>
      </c>
      <c r="D631" s="14">
        <f>105.3402 * CHOOSE(CONTROL!$C$9, $D$9, 100%, $F$9) + CHOOSE(CONTROL!$C$27, 0.0021, 0)</f>
        <v>105.34229999999999</v>
      </c>
      <c r="E631" s="14">
        <f>105.2036 * CHOOSE(CONTROL!$C$9, $D$9, 100%, $F$9) + CHOOSE(CONTROL!$C$27, 0.0021, 0)</f>
        <v>105.20569999999999</v>
      </c>
      <c r="F631" s="14">
        <f>105.2036 * CHOOSE(CONTROL!$C$9, $D$9, 100%, $F$9) + CHOOSE(CONTROL!$C$27, 0.0021, 0)</f>
        <v>105.20569999999999</v>
      </c>
      <c r="G631" s="14">
        <f>105.4749 * CHOOSE(CONTROL!$C$9, $D$9, 100%, $F$9) + CHOOSE(CONTROL!$C$27, 0.0021, 0)</f>
        <v>105.477</v>
      </c>
      <c r="H631" s="14">
        <f>105.3402 * CHOOSE(CONTROL!$C$9, $D$9, 100%, $F$9) + CHOOSE(CONTROL!$C$27, 0.0021, 0)</f>
        <v>105.34229999999999</v>
      </c>
      <c r="I631" s="14">
        <f>105.3402 * CHOOSE(CONTROL!$C$9, $D$9, 100%, $F$9) + CHOOSE(CONTROL!$C$27, 0.0021, 0)</f>
        <v>105.34229999999999</v>
      </c>
      <c r="J631" s="14">
        <f>105.3402 * CHOOSE(CONTROL!$C$9, $D$9, 100%, $F$9) + CHOOSE(CONTROL!$C$27, 0.0021, 0)</f>
        <v>105.34229999999999</v>
      </c>
      <c r="K631" s="14">
        <f>105.3402 * CHOOSE(CONTROL!$C$9, $D$9, 100%, $F$9) + CHOOSE(CONTROL!$C$27, 0.0021, 0)</f>
        <v>105.34229999999999</v>
      </c>
      <c r="L631" s="14"/>
    </row>
    <row r="632" spans="1:12" ht="15.75" x14ac:dyDescent="0.25">
      <c r="A632" s="32">
        <v>60175</v>
      </c>
      <c r="B632" s="14">
        <f>102.333 * CHOOSE(CONTROL!$C$9, $D$9, 100%, $F$9) + CHOOSE(CONTROL!$C$27, 0.0021, 0)</f>
        <v>102.3351</v>
      </c>
      <c r="C632" s="14">
        <f>101.9007 * CHOOSE(CONTROL!$C$9, $D$9, 100%, $F$9) + CHOOSE(CONTROL!$C$27, 0.0021, 0)</f>
        <v>101.9028</v>
      </c>
      <c r="D632" s="14">
        <f>101.9007 * CHOOSE(CONTROL!$C$9, $D$9, 100%, $F$9) + CHOOSE(CONTROL!$C$27, 0.0021, 0)</f>
        <v>101.9028</v>
      </c>
      <c r="E632" s="14">
        <f>101.7641 * CHOOSE(CONTROL!$C$9, $D$9, 100%, $F$9) + CHOOSE(CONTROL!$C$27, 0.0021, 0)</f>
        <v>101.7662</v>
      </c>
      <c r="F632" s="14">
        <f>101.7641 * CHOOSE(CONTROL!$C$9, $D$9, 100%, $F$9) + CHOOSE(CONTROL!$C$27, 0.0021, 0)</f>
        <v>101.7662</v>
      </c>
      <c r="G632" s="14">
        <f>102.0354 * CHOOSE(CONTROL!$C$9, $D$9, 100%, $F$9) + CHOOSE(CONTROL!$C$27, 0.0021, 0)</f>
        <v>102.03749999999999</v>
      </c>
      <c r="H632" s="14">
        <f>101.9007 * CHOOSE(CONTROL!$C$9, $D$9, 100%, $F$9) + CHOOSE(CONTROL!$C$27, 0.0021, 0)</f>
        <v>101.9028</v>
      </c>
      <c r="I632" s="14">
        <f>101.9007 * CHOOSE(CONTROL!$C$9, $D$9, 100%, $F$9) + CHOOSE(CONTROL!$C$27, 0.0021, 0)</f>
        <v>101.9028</v>
      </c>
      <c r="J632" s="14">
        <f>101.9007 * CHOOSE(CONTROL!$C$9, $D$9, 100%, $F$9) + CHOOSE(CONTROL!$C$27, 0.0021, 0)</f>
        <v>101.9028</v>
      </c>
      <c r="K632" s="14">
        <f>101.9007 * CHOOSE(CONTROL!$C$9, $D$9, 100%, $F$9) + CHOOSE(CONTROL!$C$27, 0.0021, 0)</f>
        <v>101.9028</v>
      </c>
      <c r="L632" s="14"/>
    </row>
    <row r="633" spans="1:12" ht="15.75" x14ac:dyDescent="0.25">
      <c r="A633" s="32">
        <v>60206</v>
      </c>
      <c r="B633" s="14">
        <f>98.8735 * CHOOSE(CONTROL!$C$9, $D$9, 100%, $F$9) + CHOOSE(CONTROL!$C$27, 0.0021, 0)</f>
        <v>98.875600000000006</v>
      </c>
      <c r="C633" s="14">
        <f>98.4412 * CHOOSE(CONTROL!$C$9, $D$9, 100%, $F$9) + CHOOSE(CONTROL!$C$27, 0.0021, 0)</f>
        <v>98.443299999999994</v>
      </c>
      <c r="D633" s="14">
        <f>98.4412 * CHOOSE(CONTROL!$C$9, $D$9, 100%, $F$9) + CHOOSE(CONTROL!$C$27, 0.0021, 0)</f>
        <v>98.443299999999994</v>
      </c>
      <c r="E633" s="14">
        <f>98.3045 * CHOOSE(CONTROL!$C$9, $D$9, 100%, $F$9) + CHOOSE(CONTROL!$C$27, 0.0021, 0)</f>
        <v>98.306600000000003</v>
      </c>
      <c r="F633" s="14">
        <f>98.3045 * CHOOSE(CONTROL!$C$9, $D$9, 100%, $F$9) + CHOOSE(CONTROL!$C$27, 0.0021, 0)</f>
        <v>98.306600000000003</v>
      </c>
      <c r="G633" s="14">
        <f>98.5759 * CHOOSE(CONTROL!$C$9, $D$9, 100%, $F$9) + CHOOSE(CONTROL!$C$27, 0.0021, 0)</f>
        <v>98.578000000000003</v>
      </c>
      <c r="H633" s="14">
        <f>98.4412 * CHOOSE(CONTROL!$C$9, $D$9, 100%, $F$9) + CHOOSE(CONTROL!$C$27, 0.0021, 0)</f>
        <v>98.443299999999994</v>
      </c>
      <c r="I633" s="14">
        <f>98.4412 * CHOOSE(CONTROL!$C$9, $D$9, 100%, $F$9) + CHOOSE(CONTROL!$C$27, 0.0021, 0)</f>
        <v>98.443299999999994</v>
      </c>
      <c r="J633" s="14">
        <f>98.4412 * CHOOSE(CONTROL!$C$9, $D$9, 100%, $F$9) + CHOOSE(CONTROL!$C$27, 0.0021, 0)</f>
        <v>98.443299999999994</v>
      </c>
      <c r="K633" s="14">
        <f>98.4412 * CHOOSE(CONTROL!$C$9, $D$9, 100%, $F$9) + CHOOSE(CONTROL!$C$27, 0.0021, 0)</f>
        <v>98.443299999999994</v>
      </c>
      <c r="L633" s="14"/>
    </row>
    <row r="634" spans="1:12" ht="15.75" x14ac:dyDescent="0.25">
      <c r="A634" s="32">
        <v>60236</v>
      </c>
      <c r="B634" s="14">
        <f>98.1853 * CHOOSE(CONTROL!$C$9, $D$9, 100%, $F$9) + CHOOSE(CONTROL!$C$27, 0.0021, 0)</f>
        <v>98.187399999999997</v>
      </c>
      <c r="C634" s="14">
        <f>97.753 * CHOOSE(CONTROL!$C$9, $D$9, 100%, $F$9) + CHOOSE(CONTROL!$C$27, 0.0021, 0)</f>
        <v>97.755099999999999</v>
      </c>
      <c r="D634" s="14">
        <f>97.753 * CHOOSE(CONTROL!$C$9, $D$9, 100%, $F$9) + CHOOSE(CONTROL!$C$27, 0.0021, 0)</f>
        <v>97.755099999999999</v>
      </c>
      <c r="E634" s="14">
        <f>97.6164 * CHOOSE(CONTROL!$C$9, $D$9, 100%, $F$9) + CHOOSE(CONTROL!$C$27, 0.0021, 0)</f>
        <v>97.618499999999997</v>
      </c>
      <c r="F634" s="14">
        <f>97.6164 * CHOOSE(CONTROL!$C$9, $D$9, 100%, $F$9) + CHOOSE(CONTROL!$C$27, 0.0021, 0)</f>
        <v>97.618499999999997</v>
      </c>
      <c r="G634" s="14">
        <f>97.8878 * CHOOSE(CONTROL!$C$9, $D$9, 100%, $F$9) + CHOOSE(CONTROL!$C$27, 0.0021, 0)</f>
        <v>97.889899999999997</v>
      </c>
      <c r="H634" s="14">
        <f>97.753 * CHOOSE(CONTROL!$C$9, $D$9, 100%, $F$9) + CHOOSE(CONTROL!$C$27, 0.0021, 0)</f>
        <v>97.755099999999999</v>
      </c>
      <c r="I634" s="14">
        <f>97.753 * CHOOSE(CONTROL!$C$9, $D$9, 100%, $F$9) + CHOOSE(CONTROL!$C$27, 0.0021, 0)</f>
        <v>97.755099999999999</v>
      </c>
      <c r="J634" s="14">
        <f>97.753 * CHOOSE(CONTROL!$C$9, $D$9, 100%, $F$9) + CHOOSE(CONTROL!$C$27, 0.0021, 0)</f>
        <v>97.755099999999999</v>
      </c>
      <c r="K634" s="14">
        <f>97.753 * CHOOSE(CONTROL!$C$9, $D$9, 100%, $F$9) + CHOOSE(CONTROL!$C$27, 0.0021, 0)</f>
        <v>97.755099999999999</v>
      </c>
      <c r="L634" s="14"/>
    </row>
    <row r="635" spans="1:12" ht="15.75" x14ac:dyDescent="0.25">
      <c r="A635" s="32">
        <v>60267</v>
      </c>
      <c r="B635" s="14">
        <f>95.3397 * CHOOSE(CONTROL!$C$9, $D$9, 100%, $F$9) + CHOOSE(CONTROL!$C$27, 0.0021, 0)</f>
        <v>95.341799999999992</v>
      </c>
      <c r="C635" s="14">
        <f>94.9074 * CHOOSE(CONTROL!$C$9, $D$9, 100%, $F$9) + CHOOSE(CONTROL!$C$27, 0.0021, 0)</f>
        <v>94.909499999999994</v>
      </c>
      <c r="D635" s="14">
        <f>94.9074 * CHOOSE(CONTROL!$C$9, $D$9, 100%, $F$9) + CHOOSE(CONTROL!$C$27, 0.0021, 0)</f>
        <v>94.909499999999994</v>
      </c>
      <c r="E635" s="14">
        <f>94.7708 * CHOOSE(CONTROL!$C$9, $D$9, 100%, $F$9) + CHOOSE(CONTROL!$C$27, 0.0021, 0)</f>
        <v>94.772899999999993</v>
      </c>
      <c r="F635" s="14">
        <f>94.7708 * CHOOSE(CONTROL!$C$9, $D$9, 100%, $F$9) + CHOOSE(CONTROL!$C$27, 0.0021, 0)</f>
        <v>94.772899999999993</v>
      </c>
      <c r="G635" s="14">
        <f>95.0421 * CHOOSE(CONTROL!$C$9, $D$9, 100%, $F$9) + CHOOSE(CONTROL!$C$27, 0.0021, 0)</f>
        <v>95.044200000000004</v>
      </c>
      <c r="H635" s="14">
        <f>94.9074 * CHOOSE(CONTROL!$C$9, $D$9, 100%, $F$9) + CHOOSE(CONTROL!$C$27, 0.0021, 0)</f>
        <v>94.909499999999994</v>
      </c>
      <c r="I635" s="14">
        <f>94.9074 * CHOOSE(CONTROL!$C$9, $D$9, 100%, $F$9) + CHOOSE(CONTROL!$C$27, 0.0021, 0)</f>
        <v>94.909499999999994</v>
      </c>
      <c r="J635" s="14">
        <f>94.9074 * CHOOSE(CONTROL!$C$9, $D$9, 100%, $F$9) + CHOOSE(CONTROL!$C$27, 0.0021, 0)</f>
        <v>94.909499999999994</v>
      </c>
      <c r="K635" s="14">
        <f>94.9074 * CHOOSE(CONTROL!$C$9, $D$9, 100%, $F$9) + CHOOSE(CONTROL!$C$27, 0.0021, 0)</f>
        <v>94.909499999999994</v>
      </c>
      <c r="L635" s="14"/>
    </row>
    <row r="636" spans="1:12" ht="15.75" x14ac:dyDescent="0.25">
      <c r="A636" s="32">
        <v>60298</v>
      </c>
      <c r="B636" s="14">
        <f>94.7856 * CHOOSE(CONTROL!$C$9, $D$9, 100%, $F$9) + CHOOSE(CONTROL!$C$27, 0.0021, 0)</f>
        <v>94.787700000000001</v>
      </c>
      <c r="C636" s="14">
        <f>94.3534 * CHOOSE(CONTROL!$C$9, $D$9, 100%, $F$9) + CHOOSE(CONTROL!$C$27, 0.0021, 0)</f>
        <v>94.355499999999992</v>
      </c>
      <c r="D636" s="14">
        <f>94.3534 * CHOOSE(CONTROL!$C$9, $D$9, 100%, $F$9) + CHOOSE(CONTROL!$C$27, 0.0021, 0)</f>
        <v>94.355499999999992</v>
      </c>
      <c r="E636" s="14">
        <f>94.2167 * CHOOSE(CONTROL!$C$9, $D$9, 100%, $F$9) + CHOOSE(CONTROL!$C$27, 0.0021, 0)</f>
        <v>94.218800000000002</v>
      </c>
      <c r="F636" s="14">
        <f>94.2167 * CHOOSE(CONTROL!$C$9, $D$9, 100%, $F$9) + CHOOSE(CONTROL!$C$27, 0.0021, 0)</f>
        <v>94.218800000000002</v>
      </c>
      <c r="G636" s="14">
        <f>94.4881 * CHOOSE(CONTROL!$C$9, $D$9, 100%, $F$9) + CHOOSE(CONTROL!$C$27, 0.0021, 0)</f>
        <v>94.490200000000002</v>
      </c>
      <c r="H636" s="14">
        <f>94.3534 * CHOOSE(CONTROL!$C$9, $D$9, 100%, $F$9) + CHOOSE(CONTROL!$C$27, 0.0021, 0)</f>
        <v>94.355499999999992</v>
      </c>
      <c r="I636" s="14">
        <f>94.3534 * CHOOSE(CONTROL!$C$9, $D$9, 100%, $F$9) + CHOOSE(CONTROL!$C$27, 0.0021, 0)</f>
        <v>94.355499999999992</v>
      </c>
      <c r="J636" s="14">
        <f>94.3534 * CHOOSE(CONTROL!$C$9, $D$9, 100%, $F$9) + CHOOSE(CONTROL!$C$27, 0.0021, 0)</f>
        <v>94.355499999999992</v>
      </c>
      <c r="K636" s="14">
        <f>94.3534 * CHOOSE(CONTROL!$C$9, $D$9, 100%, $F$9) + CHOOSE(CONTROL!$C$27, 0.0021, 0)</f>
        <v>94.355499999999992</v>
      </c>
      <c r="L636" s="14"/>
    </row>
    <row r="637" spans="1:12" ht="15.75" x14ac:dyDescent="0.25">
      <c r="A637" s="32">
        <v>60326</v>
      </c>
      <c r="B637" s="14">
        <f>94.5285 * CHOOSE(CONTROL!$C$9, $D$9, 100%, $F$9) + CHOOSE(CONTROL!$C$27, 0.0021, 0)</f>
        <v>94.530599999999993</v>
      </c>
      <c r="C637" s="14">
        <f>94.0963 * CHOOSE(CONTROL!$C$9, $D$9, 100%, $F$9) + CHOOSE(CONTROL!$C$27, 0.0021, 0)</f>
        <v>94.098399999999998</v>
      </c>
      <c r="D637" s="14">
        <f>94.0963 * CHOOSE(CONTROL!$C$9, $D$9, 100%, $F$9) + CHOOSE(CONTROL!$C$27, 0.0021, 0)</f>
        <v>94.098399999999998</v>
      </c>
      <c r="E637" s="14">
        <f>93.9596 * CHOOSE(CONTROL!$C$9, $D$9, 100%, $F$9) + CHOOSE(CONTROL!$C$27, 0.0021, 0)</f>
        <v>93.961699999999993</v>
      </c>
      <c r="F637" s="14">
        <f>93.9596 * CHOOSE(CONTROL!$C$9, $D$9, 100%, $F$9) + CHOOSE(CONTROL!$C$27, 0.0021, 0)</f>
        <v>93.961699999999993</v>
      </c>
      <c r="G637" s="14">
        <f>94.231 * CHOOSE(CONTROL!$C$9, $D$9, 100%, $F$9) + CHOOSE(CONTROL!$C$27, 0.0021, 0)</f>
        <v>94.233099999999993</v>
      </c>
      <c r="H637" s="14">
        <f>94.0963 * CHOOSE(CONTROL!$C$9, $D$9, 100%, $F$9) + CHOOSE(CONTROL!$C$27, 0.0021, 0)</f>
        <v>94.098399999999998</v>
      </c>
      <c r="I637" s="14">
        <f>94.0963 * CHOOSE(CONTROL!$C$9, $D$9, 100%, $F$9) + CHOOSE(CONTROL!$C$27, 0.0021, 0)</f>
        <v>94.098399999999998</v>
      </c>
      <c r="J637" s="14">
        <f>94.0963 * CHOOSE(CONTROL!$C$9, $D$9, 100%, $F$9) + CHOOSE(CONTROL!$C$27, 0.0021, 0)</f>
        <v>94.098399999999998</v>
      </c>
      <c r="K637" s="14">
        <f>94.0963 * CHOOSE(CONTROL!$C$9, $D$9, 100%, $F$9) + CHOOSE(CONTROL!$C$27, 0.0021, 0)</f>
        <v>94.098399999999998</v>
      </c>
      <c r="L637" s="14"/>
    </row>
    <row r="638" spans="1:12" ht="15.75" x14ac:dyDescent="0.25">
      <c r="A638" s="32">
        <v>60357</v>
      </c>
      <c r="B638" s="14">
        <f>99.3899 * CHOOSE(CONTROL!$C$9, $D$9, 100%, $F$9) + CHOOSE(CONTROL!$C$27, 0.0021, 0)</f>
        <v>99.391999999999996</v>
      </c>
      <c r="C638" s="14">
        <f>98.9577 * CHOOSE(CONTROL!$C$9, $D$9, 100%, $F$9) + CHOOSE(CONTROL!$C$27, 0.0021, 0)</f>
        <v>98.959800000000001</v>
      </c>
      <c r="D638" s="14">
        <f>98.9577 * CHOOSE(CONTROL!$C$9, $D$9, 100%, $F$9) + CHOOSE(CONTROL!$C$27, 0.0021, 0)</f>
        <v>98.959800000000001</v>
      </c>
      <c r="E638" s="14">
        <f>98.821 * CHOOSE(CONTROL!$C$9, $D$9, 100%, $F$9) + CHOOSE(CONTROL!$C$27, 0.0021, 0)</f>
        <v>98.823099999999997</v>
      </c>
      <c r="F638" s="14">
        <f>98.821 * CHOOSE(CONTROL!$C$9, $D$9, 100%, $F$9) + CHOOSE(CONTROL!$C$27, 0.0021, 0)</f>
        <v>98.823099999999997</v>
      </c>
      <c r="G638" s="14">
        <f>99.0924 * CHOOSE(CONTROL!$C$9, $D$9, 100%, $F$9) + CHOOSE(CONTROL!$C$27, 0.0021, 0)</f>
        <v>99.094499999999996</v>
      </c>
      <c r="H638" s="14">
        <f>98.9577 * CHOOSE(CONTROL!$C$9, $D$9, 100%, $F$9) + CHOOSE(CONTROL!$C$27, 0.0021, 0)</f>
        <v>98.959800000000001</v>
      </c>
      <c r="I638" s="14">
        <f>98.9577 * CHOOSE(CONTROL!$C$9, $D$9, 100%, $F$9) + CHOOSE(CONTROL!$C$27, 0.0021, 0)</f>
        <v>98.959800000000001</v>
      </c>
      <c r="J638" s="14">
        <f>98.9577 * CHOOSE(CONTROL!$C$9, $D$9, 100%, $F$9) + CHOOSE(CONTROL!$C$27, 0.0021, 0)</f>
        <v>98.959800000000001</v>
      </c>
      <c r="K638" s="14">
        <f>98.9577 * CHOOSE(CONTROL!$C$9, $D$9, 100%, $F$9) + CHOOSE(CONTROL!$C$27, 0.0021, 0)</f>
        <v>98.959800000000001</v>
      </c>
      <c r="L638" s="14"/>
    </row>
    <row r="639" spans="1:12" ht="15.75" x14ac:dyDescent="0.25">
      <c r="A639" s="32">
        <v>60387</v>
      </c>
      <c r="B639" s="14">
        <f>105.694 * CHOOSE(CONTROL!$C$9, $D$9, 100%, $F$9) + CHOOSE(CONTROL!$C$27, 0.0021, 0)</f>
        <v>105.6961</v>
      </c>
      <c r="C639" s="14">
        <f>105.2617 * CHOOSE(CONTROL!$C$9, $D$9, 100%, $F$9) + CHOOSE(CONTROL!$C$27, 0.0021, 0)</f>
        <v>105.2638</v>
      </c>
      <c r="D639" s="14">
        <f>105.2617 * CHOOSE(CONTROL!$C$9, $D$9, 100%, $F$9) + CHOOSE(CONTROL!$C$27, 0.0021, 0)</f>
        <v>105.2638</v>
      </c>
      <c r="E639" s="14">
        <f>105.1251 * CHOOSE(CONTROL!$C$9, $D$9, 100%, $F$9) + CHOOSE(CONTROL!$C$27, 0.0021, 0)</f>
        <v>105.1272</v>
      </c>
      <c r="F639" s="14">
        <f>105.1251 * CHOOSE(CONTROL!$C$9, $D$9, 100%, $F$9) + CHOOSE(CONTROL!$C$27, 0.0021, 0)</f>
        <v>105.1272</v>
      </c>
      <c r="G639" s="14">
        <f>105.3964 * CHOOSE(CONTROL!$C$9, $D$9, 100%, $F$9) + CHOOSE(CONTROL!$C$27, 0.0021, 0)</f>
        <v>105.3985</v>
      </c>
      <c r="H639" s="14">
        <f>105.2617 * CHOOSE(CONTROL!$C$9, $D$9, 100%, $F$9) + CHOOSE(CONTROL!$C$27, 0.0021, 0)</f>
        <v>105.2638</v>
      </c>
      <c r="I639" s="14">
        <f>105.2617 * CHOOSE(CONTROL!$C$9, $D$9, 100%, $F$9) + CHOOSE(CONTROL!$C$27, 0.0021, 0)</f>
        <v>105.2638</v>
      </c>
      <c r="J639" s="14">
        <f>105.2617 * CHOOSE(CONTROL!$C$9, $D$9, 100%, $F$9) + CHOOSE(CONTROL!$C$27, 0.0021, 0)</f>
        <v>105.2638</v>
      </c>
      <c r="K639" s="14">
        <f>105.2617 * CHOOSE(CONTROL!$C$9, $D$9, 100%, $F$9) + CHOOSE(CONTROL!$C$27, 0.0021, 0)</f>
        <v>105.2638</v>
      </c>
      <c r="L639" s="14"/>
    </row>
    <row r="640" spans="1:12" ht="15.75" x14ac:dyDescent="0.25">
      <c r="A640" s="32">
        <v>60418</v>
      </c>
      <c r="B640" s="14">
        <f>109.1639 * CHOOSE(CONTROL!$C$9, $D$9, 100%, $F$9) + CHOOSE(CONTROL!$C$27, 0.0021, 0)</f>
        <v>109.166</v>
      </c>
      <c r="C640" s="14">
        <f>108.7317 * CHOOSE(CONTROL!$C$9, $D$9, 100%, $F$9) + CHOOSE(CONTROL!$C$27, 0.0021, 0)</f>
        <v>108.7338</v>
      </c>
      <c r="D640" s="14">
        <f>108.7317 * CHOOSE(CONTROL!$C$9, $D$9, 100%, $F$9) + CHOOSE(CONTROL!$C$27, 0.0021, 0)</f>
        <v>108.7338</v>
      </c>
      <c r="E640" s="14">
        <f>108.595 * CHOOSE(CONTROL!$C$9, $D$9, 100%, $F$9) + CHOOSE(CONTROL!$C$27, 0.0021, 0)</f>
        <v>108.5971</v>
      </c>
      <c r="F640" s="14">
        <f>108.595 * CHOOSE(CONTROL!$C$9, $D$9, 100%, $F$9) + CHOOSE(CONTROL!$C$27, 0.0021, 0)</f>
        <v>108.5971</v>
      </c>
      <c r="G640" s="14">
        <f>108.8664 * CHOOSE(CONTROL!$C$9, $D$9, 100%, $F$9) + CHOOSE(CONTROL!$C$27, 0.0021, 0)</f>
        <v>108.8685</v>
      </c>
      <c r="H640" s="14">
        <f>108.7317 * CHOOSE(CONTROL!$C$9, $D$9, 100%, $F$9) + CHOOSE(CONTROL!$C$27, 0.0021, 0)</f>
        <v>108.7338</v>
      </c>
      <c r="I640" s="14">
        <f>108.7317 * CHOOSE(CONTROL!$C$9, $D$9, 100%, $F$9) + CHOOSE(CONTROL!$C$27, 0.0021, 0)</f>
        <v>108.7338</v>
      </c>
      <c r="J640" s="14">
        <f>108.7317 * CHOOSE(CONTROL!$C$9, $D$9, 100%, $F$9) + CHOOSE(CONTROL!$C$27, 0.0021, 0)</f>
        <v>108.7338</v>
      </c>
      <c r="K640" s="14">
        <f>108.7317 * CHOOSE(CONTROL!$C$9, $D$9, 100%, $F$9) + CHOOSE(CONTROL!$C$27, 0.0021, 0)</f>
        <v>108.7338</v>
      </c>
      <c r="L640" s="14"/>
    </row>
    <row r="641" spans="1:12" ht="15.75" x14ac:dyDescent="0.25">
      <c r="A641" s="32">
        <v>60448</v>
      </c>
      <c r="B641" s="14">
        <f>110.7038 * CHOOSE(CONTROL!$C$9, $D$9, 100%, $F$9) + CHOOSE(CONTROL!$C$27, 0.0021, 0)</f>
        <v>110.7059</v>
      </c>
      <c r="C641" s="14">
        <f>110.2716 * CHOOSE(CONTROL!$C$9, $D$9, 100%, $F$9) + CHOOSE(CONTROL!$C$27, 0.0021, 0)</f>
        <v>110.27370000000001</v>
      </c>
      <c r="D641" s="14">
        <f>110.2716 * CHOOSE(CONTROL!$C$9, $D$9, 100%, $F$9) + CHOOSE(CONTROL!$C$27, 0.0021, 0)</f>
        <v>110.27370000000001</v>
      </c>
      <c r="E641" s="14">
        <f>110.1349 * CHOOSE(CONTROL!$C$9, $D$9, 100%, $F$9) + CHOOSE(CONTROL!$C$27, 0.0021, 0)</f>
        <v>110.137</v>
      </c>
      <c r="F641" s="14">
        <f>110.1349 * CHOOSE(CONTROL!$C$9, $D$9, 100%, $F$9) + CHOOSE(CONTROL!$C$27, 0.0021, 0)</f>
        <v>110.137</v>
      </c>
      <c r="G641" s="14">
        <f>110.4063 * CHOOSE(CONTROL!$C$9, $D$9, 100%, $F$9) + CHOOSE(CONTROL!$C$27, 0.0021, 0)</f>
        <v>110.4084</v>
      </c>
      <c r="H641" s="14">
        <f>110.2716 * CHOOSE(CONTROL!$C$9, $D$9, 100%, $F$9) + CHOOSE(CONTROL!$C$27, 0.0021, 0)</f>
        <v>110.27370000000001</v>
      </c>
      <c r="I641" s="14">
        <f>110.2716 * CHOOSE(CONTROL!$C$9, $D$9, 100%, $F$9) + CHOOSE(CONTROL!$C$27, 0.0021, 0)</f>
        <v>110.27370000000001</v>
      </c>
      <c r="J641" s="14">
        <f>110.2716 * CHOOSE(CONTROL!$C$9, $D$9, 100%, $F$9) + CHOOSE(CONTROL!$C$27, 0.0021, 0)</f>
        <v>110.27370000000001</v>
      </c>
      <c r="K641" s="14">
        <f>110.2716 * CHOOSE(CONTROL!$C$9, $D$9, 100%, $F$9) + CHOOSE(CONTROL!$C$27, 0.0021, 0)</f>
        <v>110.27370000000001</v>
      </c>
      <c r="L641" s="14"/>
    </row>
    <row r="642" spans="1:12" ht="15.75" x14ac:dyDescent="0.25">
      <c r="A642" s="32">
        <v>60479</v>
      </c>
      <c r="B642" s="14">
        <f>110.1968 * CHOOSE(CONTROL!$C$9, $D$9, 100%, $F$9) + CHOOSE(CONTROL!$C$27, 0.0021, 0)</f>
        <v>110.19889999999999</v>
      </c>
      <c r="C642" s="14">
        <f>109.7646 * CHOOSE(CONTROL!$C$9, $D$9, 100%, $F$9) + CHOOSE(CONTROL!$C$27, 0.0021, 0)</f>
        <v>109.7667</v>
      </c>
      <c r="D642" s="14">
        <f>109.7646 * CHOOSE(CONTROL!$C$9, $D$9, 100%, $F$9) + CHOOSE(CONTROL!$C$27, 0.0021, 0)</f>
        <v>109.7667</v>
      </c>
      <c r="E642" s="14">
        <f>109.6279 * CHOOSE(CONTROL!$C$9, $D$9, 100%, $F$9) + CHOOSE(CONTROL!$C$27, 0.0021, 0)</f>
        <v>109.63</v>
      </c>
      <c r="F642" s="14">
        <f>109.6279 * CHOOSE(CONTROL!$C$9, $D$9, 100%, $F$9) + CHOOSE(CONTROL!$C$27, 0.0021, 0)</f>
        <v>109.63</v>
      </c>
      <c r="G642" s="14">
        <f>109.8993 * CHOOSE(CONTROL!$C$9, $D$9, 100%, $F$9) + CHOOSE(CONTROL!$C$27, 0.0021, 0)</f>
        <v>109.9014</v>
      </c>
      <c r="H642" s="14">
        <f>109.7646 * CHOOSE(CONTROL!$C$9, $D$9, 100%, $F$9) + CHOOSE(CONTROL!$C$27, 0.0021, 0)</f>
        <v>109.7667</v>
      </c>
      <c r="I642" s="14">
        <f>109.7646 * CHOOSE(CONTROL!$C$9, $D$9, 100%, $F$9) + CHOOSE(CONTROL!$C$27, 0.0021, 0)</f>
        <v>109.7667</v>
      </c>
      <c r="J642" s="14">
        <f>109.7646 * CHOOSE(CONTROL!$C$9, $D$9, 100%, $F$9) + CHOOSE(CONTROL!$C$27, 0.0021, 0)</f>
        <v>109.7667</v>
      </c>
      <c r="K642" s="14">
        <f>109.7646 * CHOOSE(CONTROL!$C$9, $D$9, 100%, $F$9) + CHOOSE(CONTROL!$C$27, 0.0021, 0)</f>
        <v>109.7667</v>
      </c>
      <c r="L642" s="14"/>
    </row>
    <row r="643" spans="1:12" ht="15.75" x14ac:dyDescent="0.25">
      <c r="A643" s="32">
        <v>60510</v>
      </c>
      <c r="B643" s="14">
        <f>107.6849 * CHOOSE(CONTROL!$C$9, $D$9, 100%, $F$9) + CHOOSE(CONTROL!$C$27, 0.0021, 0)</f>
        <v>107.687</v>
      </c>
      <c r="C643" s="14">
        <f>107.2526 * CHOOSE(CONTROL!$C$9, $D$9, 100%, $F$9) + CHOOSE(CONTROL!$C$27, 0.0021, 0)</f>
        <v>107.2547</v>
      </c>
      <c r="D643" s="14">
        <f>107.2526 * CHOOSE(CONTROL!$C$9, $D$9, 100%, $F$9) + CHOOSE(CONTROL!$C$27, 0.0021, 0)</f>
        <v>107.2547</v>
      </c>
      <c r="E643" s="14">
        <f>107.1159 * CHOOSE(CONTROL!$C$9, $D$9, 100%, $F$9) + CHOOSE(CONTROL!$C$27, 0.0021, 0)</f>
        <v>107.11799999999999</v>
      </c>
      <c r="F643" s="14">
        <f>107.1159 * CHOOSE(CONTROL!$C$9, $D$9, 100%, $F$9) + CHOOSE(CONTROL!$C$27, 0.0021, 0)</f>
        <v>107.11799999999999</v>
      </c>
      <c r="G643" s="14">
        <f>107.3873 * CHOOSE(CONTROL!$C$9, $D$9, 100%, $F$9) + CHOOSE(CONTROL!$C$27, 0.0021, 0)</f>
        <v>107.38939999999999</v>
      </c>
      <c r="H643" s="14">
        <f>107.2526 * CHOOSE(CONTROL!$C$9, $D$9, 100%, $F$9) + CHOOSE(CONTROL!$C$27, 0.0021, 0)</f>
        <v>107.2547</v>
      </c>
      <c r="I643" s="14">
        <f>107.2526 * CHOOSE(CONTROL!$C$9, $D$9, 100%, $F$9) + CHOOSE(CONTROL!$C$27, 0.0021, 0)</f>
        <v>107.2547</v>
      </c>
      <c r="J643" s="14">
        <f>107.2526 * CHOOSE(CONTROL!$C$9, $D$9, 100%, $F$9) + CHOOSE(CONTROL!$C$27, 0.0021, 0)</f>
        <v>107.2547</v>
      </c>
      <c r="K643" s="14">
        <f>107.2526 * CHOOSE(CONTROL!$C$9, $D$9, 100%, $F$9) + CHOOSE(CONTROL!$C$27, 0.0021, 0)</f>
        <v>107.2547</v>
      </c>
      <c r="L643" s="14"/>
    </row>
    <row r="644" spans="1:12" ht="15.75" x14ac:dyDescent="0.25">
      <c r="A644" s="32">
        <v>60540</v>
      </c>
      <c r="B644" s="14">
        <f>104.1818 * CHOOSE(CONTROL!$C$9, $D$9, 100%, $F$9) + CHOOSE(CONTROL!$C$27, 0.0021, 0)</f>
        <v>104.18389999999999</v>
      </c>
      <c r="C644" s="14">
        <f>103.7495 * CHOOSE(CONTROL!$C$9, $D$9, 100%, $F$9) + CHOOSE(CONTROL!$C$27, 0.0021, 0)</f>
        <v>103.7516</v>
      </c>
      <c r="D644" s="14">
        <f>103.7495 * CHOOSE(CONTROL!$C$9, $D$9, 100%, $F$9) + CHOOSE(CONTROL!$C$27, 0.0021, 0)</f>
        <v>103.7516</v>
      </c>
      <c r="E644" s="14">
        <f>103.6129 * CHOOSE(CONTROL!$C$9, $D$9, 100%, $F$9) + CHOOSE(CONTROL!$C$27, 0.0021, 0)</f>
        <v>103.61499999999999</v>
      </c>
      <c r="F644" s="14">
        <f>103.6129 * CHOOSE(CONTROL!$C$9, $D$9, 100%, $F$9) + CHOOSE(CONTROL!$C$27, 0.0021, 0)</f>
        <v>103.61499999999999</v>
      </c>
      <c r="G644" s="14">
        <f>103.8843 * CHOOSE(CONTROL!$C$9, $D$9, 100%, $F$9) + CHOOSE(CONTROL!$C$27, 0.0021, 0)</f>
        <v>103.88639999999999</v>
      </c>
      <c r="H644" s="14">
        <f>103.7495 * CHOOSE(CONTROL!$C$9, $D$9, 100%, $F$9) + CHOOSE(CONTROL!$C$27, 0.0021, 0)</f>
        <v>103.7516</v>
      </c>
      <c r="I644" s="14">
        <f>103.7495 * CHOOSE(CONTROL!$C$9, $D$9, 100%, $F$9) + CHOOSE(CONTROL!$C$27, 0.0021, 0)</f>
        <v>103.7516</v>
      </c>
      <c r="J644" s="14">
        <f>103.7495 * CHOOSE(CONTROL!$C$9, $D$9, 100%, $F$9) + CHOOSE(CONTROL!$C$27, 0.0021, 0)</f>
        <v>103.7516</v>
      </c>
      <c r="K644" s="14">
        <f>103.7495 * CHOOSE(CONTROL!$C$9, $D$9, 100%, $F$9) + CHOOSE(CONTROL!$C$27, 0.0021, 0)</f>
        <v>103.7516</v>
      </c>
      <c r="L644" s="14"/>
    </row>
    <row r="645" spans="1:12" ht="15.75" x14ac:dyDescent="0.25">
      <c r="A645" s="32">
        <v>60571</v>
      </c>
      <c r="B645" s="14">
        <f>100.6583 * CHOOSE(CONTROL!$C$9, $D$9, 100%, $F$9) + CHOOSE(CONTROL!$C$27, 0.0021, 0)</f>
        <v>100.6604</v>
      </c>
      <c r="C645" s="14">
        <f>100.2261 * CHOOSE(CONTROL!$C$9, $D$9, 100%, $F$9) + CHOOSE(CONTROL!$C$27, 0.0021, 0)</f>
        <v>100.2282</v>
      </c>
      <c r="D645" s="14">
        <f>100.2261 * CHOOSE(CONTROL!$C$9, $D$9, 100%, $F$9) + CHOOSE(CONTROL!$C$27, 0.0021, 0)</f>
        <v>100.2282</v>
      </c>
      <c r="E645" s="14">
        <f>100.0894 * CHOOSE(CONTROL!$C$9, $D$9, 100%, $F$9) + CHOOSE(CONTROL!$C$27, 0.0021, 0)</f>
        <v>100.0915</v>
      </c>
      <c r="F645" s="14">
        <f>100.0894 * CHOOSE(CONTROL!$C$9, $D$9, 100%, $F$9) + CHOOSE(CONTROL!$C$27, 0.0021, 0)</f>
        <v>100.0915</v>
      </c>
      <c r="G645" s="14">
        <f>100.3608 * CHOOSE(CONTROL!$C$9, $D$9, 100%, $F$9) + CHOOSE(CONTROL!$C$27, 0.0021, 0)</f>
        <v>100.3629</v>
      </c>
      <c r="H645" s="14">
        <f>100.2261 * CHOOSE(CONTROL!$C$9, $D$9, 100%, $F$9) + CHOOSE(CONTROL!$C$27, 0.0021, 0)</f>
        <v>100.2282</v>
      </c>
      <c r="I645" s="14">
        <f>100.2261 * CHOOSE(CONTROL!$C$9, $D$9, 100%, $F$9) + CHOOSE(CONTROL!$C$27, 0.0021, 0)</f>
        <v>100.2282</v>
      </c>
      <c r="J645" s="14">
        <f>100.2261 * CHOOSE(CONTROL!$C$9, $D$9, 100%, $F$9) + CHOOSE(CONTROL!$C$27, 0.0021, 0)</f>
        <v>100.2282</v>
      </c>
      <c r="K645" s="14">
        <f>100.2261 * CHOOSE(CONTROL!$C$9, $D$9, 100%, $F$9) + CHOOSE(CONTROL!$C$27, 0.0021, 0)</f>
        <v>100.2282</v>
      </c>
      <c r="L645" s="14"/>
    </row>
    <row r="646" spans="1:12" ht="15.75" x14ac:dyDescent="0.25">
      <c r="A646" s="32">
        <v>60601</v>
      </c>
      <c r="B646" s="14">
        <f>99.9575 * CHOOSE(CONTROL!$C$9, $D$9, 100%, $F$9) + CHOOSE(CONTROL!$C$27, 0.0021, 0)</f>
        <v>99.959599999999995</v>
      </c>
      <c r="C646" s="14">
        <f>99.5252 * CHOOSE(CONTROL!$C$9, $D$9, 100%, $F$9) + CHOOSE(CONTROL!$C$27, 0.0021, 0)</f>
        <v>99.527299999999997</v>
      </c>
      <c r="D646" s="14">
        <f>99.5252 * CHOOSE(CONTROL!$C$9, $D$9, 100%, $F$9) + CHOOSE(CONTROL!$C$27, 0.0021, 0)</f>
        <v>99.527299999999997</v>
      </c>
      <c r="E646" s="14">
        <f>99.3886 * CHOOSE(CONTROL!$C$9, $D$9, 100%, $F$9) + CHOOSE(CONTROL!$C$27, 0.0021, 0)</f>
        <v>99.390699999999995</v>
      </c>
      <c r="F646" s="14">
        <f>99.3886 * CHOOSE(CONTROL!$C$9, $D$9, 100%, $F$9) + CHOOSE(CONTROL!$C$27, 0.0021, 0)</f>
        <v>99.390699999999995</v>
      </c>
      <c r="G646" s="14">
        <f>99.6599 * CHOOSE(CONTROL!$C$9, $D$9, 100%, $F$9) + CHOOSE(CONTROL!$C$27, 0.0021, 0)</f>
        <v>99.661999999999992</v>
      </c>
      <c r="H646" s="14">
        <f>99.5252 * CHOOSE(CONTROL!$C$9, $D$9, 100%, $F$9) + CHOOSE(CONTROL!$C$27, 0.0021, 0)</f>
        <v>99.527299999999997</v>
      </c>
      <c r="I646" s="14">
        <f>99.5252 * CHOOSE(CONTROL!$C$9, $D$9, 100%, $F$9) + CHOOSE(CONTROL!$C$27, 0.0021, 0)</f>
        <v>99.527299999999997</v>
      </c>
      <c r="J646" s="14">
        <f>99.5252 * CHOOSE(CONTROL!$C$9, $D$9, 100%, $F$9) + CHOOSE(CONTROL!$C$27, 0.0021, 0)</f>
        <v>99.527299999999997</v>
      </c>
      <c r="K646" s="14">
        <f>99.5252 * CHOOSE(CONTROL!$C$9, $D$9, 100%, $F$9) + CHOOSE(CONTROL!$C$27, 0.0021, 0)</f>
        <v>99.527299999999997</v>
      </c>
      <c r="L646" s="14"/>
    </row>
    <row r="647" spans="1:12" ht="15.75" x14ac:dyDescent="0.25">
      <c r="A647" s="32">
        <v>60632</v>
      </c>
      <c r="B647" s="14">
        <f>97.0592 * CHOOSE(CONTROL!$C$9, $D$9, 100%, $F$9) + CHOOSE(CONTROL!$C$27, 0.0021, 0)</f>
        <v>97.061300000000003</v>
      </c>
      <c r="C647" s="14">
        <f>96.627 * CHOOSE(CONTROL!$C$9, $D$9, 100%, $F$9) + CHOOSE(CONTROL!$C$27, 0.0021, 0)</f>
        <v>96.629099999999994</v>
      </c>
      <c r="D647" s="14">
        <f>96.627 * CHOOSE(CONTROL!$C$9, $D$9, 100%, $F$9) + CHOOSE(CONTROL!$C$27, 0.0021, 0)</f>
        <v>96.629099999999994</v>
      </c>
      <c r="E647" s="14">
        <f>96.4903 * CHOOSE(CONTROL!$C$9, $D$9, 100%, $F$9) + CHOOSE(CONTROL!$C$27, 0.0021, 0)</f>
        <v>96.492400000000004</v>
      </c>
      <c r="F647" s="14">
        <f>96.4903 * CHOOSE(CONTROL!$C$9, $D$9, 100%, $F$9) + CHOOSE(CONTROL!$C$27, 0.0021, 0)</f>
        <v>96.492400000000004</v>
      </c>
      <c r="G647" s="14">
        <f>96.7617 * CHOOSE(CONTROL!$C$9, $D$9, 100%, $F$9) + CHOOSE(CONTROL!$C$27, 0.0021, 0)</f>
        <v>96.763800000000003</v>
      </c>
      <c r="H647" s="14">
        <f>96.627 * CHOOSE(CONTROL!$C$9, $D$9, 100%, $F$9) + CHOOSE(CONTROL!$C$27, 0.0021, 0)</f>
        <v>96.629099999999994</v>
      </c>
      <c r="I647" s="14">
        <f>96.627 * CHOOSE(CONTROL!$C$9, $D$9, 100%, $F$9) + CHOOSE(CONTROL!$C$27, 0.0021, 0)</f>
        <v>96.629099999999994</v>
      </c>
      <c r="J647" s="14">
        <f>96.627 * CHOOSE(CONTROL!$C$9, $D$9, 100%, $F$9) + CHOOSE(CONTROL!$C$27, 0.0021, 0)</f>
        <v>96.629099999999994</v>
      </c>
      <c r="K647" s="14">
        <f>96.627 * CHOOSE(CONTROL!$C$9, $D$9, 100%, $F$9) + CHOOSE(CONTROL!$C$27, 0.0021, 0)</f>
        <v>96.629099999999994</v>
      </c>
      <c r="L647" s="14"/>
    </row>
    <row r="648" spans="1:12" ht="15.75" x14ac:dyDescent="0.25">
      <c r="A648" s="32">
        <v>60663</v>
      </c>
      <c r="B648" s="14">
        <f>96.495 * CHOOSE(CONTROL!$C$9, $D$9, 100%, $F$9) + CHOOSE(CONTROL!$C$27, 0.0021, 0)</f>
        <v>96.497100000000003</v>
      </c>
      <c r="C648" s="14">
        <f>96.0627 * CHOOSE(CONTROL!$C$9, $D$9, 100%, $F$9) + CHOOSE(CONTROL!$C$27, 0.0021, 0)</f>
        <v>96.064800000000005</v>
      </c>
      <c r="D648" s="14">
        <f>96.0627 * CHOOSE(CONTROL!$C$9, $D$9, 100%, $F$9) + CHOOSE(CONTROL!$C$27, 0.0021, 0)</f>
        <v>96.064800000000005</v>
      </c>
      <c r="E648" s="14">
        <f>95.9261 * CHOOSE(CONTROL!$C$9, $D$9, 100%, $F$9) + CHOOSE(CONTROL!$C$27, 0.0021, 0)</f>
        <v>95.928200000000004</v>
      </c>
      <c r="F648" s="14">
        <f>95.9261 * CHOOSE(CONTROL!$C$9, $D$9, 100%, $F$9) + CHOOSE(CONTROL!$C$27, 0.0021, 0)</f>
        <v>95.928200000000004</v>
      </c>
      <c r="G648" s="14">
        <f>96.1975 * CHOOSE(CONTROL!$C$9, $D$9, 100%, $F$9) + CHOOSE(CONTROL!$C$27, 0.0021, 0)</f>
        <v>96.199600000000004</v>
      </c>
      <c r="H648" s="14">
        <f>96.0627 * CHOOSE(CONTROL!$C$9, $D$9, 100%, $F$9) + CHOOSE(CONTROL!$C$27, 0.0021, 0)</f>
        <v>96.064800000000005</v>
      </c>
      <c r="I648" s="14">
        <f>96.0627 * CHOOSE(CONTROL!$C$9, $D$9, 100%, $F$9) + CHOOSE(CONTROL!$C$27, 0.0021, 0)</f>
        <v>96.064800000000005</v>
      </c>
      <c r="J648" s="14">
        <f>96.0627 * CHOOSE(CONTROL!$C$9, $D$9, 100%, $F$9) + CHOOSE(CONTROL!$C$27, 0.0021, 0)</f>
        <v>96.064800000000005</v>
      </c>
      <c r="K648" s="14">
        <f>96.0627 * CHOOSE(CONTROL!$C$9, $D$9, 100%, $F$9) + CHOOSE(CONTROL!$C$27, 0.0021, 0)</f>
        <v>96.064800000000005</v>
      </c>
      <c r="L648" s="14"/>
    </row>
    <row r="649" spans="1:12" ht="15.75" x14ac:dyDescent="0.25">
      <c r="A649" s="32">
        <v>60691</v>
      </c>
      <c r="B649" s="14">
        <f>96.2331 * CHOOSE(CONTROL!$C$9, $D$9, 100%, $F$9) + CHOOSE(CONTROL!$C$27, 0.0021, 0)</f>
        <v>96.235199999999992</v>
      </c>
      <c r="C649" s="14">
        <f>95.8009 * CHOOSE(CONTROL!$C$9, $D$9, 100%, $F$9) + CHOOSE(CONTROL!$C$27, 0.0021, 0)</f>
        <v>95.802999999999997</v>
      </c>
      <c r="D649" s="14">
        <f>95.8009 * CHOOSE(CONTROL!$C$9, $D$9, 100%, $F$9) + CHOOSE(CONTROL!$C$27, 0.0021, 0)</f>
        <v>95.802999999999997</v>
      </c>
      <c r="E649" s="14">
        <f>95.6642 * CHOOSE(CONTROL!$C$9, $D$9, 100%, $F$9) + CHOOSE(CONTROL!$C$27, 0.0021, 0)</f>
        <v>95.666299999999993</v>
      </c>
      <c r="F649" s="14">
        <f>95.6642 * CHOOSE(CONTROL!$C$9, $D$9, 100%, $F$9) + CHOOSE(CONTROL!$C$27, 0.0021, 0)</f>
        <v>95.666299999999993</v>
      </c>
      <c r="G649" s="14">
        <f>95.9356 * CHOOSE(CONTROL!$C$9, $D$9, 100%, $F$9) + CHOOSE(CONTROL!$C$27, 0.0021, 0)</f>
        <v>95.937699999999992</v>
      </c>
      <c r="H649" s="14">
        <f>95.8009 * CHOOSE(CONTROL!$C$9, $D$9, 100%, $F$9) + CHOOSE(CONTROL!$C$27, 0.0021, 0)</f>
        <v>95.802999999999997</v>
      </c>
      <c r="I649" s="14">
        <f>95.8009 * CHOOSE(CONTROL!$C$9, $D$9, 100%, $F$9) + CHOOSE(CONTROL!$C$27, 0.0021, 0)</f>
        <v>95.802999999999997</v>
      </c>
      <c r="J649" s="14">
        <f>95.8009 * CHOOSE(CONTROL!$C$9, $D$9, 100%, $F$9) + CHOOSE(CONTROL!$C$27, 0.0021, 0)</f>
        <v>95.802999999999997</v>
      </c>
      <c r="K649" s="14">
        <f>95.8009 * CHOOSE(CONTROL!$C$9, $D$9, 100%, $F$9) + CHOOSE(CONTROL!$C$27, 0.0021, 0)</f>
        <v>95.802999999999997</v>
      </c>
      <c r="L649" s="14"/>
    </row>
    <row r="650" spans="1:12" ht="15.75" x14ac:dyDescent="0.25">
      <c r="A650" s="32">
        <v>60722</v>
      </c>
      <c r="B650" s="14">
        <f>101.1844 * CHOOSE(CONTROL!$C$9, $D$9, 100%, $F$9) + CHOOSE(CONTROL!$C$27, 0.0021, 0)</f>
        <v>101.1865</v>
      </c>
      <c r="C650" s="14">
        <f>100.7521 * CHOOSE(CONTROL!$C$9, $D$9, 100%, $F$9) + CHOOSE(CONTROL!$C$27, 0.0021, 0)</f>
        <v>100.7542</v>
      </c>
      <c r="D650" s="14">
        <f>100.7521 * CHOOSE(CONTROL!$C$9, $D$9, 100%, $F$9) + CHOOSE(CONTROL!$C$27, 0.0021, 0)</f>
        <v>100.7542</v>
      </c>
      <c r="E650" s="14">
        <f>100.6155 * CHOOSE(CONTROL!$C$9, $D$9, 100%, $F$9) + CHOOSE(CONTROL!$C$27, 0.0021, 0)</f>
        <v>100.6176</v>
      </c>
      <c r="F650" s="14">
        <f>100.6155 * CHOOSE(CONTROL!$C$9, $D$9, 100%, $F$9) + CHOOSE(CONTROL!$C$27, 0.0021, 0)</f>
        <v>100.6176</v>
      </c>
      <c r="G650" s="14">
        <f>100.8868 * CHOOSE(CONTROL!$C$9, $D$9, 100%, $F$9) + CHOOSE(CONTROL!$C$27, 0.0021, 0)</f>
        <v>100.88889999999999</v>
      </c>
      <c r="H650" s="14">
        <f>100.7521 * CHOOSE(CONTROL!$C$9, $D$9, 100%, $F$9) + CHOOSE(CONTROL!$C$27, 0.0021, 0)</f>
        <v>100.7542</v>
      </c>
      <c r="I650" s="14">
        <f>100.7521 * CHOOSE(CONTROL!$C$9, $D$9, 100%, $F$9) + CHOOSE(CONTROL!$C$27, 0.0021, 0)</f>
        <v>100.7542</v>
      </c>
      <c r="J650" s="14">
        <f>100.7521 * CHOOSE(CONTROL!$C$9, $D$9, 100%, $F$9) + CHOOSE(CONTROL!$C$27, 0.0021, 0)</f>
        <v>100.7542</v>
      </c>
      <c r="K650" s="14">
        <f>100.7521 * CHOOSE(CONTROL!$C$9, $D$9, 100%, $F$9) + CHOOSE(CONTROL!$C$27, 0.0021, 0)</f>
        <v>100.7542</v>
      </c>
      <c r="L650" s="14"/>
    </row>
    <row r="651" spans="1:12" ht="15.75" x14ac:dyDescent="0.25">
      <c r="A651" s="32">
        <v>60752</v>
      </c>
      <c r="B651" s="14">
        <f>107.6049 * CHOOSE(CONTROL!$C$9, $D$9, 100%, $F$9) + CHOOSE(CONTROL!$C$27, 0.0021, 0)</f>
        <v>107.607</v>
      </c>
      <c r="C651" s="14">
        <f>107.1727 * CHOOSE(CONTROL!$C$9, $D$9, 100%, $F$9) + CHOOSE(CONTROL!$C$27, 0.0021, 0)</f>
        <v>107.1748</v>
      </c>
      <c r="D651" s="14">
        <f>107.1727 * CHOOSE(CONTROL!$C$9, $D$9, 100%, $F$9) + CHOOSE(CONTROL!$C$27, 0.0021, 0)</f>
        <v>107.1748</v>
      </c>
      <c r="E651" s="14">
        <f>107.036 * CHOOSE(CONTROL!$C$9, $D$9, 100%, $F$9) + CHOOSE(CONTROL!$C$27, 0.0021, 0)</f>
        <v>107.0381</v>
      </c>
      <c r="F651" s="14">
        <f>107.036 * CHOOSE(CONTROL!$C$9, $D$9, 100%, $F$9) + CHOOSE(CONTROL!$C$27, 0.0021, 0)</f>
        <v>107.0381</v>
      </c>
      <c r="G651" s="14">
        <f>107.3074 * CHOOSE(CONTROL!$C$9, $D$9, 100%, $F$9) + CHOOSE(CONTROL!$C$27, 0.0021, 0)</f>
        <v>107.3095</v>
      </c>
      <c r="H651" s="14">
        <f>107.1727 * CHOOSE(CONTROL!$C$9, $D$9, 100%, $F$9) + CHOOSE(CONTROL!$C$27, 0.0021, 0)</f>
        <v>107.1748</v>
      </c>
      <c r="I651" s="14">
        <f>107.1727 * CHOOSE(CONTROL!$C$9, $D$9, 100%, $F$9) + CHOOSE(CONTROL!$C$27, 0.0021, 0)</f>
        <v>107.1748</v>
      </c>
      <c r="J651" s="14">
        <f>107.1727 * CHOOSE(CONTROL!$C$9, $D$9, 100%, $F$9) + CHOOSE(CONTROL!$C$27, 0.0021, 0)</f>
        <v>107.1748</v>
      </c>
      <c r="K651" s="14">
        <f>107.1727 * CHOOSE(CONTROL!$C$9, $D$9, 100%, $F$9) + CHOOSE(CONTROL!$C$27, 0.0021, 0)</f>
        <v>107.1748</v>
      </c>
      <c r="L651" s="14"/>
    </row>
    <row r="652" spans="1:12" ht="15.75" x14ac:dyDescent="0.25">
      <c r="A652" s="32">
        <v>60783</v>
      </c>
      <c r="B652" s="14">
        <f>111.139 * CHOOSE(CONTROL!$C$9, $D$9, 100%, $F$9) + CHOOSE(CONTROL!$C$27, 0.0021, 0)</f>
        <v>111.14109999999999</v>
      </c>
      <c r="C652" s="14">
        <f>110.7067 * CHOOSE(CONTROL!$C$9, $D$9, 100%, $F$9) + CHOOSE(CONTROL!$C$27, 0.0021, 0)</f>
        <v>110.7088</v>
      </c>
      <c r="D652" s="14">
        <f>110.7067 * CHOOSE(CONTROL!$C$9, $D$9, 100%, $F$9) + CHOOSE(CONTROL!$C$27, 0.0021, 0)</f>
        <v>110.7088</v>
      </c>
      <c r="E652" s="14">
        <f>110.5701 * CHOOSE(CONTROL!$C$9, $D$9, 100%, $F$9) + CHOOSE(CONTROL!$C$27, 0.0021, 0)</f>
        <v>110.5722</v>
      </c>
      <c r="F652" s="14">
        <f>110.5701 * CHOOSE(CONTROL!$C$9, $D$9, 100%, $F$9) + CHOOSE(CONTROL!$C$27, 0.0021, 0)</f>
        <v>110.5722</v>
      </c>
      <c r="G652" s="14">
        <f>110.8415 * CHOOSE(CONTROL!$C$9, $D$9, 100%, $F$9) + CHOOSE(CONTROL!$C$27, 0.0021, 0)</f>
        <v>110.8436</v>
      </c>
      <c r="H652" s="14">
        <f>110.7067 * CHOOSE(CONTROL!$C$9, $D$9, 100%, $F$9) + CHOOSE(CONTROL!$C$27, 0.0021, 0)</f>
        <v>110.7088</v>
      </c>
      <c r="I652" s="14">
        <f>110.7067 * CHOOSE(CONTROL!$C$9, $D$9, 100%, $F$9) + CHOOSE(CONTROL!$C$27, 0.0021, 0)</f>
        <v>110.7088</v>
      </c>
      <c r="J652" s="14">
        <f>110.7067 * CHOOSE(CONTROL!$C$9, $D$9, 100%, $F$9) + CHOOSE(CONTROL!$C$27, 0.0021, 0)</f>
        <v>110.7088</v>
      </c>
      <c r="K652" s="14">
        <f>110.7067 * CHOOSE(CONTROL!$C$9, $D$9, 100%, $F$9) + CHOOSE(CONTROL!$C$27, 0.0021, 0)</f>
        <v>110.7088</v>
      </c>
      <c r="L652" s="14"/>
    </row>
    <row r="653" spans="1:12" ht="15.75" x14ac:dyDescent="0.25">
      <c r="A653" s="32">
        <v>60813</v>
      </c>
      <c r="B653" s="14">
        <f>112.7074 * CHOOSE(CONTROL!$C$9, $D$9, 100%, $F$9) + CHOOSE(CONTROL!$C$27, 0.0021, 0)</f>
        <v>112.70950000000001</v>
      </c>
      <c r="C653" s="14">
        <f>112.2751 * CHOOSE(CONTROL!$C$9, $D$9, 100%, $F$9) + CHOOSE(CONTROL!$C$27, 0.0021, 0)</f>
        <v>112.27719999999999</v>
      </c>
      <c r="D653" s="14">
        <f>112.2751 * CHOOSE(CONTROL!$C$9, $D$9, 100%, $F$9) + CHOOSE(CONTROL!$C$27, 0.0021, 0)</f>
        <v>112.27719999999999</v>
      </c>
      <c r="E653" s="14">
        <f>112.1385 * CHOOSE(CONTROL!$C$9, $D$9, 100%, $F$9) + CHOOSE(CONTROL!$C$27, 0.0021, 0)</f>
        <v>112.14059999999999</v>
      </c>
      <c r="F653" s="14">
        <f>112.1385 * CHOOSE(CONTROL!$C$9, $D$9, 100%, $F$9) + CHOOSE(CONTROL!$C$27, 0.0021, 0)</f>
        <v>112.14059999999999</v>
      </c>
      <c r="G653" s="14">
        <f>112.4098 * CHOOSE(CONTROL!$C$9, $D$9, 100%, $F$9) + CHOOSE(CONTROL!$C$27, 0.0021, 0)</f>
        <v>112.4119</v>
      </c>
      <c r="H653" s="14">
        <f>112.2751 * CHOOSE(CONTROL!$C$9, $D$9, 100%, $F$9) + CHOOSE(CONTROL!$C$27, 0.0021, 0)</f>
        <v>112.27719999999999</v>
      </c>
      <c r="I653" s="14">
        <f>112.2751 * CHOOSE(CONTROL!$C$9, $D$9, 100%, $F$9) + CHOOSE(CONTROL!$C$27, 0.0021, 0)</f>
        <v>112.27719999999999</v>
      </c>
      <c r="J653" s="14">
        <f>112.2751 * CHOOSE(CONTROL!$C$9, $D$9, 100%, $F$9) + CHOOSE(CONTROL!$C$27, 0.0021, 0)</f>
        <v>112.27719999999999</v>
      </c>
      <c r="K653" s="14">
        <f>112.2751 * CHOOSE(CONTROL!$C$9, $D$9, 100%, $F$9) + CHOOSE(CONTROL!$C$27, 0.0021, 0)</f>
        <v>112.27719999999999</v>
      </c>
      <c r="L653" s="14"/>
    </row>
    <row r="654" spans="1:12" ht="15.75" x14ac:dyDescent="0.25">
      <c r="A654" s="32">
        <v>60844</v>
      </c>
      <c r="B654" s="14">
        <f>112.191 * CHOOSE(CONTROL!$C$9, $D$9, 100%, $F$9) + CHOOSE(CONTROL!$C$27, 0.0021, 0)</f>
        <v>112.1931</v>
      </c>
      <c r="C654" s="14">
        <f>111.7587 * CHOOSE(CONTROL!$C$9, $D$9, 100%, $F$9) + CHOOSE(CONTROL!$C$27, 0.0021, 0)</f>
        <v>111.7608</v>
      </c>
      <c r="D654" s="14">
        <f>111.7587 * CHOOSE(CONTROL!$C$9, $D$9, 100%, $F$9) + CHOOSE(CONTROL!$C$27, 0.0021, 0)</f>
        <v>111.7608</v>
      </c>
      <c r="E654" s="14">
        <f>111.6221 * CHOOSE(CONTROL!$C$9, $D$9, 100%, $F$9) + CHOOSE(CONTROL!$C$27, 0.0021, 0)</f>
        <v>111.6242</v>
      </c>
      <c r="F654" s="14">
        <f>111.6221 * CHOOSE(CONTROL!$C$9, $D$9, 100%, $F$9) + CHOOSE(CONTROL!$C$27, 0.0021, 0)</f>
        <v>111.6242</v>
      </c>
      <c r="G654" s="14">
        <f>111.8934 * CHOOSE(CONTROL!$C$9, $D$9, 100%, $F$9) + CHOOSE(CONTROL!$C$27, 0.0021, 0)</f>
        <v>111.8955</v>
      </c>
      <c r="H654" s="14">
        <f>111.7587 * CHOOSE(CONTROL!$C$9, $D$9, 100%, $F$9) + CHOOSE(CONTROL!$C$27, 0.0021, 0)</f>
        <v>111.7608</v>
      </c>
      <c r="I654" s="14">
        <f>111.7587 * CHOOSE(CONTROL!$C$9, $D$9, 100%, $F$9) + CHOOSE(CONTROL!$C$27, 0.0021, 0)</f>
        <v>111.7608</v>
      </c>
      <c r="J654" s="14">
        <f>111.7587 * CHOOSE(CONTROL!$C$9, $D$9, 100%, $F$9) + CHOOSE(CONTROL!$C$27, 0.0021, 0)</f>
        <v>111.7608</v>
      </c>
      <c r="K654" s="14">
        <f>111.7587 * CHOOSE(CONTROL!$C$9, $D$9, 100%, $F$9) + CHOOSE(CONTROL!$C$27, 0.0021, 0)</f>
        <v>111.7608</v>
      </c>
      <c r="L654" s="14"/>
    </row>
    <row r="655" spans="1:12" ht="15.75" x14ac:dyDescent="0.25">
      <c r="A655" s="32">
        <v>60875</v>
      </c>
      <c r="B655" s="14">
        <f>109.6326 * CHOOSE(CONTROL!$C$9, $D$9, 100%, $F$9) + CHOOSE(CONTROL!$C$27, 0.0021, 0)</f>
        <v>109.6347</v>
      </c>
      <c r="C655" s="14">
        <f>109.2003 * CHOOSE(CONTROL!$C$9, $D$9, 100%, $F$9) + CHOOSE(CONTROL!$C$27, 0.0021, 0)</f>
        <v>109.2024</v>
      </c>
      <c r="D655" s="14">
        <f>109.2003 * CHOOSE(CONTROL!$C$9, $D$9, 100%, $F$9) + CHOOSE(CONTROL!$C$27, 0.0021, 0)</f>
        <v>109.2024</v>
      </c>
      <c r="E655" s="14">
        <f>109.0637 * CHOOSE(CONTROL!$C$9, $D$9, 100%, $F$9) + CHOOSE(CONTROL!$C$27, 0.0021, 0)</f>
        <v>109.0658</v>
      </c>
      <c r="F655" s="14">
        <f>109.0637 * CHOOSE(CONTROL!$C$9, $D$9, 100%, $F$9) + CHOOSE(CONTROL!$C$27, 0.0021, 0)</f>
        <v>109.0658</v>
      </c>
      <c r="G655" s="14">
        <f>109.3351 * CHOOSE(CONTROL!$C$9, $D$9, 100%, $F$9) + CHOOSE(CONTROL!$C$27, 0.0021, 0)</f>
        <v>109.3372</v>
      </c>
      <c r="H655" s="14">
        <f>109.2003 * CHOOSE(CONTROL!$C$9, $D$9, 100%, $F$9) + CHOOSE(CONTROL!$C$27, 0.0021, 0)</f>
        <v>109.2024</v>
      </c>
      <c r="I655" s="14">
        <f>109.2003 * CHOOSE(CONTROL!$C$9, $D$9, 100%, $F$9) + CHOOSE(CONTROL!$C$27, 0.0021, 0)</f>
        <v>109.2024</v>
      </c>
      <c r="J655" s="14">
        <f>109.2003 * CHOOSE(CONTROL!$C$9, $D$9, 100%, $F$9) + CHOOSE(CONTROL!$C$27, 0.0021, 0)</f>
        <v>109.2024</v>
      </c>
      <c r="K655" s="14">
        <f>109.2003 * CHOOSE(CONTROL!$C$9, $D$9, 100%, $F$9) + CHOOSE(CONTROL!$C$27, 0.0021, 0)</f>
        <v>109.2024</v>
      </c>
      <c r="L655" s="14"/>
    </row>
    <row r="656" spans="1:12" ht="15.75" x14ac:dyDescent="0.25">
      <c r="A656" s="32">
        <v>60905</v>
      </c>
      <c r="B656" s="14">
        <f>106.0648 * CHOOSE(CONTROL!$C$9, $D$9, 100%, $F$9) + CHOOSE(CONTROL!$C$27, 0.0021, 0)</f>
        <v>106.0669</v>
      </c>
      <c r="C656" s="14">
        <f>105.6325 * CHOOSE(CONTROL!$C$9, $D$9, 100%, $F$9) + CHOOSE(CONTROL!$C$27, 0.0021, 0)</f>
        <v>105.63459999999999</v>
      </c>
      <c r="D656" s="14">
        <f>105.6325 * CHOOSE(CONTROL!$C$9, $D$9, 100%, $F$9) + CHOOSE(CONTROL!$C$27, 0.0021, 0)</f>
        <v>105.63459999999999</v>
      </c>
      <c r="E656" s="14">
        <f>105.4959 * CHOOSE(CONTROL!$C$9, $D$9, 100%, $F$9) + CHOOSE(CONTROL!$C$27, 0.0021, 0)</f>
        <v>105.498</v>
      </c>
      <c r="F656" s="14">
        <f>105.4959 * CHOOSE(CONTROL!$C$9, $D$9, 100%, $F$9) + CHOOSE(CONTROL!$C$27, 0.0021, 0)</f>
        <v>105.498</v>
      </c>
      <c r="G656" s="14">
        <f>105.7673 * CHOOSE(CONTROL!$C$9, $D$9, 100%, $F$9) + CHOOSE(CONTROL!$C$27, 0.0021, 0)</f>
        <v>105.7694</v>
      </c>
      <c r="H656" s="14">
        <f>105.6325 * CHOOSE(CONTROL!$C$9, $D$9, 100%, $F$9) + CHOOSE(CONTROL!$C$27, 0.0021, 0)</f>
        <v>105.63459999999999</v>
      </c>
      <c r="I656" s="14">
        <f>105.6325 * CHOOSE(CONTROL!$C$9, $D$9, 100%, $F$9) + CHOOSE(CONTROL!$C$27, 0.0021, 0)</f>
        <v>105.63459999999999</v>
      </c>
      <c r="J656" s="14">
        <f>105.6325 * CHOOSE(CONTROL!$C$9, $D$9, 100%, $F$9) + CHOOSE(CONTROL!$C$27, 0.0021, 0)</f>
        <v>105.63459999999999</v>
      </c>
      <c r="K656" s="14">
        <f>105.6325 * CHOOSE(CONTROL!$C$9, $D$9, 100%, $F$9) + CHOOSE(CONTROL!$C$27, 0.0021, 0)</f>
        <v>105.63459999999999</v>
      </c>
      <c r="L656" s="14"/>
    </row>
    <row r="657" spans="1:12" ht="15.75" x14ac:dyDescent="0.25">
      <c r="A657" s="32">
        <v>60936</v>
      </c>
      <c r="B657" s="14">
        <f>102.4762 * CHOOSE(CONTROL!$C$9, $D$9, 100%, $F$9) + CHOOSE(CONTROL!$C$27, 0.0021, 0)</f>
        <v>102.4783</v>
      </c>
      <c r="C657" s="14">
        <f>102.044 * CHOOSE(CONTROL!$C$9, $D$9, 100%, $F$9) + CHOOSE(CONTROL!$C$27, 0.0021, 0)</f>
        <v>102.0461</v>
      </c>
      <c r="D657" s="14">
        <f>102.044 * CHOOSE(CONTROL!$C$9, $D$9, 100%, $F$9) + CHOOSE(CONTROL!$C$27, 0.0021, 0)</f>
        <v>102.0461</v>
      </c>
      <c r="E657" s="14">
        <f>101.9073 * CHOOSE(CONTROL!$C$9, $D$9, 100%, $F$9) + CHOOSE(CONTROL!$C$27, 0.0021, 0)</f>
        <v>101.90940000000001</v>
      </c>
      <c r="F657" s="14">
        <f>101.9073 * CHOOSE(CONTROL!$C$9, $D$9, 100%, $F$9) + CHOOSE(CONTROL!$C$27, 0.0021, 0)</f>
        <v>101.90940000000001</v>
      </c>
      <c r="G657" s="14">
        <f>102.1787 * CHOOSE(CONTROL!$C$9, $D$9, 100%, $F$9) + CHOOSE(CONTROL!$C$27, 0.0021, 0)</f>
        <v>102.1808</v>
      </c>
      <c r="H657" s="14">
        <f>102.044 * CHOOSE(CONTROL!$C$9, $D$9, 100%, $F$9) + CHOOSE(CONTROL!$C$27, 0.0021, 0)</f>
        <v>102.0461</v>
      </c>
      <c r="I657" s="14">
        <f>102.044 * CHOOSE(CONTROL!$C$9, $D$9, 100%, $F$9) + CHOOSE(CONTROL!$C$27, 0.0021, 0)</f>
        <v>102.0461</v>
      </c>
      <c r="J657" s="14">
        <f>102.044 * CHOOSE(CONTROL!$C$9, $D$9, 100%, $F$9) + CHOOSE(CONTROL!$C$27, 0.0021, 0)</f>
        <v>102.0461</v>
      </c>
      <c r="K657" s="14">
        <f>102.044 * CHOOSE(CONTROL!$C$9, $D$9, 100%, $F$9) + CHOOSE(CONTROL!$C$27, 0.0021, 0)</f>
        <v>102.0461</v>
      </c>
      <c r="L657" s="14"/>
    </row>
    <row r="658" spans="1:12" ht="15.75" x14ac:dyDescent="0.25">
      <c r="A658" s="32">
        <v>60966</v>
      </c>
      <c r="B658" s="14">
        <f>101.7624 * CHOOSE(CONTROL!$C$9, $D$9, 100%, $F$9) + CHOOSE(CONTROL!$C$27, 0.0021, 0)</f>
        <v>101.7645</v>
      </c>
      <c r="C658" s="14">
        <f>101.3301 * CHOOSE(CONTROL!$C$9, $D$9, 100%, $F$9) + CHOOSE(CONTROL!$C$27, 0.0021, 0)</f>
        <v>101.3322</v>
      </c>
      <c r="D658" s="14">
        <f>101.3301 * CHOOSE(CONTROL!$C$9, $D$9, 100%, $F$9) + CHOOSE(CONTROL!$C$27, 0.0021, 0)</f>
        <v>101.3322</v>
      </c>
      <c r="E658" s="14">
        <f>101.1935 * CHOOSE(CONTROL!$C$9, $D$9, 100%, $F$9) + CHOOSE(CONTROL!$C$27, 0.0021, 0)</f>
        <v>101.1956</v>
      </c>
      <c r="F658" s="14">
        <f>101.1935 * CHOOSE(CONTROL!$C$9, $D$9, 100%, $F$9) + CHOOSE(CONTROL!$C$27, 0.0021, 0)</f>
        <v>101.1956</v>
      </c>
      <c r="G658" s="14">
        <f>101.4649 * CHOOSE(CONTROL!$C$9, $D$9, 100%, $F$9) + CHOOSE(CONTROL!$C$27, 0.0021, 0)</f>
        <v>101.467</v>
      </c>
      <c r="H658" s="14">
        <f>101.3301 * CHOOSE(CONTROL!$C$9, $D$9, 100%, $F$9) + CHOOSE(CONTROL!$C$27, 0.0021, 0)</f>
        <v>101.3322</v>
      </c>
      <c r="I658" s="14">
        <f>101.3301 * CHOOSE(CONTROL!$C$9, $D$9, 100%, $F$9) + CHOOSE(CONTROL!$C$27, 0.0021, 0)</f>
        <v>101.3322</v>
      </c>
      <c r="J658" s="14">
        <f>101.3301 * CHOOSE(CONTROL!$C$9, $D$9, 100%, $F$9) + CHOOSE(CONTROL!$C$27, 0.0021, 0)</f>
        <v>101.3322</v>
      </c>
      <c r="K658" s="14">
        <f>101.3301 * CHOOSE(CONTROL!$C$9, $D$9, 100%, $F$9) + CHOOSE(CONTROL!$C$27, 0.0021, 0)</f>
        <v>101.3322</v>
      </c>
      <c r="L658" s="14"/>
    </row>
    <row r="659" spans="1:12" ht="15.75" x14ac:dyDescent="0.25">
      <c r="A659" s="32">
        <v>60997</v>
      </c>
      <c r="B659" s="14">
        <f>98.8106 * CHOOSE(CONTROL!$C$9, $D$9, 100%, $F$9) + CHOOSE(CONTROL!$C$27, 0.0021, 0)</f>
        <v>98.812699999999992</v>
      </c>
      <c r="C659" s="14">
        <f>98.3784 * CHOOSE(CONTROL!$C$9, $D$9, 100%, $F$9) + CHOOSE(CONTROL!$C$27, 0.0021, 0)</f>
        <v>98.380499999999998</v>
      </c>
      <c r="D659" s="14">
        <f>98.3784 * CHOOSE(CONTROL!$C$9, $D$9, 100%, $F$9) + CHOOSE(CONTROL!$C$27, 0.0021, 0)</f>
        <v>98.380499999999998</v>
      </c>
      <c r="E659" s="14">
        <f>98.2417 * CHOOSE(CONTROL!$C$9, $D$9, 100%, $F$9) + CHOOSE(CONTROL!$C$27, 0.0021, 0)</f>
        <v>98.243799999999993</v>
      </c>
      <c r="F659" s="14">
        <f>98.2417 * CHOOSE(CONTROL!$C$9, $D$9, 100%, $F$9) + CHOOSE(CONTROL!$C$27, 0.0021, 0)</f>
        <v>98.243799999999993</v>
      </c>
      <c r="G659" s="14">
        <f>98.5131 * CHOOSE(CONTROL!$C$9, $D$9, 100%, $F$9) + CHOOSE(CONTROL!$C$27, 0.0021, 0)</f>
        <v>98.515199999999993</v>
      </c>
      <c r="H659" s="14">
        <f>98.3784 * CHOOSE(CONTROL!$C$9, $D$9, 100%, $F$9) + CHOOSE(CONTROL!$C$27, 0.0021, 0)</f>
        <v>98.380499999999998</v>
      </c>
      <c r="I659" s="14">
        <f>98.3784 * CHOOSE(CONTROL!$C$9, $D$9, 100%, $F$9) + CHOOSE(CONTROL!$C$27, 0.0021, 0)</f>
        <v>98.380499999999998</v>
      </c>
      <c r="J659" s="14">
        <f>98.3784 * CHOOSE(CONTROL!$C$9, $D$9, 100%, $F$9) + CHOOSE(CONTROL!$C$27, 0.0021, 0)</f>
        <v>98.380499999999998</v>
      </c>
      <c r="K659" s="14">
        <f>98.3784 * CHOOSE(CONTROL!$C$9, $D$9, 100%, $F$9) + CHOOSE(CONTROL!$C$27, 0.0021, 0)</f>
        <v>98.380499999999998</v>
      </c>
      <c r="L659" s="14"/>
    </row>
    <row r="660" spans="1:12" ht="15.75" x14ac:dyDescent="0.25">
      <c r="A660" s="32">
        <v>61028</v>
      </c>
      <c r="B660" s="14">
        <f>98.2359 * CHOOSE(CONTROL!$C$9, $D$9, 100%, $F$9) + CHOOSE(CONTROL!$C$27, 0.0021, 0)</f>
        <v>98.238</v>
      </c>
      <c r="C660" s="14">
        <f>97.8037 * CHOOSE(CONTROL!$C$9, $D$9, 100%, $F$9) + CHOOSE(CONTROL!$C$27, 0.0021, 0)</f>
        <v>97.805800000000005</v>
      </c>
      <c r="D660" s="14">
        <f>97.8037 * CHOOSE(CONTROL!$C$9, $D$9, 100%, $F$9) + CHOOSE(CONTROL!$C$27, 0.0021, 0)</f>
        <v>97.805800000000005</v>
      </c>
      <c r="E660" s="14">
        <f>97.667 * CHOOSE(CONTROL!$C$9, $D$9, 100%, $F$9) + CHOOSE(CONTROL!$C$27, 0.0021, 0)</f>
        <v>97.6691</v>
      </c>
      <c r="F660" s="14">
        <f>97.667 * CHOOSE(CONTROL!$C$9, $D$9, 100%, $F$9) + CHOOSE(CONTROL!$C$27, 0.0021, 0)</f>
        <v>97.6691</v>
      </c>
      <c r="G660" s="14">
        <f>97.9384 * CHOOSE(CONTROL!$C$9, $D$9, 100%, $F$9) + CHOOSE(CONTROL!$C$27, 0.0021, 0)</f>
        <v>97.9405</v>
      </c>
      <c r="H660" s="14">
        <f>97.8037 * CHOOSE(CONTROL!$C$9, $D$9, 100%, $F$9) + CHOOSE(CONTROL!$C$27, 0.0021, 0)</f>
        <v>97.805800000000005</v>
      </c>
      <c r="I660" s="14">
        <f>97.8037 * CHOOSE(CONTROL!$C$9, $D$9, 100%, $F$9) + CHOOSE(CONTROL!$C$27, 0.0021, 0)</f>
        <v>97.805800000000005</v>
      </c>
      <c r="J660" s="14">
        <f>97.8037 * CHOOSE(CONTROL!$C$9, $D$9, 100%, $F$9) + CHOOSE(CONTROL!$C$27, 0.0021, 0)</f>
        <v>97.805800000000005</v>
      </c>
      <c r="K660" s="14">
        <f>97.8037 * CHOOSE(CONTROL!$C$9, $D$9, 100%, $F$9) + CHOOSE(CONTROL!$C$27, 0.0021, 0)</f>
        <v>97.805800000000005</v>
      </c>
      <c r="L660" s="14"/>
    </row>
    <row r="661" spans="1:12" ht="15.75" x14ac:dyDescent="0.25">
      <c r="A661" s="32">
        <v>61056</v>
      </c>
      <c r="B661" s="14">
        <f>97.9692 * CHOOSE(CONTROL!$C$9, $D$9, 100%, $F$9) + CHOOSE(CONTROL!$C$27, 0.0021, 0)</f>
        <v>97.971299999999999</v>
      </c>
      <c r="C661" s="14">
        <f>97.537 * CHOOSE(CONTROL!$C$9, $D$9, 100%, $F$9) + CHOOSE(CONTROL!$C$27, 0.0021, 0)</f>
        <v>97.539100000000005</v>
      </c>
      <c r="D661" s="14">
        <f>97.537 * CHOOSE(CONTROL!$C$9, $D$9, 100%, $F$9) + CHOOSE(CONTROL!$C$27, 0.0021, 0)</f>
        <v>97.539100000000005</v>
      </c>
      <c r="E661" s="14">
        <f>97.4003 * CHOOSE(CONTROL!$C$9, $D$9, 100%, $F$9) + CHOOSE(CONTROL!$C$27, 0.0021, 0)</f>
        <v>97.4024</v>
      </c>
      <c r="F661" s="14">
        <f>97.4003 * CHOOSE(CONTROL!$C$9, $D$9, 100%, $F$9) + CHOOSE(CONTROL!$C$27, 0.0021, 0)</f>
        <v>97.4024</v>
      </c>
      <c r="G661" s="14">
        <f>97.6717 * CHOOSE(CONTROL!$C$9, $D$9, 100%, $F$9) + CHOOSE(CONTROL!$C$27, 0.0021, 0)</f>
        <v>97.6738</v>
      </c>
      <c r="H661" s="14">
        <f>97.537 * CHOOSE(CONTROL!$C$9, $D$9, 100%, $F$9) + CHOOSE(CONTROL!$C$27, 0.0021, 0)</f>
        <v>97.539100000000005</v>
      </c>
      <c r="I661" s="14">
        <f>97.537 * CHOOSE(CONTROL!$C$9, $D$9, 100%, $F$9) + CHOOSE(CONTROL!$C$27, 0.0021, 0)</f>
        <v>97.539100000000005</v>
      </c>
      <c r="J661" s="14">
        <f>97.537 * CHOOSE(CONTROL!$C$9, $D$9, 100%, $F$9) + CHOOSE(CONTROL!$C$27, 0.0021, 0)</f>
        <v>97.539100000000005</v>
      </c>
      <c r="K661" s="14">
        <f>97.537 * CHOOSE(CONTROL!$C$9, $D$9, 100%, $F$9) + CHOOSE(CONTROL!$C$27, 0.0021, 0)</f>
        <v>97.539100000000005</v>
      </c>
      <c r="L661" s="14"/>
    </row>
    <row r="662" spans="1:12" ht="15.75" x14ac:dyDescent="0.25">
      <c r="A662" s="32">
        <v>61087</v>
      </c>
      <c r="B662" s="14">
        <f>103.012 * CHOOSE(CONTROL!$C$9, $D$9, 100%, $F$9) + CHOOSE(CONTROL!$C$27, 0.0021, 0)</f>
        <v>103.0141</v>
      </c>
      <c r="C662" s="14">
        <f>102.5797 * CHOOSE(CONTROL!$C$9, $D$9, 100%, $F$9) + CHOOSE(CONTROL!$C$27, 0.0021, 0)</f>
        <v>102.5818</v>
      </c>
      <c r="D662" s="14">
        <f>102.5797 * CHOOSE(CONTROL!$C$9, $D$9, 100%, $F$9) + CHOOSE(CONTROL!$C$27, 0.0021, 0)</f>
        <v>102.5818</v>
      </c>
      <c r="E662" s="14">
        <f>102.4431 * CHOOSE(CONTROL!$C$9, $D$9, 100%, $F$9) + CHOOSE(CONTROL!$C$27, 0.0021, 0)</f>
        <v>102.4452</v>
      </c>
      <c r="F662" s="14">
        <f>102.4431 * CHOOSE(CONTROL!$C$9, $D$9, 100%, $F$9) + CHOOSE(CONTROL!$C$27, 0.0021, 0)</f>
        <v>102.4452</v>
      </c>
      <c r="G662" s="14">
        <f>102.7144 * CHOOSE(CONTROL!$C$9, $D$9, 100%, $F$9) + CHOOSE(CONTROL!$C$27, 0.0021, 0)</f>
        <v>102.7165</v>
      </c>
      <c r="H662" s="14">
        <f>102.5797 * CHOOSE(CONTROL!$C$9, $D$9, 100%, $F$9) + CHOOSE(CONTROL!$C$27, 0.0021, 0)</f>
        <v>102.5818</v>
      </c>
      <c r="I662" s="14">
        <f>102.5797 * CHOOSE(CONTROL!$C$9, $D$9, 100%, $F$9) + CHOOSE(CONTROL!$C$27, 0.0021, 0)</f>
        <v>102.5818</v>
      </c>
      <c r="J662" s="14">
        <f>102.5797 * CHOOSE(CONTROL!$C$9, $D$9, 100%, $F$9) + CHOOSE(CONTROL!$C$27, 0.0021, 0)</f>
        <v>102.5818</v>
      </c>
      <c r="K662" s="14">
        <f>102.5797 * CHOOSE(CONTROL!$C$9, $D$9, 100%, $F$9) + CHOOSE(CONTROL!$C$27, 0.0021, 0)</f>
        <v>102.5818</v>
      </c>
      <c r="L662" s="14"/>
    </row>
    <row r="663" spans="1:12" ht="15.75" x14ac:dyDescent="0.25">
      <c r="A663" s="32">
        <v>61117</v>
      </c>
      <c r="B663" s="14">
        <f>109.5512 * CHOOSE(CONTROL!$C$9, $D$9, 100%, $F$9) + CHOOSE(CONTROL!$C$27, 0.0021, 0)</f>
        <v>109.55329999999999</v>
      </c>
      <c r="C663" s="14">
        <f>109.1189 * CHOOSE(CONTROL!$C$9, $D$9, 100%, $F$9) + CHOOSE(CONTROL!$C$27, 0.0021, 0)</f>
        <v>109.121</v>
      </c>
      <c r="D663" s="14">
        <f>109.1189 * CHOOSE(CONTROL!$C$9, $D$9, 100%, $F$9) + CHOOSE(CONTROL!$C$27, 0.0021, 0)</f>
        <v>109.121</v>
      </c>
      <c r="E663" s="14">
        <f>108.9823 * CHOOSE(CONTROL!$C$9, $D$9, 100%, $F$9) + CHOOSE(CONTROL!$C$27, 0.0021, 0)</f>
        <v>108.98439999999999</v>
      </c>
      <c r="F663" s="14">
        <f>108.9823 * CHOOSE(CONTROL!$C$9, $D$9, 100%, $F$9) + CHOOSE(CONTROL!$C$27, 0.0021, 0)</f>
        <v>108.98439999999999</v>
      </c>
      <c r="G663" s="14">
        <f>109.2536 * CHOOSE(CONTROL!$C$9, $D$9, 100%, $F$9) + CHOOSE(CONTROL!$C$27, 0.0021, 0)</f>
        <v>109.2557</v>
      </c>
      <c r="H663" s="14">
        <f>109.1189 * CHOOSE(CONTROL!$C$9, $D$9, 100%, $F$9) + CHOOSE(CONTROL!$C$27, 0.0021, 0)</f>
        <v>109.121</v>
      </c>
      <c r="I663" s="14">
        <f>109.1189 * CHOOSE(CONTROL!$C$9, $D$9, 100%, $F$9) + CHOOSE(CONTROL!$C$27, 0.0021, 0)</f>
        <v>109.121</v>
      </c>
      <c r="J663" s="14">
        <f>109.1189 * CHOOSE(CONTROL!$C$9, $D$9, 100%, $F$9) + CHOOSE(CONTROL!$C$27, 0.0021, 0)</f>
        <v>109.121</v>
      </c>
      <c r="K663" s="14">
        <f>109.1189 * CHOOSE(CONTROL!$C$9, $D$9, 100%, $F$9) + CHOOSE(CONTROL!$C$27, 0.0021, 0)</f>
        <v>109.121</v>
      </c>
      <c r="L663" s="14"/>
    </row>
    <row r="664" spans="1:12" ht="15.75" x14ac:dyDescent="0.25">
      <c r="A664" s="32">
        <v>61148</v>
      </c>
      <c r="B664" s="14">
        <f>113.1506 * CHOOSE(CONTROL!$C$9, $D$9, 100%, $F$9) + CHOOSE(CONTROL!$C$27, 0.0021, 0)</f>
        <v>113.1527</v>
      </c>
      <c r="C664" s="14">
        <f>112.7183 * CHOOSE(CONTROL!$C$9, $D$9, 100%, $F$9) + CHOOSE(CONTROL!$C$27, 0.0021, 0)</f>
        <v>112.7204</v>
      </c>
      <c r="D664" s="14">
        <f>112.7183 * CHOOSE(CONTROL!$C$9, $D$9, 100%, $F$9) + CHOOSE(CONTROL!$C$27, 0.0021, 0)</f>
        <v>112.7204</v>
      </c>
      <c r="E664" s="14">
        <f>112.5817 * CHOOSE(CONTROL!$C$9, $D$9, 100%, $F$9) + CHOOSE(CONTROL!$C$27, 0.0021, 0)</f>
        <v>112.5838</v>
      </c>
      <c r="F664" s="14">
        <f>112.5817 * CHOOSE(CONTROL!$C$9, $D$9, 100%, $F$9) + CHOOSE(CONTROL!$C$27, 0.0021, 0)</f>
        <v>112.5838</v>
      </c>
      <c r="G664" s="14">
        <f>112.853 * CHOOSE(CONTROL!$C$9, $D$9, 100%, $F$9) + CHOOSE(CONTROL!$C$27, 0.0021, 0)</f>
        <v>112.85509999999999</v>
      </c>
      <c r="H664" s="14">
        <f>112.7183 * CHOOSE(CONTROL!$C$9, $D$9, 100%, $F$9) + CHOOSE(CONTROL!$C$27, 0.0021, 0)</f>
        <v>112.7204</v>
      </c>
      <c r="I664" s="14">
        <f>112.7183 * CHOOSE(CONTROL!$C$9, $D$9, 100%, $F$9) + CHOOSE(CONTROL!$C$27, 0.0021, 0)</f>
        <v>112.7204</v>
      </c>
      <c r="J664" s="14">
        <f>112.7183 * CHOOSE(CONTROL!$C$9, $D$9, 100%, $F$9) + CHOOSE(CONTROL!$C$27, 0.0021, 0)</f>
        <v>112.7204</v>
      </c>
      <c r="K664" s="14">
        <f>112.7183 * CHOOSE(CONTROL!$C$9, $D$9, 100%, $F$9) + CHOOSE(CONTROL!$C$27, 0.0021, 0)</f>
        <v>112.7204</v>
      </c>
      <c r="L664" s="14"/>
    </row>
    <row r="665" spans="1:12" ht="15.75" x14ac:dyDescent="0.25">
      <c r="A665" s="32">
        <v>61178</v>
      </c>
      <c r="B665" s="14">
        <f>114.7479 * CHOOSE(CONTROL!$C$9, $D$9, 100%, $F$9) + CHOOSE(CONTROL!$C$27, 0.0021, 0)</f>
        <v>114.75</v>
      </c>
      <c r="C665" s="14">
        <f>114.3157 * CHOOSE(CONTROL!$C$9, $D$9, 100%, $F$9) + CHOOSE(CONTROL!$C$27, 0.0021, 0)</f>
        <v>114.31780000000001</v>
      </c>
      <c r="D665" s="14">
        <f>114.3157 * CHOOSE(CONTROL!$C$9, $D$9, 100%, $F$9) + CHOOSE(CONTROL!$C$27, 0.0021, 0)</f>
        <v>114.31780000000001</v>
      </c>
      <c r="E665" s="14">
        <f>114.179 * CHOOSE(CONTROL!$C$9, $D$9, 100%, $F$9) + CHOOSE(CONTROL!$C$27, 0.0021, 0)</f>
        <v>114.1811</v>
      </c>
      <c r="F665" s="14">
        <f>114.179 * CHOOSE(CONTROL!$C$9, $D$9, 100%, $F$9) + CHOOSE(CONTROL!$C$27, 0.0021, 0)</f>
        <v>114.1811</v>
      </c>
      <c r="G665" s="14">
        <f>114.4504 * CHOOSE(CONTROL!$C$9, $D$9, 100%, $F$9) + CHOOSE(CONTROL!$C$27, 0.0021, 0)</f>
        <v>114.4525</v>
      </c>
      <c r="H665" s="14">
        <f>114.3157 * CHOOSE(CONTROL!$C$9, $D$9, 100%, $F$9) + CHOOSE(CONTROL!$C$27, 0.0021, 0)</f>
        <v>114.31780000000001</v>
      </c>
      <c r="I665" s="14">
        <f>114.3157 * CHOOSE(CONTROL!$C$9, $D$9, 100%, $F$9) + CHOOSE(CONTROL!$C$27, 0.0021, 0)</f>
        <v>114.31780000000001</v>
      </c>
      <c r="J665" s="14">
        <f>114.3157 * CHOOSE(CONTROL!$C$9, $D$9, 100%, $F$9) + CHOOSE(CONTROL!$C$27, 0.0021, 0)</f>
        <v>114.31780000000001</v>
      </c>
      <c r="K665" s="14">
        <f>114.3157 * CHOOSE(CONTROL!$C$9, $D$9, 100%, $F$9) + CHOOSE(CONTROL!$C$27, 0.0021, 0)</f>
        <v>114.31780000000001</v>
      </c>
      <c r="L665" s="14"/>
    </row>
    <row r="666" spans="1:12" ht="15.75" x14ac:dyDescent="0.25">
      <c r="A666" s="32">
        <v>61209</v>
      </c>
      <c r="B666" s="14">
        <f>114.222 * CHOOSE(CONTROL!$C$9, $D$9, 100%, $F$9) + CHOOSE(CONTROL!$C$27, 0.0021, 0)</f>
        <v>114.22409999999999</v>
      </c>
      <c r="C666" s="14">
        <f>113.7897 * CHOOSE(CONTROL!$C$9, $D$9, 100%, $F$9) + CHOOSE(CONTROL!$C$27, 0.0021, 0)</f>
        <v>113.79179999999999</v>
      </c>
      <c r="D666" s="14">
        <f>113.7897 * CHOOSE(CONTROL!$C$9, $D$9, 100%, $F$9) + CHOOSE(CONTROL!$C$27, 0.0021, 0)</f>
        <v>113.79179999999999</v>
      </c>
      <c r="E666" s="14">
        <f>113.6531 * CHOOSE(CONTROL!$C$9, $D$9, 100%, $F$9) + CHOOSE(CONTROL!$C$27, 0.0021, 0)</f>
        <v>113.65519999999999</v>
      </c>
      <c r="F666" s="14">
        <f>113.6531 * CHOOSE(CONTROL!$C$9, $D$9, 100%, $F$9) + CHOOSE(CONTROL!$C$27, 0.0021, 0)</f>
        <v>113.65519999999999</v>
      </c>
      <c r="G666" s="14">
        <f>113.9245 * CHOOSE(CONTROL!$C$9, $D$9, 100%, $F$9) + CHOOSE(CONTROL!$C$27, 0.0021, 0)</f>
        <v>113.92659999999999</v>
      </c>
      <c r="H666" s="14">
        <f>113.7897 * CHOOSE(CONTROL!$C$9, $D$9, 100%, $F$9) + CHOOSE(CONTROL!$C$27, 0.0021, 0)</f>
        <v>113.79179999999999</v>
      </c>
      <c r="I666" s="14">
        <f>113.7897 * CHOOSE(CONTROL!$C$9, $D$9, 100%, $F$9) + CHOOSE(CONTROL!$C$27, 0.0021, 0)</f>
        <v>113.79179999999999</v>
      </c>
      <c r="J666" s="14">
        <f>113.7897 * CHOOSE(CONTROL!$C$9, $D$9, 100%, $F$9) + CHOOSE(CONTROL!$C$27, 0.0021, 0)</f>
        <v>113.79179999999999</v>
      </c>
      <c r="K666" s="14">
        <f>113.7897 * CHOOSE(CONTROL!$C$9, $D$9, 100%, $F$9) + CHOOSE(CONTROL!$C$27, 0.0021, 0)</f>
        <v>113.79179999999999</v>
      </c>
      <c r="L666" s="14"/>
    </row>
    <row r="667" spans="1:12" ht="15.75" x14ac:dyDescent="0.25">
      <c r="A667" s="32">
        <v>61240</v>
      </c>
      <c r="B667" s="14">
        <f>111.6163 * CHOOSE(CONTROL!$C$9, $D$9, 100%, $F$9) + CHOOSE(CONTROL!$C$27, 0.0021, 0)</f>
        <v>111.61839999999999</v>
      </c>
      <c r="C667" s="14">
        <f>111.1841 * CHOOSE(CONTROL!$C$9, $D$9, 100%, $F$9) + CHOOSE(CONTROL!$C$27, 0.0021, 0)</f>
        <v>111.1862</v>
      </c>
      <c r="D667" s="14">
        <f>111.1841 * CHOOSE(CONTROL!$C$9, $D$9, 100%, $F$9) + CHOOSE(CONTROL!$C$27, 0.0021, 0)</f>
        <v>111.1862</v>
      </c>
      <c r="E667" s="14">
        <f>111.0474 * CHOOSE(CONTROL!$C$9, $D$9, 100%, $F$9) + CHOOSE(CONTROL!$C$27, 0.0021, 0)</f>
        <v>111.04949999999999</v>
      </c>
      <c r="F667" s="14">
        <f>111.0474 * CHOOSE(CONTROL!$C$9, $D$9, 100%, $F$9) + CHOOSE(CONTROL!$C$27, 0.0021, 0)</f>
        <v>111.04949999999999</v>
      </c>
      <c r="G667" s="14">
        <f>111.3188 * CHOOSE(CONTROL!$C$9, $D$9, 100%, $F$9) + CHOOSE(CONTROL!$C$27, 0.0021, 0)</f>
        <v>111.32089999999999</v>
      </c>
      <c r="H667" s="14">
        <f>111.1841 * CHOOSE(CONTROL!$C$9, $D$9, 100%, $F$9) + CHOOSE(CONTROL!$C$27, 0.0021, 0)</f>
        <v>111.1862</v>
      </c>
      <c r="I667" s="14">
        <f>111.1841 * CHOOSE(CONTROL!$C$9, $D$9, 100%, $F$9) + CHOOSE(CONTROL!$C$27, 0.0021, 0)</f>
        <v>111.1862</v>
      </c>
      <c r="J667" s="14">
        <f>111.1841 * CHOOSE(CONTROL!$C$9, $D$9, 100%, $F$9) + CHOOSE(CONTROL!$C$27, 0.0021, 0)</f>
        <v>111.1862</v>
      </c>
      <c r="K667" s="14">
        <f>111.1841 * CHOOSE(CONTROL!$C$9, $D$9, 100%, $F$9) + CHOOSE(CONTROL!$C$27, 0.0021, 0)</f>
        <v>111.1862</v>
      </c>
      <c r="L667" s="14"/>
    </row>
    <row r="668" spans="1:12" ht="15.75" x14ac:dyDescent="0.25">
      <c r="A668" s="32">
        <v>61270</v>
      </c>
      <c r="B668" s="14">
        <f>107.9826 * CHOOSE(CONTROL!$C$9, $D$9, 100%, $F$9) + CHOOSE(CONTROL!$C$27, 0.0021, 0)</f>
        <v>107.9847</v>
      </c>
      <c r="C668" s="14">
        <f>107.5503 * CHOOSE(CONTROL!$C$9, $D$9, 100%, $F$9) + CHOOSE(CONTROL!$C$27, 0.0021, 0)</f>
        <v>107.55239999999999</v>
      </c>
      <c r="D668" s="14">
        <f>107.5503 * CHOOSE(CONTROL!$C$9, $D$9, 100%, $F$9) + CHOOSE(CONTROL!$C$27, 0.0021, 0)</f>
        <v>107.55239999999999</v>
      </c>
      <c r="E668" s="14">
        <f>107.4137 * CHOOSE(CONTROL!$C$9, $D$9, 100%, $F$9) + CHOOSE(CONTROL!$C$27, 0.0021, 0)</f>
        <v>107.4158</v>
      </c>
      <c r="F668" s="14">
        <f>107.4137 * CHOOSE(CONTROL!$C$9, $D$9, 100%, $F$9) + CHOOSE(CONTROL!$C$27, 0.0021, 0)</f>
        <v>107.4158</v>
      </c>
      <c r="G668" s="14">
        <f>107.685 * CHOOSE(CONTROL!$C$9, $D$9, 100%, $F$9) + CHOOSE(CONTROL!$C$27, 0.0021, 0)</f>
        <v>107.6871</v>
      </c>
      <c r="H668" s="14">
        <f>107.5503 * CHOOSE(CONTROL!$C$9, $D$9, 100%, $F$9) + CHOOSE(CONTROL!$C$27, 0.0021, 0)</f>
        <v>107.55239999999999</v>
      </c>
      <c r="I668" s="14">
        <f>107.5503 * CHOOSE(CONTROL!$C$9, $D$9, 100%, $F$9) + CHOOSE(CONTROL!$C$27, 0.0021, 0)</f>
        <v>107.55239999999999</v>
      </c>
      <c r="J668" s="14">
        <f>107.5503 * CHOOSE(CONTROL!$C$9, $D$9, 100%, $F$9) + CHOOSE(CONTROL!$C$27, 0.0021, 0)</f>
        <v>107.55239999999999</v>
      </c>
      <c r="K668" s="14">
        <f>107.5503 * CHOOSE(CONTROL!$C$9, $D$9, 100%, $F$9) + CHOOSE(CONTROL!$C$27, 0.0021, 0)</f>
        <v>107.55239999999999</v>
      </c>
      <c r="L668" s="14"/>
    </row>
    <row r="669" spans="1:12" ht="15.75" x14ac:dyDescent="0.25">
      <c r="A669" s="32">
        <v>61301</v>
      </c>
      <c r="B669" s="14">
        <f>104.3277 * CHOOSE(CONTROL!$C$9, $D$9, 100%, $F$9) + CHOOSE(CONTROL!$C$27, 0.0021, 0)</f>
        <v>104.32979999999999</v>
      </c>
      <c r="C669" s="14">
        <f>103.8954 * CHOOSE(CONTROL!$C$9, $D$9, 100%, $F$9) + CHOOSE(CONTROL!$C$27, 0.0021, 0)</f>
        <v>103.89749999999999</v>
      </c>
      <c r="D669" s="14">
        <f>103.8954 * CHOOSE(CONTROL!$C$9, $D$9, 100%, $F$9) + CHOOSE(CONTROL!$C$27, 0.0021, 0)</f>
        <v>103.89749999999999</v>
      </c>
      <c r="E669" s="14">
        <f>103.7588 * CHOOSE(CONTROL!$C$9, $D$9, 100%, $F$9) + CHOOSE(CONTROL!$C$27, 0.0021, 0)</f>
        <v>103.76089999999999</v>
      </c>
      <c r="F669" s="14">
        <f>103.7588 * CHOOSE(CONTROL!$C$9, $D$9, 100%, $F$9) + CHOOSE(CONTROL!$C$27, 0.0021, 0)</f>
        <v>103.76089999999999</v>
      </c>
      <c r="G669" s="14">
        <f>104.0302 * CHOOSE(CONTROL!$C$9, $D$9, 100%, $F$9) + CHOOSE(CONTROL!$C$27, 0.0021, 0)</f>
        <v>104.03229999999999</v>
      </c>
      <c r="H669" s="14">
        <f>103.8954 * CHOOSE(CONTROL!$C$9, $D$9, 100%, $F$9) + CHOOSE(CONTROL!$C$27, 0.0021, 0)</f>
        <v>103.89749999999999</v>
      </c>
      <c r="I669" s="14">
        <f>103.8954 * CHOOSE(CONTROL!$C$9, $D$9, 100%, $F$9) + CHOOSE(CONTROL!$C$27, 0.0021, 0)</f>
        <v>103.89749999999999</v>
      </c>
      <c r="J669" s="14">
        <f>103.8954 * CHOOSE(CONTROL!$C$9, $D$9, 100%, $F$9) + CHOOSE(CONTROL!$C$27, 0.0021, 0)</f>
        <v>103.89749999999999</v>
      </c>
      <c r="K669" s="14">
        <f>103.8954 * CHOOSE(CONTROL!$C$9, $D$9, 100%, $F$9) + CHOOSE(CONTROL!$C$27, 0.0021, 0)</f>
        <v>103.89749999999999</v>
      </c>
      <c r="L669" s="14"/>
    </row>
    <row r="670" spans="1:12" ht="15.75" x14ac:dyDescent="0.25">
      <c r="A670" s="32">
        <v>61331</v>
      </c>
      <c r="B670" s="14">
        <f>103.6007 * CHOOSE(CONTROL!$C$9, $D$9, 100%, $F$9) + CHOOSE(CONTROL!$C$27, 0.0021, 0)</f>
        <v>103.6028</v>
      </c>
      <c r="C670" s="14">
        <f>103.1684 * CHOOSE(CONTROL!$C$9, $D$9, 100%, $F$9) + CHOOSE(CONTROL!$C$27, 0.0021, 0)</f>
        <v>103.1705</v>
      </c>
      <c r="D670" s="14">
        <f>103.1684 * CHOOSE(CONTROL!$C$9, $D$9, 100%, $F$9) + CHOOSE(CONTROL!$C$27, 0.0021, 0)</f>
        <v>103.1705</v>
      </c>
      <c r="E670" s="14">
        <f>103.0318 * CHOOSE(CONTROL!$C$9, $D$9, 100%, $F$9) + CHOOSE(CONTROL!$C$27, 0.0021, 0)</f>
        <v>103.0339</v>
      </c>
      <c r="F670" s="14">
        <f>103.0318 * CHOOSE(CONTROL!$C$9, $D$9, 100%, $F$9) + CHOOSE(CONTROL!$C$27, 0.0021, 0)</f>
        <v>103.0339</v>
      </c>
      <c r="G670" s="14">
        <f>103.3031 * CHOOSE(CONTROL!$C$9, $D$9, 100%, $F$9) + CHOOSE(CONTROL!$C$27, 0.0021, 0)</f>
        <v>103.3052</v>
      </c>
      <c r="H670" s="14">
        <f>103.1684 * CHOOSE(CONTROL!$C$9, $D$9, 100%, $F$9) + CHOOSE(CONTROL!$C$27, 0.0021, 0)</f>
        <v>103.1705</v>
      </c>
      <c r="I670" s="14">
        <f>103.1684 * CHOOSE(CONTROL!$C$9, $D$9, 100%, $F$9) + CHOOSE(CONTROL!$C$27, 0.0021, 0)</f>
        <v>103.1705</v>
      </c>
      <c r="J670" s="14">
        <f>103.1684 * CHOOSE(CONTROL!$C$9, $D$9, 100%, $F$9) + CHOOSE(CONTROL!$C$27, 0.0021, 0)</f>
        <v>103.1705</v>
      </c>
      <c r="K670" s="14">
        <f>103.1684 * CHOOSE(CONTROL!$C$9, $D$9, 100%, $F$9) + CHOOSE(CONTROL!$C$27, 0.0021, 0)</f>
        <v>103.1705</v>
      </c>
      <c r="L670" s="14"/>
    </row>
    <row r="671" spans="1:12" ht="15.75" x14ac:dyDescent="0.25">
      <c r="A671" s="32">
        <v>61362</v>
      </c>
      <c r="B671" s="14">
        <f>100.5943 * CHOOSE(CONTROL!$C$9, $D$9, 100%, $F$9) + CHOOSE(CONTROL!$C$27, 0.0021, 0)</f>
        <v>100.5964</v>
      </c>
      <c r="C671" s="14">
        <f>100.1621 * CHOOSE(CONTROL!$C$9, $D$9, 100%, $F$9) + CHOOSE(CONTROL!$C$27, 0.0021, 0)</f>
        <v>100.16419999999999</v>
      </c>
      <c r="D671" s="14">
        <f>100.1621 * CHOOSE(CONTROL!$C$9, $D$9, 100%, $F$9) + CHOOSE(CONTROL!$C$27, 0.0021, 0)</f>
        <v>100.16419999999999</v>
      </c>
      <c r="E671" s="14">
        <f>100.0254 * CHOOSE(CONTROL!$C$9, $D$9, 100%, $F$9) + CHOOSE(CONTROL!$C$27, 0.0021, 0)</f>
        <v>100.0275</v>
      </c>
      <c r="F671" s="14">
        <f>100.0254 * CHOOSE(CONTROL!$C$9, $D$9, 100%, $F$9) + CHOOSE(CONTROL!$C$27, 0.0021, 0)</f>
        <v>100.0275</v>
      </c>
      <c r="G671" s="14">
        <f>100.2968 * CHOOSE(CONTROL!$C$9, $D$9, 100%, $F$9) + CHOOSE(CONTROL!$C$27, 0.0021, 0)</f>
        <v>100.2989</v>
      </c>
      <c r="H671" s="14">
        <f>100.1621 * CHOOSE(CONTROL!$C$9, $D$9, 100%, $F$9) + CHOOSE(CONTROL!$C$27, 0.0021, 0)</f>
        <v>100.16419999999999</v>
      </c>
      <c r="I671" s="14">
        <f>100.1621 * CHOOSE(CONTROL!$C$9, $D$9, 100%, $F$9) + CHOOSE(CONTROL!$C$27, 0.0021, 0)</f>
        <v>100.16419999999999</v>
      </c>
      <c r="J671" s="14">
        <f>100.1621 * CHOOSE(CONTROL!$C$9, $D$9, 100%, $F$9) + CHOOSE(CONTROL!$C$27, 0.0021, 0)</f>
        <v>100.16419999999999</v>
      </c>
      <c r="K671" s="14">
        <f>100.1621 * CHOOSE(CONTROL!$C$9, $D$9, 100%, $F$9) + CHOOSE(CONTROL!$C$27, 0.0021, 0)</f>
        <v>100.16419999999999</v>
      </c>
      <c r="L671" s="14"/>
    </row>
    <row r="672" spans="1:12" ht="15.75" x14ac:dyDescent="0.25">
      <c r="A672" s="32">
        <v>61393</v>
      </c>
      <c r="B672" s="14">
        <f>100.009 * CHOOSE(CONTROL!$C$9, $D$9, 100%, $F$9) + CHOOSE(CONTROL!$C$27, 0.0021, 0)</f>
        <v>100.0111</v>
      </c>
      <c r="C672" s="14">
        <f>99.5768 * CHOOSE(CONTROL!$C$9, $D$9, 100%, $F$9) + CHOOSE(CONTROL!$C$27, 0.0021, 0)</f>
        <v>99.578900000000004</v>
      </c>
      <c r="D672" s="14">
        <f>99.5768 * CHOOSE(CONTROL!$C$9, $D$9, 100%, $F$9) + CHOOSE(CONTROL!$C$27, 0.0021, 0)</f>
        <v>99.578900000000004</v>
      </c>
      <c r="E672" s="14">
        <f>99.4401 * CHOOSE(CONTROL!$C$9, $D$9, 100%, $F$9) + CHOOSE(CONTROL!$C$27, 0.0021, 0)</f>
        <v>99.4422</v>
      </c>
      <c r="F672" s="14">
        <f>99.4401 * CHOOSE(CONTROL!$C$9, $D$9, 100%, $F$9) + CHOOSE(CONTROL!$C$27, 0.0021, 0)</f>
        <v>99.4422</v>
      </c>
      <c r="G672" s="14">
        <f>99.7115 * CHOOSE(CONTROL!$C$9, $D$9, 100%, $F$9) + CHOOSE(CONTROL!$C$27, 0.0021, 0)</f>
        <v>99.7136</v>
      </c>
      <c r="H672" s="14">
        <f>99.5768 * CHOOSE(CONTROL!$C$9, $D$9, 100%, $F$9) + CHOOSE(CONTROL!$C$27, 0.0021, 0)</f>
        <v>99.578900000000004</v>
      </c>
      <c r="I672" s="14">
        <f>99.5768 * CHOOSE(CONTROL!$C$9, $D$9, 100%, $F$9) + CHOOSE(CONTROL!$C$27, 0.0021, 0)</f>
        <v>99.578900000000004</v>
      </c>
      <c r="J672" s="14">
        <f>99.5768 * CHOOSE(CONTROL!$C$9, $D$9, 100%, $F$9) + CHOOSE(CONTROL!$C$27, 0.0021, 0)</f>
        <v>99.578900000000004</v>
      </c>
      <c r="K672" s="14">
        <f>99.5768 * CHOOSE(CONTROL!$C$9, $D$9, 100%, $F$9) + CHOOSE(CONTROL!$C$27, 0.0021, 0)</f>
        <v>99.578900000000004</v>
      </c>
      <c r="L672" s="14"/>
    </row>
    <row r="673" spans="1:12" ht="15.75" x14ac:dyDescent="0.25">
      <c r="A673" s="32">
        <v>61422</v>
      </c>
      <c r="B673" s="14">
        <f>99.7374 * CHOOSE(CONTROL!$C$9, $D$9, 100%, $F$9) + CHOOSE(CONTROL!$C$27, 0.0021, 0)</f>
        <v>99.739499999999992</v>
      </c>
      <c r="C673" s="14">
        <f>99.3052 * CHOOSE(CONTROL!$C$9, $D$9, 100%, $F$9) + CHOOSE(CONTROL!$C$27, 0.0021, 0)</f>
        <v>99.307299999999998</v>
      </c>
      <c r="D673" s="14">
        <f>99.3052 * CHOOSE(CONTROL!$C$9, $D$9, 100%, $F$9) + CHOOSE(CONTROL!$C$27, 0.0021, 0)</f>
        <v>99.307299999999998</v>
      </c>
      <c r="E673" s="14">
        <f>99.1685 * CHOOSE(CONTROL!$C$9, $D$9, 100%, $F$9) + CHOOSE(CONTROL!$C$27, 0.0021, 0)</f>
        <v>99.170599999999993</v>
      </c>
      <c r="F673" s="14">
        <f>99.1685 * CHOOSE(CONTROL!$C$9, $D$9, 100%, $F$9) + CHOOSE(CONTROL!$C$27, 0.0021, 0)</f>
        <v>99.170599999999993</v>
      </c>
      <c r="G673" s="14">
        <f>99.4399 * CHOOSE(CONTROL!$C$9, $D$9, 100%, $F$9) + CHOOSE(CONTROL!$C$27, 0.0021, 0)</f>
        <v>99.441999999999993</v>
      </c>
      <c r="H673" s="14">
        <f>99.3052 * CHOOSE(CONTROL!$C$9, $D$9, 100%, $F$9) + CHOOSE(CONTROL!$C$27, 0.0021, 0)</f>
        <v>99.307299999999998</v>
      </c>
      <c r="I673" s="14">
        <f>99.3052 * CHOOSE(CONTROL!$C$9, $D$9, 100%, $F$9) + CHOOSE(CONTROL!$C$27, 0.0021, 0)</f>
        <v>99.307299999999998</v>
      </c>
      <c r="J673" s="14">
        <f>99.3052 * CHOOSE(CONTROL!$C$9, $D$9, 100%, $F$9) + CHOOSE(CONTROL!$C$27, 0.0021, 0)</f>
        <v>99.307299999999998</v>
      </c>
      <c r="K673" s="14">
        <f>99.3052 * CHOOSE(CONTROL!$C$9, $D$9, 100%, $F$9) + CHOOSE(CONTROL!$C$27, 0.0021, 0)</f>
        <v>99.307299999999998</v>
      </c>
      <c r="L673" s="14"/>
    </row>
    <row r="674" spans="1:12" ht="15.75" x14ac:dyDescent="0.25">
      <c r="A674" s="32">
        <v>61453</v>
      </c>
      <c r="B674" s="14">
        <f>104.8733 * CHOOSE(CONTROL!$C$9, $D$9, 100%, $F$9) + CHOOSE(CONTROL!$C$27, 0.0021, 0)</f>
        <v>104.8754</v>
      </c>
      <c r="C674" s="14">
        <f>104.4411 * CHOOSE(CONTROL!$C$9, $D$9, 100%, $F$9) + CHOOSE(CONTROL!$C$27, 0.0021, 0)</f>
        <v>104.4432</v>
      </c>
      <c r="D674" s="14">
        <f>104.4411 * CHOOSE(CONTROL!$C$9, $D$9, 100%, $F$9) + CHOOSE(CONTROL!$C$27, 0.0021, 0)</f>
        <v>104.4432</v>
      </c>
      <c r="E674" s="14">
        <f>104.3044 * CHOOSE(CONTROL!$C$9, $D$9, 100%, $F$9) + CHOOSE(CONTROL!$C$27, 0.0021, 0)</f>
        <v>104.3065</v>
      </c>
      <c r="F674" s="14">
        <f>104.3044 * CHOOSE(CONTROL!$C$9, $D$9, 100%, $F$9) + CHOOSE(CONTROL!$C$27, 0.0021, 0)</f>
        <v>104.3065</v>
      </c>
      <c r="G674" s="14">
        <f>104.5758 * CHOOSE(CONTROL!$C$9, $D$9, 100%, $F$9) + CHOOSE(CONTROL!$C$27, 0.0021, 0)</f>
        <v>104.5779</v>
      </c>
      <c r="H674" s="14">
        <f>104.4411 * CHOOSE(CONTROL!$C$9, $D$9, 100%, $F$9) + CHOOSE(CONTROL!$C$27, 0.0021, 0)</f>
        <v>104.4432</v>
      </c>
      <c r="I674" s="14">
        <f>104.4411 * CHOOSE(CONTROL!$C$9, $D$9, 100%, $F$9) + CHOOSE(CONTROL!$C$27, 0.0021, 0)</f>
        <v>104.4432</v>
      </c>
      <c r="J674" s="14">
        <f>104.4411 * CHOOSE(CONTROL!$C$9, $D$9, 100%, $F$9) + CHOOSE(CONTROL!$C$27, 0.0021, 0)</f>
        <v>104.4432</v>
      </c>
      <c r="K674" s="14">
        <f>104.4411 * CHOOSE(CONTROL!$C$9, $D$9, 100%, $F$9) + CHOOSE(CONTROL!$C$27, 0.0021, 0)</f>
        <v>104.4432</v>
      </c>
      <c r="L674" s="14"/>
    </row>
    <row r="675" spans="1:12" ht="15.75" x14ac:dyDescent="0.25">
      <c r="A675" s="32">
        <v>61483</v>
      </c>
      <c r="B675" s="14">
        <f>111.5334 * CHOOSE(CONTROL!$C$9, $D$9, 100%, $F$9) + CHOOSE(CONTROL!$C$27, 0.0021, 0)</f>
        <v>111.5355</v>
      </c>
      <c r="C675" s="14">
        <f>111.1011 * CHOOSE(CONTROL!$C$9, $D$9, 100%, $F$9) + CHOOSE(CONTROL!$C$27, 0.0021, 0)</f>
        <v>111.1032</v>
      </c>
      <c r="D675" s="14">
        <f>111.1011 * CHOOSE(CONTROL!$C$9, $D$9, 100%, $F$9) + CHOOSE(CONTROL!$C$27, 0.0021, 0)</f>
        <v>111.1032</v>
      </c>
      <c r="E675" s="14">
        <f>110.9645 * CHOOSE(CONTROL!$C$9, $D$9, 100%, $F$9) + CHOOSE(CONTROL!$C$27, 0.0021, 0)</f>
        <v>110.9666</v>
      </c>
      <c r="F675" s="14">
        <f>110.9645 * CHOOSE(CONTROL!$C$9, $D$9, 100%, $F$9) + CHOOSE(CONTROL!$C$27, 0.0021, 0)</f>
        <v>110.9666</v>
      </c>
      <c r="G675" s="14">
        <f>111.2359 * CHOOSE(CONTROL!$C$9, $D$9, 100%, $F$9) + CHOOSE(CONTROL!$C$27, 0.0021, 0)</f>
        <v>111.238</v>
      </c>
      <c r="H675" s="14">
        <f>111.1011 * CHOOSE(CONTROL!$C$9, $D$9, 100%, $F$9) + CHOOSE(CONTROL!$C$27, 0.0021, 0)</f>
        <v>111.1032</v>
      </c>
      <c r="I675" s="14">
        <f>111.1011 * CHOOSE(CONTROL!$C$9, $D$9, 100%, $F$9) + CHOOSE(CONTROL!$C$27, 0.0021, 0)</f>
        <v>111.1032</v>
      </c>
      <c r="J675" s="14">
        <f>111.1011 * CHOOSE(CONTROL!$C$9, $D$9, 100%, $F$9) + CHOOSE(CONTROL!$C$27, 0.0021, 0)</f>
        <v>111.1032</v>
      </c>
      <c r="K675" s="14">
        <f>111.1011 * CHOOSE(CONTROL!$C$9, $D$9, 100%, $F$9) + CHOOSE(CONTROL!$C$27, 0.0021, 0)</f>
        <v>111.1032</v>
      </c>
      <c r="L675" s="14"/>
    </row>
    <row r="676" spans="1:12" ht="15.75" x14ac:dyDescent="0.25">
      <c r="A676" s="32">
        <v>61514</v>
      </c>
      <c r="B676" s="14">
        <f>115.1993 * CHOOSE(CONTROL!$C$9, $D$9, 100%, $F$9) + CHOOSE(CONTROL!$C$27, 0.0021, 0)</f>
        <v>115.20139999999999</v>
      </c>
      <c r="C676" s="14">
        <f>114.7671 * CHOOSE(CONTROL!$C$9, $D$9, 100%, $F$9) + CHOOSE(CONTROL!$C$27, 0.0021, 0)</f>
        <v>114.7692</v>
      </c>
      <c r="D676" s="14">
        <f>114.7671 * CHOOSE(CONTROL!$C$9, $D$9, 100%, $F$9) + CHOOSE(CONTROL!$C$27, 0.0021, 0)</f>
        <v>114.7692</v>
      </c>
      <c r="E676" s="14">
        <f>114.6304 * CHOOSE(CONTROL!$C$9, $D$9, 100%, $F$9) + CHOOSE(CONTROL!$C$27, 0.0021, 0)</f>
        <v>114.63249999999999</v>
      </c>
      <c r="F676" s="14">
        <f>114.6304 * CHOOSE(CONTROL!$C$9, $D$9, 100%, $F$9) + CHOOSE(CONTROL!$C$27, 0.0021, 0)</f>
        <v>114.63249999999999</v>
      </c>
      <c r="G676" s="14">
        <f>114.9018 * CHOOSE(CONTROL!$C$9, $D$9, 100%, $F$9) + CHOOSE(CONTROL!$C$27, 0.0021, 0)</f>
        <v>114.90389999999999</v>
      </c>
      <c r="H676" s="14">
        <f>114.7671 * CHOOSE(CONTROL!$C$9, $D$9, 100%, $F$9) + CHOOSE(CONTROL!$C$27, 0.0021, 0)</f>
        <v>114.7692</v>
      </c>
      <c r="I676" s="14">
        <f>114.7671 * CHOOSE(CONTROL!$C$9, $D$9, 100%, $F$9) + CHOOSE(CONTROL!$C$27, 0.0021, 0)</f>
        <v>114.7692</v>
      </c>
      <c r="J676" s="14">
        <f>114.7671 * CHOOSE(CONTROL!$C$9, $D$9, 100%, $F$9) + CHOOSE(CONTROL!$C$27, 0.0021, 0)</f>
        <v>114.7692</v>
      </c>
      <c r="K676" s="14">
        <f>114.7671 * CHOOSE(CONTROL!$C$9, $D$9, 100%, $F$9) + CHOOSE(CONTROL!$C$27, 0.0021, 0)</f>
        <v>114.7692</v>
      </c>
      <c r="L676" s="14"/>
    </row>
    <row r="677" spans="1:12" ht="15.75" x14ac:dyDescent="0.25">
      <c r="A677" s="32">
        <v>61544</v>
      </c>
      <c r="B677" s="14">
        <f>116.8262 * CHOOSE(CONTROL!$C$9, $D$9, 100%, $F$9) + CHOOSE(CONTROL!$C$27, 0.0021, 0)</f>
        <v>116.8283</v>
      </c>
      <c r="C677" s="14">
        <f>116.3939 * CHOOSE(CONTROL!$C$9, $D$9, 100%, $F$9) + CHOOSE(CONTROL!$C$27, 0.0021, 0)</f>
        <v>116.396</v>
      </c>
      <c r="D677" s="14">
        <f>116.3939 * CHOOSE(CONTROL!$C$9, $D$9, 100%, $F$9) + CHOOSE(CONTROL!$C$27, 0.0021, 0)</f>
        <v>116.396</v>
      </c>
      <c r="E677" s="14">
        <f>116.2573 * CHOOSE(CONTROL!$C$9, $D$9, 100%, $F$9) + CHOOSE(CONTROL!$C$27, 0.0021, 0)</f>
        <v>116.2594</v>
      </c>
      <c r="F677" s="14">
        <f>116.2573 * CHOOSE(CONTROL!$C$9, $D$9, 100%, $F$9) + CHOOSE(CONTROL!$C$27, 0.0021, 0)</f>
        <v>116.2594</v>
      </c>
      <c r="G677" s="14">
        <f>116.5286 * CHOOSE(CONTROL!$C$9, $D$9, 100%, $F$9) + CHOOSE(CONTROL!$C$27, 0.0021, 0)</f>
        <v>116.5307</v>
      </c>
      <c r="H677" s="14">
        <f>116.3939 * CHOOSE(CONTROL!$C$9, $D$9, 100%, $F$9) + CHOOSE(CONTROL!$C$27, 0.0021, 0)</f>
        <v>116.396</v>
      </c>
      <c r="I677" s="14">
        <f>116.3939 * CHOOSE(CONTROL!$C$9, $D$9, 100%, $F$9) + CHOOSE(CONTROL!$C$27, 0.0021, 0)</f>
        <v>116.396</v>
      </c>
      <c r="J677" s="14">
        <f>116.3939 * CHOOSE(CONTROL!$C$9, $D$9, 100%, $F$9) + CHOOSE(CONTROL!$C$27, 0.0021, 0)</f>
        <v>116.396</v>
      </c>
      <c r="K677" s="14">
        <f>116.3939 * CHOOSE(CONTROL!$C$9, $D$9, 100%, $F$9) + CHOOSE(CONTROL!$C$27, 0.0021, 0)</f>
        <v>116.396</v>
      </c>
      <c r="L677" s="14"/>
    </row>
    <row r="678" spans="1:12" ht="15.75" x14ac:dyDescent="0.25">
      <c r="A678" s="32">
        <v>61575</v>
      </c>
      <c r="B678" s="14">
        <f>116.2905 * CHOOSE(CONTROL!$C$9, $D$9, 100%, $F$9) + CHOOSE(CONTROL!$C$27, 0.0021, 0)</f>
        <v>116.29259999999999</v>
      </c>
      <c r="C678" s="14">
        <f>115.8583 * CHOOSE(CONTROL!$C$9, $D$9, 100%, $F$9) + CHOOSE(CONTROL!$C$27, 0.0021, 0)</f>
        <v>115.8604</v>
      </c>
      <c r="D678" s="14">
        <f>115.8583 * CHOOSE(CONTROL!$C$9, $D$9, 100%, $F$9) + CHOOSE(CONTROL!$C$27, 0.0021, 0)</f>
        <v>115.8604</v>
      </c>
      <c r="E678" s="14">
        <f>115.7216 * CHOOSE(CONTROL!$C$9, $D$9, 100%, $F$9) + CHOOSE(CONTROL!$C$27, 0.0021, 0)</f>
        <v>115.72369999999999</v>
      </c>
      <c r="F678" s="14">
        <f>115.7216 * CHOOSE(CONTROL!$C$9, $D$9, 100%, $F$9) + CHOOSE(CONTROL!$C$27, 0.0021, 0)</f>
        <v>115.72369999999999</v>
      </c>
      <c r="G678" s="14">
        <f>115.993 * CHOOSE(CONTROL!$C$9, $D$9, 100%, $F$9) + CHOOSE(CONTROL!$C$27, 0.0021, 0)</f>
        <v>115.99509999999999</v>
      </c>
      <c r="H678" s="14">
        <f>115.8583 * CHOOSE(CONTROL!$C$9, $D$9, 100%, $F$9) + CHOOSE(CONTROL!$C$27, 0.0021, 0)</f>
        <v>115.8604</v>
      </c>
      <c r="I678" s="14">
        <f>115.8583 * CHOOSE(CONTROL!$C$9, $D$9, 100%, $F$9) + CHOOSE(CONTROL!$C$27, 0.0021, 0)</f>
        <v>115.8604</v>
      </c>
      <c r="J678" s="14">
        <f>115.8583 * CHOOSE(CONTROL!$C$9, $D$9, 100%, $F$9) + CHOOSE(CONTROL!$C$27, 0.0021, 0)</f>
        <v>115.8604</v>
      </c>
      <c r="K678" s="14">
        <f>115.8583 * CHOOSE(CONTROL!$C$9, $D$9, 100%, $F$9) + CHOOSE(CONTROL!$C$27, 0.0021, 0)</f>
        <v>115.8604</v>
      </c>
      <c r="L678" s="14"/>
    </row>
    <row r="679" spans="1:12" ht="15.75" x14ac:dyDescent="0.25">
      <c r="A679" s="32">
        <v>61606</v>
      </c>
      <c r="B679" s="14">
        <f>113.6367 * CHOOSE(CONTROL!$C$9, $D$9, 100%, $F$9) + CHOOSE(CONTROL!$C$27, 0.0021, 0)</f>
        <v>113.6388</v>
      </c>
      <c r="C679" s="14">
        <f>113.2045 * CHOOSE(CONTROL!$C$9, $D$9, 100%, $F$9) + CHOOSE(CONTROL!$C$27, 0.0021, 0)</f>
        <v>113.20659999999999</v>
      </c>
      <c r="D679" s="14">
        <f>113.2045 * CHOOSE(CONTROL!$C$9, $D$9, 100%, $F$9) + CHOOSE(CONTROL!$C$27, 0.0021, 0)</f>
        <v>113.20659999999999</v>
      </c>
      <c r="E679" s="14">
        <f>113.0678 * CHOOSE(CONTROL!$C$9, $D$9, 100%, $F$9) + CHOOSE(CONTROL!$C$27, 0.0021, 0)</f>
        <v>113.0699</v>
      </c>
      <c r="F679" s="14">
        <f>113.0678 * CHOOSE(CONTROL!$C$9, $D$9, 100%, $F$9) + CHOOSE(CONTROL!$C$27, 0.0021, 0)</f>
        <v>113.0699</v>
      </c>
      <c r="G679" s="14">
        <f>113.3392 * CHOOSE(CONTROL!$C$9, $D$9, 100%, $F$9) + CHOOSE(CONTROL!$C$27, 0.0021, 0)</f>
        <v>113.3413</v>
      </c>
      <c r="H679" s="14">
        <f>113.2045 * CHOOSE(CONTROL!$C$9, $D$9, 100%, $F$9) + CHOOSE(CONTROL!$C$27, 0.0021, 0)</f>
        <v>113.20659999999999</v>
      </c>
      <c r="I679" s="14">
        <f>113.2045 * CHOOSE(CONTROL!$C$9, $D$9, 100%, $F$9) + CHOOSE(CONTROL!$C$27, 0.0021, 0)</f>
        <v>113.20659999999999</v>
      </c>
      <c r="J679" s="14">
        <f>113.2045 * CHOOSE(CONTROL!$C$9, $D$9, 100%, $F$9) + CHOOSE(CONTROL!$C$27, 0.0021, 0)</f>
        <v>113.20659999999999</v>
      </c>
      <c r="K679" s="14">
        <f>113.2045 * CHOOSE(CONTROL!$C$9, $D$9, 100%, $F$9) + CHOOSE(CONTROL!$C$27, 0.0021, 0)</f>
        <v>113.20659999999999</v>
      </c>
      <c r="L679" s="14"/>
    </row>
    <row r="680" spans="1:12" ht="15.75" x14ac:dyDescent="0.25">
      <c r="A680" s="32">
        <v>61636</v>
      </c>
      <c r="B680" s="14">
        <f>109.9358 * CHOOSE(CONTROL!$C$9, $D$9, 100%, $F$9) + CHOOSE(CONTROL!$C$27, 0.0021, 0)</f>
        <v>109.9379</v>
      </c>
      <c r="C680" s="14">
        <f>109.5036 * CHOOSE(CONTROL!$C$9, $D$9, 100%, $F$9) + CHOOSE(CONTROL!$C$27, 0.0021, 0)</f>
        <v>109.5057</v>
      </c>
      <c r="D680" s="14">
        <f>109.5036 * CHOOSE(CONTROL!$C$9, $D$9, 100%, $F$9) + CHOOSE(CONTROL!$C$27, 0.0021, 0)</f>
        <v>109.5057</v>
      </c>
      <c r="E680" s="14">
        <f>109.3669 * CHOOSE(CONTROL!$C$9, $D$9, 100%, $F$9) + CHOOSE(CONTROL!$C$27, 0.0021, 0)</f>
        <v>109.369</v>
      </c>
      <c r="F680" s="14">
        <f>109.3669 * CHOOSE(CONTROL!$C$9, $D$9, 100%, $F$9) + CHOOSE(CONTROL!$C$27, 0.0021, 0)</f>
        <v>109.369</v>
      </c>
      <c r="G680" s="14">
        <f>109.6383 * CHOOSE(CONTROL!$C$9, $D$9, 100%, $F$9) + CHOOSE(CONTROL!$C$27, 0.0021, 0)</f>
        <v>109.6404</v>
      </c>
      <c r="H680" s="14">
        <f>109.5036 * CHOOSE(CONTROL!$C$9, $D$9, 100%, $F$9) + CHOOSE(CONTROL!$C$27, 0.0021, 0)</f>
        <v>109.5057</v>
      </c>
      <c r="I680" s="14">
        <f>109.5036 * CHOOSE(CONTROL!$C$9, $D$9, 100%, $F$9) + CHOOSE(CONTROL!$C$27, 0.0021, 0)</f>
        <v>109.5057</v>
      </c>
      <c r="J680" s="14">
        <f>109.5036 * CHOOSE(CONTROL!$C$9, $D$9, 100%, $F$9) + CHOOSE(CONTROL!$C$27, 0.0021, 0)</f>
        <v>109.5057</v>
      </c>
      <c r="K680" s="14">
        <f>109.5036 * CHOOSE(CONTROL!$C$9, $D$9, 100%, $F$9) + CHOOSE(CONTROL!$C$27, 0.0021, 0)</f>
        <v>109.5057</v>
      </c>
      <c r="L680" s="14"/>
    </row>
    <row r="681" spans="1:12" ht="15.75" x14ac:dyDescent="0.25">
      <c r="A681" s="32">
        <v>61667</v>
      </c>
      <c r="B681" s="14">
        <f>106.2134 * CHOOSE(CONTROL!$C$9, $D$9, 100%, $F$9) + CHOOSE(CONTROL!$C$27, 0.0021, 0)</f>
        <v>106.21549999999999</v>
      </c>
      <c r="C681" s="14">
        <f>105.7811 * CHOOSE(CONTROL!$C$9, $D$9, 100%, $F$9) + CHOOSE(CONTROL!$C$27, 0.0021, 0)</f>
        <v>105.78319999999999</v>
      </c>
      <c r="D681" s="14">
        <f>105.7811 * CHOOSE(CONTROL!$C$9, $D$9, 100%, $F$9) + CHOOSE(CONTROL!$C$27, 0.0021, 0)</f>
        <v>105.78319999999999</v>
      </c>
      <c r="E681" s="14">
        <f>105.6445 * CHOOSE(CONTROL!$C$9, $D$9, 100%, $F$9) + CHOOSE(CONTROL!$C$27, 0.0021, 0)</f>
        <v>105.64659999999999</v>
      </c>
      <c r="F681" s="14">
        <f>105.6445 * CHOOSE(CONTROL!$C$9, $D$9, 100%, $F$9) + CHOOSE(CONTROL!$C$27, 0.0021, 0)</f>
        <v>105.64659999999999</v>
      </c>
      <c r="G681" s="14">
        <f>105.9159 * CHOOSE(CONTROL!$C$9, $D$9, 100%, $F$9) + CHOOSE(CONTROL!$C$27, 0.0021, 0)</f>
        <v>105.91799999999999</v>
      </c>
      <c r="H681" s="14">
        <f>105.7811 * CHOOSE(CONTROL!$C$9, $D$9, 100%, $F$9) + CHOOSE(CONTROL!$C$27, 0.0021, 0)</f>
        <v>105.78319999999999</v>
      </c>
      <c r="I681" s="14">
        <f>105.7811 * CHOOSE(CONTROL!$C$9, $D$9, 100%, $F$9) + CHOOSE(CONTROL!$C$27, 0.0021, 0)</f>
        <v>105.78319999999999</v>
      </c>
      <c r="J681" s="14">
        <f>105.7811 * CHOOSE(CONTROL!$C$9, $D$9, 100%, $F$9) + CHOOSE(CONTROL!$C$27, 0.0021, 0)</f>
        <v>105.78319999999999</v>
      </c>
      <c r="K681" s="14">
        <f>105.7811 * CHOOSE(CONTROL!$C$9, $D$9, 100%, $F$9) + CHOOSE(CONTROL!$C$27, 0.0021, 0)</f>
        <v>105.78319999999999</v>
      </c>
      <c r="L681" s="14"/>
    </row>
    <row r="682" spans="1:12" ht="15.75" x14ac:dyDescent="0.25">
      <c r="A682" s="32">
        <v>61697</v>
      </c>
      <c r="B682" s="14">
        <f>105.4729 * CHOOSE(CONTROL!$C$9, $D$9, 100%, $F$9) + CHOOSE(CONTROL!$C$27, 0.0021, 0)</f>
        <v>105.47499999999999</v>
      </c>
      <c r="C682" s="14">
        <f>105.0407 * CHOOSE(CONTROL!$C$9, $D$9, 100%, $F$9) + CHOOSE(CONTROL!$C$27, 0.0021, 0)</f>
        <v>105.0428</v>
      </c>
      <c r="D682" s="14">
        <f>105.0407 * CHOOSE(CONTROL!$C$9, $D$9, 100%, $F$9) + CHOOSE(CONTROL!$C$27, 0.0021, 0)</f>
        <v>105.0428</v>
      </c>
      <c r="E682" s="14">
        <f>104.904 * CHOOSE(CONTROL!$C$9, $D$9, 100%, $F$9) + CHOOSE(CONTROL!$C$27, 0.0021, 0)</f>
        <v>104.9061</v>
      </c>
      <c r="F682" s="14">
        <f>104.904 * CHOOSE(CONTROL!$C$9, $D$9, 100%, $F$9) + CHOOSE(CONTROL!$C$27, 0.0021, 0)</f>
        <v>104.9061</v>
      </c>
      <c r="G682" s="14">
        <f>105.1754 * CHOOSE(CONTROL!$C$9, $D$9, 100%, $F$9) + CHOOSE(CONTROL!$C$27, 0.0021, 0)</f>
        <v>105.17749999999999</v>
      </c>
      <c r="H682" s="14">
        <f>105.0407 * CHOOSE(CONTROL!$C$9, $D$9, 100%, $F$9) + CHOOSE(CONTROL!$C$27, 0.0021, 0)</f>
        <v>105.0428</v>
      </c>
      <c r="I682" s="14">
        <f>105.0407 * CHOOSE(CONTROL!$C$9, $D$9, 100%, $F$9) + CHOOSE(CONTROL!$C$27, 0.0021, 0)</f>
        <v>105.0428</v>
      </c>
      <c r="J682" s="14">
        <f>105.0407 * CHOOSE(CONTROL!$C$9, $D$9, 100%, $F$9) + CHOOSE(CONTROL!$C$27, 0.0021, 0)</f>
        <v>105.0428</v>
      </c>
      <c r="K682" s="14">
        <f>105.0407 * CHOOSE(CONTROL!$C$9, $D$9, 100%, $F$9) + CHOOSE(CONTROL!$C$27, 0.0021, 0)</f>
        <v>105.0428</v>
      </c>
      <c r="L682" s="14"/>
    </row>
    <row r="683" spans="1:12" ht="15.75" x14ac:dyDescent="0.25">
      <c r="A683" s="32">
        <v>61728</v>
      </c>
      <c r="B683" s="14">
        <f>102.411 * CHOOSE(CONTROL!$C$9, $D$9, 100%, $F$9) + CHOOSE(CONTROL!$C$27, 0.0021, 0)</f>
        <v>102.4131</v>
      </c>
      <c r="C683" s="14">
        <f>101.9788 * CHOOSE(CONTROL!$C$9, $D$9, 100%, $F$9) + CHOOSE(CONTROL!$C$27, 0.0021, 0)</f>
        <v>101.98090000000001</v>
      </c>
      <c r="D683" s="14">
        <f>101.9788 * CHOOSE(CONTROL!$C$9, $D$9, 100%, $F$9) + CHOOSE(CONTROL!$C$27, 0.0021, 0)</f>
        <v>101.98090000000001</v>
      </c>
      <c r="E683" s="14">
        <f>101.8421 * CHOOSE(CONTROL!$C$9, $D$9, 100%, $F$9) + CHOOSE(CONTROL!$C$27, 0.0021, 0)</f>
        <v>101.8442</v>
      </c>
      <c r="F683" s="14">
        <f>101.8421 * CHOOSE(CONTROL!$C$9, $D$9, 100%, $F$9) + CHOOSE(CONTROL!$C$27, 0.0021, 0)</f>
        <v>101.8442</v>
      </c>
      <c r="G683" s="14">
        <f>102.1135 * CHOOSE(CONTROL!$C$9, $D$9, 100%, $F$9) + CHOOSE(CONTROL!$C$27, 0.0021, 0)</f>
        <v>102.1156</v>
      </c>
      <c r="H683" s="14">
        <f>101.9788 * CHOOSE(CONTROL!$C$9, $D$9, 100%, $F$9) + CHOOSE(CONTROL!$C$27, 0.0021, 0)</f>
        <v>101.98090000000001</v>
      </c>
      <c r="I683" s="14">
        <f>101.9788 * CHOOSE(CONTROL!$C$9, $D$9, 100%, $F$9) + CHOOSE(CONTROL!$C$27, 0.0021, 0)</f>
        <v>101.98090000000001</v>
      </c>
      <c r="J683" s="14">
        <f>101.9788 * CHOOSE(CONTROL!$C$9, $D$9, 100%, $F$9) + CHOOSE(CONTROL!$C$27, 0.0021, 0)</f>
        <v>101.98090000000001</v>
      </c>
      <c r="K683" s="14">
        <f>101.9788 * CHOOSE(CONTROL!$C$9, $D$9, 100%, $F$9) + CHOOSE(CONTROL!$C$27, 0.0021, 0)</f>
        <v>101.98090000000001</v>
      </c>
      <c r="L683" s="14"/>
    </row>
    <row r="684" spans="1:12" ht="15.75" x14ac:dyDescent="0.25">
      <c r="A684" s="32">
        <v>61759</v>
      </c>
      <c r="B684" s="14">
        <f>101.8149 * CHOOSE(CONTROL!$C$9, $D$9, 100%, $F$9) + CHOOSE(CONTROL!$C$27, 0.0021, 0)</f>
        <v>101.81699999999999</v>
      </c>
      <c r="C684" s="14">
        <f>101.3827 * CHOOSE(CONTROL!$C$9, $D$9, 100%, $F$9) + CHOOSE(CONTROL!$C$27, 0.0021, 0)</f>
        <v>101.3848</v>
      </c>
      <c r="D684" s="14">
        <f>101.3827 * CHOOSE(CONTROL!$C$9, $D$9, 100%, $F$9) + CHOOSE(CONTROL!$C$27, 0.0021, 0)</f>
        <v>101.3848</v>
      </c>
      <c r="E684" s="14">
        <f>101.246 * CHOOSE(CONTROL!$C$9, $D$9, 100%, $F$9) + CHOOSE(CONTROL!$C$27, 0.0021, 0)</f>
        <v>101.24809999999999</v>
      </c>
      <c r="F684" s="14">
        <f>101.246 * CHOOSE(CONTROL!$C$9, $D$9, 100%, $F$9) + CHOOSE(CONTROL!$C$27, 0.0021, 0)</f>
        <v>101.24809999999999</v>
      </c>
      <c r="G684" s="14">
        <f>101.5174 * CHOOSE(CONTROL!$C$9, $D$9, 100%, $F$9) + CHOOSE(CONTROL!$C$27, 0.0021, 0)</f>
        <v>101.51949999999999</v>
      </c>
      <c r="H684" s="14">
        <f>101.3827 * CHOOSE(CONTROL!$C$9, $D$9, 100%, $F$9) + CHOOSE(CONTROL!$C$27, 0.0021, 0)</f>
        <v>101.3848</v>
      </c>
      <c r="I684" s="14">
        <f>101.3827 * CHOOSE(CONTROL!$C$9, $D$9, 100%, $F$9) + CHOOSE(CONTROL!$C$27, 0.0021, 0)</f>
        <v>101.3848</v>
      </c>
      <c r="J684" s="14">
        <f>101.3827 * CHOOSE(CONTROL!$C$9, $D$9, 100%, $F$9) + CHOOSE(CONTROL!$C$27, 0.0021, 0)</f>
        <v>101.3848</v>
      </c>
      <c r="K684" s="14">
        <f>101.3827 * CHOOSE(CONTROL!$C$9, $D$9, 100%, $F$9) + CHOOSE(CONTROL!$C$27, 0.0021, 0)</f>
        <v>101.3848</v>
      </c>
      <c r="L684" s="14"/>
    </row>
    <row r="685" spans="1:12" ht="15.75" x14ac:dyDescent="0.25">
      <c r="A685" s="32">
        <v>61787</v>
      </c>
      <c r="B685" s="14">
        <f>101.5383 * CHOOSE(CONTROL!$C$9, $D$9, 100%, $F$9) + CHOOSE(CONTROL!$C$27, 0.0021, 0)</f>
        <v>101.54040000000001</v>
      </c>
      <c r="C685" s="14">
        <f>101.106 * CHOOSE(CONTROL!$C$9, $D$9, 100%, $F$9) + CHOOSE(CONTROL!$C$27, 0.0021, 0)</f>
        <v>101.10809999999999</v>
      </c>
      <c r="D685" s="14">
        <f>101.106 * CHOOSE(CONTROL!$C$9, $D$9, 100%, $F$9) + CHOOSE(CONTROL!$C$27, 0.0021, 0)</f>
        <v>101.10809999999999</v>
      </c>
      <c r="E685" s="14">
        <f>100.9694 * CHOOSE(CONTROL!$C$9, $D$9, 100%, $F$9) + CHOOSE(CONTROL!$C$27, 0.0021, 0)</f>
        <v>100.97149999999999</v>
      </c>
      <c r="F685" s="14">
        <f>100.9694 * CHOOSE(CONTROL!$C$9, $D$9, 100%, $F$9) + CHOOSE(CONTROL!$C$27, 0.0021, 0)</f>
        <v>100.97149999999999</v>
      </c>
      <c r="G685" s="14">
        <f>101.2407 * CHOOSE(CONTROL!$C$9, $D$9, 100%, $F$9) + CHOOSE(CONTROL!$C$27, 0.0021, 0)</f>
        <v>101.2428</v>
      </c>
      <c r="H685" s="14">
        <f>101.106 * CHOOSE(CONTROL!$C$9, $D$9, 100%, $F$9) + CHOOSE(CONTROL!$C$27, 0.0021, 0)</f>
        <v>101.10809999999999</v>
      </c>
      <c r="I685" s="14">
        <f>101.106 * CHOOSE(CONTROL!$C$9, $D$9, 100%, $F$9) + CHOOSE(CONTROL!$C$27, 0.0021, 0)</f>
        <v>101.10809999999999</v>
      </c>
      <c r="J685" s="14">
        <f>101.106 * CHOOSE(CONTROL!$C$9, $D$9, 100%, $F$9) + CHOOSE(CONTROL!$C$27, 0.0021, 0)</f>
        <v>101.10809999999999</v>
      </c>
      <c r="K685" s="14">
        <f>101.106 * CHOOSE(CONTROL!$C$9, $D$9, 100%, $F$9) + CHOOSE(CONTROL!$C$27, 0.0021, 0)</f>
        <v>101.10809999999999</v>
      </c>
      <c r="L685" s="14"/>
    </row>
    <row r="686" spans="1:12" ht="15.75" x14ac:dyDescent="0.25">
      <c r="A686" s="32">
        <v>61818</v>
      </c>
      <c r="B686" s="14">
        <f>106.7691 * CHOOSE(CONTROL!$C$9, $D$9, 100%, $F$9) + CHOOSE(CONTROL!$C$27, 0.0021, 0)</f>
        <v>106.77119999999999</v>
      </c>
      <c r="C686" s="14">
        <f>106.3369 * CHOOSE(CONTROL!$C$9, $D$9, 100%, $F$9) + CHOOSE(CONTROL!$C$27, 0.0021, 0)</f>
        <v>106.339</v>
      </c>
      <c r="D686" s="14">
        <f>106.3369 * CHOOSE(CONTROL!$C$9, $D$9, 100%, $F$9) + CHOOSE(CONTROL!$C$27, 0.0021, 0)</f>
        <v>106.339</v>
      </c>
      <c r="E686" s="14">
        <f>106.2002 * CHOOSE(CONTROL!$C$9, $D$9, 100%, $F$9) + CHOOSE(CONTROL!$C$27, 0.0021, 0)</f>
        <v>106.20229999999999</v>
      </c>
      <c r="F686" s="14">
        <f>106.2002 * CHOOSE(CONTROL!$C$9, $D$9, 100%, $F$9) + CHOOSE(CONTROL!$C$27, 0.0021, 0)</f>
        <v>106.20229999999999</v>
      </c>
      <c r="G686" s="14">
        <f>106.4716 * CHOOSE(CONTROL!$C$9, $D$9, 100%, $F$9) + CHOOSE(CONTROL!$C$27, 0.0021, 0)</f>
        <v>106.47369999999999</v>
      </c>
      <c r="H686" s="14">
        <f>106.3369 * CHOOSE(CONTROL!$C$9, $D$9, 100%, $F$9) + CHOOSE(CONTROL!$C$27, 0.0021, 0)</f>
        <v>106.339</v>
      </c>
      <c r="I686" s="14">
        <f>106.3369 * CHOOSE(CONTROL!$C$9, $D$9, 100%, $F$9) + CHOOSE(CONTROL!$C$27, 0.0021, 0)</f>
        <v>106.339</v>
      </c>
      <c r="J686" s="14">
        <f>106.3369 * CHOOSE(CONTROL!$C$9, $D$9, 100%, $F$9) + CHOOSE(CONTROL!$C$27, 0.0021, 0)</f>
        <v>106.339</v>
      </c>
      <c r="K686" s="14">
        <f>106.3369 * CHOOSE(CONTROL!$C$9, $D$9, 100%, $F$9) + CHOOSE(CONTROL!$C$27, 0.0021, 0)</f>
        <v>106.339</v>
      </c>
      <c r="L686" s="14"/>
    </row>
    <row r="687" spans="1:12" ht="15.75" x14ac:dyDescent="0.25">
      <c r="A687" s="32">
        <v>61848</v>
      </c>
      <c r="B687" s="14">
        <f>113.5522 * CHOOSE(CONTROL!$C$9, $D$9, 100%, $F$9) + CHOOSE(CONTROL!$C$27, 0.0021, 0)</f>
        <v>113.5543</v>
      </c>
      <c r="C687" s="14">
        <f>113.12 * CHOOSE(CONTROL!$C$9, $D$9, 100%, $F$9) + CHOOSE(CONTROL!$C$27, 0.0021, 0)</f>
        <v>113.1221</v>
      </c>
      <c r="D687" s="14">
        <f>113.12 * CHOOSE(CONTROL!$C$9, $D$9, 100%, $F$9) + CHOOSE(CONTROL!$C$27, 0.0021, 0)</f>
        <v>113.1221</v>
      </c>
      <c r="E687" s="14">
        <f>112.9833 * CHOOSE(CONTROL!$C$9, $D$9, 100%, $F$9) + CHOOSE(CONTROL!$C$27, 0.0021, 0)</f>
        <v>112.9854</v>
      </c>
      <c r="F687" s="14">
        <f>112.9833 * CHOOSE(CONTROL!$C$9, $D$9, 100%, $F$9) + CHOOSE(CONTROL!$C$27, 0.0021, 0)</f>
        <v>112.9854</v>
      </c>
      <c r="G687" s="14">
        <f>113.2547 * CHOOSE(CONTROL!$C$9, $D$9, 100%, $F$9) + CHOOSE(CONTROL!$C$27, 0.0021, 0)</f>
        <v>113.2568</v>
      </c>
      <c r="H687" s="14">
        <f>113.12 * CHOOSE(CONTROL!$C$9, $D$9, 100%, $F$9) + CHOOSE(CONTROL!$C$27, 0.0021, 0)</f>
        <v>113.1221</v>
      </c>
      <c r="I687" s="14">
        <f>113.12 * CHOOSE(CONTROL!$C$9, $D$9, 100%, $F$9) + CHOOSE(CONTROL!$C$27, 0.0021, 0)</f>
        <v>113.1221</v>
      </c>
      <c r="J687" s="14">
        <f>113.12 * CHOOSE(CONTROL!$C$9, $D$9, 100%, $F$9) + CHOOSE(CONTROL!$C$27, 0.0021, 0)</f>
        <v>113.1221</v>
      </c>
      <c r="K687" s="14">
        <f>113.12 * CHOOSE(CONTROL!$C$9, $D$9, 100%, $F$9) + CHOOSE(CONTROL!$C$27, 0.0021, 0)</f>
        <v>113.1221</v>
      </c>
      <c r="L687" s="14"/>
    </row>
    <row r="688" spans="1:12" ht="15.75" x14ac:dyDescent="0.25">
      <c r="A688" s="32">
        <v>61879</v>
      </c>
      <c r="B688" s="14">
        <f>117.2859 * CHOOSE(CONTROL!$C$9, $D$9, 100%, $F$9) + CHOOSE(CONTROL!$C$27, 0.0021, 0)</f>
        <v>117.288</v>
      </c>
      <c r="C688" s="14">
        <f>116.8537 * CHOOSE(CONTROL!$C$9, $D$9, 100%, $F$9) + CHOOSE(CONTROL!$C$27, 0.0021, 0)</f>
        <v>116.8558</v>
      </c>
      <c r="D688" s="14">
        <f>116.8537 * CHOOSE(CONTROL!$C$9, $D$9, 100%, $F$9) + CHOOSE(CONTROL!$C$27, 0.0021, 0)</f>
        <v>116.8558</v>
      </c>
      <c r="E688" s="14">
        <f>116.717 * CHOOSE(CONTROL!$C$9, $D$9, 100%, $F$9) + CHOOSE(CONTROL!$C$27, 0.0021, 0)</f>
        <v>116.7191</v>
      </c>
      <c r="F688" s="14">
        <f>116.717 * CHOOSE(CONTROL!$C$9, $D$9, 100%, $F$9) + CHOOSE(CONTROL!$C$27, 0.0021, 0)</f>
        <v>116.7191</v>
      </c>
      <c r="G688" s="14">
        <f>116.9884 * CHOOSE(CONTROL!$C$9, $D$9, 100%, $F$9) + CHOOSE(CONTROL!$C$27, 0.0021, 0)</f>
        <v>116.9905</v>
      </c>
      <c r="H688" s="14">
        <f>116.8537 * CHOOSE(CONTROL!$C$9, $D$9, 100%, $F$9) + CHOOSE(CONTROL!$C$27, 0.0021, 0)</f>
        <v>116.8558</v>
      </c>
      <c r="I688" s="14">
        <f>116.8537 * CHOOSE(CONTROL!$C$9, $D$9, 100%, $F$9) + CHOOSE(CONTROL!$C$27, 0.0021, 0)</f>
        <v>116.8558</v>
      </c>
      <c r="J688" s="14">
        <f>116.8537 * CHOOSE(CONTROL!$C$9, $D$9, 100%, $F$9) + CHOOSE(CONTROL!$C$27, 0.0021, 0)</f>
        <v>116.8558</v>
      </c>
      <c r="K688" s="14">
        <f>116.8537 * CHOOSE(CONTROL!$C$9, $D$9, 100%, $F$9) + CHOOSE(CONTROL!$C$27, 0.0021, 0)</f>
        <v>116.8558</v>
      </c>
      <c r="L688" s="14"/>
    </row>
    <row r="689" spans="1:12" ht="15.75" x14ac:dyDescent="0.25">
      <c r="A689" s="32">
        <v>61909</v>
      </c>
      <c r="B689" s="14">
        <f>118.9428 * CHOOSE(CONTROL!$C$9, $D$9, 100%, $F$9) + CHOOSE(CONTROL!$C$27, 0.0021, 0)</f>
        <v>118.9449</v>
      </c>
      <c r="C689" s="14">
        <f>118.5106 * CHOOSE(CONTROL!$C$9, $D$9, 100%, $F$9) + CHOOSE(CONTROL!$C$27, 0.0021, 0)</f>
        <v>118.5127</v>
      </c>
      <c r="D689" s="14">
        <f>118.5106 * CHOOSE(CONTROL!$C$9, $D$9, 100%, $F$9) + CHOOSE(CONTROL!$C$27, 0.0021, 0)</f>
        <v>118.5127</v>
      </c>
      <c r="E689" s="14">
        <f>118.3739 * CHOOSE(CONTROL!$C$9, $D$9, 100%, $F$9) + CHOOSE(CONTROL!$C$27, 0.0021, 0)</f>
        <v>118.376</v>
      </c>
      <c r="F689" s="14">
        <f>118.3739 * CHOOSE(CONTROL!$C$9, $D$9, 100%, $F$9) + CHOOSE(CONTROL!$C$27, 0.0021, 0)</f>
        <v>118.376</v>
      </c>
      <c r="G689" s="14">
        <f>118.6453 * CHOOSE(CONTROL!$C$9, $D$9, 100%, $F$9) + CHOOSE(CONTROL!$C$27, 0.0021, 0)</f>
        <v>118.6474</v>
      </c>
      <c r="H689" s="14">
        <f>118.5106 * CHOOSE(CONTROL!$C$9, $D$9, 100%, $F$9) + CHOOSE(CONTROL!$C$27, 0.0021, 0)</f>
        <v>118.5127</v>
      </c>
      <c r="I689" s="14">
        <f>118.5106 * CHOOSE(CONTROL!$C$9, $D$9, 100%, $F$9) + CHOOSE(CONTROL!$C$27, 0.0021, 0)</f>
        <v>118.5127</v>
      </c>
      <c r="J689" s="14">
        <f>118.5106 * CHOOSE(CONTROL!$C$9, $D$9, 100%, $F$9) + CHOOSE(CONTROL!$C$27, 0.0021, 0)</f>
        <v>118.5127</v>
      </c>
      <c r="K689" s="14">
        <f>118.5106 * CHOOSE(CONTROL!$C$9, $D$9, 100%, $F$9) + CHOOSE(CONTROL!$C$27, 0.0021, 0)</f>
        <v>118.5127</v>
      </c>
      <c r="L689" s="14"/>
    </row>
    <row r="690" spans="1:12" ht="15.75" x14ac:dyDescent="0.25">
      <c r="A690" s="32">
        <v>61940</v>
      </c>
      <c r="B690" s="14">
        <f>118.3973 * CHOOSE(CONTROL!$C$9, $D$9, 100%, $F$9) + CHOOSE(CONTROL!$C$27, 0.0021, 0)</f>
        <v>118.3994</v>
      </c>
      <c r="C690" s="14">
        <f>117.9651 * CHOOSE(CONTROL!$C$9, $D$9, 100%, $F$9) + CHOOSE(CONTROL!$C$27, 0.0021, 0)</f>
        <v>117.96720000000001</v>
      </c>
      <c r="D690" s="14">
        <f>117.9651 * CHOOSE(CONTROL!$C$9, $D$9, 100%, $F$9) + CHOOSE(CONTROL!$C$27, 0.0021, 0)</f>
        <v>117.96720000000001</v>
      </c>
      <c r="E690" s="14">
        <f>117.8284 * CHOOSE(CONTROL!$C$9, $D$9, 100%, $F$9) + CHOOSE(CONTROL!$C$27, 0.0021, 0)</f>
        <v>117.8305</v>
      </c>
      <c r="F690" s="14">
        <f>117.8284 * CHOOSE(CONTROL!$C$9, $D$9, 100%, $F$9) + CHOOSE(CONTROL!$C$27, 0.0021, 0)</f>
        <v>117.8305</v>
      </c>
      <c r="G690" s="14">
        <f>118.0998 * CHOOSE(CONTROL!$C$9, $D$9, 100%, $F$9) + CHOOSE(CONTROL!$C$27, 0.0021, 0)</f>
        <v>118.1019</v>
      </c>
      <c r="H690" s="14">
        <f>117.9651 * CHOOSE(CONTROL!$C$9, $D$9, 100%, $F$9) + CHOOSE(CONTROL!$C$27, 0.0021, 0)</f>
        <v>117.96720000000001</v>
      </c>
      <c r="I690" s="14">
        <f>117.9651 * CHOOSE(CONTROL!$C$9, $D$9, 100%, $F$9) + CHOOSE(CONTROL!$C$27, 0.0021, 0)</f>
        <v>117.96720000000001</v>
      </c>
      <c r="J690" s="14">
        <f>117.9651 * CHOOSE(CONTROL!$C$9, $D$9, 100%, $F$9) + CHOOSE(CONTROL!$C$27, 0.0021, 0)</f>
        <v>117.96720000000001</v>
      </c>
      <c r="K690" s="14">
        <f>117.9651 * CHOOSE(CONTROL!$C$9, $D$9, 100%, $F$9) + CHOOSE(CONTROL!$C$27, 0.0021, 0)</f>
        <v>117.96720000000001</v>
      </c>
      <c r="L690" s="14"/>
    </row>
    <row r="691" spans="1:12" ht="15.75" x14ac:dyDescent="0.25">
      <c r="A691" s="32">
        <v>61971</v>
      </c>
      <c r="B691" s="14">
        <f>115.6944 * CHOOSE(CONTROL!$C$9, $D$9, 100%, $F$9) + CHOOSE(CONTROL!$C$27, 0.0021, 0)</f>
        <v>115.6965</v>
      </c>
      <c r="C691" s="14">
        <f>115.2622 * CHOOSE(CONTROL!$C$9, $D$9, 100%, $F$9) + CHOOSE(CONTROL!$C$27, 0.0021, 0)</f>
        <v>115.26430000000001</v>
      </c>
      <c r="D691" s="14">
        <f>115.2622 * CHOOSE(CONTROL!$C$9, $D$9, 100%, $F$9) + CHOOSE(CONTROL!$C$27, 0.0021, 0)</f>
        <v>115.26430000000001</v>
      </c>
      <c r="E691" s="14">
        <f>115.1255 * CHOOSE(CONTROL!$C$9, $D$9, 100%, $F$9) + CHOOSE(CONTROL!$C$27, 0.0021, 0)</f>
        <v>115.1276</v>
      </c>
      <c r="F691" s="14">
        <f>115.1255 * CHOOSE(CONTROL!$C$9, $D$9, 100%, $F$9) + CHOOSE(CONTROL!$C$27, 0.0021, 0)</f>
        <v>115.1276</v>
      </c>
      <c r="G691" s="14">
        <f>115.3969 * CHOOSE(CONTROL!$C$9, $D$9, 100%, $F$9) + CHOOSE(CONTROL!$C$27, 0.0021, 0)</f>
        <v>115.399</v>
      </c>
      <c r="H691" s="14">
        <f>115.2622 * CHOOSE(CONTROL!$C$9, $D$9, 100%, $F$9) + CHOOSE(CONTROL!$C$27, 0.0021, 0)</f>
        <v>115.26430000000001</v>
      </c>
      <c r="I691" s="14">
        <f>115.2622 * CHOOSE(CONTROL!$C$9, $D$9, 100%, $F$9) + CHOOSE(CONTROL!$C$27, 0.0021, 0)</f>
        <v>115.26430000000001</v>
      </c>
      <c r="J691" s="14">
        <f>115.2622 * CHOOSE(CONTROL!$C$9, $D$9, 100%, $F$9) + CHOOSE(CONTROL!$C$27, 0.0021, 0)</f>
        <v>115.26430000000001</v>
      </c>
      <c r="K691" s="14">
        <f>115.2622 * CHOOSE(CONTROL!$C$9, $D$9, 100%, $F$9) + CHOOSE(CONTROL!$C$27, 0.0021, 0)</f>
        <v>115.26430000000001</v>
      </c>
      <c r="L691" s="14"/>
    </row>
    <row r="692" spans="1:12" ht="15.75" x14ac:dyDescent="0.25">
      <c r="A692" s="32">
        <v>62001</v>
      </c>
      <c r="B692" s="14">
        <f>111.9251 * CHOOSE(CONTROL!$C$9, $D$9, 100%, $F$9) + CHOOSE(CONTROL!$C$27, 0.0021, 0)</f>
        <v>111.9272</v>
      </c>
      <c r="C692" s="14">
        <f>111.4929 * CHOOSE(CONTROL!$C$9, $D$9, 100%, $F$9) + CHOOSE(CONTROL!$C$27, 0.0021, 0)</f>
        <v>111.495</v>
      </c>
      <c r="D692" s="14">
        <f>111.4929 * CHOOSE(CONTROL!$C$9, $D$9, 100%, $F$9) + CHOOSE(CONTROL!$C$27, 0.0021, 0)</f>
        <v>111.495</v>
      </c>
      <c r="E692" s="14">
        <f>111.3562 * CHOOSE(CONTROL!$C$9, $D$9, 100%, $F$9) + CHOOSE(CONTROL!$C$27, 0.0021, 0)</f>
        <v>111.3583</v>
      </c>
      <c r="F692" s="14">
        <f>111.3562 * CHOOSE(CONTROL!$C$9, $D$9, 100%, $F$9) + CHOOSE(CONTROL!$C$27, 0.0021, 0)</f>
        <v>111.3583</v>
      </c>
      <c r="G692" s="14">
        <f>111.6276 * CHOOSE(CONTROL!$C$9, $D$9, 100%, $F$9) + CHOOSE(CONTROL!$C$27, 0.0021, 0)</f>
        <v>111.6297</v>
      </c>
      <c r="H692" s="14">
        <f>111.4929 * CHOOSE(CONTROL!$C$9, $D$9, 100%, $F$9) + CHOOSE(CONTROL!$C$27, 0.0021, 0)</f>
        <v>111.495</v>
      </c>
      <c r="I692" s="14">
        <f>111.4929 * CHOOSE(CONTROL!$C$9, $D$9, 100%, $F$9) + CHOOSE(CONTROL!$C$27, 0.0021, 0)</f>
        <v>111.495</v>
      </c>
      <c r="J692" s="14">
        <f>111.4929 * CHOOSE(CONTROL!$C$9, $D$9, 100%, $F$9) + CHOOSE(CONTROL!$C$27, 0.0021, 0)</f>
        <v>111.495</v>
      </c>
      <c r="K692" s="14">
        <f>111.4929 * CHOOSE(CONTROL!$C$9, $D$9, 100%, $F$9) + CHOOSE(CONTROL!$C$27, 0.0021, 0)</f>
        <v>111.495</v>
      </c>
      <c r="L692" s="14"/>
    </row>
    <row r="693" spans="1:12" ht="15.75" x14ac:dyDescent="0.25">
      <c r="A693" s="32">
        <v>62032</v>
      </c>
      <c r="B693" s="14">
        <f>108.1339 * CHOOSE(CONTROL!$C$9, $D$9, 100%, $F$9) + CHOOSE(CONTROL!$C$27, 0.0021, 0)</f>
        <v>108.136</v>
      </c>
      <c r="C693" s="14">
        <f>107.7017 * CHOOSE(CONTROL!$C$9, $D$9, 100%, $F$9) + CHOOSE(CONTROL!$C$27, 0.0021, 0)</f>
        <v>107.7038</v>
      </c>
      <c r="D693" s="14">
        <f>107.7017 * CHOOSE(CONTROL!$C$9, $D$9, 100%, $F$9) + CHOOSE(CONTROL!$C$27, 0.0021, 0)</f>
        <v>107.7038</v>
      </c>
      <c r="E693" s="14">
        <f>107.565 * CHOOSE(CONTROL!$C$9, $D$9, 100%, $F$9) + CHOOSE(CONTROL!$C$27, 0.0021, 0)</f>
        <v>107.5671</v>
      </c>
      <c r="F693" s="14">
        <f>107.565 * CHOOSE(CONTROL!$C$9, $D$9, 100%, $F$9) + CHOOSE(CONTROL!$C$27, 0.0021, 0)</f>
        <v>107.5671</v>
      </c>
      <c r="G693" s="14">
        <f>107.8364 * CHOOSE(CONTROL!$C$9, $D$9, 100%, $F$9) + CHOOSE(CONTROL!$C$27, 0.0021, 0)</f>
        <v>107.8385</v>
      </c>
      <c r="H693" s="14">
        <f>107.7017 * CHOOSE(CONTROL!$C$9, $D$9, 100%, $F$9) + CHOOSE(CONTROL!$C$27, 0.0021, 0)</f>
        <v>107.7038</v>
      </c>
      <c r="I693" s="14">
        <f>107.7017 * CHOOSE(CONTROL!$C$9, $D$9, 100%, $F$9) + CHOOSE(CONTROL!$C$27, 0.0021, 0)</f>
        <v>107.7038</v>
      </c>
      <c r="J693" s="14">
        <f>107.7017 * CHOOSE(CONTROL!$C$9, $D$9, 100%, $F$9) + CHOOSE(CONTROL!$C$27, 0.0021, 0)</f>
        <v>107.7038</v>
      </c>
      <c r="K693" s="14">
        <f>107.7017 * CHOOSE(CONTROL!$C$9, $D$9, 100%, $F$9) + CHOOSE(CONTROL!$C$27, 0.0021, 0)</f>
        <v>107.7038</v>
      </c>
      <c r="L693" s="14"/>
    </row>
    <row r="694" spans="1:12" ht="15.75" x14ac:dyDescent="0.25">
      <c r="A694" s="32">
        <v>62062</v>
      </c>
      <c r="B694" s="14">
        <f>107.3798 * CHOOSE(CONTROL!$C$9, $D$9, 100%, $F$9) + CHOOSE(CONTROL!$C$27, 0.0021, 0)</f>
        <v>107.3819</v>
      </c>
      <c r="C694" s="14">
        <f>106.9475 * CHOOSE(CONTROL!$C$9, $D$9, 100%, $F$9) + CHOOSE(CONTROL!$C$27, 0.0021, 0)</f>
        <v>106.9496</v>
      </c>
      <c r="D694" s="14">
        <f>106.9475 * CHOOSE(CONTROL!$C$9, $D$9, 100%, $F$9) + CHOOSE(CONTROL!$C$27, 0.0021, 0)</f>
        <v>106.9496</v>
      </c>
      <c r="E694" s="14">
        <f>106.8109 * CHOOSE(CONTROL!$C$9, $D$9, 100%, $F$9) + CHOOSE(CONTROL!$C$27, 0.0021, 0)</f>
        <v>106.813</v>
      </c>
      <c r="F694" s="14">
        <f>106.8109 * CHOOSE(CONTROL!$C$9, $D$9, 100%, $F$9) + CHOOSE(CONTROL!$C$27, 0.0021, 0)</f>
        <v>106.813</v>
      </c>
      <c r="G694" s="14">
        <f>107.0822 * CHOOSE(CONTROL!$C$9, $D$9, 100%, $F$9) + CHOOSE(CONTROL!$C$27, 0.0021, 0)</f>
        <v>107.0843</v>
      </c>
      <c r="H694" s="14">
        <f>106.9475 * CHOOSE(CONTROL!$C$9, $D$9, 100%, $F$9) + CHOOSE(CONTROL!$C$27, 0.0021, 0)</f>
        <v>106.9496</v>
      </c>
      <c r="I694" s="14">
        <f>106.9475 * CHOOSE(CONTROL!$C$9, $D$9, 100%, $F$9) + CHOOSE(CONTROL!$C$27, 0.0021, 0)</f>
        <v>106.9496</v>
      </c>
      <c r="J694" s="14">
        <f>106.9475 * CHOOSE(CONTROL!$C$9, $D$9, 100%, $F$9) + CHOOSE(CONTROL!$C$27, 0.0021, 0)</f>
        <v>106.9496</v>
      </c>
      <c r="K694" s="14">
        <f>106.9475 * CHOOSE(CONTROL!$C$9, $D$9, 100%, $F$9) + CHOOSE(CONTROL!$C$27, 0.0021, 0)</f>
        <v>106.9496</v>
      </c>
      <c r="L694" s="14"/>
    </row>
    <row r="695" spans="1:12" ht="15.75" x14ac:dyDescent="0.25">
      <c r="A695" s="32">
        <v>62093</v>
      </c>
      <c r="B695" s="14">
        <f>104.2613 * CHOOSE(CONTROL!$C$9, $D$9, 100%, $F$9) + CHOOSE(CONTROL!$C$27, 0.0021, 0)</f>
        <v>104.2634</v>
      </c>
      <c r="C695" s="14">
        <f>103.8291 * CHOOSE(CONTROL!$C$9, $D$9, 100%, $F$9) + CHOOSE(CONTROL!$C$27, 0.0021, 0)</f>
        <v>103.8312</v>
      </c>
      <c r="D695" s="14">
        <f>103.8291 * CHOOSE(CONTROL!$C$9, $D$9, 100%, $F$9) + CHOOSE(CONTROL!$C$27, 0.0021, 0)</f>
        <v>103.8312</v>
      </c>
      <c r="E695" s="14">
        <f>103.6924 * CHOOSE(CONTROL!$C$9, $D$9, 100%, $F$9) + CHOOSE(CONTROL!$C$27, 0.0021, 0)</f>
        <v>103.69450000000001</v>
      </c>
      <c r="F695" s="14">
        <f>103.6924 * CHOOSE(CONTROL!$C$9, $D$9, 100%, $F$9) + CHOOSE(CONTROL!$C$27, 0.0021, 0)</f>
        <v>103.69450000000001</v>
      </c>
      <c r="G695" s="14">
        <f>103.9638 * CHOOSE(CONTROL!$C$9, $D$9, 100%, $F$9) + CHOOSE(CONTROL!$C$27, 0.0021, 0)</f>
        <v>103.9659</v>
      </c>
      <c r="H695" s="14">
        <f>103.8291 * CHOOSE(CONTROL!$C$9, $D$9, 100%, $F$9) + CHOOSE(CONTROL!$C$27, 0.0021, 0)</f>
        <v>103.8312</v>
      </c>
      <c r="I695" s="14">
        <f>103.8291 * CHOOSE(CONTROL!$C$9, $D$9, 100%, $F$9) + CHOOSE(CONTROL!$C$27, 0.0021, 0)</f>
        <v>103.8312</v>
      </c>
      <c r="J695" s="14">
        <f>103.8291 * CHOOSE(CONTROL!$C$9, $D$9, 100%, $F$9) + CHOOSE(CONTROL!$C$27, 0.0021, 0)</f>
        <v>103.8312</v>
      </c>
      <c r="K695" s="14">
        <f>103.8291 * CHOOSE(CONTROL!$C$9, $D$9, 100%, $F$9) + CHOOSE(CONTROL!$C$27, 0.0021, 0)</f>
        <v>103.8312</v>
      </c>
      <c r="L695" s="14"/>
    </row>
    <row r="696" spans="1:12" ht="15.75" x14ac:dyDescent="0.25">
      <c r="A696" s="32">
        <v>62124</v>
      </c>
      <c r="B696" s="14">
        <f>103.6542 * CHOOSE(CONTROL!$C$9, $D$9, 100%, $F$9) + CHOOSE(CONTROL!$C$27, 0.0021, 0)</f>
        <v>103.6563</v>
      </c>
      <c r="C696" s="14">
        <f>103.2219 * CHOOSE(CONTROL!$C$9, $D$9, 100%, $F$9) + CHOOSE(CONTROL!$C$27, 0.0021, 0)</f>
        <v>103.224</v>
      </c>
      <c r="D696" s="14">
        <f>103.2219 * CHOOSE(CONTROL!$C$9, $D$9, 100%, $F$9) + CHOOSE(CONTROL!$C$27, 0.0021, 0)</f>
        <v>103.224</v>
      </c>
      <c r="E696" s="14">
        <f>103.0853 * CHOOSE(CONTROL!$C$9, $D$9, 100%, $F$9) + CHOOSE(CONTROL!$C$27, 0.0021, 0)</f>
        <v>103.0874</v>
      </c>
      <c r="F696" s="14">
        <f>103.0853 * CHOOSE(CONTROL!$C$9, $D$9, 100%, $F$9) + CHOOSE(CONTROL!$C$27, 0.0021, 0)</f>
        <v>103.0874</v>
      </c>
      <c r="G696" s="14">
        <f>103.3566 * CHOOSE(CONTROL!$C$9, $D$9, 100%, $F$9) + CHOOSE(CONTROL!$C$27, 0.0021, 0)</f>
        <v>103.3587</v>
      </c>
      <c r="H696" s="14">
        <f>103.2219 * CHOOSE(CONTROL!$C$9, $D$9, 100%, $F$9) + CHOOSE(CONTROL!$C$27, 0.0021, 0)</f>
        <v>103.224</v>
      </c>
      <c r="I696" s="14">
        <f>103.2219 * CHOOSE(CONTROL!$C$9, $D$9, 100%, $F$9) + CHOOSE(CONTROL!$C$27, 0.0021, 0)</f>
        <v>103.224</v>
      </c>
      <c r="J696" s="14">
        <f>103.2219 * CHOOSE(CONTROL!$C$9, $D$9, 100%, $F$9) + CHOOSE(CONTROL!$C$27, 0.0021, 0)</f>
        <v>103.224</v>
      </c>
      <c r="K696" s="14">
        <f>103.2219 * CHOOSE(CONTROL!$C$9, $D$9, 100%, $F$9) + CHOOSE(CONTROL!$C$27, 0.0021, 0)</f>
        <v>103.224</v>
      </c>
      <c r="L696" s="14"/>
    </row>
    <row r="697" spans="1:12" ht="15.75" x14ac:dyDescent="0.25">
      <c r="A697" s="32">
        <v>62152</v>
      </c>
      <c r="B697" s="14">
        <f>103.3724 * CHOOSE(CONTROL!$C$9, $D$9, 100%, $F$9) + CHOOSE(CONTROL!$C$27, 0.0021, 0)</f>
        <v>103.3745</v>
      </c>
      <c r="C697" s="14">
        <f>102.9402 * CHOOSE(CONTROL!$C$9, $D$9, 100%, $F$9) + CHOOSE(CONTROL!$C$27, 0.0021, 0)</f>
        <v>102.9423</v>
      </c>
      <c r="D697" s="14">
        <f>102.9402 * CHOOSE(CONTROL!$C$9, $D$9, 100%, $F$9) + CHOOSE(CONTROL!$C$27, 0.0021, 0)</f>
        <v>102.9423</v>
      </c>
      <c r="E697" s="14">
        <f>102.8035 * CHOOSE(CONTROL!$C$9, $D$9, 100%, $F$9) + CHOOSE(CONTROL!$C$27, 0.0021, 0)</f>
        <v>102.8056</v>
      </c>
      <c r="F697" s="14">
        <f>102.8035 * CHOOSE(CONTROL!$C$9, $D$9, 100%, $F$9) + CHOOSE(CONTROL!$C$27, 0.0021, 0)</f>
        <v>102.8056</v>
      </c>
      <c r="G697" s="14">
        <f>103.0749 * CHOOSE(CONTROL!$C$9, $D$9, 100%, $F$9) + CHOOSE(CONTROL!$C$27, 0.0021, 0)</f>
        <v>103.077</v>
      </c>
      <c r="H697" s="14">
        <f>102.9402 * CHOOSE(CONTROL!$C$9, $D$9, 100%, $F$9) + CHOOSE(CONTROL!$C$27, 0.0021, 0)</f>
        <v>102.9423</v>
      </c>
      <c r="I697" s="14">
        <f>102.9402 * CHOOSE(CONTROL!$C$9, $D$9, 100%, $F$9) + CHOOSE(CONTROL!$C$27, 0.0021, 0)</f>
        <v>102.9423</v>
      </c>
      <c r="J697" s="14">
        <f>102.9402 * CHOOSE(CONTROL!$C$9, $D$9, 100%, $F$9) + CHOOSE(CONTROL!$C$27, 0.0021, 0)</f>
        <v>102.9423</v>
      </c>
      <c r="K697" s="14">
        <f>102.9402 * CHOOSE(CONTROL!$C$9, $D$9, 100%, $F$9) + CHOOSE(CONTROL!$C$27, 0.0021, 0)</f>
        <v>102.9423</v>
      </c>
      <c r="L697" s="14"/>
    </row>
    <row r="698" spans="1:12" ht="15.75" x14ac:dyDescent="0.25">
      <c r="A698" s="32">
        <v>62183</v>
      </c>
      <c r="B698" s="14">
        <f>108.6999 * CHOOSE(CONTROL!$C$9, $D$9, 100%, $F$9) + CHOOSE(CONTROL!$C$27, 0.0021, 0)</f>
        <v>108.702</v>
      </c>
      <c r="C698" s="14">
        <f>108.2677 * CHOOSE(CONTROL!$C$9, $D$9, 100%, $F$9) + CHOOSE(CONTROL!$C$27, 0.0021, 0)</f>
        <v>108.2698</v>
      </c>
      <c r="D698" s="14">
        <f>108.2677 * CHOOSE(CONTROL!$C$9, $D$9, 100%, $F$9) + CHOOSE(CONTROL!$C$27, 0.0021, 0)</f>
        <v>108.2698</v>
      </c>
      <c r="E698" s="14">
        <f>108.131 * CHOOSE(CONTROL!$C$9, $D$9, 100%, $F$9) + CHOOSE(CONTROL!$C$27, 0.0021, 0)</f>
        <v>108.1331</v>
      </c>
      <c r="F698" s="14">
        <f>108.131 * CHOOSE(CONTROL!$C$9, $D$9, 100%, $F$9) + CHOOSE(CONTROL!$C$27, 0.0021, 0)</f>
        <v>108.1331</v>
      </c>
      <c r="G698" s="14">
        <f>108.4024 * CHOOSE(CONTROL!$C$9, $D$9, 100%, $F$9) + CHOOSE(CONTROL!$C$27, 0.0021, 0)</f>
        <v>108.4045</v>
      </c>
      <c r="H698" s="14">
        <f>108.2677 * CHOOSE(CONTROL!$C$9, $D$9, 100%, $F$9) + CHOOSE(CONTROL!$C$27, 0.0021, 0)</f>
        <v>108.2698</v>
      </c>
      <c r="I698" s="14">
        <f>108.2677 * CHOOSE(CONTROL!$C$9, $D$9, 100%, $F$9) + CHOOSE(CONTROL!$C$27, 0.0021, 0)</f>
        <v>108.2698</v>
      </c>
      <c r="J698" s="14">
        <f>108.2677 * CHOOSE(CONTROL!$C$9, $D$9, 100%, $F$9) + CHOOSE(CONTROL!$C$27, 0.0021, 0)</f>
        <v>108.2698</v>
      </c>
      <c r="K698" s="14">
        <f>108.2677 * CHOOSE(CONTROL!$C$9, $D$9, 100%, $F$9) + CHOOSE(CONTROL!$C$27, 0.0021, 0)</f>
        <v>108.2698</v>
      </c>
      <c r="L698" s="14"/>
    </row>
    <row r="699" spans="1:12" ht="15.75" x14ac:dyDescent="0.25">
      <c r="A699" s="32">
        <v>62213</v>
      </c>
      <c r="B699" s="14">
        <f>115.6084 * CHOOSE(CONTROL!$C$9, $D$9, 100%, $F$9) + CHOOSE(CONTROL!$C$27, 0.0021, 0)</f>
        <v>115.6105</v>
      </c>
      <c r="C699" s="14">
        <f>115.1762 * CHOOSE(CONTROL!$C$9, $D$9, 100%, $F$9) + CHOOSE(CONTROL!$C$27, 0.0021, 0)</f>
        <v>115.17829999999999</v>
      </c>
      <c r="D699" s="14">
        <f>115.1762 * CHOOSE(CONTROL!$C$9, $D$9, 100%, $F$9) + CHOOSE(CONTROL!$C$27, 0.0021, 0)</f>
        <v>115.17829999999999</v>
      </c>
      <c r="E699" s="14">
        <f>115.0395 * CHOOSE(CONTROL!$C$9, $D$9, 100%, $F$9) + CHOOSE(CONTROL!$C$27, 0.0021, 0)</f>
        <v>115.0416</v>
      </c>
      <c r="F699" s="14">
        <f>115.0395 * CHOOSE(CONTROL!$C$9, $D$9, 100%, $F$9) + CHOOSE(CONTROL!$C$27, 0.0021, 0)</f>
        <v>115.0416</v>
      </c>
      <c r="G699" s="14">
        <f>115.3109 * CHOOSE(CONTROL!$C$9, $D$9, 100%, $F$9) + CHOOSE(CONTROL!$C$27, 0.0021, 0)</f>
        <v>115.313</v>
      </c>
      <c r="H699" s="14">
        <f>115.1762 * CHOOSE(CONTROL!$C$9, $D$9, 100%, $F$9) + CHOOSE(CONTROL!$C$27, 0.0021, 0)</f>
        <v>115.17829999999999</v>
      </c>
      <c r="I699" s="14">
        <f>115.1762 * CHOOSE(CONTROL!$C$9, $D$9, 100%, $F$9) + CHOOSE(CONTROL!$C$27, 0.0021, 0)</f>
        <v>115.17829999999999</v>
      </c>
      <c r="J699" s="14">
        <f>115.1762 * CHOOSE(CONTROL!$C$9, $D$9, 100%, $F$9) + CHOOSE(CONTROL!$C$27, 0.0021, 0)</f>
        <v>115.17829999999999</v>
      </c>
      <c r="K699" s="14">
        <f>115.1762 * CHOOSE(CONTROL!$C$9, $D$9, 100%, $F$9) + CHOOSE(CONTROL!$C$27, 0.0021, 0)</f>
        <v>115.17829999999999</v>
      </c>
      <c r="L699" s="14"/>
    </row>
    <row r="700" spans="1:12" ht="15.75" x14ac:dyDescent="0.25">
      <c r="A700" s="32">
        <v>62244</v>
      </c>
      <c r="B700" s="14">
        <f>119.4111 * CHOOSE(CONTROL!$C$9, $D$9, 100%, $F$9) + CHOOSE(CONTROL!$C$27, 0.0021, 0)</f>
        <v>119.4132</v>
      </c>
      <c r="C700" s="14">
        <f>118.9788 * CHOOSE(CONTROL!$C$9, $D$9, 100%, $F$9) + CHOOSE(CONTROL!$C$27, 0.0021, 0)</f>
        <v>118.98090000000001</v>
      </c>
      <c r="D700" s="14">
        <f>118.9788 * CHOOSE(CONTROL!$C$9, $D$9, 100%, $F$9) + CHOOSE(CONTROL!$C$27, 0.0021, 0)</f>
        <v>118.98090000000001</v>
      </c>
      <c r="E700" s="14">
        <f>118.8422 * CHOOSE(CONTROL!$C$9, $D$9, 100%, $F$9) + CHOOSE(CONTROL!$C$27, 0.0021, 0)</f>
        <v>118.8443</v>
      </c>
      <c r="F700" s="14">
        <f>118.8422 * CHOOSE(CONTROL!$C$9, $D$9, 100%, $F$9) + CHOOSE(CONTROL!$C$27, 0.0021, 0)</f>
        <v>118.8443</v>
      </c>
      <c r="G700" s="14">
        <f>119.1135 * CHOOSE(CONTROL!$C$9, $D$9, 100%, $F$9) + CHOOSE(CONTROL!$C$27, 0.0021, 0)</f>
        <v>119.1156</v>
      </c>
      <c r="H700" s="14">
        <f>118.9788 * CHOOSE(CONTROL!$C$9, $D$9, 100%, $F$9) + CHOOSE(CONTROL!$C$27, 0.0021, 0)</f>
        <v>118.98090000000001</v>
      </c>
      <c r="I700" s="14">
        <f>118.9788 * CHOOSE(CONTROL!$C$9, $D$9, 100%, $F$9) + CHOOSE(CONTROL!$C$27, 0.0021, 0)</f>
        <v>118.98090000000001</v>
      </c>
      <c r="J700" s="14">
        <f>118.9788 * CHOOSE(CONTROL!$C$9, $D$9, 100%, $F$9) + CHOOSE(CONTROL!$C$27, 0.0021, 0)</f>
        <v>118.98090000000001</v>
      </c>
      <c r="K700" s="14">
        <f>118.9788 * CHOOSE(CONTROL!$C$9, $D$9, 100%, $F$9) + CHOOSE(CONTROL!$C$27, 0.0021, 0)</f>
        <v>118.98090000000001</v>
      </c>
      <c r="L700" s="14"/>
    </row>
    <row r="701" spans="1:12" ht="15.75" x14ac:dyDescent="0.25">
      <c r="A701" s="32">
        <v>62274</v>
      </c>
      <c r="B701" s="14">
        <f>121.0986 * CHOOSE(CONTROL!$C$9, $D$9, 100%, $F$9) + CHOOSE(CONTROL!$C$27, 0.0021, 0)</f>
        <v>121.1007</v>
      </c>
      <c r="C701" s="14">
        <f>120.6664 * CHOOSE(CONTROL!$C$9, $D$9, 100%, $F$9) + CHOOSE(CONTROL!$C$27, 0.0021, 0)</f>
        <v>120.66849999999999</v>
      </c>
      <c r="D701" s="14">
        <f>120.6664 * CHOOSE(CONTROL!$C$9, $D$9, 100%, $F$9) + CHOOSE(CONTROL!$C$27, 0.0021, 0)</f>
        <v>120.66849999999999</v>
      </c>
      <c r="E701" s="14">
        <f>120.5297 * CHOOSE(CONTROL!$C$9, $D$9, 100%, $F$9) + CHOOSE(CONTROL!$C$27, 0.0021, 0)</f>
        <v>120.5318</v>
      </c>
      <c r="F701" s="14">
        <f>120.5297 * CHOOSE(CONTROL!$C$9, $D$9, 100%, $F$9) + CHOOSE(CONTROL!$C$27, 0.0021, 0)</f>
        <v>120.5318</v>
      </c>
      <c r="G701" s="14">
        <f>120.8011 * CHOOSE(CONTROL!$C$9, $D$9, 100%, $F$9) + CHOOSE(CONTROL!$C$27, 0.0021, 0)</f>
        <v>120.8032</v>
      </c>
      <c r="H701" s="14">
        <f>120.6664 * CHOOSE(CONTROL!$C$9, $D$9, 100%, $F$9) + CHOOSE(CONTROL!$C$27, 0.0021, 0)</f>
        <v>120.66849999999999</v>
      </c>
      <c r="I701" s="14">
        <f>120.6664 * CHOOSE(CONTROL!$C$9, $D$9, 100%, $F$9) + CHOOSE(CONTROL!$C$27, 0.0021, 0)</f>
        <v>120.66849999999999</v>
      </c>
      <c r="J701" s="14">
        <f>120.6664 * CHOOSE(CONTROL!$C$9, $D$9, 100%, $F$9) + CHOOSE(CONTROL!$C$27, 0.0021, 0)</f>
        <v>120.66849999999999</v>
      </c>
      <c r="K701" s="14">
        <f>120.6664 * CHOOSE(CONTROL!$C$9, $D$9, 100%, $F$9) + CHOOSE(CONTROL!$C$27, 0.0021, 0)</f>
        <v>120.66849999999999</v>
      </c>
      <c r="L701" s="14"/>
    </row>
    <row r="702" spans="1:12" ht="15.75" x14ac:dyDescent="0.25">
      <c r="A702" s="32">
        <v>62305</v>
      </c>
      <c r="B702" s="14">
        <f>120.543 * CHOOSE(CONTROL!$C$9, $D$9, 100%, $F$9) + CHOOSE(CONTROL!$C$27, 0.0021, 0)</f>
        <v>120.54510000000001</v>
      </c>
      <c r="C702" s="14">
        <f>120.1108 * CHOOSE(CONTROL!$C$9, $D$9, 100%, $F$9) + CHOOSE(CONTROL!$C$27, 0.0021, 0)</f>
        <v>120.1129</v>
      </c>
      <c r="D702" s="14">
        <f>120.1108 * CHOOSE(CONTROL!$C$9, $D$9, 100%, $F$9) + CHOOSE(CONTROL!$C$27, 0.0021, 0)</f>
        <v>120.1129</v>
      </c>
      <c r="E702" s="14">
        <f>119.9741 * CHOOSE(CONTROL!$C$9, $D$9, 100%, $F$9) + CHOOSE(CONTROL!$C$27, 0.0021, 0)</f>
        <v>119.97620000000001</v>
      </c>
      <c r="F702" s="14">
        <f>119.9741 * CHOOSE(CONTROL!$C$9, $D$9, 100%, $F$9) + CHOOSE(CONTROL!$C$27, 0.0021, 0)</f>
        <v>119.97620000000001</v>
      </c>
      <c r="G702" s="14">
        <f>120.2455 * CHOOSE(CONTROL!$C$9, $D$9, 100%, $F$9) + CHOOSE(CONTROL!$C$27, 0.0021, 0)</f>
        <v>120.24760000000001</v>
      </c>
      <c r="H702" s="14">
        <f>120.1108 * CHOOSE(CONTROL!$C$9, $D$9, 100%, $F$9) + CHOOSE(CONTROL!$C$27, 0.0021, 0)</f>
        <v>120.1129</v>
      </c>
      <c r="I702" s="14">
        <f>120.1108 * CHOOSE(CONTROL!$C$9, $D$9, 100%, $F$9) + CHOOSE(CONTROL!$C$27, 0.0021, 0)</f>
        <v>120.1129</v>
      </c>
      <c r="J702" s="14">
        <f>120.1108 * CHOOSE(CONTROL!$C$9, $D$9, 100%, $F$9) + CHOOSE(CONTROL!$C$27, 0.0021, 0)</f>
        <v>120.1129</v>
      </c>
      <c r="K702" s="14">
        <f>120.1108 * CHOOSE(CONTROL!$C$9, $D$9, 100%, $F$9) + CHOOSE(CONTROL!$C$27, 0.0021, 0)</f>
        <v>120.1129</v>
      </c>
      <c r="L702" s="14"/>
    </row>
    <row r="703" spans="1:12" ht="15.75" x14ac:dyDescent="0.25">
      <c r="A703" s="32">
        <v>62336</v>
      </c>
      <c r="B703" s="14">
        <f>117.7902 * CHOOSE(CONTROL!$C$9, $D$9, 100%, $F$9) + CHOOSE(CONTROL!$C$27, 0.0021, 0)</f>
        <v>117.7923</v>
      </c>
      <c r="C703" s="14">
        <f>117.3579 * CHOOSE(CONTROL!$C$9, $D$9, 100%, $F$9) + CHOOSE(CONTROL!$C$27, 0.0021, 0)</f>
        <v>117.36</v>
      </c>
      <c r="D703" s="14">
        <f>117.3579 * CHOOSE(CONTROL!$C$9, $D$9, 100%, $F$9) + CHOOSE(CONTROL!$C$27, 0.0021, 0)</f>
        <v>117.36</v>
      </c>
      <c r="E703" s="14">
        <f>117.2213 * CHOOSE(CONTROL!$C$9, $D$9, 100%, $F$9) + CHOOSE(CONTROL!$C$27, 0.0021, 0)</f>
        <v>117.2234</v>
      </c>
      <c r="F703" s="14">
        <f>117.2213 * CHOOSE(CONTROL!$C$9, $D$9, 100%, $F$9) + CHOOSE(CONTROL!$C$27, 0.0021, 0)</f>
        <v>117.2234</v>
      </c>
      <c r="G703" s="14">
        <f>117.4927 * CHOOSE(CONTROL!$C$9, $D$9, 100%, $F$9) + CHOOSE(CONTROL!$C$27, 0.0021, 0)</f>
        <v>117.4948</v>
      </c>
      <c r="H703" s="14">
        <f>117.3579 * CHOOSE(CONTROL!$C$9, $D$9, 100%, $F$9) + CHOOSE(CONTROL!$C$27, 0.0021, 0)</f>
        <v>117.36</v>
      </c>
      <c r="I703" s="14">
        <f>117.3579 * CHOOSE(CONTROL!$C$9, $D$9, 100%, $F$9) + CHOOSE(CONTROL!$C$27, 0.0021, 0)</f>
        <v>117.36</v>
      </c>
      <c r="J703" s="14">
        <f>117.3579 * CHOOSE(CONTROL!$C$9, $D$9, 100%, $F$9) + CHOOSE(CONTROL!$C$27, 0.0021, 0)</f>
        <v>117.36</v>
      </c>
      <c r="K703" s="14">
        <f>117.3579 * CHOOSE(CONTROL!$C$9, $D$9, 100%, $F$9) + CHOOSE(CONTROL!$C$27, 0.0021, 0)</f>
        <v>117.36</v>
      </c>
      <c r="L703" s="14"/>
    </row>
    <row r="704" spans="1:12" ht="15.75" x14ac:dyDescent="0.25">
      <c r="A704" s="32">
        <v>62366</v>
      </c>
      <c r="B704" s="14">
        <f>113.9512 * CHOOSE(CONTROL!$C$9, $D$9, 100%, $F$9) + CHOOSE(CONTROL!$C$27, 0.0021, 0)</f>
        <v>113.9533</v>
      </c>
      <c r="C704" s="14">
        <f>113.519 * CHOOSE(CONTROL!$C$9, $D$9, 100%, $F$9) + CHOOSE(CONTROL!$C$27, 0.0021, 0)</f>
        <v>113.5211</v>
      </c>
      <c r="D704" s="14">
        <f>113.519 * CHOOSE(CONTROL!$C$9, $D$9, 100%, $F$9) + CHOOSE(CONTROL!$C$27, 0.0021, 0)</f>
        <v>113.5211</v>
      </c>
      <c r="E704" s="14">
        <f>113.3823 * CHOOSE(CONTROL!$C$9, $D$9, 100%, $F$9) + CHOOSE(CONTROL!$C$27, 0.0021, 0)</f>
        <v>113.3844</v>
      </c>
      <c r="F704" s="14">
        <f>113.3823 * CHOOSE(CONTROL!$C$9, $D$9, 100%, $F$9) + CHOOSE(CONTROL!$C$27, 0.0021, 0)</f>
        <v>113.3844</v>
      </c>
      <c r="G704" s="14">
        <f>113.6537 * CHOOSE(CONTROL!$C$9, $D$9, 100%, $F$9) + CHOOSE(CONTROL!$C$27, 0.0021, 0)</f>
        <v>113.6558</v>
      </c>
      <c r="H704" s="14">
        <f>113.519 * CHOOSE(CONTROL!$C$9, $D$9, 100%, $F$9) + CHOOSE(CONTROL!$C$27, 0.0021, 0)</f>
        <v>113.5211</v>
      </c>
      <c r="I704" s="14">
        <f>113.519 * CHOOSE(CONTROL!$C$9, $D$9, 100%, $F$9) + CHOOSE(CONTROL!$C$27, 0.0021, 0)</f>
        <v>113.5211</v>
      </c>
      <c r="J704" s="14">
        <f>113.519 * CHOOSE(CONTROL!$C$9, $D$9, 100%, $F$9) + CHOOSE(CONTROL!$C$27, 0.0021, 0)</f>
        <v>113.5211</v>
      </c>
      <c r="K704" s="14">
        <f>113.519 * CHOOSE(CONTROL!$C$9, $D$9, 100%, $F$9) + CHOOSE(CONTROL!$C$27, 0.0021, 0)</f>
        <v>113.5211</v>
      </c>
      <c r="L704" s="14"/>
    </row>
    <row r="705" spans="1:12" ht="15.75" x14ac:dyDescent="0.25">
      <c r="A705" s="32">
        <v>62397</v>
      </c>
      <c r="B705" s="14">
        <f>110.09 * CHOOSE(CONTROL!$C$9, $D$9, 100%, $F$9) + CHOOSE(CONTROL!$C$27, 0.0021, 0)</f>
        <v>110.0921</v>
      </c>
      <c r="C705" s="14">
        <f>109.6577 * CHOOSE(CONTROL!$C$9, $D$9, 100%, $F$9) + CHOOSE(CONTROL!$C$27, 0.0021, 0)</f>
        <v>109.6598</v>
      </c>
      <c r="D705" s="14">
        <f>109.6577 * CHOOSE(CONTROL!$C$9, $D$9, 100%, $F$9) + CHOOSE(CONTROL!$C$27, 0.0021, 0)</f>
        <v>109.6598</v>
      </c>
      <c r="E705" s="14">
        <f>109.5211 * CHOOSE(CONTROL!$C$9, $D$9, 100%, $F$9) + CHOOSE(CONTROL!$C$27, 0.0021, 0)</f>
        <v>109.5232</v>
      </c>
      <c r="F705" s="14">
        <f>109.5211 * CHOOSE(CONTROL!$C$9, $D$9, 100%, $F$9) + CHOOSE(CONTROL!$C$27, 0.0021, 0)</f>
        <v>109.5232</v>
      </c>
      <c r="G705" s="14">
        <f>109.7924 * CHOOSE(CONTROL!$C$9, $D$9, 100%, $F$9) + CHOOSE(CONTROL!$C$27, 0.0021, 0)</f>
        <v>109.7945</v>
      </c>
      <c r="H705" s="14">
        <f>109.6577 * CHOOSE(CONTROL!$C$9, $D$9, 100%, $F$9) + CHOOSE(CONTROL!$C$27, 0.0021, 0)</f>
        <v>109.6598</v>
      </c>
      <c r="I705" s="14">
        <f>109.6577 * CHOOSE(CONTROL!$C$9, $D$9, 100%, $F$9) + CHOOSE(CONTROL!$C$27, 0.0021, 0)</f>
        <v>109.6598</v>
      </c>
      <c r="J705" s="14">
        <f>109.6577 * CHOOSE(CONTROL!$C$9, $D$9, 100%, $F$9) + CHOOSE(CONTROL!$C$27, 0.0021, 0)</f>
        <v>109.6598</v>
      </c>
      <c r="K705" s="14">
        <f>109.6577 * CHOOSE(CONTROL!$C$9, $D$9, 100%, $F$9) + CHOOSE(CONTROL!$C$27, 0.0021, 0)</f>
        <v>109.6598</v>
      </c>
      <c r="L705" s="14"/>
    </row>
    <row r="706" spans="1:12" ht="15.75" x14ac:dyDescent="0.25">
      <c r="A706" s="32">
        <v>62427</v>
      </c>
      <c r="B706" s="14">
        <f>109.3219 * CHOOSE(CONTROL!$C$9, $D$9, 100%, $F$9) + CHOOSE(CONTROL!$C$27, 0.0021, 0)</f>
        <v>109.324</v>
      </c>
      <c r="C706" s="14">
        <f>108.8896 * CHOOSE(CONTROL!$C$9, $D$9, 100%, $F$9) + CHOOSE(CONTROL!$C$27, 0.0021, 0)</f>
        <v>108.8917</v>
      </c>
      <c r="D706" s="14">
        <f>108.8896 * CHOOSE(CONTROL!$C$9, $D$9, 100%, $F$9) + CHOOSE(CONTROL!$C$27, 0.0021, 0)</f>
        <v>108.8917</v>
      </c>
      <c r="E706" s="14">
        <f>108.753 * CHOOSE(CONTROL!$C$9, $D$9, 100%, $F$9) + CHOOSE(CONTROL!$C$27, 0.0021, 0)</f>
        <v>108.7551</v>
      </c>
      <c r="F706" s="14">
        <f>108.753 * CHOOSE(CONTROL!$C$9, $D$9, 100%, $F$9) + CHOOSE(CONTROL!$C$27, 0.0021, 0)</f>
        <v>108.7551</v>
      </c>
      <c r="G706" s="14">
        <f>109.0243 * CHOOSE(CONTROL!$C$9, $D$9, 100%, $F$9) + CHOOSE(CONTROL!$C$27, 0.0021, 0)</f>
        <v>109.0264</v>
      </c>
      <c r="H706" s="14">
        <f>108.8896 * CHOOSE(CONTROL!$C$9, $D$9, 100%, $F$9) + CHOOSE(CONTROL!$C$27, 0.0021, 0)</f>
        <v>108.8917</v>
      </c>
      <c r="I706" s="14">
        <f>108.8896 * CHOOSE(CONTROL!$C$9, $D$9, 100%, $F$9) + CHOOSE(CONTROL!$C$27, 0.0021, 0)</f>
        <v>108.8917</v>
      </c>
      <c r="J706" s="14">
        <f>108.8896 * CHOOSE(CONTROL!$C$9, $D$9, 100%, $F$9) + CHOOSE(CONTROL!$C$27, 0.0021, 0)</f>
        <v>108.8917</v>
      </c>
      <c r="K706" s="14">
        <f>108.8896 * CHOOSE(CONTROL!$C$9, $D$9, 100%, $F$9) + CHOOSE(CONTROL!$C$27, 0.0021, 0)</f>
        <v>108.8917</v>
      </c>
      <c r="L706" s="14"/>
    </row>
    <row r="707" spans="1:12" ht="15.75" x14ac:dyDescent="0.25">
      <c r="A707" s="32">
        <v>62458</v>
      </c>
      <c r="B707" s="14">
        <f>106.1458 * CHOOSE(CONTROL!$C$9, $D$9, 100%, $F$9) + CHOOSE(CONTROL!$C$27, 0.0021, 0)</f>
        <v>106.14789999999999</v>
      </c>
      <c r="C707" s="14">
        <f>105.7135 * CHOOSE(CONTROL!$C$9, $D$9, 100%, $F$9) + CHOOSE(CONTROL!$C$27, 0.0021, 0)</f>
        <v>105.71559999999999</v>
      </c>
      <c r="D707" s="14">
        <f>105.7135 * CHOOSE(CONTROL!$C$9, $D$9, 100%, $F$9) + CHOOSE(CONTROL!$C$27, 0.0021, 0)</f>
        <v>105.71559999999999</v>
      </c>
      <c r="E707" s="14">
        <f>105.5769 * CHOOSE(CONTROL!$C$9, $D$9, 100%, $F$9) + CHOOSE(CONTROL!$C$27, 0.0021, 0)</f>
        <v>105.57899999999999</v>
      </c>
      <c r="F707" s="14">
        <f>105.5769 * CHOOSE(CONTROL!$C$9, $D$9, 100%, $F$9) + CHOOSE(CONTROL!$C$27, 0.0021, 0)</f>
        <v>105.57899999999999</v>
      </c>
      <c r="G707" s="14">
        <f>105.8482 * CHOOSE(CONTROL!$C$9, $D$9, 100%, $F$9) + CHOOSE(CONTROL!$C$27, 0.0021, 0)</f>
        <v>105.8503</v>
      </c>
      <c r="H707" s="14">
        <f>105.7135 * CHOOSE(CONTROL!$C$9, $D$9, 100%, $F$9) + CHOOSE(CONTROL!$C$27, 0.0021, 0)</f>
        <v>105.71559999999999</v>
      </c>
      <c r="I707" s="14">
        <f>105.7135 * CHOOSE(CONTROL!$C$9, $D$9, 100%, $F$9) + CHOOSE(CONTROL!$C$27, 0.0021, 0)</f>
        <v>105.71559999999999</v>
      </c>
      <c r="J707" s="14">
        <f>105.7135 * CHOOSE(CONTROL!$C$9, $D$9, 100%, $F$9) + CHOOSE(CONTROL!$C$27, 0.0021, 0)</f>
        <v>105.71559999999999</v>
      </c>
      <c r="K707" s="14">
        <f>105.7135 * CHOOSE(CONTROL!$C$9, $D$9, 100%, $F$9) + CHOOSE(CONTROL!$C$27, 0.0021, 0)</f>
        <v>105.71559999999999</v>
      </c>
      <c r="L707" s="14"/>
    </row>
    <row r="708" spans="1:12" ht="15.75" x14ac:dyDescent="0.25">
      <c r="A708" s="32">
        <v>62489</v>
      </c>
      <c r="B708" s="14">
        <f>105.5274 * CHOOSE(CONTROL!$C$9, $D$9, 100%, $F$9) + CHOOSE(CONTROL!$C$27, 0.0021, 0)</f>
        <v>105.5295</v>
      </c>
      <c r="C708" s="14">
        <f>105.0952 * CHOOSE(CONTROL!$C$9, $D$9, 100%, $F$9) + CHOOSE(CONTROL!$C$27, 0.0021, 0)</f>
        <v>105.0973</v>
      </c>
      <c r="D708" s="14">
        <f>105.0952 * CHOOSE(CONTROL!$C$9, $D$9, 100%, $F$9) + CHOOSE(CONTROL!$C$27, 0.0021, 0)</f>
        <v>105.0973</v>
      </c>
      <c r="E708" s="14">
        <f>104.9585 * CHOOSE(CONTROL!$C$9, $D$9, 100%, $F$9) + CHOOSE(CONTROL!$C$27, 0.0021, 0)</f>
        <v>104.9606</v>
      </c>
      <c r="F708" s="14">
        <f>104.9585 * CHOOSE(CONTROL!$C$9, $D$9, 100%, $F$9) + CHOOSE(CONTROL!$C$27, 0.0021, 0)</f>
        <v>104.9606</v>
      </c>
      <c r="G708" s="14">
        <f>105.2299 * CHOOSE(CONTROL!$C$9, $D$9, 100%, $F$9) + CHOOSE(CONTROL!$C$27, 0.0021, 0)</f>
        <v>105.232</v>
      </c>
      <c r="H708" s="14">
        <f>105.0952 * CHOOSE(CONTROL!$C$9, $D$9, 100%, $F$9) + CHOOSE(CONTROL!$C$27, 0.0021, 0)</f>
        <v>105.0973</v>
      </c>
      <c r="I708" s="14">
        <f>105.0952 * CHOOSE(CONTROL!$C$9, $D$9, 100%, $F$9) + CHOOSE(CONTROL!$C$27, 0.0021, 0)</f>
        <v>105.0973</v>
      </c>
      <c r="J708" s="14">
        <f>105.0952 * CHOOSE(CONTROL!$C$9, $D$9, 100%, $F$9) + CHOOSE(CONTROL!$C$27, 0.0021, 0)</f>
        <v>105.0973</v>
      </c>
      <c r="K708" s="14">
        <f>105.0952 * CHOOSE(CONTROL!$C$9, $D$9, 100%, $F$9) + CHOOSE(CONTROL!$C$27, 0.0021, 0)</f>
        <v>105.0973</v>
      </c>
      <c r="L708" s="14"/>
    </row>
    <row r="709" spans="1:12" ht="15.75" x14ac:dyDescent="0.25">
      <c r="A709" s="32">
        <v>62517</v>
      </c>
      <c r="B709" s="14">
        <f>105.2404 * CHOOSE(CONTROL!$C$9, $D$9, 100%, $F$9) + CHOOSE(CONTROL!$C$27, 0.0021, 0)</f>
        <v>105.24249999999999</v>
      </c>
      <c r="C709" s="14">
        <f>104.8082 * CHOOSE(CONTROL!$C$9, $D$9, 100%, $F$9) + CHOOSE(CONTROL!$C$27, 0.0021, 0)</f>
        <v>104.8103</v>
      </c>
      <c r="D709" s="14">
        <f>104.8082 * CHOOSE(CONTROL!$C$9, $D$9, 100%, $F$9) + CHOOSE(CONTROL!$C$27, 0.0021, 0)</f>
        <v>104.8103</v>
      </c>
      <c r="E709" s="14">
        <f>104.6715 * CHOOSE(CONTROL!$C$9, $D$9, 100%, $F$9) + CHOOSE(CONTROL!$C$27, 0.0021, 0)</f>
        <v>104.67359999999999</v>
      </c>
      <c r="F709" s="14">
        <f>104.6715 * CHOOSE(CONTROL!$C$9, $D$9, 100%, $F$9) + CHOOSE(CONTROL!$C$27, 0.0021, 0)</f>
        <v>104.67359999999999</v>
      </c>
      <c r="G709" s="14">
        <f>104.9429 * CHOOSE(CONTROL!$C$9, $D$9, 100%, $F$9) + CHOOSE(CONTROL!$C$27, 0.0021, 0)</f>
        <v>104.94499999999999</v>
      </c>
      <c r="H709" s="14">
        <f>104.8082 * CHOOSE(CONTROL!$C$9, $D$9, 100%, $F$9) + CHOOSE(CONTROL!$C$27, 0.0021, 0)</f>
        <v>104.8103</v>
      </c>
      <c r="I709" s="14">
        <f>104.8082 * CHOOSE(CONTROL!$C$9, $D$9, 100%, $F$9) + CHOOSE(CONTROL!$C$27, 0.0021, 0)</f>
        <v>104.8103</v>
      </c>
      <c r="J709" s="14">
        <f>104.8082 * CHOOSE(CONTROL!$C$9, $D$9, 100%, $F$9) + CHOOSE(CONTROL!$C$27, 0.0021, 0)</f>
        <v>104.8103</v>
      </c>
      <c r="K709" s="14">
        <f>104.8082 * CHOOSE(CONTROL!$C$9, $D$9, 100%, $F$9) + CHOOSE(CONTROL!$C$27, 0.0021, 0)</f>
        <v>104.8103</v>
      </c>
      <c r="L709" s="14"/>
    </row>
    <row r="710" spans="1:12" ht="15.75" x14ac:dyDescent="0.25">
      <c r="A710" s="32">
        <v>62548</v>
      </c>
      <c r="B710" s="14">
        <f>110.6664 * CHOOSE(CONTROL!$C$9, $D$9, 100%, $F$9) + CHOOSE(CONTROL!$C$27, 0.0021, 0)</f>
        <v>110.66849999999999</v>
      </c>
      <c r="C710" s="14">
        <f>110.2342 * CHOOSE(CONTROL!$C$9, $D$9, 100%, $F$9) + CHOOSE(CONTROL!$C$27, 0.0021, 0)</f>
        <v>110.2363</v>
      </c>
      <c r="D710" s="14">
        <f>110.2342 * CHOOSE(CONTROL!$C$9, $D$9, 100%, $F$9) + CHOOSE(CONTROL!$C$27, 0.0021, 0)</f>
        <v>110.2363</v>
      </c>
      <c r="E710" s="14">
        <f>110.0975 * CHOOSE(CONTROL!$C$9, $D$9, 100%, $F$9) + CHOOSE(CONTROL!$C$27, 0.0021, 0)</f>
        <v>110.0996</v>
      </c>
      <c r="F710" s="14">
        <f>110.0975 * CHOOSE(CONTROL!$C$9, $D$9, 100%, $F$9) + CHOOSE(CONTROL!$C$27, 0.0021, 0)</f>
        <v>110.0996</v>
      </c>
      <c r="G710" s="14">
        <f>110.3689 * CHOOSE(CONTROL!$C$9, $D$9, 100%, $F$9) + CHOOSE(CONTROL!$C$27, 0.0021, 0)</f>
        <v>110.371</v>
      </c>
      <c r="H710" s="14">
        <f>110.2342 * CHOOSE(CONTROL!$C$9, $D$9, 100%, $F$9) + CHOOSE(CONTROL!$C$27, 0.0021, 0)</f>
        <v>110.2363</v>
      </c>
      <c r="I710" s="14">
        <f>110.2342 * CHOOSE(CONTROL!$C$9, $D$9, 100%, $F$9) + CHOOSE(CONTROL!$C$27, 0.0021, 0)</f>
        <v>110.2363</v>
      </c>
      <c r="J710" s="14">
        <f>110.2342 * CHOOSE(CONTROL!$C$9, $D$9, 100%, $F$9) + CHOOSE(CONTROL!$C$27, 0.0021, 0)</f>
        <v>110.2363</v>
      </c>
      <c r="K710" s="14">
        <f>110.2342 * CHOOSE(CONTROL!$C$9, $D$9, 100%, $F$9) + CHOOSE(CONTROL!$C$27, 0.0021, 0)</f>
        <v>110.2363</v>
      </c>
      <c r="L710" s="14"/>
    </row>
    <row r="711" spans="1:12" ht="15.75" x14ac:dyDescent="0.25">
      <c r="A711" s="32">
        <v>62578</v>
      </c>
      <c r="B711" s="14">
        <f>117.7026 * CHOOSE(CONTROL!$C$9, $D$9, 100%, $F$9) + CHOOSE(CONTROL!$C$27, 0.0021, 0)</f>
        <v>117.7047</v>
      </c>
      <c r="C711" s="14">
        <f>117.2703 * CHOOSE(CONTROL!$C$9, $D$9, 100%, $F$9) + CHOOSE(CONTROL!$C$27, 0.0021, 0)</f>
        <v>117.2724</v>
      </c>
      <c r="D711" s="14">
        <f>117.2703 * CHOOSE(CONTROL!$C$9, $D$9, 100%, $F$9) + CHOOSE(CONTROL!$C$27, 0.0021, 0)</f>
        <v>117.2724</v>
      </c>
      <c r="E711" s="14">
        <f>117.1337 * CHOOSE(CONTROL!$C$9, $D$9, 100%, $F$9) + CHOOSE(CONTROL!$C$27, 0.0021, 0)</f>
        <v>117.1358</v>
      </c>
      <c r="F711" s="14">
        <f>117.1337 * CHOOSE(CONTROL!$C$9, $D$9, 100%, $F$9) + CHOOSE(CONTROL!$C$27, 0.0021, 0)</f>
        <v>117.1358</v>
      </c>
      <c r="G711" s="14">
        <f>117.4051 * CHOOSE(CONTROL!$C$9, $D$9, 100%, $F$9) + CHOOSE(CONTROL!$C$27, 0.0021, 0)</f>
        <v>117.4072</v>
      </c>
      <c r="H711" s="14">
        <f>117.2703 * CHOOSE(CONTROL!$C$9, $D$9, 100%, $F$9) + CHOOSE(CONTROL!$C$27, 0.0021, 0)</f>
        <v>117.2724</v>
      </c>
      <c r="I711" s="14">
        <f>117.2703 * CHOOSE(CONTROL!$C$9, $D$9, 100%, $F$9) + CHOOSE(CONTROL!$C$27, 0.0021, 0)</f>
        <v>117.2724</v>
      </c>
      <c r="J711" s="14">
        <f>117.2703 * CHOOSE(CONTROL!$C$9, $D$9, 100%, $F$9) + CHOOSE(CONTROL!$C$27, 0.0021, 0)</f>
        <v>117.2724</v>
      </c>
      <c r="K711" s="14">
        <f>117.2703 * CHOOSE(CONTROL!$C$9, $D$9, 100%, $F$9) + CHOOSE(CONTROL!$C$27, 0.0021, 0)</f>
        <v>117.2724</v>
      </c>
      <c r="L711" s="14"/>
    </row>
    <row r="712" spans="1:12" ht="15.75" x14ac:dyDescent="0.25">
      <c r="A712" s="32">
        <v>62609</v>
      </c>
      <c r="B712" s="14">
        <f>121.5755 * CHOOSE(CONTROL!$C$9, $D$9, 100%, $F$9) + CHOOSE(CONTROL!$C$27, 0.0021, 0)</f>
        <v>121.5776</v>
      </c>
      <c r="C712" s="14">
        <f>121.1433 * CHOOSE(CONTROL!$C$9, $D$9, 100%, $F$9) + CHOOSE(CONTROL!$C$27, 0.0021, 0)</f>
        <v>121.1454</v>
      </c>
      <c r="D712" s="14">
        <f>121.1433 * CHOOSE(CONTROL!$C$9, $D$9, 100%, $F$9) + CHOOSE(CONTROL!$C$27, 0.0021, 0)</f>
        <v>121.1454</v>
      </c>
      <c r="E712" s="14">
        <f>121.0066 * CHOOSE(CONTROL!$C$9, $D$9, 100%, $F$9) + CHOOSE(CONTROL!$C$27, 0.0021, 0)</f>
        <v>121.0087</v>
      </c>
      <c r="F712" s="14">
        <f>121.0066 * CHOOSE(CONTROL!$C$9, $D$9, 100%, $F$9) + CHOOSE(CONTROL!$C$27, 0.0021, 0)</f>
        <v>121.0087</v>
      </c>
      <c r="G712" s="14">
        <f>121.278 * CHOOSE(CONTROL!$C$9, $D$9, 100%, $F$9) + CHOOSE(CONTROL!$C$27, 0.0021, 0)</f>
        <v>121.2801</v>
      </c>
      <c r="H712" s="14">
        <f>121.1433 * CHOOSE(CONTROL!$C$9, $D$9, 100%, $F$9) + CHOOSE(CONTROL!$C$27, 0.0021, 0)</f>
        <v>121.1454</v>
      </c>
      <c r="I712" s="14">
        <f>121.1433 * CHOOSE(CONTROL!$C$9, $D$9, 100%, $F$9) + CHOOSE(CONTROL!$C$27, 0.0021, 0)</f>
        <v>121.1454</v>
      </c>
      <c r="J712" s="14">
        <f>121.1433 * CHOOSE(CONTROL!$C$9, $D$9, 100%, $F$9) + CHOOSE(CONTROL!$C$27, 0.0021, 0)</f>
        <v>121.1454</v>
      </c>
      <c r="K712" s="14">
        <f>121.1433 * CHOOSE(CONTROL!$C$9, $D$9, 100%, $F$9) + CHOOSE(CONTROL!$C$27, 0.0021, 0)</f>
        <v>121.1454</v>
      </c>
      <c r="L712" s="14"/>
    </row>
    <row r="713" spans="1:12" ht="15.75" x14ac:dyDescent="0.25">
      <c r="A713" s="32">
        <v>62639</v>
      </c>
      <c r="B713" s="14">
        <f>123.2943 * CHOOSE(CONTROL!$C$9, $D$9, 100%, $F$9) + CHOOSE(CONTROL!$C$27, 0.0021, 0)</f>
        <v>123.29640000000001</v>
      </c>
      <c r="C713" s="14">
        <f>122.862 * CHOOSE(CONTROL!$C$9, $D$9, 100%, $F$9) + CHOOSE(CONTROL!$C$27, 0.0021, 0)</f>
        <v>122.86409999999999</v>
      </c>
      <c r="D713" s="14">
        <f>122.862 * CHOOSE(CONTROL!$C$9, $D$9, 100%, $F$9) + CHOOSE(CONTROL!$C$27, 0.0021, 0)</f>
        <v>122.86409999999999</v>
      </c>
      <c r="E713" s="14">
        <f>122.7254 * CHOOSE(CONTROL!$C$9, $D$9, 100%, $F$9) + CHOOSE(CONTROL!$C$27, 0.0021, 0)</f>
        <v>122.72749999999999</v>
      </c>
      <c r="F713" s="14">
        <f>122.7254 * CHOOSE(CONTROL!$C$9, $D$9, 100%, $F$9) + CHOOSE(CONTROL!$C$27, 0.0021, 0)</f>
        <v>122.72749999999999</v>
      </c>
      <c r="G713" s="14">
        <f>122.9967 * CHOOSE(CONTROL!$C$9, $D$9, 100%, $F$9) + CHOOSE(CONTROL!$C$27, 0.0021, 0)</f>
        <v>122.9988</v>
      </c>
      <c r="H713" s="14">
        <f>122.862 * CHOOSE(CONTROL!$C$9, $D$9, 100%, $F$9) + CHOOSE(CONTROL!$C$27, 0.0021, 0)</f>
        <v>122.86409999999999</v>
      </c>
      <c r="I713" s="14">
        <f>122.862 * CHOOSE(CONTROL!$C$9, $D$9, 100%, $F$9) + CHOOSE(CONTROL!$C$27, 0.0021, 0)</f>
        <v>122.86409999999999</v>
      </c>
      <c r="J713" s="14">
        <f>122.862 * CHOOSE(CONTROL!$C$9, $D$9, 100%, $F$9) + CHOOSE(CONTROL!$C$27, 0.0021, 0)</f>
        <v>122.86409999999999</v>
      </c>
      <c r="K713" s="14">
        <f>122.862 * CHOOSE(CONTROL!$C$9, $D$9, 100%, $F$9) + CHOOSE(CONTROL!$C$27, 0.0021, 0)</f>
        <v>122.86409999999999</v>
      </c>
      <c r="L713" s="14"/>
    </row>
    <row r="714" spans="1:12" ht="15.75" x14ac:dyDescent="0.25">
      <c r="A714" s="32">
        <v>62670</v>
      </c>
      <c r="B714" s="14">
        <f>122.7284 * CHOOSE(CONTROL!$C$9, $D$9, 100%, $F$9) + CHOOSE(CONTROL!$C$27, 0.0021, 0)</f>
        <v>122.73049999999999</v>
      </c>
      <c r="C714" s="14">
        <f>122.2961 * CHOOSE(CONTROL!$C$9, $D$9, 100%, $F$9) + CHOOSE(CONTROL!$C$27, 0.0021, 0)</f>
        <v>122.29819999999999</v>
      </c>
      <c r="D714" s="14">
        <f>122.2961 * CHOOSE(CONTROL!$C$9, $D$9, 100%, $F$9) + CHOOSE(CONTROL!$C$27, 0.0021, 0)</f>
        <v>122.29819999999999</v>
      </c>
      <c r="E714" s="14">
        <f>122.1595 * CHOOSE(CONTROL!$C$9, $D$9, 100%, $F$9) + CHOOSE(CONTROL!$C$27, 0.0021, 0)</f>
        <v>122.16159999999999</v>
      </c>
      <c r="F714" s="14">
        <f>122.1595 * CHOOSE(CONTROL!$C$9, $D$9, 100%, $F$9) + CHOOSE(CONTROL!$C$27, 0.0021, 0)</f>
        <v>122.16159999999999</v>
      </c>
      <c r="G714" s="14">
        <f>122.4308 * CHOOSE(CONTROL!$C$9, $D$9, 100%, $F$9) + CHOOSE(CONTROL!$C$27, 0.0021, 0)</f>
        <v>122.4329</v>
      </c>
      <c r="H714" s="14">
        <f>122.2961 * CHOOSE(CONTROL!$C$9, $D$9, 100%, $F$9) + CHOOSE(CONTROL!$C$27, 0.0021, 0)</f>
        <v>122.29819999999999</v>
      </c>
      <c r="I714" s="14">
        <f>122.2961 * CHOOSE(CONTROL!$C$9, $D$9, 100%, $F$9) + CHOOSE(CONTROL!$C$27, 0.0021, 0)</f>
        <v>122.29819999999999</v>
      </c>
      <c r="J714" s="14">
        <f>122.2961 * CHOOSE(CONTROL!$C$9, $D$9, 100%, $F$9) + CHOOSE(CONTROL!$C$27, 0.0021, 0)</f>
        <v>122.29819999999999</v>
      </c>
      <c r="K714" s="14">
        <f>122.2961 * CHOOSE(CONTROL!$C$9, $D$9, 100%, $F$9) + CHOOSE(CONTROL!$C$27, 0.0021, 0)</f>
        <v>122.29819999999999</v>
      </c>
      <c r="L714" s="14"/>
    </row>
    <row r="715" spans="1:12" ht="15.75" x14ac:dyDescent="0.25">
      <c r="A715" s="32">
        <v>62701</v>
      </c>
      <c r="B715" s="14">
        <f>119.9247 * CHOOSE(CONTROL!$C$9, $D$9, 100%, $F$9) + CHOOSE(CONTROL!$C$27, 0.0021, 0)</f>
        <v>119.9268</v>
      </c>
      <c r="C715" s="14">
        <f>119.4924 * CHOOSE(CONTROL!$C$9, $D$9, 100%, $F$9) + CHOOSE(CONTROL!$C$27, 0.0021, 0)</f>
        <v>119.4945</v>
      </c>
      <c r="D715" s="14">
        <f>119.4924 * CHOOSE(CONTROL!$C$9, $D$9, 100%, $F$9) + CHOOSE(CONTROL!$C$27, 0.0021, 0)</f>
        <v>119.4945</v>
      </c>
      <c r="E715" s="14">
        <f>119.3558 * CHOOSE(CONTROL!$C$9, $D$9, 100%, $F$9) + CHOOSE(CONTROL!$C$27, 0.0021, 0)</f>
        <v>119.3579</v>
      </c>
      <c r="F715" s="14">
        <f>119.3558 * CHOOSE(CONTROL!$C$9, $D$9, 100%, $F$9) + CHOOSE(CONTROL!$C$27, 0.0021, 0)</f>
        <v>119.3579</v>
      </c>
      <c r="G715" s="14">
        <f>119.6271 * CHOOSE(CONTROL!$C$9, $D$9, 100%, $F$9) + CHOOSE(CONTROL!$C$27, 0.0021, 0)</f>
        <v>119.6292</v>
      </c>
      <c r="H715" s="14">
        <f>119.4924 * CHOOSE(CONTROL!$C$9, $D$9, 100%, $F$9) + CHOOSE(CONTROL!$C$27, 0.0021, 0)</f>
        <v>119.4945</v>
      </c>
      <c r="I715" s="14">
        <f>119.4924 * CHOOSE(CONTROL!$C$9, $D$9, 100%, $F$9) + CHOOSE(CONTROL!$C$27, 0.0021, 0)</f>
        <v>119.4945</v>
      </c>
      <c r="J715" s="14">
        <f>119.4924 * CHOOSE(CONTROL!$C$9, $D$9, 100%, $F$9) + CHOOSE(CONTROL!$C$27, 0.0021, 0)</f>
        <v>119.4945</v>
      </c>
      <c r="K715" s="14">
        <f>119.4924 * CHOOSE(CONTROL!$C$9, $D$9, 100%, $F$9) + CHOOSE(CONTROL!$C$27, 0.0021, 0)</f>
        <v>119.4945</v>
      </c>
      <c r="L715" s="14"/>
    </row>
    <row r="716" spans="1:12" ht="15.75" x14ac:dyDescent="0.25">
      <c r="A716" s="32">
        <v>62731</v>
      </c>
      <c r="B716" s="14">
        <f>116.0148 * CHOOSE(CONTROL!$C$9, $D$9, 100%, $F$9) + CHOOSE(CONTROL!$C$27, 0.0021, 0)</f>
        <v>116.01689999999999</v>
      </c>
      <c r="C716" s="14">
        <f>115.5825 * CHOOSE(CONTROL!$C$9, $D$9, 100%, $F$9) + CHOOSE(CONTROL!$C$27, 0.0021, 0)</f>
        <v>115.58459999999999</v>
      </c>
      <c r="D716" s="14">
        <f>115.5825 * CHOOSE(CONTROL!$C$9, $D$9, 100%, $F$9) + CHOOSE(CONTROL!$C$27, 0.0021, 0)</f>
        <v>115.58459999999999</v>
      </c>
      <c r="E716" s="14">
        <f>115.4459 * CHOOSE(CONTROL!$C$9, $D$9, 100%, $F$9) + CHOOSE(CONTROL!$C$27, 0.0021, 0)</f>
        <v>115.44799999999999</v>
      </c>
      <c r="F716" s="14">
        <f>115.4459 * CHOOSE(CONTROL!$C$9, $D$9, 100%, $F$9) + CHOOSE(CONTROL!$C$27, 0.0021, 0)</f>
        <v>115.44799999999999</v>
      </c>
      <c r="G716" s="14">
        <f>115.7172 * CHOOSE(CONTROL!$C$9, $D$9, 100%, $F$9) + CHOOSE(CONTROL!$C$27, 0.0021, 0)</f>
        <v>115.7193</v>
      </c>
      <c r="H716" s="14">
        <f>115.5825 * CHOOSE(CONTROL!$C$9, $D$9, 100%, $F$9) + CHOOSE(CONTROL!$C$27, 0.0021, 0)</f>
        <v>115.58459999999999</v>
      </c>
      <c r="I716" s="14">
        <f>115.5825 * CHOOSE(CONTROL!$C$9, $D$9, 100%, $F$9) + CHOOSE(CONTROL!$C$27, 0.0021, 0)</f>
        <v>115.58459999999999</v>
      </c>
      <c r="J716" s="14">
        <f>115.5825 * CHOOSE(CONTROL!$C$9, $D$9, 100%, $F$9) + CHOOSE(CONTROL!$C$27, 0.0021, 0)</f>
        <v>115.58459999999999</v>
      </c>
      <c r="K716" s="14">
        <f>115.5825 * CHOOSE(CONTROL!$C$9, $D$9, 100%, $F$9) + CHOOSE(CONTROL!$C$27, 0.0021, 0)</f>
        <v>115.58459999999999</v>
      </c>
      <c r="L716" s="14"/>
    </row>
    <row r="717" spans="1:12" ht="15.75" x14ac:dyDescent="0.25">
      <c r="A717" s="32">
        <v>62762</v>
      </c>
      <c r="B717" s="14">
        <f>112.0821 * CHOOSE(CONTROL!$C$9, $D$9, 100%, $F$9) + CHOOSE(CONTROL!$C$27, 0.0021, 0)</f>
        <v>112.0842</v>
      </c>
      <c r="C717" s="14">
        <f>111.6499 * CHOOSE(CONTROL!$C$9, $D$9, 100%, $F$9) + CHOOSE(CONTROL!$C$27, 0.0021, 0)</f>
        <v>111.652</v>
      </c>
      <c r="D717" s="14">
        <f>111.6499 * CHOOSE(CONTROL!$C$9, $D$9, 100%, $F$9) + CHOOSE(CONTROL!$C$27, 0.0021, 0)</f>
        <v>111.652</v>
      </c>
      <c r="E717" s="14">
        <f>111.5132 * CHOOSE(CONTROL!$C$9, $D$9, 100%, $F$9) + CHOOSE(CONTROL!$C$27, 0.0021, 0)</f>
        <v>111.5153</v>
      </c>
      <c r="F717" s="14">
        <f>111.5132 * CHOOSE(CONTROL!$C$9, $D$9, 100%, $F$9) + CHOOSE(CONTROL!$C$27, 0.0021, 0)</f>
        <v>111.5153</v>
      </c>
      <c r="G717" s="14">
        <f>111.7846 * CHOOSE(CONTROL!$C$9, $D$9, 100%, $F$9) + CHOOSE(CONTROL!$C$27, 0.0021, 0)</f>
        <v>111.7867</v>
      </c>
      <c r="H717" s="14">
        <f>111.6499 * CHOOSE(CONTROL!$C$9, $D$9, 100%, $F$9) + CHOOSE(CONTROL!$C$27, 0.0021, 0)</f>
        <v>111.652</v>
      </c>
      <c r="I717" s="14">
        <f>111.6499 * CHOOSE(CONTROL!$C$9, $D$9, 100%, $F$9) + CHOOSE(CONTROL!$C$27, 0.0021, 0)</f>
        <v>111.652</v>
      </c>
      <c r="J717" s="14">
        <f>111.6499 * CHOOSE(CONTROL!$C$9, $D$9, 100%, $F$9) + CHOOSE(CONTROL!$C$27, 0.0021, 0)</f>
        <v>111.652</v>
      </c>
      <c r="K717" s="14">
        <f>111.6499 * CHOOSE(CONTROL!$C$9, $D$9, 100%, $F$9) + CHOOSE(CONTROL!$C$27, 0.0021, 0)</f>
        <v>111.652</v>
      </c>
      <c r="L717" s="14"/>
    </row>
    <row r="718" spans="1:12" ht="15.75" x14ac:dyDescent="0.25">
      <c r="A718" s="32">
        <v>62792</v>
      </c>
      <c r="B718" s="14">
        <f>111.2999 * CHOOSE(CONTROL!$C$9, $D$9, 100%, $F$9) + CHOOSE(CONTROL!$C$27, 0.0021, 0)</f>
        <v>111.30199999999999</v>
      </c>
      <c r="C718" s="14">
        <f>110.8676 * CHOOSE(CONTROL!$C$9, $D$9, 100%, $F$9) + CHOOSE(CONTROL!$C$27, 0.0021, 0)</f>
        <v>110.86969999999999</v>
      </c>
      <c r="D718" s="14">
        <f>110.8676 * CHOOSE(CONTROL!$C$9, $D$9, 100%, $F$9) + CHOOSE(CONTROL!$C$27, 0.0021, 0)</f>
        <v>110.86969999999999</v>
      </c>
      <c r="E718" s="14">
        <f>110.731 * CHOOSE(CONTROL!$C$9, $D$9, 100%, $F$9) + CHOOSE(CONTROL!$C$27, 0.0021, 0)</f>
        <v>110.73309999999999</v>
      </c>
      <c r="F718" s="14">
        <f>110.731 * CHOOSE(CONTROL!$C$9, $D$9, 100%, $F$9) + CHOOSE(CONTROL!$C$27, 0.0021, 0)</f>
        <v>110.73309999999999</v>
      </c>
      <c r="G718" s="14">
        <f>111.0023 * CHOOSE(CONTROL!$C$9, $D$9, 100%, $F$9) + CHOOSE(CONTROL!$C$27, 0.0021, 0)</f>
        <v>111.0044</v>
      </c>
      <c r="H718" s="14">
        <f>110.8676 * CHOOSE(CONTROL!$C$9, $D$9, 100%, $F$9) + CHOOSE(CONTROL!$C$27, 0.0021, 0)</f>
        <v>110.86969999999999</v>
      </c>
      <c r="I718" s="14">
        <f>110.8676 * CHOOSE(CONTROL!$C$9, $D$9, 100%, $F$9) + CHOOSE(CONTROL!$C$27, 0.0021, 0)</f>
        <v>110.86969999999999</v>
      </c>
      <c r="J718" s="14">
        <f>110.8676 * CHOOSE(CONTROL!$C$9, $D$9, 100%, $F$9) + CHOOSE(CONTROL!$C$27, 0.0021, 0)</f>
        <v>110.86969999999999</v>
      </c>
      <c r="K718" s="14">
        <f>110.8676 * CHOOSE(CONTROL!$C$9, $D$9, 100%, $F$9) + CHOOSE(CONTROL!$C$27, 0.0021, 0)</f>
        <v>110.86969999999999</v>
      </c>
      <c r="L718" s="14"/>
    </row>
    <row r="719" spans="1:12" ht="15.75" x14ac:dyDescent="0.25">
      <c r="A719" s="32">
        <v>62823</v>
      </c>
      <c r="B719" s="14">
        <f>108.065 * CHOOSE(CONTROL!$C$9, $D$9, 100%, $F$9) + CHOOSE(CONTROL!$C$27, 0.0021, 0)</f>
        <v>108.0671</v>
      </c>
      <c r="C719" s="14">
        <f>107.6328 * CHOOSE(CONTROL!$C$9, $D$9, 100%, $F$9) + CHOOSE(CONTROL!$C$27, 0.0021, 0)</f>
        <v>107.6349</v>
      </c>
      <c r="D719" s="14">
        <f>107.6328 * CHOOSE(CONTROL!$C$9, $D$9, 100%, $F$9) + CHOOSE(CONTROL!$C$27, 0.0021, 0)</f>
        <v>107.6349</v>
      </c>
      <c r="E719" s="14">
        <f>107.4961 * CHOOSE(CONTROL!$C$9, $D$9, 100%, $F$9) + CHOOSE(CONTROL!$C$27, 0.0021, 0)</f>
        <v>107.4982</v>
      </c>
      <c r="F719" s="14">
        <f>107.4961 * CHOOSE(CONTROL!$C$9, $D$9, 100%, $F$9) + CHOOSE(CONTROL!$C$27, 0.0021, 0)</f>
        <v>107.4982</v>
      </c>
      <c r="G719" s="14">
        <f>107.7675 * CHOOSE(CONTROL!$C$9, $D$9, 100%, $F$9) + CHOOSE(CONTROL!$C$27, 0.0021, 0)</f>
        <v>107.7696</v>
      </c>
      <c r="H719" s="14">
        <f>107.6328 * CHOOSE(CONTROL!$C$9, $D$9, 100%, $F$9) + CHOOSE(CONTROL!$C$27, 0.0021, 0)</f>
        <v>107.6349</v>
      </c>
      <c r="I719" s="14">
        <f>107.6328 * CHOOSE(CONTROL!$C$9, $D$9, 100%, $F$9) + CHOOSE(CONTROL!$C$27, 0.0021, 0)</f>
        <v>107.6349</v>
      </c>
      <c r="J719" s="14">
        <f>107.6328 * CHOOSE(CONTROL!$C$9, $D$9, 100%, $F$9) + CHOOSE(CONTROL!$C$27, 0.0021, 0)</f>
        <v>107.6349</v>
      </c>
      <c r="K719" s="14">
        <f>107.6328 * CHOOSE(CONTROL!$C$9, $D$9, 100%, $F$9) + CHOOSE(CONTROL!$C$27, 0.0021, 0)</f>
        <v>107.6349</v>
      </c>
      <c r="L719" s="14"/>
    </row>
    <row r="720" spans="1:12" ht="15.75" x14ac:dyDescent="0.25">
      <c r="A720" s="32">
        <v>62854</v>
      </c>
      <c r="B720" s="14">
        <f>107.4353 * CHOOSE(CONTROL!$C$9, $D$9, 100%, $F$9) + CHOOSE(CONTROL!$C$27, 0.0021, 0)</f>
        <v>107.4374</v>
      </c>
      <c r="C720" s="14">
        <f>107.003 * CHOOSE(CONTROL!$C$9, $D$9, 100%, $F$9) + CHOOSE(CONTROL!$C$27, 0.0021, 0)</f>
        <v>107.0051</v>
      </c>
      <c r="D720" s="14">
        <f>107.003 * CHOOSE(CONTROL!$C$9, $D$9, 100%, $F$9) + CHOOSE(CONTROL!$C$27, 0.0021, 0)</f>
        <v>107.0051</v>
      </c>
      <c r="E720" s="14">
        <f>106.8664 * CHOOSE(CONTROL!$C$9, $D$9, 100%, $F$9) + CHOOSE(CONTROL!$C$27, 0.0021, 0)</f>
        <v>106.8685</v>
      </c>
      <c r="F720" s="14">
        <f>106.8664 * CHOOSE(CONTROL!$C$9, $D$9, 100%, $F$9) + CHOOSE(CONTROL!$C$27, 0.0021, 0)</f>
        <v>106.8685</v>
      </c>
      <c r="G720" s="14">
        <f>107.1377 * CHOOSE(CONTROL!$C$9, $D$9, 100%, $F$9) + CHOOSE(CONTROL!$C$27, 0.0021, 0)</f>
        <v>107.13979999999999</v>
      </c>
      <c r="H720" s="14">
        <f>107.003 * CHOOSE(CONTROL!$C$9, $D$9, 100%, $F$9) + CHOOSE(CONTROL!$C$27, 0.0021, 0)</f>
        <v>107.0051</v>
      </c>
      <c r="I720" s="14">
        <f>107.003 * CHOOSE(CONTROL!$C$9, $D$9, 100%, $F$9) + CHOOSE(CONTROL!$C$27, 0.0021, 0)</f>
        <v>107.0051</v>
      </c>
      <c r="J720" s="14">
        <f>107.003 * CHOOSE(CONTROL!$C$9, $D$9, 100%, $F$9) + CHOOSE(CONTROL!$C$27, 0.0021, 0)</f>
        <v>107.0051</v>
      </c>
      <c r="K720" s="14">
        <f>107.003 * CHOOSE(CONTROL!$C$9, $D$9, 100%, $F$9) + CHOOSE(CONTROL!$C$27, 0.0021, 0)</f>
        <v>107.0051</v>
      </c>
      <c r="L720" s="14"/>
    </row>
    <row r="721" spans="1:12" ht="15.75" x14ac:dyDescent="0.25">
      <c r="A721" s="32">
        <v>62883</v>
      </c>
      <c r="B721" s="14">
        <f>107.143 * CHOOSE(CONTROL!$C$9, $D$9, 100%, $F$9) + CHOOSE(CONTROL!$C$27, 0.0021, 0)</f>
        <v>107.1451</v>
      </c>
      <c r="C721" s="14">
        <f>106.7108 * CHOOSE(CONTROL!$C$9, $D$9, 100%, $F$9) + CHOOSE(CONTROL!$C$27, 0.0021, 0)</f>
        <v>106.7129</v>
      </c>
      <c r="D721" s="14">
        <f>106.7108 * CHOOSE(CONTROL!$C$9, $D$9, 100%, $F$9) + CHOOSE(CONTROL!$C$27, 0.0021, 0)</f>
        <v>106.7129</v>
      </c>
      <c r="E721" s="14">
        <f>106.5741 * CHOOSE(CONTROL!$C$9, $D$9, 100%, $F$9) + CHOOSE(CONTROL!$C$27, 0.0021, 0)</f>
        <v>106.5762</v>
      </c>
      <c r="F721" s="14">
        <f>106.5741 * CHOOSE(CONTROL!$C$9, $D$9, 100%, $F$9) + CHOOSE(CONTROL!$C$27, 0.0021, 0)</f>
        <v>106.5762</v>
      </c>
      <c r="G721" s="14">
        <f>106.8455 * CHOOSE(CONTROL!$C$9, $D$9, 100%, $F$9) + CHOOSE(CONTROL!$C$27, 0.0021, 0)</f>
        <v>106.8476</v>
      </c>
      <c r="H721" s="14">
        <f>106.7108 * CHOOSE(CONTROL!$C$9, $D$9, 100%, $F$9) + CHOOSE(CONTROL!$C$27, 0.0021, 0)</f>
        <v>106.7129</v>
      </c>
      <c r="I721" s="14">
        <f>106.7108 * CHOOSE(CONTROL!$C$9, $D$9, 100%, $F$9) + CHOOSE(CONTROL!$C$27, 0.0021, 0)</f>
        <v>106.7129</v>
      </c>
      <c r="J721" s="14">
        <f>106.7108 * CHOOSE(CONTROL!$C$9, $D$9, 100%, $F$9) + CHOOSE(CONTROL!$C$27, 0.0021, 0)</f>
        <v>106.7129</v>
      </c>
      <c r="K721" s="14">
        <f>106.7108 * CHOOSE(CONTROL!$C$9, $D$9, 100%, $F$9) + CHOOSE(CONTROL!$C$27, 0.0021, 0)</f>
        <v>106.7129</v>
      </c>
      <c r="L721" s="14"/>
    </row>
    <row r="722" spans="1:12" ht="15.75" x14ac:dyDescent="0.25">
      <c r="A722" s="32">
        <v>62914</v>
      </c>
      <c r="B722" s="14">
        <f>112.6692 * CHOOSE(CONTROL!$C$9, $D$9, 100%, $F$9) + CHOOSE(CONTROL!$C$27, 0.0021, 0)</f>
        <v>112.6713</v>
      </c>
      <c r="C722" s="14">
        <f>112.237 * CHOOSE(CONTROL!$C$9, $D$9, 100%, $F$9) + CHOOSE(CONTROL!$C$27, 0.0021, 0)</f>
        <v>112.23909999999999</v>
      </c>
      <c r="D722" s="14">
        <f>112.237 * CHOOSE(CONTROL!$C$9, $D$9, 100%, $F$9) + CHOOSE(CONTROL!$C$27, 0.0021, 0)</f>
        <v>112.23909999999999</v>
      </c>
      <c r="E722" s="14">
        <f>112.1003 * CHOOSE(CONTROL!$C$9, $D$9, 100%, $F$9) + CHOOSE(CONTROL!$C$27, 0.0021, 0)</f>
        <v>112.1024</v>
      </c>
      <c r="F722" s="14">
        <f>112.1003 * CHOOSE(CONTROL!$C$9, $D$9, 100%, $F$9) + CHOOSE(CONTROL!$C$27, 0.0021, 0)</f>
        <v>112.1024</v>
      </c>
      <c r="G722" s="14">
        <f>112.3717 * CHOOSE(CONTROL!$C$9, $D$9, 100%, $F$9) + CHOOSE(CONTROL!$C$27, 0.0021, 0)</f>
        <v>112.3738</v>
      </c>
      <c r="H722" s="14">
        <f>112.237 * CHOOSE(CONTROL!$C$9, $D$9, 100%, $F$9) + CHOOSE(CONTROL!$C$27, 0.0021, 0)</f>
        <v>112.23909999999999</v>
      </c>
      <c r="I722" s="14">
        <f>112.237 * CHOOSE(CONTROL!$C$9, $D$9, 100%, $F$9) + CHOOSE(CONTROL!$C$27, 0.0021, 0)</f>
        <v>112.23909999999999</v>
      </c>
      <c r="J722" s="14">
        <f>112.237 * CHOOSE(CONTROL!$C$9, $D$9, 100%, $F$9) + CHOOSE(CONTROL!$C$27, 0.0021, 0)</f>
        <v>112.23909999999999</v>
      </c>
      <c r="K722" s="14">
        <f>112.237 * CHOOSE(CONTROL!$C$9, $D$9, 100%, $F$9) + CHOOSE(CONTROL!$C$27, 0.0021, 0)</f>
        <v>112.23909999999999</v>
      </c>
      <c r="L722" s="14"/>
    </row>
    <row r="723" spans="1:12" ht="15.75" x14ac:dyDescent="0.25">
      <c r="A723" s="32">
        <v>62944</v>
      </c>
      <c r="B723" s="14">
        <f>119.8354 * CHOOSE(CONTROL!$C$9, $D$9, 100%, $F$9) + CHOOSE(CONTROL!$C$27, 0.0021, 0)</f>
        <v>119.83750000000001</v>
      </c>
      <c r="C723" s="14">
        <f>119.4032 * CHOOSE(CONTROL!$C$9, $D$9, 100%, $F$9) + CHOOSE(CONTROL!$C$27, 0.0021, 0)</f>
        <v>119.4053</v>
      </c>
      <c r="D723" s="14">
        <f>119.4032 * CHOOSE(CONTROL!$C$9, $D$9, 100%, $F$9) + CHOOSE(CONTROL!$C$27, 0.0021, 0)</f>
        <v>119.4053</v>
      </c>
      <c r="E723" s="14">
        <f>119.2665 * CHOOSE(CONTROL!$C$9, $D$9, 100%, $F$9) + CHOOSE(CONTROL!$C$27, 0.0021, 0)</f>
        <v>119.26859999999999</v>
      </c>
      <c r="F723" s="14">
        <f>119.2665 * CHOOSE(CONTROL!$C$9, $D$9, 100%, $F$9) + CHOOSE(CONTROL!$C$27, 0.0021, 0)</f>
        <v>119.26859999999999</v>
      </c>
      <c r="G723" s="14">
        <f>119.5379 * CHOOSE(CONTROL!$C$9, $D$9, 100%, $F$9) + CHOOSE(CONTROL!$C$27, 0.0021, 0)</f>
        <v>119.53999999999999</v>
      </c>
      <c r="H723" s="14">
        <f>119.4032 * CHOOSE(CONTROL!$C$9, $D$9, 100%, $F$9) + CHOOSE(CONTROL!$C$27, 0.0021, 0)</f>
        <v>119.4053</v>
      </c>
      <c r="I723" s="14">
        <f>119.4032 * CHOOSE(CONTROL!$C$9, $D$9, 100%, $F$9) + CHOOSE(CONTROL!$C$27, 0.0021, 0)</f>
        <v>119.4053</v>
      </c>
      <c r="J723" s="14">
        <f>119.4032 * CHOOSE(CONTROL!$C$9, $D$9, 100%, $F$9) + CHOOSE(CONTROL!$C$27, 0.0021, 0)</f>
        <v>119.4053</v>
      </c>
      <c r="K723" s="14">
        <f>119.4032 * CHOOSE(CONTROL!$C$9, $D$9, 100%, $F$9) + CHOOSE(CONTROL!$C$27, 0.0021, 0)</f>
        <v>119.4053</v>
      </c>
      <c r="L723" s="14"/>
    </row>
    <row r="724" spans="1:12" ht="15.75" x14ac:dyDescent="0.25">
      <c r="A724" s="32">
        <v>62975</v>
      </c>
      <c r="B724" s="14">
        <f>123.78 * CHOOSE(CONTROL!$C$9, $D$9, 100%, $F$9) + CHOOSE(CONTROL!$C$27, 0.0021, 0)</f>
        <v>123.7821</v>
      </c>
      <c r="C724" s="14">
        <f>123.3477 * CHOOSE(CONTROL!$C$9, $D$9, 100%, $F$9) + CHOOSE(CONTROL!$C$27, 0.0021, 0)</f>
        <v>123.3498</v>
      </c>
      <c r="D724" s="14">
        <f>123.3477 * CHOOSE(CONTROL!$C$9, $D$9, 100%, $F$9) + CHOOSE(CONTROL!$C$27, 0.0021, 0)</f>
        <v>123.3498</v>
      </c>
      <c r="E724" s="14">
        <f>123.2111 * CHOOSE(CONTROL!$C$9, $D$9, 100%, $F$9) + CHOOSE(CONTROL!$C$27, 0.0021, 0)</f>
        <v>123.2132</v>
      </c>
      <c r="F724" s="14">
        <f>123.2111 * CHOOSE(CONTROL!$C$9, $D$9, 100%, $F$9) + CHOOSE(CONTROL!$C$27, 0.0021, 0)</f>
        <v>123.2132</v>
      </c>
      <c r="G724" s="14">
        <f>123.4824 * CHOOSE(CONTROL!$C$9, $D$9, 100%, $F$9) + CHOOSE(CONTROL!$C$27, 0.0021, 0)</f>
        <v>123.4845</v>
      </c>
      <c r="H724" s="14">
        <f>123.3477 * CHOOSE(CONTROL!$C$9, $D$9, 100%, $F$9) + CHOOSE(CONTROL!$C$27, 0.0021, 0)</f>
        <v>123.3498</v>
      </c>
      <c r="I724" s="14">
        <f>123.3477 * CHOOSE(CONTROL!$C$9, $D$9, 100%, $F$9) + CHOOSE(CONTROL!$C$27, 0.0021, 0)</f>
        <v>123.3498</v>
      </c>
      <c r="J724" s="14">
        <f>123.3477 * CHOOSE(CONTROL!$C$9, $D$9, 100%, $F$9) + CHOOSE(CONTROL!$C$27, 0.0021, 0)</f>
        <v>123.3498</v>
      </c>
      <c r="K724" s="14">
        <f>123.3477 * CHOOSE(CONTROL!$C$9, $D$9, 100%, $F$9) + CHOOSE(CONTROL!$C$27, 0.0021, 0)</f>
        <v>123.3498</v>
      </c>
      <c r="L724" s="14"/>
    </row>
    <row r="725" spans="1:12" ht="15.75" x14ac:dyDescent="0.25">
      <c r="A725" s="32">
        <v>63005</v>
      </c>
      <c r="B725" s="14">
        <f>125.5305 * CHOOSE(CONTROL!$C$9, $D$9, 100%, $F$9) + CHOOSE(CONTROL!$C$27, 0.0021, 0)</f>
        <v>125.5326</v>
      </c>
      <c r="C725" s="14">
        <f>125.0982 * CHOOSE(CONTROL!$C$9, $D$9, 100%, $F$9) + CHOOSE(CONTROL!$C$27, 0.0021, 0)</f>
        <v>125.1003</v>
      </c>
      <c r="D725" s="14">
        <f>125.0982 * CHOOSE(CONTROL!$C$9, $D$9, 100%, $F$9) + CHOOSE(CONTROL!$C$27, 0.0021, 0)</f>
        <v>125.1003</v>
      </c>
      <c r="E725" s="14">
        <f>124.9616 * CHOOSE(CONTROL!$C$9, $D$9, 100%, $F$9) + CHOOSE(CONTROL!$C$27, 0.0021, 0)</f>
        <v>124.9637</v>
      </c>
      <c r="F725" s="14">
        <f>124.9616 * CHOOSE(CONTROL!$C$9, $D$9, 100%, $F$9) + CHOOSE(CONTROL!$C$27, 0.0021, 0)</f>
        <v>124.9637</v>
      </c>
      <c r="G725" s="14">
        <f>125.2329 * CHOOSE(CONTROL!$C$9, $D$9, 100%, $F$9) + CHOOSE(CONTROL!$C$27, 0.0021, 0)</f>
        <v>125.235</v>
      </c>
      <c r="H725" s="14">
        <f>125.0982 * CHOOSE(CONTROL!$C$9, $D$9, 100%, $F$9) + CHOOSE(CONTROL!$C$27, 0.0021, 0)</f>
        <v>125.1003</v>
      </c>
      <c r="I725" s="14">
        <f>125.0982 * CHOOSE(CONTROL!$C$9, $D$9, 100%, $F$9) + CHOOSE(CONTROL!$C$27, 0.0021, 0)</f>
        <v>125.1003</v>
      </c>
      <c r="J725" s="14">
        <f>125.0982 * CHOOSE(CONTROL!$C$9, $D$9, 100%, $F$9) + CHOOSE(CONTROL!$C$27, 0.0021, 0)</f>
        <v>125.1003</v>
      </c>
      <c r="K725" s="14">
        <f>125.0982 * CHOOSE(CONTROL!$C$9, $D$9, 100%, $F$9) + CHOOSE(CONTROL!$C$27, 0.0021, 0)</f>
        <v>125.1003</v>
      </c>
      <c r="L725" s="14"/>
    </row>
    <row r="726" spans="1:12" ht="15.75" x14ac:dyDescent="0.25">
      <c r="A726" s="32">
        <v>63036</v>
      </c>
      <c r="B726" s="14">
        <f>124.9541 * CHOOSE(CONTROL!$C$9, $D$9, 100%, $F$9) + CHOOSE(CONTROL!$C$27, 0.0021, 0)</f>
        <v>124.9562</v>
      </c>
      <c r="C726" s="14">
        <f>124.5219 * CHOOSE(CONTROL!$C$9, $D$9, 100%, $F$9) + CHOOSE(CONTROL!$C$27, 0.0021, 0)</f>
        <v>124.524</v>
      </c>
      <c r="D726" s="14">
        <f>124.5219 * CHOOSE(CONTROL!$C$9, $D$9, 100%, $F$9) + CHOOSE(CONTROL!$C$27, 0.0021, 0)</f>
        <v>124.524</v>
      </c>
      <c r="E726" s="14">
        <f>124.3852 * CHOOSE(CONTROL!$C$9, $D$9, 100%, $F$9) + CHOOSE(CONTROL!$C$27, 0.0021, 0)</f>
        <v>124.3873</v>
      </c>
      <c r="F726" s="14">
        <f>124.3852 * CHOOSE(CONTROL!$C$9, $D$9, 100%, $F$9) + CHOOSE(CONTROL!$C$27, 0.0021, 0)</f>
        <v>124.3873</v>
      </c>
      <c r="G726" s="14">
        <f>124.6566 * CHOOSE(CONTROL!$C$9, $D$9, 100%, $F$9) + CHOOSE(CONTROL!$C$27, 0.0021, 0)</f>
        <v>124.6587</v>
      </c>
      <c r="H726" s="14">
        <f>124.5219 * CHOOSE(CONTROL!$C$9, $D$9, 100%, $F$9) + CHOOSE(CONTROL!$C$27, 0.0021, 0)</f>
        <v>124.524</v>
      </c>
      <c r="I726" s="14">
        <f>124.5219 * CHOOSE(CONTROL!$C$9, $D$9, 100%, $F$9) + CHOOSE(CONTROL!$C$27, 0.0021, 0)</f>
        <v>124.524</v>
      </c>
      <c r="J726" s="14">
        <f>124.5219 * CHOOSE(CONTROL!$C$9, $D$9, 100%, $F$9) + CHOOSE(CONTROL!$C$27, 0.0021, 0)</f>
        <v>124.524</v>
      </c>
      <c r="K726" s="14">
        <f>124.5219 * CHOOSE(CONTROL!$C$9, $D$9, 100%, $F$9) + CHOOSE(CONTROL!$C$27, 0.0021, 0)</f>
        <v>124.524</v>
      </c>
      <c r="L726" s="14"/>
    </row>
    <row r="727" spans="1:12" ht="15.75" x14ac:dyDescent="0.25">
      <c r="A727" s="32">
        <v>63067</v>
      </c>
      <c r="B727" s="14">
        <f>122.0986 * CHOOSE(CONTROL!$C$9, $D$9, 100%, $F$9) + CHOOSE(CONTROL!$C$27, 0.0021, 0)</f>
        <v>122.1007</v>
      </c>
      <c r="C727" s="14">
        <f>121.6664 * CHOOSE(CONTROL!$C$9, $D$9, 100%, $F$9) + CHOOSE(CONTROL!$C$27, 0.0021, 0)</f>
        <v>121.66849999999999</v>
      </c>
      <c r="D727" s="14">
        <f>121.6664 * CHOOSE(CONTROL!$C$9, $D$9, 100%, $F$9) + CHOOSE(CONTROL!$C$27, 0.0021, 0)</f>
        <v>121.66849999999999</v>
      </c>
      <c r="E727" s="14">
        <f>121.5297 * CHOOSE(CONTROL!$C$9, $D$9, 100%, $F$9) + CHOOSE(CONTROL!$C$27, 0.0021, 0)</f>
        <v>121.5318</v>
      </c>
      <c r="F727" s="14">
        <f>121.5297 * CHOOSE(CONTROL!$C$9, $D$9, 100%, $F$9) + CHOOSE(CONTROL!$C$27, 0.0021, 0)</f>
        <v>121.5318</v>
      </c>
      <c r="G727" s="14">
        <f>121.8011 * CHOOSE(CONTROL!$C$9, $D$9, 100%, $F$9) + CHOOSE(CONTROL!$C$27, 0.0021, 0)</f>
        <v>121.8032</v>
      </c>
      <c r="H727" s="14">
        <f>121.6664 * CHOOSE(CONTROL!$C$9, $D$9, 100%, $F$9) + CHOOSE(CONTROL!$C$27, 0.0021, 0)</f>
        <v>121.66849999999999</v>
      </c>
      <c r="I727" s="14">
        <f>121.6664 * CHOOSE(CONTROL!$C$9, $D$9, 100%, $F$9) + CHOOSE(CONTROL!$C$27, 0.0021, 0)</f>
        <v>121.66849999999999</v>
      </c>
      <c r="J727" s="14">
        <f>121.6664 * CHOOSE(CONTROL!$C$9, $D$9, 100%, $F$9) + CHOOSE(CONTROL!$C$27, 0.0021, 0)</f>
        <v>121.66849999999999</v>
      </c>
      <c r="K727" s="14">
        <f>121.6664 * CHOOSE(CONTROL!$C$9, $D$9, 100%, $F$9) + CHOOSE(CONTROL!$C$27, 0.0021, 0)</f>
        <v>121.66849999999999</v>
      </c>
      <c r="L727" s="14"/>
    </row>
    <row r="728" spans="1:12" ht="15.75" x14ac:dyDescent="0.25">
      <c r="A728" s="32">
        <v>63097</v>
      </c>
      <c r="B728" s="14">
        <f>118.1165 * CHOOSE(CONTROL!$C$9, $D$9, 100%, $F$9) + CHOOSE(CONTROL!$C$27, 0.0021, 0)</f>
        <v>118.1186</v>
      </c>
      <c r="C728" s="14">
        <f>117.6842 * CHOOSE(CONTROL!$C$9, $D$9, 100%, $F$9) + CHOOSE(CONTROL!$C$27, 0.0021, 0)</f>
        <v>117.6863</v>
      </c>
      <c r="D728" s="14">
        <f>117.6842 * CHOOSE(CONTROL!$C$9, $D$9, 100%, $F$9) + CHOOSE(CONTROL!$C$27, 0.0021, 0)</f>
        <v>117.6863</v>
      </c>
      <c r="E728" s="14">
        <f>117.5475 * CHOOSE(CONTROL!$C$9, $D$9, 100%, $F$9) + CHOOSE(CONTROL!$C$27, 0.0021, 0)</f>
        <v>117.5496</v>
      </c>
      <c r="F728" s="14">
        <f>117.5475 * CHOOSE(CONTROL!$C$9, $D$9, 100%, $F$9) + CHOOSE(CONTROL!$C$27, 0.0021, 0)</f>
        <v>117.5496</v>
      </c>
      <c r="G728" s="14">
        <f>117.8189 * CHOOSE(CONTROL!$C$9, $D$9, 100%, $F$9) + CHOOSE(CONTROL!$C$27, 0.0021, 0)</f>
        <v>117.821</v>
      </c>
      <c r="H728" s="14">
        <f>117.6842 * CHOOSE(CONTROL!$C$9, $D$9, 100%, $F$9) + CHOOSE(CONTROL!$C$27, 0.0021, 0)</f>
        <v>117.6863</v>
      </c>
      <c r="I728" s="14">
        <f>117.6842 * CHOOSE(CONTROL!$C$9, $D$9, 100%, $F$9) + CHOOSE(CONTROL!$C$27, 0.0021, 0)</f>
        <v>117.6863</v>
      </c>
      <c r="J728" s="14">
        <f>117.6842 * CHOOSE(CONTROL!$C$9, $D$9, 100%, $F$9) + CHOOSE(CONTROL!$C$27, 0.0021, 0)</f>
        <v>117.6863</v>
      </c>
      <c r="K728" s="14">
        <f>117.6842 * CHOOSE(CONTROL!$C$9, $D$9, 100%, $F$9) + CHOOSE(CONTROL!$C$27, 0.0021, 0)</f>
        <v>117.6863</v>
      </c>
      <c r="L728" s="14"/>
    </row>
    <row r="729" spans="1:12" ht="15.75" x14ac:dyDescent="0.25">
      <c r="A729" s="32">
        <v>63128</v>
      </c>
      <c r="B729" s="14">
        <f>114.1111 * CHOOSE(CONTROL!$C$9, $D$9, 100%, $F$9) + CHOOSE(CONTROL!$C$27, 0.0021, 0)</f>
        <v>114.11319999999999</v>
      </c>
      <c r="C729" s="14">
        <f>113.6789 * CHOOSE(CONTROL!$C$9, $D$9, 100%, $F$9) + CHOOSE(CONTROL!$C$27, 0.0021, 0)</f>
        <v>113.681</v>
      </c>
      <c r="D729" s="14">
        <f>113.6789 * CHOOSE(CONTROL!$C$9, $D$9, 100%, $F$9) + CHOOSE(CONTROL!$C$27, 0.0021, 0)</f>
        <v>113.681</v>
      </c>
      <c r="E729" s="14">
        <f>113.5422 * CHOOSE(CONTROL!$C$9, $D$9, 100%, $F$9) + CHOOSE(CONTROL!$C$27, 0.0021, 0)</f>
        <v>113.54429999999999</v>
      </c>
      <c r="F729" s="14">
        <f>113.5422 * CHOOSE(CONTROL!$C$9, $D$9, 100%, $F$9) + CHOOSE(CONTROL!$C$27, 0.0021, 0)</f>
        <v>113.54429999999999</v>
      </c>
      <c r="G729" s="14">
        <f>113.8136 * CHOOSE(CONTROL!$C$9, $D$9, 100%, $F$9) + CHOOSE(CONTROL!$C$27, 0.0021, 0)</f>
        <v>113.81569999999999</v>
      </c>
      <c r="H729" s="14">
        <f>113.6789 * CHOOSE(CONTROL!$C$9, $D$9, 100%, $F$9) + CHOOSE(CONTROL!$C$27, 0.0021, 0)</f>
        <v>113.681</v>
      </c>
      <c r="I729" s="14">
        <f>113.6789 * CHOOSE(CONTROL!$C$9, $D$9, 100%, $F$9) + CHOOSE(CONTROL!$C$27, 0.0021, 0)</f>
        <v>113.681</v>
      </c>
      <c r="J729" s="14">
        <f>113.6789 * CHOOSE(CONTROL!$C$9, $D$9, 100%, $F$9) + CHOOSE(CONTROL!$C$27, 0.0021, 0)</f>
        <v>113.681</v>
      </c>
      <c r="K729" s="14">
        <f>113.6789 * CHOOSE(CONTROL!$C$9, $D$9, 100%, $F$9) + CHOOSE(CONTROL!$C$27, 0.0021, 0)</f>
        <v>113.681</v>
      </c>
      <c r="L729" s="14"/>
    </row>
    <row r="730" spans="1:12" ht="15.75" x14ac:dyDescent="0.25">
      <c r="A730" s="32">
        <v>63158</v>
      </c>
      <c r="B730" s="14">
        <f>113.3144 * CHOOSE(CONTROL!$C$9, $D$9, 100%, $F$9) + CHOOSE(CONTROL!$C$27, 0.0021, 0)</f>
        <v>113.3165</v>
      </c>
      <c r="C730" s="14">
        <f>112.8822 * CHOOSE(CONTROL!$C$9, $D$9, 100%, $F$9) + CHOOSE(CONTROL!$C$27, 0.0021, 0)</f>
        <v>112.8843</v>
      </c>
      <c r="D730" s="14">
        <f>112.8822 * CHOOSE(CONTROL!$C$9, $D$9, 100%, $F$9) + CHOOSE(CONTROL!$C$27, 0.0021, 0)</f>
        <v>112.8843</v>
      </c>
      <c r="E730" s="14">
        <f>112.7455 * CHOOSE(CONTROL!$C$9, $D$9, 100%, $F$9) + CHOOSE(CONTROL!$C$27, 0.0021, 0)</f>
        <v>112.74760000000001</v>
      </c>
      <c r="F730" s="14">
        <f>112.7455 * CHOOSE(CONTROL!$C$9, $D$9, 100%, $F$9) + CHOOSE(CONTROL!$C$27, 0.0021, 0)</f>
        <v>112.74760000000001</v>
      </c>
      <c r="G730" s="14">
        <f>113.0169 * CHOOSE(CONTROL!$C$9, $D$9, 100%, $F$9) + CHOOSE(CONTROL!$C$27, 0.0021, 0)</f>
        <v>113.01900000000001</v>
      </c>
      <c r="H730" s="14">
        <f>112.8822 * CHOOSE(CONTROL!$C$9, $D$9, 100%, $F$9) + CHOOSE(CONTROL!$C$27, 0.0021, 0)</f>
        <v>112.8843</v>
      </c>
      <c r="I730" s="14">
        <f>112.8822 * CHOOSE(CONTROL!$C$9, $D$9, 100%, $F$9) + CHOOSE(CONTROL!$C$27, 0.0021, 0)</f>
        <v>112.8843</v>
      </c>
      <c r="J730" s="14">
        <f>112.8822 * CHOOSE(CONTROL!$C$9, $D$9, 100%, $F$9) + CHOOSE(CONTROL!$C$27, 0.0021, 0)</f>
        <v>112.8843</v>
      </c>
      <c r="K730" s="14">
        <f>112.8822 * CHOOSE(CONTROL!$C$9, $D$9, 100%, $F$9) + CHOOSE(CONTROL!$C$27, 0.0021, 0)</f>
        <v>112.8843</v>
      </c>
      <c r="L730" s="14"/>
    </row>
    <row r="731" spans="1:12" ht="15.75" x14ac:dyDescent="0.25">
      <c r="A731" s="32">
        <v>63189</v>
      </c>
      <c r="B731" s="14">
        <f>110.0198 * CHOOSE(CONTROL!$C$9, $D$9, 100%, $F$9) + CHOOSE(CONTROL!$C$27, 0.0021, 0)</f>
        <v>110.0219</v>
      </c>
      <c r="C731" s="14">
        <f>109.5876 * CHOOSE(CONTROL!$C$9, $D$9, 100%, $F$9) + CHOOSE(CONTROL!$C$27, 0.0021, 0)</f>
        <v>109.58969999999999</v>
      </c>
      <c r="D731" s="14">
        <f>109.5876 * CHOOSE(CONTROL!$C$9, $D$9, 100%, $F$9) + CHOOSE(CONTROL!$C$27, 0.0021, 0)</f>
        <v>109.58969999999999</v>
      </c>
      <c r="E731" s="14">
        <f>109.4509 * CHOOSE(CONTROL!$C$9, $D$9, 100%, $F$9) + CHOOSE(CONTROL!$C$27, 0.0021, 0)</f>
        <v>109.453</v>
      </c>
      <c r="F731" s="14">
        <f>109.4509 * CHOOSE(CONTROL!$C$9, $D$9, 100%, $F$9) + CHOOSE(CONTROL!$C$27, 0.0021, 0)</f>
        <v>109.453</v>
      </c>
      <c r="G731" s="14">
        <f>109.7223 * CHOOSE(CONTROL!$C$9, $D$9, 100%, $F$9) + CHOOSE(CONTROL!$C$27, 0.0021, 0)</f>
        <v>109.7244</v>
      </c>
      <c r="H731" s="14">
        <f>109.5876 * CHOOSE(CONTROL!$C$9, $D$9, 100%, $F$9) + CHOOSE(CONTROL!$C$27, 0.0021, 0)</f>
        <v>109.58969999999999</v>
      </c>
      <c r="I731" s="14">
        <f>109.5876 * CHOOSE(CONTROL!$C$9, $D$9, 100%, $F$9) + CHOOSE(CONTROL!$C$27, 0.0021, 0)</f>
        <v>109.58969999999999</v>
      </c>
      <c r="J731" s="14">
        <f>109.5876 * CHOOSE(CONTROL!$C$9, $D$9, 100%, $F$9) + CHOOSE(CONTROL!$C$27, 0.0021, 0)</f>
        <v>109.58969999999999</v>
      </c>
      <c r="K731" s="14">
        <f>109.5876 * CHOOSE(CONTROL!$C$9, $D$9, 100%, $F$9) + CHOOSE(CONTROL!$C$27, 0.0021, 0)</f>
        <v>109.58969999999999</v>
      </c>
      <c r="L731" s="14"/>
    </row>
    <row r="732" spans="1:12" ht="15.75" x14ac:dyDescent="0.25">
      <c r="A732" s="32">
        <v>63220</v>
      </c>
      <c r="B732" s="14">
        <f>109.3784 * CHOOSE(CONTROL!$C$9, $D$9, 100%, $F$9) + CHOOSE(CONTROL!$C$27, 0.0021, 0)</f>
        <v>109.3805</v>
      </c>
      <c r="C732" s="14">
        <f>108.9461 * CHOOSE(CONTROL!$C$9, $D$9, 100%, $F$9) + CHOOSE(CONTROL!$C$27, 0.0021, 0)</f>
        <v>108.9482</v>
      </c>
      <c r="D732" s="14">
        <f>108.9461 * CHOOSE(CONTROL!$C$9, $D$9, 100%, $F$9) + CHOOSE(CONTROL!$C$27, 0.0021, 0)</f>
        <v>108.9482</v>
      </c>
      <c r="E732" s="14">
        <f>108.8095 * CHOOSE(CONTROL!$C$9, $D$9, 100%, $F$9) + CHOOSE(CONTROL!$C$27, 0.0021, 0)</f>
        <v>108.8116</v>
      </c>
      <c r="F732" s="14">
        <f>108.8095 * CHOOSE(CONTROL!$C$9, $D$9, 100%, $F$9) + CHOOSE(CONTROL!$C$27, 0.0021, 0)</f>
        <v>108.8116</v>
      </c>
      <c r="G732" s="14">
        <f>109.0809 * CHOOSE(CONTROL!$C$9, $D$9, 100%, $F$9) + CHOOSE(CONTROL!$C$27, 0.0021, 0)</f>
        <v>109.083</v>
      </c>
      <c r="H732" s="14">
        <f>108.9461 * CHOOSE(CONTROL!$C$9, $D$9, 100%, $F$9) + CHOOSE(CONTROL!$C$27, 0.0021, 0)</f>
        <v>108.9482</v>
      </c>
      <c r="I732" s="14">
        <f>108.9461 * CHOOSE(CONTROL!$C$9, $D$9, 100%, $F$9) + CHOOSE(CONTROL!$C$27, 0.0021, 0)</f>
        <v>108.9482</v>
      </c>
      <c r="J732" s="14">
        <f>108.9461 * CHOOSE(CONTROL!$C$9, $D$9, 100%, $F$9) + CHOOSE(CONTROL!$C$27, 0.0021, 0)</f>
        <v>108.9482</v>
      </c>
      <c r="K732" s="14">
        <f>108.9461 * CHOOSE(CONTROL!$C$9, $D$9, 100%, $F$9) + CHOOSE(CONTROL!$C$27, 0.0021, 0)</f>
        <v>108.9482</v>
      </c>
      <c r="L732" s="14"/>
    </row>
    <row r="733" spans="1:12" ht="15.75" x14ac:dyDescent="0.25">
      <c r="A733" s="32">
        <v>63248</v>
      </c>
      <c r="B733" s="14">
        <f>109.0807 * CHOOSE(CONTROL!$C$9, $D$9, 100%, $F$9) + CHOOSE(CONTROL!$C$27, 0.0021, 0)</f>
        <v>109.08279999999999</v>
      </c>
      <c r="C733" s="14">
        <f>108.6485 * CHOOSE(CONTROL!$C$9, $D$9, 100%, $F$9) + CHOOSE(CONTROL!$C$27, 0.0021, 0)</f>
        <v>108.6506</v>
      </c>
      <c r="D733" s="14">
        <f>108.6485 * CHOOSE(CONTROL!$C$9, $D$9, 100%, $F$9) + CHOOSE(CONTROL!$C$27, 0.0021, 0)</f>
        <v>108.6506</v>
      </c>
      <c r="E733" s="14">
        <f>108.5118 * CHOOSE(CONTROL!$C$9, $D$9, 100%, $F$9) + CHOOSE(CONTROL!$C$27, 0.0021, 0)</f>
        <v>108.51389999999999</v>
      </c>
      <c r="F733" s="14">
        <f>108.5118 * CHOOSE(CONTROL!$C$9, $D$9, 100%, $F$9) + CHOOSE(CONTROL!$C$27, 0.0021, 0)</f>
        <v>108.51389999999999</v>
      </c>
      <c r="G733" s="14">
        <f>108.7832 * CHOOSE(CONTROL!$C$9, $D$9, 100%, $F$9) + CHOOSE(CONTROL!$C$27, 0.0021, 0)</f>
        <v>108.78529999999999</v>
      </c>
      <c r="H733" s="14">
        <f>108.6485 * CHOOSE(CONTROL!$C$9, $D$9, 100%, $F$9) + CHOOSE(CONTROL!$C$27, 0.0021, 0)</f>
        <v>108.6506</v>
      </c>
      <c r="I733" s="14">
        <f>108.6485 * CHOOSE(CONTROL!$C$9, $D$9, 100%, $F$9) + CHOOSE(CONTROL!$C$27, 0.0021, 0)</f>
        <v>108.6506</v>
      </c>
      <c r="J733" s="14">
        <f>108.6485 * CHOOSE(CONTROL!$C$9, $D$9, 100%, $F$9) + CHOOSE(CONTROL!$C$27, 0.0021, 0)</f>
        <v>108.6506</v>
      </c>
      <c r="K733" s="14">
        <f>108.6485 * CHOOSE(CONTROL!$C$9, $D$9, 100%, $F$9) + CHOOSE(CONTROL!$C$27, 0.0021, 0)</f>
        <v>108.6506</v>
      </c>
      <c r="L733" s="14"/>
    </row>
    <row r="734" spans="1:12" ht="15.75" x14ac:dyDescent="0.25">
      <c r="A734" s="32">
        <v>63279</v>
      </c>
      <c r="B734" s="14">
        <f>114.7091 * CHOOSE(CONTROL!$C$9, $D$9, 100%, $F$9) + CHOOSE(CONTROL!$C$27, 0.0021, 0)</f>
        <v>114.71120000000001</v>
      </c>
      <c r="C734" s="14">
        <f>114.2768 * CHOOSE(CONTROL!$C$9, $D$9, 100%, $F$9) + CHOOSE(CONTROL!$C$27, 0.0021, 0)</f>
        <v>114.27889999999999</v>
      </c>
      <c r="D734" s="14">
        <f>114.2768 * CHOOSE(CONTROL!$C$9, $D$9, 100%, $F$9) + CHOOSE(CONTROL!$C$27, 0.0021, 0)</f>
        <v>114.27889999999999</v>
      </c>
      <c r="E734" s="14">
        <f>114.1402 * CHOOSE(CONTROL!$C$9, $D$9, 100%, $F$9) + CHOOSE(CONTROL!$C$27, 0.0021, 0)</f>
        <v>114.14229999999999</v>
      </c>
      <c r="F734" s="14">
        <f>114.1402 * CHOOSE(CONTROL!$C$9, $D$9, 100%, $F$9) + CHOOSE(CONTROL!$C$27, 0.0021, 0)</f>
        <v>114.14229999999999</v>
      </c>
      <c r="G734" s="14">
        <f>114.4116 * CHOOSE(CONTROL!$C$9, $D$9, 100%, $F$9) + CHOOSE(CONTROL!$C$27, 0.0021, 0)</f>
        <v>114.41370000000001</v>
      </c>
      <c r="H734" s="14">
        <f>114.2768 * CHOOSE(CONTROL!$C$9, $D$9, 100%, $F$9) + CHOOSE(CONTROL!$C$27, 0.0021, 0)</f>
        <v>114.27889999999999</v>
      </c>
      <c r="I734" s="14">
        <f>114.2768 * CHOOSE(CONTROL!$C$9, $D$9, 100%, $F$9) + CHOOSE(CONTROL!$C$27, 0.0021, 0)</f>
        <v>114.27889999999999</v>
      </c>
      <c r="J734" s="14">
        <f>114.2768 * CHOOSE(CONTROL!$C$9, $D$9, 100%, $F$9) + CHOOSE(CONTROL!$C$27, 0.0021, 0)</f>
        <v>114.27889999999999</v>
      </c>
      <c r="K734" s="14">
        <f>114.2768 * CHOOSE(CONTROL!$C$9, $D$9, 100%, $F$9) + CHOOSE(CONTROL!$C$27, 0.0021, 0)</f>
        <v>114.27889999999999</v>
      </c>
      <c r="L734" s="14"/>
    </row>
    <row r="735" spans="1:12" ht="15.75" x14ac:dyDescent="0.25">
      <c r="A735" s="32">
        <v>63309</v>
      </c>
      <c r="B735" s="14">
        <f>122.0077 * CHOOSE(CONTROL!$C$9, $D$9, 100%, $F$9) + CHOOSE(CONTROL!$C$27, 0.0021, 0)</f>
        <v>122.0098</v>
      </c>
      <c r="C735" s="14">
        <f>121.5755 * CHOOSE(CONTROL!$C$9, $D$9, 100%, $F$9) + CHOOSE(CONTROL!$C$27, 0.0021, 0)</f>
        <v>121.5776</v>
      </c>
      <c r="D735" s="14">
        <f>121.5755 * CHOOSE(CONTROL!$C$9, $D$9, 100%, $F$9) + CHOOSE(CONTROL!$C$27, 0.0021, 0)</f>
        <v>121.5776</v>
      </c>
      <c r="E735" s="14">
        <f>121.4388 * CHOOSE(CONTROL!$C$9, $D$9, 100%, $F$9) + CHOOSE(CONTROL!$C$27, 0.0021, 0)</f>
        <v>121.4409</v>
      </c>
      <c r="F735" s="14">
        <f>121.4388 * CHOOSE(CONTROL!$C$9, $D$9, 100%, $F$9) + CHOOSE(CONTROL!$C$27, 0.0021, 0)</f>
        <v>121.4409</v>
      </c>
      <c r="G735" s="14">
        <f>121.7102 * CHOOSE(CONTROL!$C$9, $D$9, 100%, $F$9) + CHOOSE(CONTROL!$C$27, 0.0021, 0)</f>
        <v>121.7123</v>
      </c>
      <c r="H735" s="14">
        <f>121.5755 * CHOOSE(CONTROL!$C$9, $D$9, 100%, $F$9) + CHOOSE(CONTROL!$C$27, 0.0021, 0)</f>
        <v>121.5776</v>
      </c>
      <c r="I735" s="14">
        <f>121.5755 * CHOOSE(CONTROL!$C$9, $D$9, 100%, $F$9) + CHOOSE(CONTROL!$C$27, 0.0021, 0)</f>
        <v>121.5776</v>
      </c>
      <c r="J735" s="14">
        <f>121.5755 * CHOOSE(CONTROL!$C$9, $D$9, 100%, $F$9) + CHOOSE(CONTROL!$C$27, 0.0021, 0)</f>
        <v>121.5776</v>
      </c>
      <c r="K735" s="14">
        <f>121.5755 * CHOOSE(CONTROL!$C$9, $D$9, 100%, $F$9) + CHOOSE(CONTROL!$C$27, 0.0021, 0)</f>
        <v>121.5776</v>
      </c>
      <c r="L735" s="14"/>
    </row>
    <row r="736" spans="1:12" ht="15.75" x14ac:dyDescent="0.25">
      <c r="A736" s="32">
        <v>63340</v>
      </c>
      <c r="B736" s="14">
        <f>126.0251 * CHOOSE(CONTROL!$C$9, $D$9, 100%, $F$9) + CHOOSE(CONTROL!$C$27, 0.0021, 0)</f>
        <v>126.02719999999999</v>
      </c>
      <c r="C736" s="14">
        <f>125.5929 * CHOOSE(CONTROL!$C$9, $D$9, 100%, $F$9) + CHOOSE(CONTROL!$C$27, 0.0021, 0)</f>
        <v>125.595</v>
      </c>
      <c r="D736" s="14">
        <f>125.5929 * CHOOSE(CONTROL!$C$9, $D$9, 100%, $F$9) + CHOOSE(CONTROL!$C$27, 0.0021, 0)</f>
        <v>125.595</v>
      </c>
      <c r="E736" s="14">
        <f>125.4562 * CHOOSE(CONTROL!$C$9, $D$9, 100%, $F$9) + CHOOSE(CONTROL!$C$27, 0.0021, 0)</f>
        <v>125.45829999999999</v>
      </c>
      <c r="F736" s="14">
        <f>125.4562 * CHOOSE(CONTROL!$C$9, $D$9, 100%, $F$9) + CHOOSE(CONTROL!$C$27, 0.0021, 0)</f>
        <v>125.45829999999999</v>
      </c>
      <c r="G736" s="14">
        <f>125.7276 * CHOOSE(CONTROL!$C$9, $D$9, 100%, $F$9) + CHOOSE(CONTROL!$C$27, 0.0021, 0)</f>
        <v>125.72969999999999</v>
      </c>
      <c r="H736" s="14">
        <f>125.5929 * CHOOSE(CONTROL!$C$9, $D$9, 100%, $F$9) + CHOOSE(CONTROL!$C$27, 0.0021, 0)</f>
        <v>125.595</v>
      </c>
      <c r="I736" s="14">
        <f>125.5929 * CHOOSE(CONTROL!$C$9, $D$9, 100%, $F$9) + CHOOSE(CONTROL!$C$27, 0.0021, 0)</f>
        <v>125.595</v>
      </c>
      <c r="J736" s="14">
        <f>125.5929 * CHOOSE(CONTROL!$C$9, $D$9, 100%, $F$9) + CHOOSE(CONTROL!$C$27, 0.0021, 0)</f>
        <v>125.595</v>
      </c>
      <c r="K736" s="14">
        <f>125.5929 * CHOOSE(CONTROL!$C$9, $D$9, 100%, $F$9) + CHOOSE(CONTROL!$C$27, 0.0021, 0)</f>
        <v>125.595</v>
      </c>
      <c r="L736" s="14"/>
    </row>
    <row r="737" spans="1:12" ht="15.75" x14ac:dyDescent="0.25">
      <c r="A737" s="32">
        <v>63370</v>
      </c>
      <c r="B737" s="14">
        <f>127.808 * CHOOSE(CONTROL!$C$9, $D$9, 100%, $F$9) + CHOOSE(CONTROL!$C$27, 0.0021, 0)</f>
        <v>127.81010000000001</v>
      </c>
      <c r="C737" s="14">
        <f>127.3758 * CHOOSE(CONTROL!$C$9, $D$9, 100%, $F$9) + CHOOSE(CONTROL!$C$27, 0.0021, 0)</f>
        <v>127.3779</v>
      </c>
      <c r="D737" s="14">
        <f>127.3758 * CHOOSE(CONTROL!$C$9, $D$9, 100%, $F$9) + CHOOSE(CONTROL!$C$27, 0.0021, 0)</f>
        <v>127.3779</v>
      </c>
      <c r="E737" s="14">
        <f>127.2391 * CHOOSE(CONTROL!$C$9, $D$9, 100%, $F$9) + CHOOSE(CONTROL!$C$27, 0.0021, 0)</f>
        <v>127.24119999999999</v>
      </c>
      <c r="F737" s="14">
        <f>127.2391 * CHOOSE(CONTROL!$C$9, $D$9, 100%, $F$9) + CHOOSE(CONTROL!$C$27, 0.0021, 0)</f>
        <v>127.24119999999999</v>
      </c>
      <c r="G737" s="14">
        <f>127.5105 * CHOOSE(CONTROL!$C$9, $D$9, 100%, $F$9) + CHOOSE(CONTROL!$C$27, 0.0021, 0)</f>
        <v>127.51259999999999</v>
      </c>
      <c r="H737" s="14">
        <f>127.3758 * CHOOSE(CONTROL!$C$9, $D$9, 100%, $F$9) + CHOOSE(CONTROL!$C$27, 0.0021, 0)</f>
        <v>127.3779</v>
      </c>
      <c r="I737" s="14">
        <f>127.3758 * CHOOSE(CONTROL!$C$9, $D$9, 100%, $F$9) + CHOOSE(CONTROL!$C$27, 0.0021, 0)</f>
        <v>127.3779</v>
      </c>
      <c r="J737" s="14">
        <f>127.3758 * CHOOSE(CONTROL!$C$9, $D$9, 100%, $F$9) + CHOOSE(CONTROL!$C$27, 0.0021, 0)</f>
        <v>127.3779</v>
      </c>
      <c r="K737" s="14">
        <f>127.3758 * CHOOSE(CONTROL!$C$9, $D$9, 100%, $F$9) + CHOOSE(CONTROL!$C$27, 0.0021, 0)</f>
        <v>127.3779</v>
      </c>
      <c r="L737" s="14"/>
    </row>
    <row r="738" spans="1:12" ht="15.75" x14ac:dyDescent="0.25">
      <c r="A738" s="32">
        <v>63401</v>
      </c>
      <c r="B738" s="14">
        <f>127.221 * CHOOSE(CONTROL!$C$9, $D$9, 100%, $F$9) + CHOOSE(CONTROL!$C$27, 0.0021, 0)</f>
        <v>127.2231</v>
      </c>
      <c r="C738" s="14">
        <f>126.7888 * CHOOSE(CONTROL!$C$9, $D$9, 100%, $F$9) + CHOOSE(CONTROL!$C$27, 0.0021, 0)</f>
        <v>126.79089999999999</v>
      </c>
      <c r="D738" s="14">
        <f>126.7888 * CHOOSE(CONTROL!$C$9, $D$9, 100%, $F$9) + CHOOSE(CONTROL!$C$27, 0.0021, 0)</f>
        <v>126.79089999999999</v>
      </c>
      <c r="E738" s="14">
        <f>126.6521 * CHOOSE(CONTROL!$C$9, $D$9, 100%, $F$9) + CHOOSE(CONTROL!$C$27, 0.0021, 0)</f>
        <v>126.6542</v>
      </c>
      <c r="F738" s="14">
        <f>126.6521 * CHOOSE(CONTROL!$C$9, $D$9, 100%, $F$9) + CHOOSE(CONTROL!$C$27, 0.0021, 0)</f>
        <v>126.6542</v>
      </c>
      <c r="G738" s="14">
        <f>126.9235 * CHOOSE(CONTROL!$C$9, $D$9, 100%, $F$9) + CHOOSE(CONTROL!$C$27, 0.0021, 0)</f>
        <v>126.9256</v>
      </c>
      <c r="H738" s="14">
        <f>126.7888 * CHOOSE(CONTROL!$C$9, $D$9, 100%, $F$9) + CHOOSE(CONTROL!$C$27, 0.0021, 0)</f>
        <v>126.79089999999999</v>
      </c>
      <c r="I738" s="14">
        <f>126.7888 * CHOOSE(CONTROL!$C$9, $D$9, 100%, $F$9) + CHOOSE(CONTROL!$C$27, 0.0021, 0)</f>
        <v>126.79089999999999</v>
      </c>
      <c r="J738" s="14">
        <f>126.7888 * CHOOSE(CONTROL!$C$9, $D$9, 100%, $F$9) + CHOOSE(CONTROL!$C$27, 0.0021, 0)</f>
        <v>126.79089999999999</v>
      </c>
      <c r="K738" s="14">
        <f>126.7888 * CHOOSE(CONTROL!$C$9, $D$9, 100%, $F$9) + CHOOSE(CONTROL!$C$27, 0.0021, 0)</f>
        <v>126.79089999999999</v>
      </c>
      <c r="L738" s="14"/>
    </row>
    <row r="739" spans="1:12" ht="15.75" x14ac:dyDescent="0.25">
      <c r="A739" s="32">
        <v>63432</v>
      </c>
      <c r="B739" s="14">
        <f>124.3127 * CHOOSE(CONTROL!$C$9, $D$9, 100%, $F$9) + CHOOSE(CONTROL!$C$27, 0.0021, 0)</f>
        <v>124.31480000000001</v>
      </c>
      <c r="C739" s="14">
        <f>123.8805 * CHOOSE(CONTROL!$C$9, $D$9, 100%, $F$9) + CHOOSE(CONTROL!$C$27, 0.0021, 0)</f>
        <v>123.8826</v>
      </c>
      <c r="D739" s="14">
        <f>123.8805 * CHOOSE(CONTROL!$C$9, $D$9, 100%, $F$9) + CHOOSE(CONTROL!$C$27, 0.0021, 0)</f>
        <v>123.8826</v>
      </c>
      <c r="E739" s="14">
        <f>123.7438 * CHOOSE(CONTROL!$C$9, $D$9, 100%, $F$9) + CHOOSE(CONTROL!$C$27, 0.0021, 0)</f>
        <v>123.74589999999999</v>
      </c>
      <c r="F739" s="14">
        <f>123.7438 * CHOOSE(CONTROL!$C$9, $D$9, 100%, $F$9) + CHOOSE(CONTROL!$C$27, 0.0021, 0)</f>
        <v>123.74589999999999</v>
      </c>
      <c r="G739" s="14">
        <f>124.0152 * CHOOSE(CONTROL!$C$9, $D$9, 100%, $F$9) + CHOOSE(CONTROL!$C$27, 0.0021, 0)</f>
        <v>124.01729999999999</v>
      </c>
      <c r="H739" s="14">
        <f>123.8805 * CHOOSE(CONTROL!$C$9, $D$9, 100%, $F$9) + CHOOSE(CONTROL!$C$27, 0.0021, 0)</f>
        <v>123.8826</v>
      </c>
      <c r="I739" s="14">
        <f>123.8805 * CHOOSE(CONTROL!$C$9, $D$9, 100%, $F$9) + CHOOSE(CONTROL!$C$27, 0.0021, 0)</f>
        <v>123.8826</v>
      </c>
      <c r="J739" s="14">
        <f>123.8805 * CHOOSE(CONTROL!$C$9, $D$9, 100%, $F$9) + CHOOSE(CONTROL!$C$27, 0.0021, 0)</f>
        <v>123.8826</v>
      </c>
      <c r="K739" s="14">
        <f>123.8805 * CHOOSE(CONTROL!$C$9, $D$9, 100%, $F$9) + CHOOSE(CONTROL!$C$27, 0.0021, 0)</f>
        <v>123.8826</v>
      </c>
      <c r="L739" s="14"/>
    </row>
    <row r="740" spans="1:12" ht="15.75" x14ac:dyDescent="0.25">
      <c r="A740" s="32">
        <v>63462</v>
      </c>
      <c r="B740" s="14">
        <f>120.257 * CHOOSE(CONTROL!$C$9, $D$9, 100%, $F$9) + CHOOSE(CONTROL!$C$27, 0.0021, 0)</f>
        <v>120.2591</v>
      </c>
      <c r="C740" s="14">
        <f>119.8247 * CHOOSE(CONTROL!$C$9, $D$9, 100%, $F$9) + CHOOSE(CONTROL!$C$27, 0.0021, 0)</f>
        <v>119.82680000000001</v>
      </c>
      <c r="D740" s="14">
        <f>119.8247 * CHOOSE(CONTROL!$C$9, $D$9, 100%, $F$9) + CHOOSE(CONTROL!$C$27, 0.0021, 0)</f>
        <v>119.82680000000001</v>
      </c>
      <c r="E740" s="14">
        <f>119.6881 * CHOOSE(CONTROL!$C$9, $D$9, 100%, $F$9) + CHOOSE(CONTROL!$C$27, 0.0021, 0)</f>
        <v>119.6902</v>
      </c>
      <c r="F740" s="14">
        <f>119.6881 * CHOOSE(CONTROL!$C$9, $D$9, 100%, $F$9) + CHOOSE(CONTROL!$C$27, 0.0021, 0)</f>
        <v>119.6902</v>
      </c>
      <c r="G740" s="14">
        <f>119.9594 * CHOOSE(CONTROL!$C$9, $D$9, 100%, $F$9) + CHOOSE(CONTROL!$C$27, 0.0021, 0)</f>
        <v>119.9615</v>
      </c>
      <c r="H740" s="14">
        <f>119.8247 * CHOOSE(CONTROL!$C$9, $D$9, 100%, $F$9) + CHOOSE(CONTROL!$C$27, 0.0021, 0)</f>
        <v>119.82680000000001</v>
      </c>
      <c r="I740" s="14">
        <f>119.8247 * CHOOSE(CONTROL!$C$9, $D$9, 100%, $F$9) + CHOOSE(CONTROL!$C$27, 0.0021, 0)</f>
        <v>119.82680000000001</v>
      </c>
      <c r="J740" s="14">
        <f>119.8247 * CHOOSE(CONTROL!$C$9, $D$9, 100%, $F$9) + CHOOSE(CONTROL!$C$27, 0.0021, 0)</f>
        <v>119.82680000000001</v>
      </c>
      <c r="K740" s="14">
        <f>119.8247 * CHOOSE(CONTROL!$C$9, $D$9, 100%, $F$9) + CHOOSE(CONTROL!$C$27, 0.0021, 0)</f>
        <v>119.82680000000001</v>
      </c>
      <c r="L740" s="14"/>
    </row>
    <row r="741" spans="1:12" ht="15.75" x14ac:dyDescent="0.25">
      <c r="A741" s="32">
        <v>63493</v>
      </c>
      <c r="B741" s="14">
        <f>116.1776 * CHOOSE(CONTROL!$C$9, $D$9, 100%, $F$9) + CHOOSE(CONTROL!$C$27, 0.0021, 0)</f>
        <v>116.1797</v>
      </c>
      <c r="C741" s="14">
        <f>115.7454 * CHOOSE(CONTROL!$C$9, $D$9, 100%, $F$9) + CHOOSE(CONTROL!$C$27, 0.0021, 0)</f>
        <v>115.7475</v>
      </c>
      <c r="D741" s="14">
        <f>115.7454 * CHOOSE(CONTROL!$C$9, $D$9, 100%, $F$9) + CHOOSE(CONTROL!$C$27, 0.0021, 0)</f>
        <v>115.7475</v>
      </c>
      <c r="E741" s="14">
        <f>115.6087 * CHOOSE(CONTROL!$C$9, $D$9, 100%, $F$9) + CHOOSE(CONTROL!$C$27, 0.0021, 0)</f>
        <v>115.6108</v>
      </c>
      <c r="F741" s="14">
        <f>115.6087 * CHOOSE(CONTROL!$C$9, $D$9, 100%, $F$9) + CHOOSE(CONTROL!$C$27, 0.0021, 0)</f>
        <v>115.6108</v>
      </c>
      <c r="G741" s="14">
        <f>115.8801 * CHOOSE(CONTROL!$C$9, $D$9, 100%, $F$9) + CHOOSE(CONTROL!$C$27, 0.0021, 0)</f>
        <v>115.8822</v>
      </c>
      <c r="H741" s="14">
        <f>115.7454 * CHOOSE(CONTROL!$C$9, $D$9, 100%, $F$9) + CHOOSE(CONTROL!$C$27, 0.0021, 0)</f>
        <v>115.7475</v>
      </c>
      <c r="I741" s="14">
        <f>115.7454 * CHOOSE(CONTROL!$C$9, $D$9, 100%, $F$9) + CHOOSE(CONTROL!$C$27, 0.0021, 0)</f>
        <v>115.7475</v>
      </c>
      <c r="J741" s="14">
        <f>115.7454 * CHOOSE(CONTROL!$C$9, $D$9, 100%, $F$9) + CHOOSE(CONTROL!$C$27, 0.0021, 0)</f>
        <v>115.7475</v>
      </c>
      <c r="K741" s="14">
        <f>115.7454 * CHOOSE(CONTROL!$C$9, $D$9, 100%, $F$9) + CHOOSE(CONTROL!$C$27, 0.0021, 0)</f>
        <v>115.7475</v>
      </c>
      <c r="L741" s="14"/>
    </row>
    <row r="742" spans="1:12" ht="15.75" x14ac:dyDescent="0.25">
      <c r="A742" s="32">
        <v>63523</v>
      </c>
      <c r="B742" s="14">
        <f>115.3662 * CHOOSE(CONTROL!$C$9, $D$9, 100%, $F$9) + CHOOSE(CONTROL!$C$27, 0.0021, 0)</f>
        <v>115.3683</v>
      </c>
      <c r="C742" s="14">
        <f>114.9339 * CHOOSE(CONTROL!$C$9, $D$9, 100%, $F$9) + CHOOSE(CONTROL!$C$27, 0.0021, 0)</f>
        <v>114.93599999999999</v>
      </c>
      <c r="D742" s="14">
        <f>114.9339 * CHOOSE(CONTROL!$C$9, $D$9, 100%, $F$9) + CHOOSE(CONTROL!$C$27, 0.0021, 0)</f>
        <v>114.93599999999999</v>
      </c>
      <c r="E742" s="14">
        <f>114.7973 * CHOOSE(CONTROL!$C$9, $D$9, 100%, $F$9) + CHOOSE(CONTROL!$C$27, 0.0021, 0)</f>
        <v>114.79940000000001</v>
      </c>
      <c r="F742" s="14">
        <f>114.7973 * CHOOSE(CONTROL!$C$9, $D$9, 100%, $F$9) + CHOOSE(CONTROL!$C$27, 0.0021, 0)</f>
        <v>114.79940000000001</v>
      </c>
      <c r="G742" s="14">
        <f>115.0686 * CHOOSE(CONTROL!$C$9, $D$9, 100%, $F$9) + CHOOSE(CONTROL!$C$27, 0.0021, 0)</f>
        <v>115.0707</v>
      </c>
      <c r="H742" s="14">
        <f>114.9339 * CHOOSE(CONTROL!$C$9, $D$9, 100%, $F$9) + CHOOSE(CONTROL!$C$27, 0.0021, 0)</f>
        <v>114.93599999999999</v>
      </c>
      <c r="I742" s="14">
        <f>114.9339 * CHOOSE(CONTROL!$C$9, $D$9, 100%, $F$9) + CHOOSE(CONTROL!$C$27, 0.0021, 0)</f>
        <v>114.93599999999999</v>
      </c>
      <c r="J742" s="14">
        <f>114.9339 * CHOOSE(CONTROL!$C$9, $D$9, 100%, $F$9) + CHOOSE(CONTROL!$C$27, 0.0021, 0)</f>
        <v>114.93599999999999</v>
      </c>
      <c r="K742" s="14">
        <f>114.9339 * CHOOSE(CONTROL!$C$9, $D$9, 100%, $F$9) + CHOOSE(CONTROL!$C$27, 0.0021, 0)</f>
        <v>114.93599999999999</v>
      </c>
      <c r="L742" s="14"/>
    </row>
    <row r="743" spans="1:12" ht="15.75" x14ac:dyDescent="0.25">
      <c r="A743" s="32">
        <v>63554</v>
      </c>
      <c r="B743" s="14">
        <f>112.0107 * CHOOSE(CONTROL!$C$9, $D$9, 100%, $F$9) + CHOOSE(CONTROL!$C$27, 0.0021, 0)</f>
        <v>112.0128</v>
      </c>
      <c r="C743" s="14">
        <f>111.5784 * CHOOSE(CONTROL!$C$9, $D$9, 100%, $F$9) + CHOOSE(CONTROL!$C$27, 0.0021, 0)</f>
        <v>111.5805</v>
      </c>
      <c r="D743" s="14">
        <f>111.5784 * CHOOSE(CONTROL!$C$9, $D$9, 100%, $F$9) + CHOOSE(CONTROL!$C$27, 0.0021, 0)</f>
        <v>111.5805</v>
      </c>
      <c r="E743" s="14">
        <f>111.4418 * CHOOSE(CONTROL!$C$9, $D$9, 100%, $F$9) + CHOOSE(CONTROL!$C$27, 0.0021, 0)</f>
        <v>111.4439</v>
      </c>
      <c r="F743" s="14">
        <f>111.4418 * CHOOSE(CONTROL!$C$9, $D$9, 100%, $F$9) + CHOOSE(CONTROL!$C$27, 0.0021, 0)</f>
        <v>111.4439</v>
      </c>
      <c r="G743" s="14">
        <f>111.7132 * CHOOSE(CONTROL!$C$9, $D$9, 100%, $F$9) + CHOOSE(CONTROL!$C$27, 0.0021, 0)</f>
        <v>111.7153</v>
      </c>
      <c r="H743" s="14">
        <f>111.5784 * CHOOSE(CONTROL!$C$9, $D$9, 100%, $F$9) + CHOOSE(CONTROL!$C$27, 0.0021, 0)</f>
        <v>111.5805</v>
      </c>
      <c r="I743" s="14">
        <f>111.5784 * CHOOSE(CONTROL!$C$9, $D$9, 100%, $F$9) + CHOOSE(CONTROL!$C$27, 0.0021, 0)</f>
        <v>111.5805</v>
      </c>
      <c r="J743" s="14">
        <f>111.5784 * CHOOSE(CONTROL!$C$9, $D$9, 100%, $F$9) + CHOOSE(CONTROL!$C$27, 0.0021, 0)</f>
        <v>111.5805</v>
      </c>
      <c r="K743" s="14">
        <f>111.5784 * CHOOSE(CONTROL!$C$9, $D$9, 100%, $F$9) + CHOOSE(CONTROL!$C$27, 0.0021, 0)</f>
        <v>111.5805</v>
      </c>
      <c r="L743" s="14"/>
    </row>
    <row r="744" spans="1:12" ht="15.75" x14ac:dyDescent="0.25">
      <c r="A744" s="32">
        <v>63585</v>
      </c>
      <c r="B744" s="14">
        <f>111.3574 * CHOOSE(CONTROL!$C$9, $D$9, 100%, $F$9) + CHOOSE(CONTROL!$C$27, 0.0021, 0)</f>
        <v>111.3595</v>
      </c>
      <c r="C744" s="14">
        <f>110.9252 * CHOOSE(CONTROL!$C$9, $D$9, 100%, $F$9) + CHOOSE(CONTROL!$C$27, 0.0021, 0)</f>
        <v>110.9273</v>
      </c>
      <c r="D744" s="14">
        <f>110.9252 * CHOOSE(CONTROL!$C$9, $D$9, 100%, $F$9) + CHOOSE(CONTROL!$C$27, 0.0021, 0)</f>
        <v>110.9273</v>
      </c>
      <c r="E744" s="14">
        <f>110.7885 * CHOOSE(CONTROL!$C$9, $D$9, 100%, $F$9) + CHOOSE(CONTROL!$C$27, 0.0021, 0)</f>
        <v>110.7906</v>
      </c>
      <c r="F744" s="14">
        <f>110.7885 * CHOOSE(CONTROL!$C$9, $D$9, 100%, $F$9) + CHOOSE(CONTROL!$C$27, 0.0021, 0)</f>
        <v>110.7906</v>
      </c>
      <c r="G744" s="14">
        <f>111.0599 * CHOOSE(CONTROL!$C$9, $D$9, 100%, $F$9) + CHOOSE(CONTROL!$C$27, 0.0021, 0)</f>
        <v>111.062</v>
      </c>
      <c r="H744" s="14">
        <f>110.9252 * CHOOSE(CONTROL!$C$9, $D$9, 100%, $F$9) + CHOOSE(CONTROL!$C$27, 0.0021, 0)</f>
        <v>110.9273</v>
      </c>
      <c r="I744" s="14">
        <f>110.9252 * CHOOSE(CONTROL!$C$9, $D$9, 100%, $F$9) + CHOOSE(CONTROL!$C$27, 0.0021, 0)</f>
        <v>110.9273</v>
      </c>
      <c r="J744" s="14">
        <f>110.9252 * CHOOSE(CONTROL!$C$9, $D$9, 100%, $F$9) + CHOOSE(CONTROL!$C$27, 0.0021, 0)</f>
        <v>110.9273</v>
      </c>
      <c r="K744" s="14">
        <f>110.9252 * CHOOSE(CONTROL!$C$9, $D$9, 100%, $F$9) + CHOOSE(CONTROL!$C$27, 0.0021, 0)</f>
        <v>110.9273</v>
      </c>
      <c r="L744" s="14"/>
    </row>
    <row r="745" spans="1:12" ht="15.75" x14ac:dyDescent="0.25">
      <c r="A745" s="32">
        <v>63613</v>
      </c>
      <c r="B745" s="14">
        <f>111.0543 * CHOOSE(CONTROL!$C$9, $D$9, 100%, $F$9) + CHOOSE(CONTROL!$C$27, 0.0021, 0)</f>
        <v>111.0564</v>
      </c>
      <c r="C745" s="14">
        <f>110.622 * CHOOSE(CONTROL!$C$9, $D$9, 100%, $F$9) + CHOOSE(CONTROL!$C$27, 0.0021, 0)</f>
        <v>110.6241</v>
      </c>
      <c r="D745" s="14">
        <f>110.622 * CHOOSE(CONTROL!$C$9, $D$9, 100%, $F$9) + CHOOSE(CONTROL!$C$27, 0.0021, 0)</f>
        <v>110.6241</v>
      </c>
      <c r="E745" s="14">
        <f>110.4853 * CHOOSE(CONTROL!$C$9, $D$9, 100%, $F$9) + CHOOSE(CONTROL!$C$27, 0.0021, 0)</f>
        <v>110.48739999999999</v>
      </c>
      <c r="F745" s="14">
        <f>110.4853 * CHOOSE(CONTROL!$C$9, $D$9, 100%, $F$9) + CHOOSE(CONTROL!$C$27, 0.0021, 0)</f>
        <v>110.48739999999999</v>
      </c>
      <c r="G745" s="14">
        <f>110.7567 * CHOOSE(CONTROL!$C$9, $D$9, 100%, $F$9) + CHOOSE(CONTROL!$C$27, 0.0021, 0)</f>
        <v>110.75879999999999</v>
      </c>
      <c r="H745" s="14">
        <f>110.622 * CHOOSE(CONTROL!$C$9, $D$9, 100%, $F$9) + CHOOSE(CONTROL!$C$27, 0.0021, 0)</f>
        <v>110.6241</v>
      </c>
      <c r="I745" s="14">
        <f>110.622 * CHOOSE(CONTROL!$C$9, $D$9, 100%, $F$9) + CHOOSE(CONTROL!$C$27, 0.0021, 0)</f>
        <v>110.6241</v>
      </c>
      <c r="J745" s="14">
        <f>110.622 * CHOOSE(CONTROL!$C$9, $D$9, 100%, $F$9) + CHOOSE(CONTROL!$C$27, 0.0021, 0)</f>
        <v>110.6241</v>
      </c>
      <c r="K745" s="14">
        <f>110.622 * CHOOSE(CONTROL!$C$9, $D$9, 100%, $F$9) + CHOOSE(CONTROL!$C$27, 0.0021, 0)</f>
        <v>110.6241</v>
      </c>
      <c r="L745" s="14"/>
    </row>
    <row r="746" spans="1:12" ht="15.75" x14ac:dyDescent="0.25">
      <c r="A746" s="32">
        <v>63644</v>
      </c>
      <c r="B746" s="14">
        <f>116.7866 * CHOOSE(CONTROL!$C$9, $D$9, 100%, $F$9) + CHOOSE(CONTROL!$C$27, 0.0021, 0)</f>
        <v>116.78870000000001</v>
      </c>
      <c r="C746" s="14">
        <f>116.3544 * CHOOSE(CONTROL!$C$9, $D$9, 100%, $F$9) + CHOOSE(CONTROL!$C$27, 0.0021, 0)</f>
        <v>116.3565</v>
      </c>
      <c r="D746" s="14">
        <f>116.3544 * CHOOSE(CONTROL!$C$9, $D$9, 100%, $F$9) + CHOOSE(CONTROL!$C$27, 0.0021, 0)</f>
        <v>116.3565</v>
      </c>
      <c r="E746" s="14">
        <f>116.2177 * CHOOSE(CONTROL!$C$9, $D$9, 100%, $F$9) + CHOOSE(CONTROL!$C$27, 0.0021, 0)</f>
        <v>116.21979999999999</v>
      </c>
      <c r="F746" s="14">
        <f>116.2177 * CHOOSE(CONTROL!$C$9, $D$9, 100%, $F$9) + CHOOSE(CONTROL!$C$27, 0.0021, 0)</f>
        <v>116.21979999999999</v>
      </c>
      <c r="G746" s="14">
        <f>116.4891 * CHOOSE(CONTROL!$C$9, $D$9, 100%, $F$9) + CHOOSE(CONTROL!$C$27, 0.0021, 0)</f>
        <v>116.49119999999999</v>
      </c>
      <c r="H746" s="14">
        <f>116.3544 * CHOOSE(CONTROL!$C$9, $D$9, 100%, $F$9) + CHOOSE(CONTROL!$C$27, 0.0021, 0)</f>
        <v>116.3565</v>
      </c>
      <c r="I746" s="14">
        <f>116.3544 * CHOOSE(CONTROL!$C$9, $D$9, 100%, $F$9) + CHOOSE(CONTROL!$C$27, 0.0021, 0)</f>
        <v>116.3565</v>
      </c>
      <c r="J746" s="14">
        <f>116.3544 * CHOOSE(CONTROL!$C$9, $D$9, 100%, $F$9) + CHOOSE(CONTROL!$C$27, 0.0021, 0)</f>
        <v>116.3565</v>
      </c>
      <c r="K746" s="14">
        <f>116.3544 * CHOOSE(CONTROL!$C$9, $D$9, 100%, $F$9) + CHOOSE(CONTROL!$C$27, 0.0021, 0)</f>
        <v>116.3565</v>
      </c>
      <c r="L746" s="14"/>
    </row>
    <row r="747" spans="1:12" ht="15.75" x14ac:dyDescent="0.25">
      <c r="A747" s="32">
        <v>63674</v>
      </c>
      <c r="B747" s="14">
        <f>124.2202 * CHOOSE(CONTROL!$C$9, $D$9, 100%, $F$9) + CHOOSE(CONTROL!$C$27, 0.0021, 0)</f>
        <v>124.2223</v>
      </c>
      <c r="C747" s="14">
        <f>123.7879 * CHOOSE(CONTROL!$C$9, $D$9, 100%, $F$9) + CHOOSE(CONTROL!$C$27, 0.0021, 0)</f>
        <v>123.78999999999999</v>
      </c>
      <c r="D747" s="14">
        <f>123.7879 * CHOOSE(CONTROL!$C$9, $D$9, 100%, $F$9) + CHOOSE(CONTROL!$C$27, 0.0021, 0)</f>
        <v>123.78999999999999</v>
      </c>
      <c r="E747" s="14">
        <f>123.6513 * CHOOSE(CONTROL!$C$9, $D$9, 100%, $F$9) + CHOOSE(CONTROL!$C$27, 0.0021, 0)</f>
        <v>123.6534</v>
      </c>
      <c r="F747" s="14">
        <f>123.6513 * CHOOSE(CONTROL!$C$9, $D$9, 100%, $F$9) + CHOOSE(CONTROL!$C$27, 0.0021, 0)</f>
        <v>123.6534</v>
      </c>
      <c r="G747" s="14">
        <f>123.9226 * CHOOSE(CONTROL!$C$9, $D$9, 100%, $F$9) + CHOOSE(CONTROL!$C$27, 0.0021, 0)</f>
        <v>123.9247</v>
      </c>
      <c r="H747" s="14">
        <f>123.7879 * CHOOSE(CONTROL!$C$9, $D$9, 100%, $F$9) + CHOOSE(CONTROL!$C$27, 0.0021, 0)</f>
        <v>123.78999999999999</v>
      </c>
      <c r="I747" s="14">
        <f>123.7879 * CHOOSE(CONTROL!$C$9, $D$9, 100%, $F$9) + CHOOSE(CONTROL!$C$27, 0.0021, 0)</f>
        <v>123.78999999999999</v>
      </c>
      <c r="J747" s="14">
        <f>123.7879 * CHOOSE(CONTROL!$C$9, $D$9, 100%, $F$9) + CHOOSE(CONTROL!$C$27, 0.0021, 0)</f>
        <v>123.78999999999999</v>
      </c>
      <c r="K747" s="14">
        <f>123.7879 * CHOOSE(CONTROL!$C$9, $D$9, 100%, $F$9) + CHOOSE(CONTROL!$C$27, 0.0021, 0)</f>
        <v>123.78999999999999</v>
      </c>
      <c r="L747" s="14"/>
    </row>
    <row r="748" spans="1:12" ht="15.75" x14ac:dyDescent="0.25">
      <c r="A748" s="32">
        <v>63705</v>
      </c>
      <c r="B748" s="14">
        <f>128.3118 * CHOOSE(CONTROL!$C$9, $D$9, 100%, $F$9) + CHOOSE(CONTROL!$C$27, 0.0021, 0)</f>
        <v>128.31390000000002</v>
      </c>
      <c r="C748" s="14">
        <f>127.8796 * CHOOSE(CONTROL!$C$9, $D$9, 100%, $F$9) + CHOOSE(CONTROL!$C$27, 0.0021, 0)</f>
        <v>127.8817</v>
      </c>
      <c r="D748" s="14">
        <f>127.8796 * CHOOSE(CONTROL!$C$9, $D$9, 100%, $F$9) + CHOOSE(CONTROL!$C$27, 0.0021, 0)</f>
        <v>127.8817</v>
      </c>
      <c r="E748" s="14">
        <f>127.7429 * CHOOSE(CONTROL!$C$9, $D$9, 100%, $F$9) + CHOOSE(CONTROL!$C$27, 0.0021, 0)</f>
        <v>127.745</v>
      </c>
      <c r="F748" s="14">
        <f>127.7429 * CHOOSE(CONTROL!$C$9, $D$9, 100%, $F$9) + CHOOSE(CONTROL!$C$27, 0.0021, 0)</f>
        <v>127.745</v>
      </c>
      <c r="G748" s="14">
        <f>128.0143 * CHOOSE(CONTROL!$C$9, $D$9, 100%, $F$9) + CHOOSE(CONTROL!$C$27, 0.0021, 0)</f>
        <v>128.0164</v>
      </c>
      <c r="H748" s="14">
        <f>127.8796 * CHOOSE(CONTROL!$C$9, $D$9, 100%, $F$9) + CHOOSE(CONTROL!$C$27, 0.0021, 0)</f>
        <v>127.8817</v>
      </c>
      <c r="I748" s="14">
        <f>127.8796 * CHOOSE(CONTROL!$C$9, $D$9, 100%, $F$9) + CHOOSE(CONTROL!$C$27, 0.0021, 0)</f>
        <v>127.8817</v>
      </c>
      <c r="J748" s="14">
        <f>127.8796 * CHOOSE(CONTROL!$C$9, $D$9, 100%, $F$9) + CHOOSE(CONTROL!$C$27, 0.0021, 0)</f>
        <v>127.8817</v>
      </c>
      <c r="K748" s="14">
        <f>127.8796 * CHOOSE(CONTROL!$C$9, $D$9, 100%, $F$9) + CHOOSE(CONTROL!$C$27, 0.0021, 0)</f>
        <v>127.8817</v>
      </c>
      <c r="L748" s="14"/>
    </row>
    <row r="749" spans="1:12" ht="15.75" x14ac:dyDescent="0.25">
      <c r="A749" s="32">
        <v>63735</v>
      </c>
      <c r="B749" s="14">
        <f>130.1276 * CHOOSE(CONTROL!$C$9, $D$9, 100%, $F$9) + CHOOSE(CONTROL!$C$27, 0.0021, 0)</f>
        <v>130.12970000000001</v>
      </c>
      <c r="C749" s="14">
        <f>129.6954 * CHOOSE(CONTROL!$C$9, $D$9, 100%, $F$9) + CHOOSE(CONTROL!$C$27, 0.0021, 0)</f>
        <v>129.69750000000002</v>
      </c>
      <c r="D749" s="14">
        <f>129.6954 * CHOOSE(CONTROL!$C$9, $D$9, 100%, $F$9) + CHOOSE(CONTROL!$C$27, 0.0021, 0)</f>
        <v>129.69750000000002</v>
      </c>
      <c r="E749" s="14">
        <f>129.5587 * CHOOSE(CONTROL!$C$9, $D$9, 100%, $F$9) + CHOOSE(CONTROL!$C$27, 0.0021, 0)</f>
        <v>129.5608</v>
      </c>
      <c r="F749" s="14">
        <f>129.5587 * CHOOSE(CONTROL!$C$9, $D$9, 100%, $F$9) + CHOOSE(CONTROL!$C$27, 0.0021, 0)</f>
        <v>129.5608</v>
      </c>
      <c r="G749" s="14">
        <f>129.8301 * CHOOSE(CONTROL!$C$9, $D$9, 100%, $F$9) + CHOOSE(CONTROL!$C$27, 0.0021, 0)</f>
        <v>129.8322</v>
      </c>
      <c r="H749" s="14">
        <f>129.6954 * CHOOSE(CONTROL!$C$9, $D$9, 100%, $F$9) + CHOOSE(CONTROL!$C$27, 0.0021, 0)</f>
        <v>129.69750000000002</v>
      </c>
      <c r="I749" s="14">
        <f>129.6954 * CHOOSE(CONTROL!$C$9, $D$9, 100%, $F$9) + CHOOSE(CONTROL!$C$27, 0.0021, 0)</f>
        <v>129.69750000000002</v>
      </c>
      <c r="J749" s="14">
        <f>129.6954 * CHOOSE(CONTROL!$C$9, $D$9, 100%, $F$9) + CHOOSE(CONTROL!$C$27, 0.0021, 0)</f>
        <v>129.69750000000002</v>
      </c>
      <c r="K749" s="14">
        <f>129.6954 * CHOOSE(CONTROL!$C$9, $D$9, 100%, $F$9) + CHOOSE(CONTROL!$C$27, 0.0021, 0)</f>
        <v>129.69750000000002</v>
      </c>
      <c r="L749" s="14"/>
    </row>
    <row r="750" spans="1:12" ht="15.75" x14ac:dyDescent="0.25">
      <c r="A750" s="32">
        <v>63766</v>
      </c>
      <c r="B750" s="14">
        <f>129.5298 * CHOOSE(CONTROL!$C$9, $D$9, 100%, $F$9) + CHOOSE(CONTROL!$C$27, 0.0021, 0)</f>
        <v>129.53190000000001</v>
      </c>
      <c r="C750" s="14">
        <f>129.0975 * CHOOSE(CONTROL!$C$9, $D$9, 100%, $F$9) + CHOOSE(CONTROL!$C$27, 0.0021, 0)</f>
        <v>129.09960000000001</v>
      </c>
      <c r="D750" s="14">
        <f>129.0975 * CHOOSE(CONTROL!$C$9, $D$9, 100%, $F$9) + CHOOSE(CONTROL!$C$27, 0.0021, 0)</f>
        <v>129.09960000000001</v>
      </c>
      <c r="E750" s="14">
        <f>128.9609 * CHOOSE(CONTROL!$C$9, $D$9, 100%, $F$9) + CHOOSE(CONTROL!$C$27, 0.0021, 0)</f>
        <v>128.96300000000002</v>
      </c>
      <c r="F750" s="14">
        <f>128.9609 * CHOOSE(CONTROL!$C$9, $D$9, 100%, $F$9) + CHOOSE(CONTROL!$C$27, 0.0021, 0)</f>
        <v>128.96300000000002</v>
      </c>
      <c r="G750" s="14">
        <f>129.2322 * CHOOSE(CONTROL!$C$9, $D$9, 100%, $F$9) + CHOOSE(CONTROL!$C$27, 0.0021, 0)</f>
        <v>129.23430000000002</v>
      </c>
      <c r="H750" s="14">
        <f>129.0975 * CHOOSE(CONTROL!$C$9, $D$9, 100%, $F$9) + CHOOSE(CONTROL!$C$27, 0.0021, 0)</f>
        <v>129.09960000000001</v>
      </c>
      <c r="I750" s="14">
        <f>129.0975 * CHOOSE(CONTROL!$C$9, $D$9, 100%, $F$9) + CHOOSE(CONTROL!$C$27, 0.0021, 0)</f>
        <v>129.09960000000001</v>
      </c>
      <c r="J750" s="14">
        <f>129.0975 * CHOOSE(CONTROL!$C$9, $D$9, 100%, $F$9) + CHOOSE(CONTROL!$C$27, 0.0021, 0)</f>
        <v>129.09960000000001</v>
      </c>
      <c r="K750" s="14">
        <f>129.0975 * CHOOSE(CONTROL!$C$9, $D$9, 100%, $F$9) + CHOOSE(CONTROL!$C$27, 0.0021, 0)</f>
        <v>129.09960000000001</v>
      </c>
      <c r="L750" s="14"/>
    </row>
    <row r="751" spans="1:12" ht="15.75" x14ac:dyDescent="0.25">
      <c r="A751" s="32">
        <v>63797</v>
      </c>
      <c r="B751" s="14">
        <f>126.5677 * CHOOSE(CONTROL!$C$9, $D$9, 100%, $F$9) + CHOOSE(CONTROL!$C$27, 0.0021, 0)</f>
        <v>126.5698</v>
      </c>
      <c r="C751" s="14">
        <f>126.1355 * CHOOSE(CONTROL!$C$9, $D$9, 100%, $F$9) + CHOOSE(CONTROL!$C$27, 0.0021, 0)</f>
        <v>126.13759999999999</v>
      </c>
      <c r="D751" s="14">
        <f>126.1355 * CHOOSE(CONTROL!$C$9, $D$9, 100%, $F$9) + CHOOSE(CONTROL!$C$27, 0.0021, 0)</f>
        <v>126.13759999999999</v>
      </c>
      <c r="E751" s="14">
        <f>125.9988 * CHOOSE(CONTROL!$C$9, $D$9, 100%, $F$9) + CHOOSE(CONTROL!$C$27, 0.0021, 0)</f>
        <v>126.0009</v>
      </c>
      <c r="F751" s="14">
        <f>125.9988 * CHOOSE(CONTROL!$C$9, $D$9, 100%, $F$9) + CHOOSE(CONTROL!$C$27, 0.0021, 0)</f>
        <v>126.0009</v>
      </c>
      <c r="G751" s="14">
        <f>126.2702 * CHOOSE(CONTROL!$C$9, $D$9, 100%, $F$9) + CHOOSE(CONTROL!$C$27, 0.0021, 0)</f>
        <v>126.2723</v>
      </c>
      <c r="H751" s="14">
        <f>126.1355 * CHOOSE(CONTROL!$C$9, $D$9, 100%, $F$9) + CHOOSE(CONTROL!$C$27, 0.0021, 0)</f>
        <v>126.13759999999999</v>
      </c>
      <c r="I751" s="14">
        <f>126.1355 * CHOOSE(CONTROL!$C$9, $D$9, 100%, $F$9) + CHOOSE(CONTROL!$C$27, 0.0021, 0)</f>
        <v>126.13759999999999</v>
      </c>
      <c r="J751" s="14">
        <f>126.1355 * CHOOSE(CONTROL!$C$9, $D$9, 100%, $F$9) + CHOOSE(CONTROL!$C$27, 0.0021, 0)</f>
        <v>126.13759999999999</v>
      </c>
      <c r="K751" s="14">
        <f>126.1355 * CHOOSE(CONTROL!$C$9, $D$9, 100%, $F$9) + CHOOSE(CONTROL!$C$27, 0.0021, 0)</f>
        <v>126.13759999999999</v>
      </c>
      <c r="L751" s="14"/>
    </row>
    <row r="752" spans="1:12" ht="15.75" x14ac:dyDescent="0.25">
      <c r="A752" s="32">
        <v>63827</v>
      </c>
      <c r="B752" s="14">
        <f>122.437 * CHOOSE(CONTROL!$C$9, $D$9, 100%, $F$9) + CHOOSE(CONTROL!$C$27, 0.0021, 0)</f>
        <v>122.4391</v>
      </c>
      <c r="C752" s="14">
        <f>122.0048 * CHOOSE(CONTROL!$C$9, $D$9, 100%, $F$9) + CHOOSE(CONTROL!$C$27, 0.0021, 0)</f>
        <v>122.0069</v>
      </c>
      <c r="D752" s="14">
        <f>122.0048 * CHOOSE(CONTROL!$C$9, $D$9, 100%, $F$9) + CHOOSE(CONTROL!$C$27, 0.0021, 0)</f>
        <v>122.0069</v>
      </c>
      <c r="E752" s="14">
        <f>121.8681 * CHOOSE(CONTROL!$C$9, $D$9, 100%, $F$9) + CHOOSE(CONTROL!$C$27, 0.0021, 0)</f>
        <v>121.8702</v>
      </c>
      <c r="F752" s="14">
        <f>121.8681 * CHOOSE(CONTROL!$C$9, $D$9, 100%, $F$9) + CHOOSE(CONTROL!$C$27, 0.0021, 0)</f>
        <v>121.8702</v>
      </c>
      <c r="G752" s="14">
        <f>122.1395 * CHOOSE(CONTROL!$C$9, $D$9, 100%, $F$9) + CHOOSE(CONTROL!$C$27, 0.0021, 0)</f>
        <v>122.1416</v>
      </c>
      <c r="H752" s="14">
        <f>122.0048 * CHOOSE(CONTROL!$C$9, $D$9, 100%, $F$9) + CHOOSE(CONTROL!$C$27, 0.0021, 0)</f>
        <v>122.0069</v>
      </c>
      <c r="I752" s="14">
        <f>122.0048 * CHOOSE(CONTROL!$C$9, $D$9, 100%, $F$9) + CHOOSE(CONTROL!$C$27, 0.0021, 0)</f>
        <v>122.0069</v>
      </c>
      <c r="J752" s="14">
        <f>122.0048 * CHOOSE(CONTROL!$C$9, $D$9, 100%, $F$9) + CHOOSE(CONTROL!$C$27, 0.0021, 0)</f>
        <v>122.0069</v>
      </c>
      <c r="K752" s="14">
        <f>122.0048 * CHOOSE(CONTROL!$C$9, $D$9, 100%, $F$9) + CHOOSE(CONTROL!$C$27, 0.0021, 0)</f>
        <v>122.0069</v>
      </c>
      <c r="L752" s="14"/>
    </row>
    <row r="753" spans="1:12" ht="15.75" x14ac:dyDescent="0.25">
      <c r="A753" s="32">
        <v>63858</v>
      </c>
      <c r="B753" s="14">
        <f>118.2823 * CHOOSE(CONTROL!$C$9, $D$9, 100%, $F$9) + CHOOSE(CONTROL!$C$27, 0.0021, 0)</f>
        <v>118.28440000000001</v>
      </c>
      <c r="C753" s="14">
        <f>117.8501 * CHOOSE(CONTROL!$C$9, $D$9, 100%, $F$9) + CHOOSE(CONTROL!$C$27, 0.0021, 0)</f>
        <v>117.8522</v>
      </c>
      <c r="D753" s="14">
        <f>117.8501 * CHOOSE(CONTROL!$C$9, $D$9, 100%, $F$9) + CHOOSE(CONTROL!$C$27, 0.0021, 0)</f>
        <v>117.8522</v>
      </c>
      <c r="E753" s="14">
        <f>117.7134 * CHOOSE(CONTROL!$C$9, $D$9, 100%, $F$9) + CHOOSE(CONTROL!$C$27, 0.0021, 0)</f>
        <v>117.71549999999999</v>
      </c>
      <c r="F753" s="14">
        <f>117.7134 * CHOOSE(CONTROL!$C$9, $D$9, 100%, $F$9) + CHOOSE(CONTROL!$C$27, 0.0021, 0)</f>
        <v>117.71549999999999</v>
      </c>
      <c r="G753" s="14">
        <f>117.9848 * CHOOSE(CONTROL!$C$9, $D$9, 100%, $F$9) + CHOOSE(CONTROL!$C$27, 0.0021, 0)</f>
        <v>117.98690000000001</v>
      </c>
      <c r="H753" s="14">
        <f>117.8501 * CHOOSE(CONTROL!$C$9, $D$9, 100%, $F$9) + CHOOSE(CONTROL!$C$27, 0.0021, 0)</f>
        <v>117.8522</v>
      </c>
      <c r="I753" s="14">
        <f>117.8501 * CHOOSE(CONTROL!$C$9, $D$9, 100%, $F$9) + CHOOSE(CONTROL!$C$27, 0.0021, 0)</f>
        <v>117.8522</v>
      </c>
      <c r="J753" s="14">
        <f>117.8501 * CHOOSE(CONTROL!$C$9, $D$9, 100%, $F$9) + CHOOSE(CONTROL!$C$27, 0.0021, 0)</f>
        <v>117.8522</v>
      </c>
      <c r="K753" s="14">
        <f>117.8501 * CHOOSE(CONTROL!$C$9, $D$9, 100%, $F$9) + CHOOSE(CONTROL!$C$27, 0.0021, 0)</f>
        <v>117.8522</v>
      </c>
      <c r="L753" s="14"/>
    </row>
    <row r="754" spans="1:12" ht="15.75" x14ac:dyDescent="0.25">
      <c r="A754" s="32">
        <v>63888</v>
      </c>
      <c r="B754" s="14">
        <f>117.4559 * CHOOSE(CONTROL!$C$9, $D$9, 100%, $F$9) + CHOOSE(CONTROL!$C$27, 0.0021, 0)</f>
        <v>117.458</v>
      </c>
      <c r="C754" s="14">
        <f>117.0236 * CHOOSE(CONTROL!$C$9, $D$9, 100%, $F$9) + CHOOSE(CONTROL!$C$27, 0.0021, 0)</f>
        <v>117.0257</v>
      </c>
      <c r="D754" s="14">
        <f>117.0236 * CHOOSE(CONTROL!$C$9, $D$9, 100%, $F$9) + CHOOSE(CONTROL!$C$27, 0.0021, 0)</f>
        <v>117.0257</v>
      </c>
      <c r="E754" s="14">
        <f>116.887 * CHOOSE(CONTROL!$C$9, $D$9, 100%, $F$9) + CHOOSE(CONTROL!$C$27, 0.0021, 0)</f>
        <v>116.8891</v>
      </c>
      <c r="F754" s="14">
        <f>116.887 * CHOOSE(CONTROL!$C$9, $D$9, 100%, $F$9) + CHOOSE(CONTROL!$C$27, 0.0021, 0)</f>
        <v>116.8891</v>
      </c>
      <c r="G754" s="14">
        <f>117.1583 * CHOOSE(CONTROL!$C$9, $D$9, 100%, $F$9) + CHOOSE(CONTROL!$C$27, 0.0021, 0)</f>
        <v>117.1604</v>
      </c>
      <c r="H754" s="14">
        <f>117.0236 * CHOOSE(CONTROL!$C$9, $D$9, 100%, $F$9) + CHOOSE(CONTROL!$C$27, 0.0021, 0)</f>
        <v>117.0257</v>
      </c>
      <c r="I754" s="14">
        <f>117.0236 * CHOOSE(CONTROL!$C$9, $D$9, 100%, $F$9) + CHOOSE(CONTROL!$C$27, 0.0021, 0)</f>
        <v>117.0257</v>
      </c>
      <c r="J754" s="14">
        <f>117.0236 * CHOOSE(CONTROL!$C$9, $D$9, 100%, $F$9) + CHOOSE(CONTROL!$C$27, 0.0021, 0)</f>
        <v>117.0257</v>
      </c>
      <c r="K754" s="14">
        <f>117.0236 * CHOOSE(CONTROL!$C$9, $D$9, 100%, $F$9) + CHOOSE(CONTROL!$C$27, 0.0021, 0)</f>
        <v>117.0257</v>
      </c>
      <c r="L754" s="14"/>
    </row>
    <row r="755" spans="1:12" ht="15.75" x14ac:dyDescent="0.25">
      <c r="A755" s="32">
        <v>63919</v>
      </c>
      <c r="B755" s="14">
        <f>114.0384 * CHOOSE(CONTROL!$C$9, $D$9, 100%, $F$9) + CHOOSE(CONTROL!$C$27, 0.0021, 0)</f>
        <v>114.04049999999999</v>
      </c>
      <c r="C755" s="14">
        <f>113.6061 * CHOOSE(CONTROL!$C$9, $D$9, 100%, $F$9) + CHOOSE(CONTROL!$C$27, 0.0021, 0)</f>
        <v>113.6082</v>
      </c>
      <c r="D755" s="14">
        <f>113.6061 * CHOOSE(CONTROL!$C$9, $D$9, 100%, $F$9) + CHOOSE(CONTROL!$C$27, 0.0021, 0)</f>
        <v>113.6082</v>
      </c>
      <c r="E755" s="14">
        <f>113.4695 * CHOOSE(CONTROL!$C$9, $D$9, 100%, $F$9) + CHOOSE(CONTROL!$C$27, 0.0021, 0)</f>
        <v>113.4716</v>
      </c>
      <c r="F755" s="14">
        <f>113.4695 * CHOOSE(CONTROL!$C$9, $D$9, 100%, $F$9) + CHOOSE(CONTROL!$C$27, 0.0021, 0)</f>
        <v>113.4716</v>
      </c>
      <c r="G755" s="14">
        <f>113.7408 * CHOOSE(CONTROL!$C$9, $D$9, 100%, $F$9) + CHOOSE(CONTROL!$C$27, 0.0021, 0)</f>
        <v>113.74289999999999</v>
      </c>
      <c r="H755" s="14">
        <f>113.6061 * CHOOSE(CONTROL!$C$9, $D$9, 100%, $F$9) + CHOOSE(CONTROL!$C$27, 0.0021, 0)</f>
        <v>113.6082</v>
      </c>
      <c r="I755" s="14">
        <f>113.6061 * CHOOSE(CONTROL!$C$9, $D$9, 100%, $F$9) + CHOOSE(CONTROL!$C$27, 0.0021, 0)</f>
        <v>113.6082</v>
      </c>
      <c r="J755" s="14">
        <f>113.6061 * CHOOSE(CONTROL!$C$9, $D$9, 100%, $F$9) + CHOOSE(CONTROL!$C$27, 0.0021, 0)</f>
        <v>113.6082</v>
      </c>
      <c r="K755" s="14">
        <f>113.6061 * CHOOSE(CONTROL!$C$9, $D$9, 100%, $F$9) + CHOOSE(CONTROL!$C$27, 0.0021, 0)</f>
        <v>113.6082</v>
      </c>
      <c r="L755" s="14"/>
    </row>
    <row r="756" spans="1:12" ht="15.75" x14ac:dyDescent="0.25">
      <c r="A756" s="32">
        <v>63950</v>
      </c>
      <c r="B756" s="14">
        <f>113.373 * CHOOSE(CONTROL!$C$9, $D$9, 100%, $F$9) + CHOOSE(CONTROL!$C$27, 0.0021, 0)</f>
        <v>113.3751</v>
      </c>
      <c r="C756" s="14">
        <f>112.9408 * CHOOSE(CONTROL!$C$9, $D$9, 100%, $F$9) + CHOOSE(CONTROL!$C$27, 0.0021, 0)</f>
        <v>112.94289999999999</v>
      </c>
      <c r="D756" s="14">
        <f>112.9408 * CHOOSE(CONTROL!$C$9, $D$9, 100%, $F$9) + CHOOSE(CONTROL!$C$27, 0.0021, 0)</f>
        <v>112.94289999999999</v>
      </c>
      <c r="E756" s="14">
        <f>112.8041 * CHOOSE(CONTROL!$C$9, $D$9, 100%, $F$9) + CHOOSE(CONTROL!$C$27, 0.0021, 0)</f>
        <v>112.8062</v>
      </c>
      <c r="F756" s="14">
        <f>112.8041 * CHOOSE(CONTROL!$C$9, $D$9, 100%, $F$9) + CHOOSE(CONTROL!$C$27, 0.0021, 0)</f>
        <v>112.8062</v>
      </c>
      <c r="G756" s="14">
        <f>113.0755 * CHOOSE(CONTROL!$C$9, $D$9, 100%, $F$9) + CHOOSE(CONTROL!$C$27, 0.0021, 0)</f>
        <v>113.0776</v>
      </c>
      <c r="H756" s="14">
        <f>112.9408 * CHOOSE(CONTROL!$C$9, $D$9, 100%, $F$9) + CHOOSE(CONTROL!$C$27, 0.0021, 0)</f>
        <v>112.94289999999999</v>
      </c>
      <c r="I756" s="14">
        <f>112.9408 * CHOOSE(CONTROL!$C$9, $D$9, 100%, $F$9) + CHOOSE(CONTROL!$C$27, 0.0021, 0)</f>
        <v>112.94289999999999</v>
      </c>
      <c r="J756" s="14">
        <f>112.9408 * CHOOSE(CONTROL!$C$9, $D$9, 100%, $F$9) + CHOOSE(CONTROL!$C$27, 0.0021, 0)</f>
        <v>112.94289999999999</v>
      </c>
      <c r="K756" s="14">
        <f>112.9408 * CHOOSE(CONTROL!$C$9, $D$9, 100%, $F$9) + CHOOSE(CONTROL!$C$27, 0.0021, 0)</f>
        <v>112.94289999999999</v>
      </c>
      <c r="L756" s="14"/>
    </row>
    <row r="757" spans="1:12" ht="15.75" x14ac:dyDescent="0.25">
      <c r="A757" s="32">
        <v>63978</v>
      </c>
      <c r="B757" s="14">
        <f>113.0643 * CHOOSE(CONTROL!$C$9, $D$9, 100%, $F$9) + CHOOSE(CONTROL!$C$27, 0.0021, 0)</f>
        <v>113.0664</v>
      </c>
      <c r="C757" s="14">
        <f>112.632 * CHOOSE(CONTROL!$C$9, $D$9, 100%, $F$9) + CHOOSE(CONTROL!$C$27, 0.0021, 0)</f>
        <v>112.6341</v>
      </c>
      <c r="D757" s="14">
        <f>112.632 * CHOOSE(CONTROL!$C$9, $D$9, 100%, $F$9) + CHOOSE(CONTROL!$C$27, 0.0021, 0)</f>
        <v>112.6341</v>
      </c>
      <c r="E757" s="14">
        <f>112.4953 * CHOOSE(CONTROL!$C$9, $D$9, 100%, $F$9) + CHOOSE(CONTROL!$C$27, 0.0021, 0)</f>
        <v>112.4974</v>
      </c>
      <c r="F757" s="14">
        <f>112.4953 * CHOOSE(CONTROL!$C$9, $D$9, 100%, $F$9) + CHOOSE(CONTROL!$C$27, 0.0021, 0)</f>
        <v>112.4974</v>
      </c>
      <c r="G757" s="14">
        <f>112.7667 * CHOOSE(CONTROL!$C$9, $D$9, 100%, $F$9) + CHOOSE(CONTROL!$C$27, 0.0021, 0)</f>
        <v>112.7688</v>
      </c>
      <c r="H757" s="14">
        <f>112.632 * CHOOSE(CONTROL!$C$9, $D$9, 100%, $F$9) + CHOOSE(CONTROL!$C$27, 0.0021, 0)</f>
        <v>112.6341</v>
      </c>
      <c r="I757" s="14">
        <f>112.632 * CHOOSE(CONTROL!$C$9, $D$9, 100%, $F$9) + CHOOSE(CONTROL!$C$27, 0.0021, 0)</f>
        <v>112.6341</v>
      </c>
      <c r="J757" s="14">
        <f>112.632 * CHOOSE(CONTROL!$C$9, $D$9, 100%, $F$9) + CHOOSE(CONTROL!$C$27, 0.0021, 0)</f>
        <v>112.6341</v>
      </c>
      <c r="K757" s="14">
        <f>112.632 * CHOOSE(CONTROL!$C$9, $D$9, 100%, $F$9) + CHOOSE(CONTROL!$C$27, 0.0021, 0)</f>
        <v>112.6341</v>
      </c>
      <c r="L757" s="14"/>
    </row>
    <row r="758" spans="1:12" ht="15.75" x14ac:dyDescent="0.25">
      <c r="A758" s="32">
        <v>64009</v>
      </c>
      <c r="B758" s="14">
        <f>118.9026 * CHOOSE(CONTROL!$C$9, $D$9, 100%, $F$9) + CHOOSE(CONTROL!$C$27, 0.0021, 0)</f>
        <v>118.90470000000001</v>
      </c>
      <c r="C758" s="14">
        <f>118.4703 * CHOOSE(CONTROL!$C$9, $D$9, 100%, $F$9) + CHOOSE(CONTROL!$C$27, 0.0021, 0)</f>
        <v>118.47239999999999</v>
      </c>
      <c r="D758" s="14">
        <f>118.4703 * CHOOSE(CONTROL!$C$9, $D$9, 100%, $F$9) + CHOOSE(CONTROL!$C$27, 0.0021, 0)</f>
        <v>118.47239999999999</v>
      </c>
      <c r="E758" s="14">
        <f>118.3337 * CHOOSE(CONTROL!$C$9, $D$9, 100%, $F$9) + CHOOSE(CONTROL!$C$27, 0.0021, 0)</f>
        <v>118.33579999999999</v>
      </c>
      <c r="F758" s="14">
        <f>118.3337 * CHOOSE(CONTROL!$C$9, $D$9, 100%, $F$9) + CHOOSE(CONTROL!$C$27, 0.0021, 0)</f>
        <v>118.33579999999999</v>
      </c>
      <c r="G758" s="14">
        <f>118.605 * CHOOSE(CONTROL!$C$9, $D$9, 100%, $F$9) + CHOOSE(CONTROL!$C$27, 0.0021, 0)</f>
        <v>118.6071</v>
      </c>
      <c r="H758" s="14">
        <f>118.4703 * CHOOSE(CONTROL!$C$9, $D$9, 100%, $F$9) + CHOOSE(CONTROL!$C$27, 0.0021, 0)</f>
        <v>118.47239999999999</v>
      </c>
      <c r="I758" s="14">
        <f>118.4703 * CHOOSE(CONTROL!$C$9, $D$9, 100%, $F$9) + CHOOSE(CONTROL!$C$27, 0.0021, 0)</f>
        <v>118.47239999999999</v>
      </c>
      <c r="J758" s="14">
        <f>118.4703 * CHOOSE(CONTROL!$C$9, $D$9, 100%, $F$9) + CHOOSE(CONTROL!$C$27, 0.0021, 0)</f>
        <v>118.47239999999999</v>
      </c>
      <c r="K758" s="14">
        <f>118.4703 * CHOOSE(CONTROL!$C$9, $D$9, 100%, $F$9) + CHOOSE(CONTROL!$C$27, 0.0021, 0)</f>
        <v>118.47239999999999</v>
      </c>
      <c r="L758" s="14"/>
    </row>
    <row r="759" spans="1:12" ht="15.75" x14ac:dyDescent="0.25">
      <c r="A759" s="32">
        <v>64039</v>
      </c>
      <c r="B759" s="14">
        <f>126.4735 * CHOOSE(CONTROL!$C$9, $D$9, 100%, $F$9) + CHOOSE(CONTROL!$C$27, 0.0021, 0)</f>
        <v>126.4756</v>
      </c>
      <c r="C759" s="14">
        <f>126.0412 * CHOOSE(CONTROL!$C$9, $D$9, 100%, $F$9) + CHOOSE(CONTROL!$C$27, 0.0021, 0)</f>
        <v>126.0433</v>
      </c>
      <c r="D759" s="14">
        <f>126.0412 * CHOOSE(CONTROL!$C$9, $D$9, 100%, $F$9) + CHOOSE(CONTROL!$C$27, 0.0021, 0)</f>
        <v>126.0433</v>
      </c>
      <c r="E759" s="14">
        <f>125.9046 * CHOOSE(CONTROL!$C$9, $D$9, 100%, $F$9) + CHOOSE(CONTROL!$C$27, 0.0021, 0)</f>
        <v>125.9067</v>
      </c>
      <c r="F759" s="14">
        <f>125.9046 * CHOOSE(CONTROL!$C$9, $D$9, 100%, $F$9) + CHOOSE(CONTROL!$C$27, 0.0021, 0)</f>
        <v>125.9067</v>
      </c>
      <c r="G759" s="14">
        <f>126.1759 * CHOOSE(CONTROL!$C$9, $D$9, 100%, $F$9) + CHOOSE(CONTROL!$C$27, 0.0021, 0)</f>
        <v>126.178</v>
      </c>
      <c r="H759" s="14">
        <f>126.0412 * CHOOSE(CONTROL!$C$9, $D$9, 100%, $F$9) + CHOOSE(CONTROL!$C$27, 0.0021, 0)</f>
        <v>126.0433</v>
      </c>
      <c r="I759" s="14">
        <f>126.0412 * CHOOSE(CONTROL!$C$9, $D$9, 100%, $F$9) + CHOOSE(CONTROL!$C$27, 0.0021, 0)</f>
        <v>126.0433</v>
      </c>
      <c r="J759" s="14">
        <f>126.0412 * CHOOSE(CONTROL!$C$9, $D$9, 100%, $F$9) + CHOOSE(CONTROL!$C$27, 0.0021, 0)</f>
        <v>126.0433</v>
      </c>
      <c r="K759" s="14">
        <f>126.0412 * CHOOSE(CONTROL!$C$9, $D$9, 100%, $F$9) + CHOOSE(CONTROL!$C$27, 0.0021, 0)</f>
        <v>126.0433</v>
      </c>
      <c r="L759" s="14"/>
    </row>
    <row r="760" spans="1:12" ht="15.75" x14ac:dyDescent="0.25">
      <c r="A760" s="32">
        <v>64070</v>
      </c>
      <c r="B760" s="14">
        <f>130.6408 * CHOOSE(CONTROL!$C$9, $D$9, 100%, $F$9) + CHOOSE(CONTROL!$C$27, 0.0021, 0)</f>
        <v>130.64290000000003</v>
      </c>
      <c r="C760" s="14">
        <f>130.2085 * CHOOSE(CONTROL!$C$9, $D$9, 100%, $F$9) + CHOOSE(CONTROL!$C$27, 0.0021, 0)</f>
        <v>130.2106</v>
      </c>
      <c r="D760" s="14">
        <f>130.2085 * CHOOSE(CONTROL!$C$9, $D$9, 100%, $F$9) + CHOOSE(CONTROL!$C$27, 0.0021, 0)</f>
        <v>130.2106</v>
      </c>
      <c r="E760" s="14">
        <f>130.0718 * CHOOSE(CONTROL!$C$9, $D$9, 100%, $F$9) + CHOOSE(CONTROL!$C$27, 0.0021, 0)</f>
        <v>130.07390000000001</v>
      </c>
      <c r="F760" s="14">
        <f>130.0718 * CHOOSE(CONTROL!$C$9, $D$9, 100%, $F$9) + CHOOSE(CONTROL!$C$27, 0.0021, 0)</f>
        <v>130.07390000000001</v>
      </c>
      <c r="G760" s="14">
        <f>130.3432 * CHOOSE(CONTROL!$C$9, $D$9, 100%, $F$9) + CHOOSE(CONTROL!$C$27, 0.0021, 0)</f>
        <v>130.34530000000001</v>
      </c>
      <c r="H760" s="14">
        <f>130.2085 * CHOOSE(CONTROL!$C$9, $D$9, 100%, $F$9) + CHOOSE(CONTROL!$C$27, 0.0021, 0)</f>
        <v>130.2106</v>
      </c>
      <c r="I760" s="14">
        <f>130.2085 * CHOOSE(CONTROL!$C$9, $D$9, 100%, $F$9) + CHOOSE(CONTROL!$C$27, 0.0021, 0)</f>
        <v>130.2106</v>
      </c>
      <c r="J760" s="14">
        <f>130.2085 * CHOOSE(CONTROL!$C$9, $D$9, 100%, $F$9) + CHOOSE(CONTROL!$C$27, 0.0021, 0)</f>
        <v>130.2106</v>
      </c>
      <c r="K760" s="14">
        <f>130.2085 * CHOOSE(CONTROL!$C$9, $D$9, 100%, $F$9) + CHOOSE(CONTROL!$C$27, 0.0021, 0)</f>
        <v>130.2106</v>
      </c>
      <c r="L760" s="14"/>
    </row>
    <row r="761" spans="1:12" ht="15.75" x14ac:dyDescent="0.25">
      <c r="A761" s="32">
        <v>64100</v>
      </c>
      <c r="B761" s="14">
        <f>132.4901 * CHOOSE(CONTROL!$C$9, $D$9, 100%, $F$9) + CHOOSE(CONTROL!$C$27, 0.0021, 0)</f>
        <v>132.49220000000003</v>
      </c>
      <c r="C761" s="14">
        <f>132.0579 * CHOOSE(CONTROL!$C$9, $D$9, 100%, $F$9) + CHOOSE(CONTROL!$C$27, 0.0021, 0)</f>
        <v>132.06</v>
      </c>
      <c r="D761" s="14">
        <f>132.0579 * CHOOSE(CONTROL!$C$9, $D$9, 100%, $F$9) + CHOOSE(CONTROL!$C$27, 0.0021, 0)</f>
        <v>132.06</v>
      </c>
      <c r="E761" s="14">
        <f>131.9212 * CHOOSE(CONTROL!$C$9, $D$9, 100%, $F$9) + CHOOSE(CONTROL!$C$27, 0.0021, 0)</f>
        <v>131.92330000000001</v>
      </c>
      <c r="F761" s="14">
        <f>131.9212 * CHOOSE(CONTROL!$C$9, $D$9, 100%, $F$9) + CHOOSE(CONTROL!$C$27, 0.0021, 0)</f>
        <v>131.92330000000001</v>
      </c>
      <c r="G761" s="14">
        <f>132.1926 * CHOOSE(CONTROL!$C$9, $D$9, 100%, $F$9) + CHOOSE(CONTROL!$C$27, 0.0021, 0)</f>
        <v>132.19470000000001</v>
      </c>
      <c r="H761" s="14">
        <f>132.0579 * CHOOSE(CONTROL!$C$9, $D$9, 100%, $F$9) + CHOOSE(CONTROL!$C$27, 0.0021, 0)</f>
        <v>132.06</v>
      </c>
      <c r="I761" s="14">
        <f>132.0579 * CHOOSE(CONTROL!$C$9, $D$9, 100%, $F$9) + CHOOSE(CONTROL!$C$27, 0.0021, 0)</f>
        <v>132.06</v>
      </c>
      <c r="J761" s="14">
        <f>132.0579 * CHOOSE(CONTROL!$C$9, $D$9, 100%, $F$9) + CHOOSE(CONTROL!$C$27, 0.0021, 0)</f>
        <v>132.06</v>
      </c>
      <c r="K761" s="14">
        <f>132.0579 * CHOOSE(CONTROL!$C$9, $D$9, 100%, $F$9) + CHOOSE(CONTROL!$C$27, 0.0021, 0)</f>
        <v>132.06</v>
      </c>
      <c r="L761" s="14"/>
    </row>
    <row r="762" spans="1:12" ht="15.75" x14ac:dyDescent="0.25">
      <c r="A762" s="32">
        <v>64131</v>
      </c>
      <c r="B762" s="14">
        <f>131.8812 * CHOOSE(CONTROL!$C$9, $D$9, 100%, $F$9) + CHOOSE(CONTROL!$C$27, 0.0021, 0)</f>
        <v>131.88330000000002</v>
      </c>
      <c r="C762" s="14">
        <f>131.449 * CHOOSE(CONTROL!$C$9, $D$9, 100%, $F$9) + CHOOSE(CONTROL!$C$27, 0.0021, 0)</f>
        <v>131.45110000000003</v>
      </c>
      <c r="D762" s="14">
        <f>131.449 * CHOOSE(CONTROL!$C$9, $D$9, 100%, $F$9) + CHOOSE(CONTROL!$C$27, 0.0021, 0)</f>
        <v>131.45110000000003</v>
      </c>
      <c r="E762" s="14">
        <f>131.3123 * CHOOSE(CONTROL!$C$9, $D$9, 100%, $F$9) + CHOOSE(CONTROL!$C$27, 0.0021, 0)</f>
        <v>131.31440000000001</v>
      </c>
      <c r="F762" s="14">
        <f>131.3123 * CHOOSE(CONTROL!$C$9, $D$9, 100%, $F$9) + CHOOSE(CONTROL!$C$27, 0.0021, 0)</f>
        <v>131.31440000000001</v>
      </c>
      <c r="G762" s="14">
        <f>131.5837 * CHOOSE(CONTROL!$C$9, $D$9, 100%, $F$9) + CHOOSE(CONTROL!$C$27, 0.0021, 0)</f>
        <v>131.58580000000001</v>
      </c>
      <c r="H762" s="14">
        <f>131.449 * CHOOSE(CONTROL!$C$9, $D$9, 100%, $F$9) + CHOOSE(CONTROL!$C$27, 0.0021, 0)</f>
        <v>131.45110000000003</v>
      </c>
      <c r="I762" s="14">
        <f>131.449 * CHOOSE(CONTROL!$C$9, $D$9, 100%, $F$9) + CHOOSE(CONTROL!$C$27, 0.0021, 0)</f>
        <v>131.45110000000003</v>
      </c>
      <c r="J762" s="14">
        <f>131.449 * CHOOSE(CONTROL!$C$9, $D$9, 100%, $F$9) + CHOOSE(CONTROL!$C$27, 0.0021, 0)</f>
        <v>131.45110000000003</v>
      </c>
      <c r="K762" s="14">
        <f>131.449 * CHOOSE(CONTROL!$C$9, $D$9, 100%, $F$9) + CHOOSE(CONTROL!$C$27, 0.0021, 0)</f>
        <v>131.45110000000003</v>
      </c>
      <c r="L762" s="14"/>
    </row>
    <row r="763" spans="1:12" ht="15.75" x14ac:dyDescent="0.25">
      <c r="A763" s="32">
        <v>64162</v>
      </c>
      <c r="B763" s="14">
        <f>128.8644 * CHOOSE(CONTROL!$C$9, $D$9, 100%, $F$9) + CHOOSE(CONTROL!$C$27, 0.0021, 0)</f>
        <v>128.8665</v>
      </c>
      <c r="C763" s="14">
        <f>128.4322 * CHOOSE(CONTROL!$C$9, $D$9, 100%, $F$9) + CHOOSE(CONTROL!$C$27, 0.0021, 0)</f>
        <v>128.43430000000001</v>
      </c>
      <c r="D763" s="14">
        <f>128.4322 * CHOOSE(CONTROL!$C$9, $D$9, 100%, $F$9) + CHOOSE(CONTROL!$C$27, 0.0021, 0)</f>
        <v>128.43430000000001</v>
      </c>
      <c r="E763" s="14">
        <f>128.2955 * CHOOSE(CONTROL!$C$9, $D$9, 100%, $F$9) + CHOOSE(CONTROL!$C$27, 0.0021, 0)</f>
        <v>128.29760000000002</v>
      </c>
      <c r="F763" s="14">
        <f>128.2955 * CHOOSE(CONTROL!$C$9, $D$9, 100%, $F$9) + CHOOSE(CONTROL!$C$27, 0.0021, 0)</f>
        <v>128.29760000000002</v>
      </c>
      <c r="G763" s="14">
        <f>128.5669 * CHOOSE(CONTROL!$C$9, $D$9, 100%, $F$9) + CHOOSE(CONTROL!$C$27, 0.0021, 0)</f>
        <v>128.56900000000002</v>
      </c>
      <c r="H763" s="14">
        <f>128.4322 * CHOOSE(CONTROL!$C$9, $D$9, 100%, $F$9) + CHOOSE(CONTROL!$C$27, 0.0021, 0)</f>
        <v>128.43430000000001</v>
      </c>
      <c r="I763" s="14">
        <f>128.4322 * CHOOSE(CONTROL!$C$9, $D$9, 100%, $F$9) + CHOOSE(CONTROL!$C$27, 0.0021, 0)</f>
        <v>128.43430000000001</v>
      </c>
      <c r="J763" s="14">
        <f>128.4322 * CHOOSE(CONTROL!$C$9, $D$9, 100%, $F$9) + CHOOSE(CONTROL!$C$27, 0.0021, 0)</f>
        <v>128.43430000000001</v>
      </c>
      <c r="K763" s="14">
        <f>128.4322 * CHOOSE(CONTROL!$C$9, $D$9, 100%, $F$9) + CHOOSE(CONTROL!$C$27, 0.0021, 0)</f>
        <v>128.43430000000001</v>
      </c>
      <c r="L763" s="14"/>
    </row>
    <row r="764" spans="1:12" ht="15.75" x14ac:dyDescent="0.25">
      <c r="A764" s="32">
        <v>64192</v>
      </c>
      <c r="B764" s="14">
        <f>124.6574 * CHOOSE(CONTROL!$C$9, $D$9, 100%, $F$9) + CHOOSE(CONTROL!$C$27, 0.0021, 0)</f>
        <v>124.65949999999999</v>
      </c>
      <c r="C764" s="14">
        <f>124.2252 * CHOOSE(CONTROL!$C$9, $D$9, 100%, $F$9) + CHOOSE(CONTROL!$C$27, 0.0021, 0)</f>
        <v>124.2273</v>
      </c>
      <c r="D764" s="14">
        <f>124.2252 * CHOOSE(CONTROL!$C$9, $D$9, 100%, $F$9) + CHOOSE(CONTROL!$C$27, 0.0021, 0)</f>
        <v>124.2273</v>
      </c>
      <c r="E764" s="14">
        <f>124.0885 * CHOOSE(CONTROL!$C$9, $D$9, 100%, $F$9) + CHOOSE(CONTROL!$C$27, 0.0021, 0)</f>
        <v>124.09059999999999</v>
      </c>
      <c r="F764" s="14">
        <f>124.0885 * CHOOSE(CONTROL!$C$9, $D$9, 100%, $F$9) + CHOOSE(CONTROL!$C$27, 0.0021, 0)</f>
        <v>124.09059999999999</v>
      </c>
      <c r="G764" s="14">
        <f>124.3599 * CHOOSE(CONTROL!$C$9, $D$9, 100%, $F$9) + CHOOSE(CONTROL!$C$27, 0.0021, 0)</f>
        <v>124.36199999999999</v>
      </c>
      <c r="H764" s="14">
        <f>124.2252 * CHOOSE(CONTROL!$C$9, $D$9, 100%, $F$9) + CHOOSE(CONTROL!$C$27, 0.0021, 0)</f>
        <v>124.2273</v>
      </c>
      <c r="I764" s="14">
        <f>124.2252 * CHOOSE(CONTROL!$C$9, $D$9, 100%, $F$9) + CHOOSE(CONTROL!$C$27, 0.0021, 0)</f>
        <v>124.2273</v>
      </c>
      <c r="J764" s="14">
        <f>124.2252 * CHOOSE(CONTROL!$C$9, $D$9, 100%, $F$9) + CHOOSE(CONTROL!$C$27, 0.0021, 0)</f>
        <v>124.2273</v>
      </c>
      <c r="K764" s="14">
        <f>124.2252 * CHOOSE(CONTROL!$C$9, $D$9, 100%, $F$9) + CHOOSE(CONTROL!$C$27, 0.0021, 0)</f>
        <v>124.2273</v>
      </c>
      <c r="L764" s="14"/>
    </row>
    <row r="765" spans="1:12" ht="15.75" x14ac:dyDescent="0.25">
      <c r="A765" s="32">
        <v>64223</v>
      </c>
      <c r="B765" s="14">
        <f>120.4259 * CHOOSE(CONTROL!$C$9, $D$9, 100%, $F$9) + CHOOSE(CONTROL!$C$27, 0.0021, 0)</f>
        <v>120.428</v>
      </c>
      <c r="C765" s="14">
        <f>119.9936 * CHOOSE(CONTROL!$C$9, $D$9, 100%, $F$9) + CHOOSE(CONTROL!$C$27, 0.0021, 0)</f>
        <v>119.9957</v>
      </c>
      <c r="D765" s="14">
        <f>119.9936 * CHOOSE(CONTROL!$C$9, $D$9, 100%, $F$9) + CHOOSE(CONTROL!$C$27, 0.0021, 0)</f>
        <v>119.9957</v>
      </c>
      <c r="E765" s="14">
        <f>119.857 * CHOOSE(CONTROL!$C$9, $D$9, 100%, $F$9) + CHOOSE(CONTROL!$C$27, 0.0021, 0)</f>
        <v>119.8591</v>
      </c>
      <c r="F765" s="14">
        <f>119.857 * CHOOSE(CONTROL!$C$9, $D$9, 100%, $F$9) + CHOOSE(CONTROL!$C$27, 0.0021, 0)</f>
        <v>119.8591</v>
      </c>
      <c r="G765" s="14">
        <f>120.1284 * CHOOSE(CONTROL!$C$9, $D$9, 100%, $F$9) + CHOOSE(CONTROL!$C$27, 0.0021, 0)</f>
        <v>120.1305</v>
      </c>
      <c r="H765" s="14">
        <f>119.9936 * CHOOSE(CONTROL!$C$9, $D$9, 100%, $F$9) + CHOOSE(CONTROL!$C$27, 0.0021, 0)</f>
        <v>119.9957</v>
      </c>
      <c r="I765" s="14">
        <f>119.9936 * CHOOSE(CONTROL!$C$9, $D$9, 100%, $F$9) + CHOOSE(CONTROL!$C$27, 0.0021, 0)</f>
        <v>119.9957</v>
      </c>
      <c r="J765" s="14">
        <f>119.9936 * CHOOSE(CONTROL!$C$9, $D$9, 100%, $F$9) + CHOOSE(CONTROL!$C$27, 0.0021, 0)</f>
        <v>119.9957</v>
      </c>
      <c r="K765" s="14">
        <f>119.9936 * CHOOSE(CONTROL!$C$9, $D$9, 100%, $F$9) + CHOOSE(CONTROL!$C$27, 0.0021, 0)</f>
        <v>119.9957</v>
      </c>
      <c r="L765" s="14"/>
    </row>
    <row r="766" spans="1:12" ht="15.75" x14ac:dyDescent="0.25">
      <c r="A766" s="32">
        <v>64253</v>
      </c>
      <c r="B766" s="14">
        <f>119.5842 * CHOOSE(CONTROL!$C$9, $D$9, 100%, $F$9) + CHOOSE(CONTROL!$C$27, 0.0021, 0)</f>
        <v>119.58629999999999</v>
      </c>
      <c r="C766" s="14">
        <f>119.1519 * CHOOSE(CONTROL!$C$9, $D$9, 100%, $F$9) + CHOOSE(CONTROL!$C$27, 0.0021, 0)</f>
        <v>119.154</v>
      </c>
      <c r="D766" s="14">
        <f>119.1519 * CHOOSE(CONTROL!$C$9, $D$9, 100%, $F$9) + CHOOSE(CONTROL!$C$27, 0.0021, 0)</f>
        <v>119.154</v>
      </c>
      <c r="E766" s="14">
        <f>119.0153 * CHOOSE(CONTROL!$C$9, $D$9, 100%, $F$9) + CHOOSE(CONTROL!$C$27, 0.0021, 0)</f>
        <v>119.01739999999999</v>
      </c>
      <c r="F766" s="14">
        <f>119.0153 * CHOOSE(CONTROL!$C$9, $D$9, 100%, $F$9) + CHOOSE(CONTROL!$C$27, 0.0021, 0)</f>
        <v>119.01739999999999</v>
      </c>
      <c r="G766" s="14">
        <f>119.2866 * CHOOSE(CONTROL!$C$9, $D$9, 100%, $F$9) + CHOOSE(CONTROL!$C$27, 0.0021, 0)</f>
        <v>119.28870000000001</v>
      </c>
      <c r="H766" s="14">
        <f>119.1519 * CHOOSE(CONTROL!$C$9, $D$9, 100%, $F$9) + CHOOSE(CONTROL!$C$27, 0.0021, 0)</f>
        <v>119.154</v>
      </c>
      <c r="I766" s="14">
        <f>119.1519 * CHOOSE(CONTROL!$C$9, $D$9, 100%, $F$9) + CHOOSE(CONTROL!$C$27, 0.0021, 0)</f>
        <v>119.154</v>
      </c>
      <c r="J766" s="14">
        <f>119.1519 * CHOOSE(CONTROL!$C$9, $D$9, 100%, $F$9) + CHOOSE(CONTROL!$C$27, 0.0021, 0)</f>
        <v>119.154</v>
      </c>
      <c r="K766" s="14">
        <f>119.1519 * CHOOSE(CONTROL!$C$9, $D$9, 100%, $F$9) + CHOOSE(CONTROL!$C$27, 0.0021, 0)</f>
        <v>119.154</v>
      </c>
      <c r="L766" s="14"/>
    </row>
    <row r="767" spans="1:12" ht="15.75" x14ac:dyDescent="0.25">
      <c r="A767" s="32">
        <v>64284</v>
      </c>
      <c r="B767" s="14">
        <f>116.1035 * CHOOSE(CONTROL!$C$9, $D$9, 100%, $F$9) + CHOOSE(CONTROL!$C$27, 0.0021, 0)</f>
        <v>116.1056</v>
      </c>
      <c r="C767" s="14">
        <f>115.6713 * CHOOSE(CONTROL!$C$9, $D$9, 100%, $F$9) + CHOOSE(CONTROL!$C$27, 0.0021, 0)</f>
        <v>115.6734</v>
      </c>
      <c r="D767" s="14">
        <f>115.6713 * CHOOSE(CONTROL!$C$9, $D$9, 100%, $F$9) + CHOOSE(CONTROL!$C$27, 0.0021, 0)</f>
        <v>115.6734</v>
      </c>
      <c r="E767" s="14">
        <f>115.5346 * CHOOSE(CONTROL!$C$9, $D$9, 100%, $F$9) + CHOOSE(CONTROL!$C$27, 0.0021, 0)</f>
        <v>115.5367</v>
      </c>
      <c r="F767" s="14">
        <f>115.5346 * CHOOSE(CONTROL!$C$9, $D$9, 100%, $F$9) + CHOOSE(CONTROL!$C$27, 0.0021, 0)</f>
        <v>115.5367</v>
      </c>
      <c r="G767" s="14">
        <f>115.806 * CHOOSE(CONTROL!$C$9, $D$9, 100%, $F$9) + CHOOSE(CONTROL!$C$27, 0.0021, 0)</f>
        <v>115.8081</v>
      </c>
      <c r="H767" s="14">
        <f>115.6713 * CHOOSE(CONTROL!$C$9, $D$9, 100%, $F$9) + CHOOSE(CONTROL!$C$27, 0.0021, 0)</f>
        <v>115.6734</v>
      </c>
      <c r="I767" s="14">
        <f>115.6713 * CHOOSE(CONTROL!$C$9, $D$9, 100%, $F$9) + CHOOSE(CONTROL!$C$27, 0.0021, 0)</f>
        <v>115.6734</v>
      </c>
      <c r="J767" s="14">
        <f>115.6713 * CHOOSE(CONTROL!$C$9, $D$9, 100%, $F$9) + CHOOSE(CONTROL!$C$27, 0.0021, 0)</f>
        <v>115.6734</v>
      </c>
      <c r="K767" s="14">
        <f>115.6713 * CHOOSE(CONTROL!$C$9, $D$9, 100%, $F$9) + CHOOSE(CONTROL!$C$27, 0.0021, 0)</f>
        <v>115.6734</v>
      </c>
      <c r="L767" s="14"/>
    </row>
    <row r="768" spans="1:12" ht="15.75" x14ac:dyDescent="0.25">
      <c r="A768" s="32">
        <v>64315</v>
      </c>
      <c r="B768" s="14">
        <f>115.4259 * CHOOSE(CONTROL!$C$9, $D$9, 100%, $F$9) + CHOOSE(CONTROL!$C$27, 0.0021, 0)</f>
        <v>115.428</v>
      </c>
      <c r="C768" s="14">
        <f>114.9936 * CHOOSE(CONTROL!$C$9, $D$9, 100%, $F$9) + CHOOSE(CONTROL!$C$27, 0.0021, 0)</f>
        <v>114.9957</v>
      </c>
      <c r="D768" s="14">
        <f>114.9936 * CHOOSE(CONTROL!$C$9, $D$9, 100%, $F$9) + CHOOSE(CONTROL!$C$27, 0.0021, 0)</f>
        <v>114.9957</v>
      </c>
      <c r="E768" s="14">
        <f>114.857 * CHOOSE(CONTROL!$C$9, $D$9, 100%, $F$9) + CHOOSE(CONTROL!$C$27, 0.0021, 0)</f>
        <v>114.8591</v>
      </c>
      <c r="F768" s="14">
        <f>114.857 * CHOOSE(CONTROL!$C$9, $D$9, 100%, $F$9) + CHOOSE(CONTROL!$C$27, 0.0021, 0)</f>
        <v>114.8591</v>
      </c>
      <c r="G768" s="14">
        <f>115.1283 * CHOOSE(CONTROL!$C$9, $D$9, 100%, $F$9) + CHOOSE(CONTROL!$C$27, 0.0021, 0)</f>
        <v>115.13039999999999</v>
      </c>
      <c r="H768" s="14">
        <f>114.9936 * CHOOSE(CONTROL!$C$9, $D$9, 100%, $F$9) + CHOOSE(CONTROL!$C$27, 0.0021, 0)</f>
        <v>114.9957</v>
      </c>
      <c r="I768" s="14">
        <f>114.9936 * CHOOSE(CONTROL!$C$9, $D$9, 100%, $F$9) + CHOOSE(CONTROL!$C$27, 0.0021, 0)</f>
        <v>114.9957</v>
      </c>
      <c r="J768" s="14">
        <f>114.9936 * CHOOSE(CONTROL!$C$9, $D$9, 100%, $F$9) + CHOOSE(CONTROL!$C$27, 0.0021, 0)</f>
        <v>114.9957</v>
      </c>
      <c r="K768" s="14">
        <f>114.9936 * CHOOSE(CONTROL!$C$9, $D$9, 100%, $F$9) + CHOOSE(CONTROL!$C$27, 0.0021, 0)</f>
        <v>114.9957</v>
      </c>
      <c r="L768" s="14"/>
    </row>
    <row r="769" spans="1:12" ht="15.75" x14ac:dyDescent="0.25">
      <c r="A769" s="32">
        <v>64344</v>
      </c>
      <c r="B769" s="14">
        <f>115.1114 * CHOOSE(CONTROL!$C$9, $D$9, 100%, $F$9) + CHOOSE(CONTROL!$C$27, 0.0021, 0)</f>
        <v>115.1135</v>
      </c>
      <c r="C769" s="14">
        <f>114.6792 * CHOOSE(CONTROL!$C$9, $D$9, 100%, $F$9) + CHOOSE(CONTROL!$C$27, 0.0021, 0)</f>
        <v>114.68129999999999</v>
      </c>
      <c r="D769" s="14">
        <f>114.6792 * CHOOSE(CONTROL!$C$9, $D$9, 100%, $F$9) + CHOOSE(CONTROL!$C$27, 0.0021, 0)</f>
        <v>114.68129999999999</v>
      </c>
      <c r="E769" s="14">
        <f>114.5425 * CHOOSE(CONTROL!$C$9, $D$9, 100%, $F$9) + CHOOSE(CONTROL!$C$27, 0.0021, 0)</f>
        <v>114.5446</v>
      </c>
      <c r="F769" s="14">
        <f>114.5425 * CHOOSE(CONTROL!$C$9, $D$9, 100%, $F$9) + CHOOSE(CONTROL!$C$27, 0.0021, 0)</f>
        <v>114.5446</v>
      </c>
      <c r="G769" s="14">
        <f>114.8139 * CHOOSE(CONTROL!$C$9, $D$9, 100%, $F$9) + CHOOSE(CONTROL!$C$27, 0.0021, 0)</f>
        <v>114.816</v>
      </c>
      <c r="H769" s="14">
        <f>114.6792 * CHOOSE(CONTROL!$C$9, $D$9, 100%, $F$9) + CHOOSE(CONTROL!$C$27, 0.0021, 0)</f>
        <v>114.68129999999999</v>
      </c>
      <c r="I769" s="14">
        <f>114.6792 * CHOOSE(CONTROL!$C$9, $D$9, 100%, $F$9) + CHOOSE(CONTROL!$C$27, 0.0021, 0)</f>
        <v>114.68129999999999</v>
      </c>
      <c r="J769" s="14">
        <f>114.6792 * CHOOSE(CONTROL!$C$9, $D$9, 100%, $F$9) + CHOOSE(CONTROL!$C$27, 0.0021, 0)</f>
        <v>114.68129999999999</v>
      </c>
      <c r="K769" s="14">
        <f>114.6792 * CHOOSE(CONTROL!$C$9, $D$9, 100%, $F$9) + CHOOSE(CONTROL!$C$27, 0.0021, 0)</f>
        <v>114.68129999999999</v>
      </c>
      <c r="L769" s="14"/>
    </row>
    <row r="770" spans="1:12" ht="15.75" x14ac:dyDescent="0.25">
      <c r="A770" s="32">
        <v>64375</v>
      </c>
      <c r="B770" s="14">
        <f>121.0576 * CHOOSE(CONTROL!$C$9, $D$9, 100%, $F$9) + CHOOSE(CONTROL!$C$27, 0.0021, 0)</f>
        <v>121.05969999999999</v>
      </c>
      <c r="C770" s="14">
        <f>120.6254 * CHOOSE(CONTROL!$C$9, $D$9, 100%, $F$9) + CHOOSE(CONTROL!$C$27, 0.0021, 0)</f>
        <v>120.6275</v>
      </c>
      <c r="D770" s="14">
        <f>120.6254 * CHOOSE(CONTROL!$C$9, $D$9, 100%, $F$9) + CHOOSE(CONTROL!$C$27, 0.0021, 0)</f>
        <v>120.6275</v>
      </c>
      <c r="E770" s="14">
        <f>120.4887 * CHOOSE(CONTROL!$C$9, $D$9, 100%, $F$9) + CHOOSE(CONTROL!$C$27, 0.0021, 0)</f>
        <v>120.49079999999999</v>
      </c>
      <c r="F770" s="14">
        <f>120.4887 * CHOOSE(CONTROL!$C$9, $D$9, 100%, $F$9) + CHOOSE(CONTROL!$C$27, 0.0021, 0)</f>
        <v>120.49079999999999</v>
      </c>
      <c r="G770" s="14">
        <f>120.7601 * CHOOSE(CONTROL!$C$9, $D$9, 100%, $F$9) + CHOOSE(CONTROL!$C$27, 0.0021, 0)</f>
        <v>120.76219999999999</v>
      </c>
      <c r="H770" s="14">
        <f>120.6254 * CHOOSE(CONTROL!$C$9, $D$9, 100%, $F$9) + CHOOSE(CONTROL!$C$27, 0.0021, 0)</f>
        <v>120.6275</v>
      </c>
      <c r="I770" s="14">
        <f>120.6254 * CHOOSE(CONTROL!$C$9, $D$9, 100%, $F$9) + CHOOSE(CONTROL!$C$27, 0.0021, 0)</f>
        <v>120.6275</v>
      </c>
      <c r="J770" s="14">
        <f>120.6254 * CHOOSE(CONTROL!$C$9, $D$9, 100%, $F$9) + CHOOSE(CONTROL!$C$27, 0.0021, 0)</f>
        <v>120.6275</v>
      </c>
      <c r="K770" s="14">
        <f>120.6254 * CHOOSE(CONTROL!$C$9, $D$9, 100%, $F$9) + CHOOSE(CONTROL!$C$27, 0.0021, 0)</f>
        <v>120.6275</v>
      </c>
      <c r="L770" s="14"/>
    </row>
    <row r="771" spans="1:12" ht="15.75" x14ac:dyDescent="0.25">
      <c r="A771" s="32">
        <v>64405</v>
      </c>
      <c r="B771" s="14">
        <f>128.7684 * CHOOSE(CONTROL!$C$9, $D$9, 100%, $F$9) + CHOOSE(CONTROL!$C$27, 0.0021, 0)</f>
        <v>128.77050000000003</v>
      </c>
      <c r="C771" s="14">
        <f>128.3362 * CHOOSE(CONTROL!$C$9, $D$9, 100%, $F$9) + CHOOSE(CONTROL!$C$27, 0.0021, 0)</f>
        <v>128.3383</v>
      </c>
      <c r="D771" s="14">
        <f>128.3362 * CHOOSE(CONTROL!$C$9, $D$9, 100%, $F$9) + CHOOSE(CONTROL!$C$27, 0.0021, 0)</f>
        <v>128.3383</v>
      </c>
      <c r="E771" s="14">
        <f>128.1995 * CHOOSE(CONTROL!$C$9, $D$9, 100%, $F$9) + CHOOSE(CONTROL!$C$27, 0.0021, 0)</f>
        <v>128.20160000000001</v>
      </c>
      <c r="F771" s="14">
        <f>128.1995 * CHOOSE(CONTROL!$C$9, $D$9, 100%, $F$9) + CHOOSE(CONTROL!$C$27, 0.0021, 0)</f>
        <v>128.20160000000001</v>
      </c>
      <c r="G771" s="14">
        <f>128.4709 * CHOOSE(CONTROL!$C$9, $D$9, 100%, $F$9) + CHOOSE(CONTROL!$C$27, 0.0021, 0)</f>
        <v>128.47300000000001</v>
      </c>
      <c r="H771" s="14">
        <f>128.3362 * CHOOSE(CONTROL!$C$9, $D$9, 100%, $F$9) + CHOOSE(CONTROL!$C$27, 0.0021, 0)</f>
        <v>128.3383</v>
      </c>
      <c r="I771" s="14">
        <f>128.3362 * CHOOSE(CONTROL!$C$9, $D$9, 100%, $F$9) + CHOOSE(CONTROL!$C$27, 0.0021, 0)</f>
        <v>128.3383</v>
      </c>
      <c r="J771" s="14">
        <f>128.3362 * CHOOSE(CONTROL!$C$9, $D$9, 100%, $F$9) + CHOOSE(CONTROL!$C$27, 0.0021, 0)</f>
        <v>128.3383</v>
      </c>
      <c r="K771" s="14">
        <f>128.3362 * CHOOSE(CONTROL!$C$9, $D$9, 100%, $F$9) + CHOOSE(CONTROL!$C$27, 0.0021, 0)</f>
        <v>128.3383</v>
      </c>
      <c r="L771" s="14"/>
    </row>
    <row r="772" spans="1:12" ht="15.75" x14ac:dyDescent="0.25">
      <c r="A772" s="32">
        <v>64436</v>
      </c>
      <c r="B772" s="14">
        <f>133.0127 * CHOOSE(CONTROL!$C$9, $D$9, 100%, $F$9) + CHOOSE(CONTROL!$C$27, 0.0021, 0)</f>
        <v>133.01480000000001</v>
      </c>
      <c r="C772" s="14">
        <f>132.5805 * CHOOSE(CONTROL!$C$9, $D$9, 100%, $F$9) + CHOOSE(CONTROL!$C$27, 0.0021, 0)</f>
        <v>132.58260000000001</v>
      </c>
      <c r="D772" s="14">
        <f>132.5805 * CHOOSE(CONTROL!$C$9, $D$9, 100%, $F$9) + CHOOSE(CONTROL!$C$27, 0.0021, 0)</f>
        <v>132.58260000000001</v>
      </c>
      <c r="E772" s="14">
        <f>132.4438 * CHOOSE(CONTROL!$C$9, $D$9, 100%, $F$9) + CHOOSE(CONTROL!$C$27, 0.0021, 0)</f>
        <v>132.44590000000002</v>
      </c>
      <c r="F772" s="14">
        <f>132.4438 * CHOOSE(CONTROL!$C$9, $D$9, 100%, $F$9) + CHOOSE(CONTROL!$C$27, 0.0021, 0)</f>
        <v>132.44590000000002</v>
      </c>
      <c r="G772" s="14">
        <f>132.7152 * CHOOSE(CONTROL!$C$9, $D$9, 100%, $F$9) + CHOOSE(CONTROL!$C$27, 0.0021, 0)</f>
        <v>132.71730000000002</v>
      </c>
      <c r="H772" s="14">
        <f>132.5805 * CHOOSE(CONTROL!$C$9, $D$9, 100%, $F$9) + CHOOSE(CONTROL!$C$27, 0.0021, 0)</f>
        <v>132.58260000000001</v>
      </c>
      <c r="I772" s="14">
        <f>132.5805 * CHOOSE(CONTROL!$C$9, $D$9, 100%, $F$9) + CHOOSE(CONTROL!$C$27, 0.0021, 0)</f>
        <v>132.58260000000001</v>
      </c>
      <c r="J772" s="14">
        <f>132.5805 * CHOOSE(CONTROL!$C$9, $D$9, 100%, $F$9) + CHOOSE(CONTROL!$C$27, 0.0021, 0)</f>
        <v>132.58260000000001</v>
      </c>
      <c r="K772" s="14">
        <f>132.5805 * CHOOSE(CONTROL!$C$9, $D$9, 100%, $F$9) + CHOOSE(CONTROL!$C$27, 0.0021, 0)</f>
        <v>132.58260000000001</v>
      </c>
      <c r="L772" s="14"/>
    </row>
    <row r="773" spans="1:12" ht="15.75" x14ac:dyDescent="0.25">
      <c r="A773" s="32">
        <v>64466</v>
      </c>
      <c r="B773" s="14">
        <f>134.8963 * CHOOSE(CONTROL!$C$9, $D$9, 100%, $F$9) + CHOOSE(CONTROL!$C$27, 0.0021, 0)</f>
        <v>134.89840000000001</v>
      </c>
      <c r="C773" s="14">
        <f>134.464 * CHOOSE(CONTROL!$C$9, $D$9, 100%, $F$9) + CHOOSE(CONTROL!$C$27, 0.0021, 0)</f>
        <v>134.46610000000001</v>
      </c>
      <c r="D773" s="14">
        <f>134.464 * CHOOSE(CONTROL!$C$9, $D$9, 100%, $F$9) + CHOOSE(CONTROL!$C$27, 0.0021, 0)</f>
        <v>134.46610000000001</v>
      </c>
      <c r="E773" s="14">
        <f>134.3274 * CHOOSE(CONTROL!$C$9, $D$9, 100%, $F$9) + CHOOSE(CONTROL!$C$27, 0.0021, 0)</f>
        <v>134.32950000000002</v>
      </c>
      <c r="F773" s="14">
        <f>134.3274 * CHOOSE(CONTROL!$C$9, $D$9, 100%, $F$9) + CHOOSE(CONTROL!$C$27, 0.0021, 0)</f>
        <v>134.32950000000002</v>
      </c>
      <c r="G773" s="14">
        <f>134.5987 * CHOOSE(CONTROL!$C$9, $D$9, 100%, $F$9) + CHOOSE(CONTROL!$C$27, 0.0021, 0)</f>
        <v>134.60080000000002</v>
      </c>
      <c r="H773" s="14">
        <f>134.464 * CHOOSE(CONTROL!$C$9, $D$9, 100%, $F$9) + CHOOSE(CONTROL!$C$27, 0.0021, 0)</f>
        <v>134.46610000000001</v>
      </c>
      <c r="I773" s="14">
        <f>134.464 * CHOOSE(CONTROL!$C$9, $D$9, 100%, $F$9) + CHOOSE(CONTROL!$C$27, 0.0021, 0)</f>
        <v>134.46610000000001</v>
      </c>
      <c r="J773" s="14">
        <f>134.464 * CHOOSE(CONTROL!$C$9, $D$9, 100%, $F$9) + CHOOSE(CONTROL!$C$27, 0.0021, 0)</f>
        <v>134.46610000000001</v>
      </c>
      <c r="K773" s="14">
        <f>134.464 * CHOOSE(CONTROL!$C$9, $D$9, 100%, $F$9) + CHOOSE(CONTROL!$C$27, 0.0021, 0)</f>
        <v>134.46610000000001</v>
      </c>
      <c r="L773" s="14"/>
    </row>
    <row r="774" spans="1:12" ht="15.75" x14ac:dyDescent="0.25">
      <c r="A774" s="32">
        <v>64497</v>
      </c>
      <c r="B774" s="14">
        <f>134.2761 * CHOOSE(CONTROL!$C$9, $D$9, 100%, $F$9) + CHOOSE(CONTROL!$C$27, 0.0021, 0)</f>
        <v>134.27820000000003</v>
      </c>
      <c r="C774" s="14">
        <f>133.8439 * CHOOSE(CONTROL!$C$9, $D$9, 100%, $F$9) + CHOOSE(CONTROL!$C$27, 0.0021, 0)</f>
        <v>133.846</v>
      </c>
      <c r="D774" s="14">
        <f>133.8439 * CHOOSE(CONTROL!$C$9, $D$9, 100%, $F$9) + CHOOSE(CONTROL!$C$27, 0.0021, 0)</f>
        <v>133.846</v>
      </c>
      <c r="E774" s="14">
        <f>133.7072 * CHOOSE(CONTROL!$C$9, $D$9, 100%, $F$9) + CHOOSE(CONTROL!$C$27, 0.0021, 0)</f>
        <v>133.70930000000001</v>
      </c>
      <c r="F774" s="14">
        <f>133.7072 * CHOOSE(CONTROL!$C$9, $D$9, 100%, $F$9) + CHOOSE(CONTROL!$C$27, 0.0021, 0)</f>
        <v>133.70930000000001</v>
      </c>
      <c r="G774" s="14">
        <f>133.9786 * CHOOSE(CONTROL!$C$9, $D$9, 100%, $F$9) + CHOOSE(CONTROL!$C$27, 0.0021, 0)</f>
        <v>133.98070000000001</v>
      </c>
      <c r="H774" s="14">
        <f>133.8439 * CHOOSE(CONTROL!$C$9, $D$9, 100%, $F$9) + CHOOSE(CONTROL!$C$27, 0.0021, 0)</f>
        <v>133.846</v>
      </c>
      <c r="I774" s="14">
        <f>133.8439 * CHOOSE(CONTROL!$C$9, $D$9, 100%, $F$9) + CHOOSE(CONTROL!$C$27, 0.0021, 0)</f>
        <v>133.846</v>
      </c>
      <c r="J774" s="14">
        <f>133.8439 * CHOOSE(CONTROL!$C$9, $D$9, 100%, $F$9) + CHOOSE(CONTROL!$C$27, 0.0021, 0)</f>
        <v>133.846</v>
      </c>
      <c r="K774" s="14">
        <f>133.8439 * CHOOSE(CONTROL!$C$9, $D$9, 100%, $F$9) + CHOOSE(CONTROL!$C$27, 0.0021, 0)</f>
        <v>133.846</v>
      </c>
      <c r="L774" s="14"/>
    </row>
    <row r="775" spans="1:12" ht="15.75" x14ac:dyDescent="0.25">
      <c r="A775" s="32">
        <v>64528</v>
      </c>
      <c r="B775" s="14">
        <f>131.2036 * CHOOSE(CONTROL!$C$9, $D$9, 100%, $F$9) + CHOOSE(CONTROL!$C$27, 0.0021, 0)</f>
        <v>131.20570000000001</v>
      </c>
      <c r="C775" s="14">
        <f>130.7713 * CHOOSE(CONTROL!$C$9, $D$9, 100%, $F$9) + CHOOSE(CONTROL!$C$27, 0.0021, 0)</f>
        <v>130.77340000000001</v>
      </c>
      <c r="D775" s="14">
        <f>130.7713 * CHOOSE(CONTROL!$C$9, $D$9, 100%, $F$9) + CHOOSE(CONTROL!$C$27, 0.0021, 0)</f>
        <v>130.77340000000001</v>
      </c>
      <c r="E775" s="14">
        <f>130.6347 * CHOOSE(CONTROL!$C$9, $D$9, 100%, $F$9) + CHOOSE(CONTROL!$C$27, 0.0021, 0)</f>
        <v>130.63680000000002</v>
      </c>
      <c r="F775" s="14">
        <f>130.6347 * CHOOSE(CONTROL!$C$9, $D$9, 100%, $F$9) + CHOOSE(CONTROL!$C$27, 0.0021, 0)</f>
        <v>130.63680000000002</v>
      </c>
      <c r="G775" s="14">
        <f>130.9061 * CHOOSE(CONTROL!$C$9, $D$9, 100%, $F$9) + CHOOSE(CONTROL!$C$27, 0.0021, 0)</f>
        <v>130.90820000000002</v>
      </c>
      <c r="H775" s="14">
        <f>130.7713 * CHOOSE(CONTROL!$C$9, $D$9, 100%, $F$9) + CHOOSE(CONTROL!$C$27, 0.0021, 0)</f>
        <v>130.77340000000001</v>
      </c>
      <c r="I775" s="14">
        <f>130.7713 * CHOOSE(CONTROL!$C$9, $D$9, 100%, $F$9) + CHOOSE(CONTROL!$C$27, 0.0021, 0)</f>
        <v>130.77340000000001</v>
      </c>
      <c r="J775" s="14">
        <f>130.7713 * CHOOSE(CONTROL!$C$9, $D$9, 100%, $F$9) + CHOOSE(CONTROL!$C$27, 0.0021, 0)</f>
        <v>130.77340000000001</v>
      </c>
      <c r="K775" s="14">
        <f>130.7713 * CHOOSE(CONTROL!$C$9, $D$9, 100%, $F$9) + CHOOSE(CONTROL!$C$27, 0.0021, 0)</f>
        <v>130.77340000000001</v>
      </c>
      <c r="L775" s="14"/>
    </row>
    <row r="776" spans="1:12" ht="15.75" x14ac:dyDescent="0.25">
      <c r="A776" s="32">
        <v>64558</v>
      </c>
      <c r="B776" s="14">
        <f>126.9188 * CHOOSE(CONTROL!$C$9, $D$9, 100%, $F$9) + CHOOSE(CONTROL!$C$27, 0.0021, 0)</f>
        <v>126.9209</v>
      </c>
      <c r="C776" s="14">
        <f>126.4866 * CHOOSE(CONTROL!$C$9, $D$9, 100%, $F$9) + CHOOSE(CONTROL!$C$27, 0.0021, 0)</f>
        <v>126.48869999999999</v>
      </c>
      <c r="D776" s="14">
        <f>126.4866 * CHOOSE(CONTROL!$C$9, $D$9, 100%, $F$9) + CHOOSE(CONTROL!$C$27, 0.0021, 0)</f>
        <v>126.48869999999999</v>
      </c>
      <c r="E776" s="14">
        <f>126.3499 * CHOOSE(CONTROL!$C$9, $D$9, 100%, $F$9) + CHOOSE(CONTROL!$C$27, 0.0021, 0)</f>
        <v>126.352</v>
      </c>
      <c r="F776" s="14">
        <f>126.3499 * CHOOSE(CONTROL!$C$9, $D$9, 100%, $F$9) + CHOOSE(CONTROL!$C$27, 0.0021, 0)</f>
        <v>126.352</v>
      </c>
      <c r="G776" s="14">
        <f>126.6213 * CHOOSE(CONTROL!$C$9, $D$9, 100%, $F$9) + CHOOSE(CONTROL!$C$27, 0.0021, 0)</f>
        <v>126.6234</v>
      </c>
      <c r="H776" s="14">
        <f>126.4866 * CHOOSE(CONTROL!$C$9, $D$9, 100%, $F$9) + CHOOSE(CONTROL!$C$27, 0.0021, 0)</f>
        <v>126.48869999999999</v>
      </c>
      <c r="I776" s="14">
        <f>126.4866 * CHOOSE(CONTROL!$C$9, $D$9, 100%, $F$9) + CHOOSE(CONTROL!$C$27, 0.0021, 0)</f>
        <v>126.48869999999999</v>
      </c>
      <c r="J776" s="14">
        <f>126.4866 * CHOOSE(CONTROL!$C$9, $D$9, 100%, $F$9) + CHOOSE(CONTROL!$C$27, 0.0021, 0)</f>
        <v>126.48869999999999</v>
      </c>
      <c r="K776" s="14">
        <f>126.4866 * CHOOSE(CONTROL!$C$9, $D$9, 100%, $F$9) + CHOOSE(CONTROL!$C$27, 0.0021, 0)</f>
        <v>126.48869999999999</v>
      </c>
      <c r="L776" s="14"/>
    </row>
    <row r="777" spans="1:12" ht="15.75" x14ac:dyDescent="0.25">
      <c r="A777" s="32">
        <v>64589</v>
      </c>
      <c r="B777" s="14">
        <f>122.6091 * CHOOSE(CONTROL!$C$9, $D$9, 100%, $F$9) + CHOOSE(CONTROL!$C$27, 0.0021, 0)</f>
        <v>122.6112</v>
      </c>
      <c r="C777" s="14">
        <f>122.1768 * CHOOSE(CONTROL!$C$9, $D$9, 100%, $F$9) + CHOOSE(CONTROL!$C$27, 0.0021, 0)</f>
        <v>122.1789</v>
      </c>
      <c r="D777" s="14">
        <f>122.1768 * CHOOSE(CONTROL!$C$9, $D$9, 100%, $F$9) + CHOOSE(CONTROL!$C$27, 0.0021, 0)</f>
        <v>122.1789</v>
      </c>
      <c r="E777" s="14">
        <f>122.0402 * CHOOSE(CONTROL!$C$9, $D$9, 100%, $F$9) + CHOOSE(CONTROL!$C$27, 0.0021, 0)</f>
        <v>122.0423</v>
      </c>
      <c r="F777" s="14">
        <f>122.0402 * CHOOSE(CONTROL!$C$9, $D$9, 100%, $F$9) + CHOOSE(CONTROL!$C$27, 0.0021, 0)</f>
        <v>122.0423</v>
      </c>
      <c r="G777" s="14">
        <f>122.3116 * CHOOSE(CONTROL!$C$9, $D$9, 100%, $F$9) + CHOOSE(CONTROL!$C$27, 0.0021, 0)</f>
        <v>122.3137</v>
      </c>
      <c r="H777" s="14">
        <f>122.1768 * CHOOSE(CONTROL!$C$9, $D$9, 100%, $F$9) + CHOOSE(CONTROL!$C$27, 0.0021, 0)</f>
        <v>122.1789</v>
      </c>
      <c r="I777" s="14">
        <f>122.1768 * CHOOSE(CONTROL!$C$9, $D$9, 100%, $F$9) + CHOOSE(CONTROL!$C$27, 0.0021, 0)</f>
        <v>122.1789</v>
      </c>
      <c r="J777" s="14">
        <f>122.1768 * CHOOSE(CONTROL!$C$9, $D$9, 100%, $F$9) + CHOOSE(CONTROL!$C$27, 0.0021, 0)</f>
        <v>122.1789</v>
      </c>
      <c r="K777" s="14">
        <f>122.1768 * CHOOSE(CONTROL!$C$9, $D$9, 100%, $F$9) + CHOOSE(CONTROL!$C$27, 0.0021, 0)</f>
        <v>122.1789</v>
      </c>
      <c r="L777" s="14"/>
    </row>
    <row r="778" spans="1:12" ht="15.75" x14ac:dyDescent="0.25">
      <c r="A778" s="32">
        <v>64619</v>
      </c>
      <c r="B778" s="14">
        <f>121.7518 * CHOOSE(CONTROL!$C$9, $D$9, 100%, $F$9) + CHOOSE(CONTROL!$C$27, 0.0021, 0)</f>
        <v>121.7539</v>
      </c>
      <c r="C778" s="14">
        <f>121.3196 * CHOOSE(CONTROL!$C$9, $D$9, 100%, $F$9) + CHOOSE(CONTROL!$C$27, 0.0021, 0)</f>
        <v>121.32169999999999</v>
      </c>
      <c r="D778" s="14">
        <f>121.3196 * CHOOSE(CONTROL!$C$9, $D$9, 100%, $F$9) + CHOOSE(CONTROL!$C$27, 0.0021, 0)</f>
        <v>121.32169999999999</v>
      </c>
      <c r="E778" s="14">
        <f>121.1829 * CHOOSE(CONTROL!$C$9, $D$9, 100%, $F$9) + CHOOSE(CONTROL!$C$27, 0.0021, 0)</f>
        <v>121.185</v>
      </c>
      <c r="F778" s="14">
        <f>121.1829 * CHOOSE(CONTROL!$C$9, $D$9, 100%, $F$9) + CHOOSE(CONTROL!$C$27, 0.0021, 0)</f>
        <v>121.185</v>
      </c>
      <c r="G778" s="14">
        <f>121.4543 * CHOOSE(CONTROL!$C$9, $D$9, 100%, $F$9) + CHOOSE(CONTROL!$C$27, 0.0021, 0)</f>
        <v>121.4564</v>
      </c>
      <c r="H778" s="14">
        <f>121.3196 * CHOOSE(CONTROL!$C$9, $D$9, 100%, $F$9) + CHOOSE(CONTROL!$C$27, 0.0021, 0)</f>
        <v>121.32169999999999</v>
      </c>
      <c r="I778" s="14">
        <f>121.3196 * CHOOSE(CONTROL!$C$9, $D$9, 100%, $F$9) + CHOOSE(CONTROL!$C$27, 0.0021, 0)</f>
        <v>121.32169999999999</v>
      </c>
      <c r="J778" s="14">
        <f>121.3196 * CHOOSE(CONTROL!$C$9, $D$9, 100%, $F$9) + CHOOSE(CONTROL!$C$27, 0.0021, 0)</f>
        <v>121.32169999999999</v>
      </c>
      <c r="K778" s="14">
        <f>121.3196 * CHOOSE(CONTROL!$C$9, $D$9, 100%, $F$9) + CHOOSE(CONTROL!$C$27, 0.0021, 0)</f>
        <v>121.32169999999999</v>
      </c>
      <c r="L778" s="14"/>
    </row>
    <row r="779" spans="1:12" ht="15.75" x14ac:dyDescent="0.25">
      <c r="A779" s="32">
        <v>64650</v>
      </c>
      <c r="B779" s="14">
        <f>118.2068 * CHOOSE(CONTROL!$C$9, $D$9, 100%, $F$9) + CHOOSE(CONTROL!$C$27, 0.0021, 0)</f>
        <v>118.2089</v>
      </c>
      <c r="C779" s="14">
        <f>117.7746 * CHOOSE(CONTROL!$C$9, $D$9, 100%, $F$9) + CHOOSE(CONTROL!$C$27, 0.0021, 0)</f>
        <v>117.77670000000001</v>
      </c>
      <c r="D779" s="14">
        <f>117.7746 * CHOOSE(CONTROL!$C$9, $D$9, 100%, $F$9) + CHOOSE(CONTROL!$C$27, 0.0021, 0)</f>
        <v>117.77670000000001</v>
      </c>
      <c r="E779" s="14">
        <f>117.6379 * CHOOSE(CONTROL!$C$9, $D$9, 100%, $F$9) + CHOOSE(CONTROL!$C$27, 0.0021, 0)</f>
        <v>117.64</v>
      </c>
      <c r="F779" s="14">
        <f>117.6379 * CHOOSE(CONTROL!$C$9, $D$9, 100%, $F$9) + CHOOSE(CONTROL!$C$27, 0.0021, 0)</f>
        <v>117.64</v>
      </c>
      <c r="G779" s="14">
        <f>117.9093 * CHOOSE(CONTROL!$C$9, $D$9, 100%, $F$9) + CHOOSE(CONTROL!$C$27, 0.0021, 0)</f>
        <v>117.9114</v>
      </c>
      <c r="H779" s="14">
        <f>117.7746 * CHOOSE(CONTROL!$C$9, $D$9, 100%, $F$9) + CHOOSE(CONTROL!$C$27, 0.0021, 0)</f>
        <v>117.77670000000001</v>
      </c>
      <c r="I779" s="14">
        <f>117.7746 * CHOOSE(CONTROL!$C$9, $D$9, 100%, $F$9) + CHOOSE(CONTROL!$C$27, 0.0021, 0)</f>
        <v>117.77670000000001</v>
      </c>
      <c r="J779" s="14">
        <f>117.7746 * CHOOSE(CONTROL!$C$9, $D$9, 100%, $F$9) + CHOOSE(CONTROL!$C$27, 0.0021, 0)</f>
        <v>117.77670000000001</v>
      </c>
      <c r="K779" s="14">
        <f>117.7746 * CHOOSE(CONTROL!$C$9, $D$9, 100%, $F$9) + CHOOSE(CONTROL!$C$27, 0.0021, 0)</f>
        <v>117.77670000000001</v>
      </c>
      <c r="L779" s="14"/>
    </row>
    <row r="780" spans="1:12" ht="15.75" x14ac:dyDescent="0.25">
      <c r="A780" s="32">
        <v>64681</v>
      </c>
      <c r="B780" s="14">
        <f>117.5167 * CHOOSE(CONTROL!$C$9, $D$9, 100%, $F$9) + CHOOSE(CONTROL!$C$27, 0.0021, 0)</f>
        <v>117.5188</v>
      </c>
      <c r="C780" s="14">
        <f>117.0844 * CHOOSE(CONTROL!$C$9, $D$9, 100%, $F$9) + CHOOSE(CONTROL!$C$27, 0.0021, 0)</f>
        <v>117.0865</v>
      </c>
      <c r="D780" s="14">
        <f>117.0844 * CHOOSE(CONTROL!$C$9, $D$9, 100%, $F$9) + CHOOSE(CONTROL!$C$27, 0.0021, 0)</f>
        <v>117.0865</v>
      </c>
      <c r="E780" s="14">
        <f>116.9478 * CHOOSE(CONTROL!$C$9, $D$9, 100%, $F$9) + CHOOSE(CONTROL!$C$27, 0.0021, 0)</f>
        <v>116.9499</v>
      </c>
      <c r="F780" s="14">
        <f>116.9478 * CHOOSE(CONTROL!$C$9, $D$9, 100%, $F$9) + CHOOSE(CONTROL!$C$27, 0.0021, 0)</f>
        <v>116.9499</v>
      </c>
      <c r="G780" s="14">
        <f>117.2191 * CHOOSE(CONTROL!$C$9, $D$9, 100%, $F$9) + CHOOSE(CONTROL!$C$27, 0.0021, 0)</f>
        <v>117.2212</v>
      </c>
      <c r="H780" s="14">
        <f>117.0844 * CHOOSE(CONTROL!$C$9, $D$9, 100%, $F$9) + CHOOSE(CONTROL!$C$27, 0.0021, 0)</f>
        <v>117.0865</v>
      </c>
      <c r="I780" s="14">
        <f>117.0844 * CHOOSE(CONTROL!$C$9, $D$9, 100%, $F$9) + CHOOSE(CONTROL!$C$27, 0.0021, 0)</f>
        <v>117.0865</v>
      </c>
      <c r="J780" s="14">
        <f>117.0844 * CHOOSE(CONTROL!$C$9, $D$9, 100%, $F$9) + CHOOSE(CONTROL!$C$27, 0.0021, 0)</f>
        <v>117.0865</v>
      </c>
      <c r="K780" s="14">
        <f>117.0844 * CHOOSE(CONTROL!$C$9, $D$9, 100%, $F$9) + CHOOSE(CONTROL!$C$27, 0.0021, 0)</f>
        <v>117.0865</v>
      </c>
      <c r="L780" s="14"/>
    </row>
    <row r="781" spans="1:12" ht="15.75" x14ac:dyDescent="0.25">
      <c r="A781" s="32">
        <v>64709</v>
      </c>
      <c r="B781" s="14">
        <f>117.1964 * CHOOSE(CONTROL!$C$9, $D$9, 100%, $F$9) + CHOOSE(CONTROL!$C$27, 0.0021, 0)</f>
        <v>117.1985</v>
      </c>
      <c r="C781" s="14">
        <f>116.7641 * CHOOSE(CONTROL!$C$9, $D$9, 100%, $F$9) + CHOOSE(CONTROL!$C$27, 0.0021, 0)</f>
        <v>116.7662</v>
      </c>
      <c r="D781" s="14">
        <f>116.7641 * CHOOSE(CONTROL!$C$9, $D$9, 100%, $F$9) + CHOOSE(CONTROL!$C$27, 0.0021, 0)</f>
        <v>116.7662</v>
      </c>
      <c r="E781" s="14">
        <f>116.6275 * CHOOSE(CONTROL!$C$9, $D$9, 100%, $F$9) + CHOOSE(CONTROL!$C$27, 0.0021, 0)</f>
        <v>116.6296</v>
      </c>
      <c r="F781" s="14">
        <f>116.6275 * CHOOSE(CONTROL!$C$9, $D$9, 100%, $F$9) + CHOOSE(CONTROL!$C$27, 0.0021, 0)</f>
        <v>116.6296</v>
      </c>
      <c r="G781" s="14">
        <f>116.8989 * CHOOSE(CONTROL!$C$9, $D$9, 100%, $F$9) + CHOOSE(CONTROL!$C$27, 0.0021, 0)</f>
        <v>116.901</v>
      </c>
      <c r="H781" s="14">
        <f>116.7641 * CHOOSE(CONTROL!$C$9, $D$9, 100%, $F$9) + CHOOSE(CONTROL!$C$27, 0.0021, 0)</f>
        <v>116.7662</v>
      </c>
      <c r="I781" s="14">
        <f>116.7641 * CHOOSE(CONTROL!$C$9, $D$9, 100%, $F$9) + CHOOSE(CONTROL!$C$27, 0.0021, 0)</f>
        <v>116.7662</v>
      </c>
      <c r="J781" s="14">
        <f>116.7641 * CHOOSE(CONTROL!$C$9, $D$9, 100%, $F$9) + CHOOSE(CONTROL!$C$27, 0.0021, 0)</f>
        <v>116.7662</v>
      </c>
      <c r="K781" s="14">
        <f>116.7641 * CHOOSE(CONTROL!$C$9, $D$9, 100%, $F$9) + CHOOSE(CONTROL!$C$27, 0.0021, 0)</f>
        <v>116.7662</v>
      </c>
      <c r="L781" s="14"/>
    </row>
    <row r="782" spans="1:12" ht="15.75" x14ac:dyDescent="0.25">
      <c r="A782" s="32">
        <v>64740</v>
      </c>
      <c r="B782" s="14">
        <f>123.2525 * CHOOSE(CONTROL!$C$9, $D$9, 100%, $F$9) + CHOOSE(CONTROL!$C$27, 0.0021, 0)</f>
        <v>123.2546</v>
      </c>
      <c r="C782" s="14">
        <f>122.8202 * CHOOSE(CONTROL!$C$9, $D$9, 100%, $F$9) + CHOOSE(CONTROL!$C$27, 0.0021, 0)</f>
        <v>122.8223</v>
      </c>
      <c r="D782" s="14">
        <f>122.8202 * CHOOSE(CONTROL!$C$9, $D$9, 100%, $F$9) + CHOOSE(CONTROL!$C$27, 0.0021, 0)</f>
        <v>122.8223</v>
      </c>
      <c r="E782" s="14">
        <f>122.6836 * CHOOSE(CONTROL!$C$9, $D$9, 100%, $F$9) + CHOOSE(CONTROL!$C$27, 0.0021, 0)</f>
        <v>122.6857</v>
      </c>
      <c r="F782" s="14">
        <f>122.6836 * CHOOSE(CONTROL!$C$9, $D$9, 100%, $F$9) + CHOOSE(CONTROL!$C$27, 0.0021, 0)</f>
        <v>122.6857</v>
      </c>
      <c r="G782" s="14">
        <f>122.955 * CHOOSE(CONTROL!$C$9, $D$9, 100%, $F$9) + CHOOSE(CONTROL!$C$27, 0.0021, 0)</f>
        <v>122.9571</v>
      </c>
      <c r="H782" s="14">
        <f>122.8202 * CHOOSE(CONTROL!$C$9, $D$9, 100%, $F$9) + CHOOSE(CONTROL!$C$27, 0.0021, 0)</f>
        <v>122.8223</v>
      </c>
      <c r="I782" s="14">
        <f>122.8202 * CHOOSE(CONTROL!$C$9, $D$9, 100%, $F$9) + CHOOSE(CONTROL!$C$27, 0.0021, 0)</f>
        <v>122.8223</v>
      </c>
      <c r="J782" s="14">
        <f>122.8202 * CHOOSE(CONTROL!$C$9, $D$9, 100%, $F$9) + CHOOSE(CONTROL!$C$27, 0.0021, 0)</f>
        <v>122.8223</v>
      </c>
      <c r="K782" s="14">
        <f>122.8202 * CHOOSE(CONTROL!$C$9, $D$9, 100%, $F$9) + CHOOSE(CONTROL!$C$27, 0.0021, 0)</f>
        <v>122.8223</v>
      </c>
      <c r="L782" s="14"/>
    </row>
    <row r="783" spans="1:12" ht="15.75" x14ac:dyDescent="0.25">
      <c r="A783" s="32">
        <v>64770</v>
      </c>
      <c r="B783" s="14">
        <f>131.1058 * CHOOSE(CONTROL!$C$9, $D$9, 100%, $F$9) + CHOOSE(CONTROL!$C$27, 0.0021, 0)</f>
        <v>131.1079</v>
      </c>
      <c r="C783" s="14">
        <f>130.6736 * CHOOSE(CONTROL!$C$9, $D$9, 100%, $F$9) + CHOOSE(CONTROL!$C$27, 0.0021, 0)</f>
        <v>130.67570000000001</v>
      </c>
      <c r="D783" s="14">
        <f>130.6736 * CHOOSE(CONTROL!$C$9, $D$9, 100%, $F$9) + CHOOSE(CONTROL!$C$27, 0.0021, 0)</f>
        <v>130.67570000000001</v>
      </c>
      <c r="E783" s="14">
        <f>130.5369 * CHOOSE(CONTROL!$C$9, $D$9, 100%, $F$9) + CHOOSE(CONTROL!$C$27, 0.0021, 0)</f>
        <v>130.53900000000002</v>
      </c>
      <c r="F783" s="14">
        <f>130.5369 * CHOOSE(CONTROL!$C$9, $D$9, 100%, $F$9) + CHOOSE(CONTROL!$C$27, 0.0021, 0)</f>
        <v>130.53900000000002</v>
      </c>
      <c r="G783" s="14">
        <f>130.8083 * CHOOSE(CONTROL!$C$9, $D$9, 100%, $F$9) + CHOOSE(CONTROL!$C$27, 0.0021, 0)</f>
        <v>130.81040000000002</v>
      </c>
      <c r="H783" s="14">
        <f>130.6736 * CHOOSE(CONTROL!$C$9, $D$9, 100%, $F$9) + CHOOSE(CONTROL!$C$27, 0.0021, 0)</f>
        <v>130.67570000000001</v>
      </c>
      <c r="I783" s="14">
        <f>130.6736 * CHOOSE(CONTROL!$C$9, $D$9, 100%, $F$9) + CHOOSE(CONTROL!$C$27, 0.0021, 0)</f>
        <v>130.67570000000001</v>
      </c>
      <c r="J783" s="14">
        <f>130.6736 * CHOOSE(CONTROL!$C$9, $D$9, 100%, $F$9) + CHOOSE(CONTROL!$C$27, 0.0021, 0)</f>
        <v>130.67570000000001</v>
      </c>
      <c r="K783" s="14">
        <f>130.6736 * CHOOSE(CONTROL!$C$9, $D$9, 100%, $F$9) + CHOOSE(CONTROL!$C$27, 0.0021, 0)</f>
        <v>130.67570000000001</v>
      </c>
      <c r="L783" s="14"/>
    </row>
    <row r="784" spans="1:12" ht="15.75" x14ac:dyDescent="0.25">
      <c r="A784" s="32">
        <v>64801</v>
      </c>
      <c r="B784" s="14">
        <f>135.4285 * CHOOSE(CONTROL!$C$9, $D$9, 100%, $F$9) + CHOOSE(CONTROL!$C$27, 0.0021, 0)</f>
        <v>135.43060000000003</v>
      </c>
      <c r="C784" s="14">
        <f>134.9963 * CHOOSE(CONTROL!$C$9, $D$9, 100%, $F$9) + CHOOSE(CONTROL!$C$27, 0.0021, 0)</f>
        <v>134.9984</v>
      </c>
      <c r="D784" s="14">
        <f>134.9963 * CHOOSE(CONTROL!$C$9, $D$9, 100%, $F$9) + CHOOSE(CONTROL!$C$27, 0.0021, 0)</f>
        <v>134.9984</v>
      </c>
      <c r="E784" s="14">
        <f>134.8596 * CHOOSE(CONTROL!$C$9, $D$9, 100%, $F$9) + CHOOSE(CONTROL!$C$27, 0.0021, 0)</f>
        <v>134.86170000000001</v>
      </c>
      <c r="F784" s="14">
        <f>134.8596 * CHOOSE(CONTROL!$C$9, $D$9, 100%, $F$9) + CHOOSE(CONTROL!$C$27, 0.0021, 0)</f>
        <v>134.86170000000001</v>
      </c>
      <c r="G784" s="14">
        <f>135.131 * CHOOSE(CONTROL!$C$9, $D$9, 100%, $F$9) + CHOOSE(CONTROL!$C$27, 0.0021, 0)</f>
        <v>135.13310000000001</v>
      </c>
      <c r="H784" s="14">
        <f>134.9963 * CHOOSE(CONTROL!$C$9, $D$9, 100%, $F$9) + CHOOSE(CONTROL!$C$27, 0.0021, 0)</f>
        <v>134.9984</v>
      </c>
      <c r="I784" s="14">
        <f>134.9963 * CHOOSE(CONTROL!$C$9, $D$9, 100%, $F$9) + CHOOSE(CONTROL!$C$27, 0.0021, 0)</f>
        <v>134.9984</v>
      </c>
      <c r="J784" s="14">
        <f>134.9963 * CHOOSE(CONTROL!$C$9, $D$9, 100%, $F$9) + CHOOSE(CONTROL!$C$27, 0.0021, 0)</f>
        <v>134.9984</v>
      </c>
      <c r="K784" s="14">
        <f>134.9963 * CHOOSE(CONTROL!$C$9, $D$9, 100%, $F$9) + CHOOSE(CONTROL!$C$27, 0.0021, 0)</f>
        <v>134.9984</v>
      </c>
      <c r="L784" s="14"/>
    </row>
    <row r="785" spans="1:12" ht="15.75" x14ac:dyDescent="0.25">
      <c r="A785" s="32">
        <v>64831</v>
      </c>
      <c r="B785" s="14">
        <f>137.3469 * CHOOSE(CONTROL!$C$9, $D$9, 100%, $F$9) + CHOOSE(CONTROL!$C$27, 0.0021, 0)</f>
        <v>137.34900000000002</v>
      </c>
      <c r="C785" s="14">
        <f>136.9146 * CHOOSE(CONTROL!$C$9, $D$9, 100%, $F$9) + CHOOSE(CONTROL!$C$27, 0.0021, 0)</f>
        <v>136.91670000000002</v>
      </c>
      <c r="D785" s="14">
        <f>136.9146 * CHOOSE(CONTROL!$C$9, $D$9, 100%, $F$9) + CHOOSE(CONTROL!$C$27, 0.0021, 0)</f>
        <v>136.91670000000002</v>
      </c>
      <c r="E785" s="14">
        <f>136.778 * CHOOSE(CONTROL!$C$9, $D$9, 100%, $F$9) + CHOOSE(CONTROL!$C$27, 0.0021, 0)</f>
        <v>136.7801</v>
      </c>
      <c r="F785" s="14">
        <f>136.778 * CHOOSE(CONTROL!$C$9, $D$9, 100%, $F$9) + CHOOSE(CONTROL!$C$27, 0.0021, 0)</f>
        <v>136.7801</v>
      </c>
      <c r="G785" s="14">
        <f>137.0494 * CHOOSE(CONTROL!$C$9, $D$9, 100%, $F$9) + CHOOSE(CONTROL!$C$27, 0.0021, 0)</f>
        <v>137.0515</v>
      </c>
      <c r="H785" s="14">
        <f>136.9146 * CHOOSE(CONTROL!$C$9, $D$9, 100%, $F$9) + CHOOSE(CONTROL!$C$27, 0.0021, 0)</f>
        <v>136.91670000000002</v>
      </c>
      <c r="I785" s="14">
        <f>136.9146 * CHOOSE(CONTROL!$C$9, $D$9, 100%, $F$9) + CHOOSE(CONTROL!$C$27, 0.0021, 0)</f>
        <v>136.91670000000002</v>
      </c>
      <c r="J785" s="14">
        <f>136.9146 * CHOOSE(CONTROL!$C$9, $D$9, 100%, $F$9) + CHOOSE(CONTROL!$C$27, 0.0021, 0)</f>
        <v>136.91670000000002</v>
      </c>
      <c r="K785" s="14">
        <f>136.9146 * CHOOSE(CONTROL!$C$9, $D$9, 100%, $F$9) + CHOOSE(CONTROL!$C$27, 0.0021, 0)</f>
        <v>136.91670000000002</v>
      </c>
      <c r="L785" s="14"/>
    </row>
    <row r="786" spans="1:12" ht="15.75" x14ac:dyDescent="0.25">
      <c r="A786" s="32">
        <v>64862</v>
      </c>
      <c r="B786" s="14">
        <f>136.7153 * CHOOSE(CONTROL!$C$9, $D$9, 100%, $F$9) + CHOOSE(CONTROL!$C$27, 0.0021, 0)</f>
        <v>136.71740000000003</v>
      </c>
      <c r="C786" s="14">
        <f>136.283 * CHOOSE(CONTROL!$C$9, $D$9, 100%, $F$9) + CHOOSE(CONTROL!$C$27, 0.0021, 0)</f>
        <v>136.2851</v>
      </c>
      <c r="D786" s="14">
        <f>136.283 * CHOOSE(CONTROL!$C$9, $D$9, 100%, $F$9) + CHOOSE(CONTROL!$C$27, 0.0021, 0)</f>
        <v>136.2851</v>
      </c>
      <c r="E786" s="14">
        <f>136.1464 * CHOOSE(CONTROL!$C$9, $D$9, 100%, $F$9) + CHOOSE(CONTROL!$C$27, 0.0021, 0)</f>
        <v>136.14850000000001</v>
      </c>
      <c r="F786" s="14">
        <f>136.1464 * CHOOSE(CONTROL!$C$9, $D$9, 100%, $F$9) + CHOOSE(CONTROL!$C$27, 0.0021, 0)</f>
        <v>136.14850000000001</v>
      </c>
      <c r="G786" s="14">
        <f>136.4177 * CHOOSE(CONTROL!$C$9, $D$9, 100%, $F$9) + CHOOSE(CONTROL!$C$27, 0.0021, 0)</f>
        <v>136.41980000000001</v>
      </c>
      <c r="H786" s="14">
        <f>136.283 * CHOOSE(CONTROL!$C$9, $D$9, 100%, $F$9) + CHOOSE(CONTROL!$C$27, 0.0021, 0)</f>
        <v>136.2851</v>
      </c>
      <c r="I786" s="14">
        <f>136.283 * CHOOSE(CONTROL!$C$9, $D$9, 100%, $F$9) + CHOOSE(CONTROL!$C$27, 0.0021, 0)</f>
        <v>136.2851</v>
      </c>
      <c r="J786" s="14">
        <f>136.283 * CHOOSE(CONTROL!$C$9, $D$9, 100%, $F$9) + CHOOSE(CONTROL!$C$27, 0.0021, 0)</f>
        <v>136.2851</v>
      </c>
      <c r="K786" s="14">
        <f>136.283 * CHOOSE(CONTROL!$C$9, $D$9, 100%, $F$9) + CHOOSE(CONTROL!$C$27, 0.0021, 0)</f>
        <v>136.2851</v>
      </c>
      <c r="L786" s="14"/>
    </row>
    <row r="787" spans="1:12" ht="15.75" x14ac:dyDescent="0.25">
      <c r="A787" s="32">
        <v>64893</v>
      </c>
      <c r="B787" s="14">
        <f>133.586 * CHOOSE(CONTROL!$C$9, $D$9, 100%, $F$9) + CHOOSE(CONTROL!$C$27, 0.0021, 0)</f>
        <v>133.58810000000003</v>
      </c>
      <c r="C787" s="14">
        <f>133.1537 * CHOOSE(CONTROL!$C$9, $D$9, 100%, $F$9) + CHOOSE(CONTROL!$C$27, 0.0021, 0)</f>
        <v>133.1558</v>
      </c>
      <c r="D787" s="14">
        <f>133.1537 * CHOOSE(CONTROL!$C$9, $D$9, 100%, $F$9) + CHOOSE(CONTROL!$C$27, 0.0021, 0)</f>
        <v>133.1558</v>
      </c>
      <c r="E787" s="14">
        <f>133.0171 * CHOOSE(CONTROL!$C$9, $D$9, 100%, $F$9) + CHOOSE(CONTROL!$C$27, 0.0021, 0)</f>
        <v>133.01920000000001</v>
      </c>
      <c r="F787" s="14">
        <f>133.0171 * CHOOSE(CONTROL!$C$9, $D$9, 100%, $F$9) + CHOOSE(CONTROL!$C$27, 0.0021, 0)</f>
        <v>133.01920000000001</v>
      </c>
      <c r="G787" s="14">
        <f>133.2884 * CHOOSE(CONTROL!$C$9, $D$9, 100%, $F$9) + CHOOSE(CONTROL!$C$27, 0.0021, 0)</f>
        <v>133.29050000000001</v>
      </c>
      <c r="H787" s="14">
        <f>133.1537 * CHOOSE(CONTROL!$C$9, $D$9, 100%, $F$9) + CHOOSE(CONTROL!$C$27, 0.0021, 0)</f>
        <v>133.1558</v>
      </c>
      <c r="I787" s="14">
        <f>133.1537 * CHOOSE(CONTROL!$C$9, $D$9, 100%, $F$9) + CHOOSE(CONTROL!$C$27, 0.0021, 0)</f>
        <v>133.1558</v>
      </c>
      <c r="J787" s="14">
        <f>133.1537 * CHOOSE(CONTROL!$C$9, $D$9, 100%, $F$9) + CHOOSE(CONTROL!$C$27, 0.0021, 0)</f>
        <v>133.1558</v>
      </c>
      <c r="K787" s="14">
        <f>133.1537 * CHOOSE(CONTROL!$C$9, $D$9, 100%, $F$9) + CHOOSE(CONTROL!$C$27, 0.0021, 0)</f>
        <v>133.1558</v>
      </c>
      <c r="L787" s="14"/>
    </row>
    <row r="788" spans="1:12" ht="15.75" x14ac:dyDescent="0.25">
      <c r="A788" s="32">
        <v>64923</v>
      </c>
      <c r="B788" s="14">
        <f>129.222 * CHOOSE(CONTROL!$C$9, $D$9, 100%, $F$9) + CHOOSE(CONTROL!$C$27, 0.0021, 0)</f>
        <v>129.22410000000002</v>
      </c>
      <c r="C788" s="14">
        <f>128.7897 * CHOOSE(CONTROL!$C$9, $D$9, 100%, $F$9) + CHOOSE(CONTROL!$C$27, 0.0021, 0)</f>
        <v>128.79180000000002</v>
      </c>
      <c r="D788" s="14">
        <f>128.7897 * CHOOSE(CONTROL!$C$9, $D$9, 100%, $F$9) + CHOOSE(CONTROL!$C$27, 0.0021, 0)</f>
        <v>128.79180000000002</v>
      </c>
      <c r="E788" s="14">
        <f>128.6531 * CHOOSE(CONTROL!$C$9, $D$9, 100%, $F$9) + CHOOSE(CONTROL!$C$27, 0.0021, 0)</f>
        <v>128.65520000000001</v>
      </c>
      <c r="F788" s="14">
        <f>128.6531 * CHOOSE(CONTROL!$C$9, $D$9, 100%, $F$9) + CHOOSE(CONTROL!$C$27, 0.0021, 0)</f>
        <v>128.65520000000001</v>
      </c>
      <c r="G788" s="14">
        <f>128.9245 * CHOOSE(CONTROL!$C$9, $D$9, 100%, $F$9) + CHOOSE(CONTROL!$C$27, 0.0021, 0)</f>
        <v>128.92660000000001</v>
      </c>
      <c r="H788" s="14">
        <f>128.7897 * CHOOSE(CONTROL!$C$9, $D$9, 100%, $F$9) + CHOOSE(CONTROL!$C$27, 0.0021, 0)</f>
        <v>128.79180000000002</v>
      </c>
      <c r="I788" s="14">
        <f>128.7897 * CHOOSE(CONTROL!$C$9, $D$9, 100%, $F$9) + CHOOSE(CONTROL!$C$27, 0.0021, 0)</f>
        <v>128.79180000000002</v>
      </c>
      <c r="J788" s="14">
        <f>128.7897 * CHOOSE(CONTROL!$C$9, $D$9, 100%, $F$9) + CHOOSE(CONTROL!$C$27, 0.0021, 0)</f>
        <v>128.79180000000002</v>
      </c>
      <c r="K788" s="14">
        <f>128.7897 * CHOOSE(CONTROL!$C$9, $D$9, 100%, $F$9) + CHOOSE(CONTROL!$C$27, 0.0021, 0)</f>
        <v>128.79180000000002</v>
      </c>
      <c r="L788" s="14"/>
    </row>
    <row r="789" spans="1:12" ht="15.75" x14ac:dyDescent="0.25">
      <c r="A789" s="32">
        <v>64954</v>
      </c>
      <c r="B789" s="14">
        <f>124.8326 * CHOOSE(CONTROL!$C$9, $D$9, 100%, $F$9) + CHOOSE(CONTROL!$C$27, 0.0021, 0)</f>
        <v>124.8347</v>
      </c>
      <c r="C789" s="14">
        <f>124.4004 * CHOOSE(CONTROL!$C$9, $D$9, 100%, $F$9) + CHOOSE(CONTROL!$C$27, 0.0021, 0)</f>
        <v>124.4025</v>
      </c>
      <c r="D789" s="14">
        <f>124.4004 * CHOOSE(CONTROL!$C$9, $D$9, 100%, $F$9) + CHOOSE(CONTROL!$C$27, 0.0021, 0)</f>
        <v>124.4025</v>
      </c>
      <c r="E789" s="14">
        <f>124.2637 * CHOOSE(CONTROL!$C$9, $D$9, 100%, $F$9) + CHOOSE(CONTROL!$C$27, 0.0021, 0)</f>
        <v>124.2658</v>
      </c>
      <c r="F789" s="14">
        <f>124.2637 * CHOOSE(CONTROL!$C$9, $D$9, 100%, $F$9) + CHOOSE(CONTROL!$C$27, 0.0021, 0)</f>
        <v>124.2658</v>
      </c>
      <c r="G789" s="14">
        <f>124.5351 * CHOOSE(CONTROL!$C$9, $D$9, 100%, $F$9) + CHOOSE(CONTROL!$C$27, 0.0021, 0)</f>
        <v>124.5372</v>
      </c>
      <c r="H789" s="14">
        <f>124.4004 * CHOOSE(CONTROL!$C$9, $D$9, 100%, $F$9) + CHOOSE(CONTROL!$C$27, 0.0021, 0)</f>
        <v>124.4025</v>
      </c>
      <c r="I789" s="14">
        <f>124.4004 * CHOOSE(CONTROL!$C$9, $D$9, 100%, $F$9) + CHOOSE(CONTROL!$C$27, 0.0021, 0)</f>
        <v>124.4025</v>
      </c>
      <c r="J789" s="14">
        <f>124.4004 * CHOOSE(CONTROL!$C$9, $D$9, 100%, $F$9) + CHOOSE(CONTROL!$C$27, 0.0021, 0)</f>
        <v>124.4025</v>
      </c>
      <c r="K789" s="14">
        <f>124.4004 * CHOOSE(CONTROL!$C$9, $D$9, 100%, $F$9) + CHOOSE(CONTROL!$C$27, 0.0021, 0)</f>
        <v>124.4025</v>
      </c>
      <c r="L789" s="14"/>
    </row>
    <row r="790" spans="1:12" ht="15.75" x14ac:dyDescent="0.25">
      <c r="A790" s="32">
        <v>64984</v>
      </c>
      <c r="B790" s="14">
        <f>123.9595 * CHOOSE(CONTROL!$C$9, $D$9, 100%, $F$9) + CHOOSE(CONTROL!$C$27, 0.0021, 0)</f>
        <v>123.9616</v>
      </c>
      <c r="C790" s="14">
        <f>123.5273 * CHOOSE(CONTROL!$C$9, $D$9, 100%, $F$9) + CHOOSE(CONTROL!$C$27, 0.0021, 0)</f>
        <v>123.5294</v>
      </c>
      <c r="D790" s="14">
        <f>123.5273 * CHOOSE(CONTROL!$C$9, $D$9, 100%, $F$9) + CHOOSE(CONTROL!$C$27, 0.0021, 0)</f>
        <v>123.5294</v>
      </c>
      <c r="E790" s="14">
        <f>123.3906 * CHOOSE(CONTROL!$C$9, $D$9, 100%, $F$9) + CHOOSE(CONTROL!$C$27, 0.0021, 0)</f>
        <v>123.3927</v>
      </c>
      <c r="F790" s="14">
        <f>123.3906 * CHOOSE(CONTROL!$C$9, $D$9, 100%, $F$9) + CHOOSE(CONTROL!$C$27, 0.0021, 0)</f>
        <v>123.3927</v>
      </c>
      <c r="G790" s="14">
        <f>123.662 * CHOOSE(CONTROL!$C$9, $D$9, 100%, $F$9) + CHOOSE(CONTROL!$C$27, 0.0021, 0)</f>
        <v>123.6641</v>
      </c>
      <c r="H790" s="14">
        <f>123.5273 * CHOOSE(CONTROL!$C$9, $D$9, 100%, $F$9) + CHOOSE(CONTROL!$C$27, 0.0021, 0)</f>
        <v>123.5294</v>
      </c>
      <c r="I790" s="14">
        <f>123.5273 * CHOOSE(CONTROL!$C$9, $D$9, 100%, $F$9) + CHOOSE(CONTROL!$C$27, 0.0021, 0)</f>
        <v>123.5294</v>
      </c>
      <c r="J790" s="14">
        <f>123.5273 * CHOOSE(CONTROL!$C$9, $D$9, 100%, $F$9) + CHOOSE(CONTROL!$C$27, 0.0021, 0)</f>
        <v>123.5294</v>
      </c>
      <c r="K790" s="14">
        <f>123.5273 * CHOOSE(CONTROL!$C$9, $D$9, 100%, $F$9) + CHOOSE(CONTROL!$C$27, 0.0021, 0)</f>
        <v>123.5294</v>
      </c>
      <c r="L790" s="14"/>
    </row>
    <row r="791" spans="1:12" ht="15.75" x14ac:dyDescent="0.25">
      <c r="A791" s="32">
        <v>65015</v>
      </c>
      <c r="B791" s="14">
        <f>120.349 * CHOOSE(CONTROL!$C$9, $D$9, 100%, $F$9) + CHOOSE(CONTROL!$C$27, 0.0021, 0)</f>
        <v>120.3511</v>
      </c>
      <c r="C791" s="14">
        <f>119.9168 * CHOOSE(CONTROL!$C$9, $D$9, 100%, $F$9) + CHOOSE(CONTROL!$C$27, 0.0021, 0)</f>
        <v>119.91889999999999</v>
      </c>
      <c r="D791" s="14">
        <f>119.9168 * CHOOSE(CONTROL!$C$9, $D$9, 100%, $F$9) + CHOOSE(CONTROL!$C$27, 0.0021, 0)</f>
        <v>119.91889999999999</v>
      </c>
      <c r="E791" s="14">
        <f>119.7801 * CHOOSE(CONTROL!$C$9, $D$9, 100%, $F$9) + CHOOSE(CONTROL!$C$27, 0.0021, 0)</f>
        <v>119.7822</v>
      </c>
      <c r="F791" s="14">
        <f>119.7801 * CHOOSE(CONTROL!$C$9, $D$9, 100%, $F$9) + CHOOSE(CONTROL!$C$27, 0.0021, 0)</f>
        <v>119.7822</v>
      </c>
      <c r="G791" s="14">
        <f>120.0515 * CHOOSE(CONTROL!$C$9, $D$9, 100%, $F$9) + CHOOSE(CONTROL!$C$27, 0.0021, 0)</f>
        <v>120.0536</v>
      </c>
      <c r="H791" s="14">
        <f>119.9168 * CHOOSE(CONTROL!$C$9, $D$9, 100%, $F$9) + CHOOSE(CONTROL!$C$27, 0.0021, 0)</f>
        <v>119.91889999999999</v>
      </c>
      <c r="I791" s="14">
        <f>119.9168 * CHOOSE(CONTROL!$C$9, $D$9, 100%, $F$9) + CHOOSE(CONTROL!$C$27, 0.0021, 0)</f>
        <v>119.91889999999999</v>
      </c>
      <c r="J791" s="14">
        <f>119.9168 * CHOOSE(CONTROL!$C$9, $D$9, 100%, $F$9) + CHOOSE(CONTROL!$C$27, 0.0021, 0)</f>
        <v>119.91889999999999</v>
      </c>
      <c r="K791" s="14">
        <f>119.9168 * CHOOSE(CONTROL!$C$9, $D$9, 100%, $F$9) + CHOOSE(CONTROL!$C$27, 0.0021, 0)</f>
        <v>119.91889999999999</v>
      </c>
      <c r="L791" s="14"/>
    </row>
    <row r="792" spans="1:12" ht="15.75" x14ac:dyDescent="0.25">
      <c r="A792" s="32">
        <v>65046</v>
      </c>
      <c r="B792" s="14">
        <f>119.6461 * CHOOSE(CONTROL!$C$9, $D$9, 100%, $F$9) + CHOOSE(CONTROL!$C$27, 0.0021, 0)</f>
        <v>119.6482</v>
      </c>
      <c r="C792" s="14">
        <f>119.2139 * CHOOSE(CONTROL!$C$9, $D$9, 100%, $F$9) + CHOOSE(CONTROL!$C$27, 0.0021, 0)</f>
        <v>119.21599999999999</v>
      </c>
      <c r="D792" s="14">
        <f>119.2139 * CHOOSE(CONTROL!$C$9, $D$9, 100%, $F$9) + CHOOSE(CONTROL!$C$27, 0.0021, 0)</f>
        <v>119.21599999999999</v>
      </c>
      <c r="E792" s="14">
        <f>119.0772 * CHOOSE(CONTROL!$C$9, $D$9, 100%, $F$9) + CHOOSE(CONTROL!$C$27, 0.0021, 0)</f>
        <v>119.0793</v>
      </c>
      <c r="F792" s="14">
        <f>119.0772 * CHOOSE(CONTROL!$C$9, $D$9, 100%, $F$9) + CHOOSE(CONTROL!$C$27, 0.0021, 0)</f>
        <v>119.0793</v>
      </c>
      <c r="G792" s="14">
        <f>119.3486 * CHOOSE(CONTROL!$C$9, $D$9, 100%, $F$9) + CHOOSE(CONTROL!$C$27, 0.0021, 0)</f>
        <v>119.3507</v>
      </c>
      <c r="H792" s="14">
        <f>119.2139 * CHOOSE(CONTROL!$C$9, $D$9, 100%, $F$9) + CHOOSE(CONTROL!$C$27, 0.0021, 0)</f>
        <v>119.21599999999999</v>
      </c>
      <c r="I792" s="14">
        <f>119.2139 * CHOOSE(CONTROL!$C$9, $D$9, 100%, $F$9) + CHOOSE(CONTROL!$C$27, 0.0021, 0)</f>
        <v>119.21599999999999</v>
      </c>
      <c r="J792" s="14">
        <f>119.2139 * CHOOSE(CONTROL!$C$9, $D$9, 100%, $F$9) + CHOOSE(CONTROL!$C$27, 0.0021, 0)</f>
        <v>119.21599999999999</v>
      </c>
      <c r="K792" s="14">
        <f>119.2139 * CHOOSE(CONTROL!$C$9, $D$9, 100%, $F$9) + CHOOSE(CONTROL!$C$27, 0.0021, 0)</f>
        <v>119.21599999999999</v>
      </c>
      <c r="L792" s="14"/>
    </row>
    <row r="793" spans="1:12" ht="15.75" x14ac:dyDescent="0.25">
      <c r="A793" s="32">
        <v>65074</v>
      </c>
      <c r="B793" s="14">
        <f>119.3199 * CHOOSE(CONTROL!$C$9, $D$9, 100%, $F$9) + CHOOSE(CONTROL!$C$27, 0.0021, 0)</f>
        <v>119.322</v>
      </c>
      <c r="C793" s="14">
        <f>118.8876 * CHOOSE(CONTROL!$C$9, $D$9, 100%, $F$9) + CHOOSE(CONTROL!$C$27, 0.0021, 0)</f>
        <v>118.8897</v>
      </c>
      <c r="D793" s="14">
        <f>118.8876 * CHOOSE(CONTROL!$C$9, $D$9, 100%, $F$9) + CHOOSE(CONTROL!$C$27, 0.0021, 0)</f>
        <v>118.8897</v>
      </c>
      <c r="E793" s="14">
        <f>118.751 * CHOOSE(CONTROL!$C$9, $D$9, 100%, $F$9) + CHOOSE(CONTROL!$C$27, 0.0021, 0)</f>
        <v>118.7531</v>
      </c>
      <c r="F793" s="14">
        <f>118.751 * CHOOSE(CONTROL!$C$9, $D$9, 100%, $F$9) + CHOOSE(CONTROL!$C$27, 0.0021, 0)</f>
        <v>118.7531</v>
      </c>
      <c r="G793" s="14">
        <f>119.0224 * CHOOSE(CONTROL!$C$9, $D$9, 100%, $F$9) + CHOOSE(CONTROL!$C$27, 0.0021, 0)</f>
        <v>119.0245</v>
      </c>
      <c r="H793" s="14">
        <f>118.8876 * CHOOSE(CONTROL!$C$9, $D$9, 100%, $F$9) + CHOOSE(CONTROL!$C$27, 0.0021, 0)</f>
        <v>118.8897</v>
      </c>
      <c r="I793" s="14">
        <f>118.8876 * CHOOSE(CONTROL!$C$9, $D$9, 100%, $F$9) + CHOOSE(CONTROL!$C$27, 0.0021, 0)</f>
        <v>118.8897</v>
      </c>
      <c r="J793" s="14">
        <f>118.8876 * CHOOSE(CONTROL!$C$9, $D$9, 100%, $F$9) + CHOOSE(CONTROL!$C$27, 0.0021, 0)</f>
        <v>118.8897</v>
      </c>
      <c r="K793" s="14">
        <f>118.8876 * CHOOSE(CONTROL!$C$9, $D$9, 100%, $F$9) + CHOOSE(CONTROL!$C$27, 0.0021, 0)</f>
        <v>118.8897</v>
      </c>
      <c r="L793" s="14"/>
    </row>
    <row r="794" spans="1:12" ht="15.75" x14ac:dyDescent="0.25">
      <c r="A794" s="32">
        <v>65105</v>
      </c>
      <c r="B794" s="14">
        <f>125.4879 * CHOOSE(CONTROL!$C$9, $D$9, 100%, $F$9) + CHOOSE(CONTROL!$C$27, 0.0021, 0)</f>
        <v>125.49</v>
      </c>
      <c r="C794" s="14">
        <f>125.0557 * CHOOSE(CONTROL!$C$9, $D$9, 100%, $F$9) + CHOOSE(CONTROL!$C$27, 0.0021, 0)</f>
        <v>125.0578</v>
      </c>
      <c r="D794" s="14">
        <f>125.0557 * CHOOSE(CONTROL!$C$9, $D$9, 100%, $F$9) + CHOOSE(CONTROL!$C$27, 0.0021, 0)</f>
        <v>125.0578</v>
      </c>
      <c r="E794" s="14">
        <f>124.919 * CHOOSE(CONTROL!$C$9, $D$9, 100%, $F$9) + CHOOSE(CONTROL!$C$27, 0.0021, 0)</f>
        <v>124.9211</v>
      </c>
      <c r="F794" s="14">
        <f>124.919 * CHOOSE(CONTROL!$C$9, $D$9, 100%, $F$9) + CHOOSE(CONTROL!$C$27, 0.0021, 0)</f>
        <v>124.9211</v>
      </c>
      <c r="G794" s="14">
        <f>125.1904 * CHOOSE(CONTROL!$C$9, $D$9, 100%, $F$9) + CHOOSE(CONTROL!$C$27, 0.0021, 0)</f>
        <v>125.1925</v>
      </c>
      <c r="H794" s="14">
        <f>125.0557 * CHOOSE(CONTROL!$C$9, $D$9, 100%, $F$9) + CHOOSE(CONTROL!$C$27, 0.0021, 0)</f>
        <v>125.0578</v>
      </c>
      <c r="I794" s="14">
        <f>125.0557 * CHOOSE(CONTROL!$C$9, $D$9, 100%, $F$9) + CHOOSE(CONTROL!$C$27, 0.0021, 0)</f>
        <v>125.0578</v>
      </c>
      <c r="J794" s="14">
        <f>125.0557 * CHOOSE(CONTROL!$C$9, $D$9, 100%, $F$9) + CHOOSE(CONTROL!$C$27, 0.0021, 0)</f>
        <v>125.0578</v>
      </c>
      <c r="K794" s="14">
        <f>125.0557 * CHOOSE(CONTROL!$C$9, $D$9, 100%, $F$9) + CHOOSE(CONTROL!$C$27, 0.0021, 0)</f>
        <v>125.0578</v>
      </c>
      <c r="L794" s="14"/>
    </row>
    <row r="795" spans="1:12" ht="15.75" x14ac:dyDescent="0.25">
      <c r="A795" s="32">
        <v>65135</v>
      </c>
      <c r="B795" s="14">
        <f>133.4864 * CHOOSE(CONTROL!$C$9, $D$9, 100%, $F$9) + CHOOSE(CONTROL!$C$27, 0.0021, 0)</f>
        <v>133.48850000000002</v>
      </c>
      <c r="C795" s="14">
        <f>133.0541 * CHOOSE(CONTROL!$C$9, $D$9, 100%, $F$9) + CHOOSE(CONTROL!$C$27, 0.0021, 0)</f>
        <v>133.05620000000002</v>
      </c>
      <c r="D795" s="14">
        <f>133.0541 * CHOOSE(CONTROL!$C$9, $D$9, 100%, $F$9) + CHOOSE(CONTROL!$C$27, 0.0021, 0)</f>
        <v>133.05620000000002</v>
      </c>
      <c r="E795" s="14">
        <f>132.9175 * CHOOSE(CONTROL!$C$9, $D$9, 100%, $F$9) + CHOOSE(CONTROL!$C$27, 0.0021, 0)</f>
        <v>132.9196</v>
      </c>
      <c r="F795" s="14">
        <f>132.9175 * CHOOSE(CONTROL!$C$9, $D$9, 100%, $F$9) + CHOOSE(CONTROL!$C$27, 0.0021, 0)</f>
        <v>132.9196</v>
      </c>
      <c r="G795" s="14">
        <f>133.1889 * CHOOSE(CONTROL!$C$9, $D$9, 100%, $F$9) + CHOOSE(CONTROL!$C$27, 0.0021, 0)</f>
        <v>133.191</v>
      </c>
      <c r="H795" s="14">
        <f>133.0541 * CHOOSE(CONTROL!$C$9, $D$9, 100%, $F$9) + CHOOSE(CONTROL!$C$27, 0.0021, 0)</f>
        <v>133.05620000000002</v>
      </c>
      <c r="I795" s="14">
        <f>133.0541 * CHOOSE(CONTROL!$C$9, $D$9, 100%, $F$9) + CHOOSE(CONTROL!$C$27, 0.0021, 0)</f>
        <v>133.05620000000002</v>
      </c>
      <c r="J795" s="14">
        <f>133.0541 * CHOOSE(CONTROL!$C$9, $D$9, 100%, $F$9) + CHOOSE(CONTROL!$C$27, 0.0021, 0)</f>
        <v>133.05620000000002</v>
      </c>
      <c r="K795" s="14">
        <f>133.0541 * CHOOSE(CONTROL!$C$9, $D$9, 100%, $F$9) + CHOOSE(CONTROL!$C$27, 0.0021, 0)</f>
        <v>133.05620000000002</v>
      </c>
      <c r="L795" s="14"/>
    </row>
    <row r="796" spans="1:12" ht="15.75" x14ac:dyDescent="0.25">
      <c r="A796" s="32">
        <v>65166</v>
      </c>
      <c r="B796" s="14">
        <f>137.889 * CHOOSE(CONTROL!$C$9, $D$9, 100%, $F$9) + CHOOSE(CONTROL!$C$27, 0.0021, 0)</f>
        <v>137.89110000000002</v>
      </c>
      <c r="C796" s="14">
        <f>137.4567 * CHOOSE(CONTROL!$C$9, $D$9, 100%, $F$9) + CHOOSE(CONTROL!$C$27, 0.0021, 0)</f>
        <v>137.45880000000002</v>
      </c>
      <c r="D796" s="14">
        <f>137.4567 * CHOOSE(CONTROL!$C$9, $D$9, 100%, $F$9) + CHOOSE(CONTROL!$C$27, 0.0021, 0)</f>
        <v>137.45880000000002</v>
      </c>
      <c r="E796" s="14">
        <f>137.3201 * CHOOSE(CONTROL!$C$9, $D$9, 100%, $F$9) + CHOOSE(CONTROL!$C$27, 0.0021, 0)</f>
        <v>137.32220000000001</v>
      </c>
      <c r="F796" s="14">
        <f>137.3201 * CHOOSE(CONTROL!$C$9, $D$9, 100%, $F$9) + CHOOSE(CONTROL!$C$27, 0.0021, 0)</f>
        <v>137.32220000000001</v>
      </c>
      <c r="G796" s="14">
        <f>137.5915 * CHOOSE(CONTROL!$C$9, $D$9, 100%, $F$9) + CHOOSE(CONTROL!$C$27, 0.0021, 0)</f>
        <v>137.59360000000001</v>
      </c>
      <c r="H796" s="14">
        <f>137.4567 * CHOOSE(CONTROL!$C$9, $D$9, 100%, $F$9) + CHOOSE(CONTROL!$C$27, 0.0021, 0)</f>
        <v>137.45880000000002</v>
      </c>
      <c r="I796" s="14">
        <f>137.4567 * CHOOSE(CONTROL!$C$9, $D$9, 100%, $F$9) + CHOOSE(CONTROL!$C$27, 0.0021, 0)</f>
        <v>137.45880000000002</v>
      </c>
      <c r="J796" s="14">
        <f>137.4567 * CHOOSE(CONTROL!$C$9, $D$9, 100%, $F$9) + CHOOSE(CONTROL!$C$27, 0.0021, 0)</f>
        <v>137.45880000000002</v>
      </c>
      <c r="K796" s="14">
        <f>137.4567 * CHOOSE(CONTROL!$C$9, $D$9, 100%, $F$9) + CHOOSE(CONTROL!$C$27, 0.0021, 0)</f>
        <v>137.45880000000002</v>
      </c>
      <c r="L796" s="14"/>
    </row>
    <row r="797" spans="1:12" ht="15.75" x14ac:dyDescent="0.25">
      <c r="A797" s="32">
        <v>65196</v>
      </c>
      <c r="B797" s="14">
        <f>139.8428 * CHOOSE(CONTROL!$C$9, $D$9, 100%, $F$9) + CHOOSE(CONTROL!$C$27, 0.0021, 0)</f>
        <v>139.84490000000002</v>
      </c>
      <c r="C797" s="14">
        <f>139.4105 * CHOOSE(CONTROL!$C$9, $D$9, 100%, $F$9) + CHOOSE(CONTROL!$C$27, 0.0021, 0)</f>
        <v>139.41260000000003</v>
      </c>
      <c r="D797" s="14">
        <f>139.4105 * CHOOSE(CONTROL!$C$9, $D$9, 100%, $F$9) + CHOOSE(CONTROL!$C$27, 0.0021, 0)</f>
        <v>139.41260000000003</v>
      </c>
      <c r="E797" s="14">
        <f>139.2739 * CHOOSE(CONTROL!$C$9, $D$9, 100%, $F$9) + CHOOSE(CONTROL!$C$27, 0.0021, 0)</f>
        <v>139.27600000000001</v>
      </c>
      <c r="F797" s="14">
        <f>139.2739 * CHOOSE(CONTROL!$C$9, $D$9, 100%, $F$9) + CHOOSE(CONTROL!$C$27, 0.0021, 0)</f>
        <v>139.27600000000001</v>
      </c>
      <c r="G797" s="14">
        <f>139.5453 * CHOOSE(CONTROL!$C$9, $D$9, 100%, $F$9) + CHOOSE(CONTROL!$C$27, 0.0021, 0)</f>
        <v>139.54740000000001</v>
      </c>
      <c r="H797" s="14">
        <f>139.4105 * CHOOSE(CONTROL!$C$9, $D$9, 100%, $F$9) + CHOOSE(CONTROL!$C$27, 0.0021, 0)</f>
        <v>139.41260000000003</v>
      </c>
      <c r="I797" s="14">
        <f>139.4105 * CHOOSE(CONTROL!$C$9, $D$9, 100%, $F$9) + CHOOSE(CONTROL!$C$27, 0.0021, 0)</f>
        <v>139.41260000000003</v>
      </c>
      <c r="J797" s="14">
        <f>139.4105 * CHOOSE(CONTROL!$C$9, $D$9, 100%, $F$9) + CHOOSE(CONTROL!$C$27, 0.0021, 0)</f>
        <v>139.41260000000003</v>
      </c>
      <c r="K797" s="14">
        <f>139.4105 * CHOOSE(CONTROL!$C$9, $D$9, 100%, $F$9) + CHOOSE(CONTROL!$C$27, 0.0021, 0)</f>
        <v>139.41260000000003</v>
      </c>
      <c r="L797" s="14"/>
    </row>
    <row r="798" spans="1:12" ht="15.75" x14ac:dyDescent="0.25">
      <c r="A798" s="32">
        <v>65227</v>
      </c>
      <c r="B798" s="14">
        <f>139.1995 * CHOOSE(CONTROL!$C$9, $D$9, 100%, $F$9) + CHOOSE(CONTROL!$C$27, 0.0021, 0)</f>
        <v>139.20160000000001</v>
      </c>
      <c r="C798" s="14">
        <f>138.7673 * CHOOSE(CONTROL!$C$9, $D$9, 100%, $F$9) + CHOOSE(CONTROL!$C$27, 0.0021, 0)</f>
        <v>138.76940000000002</v>
      </c>
      <c r="D798" s="14">
        <f>138.7673 * CHOOSE(CONTROL!$C$9, $D$9, 100%, $F$9) + CHOOSE(CONTROL!$C$27, 0.0021, 0)</f>
        <v>138.76940000000002</v>
      </c>
      <c r="E798" s="14">
        <f>138.6306 * CHOOSE(CONTROL!$C$9, $D$9, 100%, $F$9) + CHOOSE(CONTROL!$C$27, 0.0021, 0)</f>
        <v>138.6327</v>
      </c>
      <c r="F798" s="14">
        <f>138.6306 * CHOOSE(CONTROL!$C$9, $D$9, 100%, $F$9) + CHOOSE(CONTROL!$C$27, 0.0021, 0)</f>
        <v>138.6327</v>
      </c>
      <c r="G798" s="14">
        <f>138.902 * CHOOSE(CONTROL!$C$9, $D$9, 100%, $F$9) + CHOOSE(CONTROL!$C$27, 0.0021, 0)</f>
        <v>138.9041</v>
      </c>
      <c r="H798" s="14">
        <f>138.7673 * CHOOSE(CONTROL!$C$9, $D$9, 100%, $F$9) + CHOOSE(CONTROL!$C$27, 0.0021, 0)</f>
        <v>138.76940000000002</v>
      </c>
      <c r="I798" s="14">
        <f>138.7673 * CHOOSE(CONTROL!$C$9, $D$9, 100%, $F$9) + CHOOSE(CONTROL!$C$27, 0.0021, 0)</f>
        <v>138.76940000000002</v>
      </c>
      <c r="J798" s="14">
        <f>138.7673 * CHOOSE(CONTROL!$C$9, $D$9, 100%, $F$9) + CHOOSE(CONTROL!$C$27, 0.0021, 0)</f>
        <v>138.76940000000002</v>
      </c>
      <c r="K798" s="14">
        <f>138.7673 * CHOOSE(CONTROL!$C$9, $D$9, 100%, $F$9) + CHOOSE(CONTROL!$C$27, 0.0021, 0)</f>
        <v>138.76940000000002</v>
      </c>
      <c r="L798" s="14"/>
    </row>
    <row r="799" spans="1:12" ht="15.75" x14ac:dyDescent="0.25">
      <c r="A799" s="32">
        <v>65258</v>
      </c>
      <c r="B799" s="14">
        <f>136.0124 * CHOOSE(CONTROL!$C$9, $D$9, 100%, $F$9) + CHOOSE(CONTROL!$C$27, 0.0021, 0)</f>
        <v>136.01450000000003</v>
      </c>
      <c r="C799" s="14">
        <f>135.5801 * CHOOSE(CONTROL!$C$9, $D$9, 100%, $F$9) + CHOOSE(CONTROL!$C$27, 0.0021, 0)</f>
        <v>135.5822</v>
      </c>
      <c r="D799" s="14">
        <f>135.5801 * CHOOSE(CONTROL!$C$9, $D$9, 100%, $F$9) + CHOOSE(CONTROL!$C$27, 0.0021, 0)</f>
        <v>135.5822</v>
      </c>
      <c r="E799" s="14">
        <f>135.4435 * CHOOSE(CONTROL!$C$9, $D$9, 100%, $F$9) + CHOOSE(CONTROL!$C$27, 0.0021, 0)</f>
        <v>135.44560000000001</v>
      </c>
      <c r="F799" s="14">
        <f>135.4435 * CHOOSE(CONTROL!$C$9, $D$9, 100%, $F$9) + CHOOSE(CONTROL!$C$27, 0.0021, 0)</f>
        <v>135.44560000000001</v>
      </c>
      <c r="G799" s="14">
        <f>135.7148 * CHOOSE(CONTROL!$C$9, $D$9, 100%, $F$9) + CHOOSE(CONTROL!$C$27, 0.0021, 0)</f>
        <v>135.71690000000001</v>
      </c>
      <c r="H799" s="14">
        <f>135.5801 * CHOOSE(CONTROL!$C$9, $D$9, 100%, $F$9) + CHOOSE(CONTROL!$C$27, 0.0021, 0)</f>
        <v>135.5822</v>
      </c>
      <c r="I799" s="14">
        <f>135.5801 * CHOOSE(CONTROL!$C$9, $D$9, 100%, $F$9) + CHOOSE(CONTROL!$C$27, 0.0021, 0)</f>
        <v>135.5822</v>
      </c>
      <c r="J799" s="14">
        <f>135.5801 * CHOOSE(CONTROL!$C$9, $D$9, 100%, $F$9) + CHOOSE(CONTROL!$C$27, 0.0021, 0)</f>
        <v>135.5822</v>
      </c>
      <c r="K799" s="14">
        <f>135.5801 * CHOOSE(CONTROL!$C$9, $D$9, 100%, $F$9) + CHOOSE(CONTROL!$C$27, 0.0021, 0)</f>
        <v>135.5822</v>
      </c>
      <c r="L799" s="14"/>
    </row>
    <row r="800" spans="1:12" ht="15.75" x14ac:dyDescent="0.25">
      <c r="A800" s="32">
        <v>65288</v>
      </c>
      <c r="B800" s="14">
        <f>131.5677 * CHOOSE(CONTROL!$C$9, $D$9, 100%, $F$9) + CHOOSE(CONTROL!$C$27, 0.0021, 0)</f>
        <v>131.56980000000001</v>
      </c>
      <c r="C800" s="14">
        <f>131.1355 * CHOOSE(CONTROL!$C$9, $D$9, 100%, $F$9) + CHOOSE(CONTROL!$C$27, 0.0021, 0)</f>
        <v>131.13760000000002</v>
      </c>
      <c r="D800" s="14">
        <f>131.1355 * CHOOSE(CONTROL!$C$9, $D$9, 100%, $F$9) + CHOOSE(CONTROL!$C$27, 0.0021, 0)</f>
        <v>131.13760000000002</v>
      </c>
      <c r="E800" s="14">
        <f>130.9988 * CHOOSE(CONTROL!$C$9, $D$9, 100%, $F$9) + CHOOSE(CONTROL!$C$27, 0.0021, 0)</f>
        <v>131.0009</v>
      </c>
      <c r="F800" s="14">
        <f>130.9988 * CHOOSE(CONTROL!$C$9, $D$9, 100%, $F$9) + CHOOSE(CONTROL!$C$27, 0.0021, 0)</f>
        <v>131.0009</v>
      </c>
      <c r="G800" s="14">
        <f>131.2702 * CHOOSE(CONTROL!$C$9, $D$9, 100%, $F$9) + CHOOSE(CONTROL!$C$27, 0.0021, 0)</f>
        <v>131.2723</v>
      </c>
      <c r="H800" s="14">
        <f>131.1355 * CHOOSE(CONTROL!$C$9, $D$9, 100%, $F$9) + CHOOSE(CONTROL!$C$27, 0.0021, 0)</f>
        <v>131.13760000000002</v>
      </c>
      <c r="I800" s="14">
        <f>131.1355 * CHOOSE(CONTROL!$C$9, $D$9, 100%, $F$9) + CHOOSE(CONTROL!$C$27, 0.0021, 0)</f>
        <v>131.13760000000002</v>
      </c>
      <c r="J800" s="14">
        <f>131.1355 * CHOOSE(CONTROL!$C$9, $D$9, 100%, $F$9) + CHOOSE(CONTROL!$C$27, 0.0021, 0)</f>
        <v>131.13760000000002</v>
      </c>
      <c r="K800" s="14">
        <f>131.1355 * CHOOSE(CONTROL!$C$9, $D$9, 100%, $F$9) + CHOOSE(CONTROL!$C$27, 0.0021, 0)</f>
        <v>131.13760000000002</v>
      </c>
      <c r="L800" s="14"/>
    </row>
    <row r="801" spans="1:12" ht="15.75" x14ac:dyDescent="0.25">
      <c r="A801" s="32">
        <v>65319</v>
      </c>
      <c r="B801" s="14">
        <f>127.0973 * CHOOSE(CONTROL!$C$9, $D$9, 100%, $F$9) + CHOOSE(CONTROL!$C$27, 0.0021, 0)</f>
        <v>127.0994</v>
      </c>
      <c r="C801" s="14">
        <f>126.665 * CHOOSE(CONTROL!$C$9, $D$9, 100%, $F$9) + CHOOSE(CONTROL!$C$27, 0.0021, 0)</f>
        <v>126.6671</v>
      </c>
      <c r="D801" s="14">
        <f>126.665 * CHOOSE(CONTROL!$C$9, $D$9, 100%, $F$9) + CHOOSE(CONTROL!$C$27, 0.0021, 0)</f>
        <v>126.6671</v>
      </c>
      <c r="E801" s="14">
        <f>126.5284 * CHOOSE(CONTROL!$C$9, $D$9, 100%, $F$9) + CHOOSE(CONTROL!$C$27, 0.0021, 0)</f>
        <v>126.5305</v>
      </c>
      <c r="F801" s="14">
        <f>126.5284 * CHOOSE(CONTROL!$C$9, $D$9, 100%, $F$9) + CHOOSE(CONTROL!$C$27, 0.0021, 0)</f>
        <v>126.5305</v>
      </c>
      <c r="G801" s="14">
        <f>126.7997 * CHOOSE(CONTROL!$C$9, $D$9, 100%, $F$9) + CHOOSE(CONTROL!$C$27, 0.0021, 0)</f>
        <v>126.8018</v>
      </c>
      <c r="H801" s="14">
        <f>126.665 * CHOOSE(CONTROL!$C$9, $D$9, 100%, $F$9) + CHOOSE(CONTROL!$C$27, 0.0021, 0)</f>
        <v>126.6671</v>
      </c>
      <c r="I801" s="14">
        <f>126.665 * CHOOSE(CONTROL!$C$9, $D$9, 100%, $F$9) + CHOOSE(CONTROL!$C$27, 0.0021, 0)</f>
        <v>126.6671</v>
      </c>
      <c r="J801" s="14">
        <f>126.665 * CHOOSE(CONTROL!$C$9, $D$9, 100%, $F$9) + CHOOSE(CONTROL!$C$27, 0.0021, 0)</f>
        <v>126.6671</v>
      </c>
      <c r="K801" s="14">
        <f>126.665 * CHOOSE(CONTROL!$C$9, $D$9, 100%, $F$9) + CHOOSE(CONTROL!$C$27, 0.0021, 0)</f>
        <v>126.6671</v>
      </c>
      <c r="L801" s="14"/>
    </row>
    <row r="802" spans="1:12" ht="15.75" x14ac:dyDescent="0.25">
      <c r="A802" s="32">
        <v>65349</v>
      </c>
      <c r="B802" s="14">
        <f>126.208 * CHOOSE(CONTROL!$C$9, $D$9, 100%, $F$9) + CHOOSE(CONTROL!$C$27, 0.0021, 0)</f>
        <v>126.2101</v>
      </c>
      <c r="C802" s="14">
        <f>125.7758 * CHOOSE(CONTROL!$C$9, $D$9, 100%, $F$9) + CHOOSE(CONTROL!$C$27, 0.0021, 0)</f>
        <v>125.7779</v>
      </c>
      <c r="D802" s="14">
        <f>125.7758 * CHOOSE(CONTROL!$C$9, $D$9, 100%, $F$9) + CHOOSE(CONTROL!$C$27, 0.0021, 0)</f>
        <v>125.7779</v>
      </c>
      <c r="E802" s="14">
        <f>125.6391 * CHOOSE(CONTROL!$C$9, $D$9, 100%, $F$9) + CHOOSE(CONTROL!$C$27, 0.0021, 0)</f>
        <v>125.6412</v>
      </c>
      <c r="F802" s="14">
        <f>125.6391 * CHOOSE(CONTROL!$C$9, $D$9, 100%, $F$9) + CHOOSE(CONTROL!$C$27, 0.0021, 0)</f>
        <v>125.6412</v>
      </c>
      <c r="G802" s="14">
        <f>125.9105 * CHOOSE(CONTROL!$C$9, $D$9, 100%, $F$9) + CHOOSE(CONTROL!$C$27, 0.0021, 0)</f>
        <v>125.9126</v>
      </c>
      <c r="H802" s="14">
        <f>125.7758 * CHOOSE(CONTROL!$C$9, $D$9, 100%, $F$9) + CHOOSE(CONTROL!$C$27, 0.0021, 0)</f>
        <v>125.7779</v>
      </c>
      <c r="I802" s="14">
        <f>125.7758 * CHOOSE(CONTROL!$C$9, $D$9, 100%, $F$9) + CHOOSE(CONTROL!$C$27, 0.0021, 0)</f>
        <v>125.7779</v>
      </c>
      <c r="J802" s="14">
        <f>125.7758 * CHOOSE(CONTROL!$C$9, $D$9, 100%, $F$9) + CHOOSE(CONTROL!$C$27, 0.0021, 0)</f>
        <v>125.7779</v>
      </c>
      <c r="K802" s="14">
        <f>125.7758 * CHOOSE(CONTROL!$C$9, $D$9, 100%, $F$9) + CHOOSE(CONTROL!$C$27, 0.0021, 0)</f>
        <v>125.7779</v>
      </c>
      <c r="L802" s="14"/>
    </row>
    <row r="803" spans="1:12" ht="15.75" x14ac:dyDescent="0.25">
      <c r="A803" s="32">
        <v>65380</v>
      </c>
      <c r="B803" s="14">
        <f>122.5308 * CHOOSE(CONTROL!$C$9, $D$9, 100%, $F$9) + CHOOSE(CONTROL!$C$27, 0.0021, 0)</f>
        <v>122.5329</v>
      </c>
      <c r="C803" s="14">
        <f>122.0986 * CHOOSE(CONTROL!$C$9, $D$9, 100%, $F$9) + CHOOSE(CONTROL!$C$27, 0.0021, 0)</f>
        <v>122.1007</v>
      </c>
      <c r="D803" s="14">
        <f>122.0986 * CHOOSE(CONTROL!$C$9, $D$9, 100%, $F$9) + CHOOSE(CONTROL!$C$27, 0.0021, 0)</f>
        <v>122.1007</v>
      </c>
      <c r="E803" s="14">
        <f>121.9619 * CHOOSE(CONTROL!$C$9, $D$9, 100%, $F$9) + CHOOSE(CONTROL!$C$27, 0.0021, 0)</f>
        <v>121.964</v>
      </c>
      <c r="F803" s="14">
        <f>121.9619 * CHOOSE(CONTROL!$C$9, $D$9, 100%, $F$9) + CHOOSE(CONTROL!$C$27, 0.0021, 0)</f>
        <v>121.964</v>
      </c>
      <c r="G803" s="14">
        <f>122.2333 * CHOOSE(CONTROL!$C$9, $D$9, 100%, $F$9) + CHOOSE(CONTROL!$C$27, 0.0021, 0)</f>
        <v>122.2354</v>
      </c>
      <c r="H803" s="14">
        <f>122.0986 * CHOOSE(CONTROL!$C$9, $D$9, 100%, $F$9) + CHOOSE(CONTROL!$C$27, 0.0021, 0)</f>
        <v>122.1007</v>
      </c>
      <c r="I803" s="14">
        <f>122.0986 * CHOOSE(CONTROL!$C$9, $D$9, 100%, $F$9) + CHOOSE(CONTROL!$C$27, 0.0021, 0)</f>
        <v>122.1007</v>
      </c>
      <c r="J803" s="14">
        <f>122.0986 * CHOOSE(CONTROL!$C$9, $D$9, 100%, $F$9) + CHOOSE(CONTROL!$C$27, 0.0021, 0)</f>
        <v>122.1007</v>
      </c>
      <c r="K803" s="14">
        <f>122.0986 * CHOOSE(CONTROL!$C$9, $D$9, 100%, $F$9) + CHOOSE(CONTROL!$C$27, 0.0021, 0)</f>
        <v>122.1007</v>
      </c>
      <c r="L803" s="14"/>
    </row>
    <row r="804" spans="1:12" ht="15.75" x14ac:dyDescent="0.25">
      <c r="A804" s="32">
        <v>65411</v>
      </c>
      <c r="B804" s="14">
        <f>121.8149 * CHOOSE(CONTROL!$C$9, $D$9, 100%, $F$9) + CHOOSE(CONTROL!$C$27, 0.0021, 0)</f>
        <v>121.81699999999999</v>
      </c>
      <c r="C804" s="14">
        <f>121.3826 * CHOOSE(CONTROL!$C$9, $D$9, 100%, $F$9) + CHOOSE(CONTROL!$C$27, 0.0021, 0)</f>
        <v>121.3847</v>
      </c>
      <c r="D804" s="14">
        <f>121.3826 * CHOOSE(CONTROL!$C$9, $D$9, 100%, $F$9) + CHOOSE(CONTROL!$C$27, 0.0021, 0)</f>
        <v>121.3847</v>
      </c>
      <c r="E804" s="14">
        <f>121.246 * CHOOSE(CONTROL!$C$9, $D$9, 100%, $F$9) + CHOOSE(CONTROL!$C$27, 0.0021, 0)</f>
        <v>121.24809999999999</v>
      </c>
      <c r="F804" s="14">
        <f>121.246 * CHOOSE(CONTROL!$C$9, $D$9, 100%, $F$9) + CHOOSE(CONTROL!$C$27, 0.0021, 0)</f>
        <v>121.24809999999999</v>
      </c>
      <c r="G804" s="14">
        <f>121.5174 * CHOOSE(CONTROL!$C$9, $D$9, 100%, $F$9) + CHOOSE(CONTROL!$C$27, 0.0021, 0)</f>
        <v>121.51949999999999</v>
      </c>
      <c r="H804" s="14">
        <f>121.3826 * CHOOSE(CONTROL!$C$9, $D$9, 100%, $F$9) + CHOOSE(CONTROL!$C$27, 0.0021, 0)</f>
        <v>121.3847</v>
      </c>
      <c r="I804" s="14">
        <f>121.3826 * CHOOSE(CONTROL!$C$9, $D$9, 100%, $F$9) + CHOOSE(CONTROL!$C$27, 0.0021, 0)</f>
        <v>121.3847</v>
      </c>
      <c r="J804" s="14">
        <f>121.3826 * CHOOSE(CONTROL!$C$9, $D$9, 100%, $F$9) + CHOOSE(CONTROL!$C$27, 0.0021, 0)</f>
        <v>121.3847</v>
      </c>
      <c r="K804" s="14">
        <f>121.3826 * CHOOSE(CONTROL!$C$9, $D$9, 100%, $F$9) + CHOOSE(CONTROL!$C$27, 0.0021, 0)</f>
        <v>121.3847</v>
      </c>
      <c r="L804" s="14"/>
    </row>
    <row r="805" spans="1:12" ht="15.75" x14ac:dyDescent="0.25">
      <c r="A805" s="32">
        <v>65439</v>
      </c>
      <c r="B805" s="14">
        <f>121.4827 * CHOOSE(CONTROL!$C$9, $D$9, 100%, $F$9) + CHOOSE(CONTROL!$C$27, 0.0021, 0)</f>
        <v>121.48479999999999</v>
      </c>
      <c r="C805" s="14">
        <f>121.0504 * CHOOSE(CONTROL!$C$9, $D$9, 100%, $F$9) + CHOOSE(CONTROL!$C$27, 0.0021, 0)</f>
        <v>121.05249999999999</v>
      </c>
      <c r="D805" s="14">
        <f>121.0504 * CHOOSE(CONTROL!$C$9, $D$9, 100%, $F$9) + CHOOSE(CONTROL!$C$27, 0.0021, 0)</f>
        <v>121.05249999999999</v>
      </c>
      <c r="E805" s="14">
        <f>120.9137 * CHOOSE(CONTROL!$C$9, $D$9, 100%, $F$9) + CHOOSE(CONTROL!$C$27, 0.0021, 0)</f>
        <v>120.9158</v>
      </c>
      <c r="F805" s="14">
        <f>120.9137 * CHOOSE(CONTROL!$C$9, $D$9, 100%, $F$9) + CHOOSE(CONTROL!$C$27, 0.0021, 0)</f>
        <v>120.9158</v>
      </c>
      <c r="G805" s="14">
        <f>121.1851 * CHOOSE(CONTROL!$C$9, $D$9, 100%, $F$9) + CHOOSE(CONTROL!$C$27, 0.0021, 0)</f>
        <v>121.1872</v>
      </c>
      <c r="H805" s="14">
        <f>121.0504 * CHOOSE(CONTROL!$C$9, $D$9, 100%, $F$9) + CHOOSE(CONTROL!$C$27, 0.0021, 0)</f>
        <v>121.05249999999999</v>
      </c>
      <c r="I805" s="14">
        <f>121.0504 * CHOOSE(CONTROL!$C$9, $D$9, 100%, $F$9) + CHOOSE(CONTROL!$C$27, 0.0021, 0)</f>
        <v>121.05249999999999</v>
      </c>
      <c r="J805" s="14">
        <f>121.0504 * CHOOSE(CONTROL!$C$9, $D$9, 100%, $F$9) + CHOOSE(CONTROL!$C$27, 0.0021, 0)</f>
        <v>121.05249999999999</v>
      </c>
      <c r="K805" s="14">
        <f>121.0504 * CHOOSE(CONTROL!$C$9, $D$9, 100%, $F$9) + CHOOSE(CONTROL!$C$27, 0.0021, 0)</f>
        <v>121.05249999999999</v>
      </c>
      <c r="L805" s="14"/>
    </row>
    <row r="806" spans="1:12" ht="15.75" x14ac:dyDescent="0.25">
      <c r="A806" s="32">
        <v>65470</v>
      </c>
      <c r="B806" s="14">
        <f>127.7647 * CHOOSE(CONTROL!$C$9, $D$9, 100%, $F$9) + CHOOSE(CONTROL!$C$27, 0.0021, 0)</f>
        <v>127.7668</v>
      </c>
      <c r="C806" s="14">
        <f>127.3324 * CHOOSE(CONTROL!$C$9, $D$9, 100%, $F$9) + CHOOSE(CONTROL!$C$27, 0.0021, 0)</f>
        <v>127.33450000000001</v>
      </c>
      <c r="D806" s="14">
        <f>127.3324 * CHOOSE(CONTROL!$C$9, $D$9, 100%, $F$9) + CHOOSE(CONTROL!$C$27, 0.0021, 0)</f>
        <v>127.33450000000001</v>
      </c>
      <c r="E806" s="14">
        <f>127.1958 * CHOOSE(CONTROL!$C$9, $D$9, 100%, $F$9) + CHOOSE(CONTROL!$C$27, 0.0021, 0)</f>
        <v>127.1979</v>
      </c>
      <c r="F806" s="14">
        <f>127.1958 * CHOOSE(CONTROL!$C$9, $D$9, 100%, $F$9) + CHOOSE(CONTROL!$C$27, 0.0021, 0)</f>
        <v>127.1979</v>
      </c>
      <c r="G806" s="14">
        <f>127.4671 * CHOOSE(CONTROL!$C$9, $D$9, 100%, $F$9) + CHOOSE(CONTROL!$C$27, 0.0021, 0)</f>
        <v>127.4692</v>
      </c>
      <c r="H806" s="14">
        <f>127.3324 * CHOOSE(CONTROL!$C$9, $D$9, 100%, $F$9) + CHOOSE(CONTROL!$C$27, 0.0021, 0)</f>
        <v>127.33450000000001</v>
      </c>
      <c r="I806" s="14">
        <f>127.3324 * CHOOSE(CONTROL!$C$9, $D$9, 100%, $F$9) + CHOOSE(CONTROL!$C$27, 0.0021, 0)</f>
        <v>127.33450000000001</v>
      </c>
      <c r="J806" s="14">
        <f>127.3324 * CHOOSE(CONTROL!$C$9, $D$9, 100%, $F$9) + CHOOSE(CONTROL!$C$27, 0.0021, 0)</f>
        <v>127.33450000000001</v>
      </c>
      <c r="K806" s="14">
        <f>127.3324 * CHOOSE(CONTROL!$C$9, $D$9, 100%, $F$9) + CHOOSE(CONTROL!$C$27, 0.0021, 0)</f>
        <v>127.33450000000001</v>
      </c>
      <c r="L806" s="14"/>
    </row>
    <row r="807" spans="1:12" ht="15.75" x14ac:dyDescent="0.25">
      <c r="A807" s="32">
        <v>65500</v>
      </c>
      <c r="B807" s="14">
        <f>135.9109 * CHOOSE(CONTROL!$C$9, $D$9, 100%, $F$9) + CHOOSE(CONTROL!$C$27, 0.0021, 0)</f>
        <v>135.91300000000001</v>
      </c>
      <c r="C807" s="14">
        <f>135.4787 * CHOOSE(CONTROL!$C$9, $D$9, 100%, $F$9) + CHOOSE(CONTROL!$C$27, 0.0021, 0)</f>
        <v>135.48080000000002</v>
      </c>
      <c r="D807" s="14">
        <f>135.4787 * CHOOSE(CONTROL!$C$9, $D$9, 100%, $F$9) + CHOOSE(CONTROL!$C$27, 0.0021, 0)</f>
        <v>135.48080000000002</v>
      </c>
      <c r="E807" s="14">
        <f>135.342 * CHOOSE(CONTROL!$C$9, $D$9, 100%, $F$9) + CHOOSE(CONTROL!$C$27, 0.0021, 0)</f>
        <v>135.34410000000003</v>
      </c>
      <c r="F807" s="14">
        <f>135.342 * CHOOSE(CONTROL!$C$9, $D$9, 100%, $F$9) + CHOOSE(CONTROL!$C$27, 0.0021, 0)</f>
        <v>135.34410000000003</v>
      </c>
      <c r="G807" s="14">
        <f>135.6134 * CHOOSE(CONTROL!$C$9, $D$9, 100%, $F$9) + CHOOSE(CONTROL!$C$27, 0.0021, 0)</f>
        <v>135.61550000000003</v>
      </c>
      <c r="H807" s="14">
        <f>135.4787 * CHOOSE(CONTROL!$C$9, $D$9, 100%, $F$9) + CHOOSE(CONTROL!$C$27, 0.0021, 0)</f>
        <v>135.48080000000002</v>
      </c>
      <c r="I807" s="14">
        <f>135.4787 * CHOOSE(CONTROL!$C$9, $D$9, 100%, $F$9) + CHOOSE(CONTROL!$C$27, 0.0021, 0)</f>
        <v>135.48080000000002</v>
      </c>
      <c r="J807" s="14">
        <f>135.4787 * CHOOSE(CONTROL!$C$9, $D$9, 100%, $F$9) + CHOOSE(CONTROL!$C$27, 0.0021, 0)</f>
        <v>135.48080000000002</v>
      </c>
      <c r="K807" s="14">
        <f>135.4787 * CHOOSE(CONTROL!$C$9, $D$9, 100%, $F$9) + CHOOSE(CONTROL!$C$27, 0.0021, 0)</f>
        <v>135.48080000000002</v>
      </c>
      <c r="L807" s="14"/>
    </row>
    <row r="808" spans="1:12" ht="15.75" x14ac:dyDescent="0.25">
      <c r="A808" s="32">
        <v>65531</v>
      </c>
      <c r="B808" s="14">
        <f>140.3949 * CHOOSE(CONTROL!$C$9, $D$9, 100%, $F$9) + CHOOSE(CONTROL!$C$27, 0.0021, 0)</f>
        <v>140.39700000000002</v>
      </c>
      <c r="C808" s="14">
        <f>139.9627 * CHOOSE(CONTROL!$C$9, $D$9, 100%, $F$9) + CHOOSE(CONTROL!$C$27, 0.0021, 0)</f>
        <v>139.96480000000003</v>
      </c>
      <c r="D808" s="14">
        <f>139.9627 * CHOOSE(CONTROL!$C$9, $D$9, 100%, $F$9) + CHOOSE(CONTROL!$C$27, 0.0021, 0)</f>
        <v>139.96480000000003</v>
      </c>
      <c r="E808" s="14">
        <f>139.826 * CHOOSE(CONTROL!$C$9, $D$9, 100%, $F$9) + CHOOSE(CONTROL!$C$27, 0.0021, 0)</f>
        <v>139.82810000000001</v>
      </c>
      <c r="F808" s="14">
        <f>139.826 * CHOOSE(CONTROL!$C$9, $D$9, 100%, $F$9) + CHOOSE(CONTROL!$C$27, 0.0021, 0)</f>
        <v>139.82810000000001</v>
      </c>
      <c r="G808" s="14">
        <f>140.0974 * CHOOSE(CONTROL!$C$9, $D$9, 100%, $F$9) + CHOOSE(CONTROL!$C$27, 0.0021, 0)</f>
        <v>140.09950000000001</v>
      </c>
      <c r="H808" s="14">
        <f>139.9627 * CHOOSE(CONTROL!$C$9, $D$9, 100%, $F$9) + CHOOSE(CONTROL!$C$27, 0.0021, 0)</f>
        <v>139.96480000000003</v>
      </c>
      <c r="I808" s="14">
        <f>139.9627 * CHOOSE(CONTROL!$C$9, $D$9, 100%, $F$9) + CHOOSE(CONTROL!$C$27, 0.0021, 0)</f>
        <v>139.96480000000003</v>
      </c>
      <c r="J808" s="14">
        <f>139.9627 * CHOOSE(CONTROL!$C$9, $D$9, 100%, $F$9) + CHOOSE(CONTROL!$C$27, 0.0021, 0)</f>
        <v>139.96480000000003</v>
      </c>
      <c r="K808" s="14">
        <f>139.9627 * CHOOSE(CONTROL!$C$9, $D$9, 100%, $F$9) + CHOOSE(CONTROL!$C$27, 0.0021, 0)</f>
        <v>139.96480000000003</v>
      </c>
      <c r="L808" s="14"/>
    </row>
    <row r="809" spans="1:12" ht="15.75" x14ac:dyDescent="0.25">
      <c r="A809" s="32">
        <v>65561</v>
      </c>
      <c r="B809" s="14">
        <f>142.3848 * CHOOSE(CONTROL!$C$9, $D$9, 100%, $F$9) + CHOOSE(CONTROL!$C$27, 0.0021, 0)</f>
        <v>142.38690000000003</v>
      </c>
      <c r="C809" s="14">
        <f>141.9526 * CHOOSE(CONTROL!$C$9, $D$9, 100%, $F$9) + CHOOSE(CONTROL!$C$27, 0.0021, 0)</f>
        <v>141.9547</v>
      </c>
      <c r="D809" s="14">
        <f>141.9526 * CHOOSE(CONTROL!$C$9, $D$9, 100%, $F$9) + CHOOSE(CONTROL!$C$27, 0.0021, 0)</f>
        <v>141.9547</v>
      </c>
      <c r="E809" s="14">
        <f>141.8159 * CHOOSE(CONTROL!$C$9, $D$9, 100%, $F$9) + CHOOSE(CONTROL!$C$27, 0.0021, 0)</f>
        <v>141.81800000000001</v>
      </c>
      <c r="F809" s="14">
        <f>141.8159 * CHOOSE(CONTROL!$C$9, $D$9, 100%, $F$9) + CHOOSE(CONTROL!$C$27, 0.0021, 0)</f>
        <v>141.81800000000001</v>
      </c>
      <c r="G809" s="14">
        <f>142.0873 * CHOOSE(CONTROL!$C$9, $D$9, 100%, $F$9) + CHOOSE(CONTROL!$C$27, 0.0021, 0)</f>
        <v>142.08940000000001</v>
      </c>
      <c r="H809" s="14">
        <f>141.9526 * CHOOSE(CONTROL!$C$9, $D$9, 100%, $F$9) + CHOOSE(CONTROL!$C$27, 0.0021, 0)</f>
        <v>141.9547</v>
      </c>
      <c r="I809" s="14">
        <f>141.9526 * CHOOSE(CONTROL!$C$9, $D$9, 100%, $F$9) + CHOOSE(CONTROL!$C$27, 0.0021, 0)</f>
        <v>141.9547</v>
      </c>
      <c r="J809" s="14">
        <f>141.9526 * CHOOSE(CONTROL!$C$9, $D$9, 100%, $F$9) + CHOOSE(CONTROL!$C$27, 0.0021, 0)</f>
        <v>141.9547</v>
      </c>
      <c r="K809" s="14">
        <f>141.9526 * CHOOSE(CONTROL!$C$9, $D$9, 100%, $F$9) + CHOOSE(CONTROL!$C$27, 0.0021, 0)</f>
        <v>141.9547</v>
      </c>
      <c r="L809" s="14"/>
    </row>
    <row r="810" spans="1:12" ht="15.75" x14ac:dyDescent="0.25">
      <c r="A810" s="32">
        <v>65592</v>
      </c>
      <c r="B810" s="14">
        <f>141.7297 * CHOOSE(CONTROL!$C$9, $D$9, 100%, $F$9) + CHOOSE(CONTROL!$C$27, 0.0021, 0)</f>
        <v>141.73180000000002</v>
      </c>
      <c r="C810" s="14">
        <f>141.2974 * CHOOSE(CONTROL!$C$9, $D$9, 100%, $F$9) + CHOOSE(CONTROL!$C$27, 0.0021, 0)</f>
        <v>141.29950000000002</v>
      </c>
      <c r="D810" s="14">
        <f>141.2974 * CHOOSE(CONTROL!$C$9, $D$9, 100%, $F$9) + CHOOSE(CONTROL!$C$27, 0.0021, 0)</f>
        <v>141.29950000000002</v>
      </c>
      <c r="E810" s="14">
        <f>141.1608 * CHOOSE(CONTROL!$C$9, $D$9, 100%, $F$9) + CHOOSE(CONTROL!$C$27, 0.0021, 0)</f>
        <v>141.16290000000001</v>
      </c>
      <c r="F810" s="14">
        <f>141.1608 * CHOOSE(CONTROL!$C$9, $D$9, 100%, $F$9) + CHOOSE(CONTROL!$C$27, 0.0021, 0)</f>
        <v>141.16290000000001</v>
      </c>
      <c r="G810" s="14">
        <f>141.4321 * CHOOSE(CONTROL!$C$9, $D$9, 100%, $F$9) + CHOOSE(CONTROL!$C$27, 0.0021, 0)</f>
        <v>141.4342</v>
      </c>
      <c r="H810" s="14">
        <f>141.2974 * CHOOSE(CONTROL!$C$9, $D$9, 100%, $F$9) + CHOOSE(CONTROL!$C$27, 0.0021, 0)</f>
        <v>141.29950000000002</v>
      </c>
      <c r="I810" s="14">
        <f>141.2974 * CHOOSE(CONTROL!$C$9, $D$9, 100%, $F$9) + CHOOSE(CONTROL!$C$27, 0.0021, 0)</f>
        <v>141.29950000000002</v>
      </c>
      <c r="J810" s="14">
        <f>141.2974 * CHOOSE(CONTROL!$C$9, $D$9, 100%, $F$9) + CHOOSE(CONTROL!$C$27, 0.0021, 0)</f>
        <v>141.29950000000002</v>
      </c>
      <c r="K810" s="14">
        <f>141.2974 * CHOOSE(CONTROL!$C$9, $D$9, 100%, $F$9) + CHOOSE(CONTROL!$C$27, 0.0021, 0)</f>
        <v>141.29950000000002</v>
      </c>
      <c r="L810" s="14"/>
    </row>
    <row r="811" spans="1:12" ht="15.75" x14ac:dyDescent="0.25">
      <c r="A811" s="32">
        <v>65623</v>
      </c>
      <c r="B811" s="14">
        <f>138.4836 * CHOOSE(CONTROL!$C$9, $D$9, 100%, $F$9) + CHOOSE(CONTROL!$C$27, 0.0021, 0)</f>
        <v>138.48570000000001</v>
      </c>
      <c r="C811" s="14">
        <f>138.0514 * CHOOSE(CONTROL!$C$9, $D$9, 100%, $F$9) + CHOOSE(CONTROL!$C$27, 0.0021, 0)</f>
        <v>138.05350000000001</v>
      </c>
      <c r="D811" s="14">
        <f>138.0514 * CHOOSE(CONTROL!$C$9, $D$9, 100%, $F$9) + CHOOSE(CONTROL!$C$27, 0.0021, 0)</f>
        <v>138.05350000000001</v>
      </c>
      <c r="E811" s="14">
        <f>137.9147 * CHOOSE(CONTROL!$C$9, $D$9, 100%, $F$9) + CHOOSE(CONTROL!$C$27, 0.0021, 0)</f>
        <v>137.91680000000002</v>
      </c>
      <c r="F811" s="14">
        <f>137.9147 * CHOOSE(CONTROL!$C$9, $D$9, 100%, $F$9) + CHOOSE(CONTROL!$C$27, 0.0021, 0)</f>
        <v>137.91680000000002</v>
      </c>
      <c r="G811" s="14">
        <f>138.1861 * CHOOSE(CONTROL!$C$9, $D$9, 100%, $F$9) + CHOOSE(CONTROL!$C$27, 0.0021, 0)</f>
        <v>138.18820000000002</v>
      </c>
      <c r="H811" s="14">
        <f>138.0514 * CHOOSE(CONTROL!$C$9, $D$9, 100%, $F$9) + CHOOSE(CONTROL!$C$27, 0.0021, 0)</f>
        <v>138.05350000000001</v>
      </c>
      <c r="I811" s="14">
        <f>138.0514 * CHOOSE(CONTROL!$C$9, $D$9, 100%, $F$9) + CHOOSE(CONTROL!$C$27, 0.0021, 0)</f>
        <v>138.05350000000001</v>
      </c>
      <c r="J811" s="14">
        <f>138.0514 * CHOOSE(CONTROL!$C$9, $D$9, 100%, $F$9) + CHOOSE(CONTROL!$C$27, 0.0021, 0)</f>
        <v>138.05350000000001</v>
      </c>
      <c r="K811" s="14">
        <f>138.0514 * CHOOSE(CONTROL!$C$9, $D$9, 100%, $F$9) + CHOOSE(CONTROL!$C$27, 0.0021, 0)</f>
        <v>138.05350000000001</v>
      </c>
      <c r="L811" s="14"/>
    </row>
    <row r="812" spans="1:12" ht="15.75" x14ac:dyDescent="0.25">
      <c r="A812" s="32">
        <v>65653</v>
      </c>
      <c r="B812" s="14">
        <f>133.9569 * CHOOSE(CONTROL!$C$9, $D$9, 100%, $F$9) + CHOOSE(CONTROL!$C$27, 0.0021, 0)</f>
        <v>133.959</v>
      </c>
      <c r="C812" s="14">
        <f>133.5246 * CHOOSE(CONTROL!$C$9, $D$9, 100%, $F$9) + CHOOSE(CONTROL!$C$27, 0.0021, 0)</f>
        <v>133.52670000000001</v>
      </c>
      <c r="D812" s="14">
        <f>133.5246 * CHOOSE(CONTROL!$C$9, $D$9, 100%, $F$9) + CHOOSE(CONTROL!$C$27, 0.0021, 0)</f>
        <v>133.52670000000001</v>
      </c>
      <c r="E812" s="14">
        <f>133.3879 * CHOOSE(CONTROL!$C$9, $D$9, 100%, $F$9) + CHOOSE(CONTROL!$C$27, 0.0021, 0)</f>
        <v>133.39000000000001</v>
      </c>
      <c r="F812" s="14">
        <f>133.3879 * CHOOSE(CONTROL!$C$9, $D$9, 100%, $F$9) + CHOOSE(CONTROL!$C$27, 0.0021, 0)</f>
        <v>133.39000000000001</v>
      </c>
      <c r="G812" s="14">
        <f>133.6593 * CHOOSE(CONTROL!$C$9, $D$9, 100%, $F$9) + CHOOSE(CONTROL!$C$27, 0.0021, 0)</f>
        <v>133.66140000000001</v>
      </c>
      <c r="H812" s="14">
        <f>133.5246 * CHOOSE(CONTROL!$C$9, $D$9, 100%, $F$9) + CHOOSE(CONTROL!$C$27, 0.0021, 0)</f>
        <v>133.52670000000001</v>
      </c>
      <c r="I812" s="14">
        <f>133.5246 * CHOOSE(CONTROL!$C$9, $D$9, 100%, $F$9) + CHOOSE(CONTROL!$C$27, 0.0021, 0)</f>
        <v>133.52670000000001</v>
      </c>
      <c r="J812" s="14">
        <f>133.5246 * CHOOSE(CONTROL!$C$9, $D$9, 100%, $F$9) + CHOOSE(CONTROL!$C$27, 0.0021, 0)</f>
        <v>133.52670000000001</v>
      </c>
      <c r="K812" s="14">
        <f>133.5246 * CHOOSE(CONTROL!$C$9, $D$9, 100%, $F$9) + CHOOSE(CONTROL!$C$27, 0.0021, 0)</f>
        <v>133.52670000000001</v>
      </c>
      <c r="L812" s="14"/>
    </row>
    <row r="813" spans="1:12" ht="15.75" x14ac:dyDescent="0.25">
      <c r="A813" s="32">
        <v>65684</v>
      </c>
      <c r="B813" s="14">
        <f>129.4038 * CHOOSE(CONTROL!$C$9, $D$9, 100%, $F$9) + CHOOSE(CONTROL!$C$27, 0.0021, 0)</f>
        <v>129.4059</v>
      </c>
      <c r="C813" s="14">
        <f>128.9715 * CHOOSE(CONTROL!$C$9, $D$9, 100%, $F$9) + CHOOSE(CONTROL!$C$27, 0.0021, 0)</f>
        <v>128.9736</v>
      </c>
      <c r="D813" s="14">
        <f>128.9715 * CHOOSE(CONTROL!$C$9, $D$9, 100%, $F$9) + CHOOSE(CONTROL!$C$27, 0.0021, 0)</f>
        <v>128.9736</v>
      </c>
      <c r="E813" s="14">
        <f>128.8349 * CHOOSE(CONTROL!$C$9, $D$9, 100%, $F$9) + CHOOSE(CONTROL!$C$27, 0.0021, 0)</f>
        <v>128.83700000000002</v>
      </c>
      <c r="F813" s="14">
        <f>128.8349 * CHOOSE(CONTROL!$C$9, $D$9, 100%, $F$9) + CHOOSE(CONTROL!$C$27, 0.0021, 0)</f>
        <v>128.83700000000002</v>
      </c>
      <c r="G813" s="14">
        <f>129.1062 * CHOOSE(CONTROL!$C$9, $D$9, 100%, $F$9) + CHOOSE(CONTROL!$C$27, 0.0021, 0)</f>
        <v>129.10830000000001</v>
      </c>
      <c r="H813" s="14">
        <f>128.9715 * CHOOSE(CONTROL!$C$9, $D$9, 100%, $F$9) + CHOOSE(CONTROL!$C$27, 0.0021, 0)</f>
        <v>128.9736</v>
      </c>
      <c r="I813" s="14">
        <f>128.9715 * CHOOSE(CONTROL!$C$9, $D$9, 100%, $F$9) + CHOOSE(CONTROL!$C$27, 0.0021, 0)</f>
        <v>128.9736</v>
      </c>
      <c r="J813" s="14">
        <f>128.9715 * CHOOSE(CONTROL!$C$9, $D$9, 100%, $F$9) + CHOOSE(CONTROL!$C$27, 0.0021, 0)</f>
        <v>128.9736</v>
      </c>
      <c r="K813" s="14">
        <f>128.9715 * CHOOSE(CONTROL!$C$9, $D$9, 100%, $F$9) + CHOOSE(CONTROL!$C$27, 0.0021, 0)</f>
        <v>128.9736</v>
      </c>
      <c r="L813" s="14"/>
    </row>
    <row r="814" spans="1:12" ht="15.75" x14ac:dyDescent="0.25">
      <c r="A814" s="32">
        <v>65714</v>
      </c>
      <c r="B814" s="14">
        <f>128.4981 * CHOOSE(CONTROL!$C$9, $D$9, 100%, $F$9) + CHOOSE(CONTROL!$C$27, 0.0021, 0)</f>
        <v>128.50020000000001</v>
      </c>
      <c r="C814" s="14">
        <f>128.0658 * CHOOSE(CONTROL!$C$9, $D$9, 100%, $F$9) + CHOOSE(CONTROL!$C$27, 0.0021, 0)</f>
        <v>128.06790000000001</v>
      </c>
      <c r="D814" s="14">
        <f>128.0658 * CHOOSE(CONTROL!$C$9, $D$9, 100%, $F$9) + CHOOSE(CONTROL!$C$27, 0.0021, 0)</f>
        <v>128.06790000000001</v>
      </c>
      <c r="E814" s="14">
        <f>127.9292 * CHOOSE(CONTROL!$C$9, $D$9, 100%, $F$9) + CHOOSE(CONTROL!$C$27, 0.0021, 0)</f>
        <v>127.93129999999999</v>
      </c>
      <c r="F814" s="14">
        <f>127.9292 * CHOOSE(CONTROL!$C$9, $D$9, 100%, $F$9) + CHOOSE(CONTROL!$C$27, 0.0021, 0)</f>
        <v>127.93129999999999</v>
      </c>
      <c r="G814" s="14">
        <f>128.2005 * CHOOSE(CONTROL!$C$9, $D$9, 100%, $F$9) + CHOOSE(CONTROL!$C$27, 0.0021, 0)</f>
        <v>128.20260000000002</v>
      </c>
      <c r="H814" s="14">
        <f>128.0658 * CHOOSE(CONTROL!$C$9, $D$9, 100%, $F$9) + CHOOSE(CONTROL!$C$27, 0.0021, 0)</f>
        <v>128.06790000000001</v>
      </c>
      <c r="I814" s="14">
        <f>128.0658 * CHOOSE(CONTROL!$C$9, $D$9, 100%, $F$9) + CHOOSE(CONTROL!$C$27, 0.0021, 0)</f>
        <v>128.06790000000001</v>
      </c>
      <c r="J814" s="14">
        <f>128.0658 * CHOOSE(CONTROL!$C$9, $D$9, 100%, $F$9) + CHOOSE(CONTROL!$C$27, 0.0021, 0)</f>
        <v>128.06790000000001</v>
      </c>
      <c r="K814" s="14">
        <f>128.0658 * CHOOSE(CONTROL!$C$9, $D$9, 100%, $F$9) + CHOOSE(CONTROL!$C$27, 0.0021, 0)</f>
        <v>128.06790000000001</v>
      </c>
      <c r="L814" s="14"/>
    </row>
    <row r="815" spans="1:12" ht="15.75" x14ac:dyDescent="0.25">
      <c r="A815" s="32">
        <v>65745</v>
      </c>
      <c r="B815" s="14">
        <f>124.7529 * CHOOSE(CONTROL!$C$9, $D$9, 100%, $F$9) + CHOOSE(CONTROL!$C$27, 0.0021, 0)</f>
        <v>124.755</v>
      </c>
      <c r="C815" s="14">
        <f>124.3206 * CHOOSE(CONTROL!$C$9, $D$9, 100%, $F$9) + CHOOSE(CONTROL!$C$27, 0.0021, 0)</f>
        <v>124.3227</v>
      </c>
      <c r="D815" s="14">
        <f>124.3206 * CHOOSE(CONTROL!$C$9, $D$9, 100%, $F$9) + CHOOSE(CONTROL!$C$27, 0.0021, 0)</f>
        <v>124.3227</v>
      </c>
      <c r="E815" s="14">
        <f>124.184 * CHOOSE(CONTROL!$C$9, $D$9, 100%, $F$9) + CHOOSE(CONTROL!$C$27, 0.0021, 0)</f>
        <v>124.1861</v>
      </c>
      <c r="F815" s="14">
        <f>124.184 * CHOOSE(CONTROL!$C$9, $D$9, 100%, $F$9) + CHOOSE(CONTROL!$C$27, 0.0021, 0)</f>
        <v>124.1861</v>
      </c>
      <c r="G815" s="14">
        <f>124.4554 * CHOOSE(CONTROL!$C$9, $D$9, 100%, $F$9) + CHOOSE(CONTROL!$C$27, 0.0021, 0)</f>
        <v>124.4575</v>
      </c>
      <c r="H815" s="14">
        <f>124.3206 * CHOOSE(CONTROL!$C$9, $D$9, 100%, $F$9) + CHOOSE(CONTROL!$C$27, 0.0021, 0)</f>
        <v>124.3227</v>
      </c>
      <c r="I815" s="14">
        <f>124.3206 * CHOOSE(CONTROL!$C$9, $D$9, 100%, $F$9) + CHOOSE(CONTROL!$C$27, 0.0021, 0)</f>
        <v>124.3227</v>
      </c>
      <c r="J815" s="14">
        <f>124.3206 * CHOOSE(CONTROL!$C$9, $D$9, 100%, $F$9) + CHOOSE(CONTROL!$C$27, 0.0021, 0)</f>
        <v>124.3227</v>
      </c>
      <c r="K815" s="14">
        <f>124.3206 * CHOOSE(CONTROL!$C$9, $D$9, 100%, $F$9) + CHOOSE(CONTROL!$C$27, 0.0021, 0)</f>
        <v>124.3227</v>
      </c>
      <c r="L815" s="14"/>
    </row>
    <row r="816" spans="1:12" ht="15.75" x14ac:dyDescent="0.25">
      <c r="A816" s="32">
        <v>65776</v>
      </c>
      <c r="B816" s="14">
        <f>124.0238 * CHOOSE(CONTROL!$C$9, $D$9, 100%, $F$9) + CHOOSE(CONTROL!$C$27, 0.0021, 0)</f>
        <v>124.02589999999999</v>
      </c>
      <c r="C816" s="14">
        <f>123.5915 * CHOOSE(CONTROL!$C$9, $D$9, 100%, $F$9) + CHOOSE(CONTROL!$C$27, 0.0021, 0)</f>
        <v>123.5936</v>
      </c>
      <c r="D816" s="14">
        <f>123.5915 * CHOOSE(CONTROL!$C$9, $D$9, 100%, $F$9) + CHOOSE(CONTROL!$C$27, 0.0021, 0)</f>
        <v>123.5936</v>
      </c>
      <c r="E816" s="14">
        <f>123.4548 * CHOOSE(CONTROL!$C$9, $D$9, 100%, $F$9) + CHOOSE(CONTROL!$C$27, 0.0021, 0)</f>
        <v>123.4569</v>
      </c>
      <c r="F816" s="14">
        <f>123.4548 * CHOOSE(CONTROL!$C$9, $D$9, 100%, $F$9) + CHOOSE(CONTROL!$C$27, 0.0021, 0)</f>
        <v>123.4569</v>
      </c>
      <c r="G816" s="14">
        <f>123.7262 * CHOOSE(CONTROL!$C$9, $D$9, 100%, $F$9) + CHOOSE(CONTROL!$C$27, 0.0021, 0)</f>
        <v>123.7283</v>
      </c>
      <c r="H816" s="14">
        <f>123.5915 * CHOOSE(CONTROL!$C$9, $D$9, 100%, $F$9) + CHOOSE(CONTROL!$C$27, 0.0021, 0)</f>
        <v>123.5936</v>
      </c>
      <c r="I816" s="14">
        <f>123.5915 * CHOOSE(CONTROL!$C$9, $D$9, 100%, $F$9) + CHOOSE(CONTROL!$C$27, 0.0021, 0)</f>
        <v>123.5936</v>
      </c>
      <c r="J816" s="14">
        <f>123.5915 * CHOOSE(CONTROL!$C$9, $D$9, 100%, $F$9) + CHOOSE(CONTROL!$C$27, 0.0021, 0)</f>
        <v>123.5936</v>
      </c>
      <c r="K816" s="14">
        <f>123.5915 * CHOOSE(CONTROL!$C$9, $D$9, 100%, $F$9) + CHOOSE(CONTROL!$C$27, 0.0021, 0)</f>
        <v>123.5936</v>
      </c>
      <c r="L816" s="14"/>
    </row>
    <row r="817" spans="1:12" ht="15.75" x14ac:dyDescent="0.25">
      <c r="A817" s="32">
        <v>65805</v>
      </c>
      <c r="B817" s="14">
        <f>123.6854 * CHOOSE(CONTROL!$C$9, $D$9, 100%, $F$9) + CHOOSE(CONTROL!$C$27, 0.0021, 0)</f>
        <v>123.6875</v>
      </c>
      <c r="C817" s="14">
        <f>123.2531 * CHOOSE(CONTROL!$C$9, $D$9, 100%, $F$9) + CHOOSE(CONTROL!$C$27, 0.0021, 0)</f>
        <v>123.2552</v>
      </c>
      <c r="D817" s="14">
        <f>123.2531 * CHOOSE(CONTROL!$C$9, $D$9, 100%, $F$9) + CHOOSE(CONTROL!$C$27, 0.0021, 0)</f>
        <v>123.2552</v>
      </c>
      <c r="E817" s="14">
        <f>123.1165 * CHOOSE(CONTROL!$C$9, $D$9, 100%, $F$9) + CHOOSE(CONTROL!$C$27, 0.0021, 0)</f>
        <v>123.1186</v>
      </c>
      <c r="F817" s="14">
        <f>123.1165 * CHOOSE(CONTROL!$C$9, $D$9, 100%, $F$9) + CHOOSE(CONTROL!$C$27, 0.0021, 0)</f>
        <v>123.1186</v>
      </c>
      <c r="G817" s="14">
        <f>123.3878 * CHOOSE(CONTROL!$C$9, $D$9, 100%, $F$9) + CHOOSE(CONTROL!$C$27, 0.0021, 0)</f>
        <v>123.3899</v>
      </c>
      <c r="H817" s="14">
        <f>123.2531 * CHOOSE(CONTROL!$C$9, $D$9, 100%, $F$9) + CHOOSE(CONTROL!$C$27, 0.0021, 0)</f>
        <v>123.2552</v>
      </c>
      <c r="I817" s="14">
        <f>123.2531 * CHOOSE(CONTROL!$C$9, $D$9, 100%, $F$9) + CHOOSE(CONTROL!$C$27, 0.0021, 0)</f>
        <v>123.2552</v>
      </c>
      <c r="J817" s="14">
        <f>123.2531 * CHOOSE(CONTROL!$C$9, $D$9, 100%, $F$9) + CHOOSE(CONTROL!$C$27, 0.0021, 0)</f>
        <v>123.2552</v>
      </c>
      <c r="K817" s="14">
        <f>123.2531 * CHOOSE(CONTROL!$C$9, $D$9, 100%, $F$9) + CHOOSE(CONTROL!$C$27, 0.0021, 0)</f>
        <v>123.2552</v>
      </c>
      <c r="L817" s="14"/>
    </row>
    <row r="818" spans="1:12" ht="15.75" x14ac:dyDescent="0.25">
      <c r="A818" s="32">
        <v>65836</v>
      </c>
      <c r="B818" s="14">
        <f>130.0835 * CHOOSE(CONTROL!$C$9, $D$9, 100%, $F$9) + CHOOSE(CONTROL!$C$27, 0.0021, 0)</f>
        <v>130.0856</v>
      </c>
      <c r="C818" s="14">
        <f>129.6512 * CHOOSE(CONTROL!$C$9, $D$9, 100%, $F$9) + CHOOSE(CONTROL!$C$27, 0.0021, 0)</f>
        <v>129.6533</v>
      </c>
      <c r="D818" s="14">
        <f>129.6512 * CHOOSE(CONTROL!$C$9, $D$9, 100%, $F$9) + CHOOSE(CONTROL!$C$27, 0.0021, 0)</f>
        <v>129.6533</v>
      </c>
      <c r="E818" s="14">
        <f>129.5146 * CHOOSE(CONTROL!$C$9, $D$9, 100%, $F$9) + CHOOSE(CONTROL!$C$27, 0.0021, 0)</f>
        <v>129.51670000000001</v>
      </c>
      <c r="F818" s="14">
        <f>129.5146 * CHOOSE(CONTROL!$C$9, $D$9, 100%, $F$9) + CHOOSE(CONTROL!$C$27, 0.0021, 0)</f>
        <v>129.51670000000001</v>
      </c>
      <c r="G818" s="14">
        <f>129.786 * CHOOSE(CONTROL!$C$9, $D$9, 100%, $F$9) + CHOOSE(CONTROL!$C$27, 0.0021, 0)</f>
        <v>129.78810000000001</v>
      </c>
      <c r="H818" s="14">
        <f>129.6512 * CHOOSE(CONTROL!$C$9, $D$9, 100%, $F$9) + CHOOSE(CONTROL!$C$27, 0.0021, 0)</f>
        <v>129.6533</v>
      </c>
      <c r="I818" s="14">
        <f>129.6512 * CHOOSE(CONTROL!$C$9, $D$9, 100%, $F$9) + CHOOSE(CONTROL!$C$27, 0.0021, 0)</f>
        <v>129.6533</v>
      </c>
      <c r="J818" s="14">
        <f>129.6512 * CHOOSE(CONTROL!$C$9, $D$9, 100%, $F$9) + CHOOSE(CONTROL!$C$27, 0.0021, 0)</f>
        <v>129.6533</v>
      </c>
      <c r="K818" s="14">
        <f>129.6512 * CHOOSE(CONTROL!$C$9, $D$9, 100%, $F$9) + CHOOSE(CONTROL!$C$27, 0.0021, 0)</f>
        <v>129.6533</v>
      </c>
      <c r="L818" s="14"/>
    </row>
    <row r="819" spans="1:12" ht="15.75" x14ac:dyDescent="0.25">
      <c r="A819" s="32">
        <v>65866</v>
      </c>
      <c r="B819" s="14">
        <f>138.3803 * CHOOSE(CONTROL!$C$9, $D$9, 100%, $F$9) + CHOOSE(CONTROL!$C$27, 0.0021, 0)</f>
        <v>138.38240000000002</v>
      </c>
      <c r="C819" s="14">
        <f>137.9481 * CHOOSE(CONTROL!$C$9, $D$9, 100%, $F$9) + CHOOSE(CONTROL!$C$27, 0.0021, 0)</f>
        <v>137.95020000000002</v>
      </c>
      <c r="D819" s="14">
        <f>137.9481 * CHOOSE(CONTROL!$C$9, $D$9, 100%, $F$9) + CHOOSE(CONTROL!$C$27, 0.0021, 0)</f>
        <v>137.95020000000002</v>
      </c>
      <c r="E819" s="14">
        <f>137.8114 * CHOOSE(CONTROL!$C$9, $D$9, 100%, $F$9) + CHOOSE(CONTROL!$C$27, 0.0021, 0)</f>
        <v>137.8135</v>
      </c>
      <c r="F819" s="14">
        <f>137.8114 * CHOOSE(CONTROL!$C$9, $D$9, 100%, $F$9) + CHOOSE(CONTROL!$C$27, 0.0021, 0)</f>
        <v>137.8135</v>
      </c>
      <c r="G819" s="14">
        <f>138.0828 * CHOOSE(CONTROL!$C$9, $D$9, 100%, $F$9) + CHOOSE(CONTROL!$C$27, 0.0021, 0)</f>
        <v>138.0849</v>
      </c>
      <c r="H819" s="14">
        <f>137.9481 * CHOOSE(CONTROL!$C$9, $D$9, 100%, $F$9) + CHOOSE(CONTROL!$C$27, 0.0021, 0)</f>
        <v>137.95020000000002</v>
      </c>
      <c r="I819" s="14">
        <f>137.9481 * CHOOSE(CONTROL!$C$9, $D$9, 100%, $F$9) + CHOOSE(CONTROL!$C$27, 0.0021, 0)</f>
        <v>137.95020000000002</v>
      </c>
      <c r="J819" s="14">
        <f>137.9481 * CHOOSE(CONTROL!$C$9, $D$9, 100%, $F$9) + CHOOSE(CONTROL!$C$27, 0.0021, 0)</f>
        <v>137.95020000000002</v>
      </c>
      <c r="K819" s="14">
        <f>137.9481 * CHOOSE(CONTROL!$C$9, $D$9, 100%, $F$9) + CHOOSE(CONTROL!$C$27, 0.0021, 0)</f>
        <v>137.95020000000002</v>
      </c>
      <c r="L819" s="14"/>
    </row>
    <row r="820" spans="1:12" ht="15.75" x14ac:dyDescent="0.25">
      <c r="A820" s="32">
        <v>65897</v>
      </c>
      <c r="B820" s="14">
        <f>142.9472 * CHOOSE(CONTROL!$C$9, $D$9, 100%, $F$9) + CHOOSE(CONTROL!$C$27, 0.0021, 0)</f>
        <v>142.94930000000002</v>
      </c>
      <c r="C820" s="14">
        <f>142.5149 * CHOOSE(CONTROL!$C$9, $D$9, 100%, $F$9) + CHOOSE(CONTROL!$C$27, 0.0021, 0)</f>
        <v>142.51700000000002</v>
      </c>
      <c r="D820" s="14">
        <f>142.5149 * CHOOSE(CONTROL!$C$9, $D$9, 100%, $F$9) + CHOOSE(CONTROL!$C$27, 0.0021, 0)</f>
        <v>142.51700000000002</v>
      </c>
      <c r="E820" s="14">
        <f>142.3783 * CHOOSE(CONTROL!$C$9, $D$9, 100%, $F$9) + CHOOSE(CONTROL!$C$27, 0.0021, 0)</f>
        <v>142.38040000000001</v>
      </c>
      <c r="F820" s="14">
        <f>142.3783 * CHOOSE(CONTROL!$C$9, $D$9, 100%, $F$9) + CHOOSE(CONTROL!$C$27, 0.0021, 0)</f>
        <v>142.38040000000001</v>
      </c>
      <c r="G820" s="14">
        <f>142.6496 * CHOOSE(CONTROL!$C$9, $D$9, 100%, $F$9) + CHOOSE(CONTROL!$C$27, 0.0021, 0)</f>
        <v>142.65170000000001</v>
      </c>
      <c r="H820" s="14">
        <f>142.5149 * CHOOSE(CONTROL!$C$9, $D$9, 100%, $F$9) + CHOOSE(CONTROL!$C$27, 0.0021, 0)</f>
        <v>142.51700000000002</v>
      </c>
      <c r="I820" s="14">
        <f>142.5149 * CHOOSE(CONTROL!$C$9, $D$9, 100%, $F$9) + CHOOSE(CONTROL!$C$27, 0.0021, 0)</f>
        <v>142.51700000000002</v>
      </c>
      <c r="J820" s="14">
        <f>142.5149 * CHOOSE(CONTROL!$C$9, $D$9, 100%, $F$9) + CHOOSE(CONTROL!$C$27, 0.0021, 0)</f>
        <v>142.51700000000002</v>
      </c>
      <c r="K820" s="14">
        <f>142.5149 * CHOOSE(CONTROL!$C$9, $D$9, 100%, $F$9) + CHOOSE(CONTROL!$C$27, 0.0021, 0)</f>
        <v>142.51700000000002</v>
      </c>
      <c r="L820" s="14"/>
    </row>
    <row r="821" spans="1:12" ht="15.75" x14ac:dyDescent="0.25">
      <c r="A821" s="32">
        <v>65927</v>
      </c>
      <c r="B821" s="14">
        <f>144.9738 * CHOOSE(CONTROL!$C$9, $D$9, 100%, $F$9) + CHOOSE(CONTROL!$C$27, 0.0021, 0)</f>
        <v>144.97590000000002</v>
      </c>
      <c r="C821" s="14">
        <f>144.5416 * CHOOSE(CONTROL!$C$9, $D$9, 100%, $F$9) + CHOOSE(CONTROL!$C$27, 0.0021, 0)</f>
        <v>144.5437</v>
      </c>
      <c r="D821" s="14">
        <f>144.5416 * CHOOSE(CONTROL!$C$9, $D$9, 100%, $F$9) + CHOOSE(CONTROL!$C$27, 0.0021, 0)</f>
        <v>144.5437</v>
      </c>
      <c r="E821" s="14">
        <f>144.4049 * CHOOSE(CONTROL!$C$9, $D$9, 100%, $F$9) + CHOOSE(CONTROL!$C$27, 0.0021, 0)</f>
        <v>144.40700000000001</v>
      </c>
      <c r="F821" s="14">
        <f>144.4049 * CHOOSE(CONTROL!$C$9, $D$9, 100%, $F$9) + CHOOSE(CONTROL!$C$27, 0.0021, 0)</f>
        <v>144.40700000000001</v>
      </c>
      <c r="G821" s="14">
        <f>144.6763 * CHOOSE(CONTROL!$C$9, $D$9, 100%, $F$9) + CHOOSE(CONTROL!$C$27, 0.0021, 0)</f>
        <v>144.67840000000001</v>
      </c>
      <c r="H821" s="14">
        <f>144.5416 * CHOOSE(CONTROL!$C$9, $D$9, 100%, $F$9) + CHOOSE(CONTROL!$C$27, 0.0021, 0)</f>
        <v>144.5437</v>
      </c>
      <c r="I821" s="14">
        <f>144.5416 * CHOOSE(CONTROL!$C$9, $D$9, 100%, $F$9) + CHOOSE(CONTROL!$C$27, 0.0021, 0)</f>
        <v>144.5437</v>
      </c>
      <c r="J821" s="14">
        <f>144.5416 * CHOOSE(CONTROL!$C$9, $D$9, 100%, $F$9) + CHOOSE(CONTROL!$C$27, 0.0021, 0)</f>
        <v>144.5437</v>
      </c>
      <c r="K821" s="14">
        <f>144.5416 * CHOOSE(CONTROL!$C$9, $D$9, 100%, $F$9) + CHOOSE(CONTROL!$C$27, 0.0021, 0)</f>
        <v>144.5437</v>
      </c>
      <c r="L821" s="14"/>
    </row>
    <row r="822" spans="1:12" ht="15.75" x14ac:dyDescent="0.25">
      <c r="A822" s="32">
        <v>65958</v>
      </c>
      <c r="B822" s="14">
        <f>144.3066 * CHOOSE(CONTROL!$C$9, $D$9, 100%, $F$9) + CHOOSE(CONTROL!$C$27, 0.0021, 0)</f>
        <v>144.30870000000002</v>
      </c>
      <c r="C822" s="14">
        <f>143.8743 * CHOOSE(CONTROL!$C$9, $D$9, 100%, $F$9) + CHOOSE(CONTROL!$C$27, 0.0021, 0)</f>
        <v>143.87640000000002</v>
      </c>
      <c r="D822" s="14">
        <f>143.8743 * CHOOSE(CONTROL!$C$9, $D$9, 100%, $F$9) + CHOOSE(CONTROL!$C$27, 0.0021, 0)</f>
        <v>143.87640000000002</v>
      </c>
      <c r="E822" s="14">
        <f>143.7377 * CHOOSE(CONTROL!$C$9, $D$9, 100%, $F$9) + CHOOSE(CONTROL!$C$27, 0.0021, 0)</f>
        <v>143.7398</v>
      </c>
      <c r="F822" s="14">
        <f>143.7377 * CHOOSE(CONTROL!$C$9, $D$9, 100%, $F$9) + CHOOSE(CONTROL!$C$27, 0.0021, 0)</f>
        <v>143.7398</v>
      </c>
      <c r="G822" s="14">
        <f>144.009 * CHOOSE(CONTROL!$C$9, $D$9, 100%, $F$9) + CHOOSE(CONTROL!$C$27, 0.0021, 0)</f>
        <v>144.0111</v>
      </c>
      <c r="H822" s="14">
        <f>143.8743 * CHOOSE(CONTROL!$C$9, $D$9, 100%, $F$9) + CHOOSE(CONTROL!$C$27, 0.0021, 0)</f>
        <v>143.87640000000002</v>
      </c>
      <c r="I822" s="14">
        <f>143.8743 * CHOOSE(CONTROL!$C$9, $D$9, 100%, $F$9) + CHOOSE(CONTROL!$C$27, 0.0021, 0)</f>
        <v>143.87640000000002</v>
      </c>
      <c r="J822" s="14">
        <f>143.8743 * CHOOSE(CONTROL!$C$9, $D$9, 100%, $F$9) + CHOOSE(CONTROL!$C$27, 0.0021, 0)</f>
        <v>143.87640000000002</v>
      </c>
      <c r="K822" s="14">
        <f>143.8743 * CHOOSE(CONTROL!$C$9, $D$9, 100%, $F$9) + CHOOSE(CONTROL!$C$27, 0.0021, 0)</f>
        <v>143.87640000000002</v>
      </c>
      <c r="L822" s="14"/>
    </row>
    <row r="823" spans="1:12" ht="15.75" x14ac:dyDescent="0.25">
      <c r="A823" s="32">
        <v>65989</v>
      </c>
      <c r="B823" s="14">
        <f>141.0005 * CHOOSE(CONTROL!$C$9, $D$9, 100%, $F$9) + CHOOSE(CONTROL!$C$27, 0.0021, 0)</f>
        <v>141.0026</v>
      </c>
      <c r="C823" s="14">
        <f>140.5683 * CHOOSE(CONTROL!$C$9, $D$9, 100%, $F$9) + CHOOSE(CONTROL!$C$27, 0.0021, 0)</f>
        <v>140.57040000000001</v>
      </c>
      <c r="D823" s="14">
        <f>140.5683 * CHOOSE(CONTROL!$C$9, $D$9, 100%, $F$9) + CHOOSE(CONTROL!$C$27, 0.0021, 0)</f>
        <v>140.57040000000001</v>
      </c>
      <c r="E823" s="14">
        <f>140.4316 * CHOOSE(CONTROL!$C$9, $D$9, 100%, $F$9) + CHOOSE(CONTROL!$C$27, 0.0021, 0)</f>
        <v>140.43370000000002</v>
      </c>
      <c r="F823" s="14">
        <f>140.4316 * CHOOSE(CONTROL!$C$9, $D$9, 100%, $F$9) + CHOOSE(CONTROL!$C$27, 0.0021, 0)</f>
        <v>140.43370000000002</v>
      </c>
      <c r="G823" s="14">
        <f>140.703 * CHOOSE(CONTROL!$C$9, $D$9, 100%, $F$9) + CHOOSE(CONTROL!$C$27, 0.0021, 0)</f>
        <v>140.70510000000002</v>
      </c>
      <c r="H823" s="14">
        <f>140.5683 * CHOOSE(CONTROL!$C$9, $D$9, 100%, $F$9) + CHOOSE(CONTROL!$C$27, 0.0021, 0)</f>
        <v>140.57040000000001</v>
      </c>
      <c r="I823" s="14">
        <f>140.5683 * CHOOSE(CONTROL!$C$9, $D$9, 100%, $F$9) + CHOOSE(CONTROL!$C$27, 0.0021, 0)</f>
        <v>140.57040000000001</v>
      </c>
      <c r="J823" s="14">
        <f>140.5683 * CHOOSE(CONTROL!$C$9, $D$9, 100%, $F$9) + CHOOSE(CONTROL!$C$27, 0.0021, 0)</f>
        <v>140.57040000000001</v>
      </c>
      <c r="K823" s="14">
        <f>140.5683 * CHOOSE(CONTROL!$C$9, $D$9, 100%, $F$9) + CHOOSE(CONTROL!$C$27, 0.0021, 0)</f>
        <v>140.57040000000001</v>
      </c>
      <c r="L823" s="14"/>
    </row>
    <row r="824" spans="1:12" ht="15.75" x14ac:dyDescent="0.25">
      <c r="A824" s="32">
        <v>66019</v>
      </c>
      <c r="B824" s="14">
        <f>136.3901 * CHOOSE(CONTROL!$C$9, $D$9, 100%, $F$9) + CHOOSE(CONTROL!$C$27, 0.0021, 0)</f>
        <v>136.3922</v>
      </c>
      <c r="C824" s="14">
        <f>135.9579 * CHOOSE(CONTROL!$C$9, $D$9, 100%, $F$9) + CHOOSE(CONTROL!$C$27, 0.0021, 0)</f>
        <v>135.96</v>
      </c>
      <c r="D824" s="14">
        <f>135.9579 * CHOOSE(CONTROL!$C$9, $D$9, 100%, $F$9) + CHOOSE(CONTROL!$C$27, 0.0021, 0)</f>
        <v>135.96</v>
      </c>
      <c r="E824" s="14">
        <f>135.8212 * CHOOSE(CONTROL!$C$9, $D$9, 100%, $F$9) + CHOOSE(CONTROL!$C$27, 0.0021, 0)</f>
        <v>135.82330000000002</v>
      </c>
      <c r="F824" s="14">
        <f>135.8212 * CHOOSE(CONTROL!$C$9, $D$9, 100%, $F$9) + CHOOSE(CONTROL!$C$27, 0.0021, 0)</f>
        <v>135.82330000000002</v>
      </c>
      <c r="G824" s="14">
        <f>136.0926 * CHOOSE(CONTROL!$C$9, $D$9, 100%, $F$9) + CHOOSE(CONTROL!$C$27, 0.0021, 0)</f>
        <v>136.09470000000002</v>
      </c>
      <c r="H824" s="14">
        <f>135.9579 * CHOOSE(CONTROL!$C$9, $D$9, 100%, $F$9) + CHOOSE(CONTROL!$C$27, 0.0021, 0)</f>
        <v>135.96</v>
      </c>
      <c r="I824" s="14">
        <f>135.9579 * CHOOSE(CONTROL!$C$9, $D$9, 100%, $F$9) + CHOOSE(CONTROL!$C$27, 0.0021, 0)</f>
        <v>135.96</v>
      </c>
      <c r="J824" s="14">
        <f>135.9579 * CHOOSE(CONTROL!$C$9, $D$9, 100%, $F$9) + CHOOSE(CONTROL!$C$27, 0.0021, 0)</f>
        <v>135.96</v>
      </c>
      <c r="K824" s="14">
        <f>135.9579 * CHOOSE(CONTROL!$C$9, $D$9, 100%, $F$9) + CHOOSE(CONTROL!$C$27, 0.0021, 0)</f>
        <v>135.96</v>
      </c>
      <c r="L824" s="14"/>
    </row>
    <row r="825" spans="1:12" ht="15.75" x14ac:dyDescent="0.25">
      <c r="A825" s="32">
        <v>66050</v>
      </c>
      <c r="B825" s="14">
        <f>131.7529 * CHOOSE(CONTROL!$C$9, $D$9, 100%, $F$9) + CHOOSE(CONTROL!$C$27, 0.0021, 0)</f>
        <v>131.75500000000002</v>
      </c>
      <c r="C825" s="14">
        <f>131.3206 * CHOOSE(CONTROL!$C$9, $D$9, 100%, $F$9) + CHOOSE(CONTROL!$C$27, 0.0021, 0)</f>
        <v>131.32270000000003</v>
      </c>
      <c r="D825" s="14">
        <f>131.3206 * CHOOSE(CONTROL!$C$9, $D$9, 100%, $F$9) + CHOOSE(CONTROL!$C$27, 0.0021, 0)</f>
        <v>131.32270000000003</v>
      </c>
      <c r="E825" s="14">
        <f>131.184 * CHOOSE(CONTROL!$C$9, $D$9, 100%, $F$9) + CHOOSE(CONTROL!$C$27, 0.0021, 0)</f>
        <v>131.18610000000001</v>
      </c>
      <c r="F825" s="14">
        <f>131.184 * CHOOSE(CONTROL!$C$9, $D$9, 100%, $F$9) + CHOOSE(CONTROL!$C$27, 0.0021, 0)</f>
        <v>131.18610000000001</v>
      </c>
      <c r="G825" s="14">
        <f>131.4553 * CHOOSE(CONTROL!$C$9, $D$9, 100%, $F$9) + CHOOSE(CONTROL!$C$27, 0.0021, 0)</f>
        <v>131.45740000000001</v>
      </c>
      <c r="H825" s="14">
        <f>131.3206 * CHOOSE(CONTROL!$C$9, $D$9, 100%, $F$9) + CHOOSE(CONTROL!$C$27, 0.0021, 0)</f>
        <v>131.32270000000003</v>
      </c>
      <c r="I825" s="14">
        <f>131.3206 * CHOOSE(CONTROL!$C$9, $D$9, 100%, $F$9) + CHOOSE(CONTROL!$C$27, 0.0021, 0)</f>
        <v>131.32270000000003</v>
      </c>
      <c r="J825" s="14">
        <f>131.3206 * CHOOSE(CONTROL!$C$9, $D$9, 100%, $F$9) + CHOOSE(CONTROL!$C$27, 0.0021, 0)</f>
        <v>131.32270000000003</v>
      </c>
      <c r="K825" s="14">
        <f>131.3206 * CHOOSE(CONTROL!$C$9, $D$9, 100%, $F$9) + CHOOSE(CONTROL!$C$27, 0.0021, 0)</f>
        <v>131.32270000000003</v>
      </c>
      <c r="L825" s="14"/>
    </row>
    <row r="826" spans="1:12" ht="15.75" x14ac:dyDescent="0.25">
      <c r="A826" s="32">
        <v>66080</v>
      </c>
      <c r="B826" s="14">
        <f>130.8304 * CHOOSE(CONTROL!$C$9, $D$9, 100%, $F$9) + CHOOSE(CONTROL!$C$27, 0.0021, 0)</f>
        <v>130.83250000000001</v>
      </c>
      <c r="C826" s="14">
        <f>130.3982 * CHOOSE(CONTROL!$C$9, $D$9, 100%, $F$9) + CHOOSE(CONTROL!$C$27, 0.0021, 0)</f>
        <v>130.40030000000002</v>
      </c>
      <c r="D826" s="14">
        <f>130.3982 * CHOOSE(CONTROL!$C$9, $D$9, 100%, $F$9) + CHOOSE(CONTROL!$C$27, 0.0021, 0)</f>
        <v>130.40030000000002</v>
      </c>
      <c r="E826" s="14">
        <f>130.2615 * CHOOSE(CONTROL!$C$9, $D$9, 100%, $F$9) + CHOOSE(CONTROL!$C$27, 0.0021, 0)</f>
        <v>130.26360000000003</v>
      </c>
      <c r="F826" s="14">
        <f>130.2615 * CHOOSE(CONTROL!$C$9, $D$9, 100%, $F$9) + CHOOSE(CONTROL!$C$27, 0.0021, 0)</f>
        <v>130.26360000000003</v>
      </c>
      <c r="G826" s="14">
        <f>130.5329 * CHOOSE(CONTROL!$C$9, $D$9, 100%, $F$9) + CHOOSE(CONTROL!$C$27, 0.0021, 0)</f>
        <v>130.53500000000003</v>
      </c>
      <c r="H826" s="14">
        <f>130.3982 * CHOOSE(CONTROL!$C$9, $D$9, 100%, $F$9) + CHOOSE(CONTROL!$C$27, 0.0021, 0)</f>
        <v>130.40030000000002</v>
      </c>
      <c r="I826" s="14">
        <f>130.3982 * CHOOSE(CONTROL!$C$9, $D$9, 100%, $F$9) + CHOOSE(CONTROL!$C$27, 0.0021, 0)</f>
        <v>130.40030000000002</v>
      </c>
      <c r="J826" s="14">
        <f>130.3982 * CHOOSE(CONTROL!$C$9, $D$9, 100%, $F$9) + CHOOSE(CONTROL!$C$27, 0.0021, 0)</f>
        <v>130.40030000000002</v>
      </c>
      <c r="K826" s="14">
        <f>130.3982 * CHOOSE(CONTROL!$C$9, $D$9, 100%, $F$9) + CHOOSE(CONTROL!$C$27, 0.0021, 0)</f>
        <v>130.40030000000002</v>
      </c>
      <c r="L826" s="14"/>
    </row>
    <row r="827" spans="1:12" ht="15.75" x14ac:dyDescent="0.25">
      <c r="A827" s="32">
        <v>66111</v>
      </c>
      <c r="B827" s="14">
        <f>127.0161 * CHOOSE(CONTROL!$C$9, $D$9, 100%, $F$9) + CHOOSE(CONTROL!$C$27, 0.0021, 0)</f>
        <v>127.01819999999999</v>
      </c>
      <c r="C827" s="14">
        <f>126.5838 * CHOOSE(CONTROL!$C$9, $D$9, 100%, $F$9) + CHOOSE(CONTROL!$C$27, 0.0021, 0)</f>
        <v>126.5859</v>
      </c>
      <c r="D827" s="14">
        <f>126.5838 * CHOOSE(CONTROL!$C$9, $D$9, 100%, $F$9) + CHOOSE(CONTROL!$C$27, 0.0021, 0)</f>
        <v>126.5859</v>
      </c>
      <c r="E827" s="14">
        <f>126.4472 * CHOOSE(CONTROL!$C$9, $D$9, 100%, $F$9) + CHOOSE(CONTROL!$C$27, 0.0021, 0)</f>
        <v>126.44929999999999</v>
      </c>
      <c r="F827" s="14">
        <f>126.4472 * CHOOSE(CONTROL!$C$9, $D$9, 100%, $F$9) + CHOOSE(CONTROL!$C$27, 0.0021, 0)</f>
        <v>126.44929999999999</v>
      </c>
      <c r="G827" s="14">
        <f>126.7185 * CHOOSE(CONTROL!$C$9, $D$9, 100%, $F$9) + CHOOSE(CONTROL!$C$27, 0.0021, 0)</f>
        <v>126.7206</v>
      </c>
      <c r="H827" s="14">
        <f>126.5838 * CHOOSE(CONTROL!$C$9, $D$9, 100%, $F$9) + CHOOSE(CONTROL!$C$27, 0.0021, 0)</f>
        <v>126.5859</v>
      </c>
      <c r="I827" s="14">
        <f>126.5838 * CHOOSE(CONTROL!$C$9, $D$9, 100%, $F$9) + CHOOSE(CONTROL!$C$27, 0.0021, 0)</f>
        <v>126.5859</v>
      </c>
      <c r="J827" s="14">
        <f>126.5838 * CHOOSE(CONTROL!$C$9, $D$9, 100%, $F$9) + CHOOSE(CONTROL!$C$27, 0.0021, 0)</f>
        <v>126.5859</v>
      </c>
      <c r="K827" s="14">
        <f>126.5838 * CHOOSE(CONTROL!$C$9, $D$9, 100%, $F$9) + CHOOSE(CONTROL!$C$27, 0.0021, 0)</f>
        <v>126.5859</v>
      </c>
      <c r="L827" s="14"/>
    </row>
    <row r="828" spans="1:12" ht="15.75" x14ac:dyDescent="0.25">
      <c r="A828" s="32">
        <v>66142</v>
      </c>
      <c r="B828" s="14">
        <f>126.2734 * CHOOSE(CONTROL!$C$9, $D$9, 100%, $F$9) + CHOOSE(CONTROL!$C$27, 0.0021, 0)</f>
        <v>126.27549999999999</v>
      </c>
      <c r="C828" s="14">
        <f>125.8412 * CHOOSE(CONTROL!$C$9, $D$9, 100%, $F$9) + CHOOSE(CONTROL!$C$27, 0.0021, 0)</f>
        <v>125.8433</v>
      </c>
      <c r="D828" s="14">
        <f>125.8412 * CHOOSE(CONTROL!$C$9, $D$9, 100%, $F$9) + CHOOSE(CONTROL!$C$27, 0.0021, 0)</f>
        <v>125.8433</v>
      </c>
      <c r="E828" s="14">
        <f>125.7045 * CHOOSE(CONTROL!$C$9, $D$9, 100%, $F$9) + CHOOSE(CONTROL!$C$27, 0.0021, 0)</f>
        <v>125.70659999999999</v>
      </c>
      <c r="F828" s="14">
        <f>125.7045 * CHOOSE(CONTROL!$C$9, $D$9, 100%, $F$9) + CHOOSE(CONTROL!$C$27, 0.0021, 0)</f>
        <v>125.70659999999999</v>
      </c>
      <c r="G828" s="14">
        <f>125.9759 * CHOOSE(CONTROL!$C$9, $D$9, 100%, $F$9) + CHOOSE(CONTROL!$C$27, 0.0021, 0)</f>
        <v>125.97799999999999</v>
      </c>
      <c r="H828" s="14">
        <f>125.8412 * CHOOSE(CONTROL!$C$9, $D$9, 100%, $F$9) + CHOOSE(CONTROL!$C$27, 0.0021, 0)</f>
        <v>125.8433</v>
      </c>
      <c r="I828" s="14">
        <f>125.8412 * CHOOSE(CONTROL!$C$9, $D$9, 100%, $F$9) + CHOOSE(CONTROL!$C$27, 0.0021, 0)</f>
        <v>125.8433</v>
      </c>
      <c r="J828" s="14">
        <f>125.8412 * CHOOSE(CONTROL!$C$9, $D$9, 100%, $F$9) + CHOOSE(CONTROL!$C$27, 0.0021, 0)</f>
        <v>125.8433</v>
      </c>
      <c r="K828" s="14">
        <f>125.8412 * CHOOSE(CONTROL!$C$9, $D$9, 100%, $F$9) + CHOOSE(CONTROL!$C$27, 0.0021, 0)</f>
        <v>125.8433</v>
      </c>
      <c r="L828" s="14"/>
    </row>
    <row r="829" spans="1:12" ht="15.75" x14ac:dyDescent="0.25">
      <c r="A829" s="32">
        <v>66170</v>
      </c>
      <c r="B829" s="14">
        <f>125.9288 * CHOOSE(CONTROL!$C$9, $D$9, 100%, $F$9) + CHOOSE(CONTROL!$C$27, 0.0021, 0)</f>
        <v>125.93089999999999</v>
      </c>
      <c r="C829" s="14">
        <f>125.4966 * CHOOSE(CONTROL!$C$9, $D$9, 100%, $F$9) + CHOOSE(CONTROL!$C$27, 0.0021, 0)</f>
        <v>125.4987</v>
      </c>
      <c r="D829" s="14">
        <f>125.4966 * CHOOSE(CONTROL!$C$9, $D$9, 100%, $F$9) + CHOOSE(CONTROL!$C$27, 0.0021, 0)</f>
        <v>125.4987</v>
      </c>
      <c r="E829" s="14">
        <f>125.3599 * CHOOSE(CONTROL!$C$9, $D$9, 100%, $F$9) + CHOOSE(CONTROL!$C$27, 0.0021, 0)</f>
        <v>125.36199999999999</v>
      </c>
      <c r="F829" s="14">
        <f>125.3599 * CHOOSE(CONTROL!$C$9, $D$9, 100%, $F$9) + CHOOSE(CONTROL!$C$27, 0.0021, 0)</f>
        <v>125.36199999999999</v>
      </c>
      <c r="G829" s="14">
        <f>125.6313 * CHOOSE(CONTROL!$C$9, $D$9, 100%, $F$9) + CHOOSE(CONTROL!$C$27, 0.0021, 0)</f>
        <v>125.63339999999999</v>
      </c>
      <c r="H829" s="14">
        <f>125.4966 * CHOOSE(CONTROL!$C$9, $D$9, 100%, $F$9) + CHOOSE(CONTROL!$C$27, 0.0021, 0)</f>
        <v>125.4987</v>
      </c>
      <c r="I829" s="14">
        <f>125.4966 * CHOOSE(CONTROL!$C$9, $D$9, 100%, $F$9) + CHOOSE(CONTROL!$C$27, 0.0021, 0)</f>
        <v>125.4987</v>
      </c>
      <c r="J829" s="14">
        <f>125.4966 * CHOOSE(CONTROL!$C$9, $D$9, 100%, $F$9) + CHOOSE(CONTROL!$C$27, 0.0021, 0)</f>
        <v>125.4987</v>
      </c>
      <c r="K829" s="14">
        <f>125.4966 * CHOOSE(CONTROL!$C$9, $D$9, 100%, $F$9) + CHOOSE(CONTROL!$C$27, 0.0021, 0)</f>
        <v>125.4987</v>
      </c>
      <c r="L829" s="14"/>
    </row>
    <row r="830" spans="1:12" ht="15.75" x14ac:dyDescent="0.25">
      <c r="A830" s="32">
        <v>66201</v>
      </c>
      <c r="B830" s="14">
        <f>132.4452 * CHOOSE(CONTROL!$C$9, $D$9, 100%, $F$9) + CHOOSE(CONTROL!$C$27, 0.0021, 0)</f>
        <v>132.44730000000001</v>
      </c>
      <c r="C830" s="14">
        <f>132.0129 * CHOOSE(CONTROL!$C$9, $D$9, 100%, $F$9) + CHOOSE(CONTROL!$C$27, 0.0021, 0)</f>
        <v>132.01500000000001</v>
      </c>
      <c r="D830" s="14">
        <f>132.0129 * CHOOSE(CONTROL!$C$9, $D$9, 100%, $F$9) + CHOOSE(CONTROL!$C$27, 0.0021, 0)</f>
        <v>132.01500000000001</v>
      </c>
      <c r="E830" s="14">
        <f>131.8763 * CHOOSE(CONTROL!$C$9, $D$9, 100%, $F$9) + CHOOSE(CONTROL!$C$27, 0.0021, 0)</f>
        <v>131.8784</v>
      </c>
      <c r="F830" s="14">
        <f>131.8763 * CHOOSE(CONTROL!$C$9, $D$9, 100%, $F$9) + CHOOSE(CONTROL!$C$27, 0.0021, 0)</f>
        <v>131.8784</v>
      </c>
      <c r="G830" s="14">
        <f>132.1476 * CHOOSE(CONTROL!$C$9, $D$9, 100%, $F$9) + CHOOSE(CONTROL!$C$27, 0.0021, 0)</f>
        <v>132.14970000000002</v>
      </c>
      <c r="H830" s="14">
        <f>132.0129 * CHOOSE(CONTROL!$C$9, $D$9, 100%, $F$9) + CHOOSE(CONTROL!$C$27, 0.0021, 0)</f>
        <v>132.01500000000001</v>
      </c>
      <c r="I830" s="14">
        <f>132.0129 * CHOOSE(CONTROL!$C$9, $D$9, 100%, $F$9) + CHOOSE(CONTROL!$C$27, 0.0021, 0)</f>
        <v>132.01500000000001</v>
      </c>
      <c r="J830" s="14">
        <f>132.0129 * CHOOSE(CONTROL!$C$9, $D$9, 100%, $F$9) + CHOOSE(CONTROL!$C$27, 0.0021, 0)</f>
        <v>132.01500000000001</v>
      </c>
      <c r="K830" s="14">
        <f>132.0129 * CHOOSE(CONTROL!$C$9, $D$9, 100%, $F$9) + CHOOSE(CONTROL!$C$27, 0.0021, 0)</f>
        <v>132.01500000000001</v>
      </c>
      <c r="L830" s="14"/>
    </row>
    <row r="831" spans="1:12" ht="15.75" x14ac:dyDescent="0.25">
      <c r="A831" s="32">
        <v>66231</v>
      </c>
      <c r="B831" s="14">
        <f>140.8953 * CHOOSE(CONTROL!$C$9, $D$9, 100%, $F$9) + CHOOSE(CONTROL!$C$27, 0.0021, 0)</f>
        <v>140.8974</v>
      </c>
      <c r="C831" s="14">
        <f>140.4631 * CHOOSE(CONTROL!$C$9, $D$9, 100%, $F$9) + CHOOSE(CONTROL!$C$27, 0.0021, 0)</f>
        <v>140.46520000000001</v>
      </c>
      <c r="D831" s="14">
        <f>140.4631 * CHOOSE(CONTROL!$C$9, $D$9, 100%, $F$9) + CHOOSE(CONTROL!$C$27, 0.0021, 0)</f>
        <v>140.46520000000001</v>
      </c>
      <c r="E831" s="14">
        <f>140.3264 * CHOOSE(CONTROL!$C$9, $D$9, 100%, $F$9) + CHOOSE(CONTROL!$C$27, 0.0021, 0)</f>
        <v>140.32850000000002</v>
      </c>
      <c r="F831" s="14">
        <f>140.3264 * CHOOSE(CONTROL!$C$9, $D$9, 100%, $F$9) + CHOOSE(CONTROL!$C$27, 0.0021, 0)</f>
        <v>140.32850000000002</v>
      </c>
      <c r="G831" s="14">
        <f>140.5978 * CHOOSE(CONTROL!$C$9, $D$9, 100%, $F$9) + CHOOSE(CONTROL!$C$27, 0.0021, 0)</f>
        <v>140.59990000000002</v>
      </c>
      <c r="H831" s="14">
        <f>140.4631 * CHOOSE(CONTROL!$C$9, $D$9, 100%, $F$9) + CHOOSE(CONTROL!$C$27, 0.0021, 0)</f>
        <v>140.46520000000001</v>
      </c>
      <c r="I831" s="14">
        <f>140.4631 * CHOOSE(CONTROL!$C$9, $D$9, 100%, $F$9) + CHOOSE(CONTROL!$C$27, 0.0021, 0)</f>
        <v>140.46520000000001</v>
      </c>
      <c r="J831" s="14">
        <f>140.4631 * CHOOSE(CONTROL!$C$9, $D$9, 100%, $F$9) + CHOOSE(CONTROL!$C$27, 0.0021, 0)</f>
        <v>140.46520000000001</v>
      </c>
      <c r="K831" s="14">
        <f>140.4631 * CHOOSE(CONTROL!$C$9, $D$9, 100%, $F$9) + CHOOSE(CONTROL!$C$27, 0.0021, 0)</f>
        <v>140.46520000000001</v>
      </c>
      <c r="L831" s="14"/>
    </row>
    <row r="832" spans="1:12" ht="15.75" x14ac:dyDescent="0.25">
      <c r="A832" s="32">
        <v>66262</v>
      </c>
      <c r="B832" s="14">
        <f>145.5466 * CHOOSE(CONTROL!$C$9, $D$9, 100%, $F$9) + CHOOSE(CONTROL!$C$27, 0.0021, 0)</f>
        <v>145.54870000000003</v>
      </c>
      <c r="C832" s="14">
        <f>145.1143 * CHOOSE(CONTROL!$C$9, $D$9, 100%, $F$9) + CHOOSE(CONTROL!$C$27, 0.0021, 0)</f>
        <v>145.1164</v>
      </c>
      <c r="D832" s="14">
        <f>145.1143 * CHOOSE(CONTROL!$C$9, $D$9, 100%, $F$9) + CHOOSE(CONTROL!$C$27, 0.0021, 0)</f>
        <v>145.1164</v>
      </c>
      <c r="E832" s="14">
        <f>144.9777 * CHOOSE(CONTROL!$C$9, $D$9, 100%, $F$9) + CHOOSE(CONTROL!$C$27, 0.0021, 0)</f>
        <v>144.97980000000001</v>
      </c>
      <c r="F832" s="14">
        <f>144.9777 * CHOOSE(CONTROL!$C$9, $D$9, 100%, $F$9) + CHOOSE(CONTROL!$C$27, 0.0021, 0)</f>
        <v>144.97980000000001</v>
      </c>
      <c r="G832" s="14">
        <f>145.249 * CHOOSE(CONTROL!$C$9, $D$9, 100%, $F$9) + CHOOSE(CONTROL!$C$27, 0.0021, 0)</f>
        <v>145.25110000000001</v>
      </c>
      <c r="H832" s="14">
        <f>145.1143 * CHOOSE(CONTROL!$C$9, $D$9, 100%, $F$9) + CHOOSE(CONTROL!$C$27, 0.0021, 0)</f>
        <v>145.1164</v>
      </c>
      <c r="I832" s="14">
        <f>145.1143 * CHOOSE(CONTROL!$C$9, $D$9, 100%, $F$9) + CHOOSE(CONTROL!$C$27, 0.0021, 0)</f>
        <v>145.1164</v>
      </c>
      <c r="J832" s="14">
        <f>145.1143 * CHOOSE(CONTROL!$C$9, $D$9, 100%, $F$9) + CHOOSE(CONTROL!$C$27, 0.0021, 0)</f>
        <v>145.1164</v>
      </c>
      <c r="K832" s="14">
        <f>145.1143 * CHOOSE(CONTROL!$C$9, $D$9, 100%, $F$9) + CHOOSE(CONTROL!$C$27, 0.0021, 0)</f>
        <v>145.1164</v>
      </c>
      <c r="L832" s="14"/>
    </row>
    <row r="833" spans="1:12" ht="15.75" x14ac:dyDescent="0.25">
      <c r="A833" s="32">
        <v>66292</v>
      </c>
      <c r="B833" s="14">
        <f>147.6107 * CHOOSE(CONTROL!$C$9, $D$9, 100%, $F$9) + CHOOSE(CONTROL!$C$27, 0.0021, 0)</f>
        <v>147.61280000000002</v>
      </c>
      <c r="C833" s="14">
        <f>147.1785 * CHOOSE(CONTROL!$C$9, $D$9, 100%, $F$9) + CHOOSE(CONTROL!$C$27, 0.0021, 0)</f>
        <v>147.18060000000003</v>
      </c>
      <c r="D833" s="14">
        <f>147.1785 * CHOOSE(CONTROL!$C$9, $D$9, 100%, $F$9) + CHOOSE(CONTROL!$C$27, 0.0021, 0)</f>
        <v>147.18060000000003</v>
      </c>
      <c r="E833" s="14">
        <f>147.0418 * CHOOSE(CONTROL!$C$9, $D$9, 100%, $F$9) + CHOOSE(CONTROL!$C$27, 0.0021, 0)</f>
        <v>147.04390000000001</v>
      </c>
      <c r="F833" s="14">
        <f>147.0418 * CHOOSE(CONTROL!$C$9, $D$9, 100%, $F$9) + CHOOSE(CONTROL!$C$27, 0.0021, 0)</f>
        <v>147.04390000000001</v>
      </c>
      <c r="G833" s="14">
        <f>147.3132 * CHOOSE(CONTROL!$C$9, $D$9, 100%, $F$9) + CHOOSE(CONTROL!$C$27, 0.0021, 0)</f>
        <v>147.31530000000001</v>
      </c>
      <c r="H833" s="14">
        <f>147.1785 * CHOOSE(CONTROL!$C$9, $D$9, 100%, $F$9) + CHOOSE(CONTROL!$C$27, 0.0021, 0)</f>
        <v>147.18060000000003</v>
      </c>
      <c r="I833" s="14">
        <f>147.1785 * CHOOSE(CONTROL!$C$9, $D$9, 100%, $F$9) + CHOOSE(CONTROL!$C$27, 0.0021, 0)</f>
        <v>147.18060000000003</v>
      </c>
      <c r="J833" s="14">
        <f>147.1785 * CHOOSE(CONTROL!$C$9, $D$9, 100%, $F$9) + CHOOSE(CONTROL!$C$27, 0.0021, 0)</f>
        <v>147.18060000000003</v>
      </c>
      <c r="K833" s="14">
        <f>147.1785 * CHOOSE(CONTROL!$C$9, $D$9, 100%, $F$9) + CHOOSE(CONTROL!$C$27, 0.0021, 0)</f>
        <v>147.18060000000003</v>
      </c>
      <c r="L833" s="14"/>
    </row>
    <row r="834" spans="1:12" ht="15.75" x14ac:dyDescent="0.25">
      <c r="A834" s="32">
        <v>66323</v>
      </c>
      <c r="B834" s="14">
        <f>146.9311 * CHOOSE(CONTROL!$C$9, $D$9, 100%, $F$9) + CHOOSE(CONTROL!$C$27, 0.0021, 0)</f>
        <v>146.9332</v>
      </c>
      <c r="C834" s="14">
        <f>146.4988 * CHOOSE(CONTROL!$C$9, $D$9, 100%, $F$9) + CHOOSE(CONTROL!$C$27, 0.0021, 0)</f>
        <v>146.5009</v>
      </c>
      <c r="D834" s="14">
        <f>146.4988 * CHOOSE(CONTROL!$C$9, $D$9, 100%, $F$9) + CHOOSE(CONTROL!$C$27, 0.0021, 0)</f>
        <v>146.5009</v>
      </c>
      <c r="E834" s="14">
        <f>146.3622 * CHOOSE(CONTROL!$C$9, $D$9, 100%, $F$9) + CHOOSE(CONTROL!$C$27, 0.0021, 0)</f>
        <v>146.36430000000001</v>
      </c>
      <c r="F834" s="14">
        <f>146.3622 * CHOOSE(CONTROL!$C$9, $D$9, 100%, $F$9) + CHOOSE(CONTROL!$C$27, 0.0021, 0)</f>
        <v>146.36430000000001</v>
      </c>
      <c r="G834" s="14">
        <f>146.6336 * CHOOSE(CONTROL!$C$9, $D$9, 100%, $F$9) + CHOOSE(CONTROL!$C$27, 0.0021, 0)</f>
        <v>146.63570000000001</v>
      </c>
      <c r="H834" s="14">
        <f>146.4988 * CHOOSE(CONTROL!$C$9, $D$9, 100%, $F$9) + CHOOSE(CONTROL!$C$27, 0.0021, 0)</f>
        <v>146.5009</v>
      </c>
      <c r="I834" s="14">
        <f>146.4988 * CHOOSE(CONTROL!$C$9, $D$9, 100%, $F$9) + CHOOSE(CONTROL!$C$27, 0.0021, 0)</f>
        <v>146.5009</v>
      </c>
      <c r="J834" s="14">
        <f>146.4988 * CHOOSE(CONTROL!$C$9, $D$9, 100%, $F$9) + CHOOSE(CONTROL!$C$27, 0.0021, 0)</f>
        <v>146.5009</v>
      </c>
      <c r="K834" s="14">
        <f>146.4988 * CHOOSE(CONTROL!$C$9, $D$9, 100%, $F$9) + CHOOSE(CONTROL!$C$27, 0.0021, 0)</f>
        <v>146.5009</v>
      </c>
      <c r="L834" s="14"/>
    </row>
    <row r="835" spans="1:12" ht="15.75" x14ac:dyDescent="0.25">
      <c r="A835" s="32">
        <v>66354</v>
      </c>
      <c r="B835" s="14">
        <f>143.564 * CHOOSE(CONTROL!$C$9, $D$9, 100%, $F$9) + CHOOSE(CONTROL!$C$27, 0.0021, 0)</f>
        <v>143.56610000000001</v>
      </c>
      <c r="C835" s="14">
        <f>143.1317 * CHOOSE(CONTROL!$C$9, $D$9, 100%, $F$9) + CHOOSE(CONTROL!$C$27, 0.0021, 0)</f>
        <v>143.13380000000001</v>
      </c>
      <c r="D835" s="14">
        <f>143.1317 * CHOOSE(CONTROL!$C$9, $D$9, 100%, $F$9) + CHOOSE(CONTROL!$C$27, 0.0021, 0)</f>
        <v>143.13380000000001</v>
      </c>
      <c r="E835" s="14">
        <f>142.9951 * CHOOSE(CONTROL!$C$9, $D$9, 100%, $F$9) + CHOOSE(CONTROL!$C$27, 0.0021, 0)</f>
        <v>142.99720000000002</v>
      </c>
      <c r="F835" s="14">
        <f>142.9951 * CHOOSE(CONTROL!$C$9, $D$9, 100%, $F$9) + CHOOSE(CONTROL!$C$27, 0.0021, 0)</f>
        <v>142.99720000000002</v>
      </c>
      <c r="G835" s="14">
        <f>143.2664 * CHOOSE(CONTROL!$C$9, $D$9, 100%, $F$9) + CHOOSE(CONTROL!$C$27, 0.0021, 0)</f>
        <v>143.26850000000002</v>
      </c>
      <c r="H835" s="14">
        <f>143.1317 * CHOOSE(CONTROL!$C$9, $D$9, 100%, $F$9) + CHOOSE(CONTROL!$C$27, 0.0021, 0)</f>
        <v>143.13380000000001</v>
      </c>
      <c r="I835" s="14">
        <f>143.1317 * CHOOSE(CONTROL!$C$9, $D$9, 100%, $F$9) + CHOOSE(CONTROL!$C$27, 0.0021, 0)</f>
        <v>143.13380000000001</v>
      </c>
      <c r="J835" s="14">
        <f>143.1317 * CHOOSE(CONTROL!$C$9, $D$9, 100%, $F$9) + CHOOSE(CONTROL!$C$27, 0.0021, 0)</f>
        <v>143.13380000000001</v>
      </c>
      <c r="K835" s="14">
        <f>143.1317 * CHOOSE(CONTROL!$C$9, $D$9, 100%, $F$9) + CHOOSE(CONTROL!$C$27, 0.0021, 0)</f>
        <v>143.13380000000001</v>
      </c>
      <c r="L835" s="14"/>
    </row>
    <row r="836" spans="1:12" ht="15.75" x14ac:dyDescent="0.25">
      <c r="A836" s="32">
        <v>66384</v>
      </c>
      <c r="B836" s="14">
        <f>138.8683 * CHOOSE(CONTROL!$C$9, $D$9, 100%, $F$9) + CHOOSE(CONTROL!$C$27, 0.0021, 0)</f>
        <v>138.87040000000002</v>
      </c>
      <c r="C836" s="14">
        <f>138.4361 * CHOOSE(CONTROL!$C$9, $D$9, 100%, $F$9) + CHOOSE(CONTROL!$C$27, 0.0021, 0)</f>
        <v>138.43820000000002</v>
      </c>
      <c r="D836" s="14">
        <f>138.4361 * CHOOSE(CONTROL!$C$9, $D$9, 100%, $F$9) + CHOOSE(CONTROL!$C$27, 0.0021, 0)</f>
        <v>138.43820000000002</v>
      </c>
      <c r="E836" s="14">
        <f>138.2994 * CHOOSE(CONTROL!$C$9, $D$9, 100%, $F$9) + CHOOSE(CONTROL!$C$27, 0.0021, 0)</f>
        <v>138.3015</v>
      </c>
      <c r="F836" s="14">
        <f>138.2994 * CHOOSE(CONTROL!$C$9, $D$9, 100%, $F$9) + CHOOSE(CONTROL!$C$27, 0.0021, 0)</f>
        <v>138.3015</v>
      </c>
      <c r="G836" s="14">
        <f>138.5708 * CHOOSE(CONTROL!$C$9, $D$9, 100%, $F$9) + CHOOSE(CONTROL!$C$27, 0.0021, 0)</f>
        <v>138.5729</v>
      </c>
      <c r="H836" s="14">
        <f>138.4361 * CHOOSE(CONTROL!$C$9, $D$9, 100%, $F$9) + CHOOSE(CONTROL!$C$27, 0.0021, 0)</f>
        <v>138.43820000000002</v>
      </c>
      <c r="I836" s="14">
        <f>138.4361 * CHOOSE(CONTROL!$C$9, $D$9, 100%, $F$9) + CHOOSE(CONTROL!$C$27, 0.0021, 0)</f>
        <v>138.43820000000002</v>
      </c>
      <c r="J836" s="14">
        <f>138.4361 * CHOOSE(CONTROL!$C$9, $D$9, 100%, $F$9) + CHOOSE(CONTROL!$C$27, 0.0021, 0)</f>
        <v>138.43820000000002</v>
      </c>
      <c r="K836" s="14">
        <f>138.4361 * CHOOSE(CONTROL!$C$9, $D$9, 100%, $F$9) + CHOOSE(CONTROL!$C$27, 0.0021, 0)</f>
        <v>138.43820000000002</v>
      </c>
      <c r="L836" s="14"/>
    </row>
    <row r="837" spans="1:12" ht="15.75" x14ac:dyDescent="0.25">
      <c r="A837" s="32">
        <v>66415</v>
      </c>
      <c r="B837" s="14">
        <f>134.1454 * CHOOSE(CONTROL!$C$9, $D$9, 100%, $F$9) + CHOOSE(CONTROL!$C$27, 0.0021, 0)</f>
        <v>134.14750000000001</v>
      </c>
      <c r="C837" s="14">
        <f>133.7132 * CHOOSE(CONTROL!$C$9, $D$9, 100%, $F$9) + CHOOSE(CONTROL!$C$27, 0.0021, 0)</f>
        <v>133.71530000000001</v>
      </c>
      <c r="D837" s="14">
        <f>133.7132 * CHOOSE(CONTROL!$C$9, $D$9, 100%, $F$9) + CHOOSE(CONTROL!$C$27, 0.0021, 0)</f>
        <v>133.71530000000001</v>
      </c>
      <c r="E837" s="14">
        <f>133.5765 * CHOOSE(CONTROL!$C$9, $D$9, 100%, $F$9) + CHOOSE(CONTROL!$C$27, 0.0021, 0)</f>
        <v>133.57860000000002</v>
      </c>
      <c r="F837" s="14">
        <f>133.5765 * CHOOSE(CONTROL!$C$9, $D$9, 100%, $F$9) + CHOOSE(CONTROL!$C$27, 0.0021, 0)</f>
        <v>133.57860000000002</v>
      </c>
      <c r="G837" s="14">
        <f>133.8479 * CHOOSE(CONTROL!$C$9, $D$9, 100%, $F$9) + CHOOSE(CONTROL!$C$27, 0.0021, 0)</f>
        <v>133.85000000000002</v>
      </c>
      <c r="H837" s="14">
        <f>133.7132 * CHOOSE(CONTROL!$C$9, $D$9, 100%, $F$9) + CHOOSE(CONTROL!$C$27, 0.0021, 0)</f>
        <v>133.71530000000001</v>
      </c>
      <c r="I837" s="14">
        <f>133.7132 * CHOOSE(CONTROL!$C$9, $D$9, 100%, $F$9) + CHOOSE(CONTROL!$C$27, 0.0021, 0)</f>
        <v>133.71530000000001</v>
      </c>
      <c r="J837" s="14">
        <f>133.7132 * CHOOSE(CONTROL!$C$9, $D$9, 100%, $F$9) + CHOOSE(CONTROL!$C$27, 0.0021, 0)</f>
        <v>133.71530000000001</v>
      </c>
      <c r="K837" s="14">
        <f>133.7132 * CHOOSE(CONTROL!$C$9, $D$9, 100%, $F$9) + CHOOSE(CONTROL!$C$27, 0.0021, 0)</f>
        <v>133.71530000000001</v>
      </c>
      <c r="L837" s="14"/>
    </row>
    <row r="838" spans="1:12" ht="15.75" x14ac:dyDescent="0.25">
      <c r="A838" s="32">
        <v>66445</v>
      </c>
      <c r="B838" s="14">
        <f>133.2059 * CHOOSE(CONTROL!$C$9, $D$9, 100%, $F$9) + CHOOSE(CONTROL!$C$27, 0.0021, 0)</f>
        <v>133.20800000000003</v>
      </c>
      <c r="C838" s="14">
        <f>132.7737 * CHOOSE(CONTROL!$C$9, $D$9, 100%, $F$9) + CHOOSE(CONTROL!$C$27, 0.0021, 0)</f>
        <v>132.7758</v>
      </c>
      <c r="D838" s="14">
        <f>132.7737 * CHOOSE(CONTROL!$C$9, $D$9, 100%, $F$9) + CHOOSE(CONTROL!$C$27, 0.0021, 0)</f>
        <v>132.7758</v>
      </c>
      <c r="E838" s="14">
        <f>132.637 * CHOOSE(CONTROL!$C$9, $D$9, 100%, $F$9) + CHOOSE(CONTROL!$C$27, 0.0021, 0)</f>
        <v>132.63910000000001</v>
      </c>
      <c r="F838" s="14">
        <f>132.637 * CHOOSE(CONTROL!$C$9, $D$9, 100%, $F$9) + CHOOSE(CONTROL!$C$27, 0.0021, 0)</f>
        <v>132.63910000000001</v>
      </c>
      <c r="G838" s="14">
        <f>132.9084 * CHOOSE(CONTROL!$C$9, $D$9, 100%, $F$9) + CHOOSE(CONTROL!$C$27, 0.0021, 0)</f>
        <v>132.91050000000001</v>
      </c>
      <c r="H838" s="14">
        <f>132.7737 * CHOOSE(CONTROL!$C$9, $D$9, 100%, $F$9) + CHOOSE(CONTROL!$C$27, 0.0021, 0)</f>
        <v>132.7758</v>
      </c>
      <c r="I838" s="14">
        <f>132.7737 * CHOOSE(CONTROL!$C$9, $D$9, 100%, $F$9) + CHOOSE(CONTROL!$C$27, 0.0021, 0)</f>
        <v>132.7758</v>
      </c>
      <c r="J838" s="14">
        <f>132.7737 * CHOOSE(CONTROL!$C$9, $D$9, 100%, $F$9) + CHOOSE(CONTROL!$C$27, 0.0021, 0)</f>
        <v>132.7758</v>
      </c>
      <c r="K838" s="14">
        <f>132.7737 * CHOOSE(CONTROL!$C$9, $D$9, 100%, $F$9) + CHOOSE(CONTROL!$C$27, 0.0021, 0)</f>
        <v>132.7758</v>
      </c>
      <c r="L838" s="14"/>
    </row>
    <row r="839" spans="1:12" ht="15.75" x14ac:dyDescent="0.25">
      <c r="A839" s="32">
        <v>66476</v>
      </c>
      <c r="B839" s="14">
        <f>129.321 * CHOOSE(CONTROL!$C$9, $D$9, 100%, $F$9) + CHOOSE(CONTROL!$C$27, 0.0021, 0)</f>
        <v>129.32310000000001</v>
      </c>
      <c r="C839" s="14">
        <f>128.8888 * CHOOSE(CONTROL!$C$9, $D$9, 100%, $F$9) + CHOOSE(CONTROL!$C$27, 0.0021, 0)</f>
        <v>128.89090000000002</v>
      </c>
      <c r="D839" s="14">
        <f>128.8888 * CHOOSE(CONTROL!$C$9, $D$9, 100%, $F$9) + CHOOSE(CONTROL!$C$27, 0.0021, 0)</f>
        <v>128.89090000000002</v>
      </c>
      <c r="E839" s="14">
        <f>128.7521 * CHOOSE(CONTROL!$C$9, $D$9, 100%, $F$9) + CHOOSE(CONTROL!$C$27, 0.0021, 0)</f>
        <v>128.75420000000003</v>
      </c>
      <c r="F839" s="14">
        <f>128.7521 * CHOOSE(CONTROL!$C$9, $D$9, 100%, $F$9) + CHOOSE(CONTROL!$C$27, 0.0021, 0)</f>
        <v>128.75420000000003</v>
      </c>
      <c r="G839" s="14">
        <f>129.0235 * CHOOSE(CONTROL!$C$9, $D$9, 100%, $F$9) + CHOOSE(CONTROL!$C$27, 0.0021, 0)</f>
        <v>129.02560000000003</v>
      </c>
      <c r="H839" s="14">
        <f>128.8888 * CHOOSE(CONTROL!$C$9, $D$9, 100%, $F$9) + CHOOSE(CONTROL!$C$27, 0.0021, 0)</f>
        <v>128.89090000000002</v>
      </c>
      <c r="I839" s="14">
        <f>128.8888 * CHOOSE(CONTROL!$C$9, $D$9, 100%, $F$9) + CHOOSE(CONTROL!$C$27, 0.0021, 0)</f>
        <v>128.89090000000002</v>
      </c>
      <c r="J839" s="14">
        <f>128.8888 * CHOOSE(CONTROL!$C$9, $D$9, 100%, $F$9) + CHOOSE(CONTROL!$C$27, 0.0021, 0)</f>
        <v>128.89090000000002</v>
      </c>
      <c r="K839" s="14">
        <f>128.8888 * CHOOSE(CONTROL!$C$9, $D$9, 100%, $F$9) + CHOOSE(CONTROL!$C$27, 0.0021, 0)</f>
        <v>128.89090000000002</v>
      </c>
      <c r="L839" s="14"/>
    </row>
    <row r="840" spans="1:12" ht="15.75" x14ac:dyDescent="0.25">
      <c r="A840" s="32">
        <v>66507</v>
      </c>
      <c r="B840" s="14">
        <f>128.5647 * CHOOSE(CONTROL!$C$9, $D$9, 100%, $F$9) + CHOOSE(CONTROL!$C$27, 0.0021, 0)</f>
        <v>128.5668</v>
      </c>
      <c r="C840" s="14">
        <f>128.1325 * CHOOSE(CONTROL!$C$9, $D$9, 100%, $F$9) + CHOOSE(CONTROL!$C$27, 0.0021, 0)</f>
        <v>128.13460000000001</v>
      </c>
      <c r="D840" s="14">
        <f>128.1325 * CHOOSE(CONTROL!$C$9, $D$9, 100%, $F$9) + CHOOSE(CONTROL!$C$27, 0.0021, 0)</f>
        <v>128.13460000000001</v>
      </c>
      <c r="E840" s="14">
        <f>127.9958 * CHOOSE(CONTROL!$C$9, $D$9, 100%, $F$9) + CHOOSE(CONTROL!$C$27, 0.0021, 0)</f>
        <v>127.9979</v>
      </c>
      <c r="F840" s="14">
        <f>127.9958 * CHOOSE(CONTROL!$C$9, $D$9, 100%, $F$9) + CHOOSE(CONTROL!$C$27, 0.0021, 0)</f>
        <v>127.9979</v>
      </c>
      <c r="G840" s="14">
        <f>128.2672 * CHOOSE(CONTROL!$C$9, $D$9, 100%, $F$9) + CHOOSE(CONTROL!$C$27, 0.0021, 0)</f>
        <v>128.26930000000002</v>
      </c>
      <c r="H840" s="14">
        <f>128.1325 * CHOOSE(CONTROL!$C$9, $D$9, 100%, $F$9) + CHOOSE(CONTROL!$C$27, 0.0021, 0)</f>
        <v>128.13460000000001</v>
      </c>
      <c r="I840" s="14">
        <f>128.1325 * CHOOSE(CONTROL!$C$9, $D$9, 100%, $F$9) + CHOOSE(CONTROL!$C$27, 0.0021, 0)</f>
        <v>128.13460000000001</v>
      </c>
      <c r="J840" s="14">
        <f>128.1325 * CHOOSE(CONTROL!$C$9, $D$9, 100%, $F$9) + CHOOSE(CONTROL!$C$27, 0.0021, 0)</f>
        <v>128.13460000000001</v>
      </c>
      <c r="K840" s="14">
        <f>128.1325 * CHOOSE(CONTROL!$C$9, $D$9, 100%, $F$9) + CHOOSE(CONTROL!$C$27, 0.0021, 0)</f>
        <v>128.13460000000001</v>
      </c>
      <c r="L840" s="14"/>
    </row>
    <row r="841" spans="1:12" ht="15.75" x14ac:dyDescent="0.25">
      <c r="A841" s="32">
        <v>66535</v>
      </c>
      <c r="B841" s="14">
        <f>128.2137 * CHOOSE(CONTROL!$C$9, $D$9, 100%, $F$9) + CHOOSE(CONTROL!$C$27, 0.0021, 0)</f>
        <v>128.2158</v>
      </c>
      <c r="C841" s="14">
        <f>127.7815 * CHOOSE(CONTROL!$C$9, $D$9, 100%, $F$9) + CHOOSE(CONTROL!$C$27, 0.0021, 0)</f>
        <v>127.78359999999999</v>
      </c>
      <c r="D841" s="14">
        <f>127.7815 * CHOOSE(CONTROL!$C$9, $D$9, 100%, $F$9) + CHOOSE(CONTROL!$C$27, 0.0021, 0)</f>
        <v>127.78359999999999</v>
      </c>
      <c r="E841" s="14">
        <f>127.6448 * CHOOSE(CONTROL!$C$9, $D$9, 100%, $F$9) + CHOOSE(CONTROL!$C$27, 0.0021, 0)</f>
        <v>127.6469</v>
      </c>
      <c r="F841" s="14">
        <f>127.6448 * CHOOSE(CONTROL!$C$9, $D$9, 100%, $F$9) + CHOOSE(CONTROL!$C$27, 0.0021, 0)</f>
        <v>127.6469</v>
      </c>
      <c r="G841" s="14">
        <f>127.9162 * CHOOSE(CONTROL!$C$9, $D$9, 100%, $F$9) + CHOOSE(CONTROL!$C$27, 0.0021, 0)</f>
        <v>127.9183</v>
      </c>
      <c r="H841" s="14">
        <f>127.7815 * CHOOSE(CONTROL!$C$9, $D$9, 100%, $F$9) + CHOOSE(CONTROL!$C$27, 0.0021, 0)</f>
        <v>127.78359999999999</v>
      </c>
      <c r="I841" s="14">
        <f>127.7815 * CHOOSE(CONTROL!$C$9, $D$9, 100%, $F$9) + CHOOSE(CONTROL!$C$27, 0.0021, 0)</f>
        <v>127.78359999999999</v>
      </c>
      <c r="J841" s="14">
        <f>127.7815 * CHOOSE(CONTROL!$C$9, $D$9, 100%, $F$9) + CHOOSE(CONTROL!$C$27, 0.0021, 0)</f>
        <v>127.78359999999999</v>
      </c>
      <c r="K841" s="14">
        <f>127.7815 * CHOOSE(CONTROL!$C$9, $D$9, 100%, $F$9) + CHOOSE(CONTROL!$C$27, 0.0021, 0)</f>
        <v>127.78359999999999</v>
      </c>
      <c r="L841" s="14"/>
    </row>
    <row r="842" spans="1:12" ht="15.75" x14ac:dyDescent="0.25">
      <c r="A842" s="32">
        <v>66566</v>
      </c>
      <c r="B842" s="14">
        <f>134.8505 * CHOOSE(CONTROL!$C$9, $D$9, 100%, $F$9) + CHOOSE(CONTROL!$C$27, 0.0021, 0)</f>
        <v>134.85260000000002</v>
      </c>
      <c r="C842" s="14">
        <f>134.4182 * CHOOSE(CONTROL!$C$9, $D$9, 100%, $F$9) + CHOOSE(CONTROL!$C$27, 0.0021, 0)</f>
        <v>134.42030000000003</v>
      </c>
      <c r="D842" s="14">
        <f>134.4182 * CHOOSE(CONTROL!$C$9, $D$9, 100%, $F$9) + CHOOSE(CONTROL!$C$27, 0.0021, 0)</f>
        <v>134.42030000000003</v>
      </c>
      <c r="E842" s="14">
        <f>134.2816 * CHOOSE(CONTROL!$C$9, $D$9, 100%, $F$9) + CHOOSE(CONTROL!$C$27, 0.0021, 0)</f>
        <v>134.28370000000001</v>
      </c>
      <c r="F842" s="14">
        <f>134.2816 * CHOOSE(CONTROL!$C$9, $D$9, 100%, $F$9) + CHOOSE(CONTROL!$C$27, 0.0021, 0)</f>
        <v>134.28370000000001</v>
      </c>
      <c r="G842" s="14">
        <f>134.553 * CHOOSE(CONTROL!$C$9, $D$9, 100%, $F$9) + CHOOSE(CONTROL!$C$27, 0.0021, 0)</f>
        <v>134.55510000000001</v>
      </c>
      <c r="H842" s="14">
        <f>134.4182 * CHOOSE(CONTROL!$C$9, $D$9, 100%, $F$9) + CHOOSE(CONTROL!$C$27, 0.0021, 0)</f>
        <v>134.42030000000003</v>
      </c>
      <c r="I842" s="14">
        <f>134.4182 * CHOOSE(CONTROL!$C$9, $D$9, 100%, $F$9) + CHOOSE(CONTROL!$C$27, 0.0021, 0)</f>
        <v>134.42030000000003</v>
      </c>
      <c r="J842" s="14">
        <f>134.4182 * CHOOSE(CONTROL!$C$9, $D$9, 100%, $F$9) + CHOOSE(CONTROL!$C$27, 0.0021, 0)</f>
        <v>134.42030000000003</v>
      </c>
      <c r="K842" s="14">
        <f>134.4182 * CHOOSE(CONTROL!$C$9, $D$9, 100%, $F$9) + CHOOSE(CONTROL!$C$27, 0.0021, 0)</f>
        <v>134.42030000000003</v>
      </c>
      <c r="L842" s="14"/>
    </row>
    <row r="843" spans="1:12" ht="15.75" x14ac:dyDescent="0.25">
      <c r="A843" s="32">
        <v>66596</v>
      </c>
      <c r="B843" s="14">
        <f>143.4568 * CHOOSE(CONTROL!$C$9, $D$9, 100%, $F$9) + CHOOSE(CONTROL!$C$27, 0.0021, 0)</f>
        <v>143.4589</v>
      </c>
      <c r="C843" s="14">
        <f>143.0246 * CHOOSE(CONTROL!$C$9, $D$9, 100%, $F$9) + CHOOSE(CONTROL!$C$27, 0.0021, 0)</f>
        <v>143.02670000000001</v>
      </c>
      <c r="D843" s="14">
        <f>143.0246 * CHOOSE(CONTROL!$C$9, $D$9, 100%, $F$9) + CHOOSE(CONTROL!$C$27, 0.0021, 0)</f>
        <v>143.02670000000001</v>
      </c>
      <c r="E843" s="14">
        <f>142.8879 * CHOOSE(CONTROL!$C$9, $D$9, 100%, $F$9) + CHOOSE(CONTROL!$C$27, 0.0021, 0)</f>
        <v>142.89000000000001</v>
      </c>
      <c r="F843" s="14">
        <f>142.8879 * CHOOSE(CONTROL!$C$9, $D$9, 100%, $F$9) + CHOOSE(CONTROL!$C$27, 0.0021, 0)</f>
        <v>142.89000000000001</v>
      </c>
      <c r="G843" s="14">
        <f>143.1593 * CHOOSE(CONTROL!$C$9, $D$9, 100%, $F$9) + CHOOSE(CONTROL!$C$27, 0.0021, 0)</f>
        <v>143.16140000000001</v>
      </c>
      <c r="H843" s="14">
        <f>143.0246 * CHOOSE(CONTROL!$C$9, $D$9, 100%, $F$9) + CHOOSE(CONTROL!$C$27, 0.0021, 0)</f>
        <v>143.02670000000001</v>
      </c>
      <c r="I843" s="14">
        <f>143.0246 * CHOOSE(CONTROL!$C$9, $D$9, 100%, $F$9) + CHOOSE(CONTROL!$C$27, 0.0021, 0)</f>
        <v>143.02670000000001</v>
      </c>
      <c r="J843" s="14">
        <f>143.0246 * CHOOSE(CONTROL!$C$9, $D$9, 100%, $F$9) + CHOOSE(CONTROL!$C$27, 0.0021, 0)</f>
        <v>143.02670000000001</v>
      </c>
      <c r="K843" s="14">
        <f>143.0246 * CHOOSE(CONTROL!$C$9, $D$9, 100%, $F$9) + CHOOSE(CONTROL!$C$27, 0.0021, 0)</f>
        <v>143.02670000000001</v>
      </c>
      <c r="L843" s="14"/>
    </row>
    <row r="844" spans="1:12" ht="15.75" x14ac:dyDescent="0.25">
      <c r="A844" s="32">
        <v>66627</v>
      </c>
      <c r="B844" s="14">
        <f>148.194 * CHOOSE(CONTROL!$C$9, $D$9, 100%, $F$9) + CHOOSE(CONTROL!$C$27, 0.0021, 0)</f>
        <v>148.1961</v>
      </c>
      <c r="C844" s="14">
        <f>147.7618 * CHOOSE(CONTROL!$C$9, $D$9, 100%, $F$9) + CHOOSE(CONTROL!$C$27, 0.0021, 0)</f>
        <v>147.76390000000001</v>
      </c>
      <c r="D844" s="14">
        <f>147.7618 * CHOOSE(CONTROL!$C$9, $D$9, 100%, $F$9) + CHOOSE(CONTROL!$C$27, 0.0021, 0)</f>
        <v>147.76390000000001</v>
      </c>
      <c r="E844" s="14">
        <f>147.6251 * CHOOSE(CONTROL!$C$9, $D$9, 100%, $F$9) + CHOOSE(CONTROL!$C$27, 0.0021, 0)</f>
        <v>147.62720000000002</v>
      </c>
      <c r="F844" s="14">
        <f>147.6251 * CHOOSE(CONTROL!$C$9, $D$9, 100%, $F$9) + CHOOSE(CONTROL!$C$27, 0.0021, 0)</f>
        <v>147.62720000000002</v>
      </c>
      <c r="G844" s="14">
        <f>147.8965 * CHOOSE(CONTROL!$C$9, $D$9, 100%, $F$9) + CHOOSE(CONTROL!$C$27, 0.0021, 0)</f>
        <v>147.89860000000002</v>
      </c>
      <c r="H844" s="14">
        <f>147.7618 * CHOOSE(CONTROL!$C$9, $D$9, 100%, $F$9) + CHOOSE(CONTROL!$C$27, 0.0021, 0)</f>
        <v>147.76390000000001</v>
      </c>
      <c r="I844" s="14">
        <f>147.7618 * CHOOSE(CONTROL!$C$9, $D$9, 100%, $F$9) + CHOOSE(CONTROL!$C$27, 0.0021, 0)</f>
        <v>147.76390000000001</v>
      </c>
      <c r="J844" s="14">
        <f>147.7618 * CHOOSE(CONTROL!$C$9, $D$9, 100%, $F$9) + CHOOSE(CONTROL!$C$27, 0.0021, 0)</f>
        <v>147.76390000000001</v>
      </c>
      <c r="K844" s="14">
        <f>147.7618 * CHOOSE(CONTROL!$C$9, $D$9, 100%, $F$9) + CHOOSE(CONTROL!$C$27, 0.0021, 0)</f>
        <v>147.76390000000001</v>
      </c>
      <c r="L844" s="14"/>
    </row>
    <row r="845" spans="1:12" ht="15.75" x14ac:dyDescent="0.25">
      <c r="A845" s="32">
        <v>66657</v>
      </c>
      <c r="B845" s="14">
        <f>150.2963 * CHOOSE(CONTROL!$C$9, $D$9, 100%, $F$9) + CHOOSE(CONTROL!$C$27, 0.0021, 0)</f>
        <v>150.29840000000002</v>
      </c>
      <c r="C845" s="14">
        <f>149.8641 * CHOOSE(CONTROL!$C$9, $D$9, 100%, $F$9) + CHOOSE(CONTROL!$C$27, 0.0021, 0)</f>
        <v>149.86620000000002</v>
      </c>
      <c r="D845" s="14">
        <f>149.8641 * CHOOSE(CONTROL!$C$9, $D$9, 100%, $F$9) + CHOOSE(CONTROL!$C$27, 0.0021, 0)</f>
        <v>149.86620000000002</v>
      </c>
      <c r="E845" s="14">
        <f>149.7274 * CHOOSE(CONTROL!$C$9, $D$9, 100%, $F$9) + CHOOSE(CONTROL!$C$27, 0.0021, 0)</f>
        <v>149.7295</v>
      </c>
      <c r="F845" s="14">
        <f>149.7274 * CHOOSE(CONTROL!$C$9, $D$9, 100%, $F$9) + CHOOSE(CONTROL!$C$27, 0.0021, 0)</f>
        <v>149.7295</v>
      </c>
      <c r="G845" s="14">
        <f>149.9988 * CHOOSE(CONTROL!$C$9, $D$9, 100%, $F$9) + CHOOSE(CONTROL!$C$27, 0.0021, 0)</f>
        <v>150.0009</v>
      </c>
      <c r="H845" s="14">
        <f>149.8641 * CHOOSE(CONTROL!$C$9, $D$9, 100%, $F$9) + CHOOSE(CONTROL!$C$27, 0.0021, 0)</f>
        <v>149.86620000000002</v>
      </c>
      <c r="I845" s="14">
        <f>149.8641 * CHOOSE(CONTROL!$C$9, $D$9, 100%, $F$9) + CHOOSE(CONTROL!$C$27, 0.0021, 0)</f>
        <v>149.86620000000002</v>
      </c>
      <c r="J845" s="14">
        <f>149.8641 * CHOOSE(CONTROL!$C$9, $D$9, 100%, $F$9) + CHOOSE(CONTROL!$C$27, 0.0021, 0)</f>
        <v>149.86620000000002</v>
      </c>
      <c r="K845" s="14">
        <f>149.8641 * CHOOSE(CONTROL!$C$9, $D$9, 100%, $F$9) + CHOOSE(CONTROL!$C$27, 0.0021, 0)</f>
        <v>149.86620000000002</v>
      </c>
      <c r="L845" s="14"/>
    </row>
    <row r="846" spans="1:12" ht="15.75" x14ac:dyDescent="0.25">
      <c r="A846" s="32">
        <v>66688</v>
      </c>
      <c r="B846" s="14">
        <f>149.6041 * CHOOSE(CONTROL!$C$9, $D$9, 100%, $F$9) + CHOOSE(CONTROL!$C$27, 0.0021, 0)</f>
        <v>149.6062</v>
      </c>
      <c r="C846" s="14">
        <f>149.1719 * CHOOSE(CONTROL!$C$9, $D$9, 100%, $F$9) + CHOOSE(CONTROL!$C$27, 0.0021, 0)</f>
        <v>149.17400000000001</v>
      </c>
      <c r="D846" s="14">
        <f>149.1719 * CHOOSE(CONTROL!$C$9, $D$9, 100%, $F$9) + CHOOSE(CONTROL!$C$27, 0.0021, 0)</f>
        <v>149.17400000000001</v>
      </c>
      <c r="E846" s="14">
        <f>149.0352 * CHOOSE(CONTROL!$C$9, $D$9, 100%, $F$9) + CHOOSE(CONTROL!$C$27, 0.0021, 0)</f>
        <v>149.03730000000002</v>
      </c>
      <c r="F846" s="14">
        <f>149.0352 * CHOOSE(CONTROL!$C$9, $D$9, 100%, $F$9) + CHOOSE(CONTROL!$C$27, 0.0021, 0)</f>
        <v>149.03730000000002</v>
      </c>
      <c r="G846" s="14">
        <f>149.3066 * CHOOSE(CONTROL!$C$9, $D$9, 100%, $F$9) + CHOOSE(CONTROL!$C$27, 0.0021, 0)</f>
        <v>149.30870000000002</v>
      </c>
      <c r="H846" s="14">
        <f>149.1719 * CHOOSE(CONTROL!$C$9, $D$9, 100%, $F$9) + CHOOSE(CONTROL!$C$27, 0.0021, 0)</f>
        <v>149.17400000000001</v>
      </c>
      <c r="I846" s="14">
        <f>149.1719 * CHOOSE(CONTROL!$C$9, $D$9, 100%, $F$9) + CHOOSE(CONTROL!$C$27, 0.0021, 0)</f>
        <v>149.17400000000001</v>
      </c>
      <c r="J846" s="14">
        <f>149.1719 * CHOOSE(CONTROL!$C$9, $D$9, 100%, $F$9) + CHOOSE(CONTROL!$C$27, 0.0021, 0)</f>
        <v>149.17400000000001</v>
      </c>
      <c r="K846" s="14">
        <f>149.1719 * CHOOSE(CONTROL!$C$9, $D$9, 100%, $F$9) + CHOOSE(CONTROL!$C$27, 0.0021, 0)</f>
        <v>149.17400000000001</v>
      </c>
      <c r="L846" s="14"/>
    </row>
    <row r="847" spans="1:12" ht="15.75" x14ac:dyDescent="0.25">
      <c r="A847" s="32">
        <v>66719</v>
      </c>
      <c r="B847" s="14">
        <f>146.1748 * CHOOSE(CONTROL!$C$9, $D$9, 100%, $F$9) + CHOOSE(CONTROL!$C$27, 0.0021, 0)</f>
        <v>146.17690000000002</v>
      </c>
      <c r="C847" s="14">
        <f>145.7425 * CHOOSE(CONTROL!$C$9, $D$9, 100%, $F$9) + CHOOSE(CONTROL!$C$27, 0.0021, 0)</f>
        <v>145.74460000000002</v>
      </c>
      <c r="D847" s="14">
        <f>145.7425 * CHOOSE(CONTROL!$C$9, $D$9, 100%, $F$9) + CHOOSE(CONTROL!$C$27, 0.0021, 0)</f>
        <v>145.74460000000002</v>
      </c>
      <c r="E847" s="14">
        <f>145.6059 * CHOOSE(CONTROL!$C$9, $D$9, 100%, $F$9) + CHOOSE(CONTROL!$C$27, 0.0021, 0)</f>
        <v>145.608</v>
      </c>
      <c r="F847" s="14">
        <f>145.6059 * CHOOSE(CONTROL!$C$9, $D$9, 100%, $F$9) + CHOOSE(CONTROL!$C$27, 0.0021, 0)</f>
        <v>145.608</v>
      </c>
      <c r="G847" s="14">
        <f>145.8772 * CHOOSE(CONTROL!$C$9, $D$9, 100%, $F$9) + CHOOSE(CONTROL!$C$27, 0.0021, 0)</f>
        <v>145.8793</v>
      </c>
      <c r="H847" s="14">
        <f>145.7425 * CHOOSE(CONTROL!$C$9, $D$9, 100%, $F$9) + CHOOSE(CONTROL!$C$27, 0.0021, 0)</f>
        <v>145.74460000000002</v>
      </c>
      <c r="I847" s="14">
        <f>145.7425 * CHOOSE(CONTROL!$C$9, $D$9, 100%, $F$9) + CHOOSE(CONTROL!$C$27, 0.0021, 0)</f>
        <v>145.74460000000002</v>
      </c>
      <c r="J847" s="14">
        <f>145.7425 * CHOOSE(CONTROL!$C$9, $D$9, 100%, $F$9) + CHOOSE(CONTROL!$C$27, 0.0021, 0)</f>
        <v>145.74460000000002</v>
      </c>
      <c r="K847" s="14">
        <f>145.7425 * CHOOSE(CONTROL!$C$9, $D$9, 100%, $F$9) + CHOOSE(CONTROL!$C$27, 0.0021, 0)</f>
        <v>145.74460000000002</v>
      </c>
      <c r="L847" s="14"/>
    </row>
    <row r="848" spans="1:12" ht="15.75" x14ac:dyDescent="0.25">
      <c r="A848" s="32">
        <v>66749</v>
      </c>
      <c r="B848" s="14">
        <f>141.3924 * CHOOSE(CONTROL!$C$9, $D$9, 100%, $F$9) + CHOOSE(CONTROL!$C$27, 0.0021, 0)</f>
        <v>141.39450000000002</v>
      </c>
      <c r="C848" s="14">
        <f>140.9601 * CHOOSE(CONTROL!$C$9, $D$9, 100%, $F$9) + CHOOSE(CONTROL!$C$27, 0.0021, 0)</f>
        <v>140.96220000000002</v>
      </c>
      <c r="D848" s="14">
        <f>140.9601 * CHOOSE(CONTROL!$C$9, $D$9, 100%, $F$9) + CHOOSE(CONTROL!$C$27, 0.0021, 0)</f>
        <v>140.96220000000002</v>
      </c>
      <c r="E848" s="14">
        <f>140.8235 * CHOOSE(CONTROL!$C$9, $D$9, 100%, $F$9) + CHOOSE(CONTROL!$C$27, 0.0021, 0)</f>
        <v>140.82560000000001</v>
      </c>
      <c r="F848" s="14">
        <f>140.8235 * CHOOSE(CONTROL!$C$9, $D$9, 100%, $F$9) + CHOOSE(CONTROL!$C$27, 0.0021, 0)</f>
        <v>140.82560000000001</v>
      </c>
      <c r="G848" s="14">
        <f>141.0948 * CHOOSE(CONTROL!$C$9, $D$9, 100%, $F$9) + CHOOSE(CONTROL!$C$27, 0.0021, 0)</f>
        <v>141.09690000000001</v>
      </c>
      <c r="H848" s="14">
        <f>140.9601 * CHOOSE(CONTROL!$C$9, $D$9, 100%, $F$9) + CHOOSE(CONTROL!$C$27, 0.0021, 0)</f>
        <v>140.96220000000002</v>
      </c>
      <c r="I848" s="14">
        <f>140.9601 * CHOOSE(CONTROL!$C$9, $D$9, 100%, $F$9) + CHOOSE(CONTROL!$C$27, 0.0021, 0)</f>
        <v>140.96220000000002</v>
      </c>
      <c r="J848" s="14">
        <f>140.9601 * CHOOSE(CONTROL!$C$9, $D$9, 100%, $F$9) + CHOOSE(CONTROL!$C$27, 0.0021, 0)</f>
        <v>140.96220000000002</v>
      </c>
      <c r="K848" s="14">
        <f>140.9601 * CHOOSE(CONTROL!$C$9, $D$9, 100%, $F$9) + CHOOSE(CONTROL!$C$27, 0.0021, 0)</f>
        <v>140.96220000000002</v>
      </c>
      <c r="L848" s="14"/>
    </row>
    <row r="849" spans="1:12" ht="15.75" x14ac:dyDescent="0.25">
      <c r="A849" s="32">
        <v>66780</v>
      </c>
      <c r="B849" s="14">
        <f>136.5821 * CHOOSE(CONTROL!$C$9, $D$9, 100%, $F$9) + CHOOSE(CONTROL!$C$27, 0.0021, 0)</f>
        <v>136.58420000000001</v>
      </c>
      <c r="C849" s="14">
        <f>136.1499 * CHOOSE(CONTROL!$C$9, $D$9, 100%, $F$9) + CHOOSE(CONTROL!$C$27, 0.0021, 0)</f>
        <v>136.15200000000002</v>
      </c>
      <c r="D849" s="14">
        <f>136.1499 * CHOOSE(CONTROL!$C$9, $D$9, 100%, $F$9) + CHOOSE(CONTROL!$C$27, 0.0021, 0)</f>
        <v>136.15200000000002</v>
      </c>
      <c r="E849" s="14">
        <f>136.0132 * CHOOSE(CONTROL!$C$9, $D$9, 100%, $F$9) + CHOOSE(CONTROL!$C$27, 0.0021, 0)</f>
        <v>136.01530000000002</v>
      </c>
      <c r="F849" s="14">
        <f>136.0132 * CHOOSE(CONTROL!$C$9, $D$9, 100%, $F$9) + CHOOSE(CONTROL!$C$27, 0.0021, 0)</f>
        <v>136.01530000000002</v>
      </c>
      <c r="G849" s="14">
        <f>136.2846 * CHOOSE(CONTROL!$C$9, $D$9, 100%, $F$9) + CHOOSE(CONTROL!$C$27, 0.0021, 0)</f>
        <v>136.28670000000002</v>
      </c>
      <c r="H849" s="14">
        <f>136.1499 * CHOOSE(CONTROL!$C$9, $D$9, 100%, $F$9) + CHOOSE(CONTROL!$C$27, 0.0021, 0)</f>
        <v>136.15200000000002</v>
      </c>
      <c r="I849" s="14">
        <f>136.1499 * CHOOSE(CONTROL!$C$9, $D$9, 100%, $F$9) + CHOOSE(CONTROL!$C$27, 0.0021, 0)</f>
        <v>136.15200000000002</v>
      </c>
      <c r="J849" s="14">
        <f>136.1499 * CHOOSE(CONTROL!$C$9, $D$9, 100%, $F$9) + CHOOSE(CONTROL!$C$27, 0.0021, 0)</f>
        <v>136.15200000000002</v>
      </c>
      <c r="K849" s="14">
        <f>136.1499 * CHOOSE(CONTROL!$C$9, $D$9, 100%, $F$9) + CHOOSE(CONTROL!$C$27, 0.0021, 0)</f>
        <v>136.15200000000002</v>
      </c>
      <c r="L849" s="14"/>
    </row>
    <row r="850" spans="1:12" ht="15.75" x14ac:dyDescent="0.25">
      <c r="A850" s="32">
        <v>66810</v>
      </c>
      <c r="B850" s="14">
        <f>135.6253 * CHOOSE(CONTROL!$C$9, $D$9, 100%, $F$9) + CHOOSE(CONTROL!$C$27, 0.0021, 0)</f>
        <v>135.62740000000002</v>
      </c>
      <c r="C850" s="14">
        <f>135.1931 * CHOOSE(CONTROL!$C$9, $D$9, 100%, $F$9) + CHOOSE(CONTROL!$C$27, 0.0021, 0)</f>
        <v>135.1952</v>
      </c>
      <c r="D850" s="14">
        <f>135.1931 * CHOOSE(CONTROL!$C$9, $D$9, 100%, $F$9) + CHOOSE(CONTROL!$C$27, 0.0021, 0)</f>
        <v>135.1952</v>
      </c>
      <c r="E850" s="14">
        <f>135.0564 * CHOOSE(CONTROL!$C$9, $D$9, 100%, $F$9) + CHOOSE(CONTROL!$C$27, 0.0021, 0)</f>
        <v>135.05850000000001</v>
      </c>
      <c r="F850" s="14">
        <f>135.0564 * CHOOSE(CONTROL!$C$9, $D$9, 100%, $F$9) + CHOOSE(CONTROL!$C$27, 0.0021, 0)</f>
        <v>135.05850000000001</v>
      </c>
      <c r="G850" s="14">
        <f>135.3278 * CHOOSE(CONTROL!$C$9, $D$9, 100%, $F$9) + CHOOSE(CONTROL!$C$27, 0.0021, 0)</f>
        <v>135.32990000000001</v>
      </c>
      <c r="H850" s="14">
        <f>135.1931 * CHOOSE(CONTROL!$C$9, $D$9, 100%, $F$9) + CHOOSE(CONTROL!$C$27, 0.0021, 0)</f>
        <v>135.1952</v>
      </c>
      <c r="I850" s="14">
        <f>135.1931 * CHOOSE(CONTROL!$C$9, $D$9, 100%, $F$9) + CHOOSE(CONTROL!$C$27, 0.0021, 0)</f>
        <v>135.1952</v>
      </c>
      <c r="J850" s="14">
        <f>135.1931 * CHOOSE(CONTROL!$C$9, $D$9, 100%, $F$9) + CHOOSE(CONTROL!$C$27, 0.0021, 0)</f>
        <v>135.1952</v>
      </c>
      <c r="K850" s="14">
        <f>135.1931 * CHOOSE(CONTROL!$C$9, $D$9, 100%, $F$9) + CHOOSE(CONTROL!$C$27, 0.0021, 0)</f>
        <v>135.1952</v>
      </c>
      <c r="L850" s="14"/>
    </row>
    <row r="851" spans="1:12" ht="15.75" x14ac:dyDescent="0.25">
      <c r="A851" s="32">
        <v>66841</v>
      </c>
      <c r="B851" s="14">
        <f>131.6686 * CHOOSE(CONTROL!$C$9, $D$9, 100%, $F$9) + CHOOSE(CONTROL!$C$27, 0.0021, 0)</f>
        <v>131.67070000000001</v>
      </c>
      <c r="C851" s="14">
        <f>131.2364 * CHOOSE(CONTROL!$C$9, $D$9, 100%, $F$9) + CHOOSE(CONTROL!$C$27, 0.0021, 0)</f>
        <v>131.23850000000002</v>
      </c>
      <c r="D851" s="14">
        <f>131.2364 * CHOOSE(CONTROL!$C$9, $D$9, 100%, $F$9) + CHOOSE(CONTROL!$C$27, 0.0021, 0)</f>
        <v>131.23850000000002</v>
      </c>
      <c r="E851" s="14">
        <f>131.0997 * CHOOSE(CONTROL!$C$9, $D$9, 100%, $F$9) + CHOOSE(CONTROL!$C$27, 0.0021, 0)</f>
        <v>131.10180000000003</v>
      </c>
      <c r="F851" s="14">
        <f>131.0997 * CHOOSE(CONTROL!$C$9, $D$9, 100%, $F$9) + CHOOSE(CONTROL!$C$27, 0.0021, 0)</f>
        <v>131.10180000000003</v>
      </c>
      <c r="G851" s="14">
        <f>131.3711 * CHOOSE(CONTROL!$C$9, $D$9, 100%, $F$9) + CHOOSE(CONTROL!$C$27, 0.0021, 0)</f>
        <v>131.37320000000003</v>
      </c>
      <c r="H851" s="14">
        <f>131.2364 * CHOOSE(CONTROL!$C$9, $D$9, 100%, $F$9) + CHOOSE(CONTROL!$C$27, 0.0021, 0)</f>
        <v>131.23850000000002</v>
      </c>
      <c r="I851" s="14">
        <f>131.2364 * CHOOSE(CONTROL!$C$9, $D$9, 100%, $F$9) + CHOOSE(CONTROL!$C$27, 0.0021, 0)</f>
        <v>131.23850000000002</v>
      </c>
      <c r="J851" s="14">
        <f>131.2364 * CHOOSE(CONTROL!$C$9, $D$9, 100%, $F$9) + CHOOSE(CONTROL!$C$27, 0.0021, 0)</f>
        <v>131.23850000000002</v>
      </c>
      <c r="K851" s="14">
        <f>131.2364 * CHOOSE(CONTROL!$C$9, $D$9, 100%, $F$9) + CHOOSE(CONTROL!$C$27, 0.0021, 0)</f>
        <v>131.23850000000002</v>
      </c>
      <c r="L851" s="14"/>
    </row>
    <row r="852" spans="1:12" ht="15.75" x14ac:dyDescent="0.25">
      <c r="A852" s="32">
        <v>66872</v>
      </c>
      <c r="B852" s="14">
        <f>130.8983 * CHOOSE(CONTROL!$C$9, $D$9, 100%, $F$9) + CHOOSE(CONTROL!$C$27, 0.0021, 0)</f>
        <v>130.90040000000002</v>
      </c>
      <c r="C852" s="14">
        <f>130.4661 * CHOOSE(CONTROL!$C$9, $D$9, 100%, $F$9) + CHOOSE(CONTROL!$C$27, 0.0021, 0)</f>
        <v>130.46820000000002</v>
      </c>
      <c r="D852" s="14">
        <f>130.4661 * CHOOSE(CONTROL!$C$9, $D$9, 100%, $F$9) + CHOOSE(CONTROL!$C$27, 0.0021, 0)</f>
        <v>130.46820000000002</v>
      </c>
      <c r="E852" s="14">
        <f>130.3294 * CHOOSE(CONTROL!$C$9, $D$9, 100%, $F$9) + CHOOSE(CONTROL!$C$27, 0.0021, 0)</f>
        <v>130.33150000000001</v>
      </c>
      <c r="F852" s="14">
        <f>130.3294 * CHOOSE(CONTROL!$C$9, $D$9, 100%, $F$9) + CHOOSE(CONTROL!$C$27, 0.0021, 0)</f>
        <v>130.33150000000001</v>
      </c>
      <c r="G852" s="14">
        <f>130.6008 * CHOOSE(CONTROL!$C$9, $D$9, 100%, $F$9) + CHOOSE(CONTROL!$C$27, 0.0021, 0)</f>
        <v>130.60290000000001</v>
      </c>
      <c r="H852" s="14">
        <f>130.4661 * CHOOSE(CONTROL!$C$9, $D$9, 100%, $F$9) + CHOOSE(CONTROL!$C$27, 0.0021, 0)</f>
        <v>130.46820000000002</v>
      </c>
      <c r="I852" s="14">
        <f>130.4661 * CHOOSE(CONTROL!$C$9, $D$9, 100%, $F$9) + CHOOSE(CONTROL!$C$27, 0.0021, 0)</f>
        <v>130.46820000000002</v>
      </c>
      <c r="J852" s="14">
        <f>130.4661 * CHOOSE(CONTROL!$C$9, $D$9, 100%, $F$9) + CHOOSE(CONTROL!$C$27, 0.0021, 0)</f>
        <v>130.46820000000002</v>
      </c>
      <c r="K852" s="14">
        <f>130.4661 * CHOOSE(CONTROL!$C$9, $D$9, 100%, $F$9) + CHOOSE(CONTROL!$C$27, 0.0021, 0)</f>
        <v>130.46820000000002</v>
      </c>
      <c r="L852" s="14"/>
    </row>
    <row r="853" spans="1:12" ht="15.75" x14ac:dyDescent="0.25">
      <c r="A853" s="32">
        <v>66900</v>
      </c>
      <c r="B853" s="14">
        <f>130.5408 * CHOOSE(CONTROL!$C$9, $D$9, 100%, $F$9) + CHOOSE(CONTROL!$C$27, 0.0021, 0)</f>
        <v>130.5429</v>
      </c>
      <c r="C853" s="14">
        <f>130.1086 * CHOOSE(CONTROL!$C$9, $D$9, 100%, $F$9) + CHOOSE(CONTROL!$C$27, 0.0021, 0)</f>
        <v>130.11070000000001</v>
      </c>
      <c r="D853" s="14">
        <f>130.1086 * CHOOSE(CONTROL!$C$9, $D$9, 100%, $F$9) + CHOOSE(CONTROL!$C$27, 0.0021, 0)</f>
        <v>130.11070000000001</v>
      </c>
      <c r="E853" s="14">
        <f>129.9719 * CHOOSE(CONTROL!$C$9, $D$9, 100%, $F$9) + CHOOSE(CONTROL!$C$27, 0.0021, 0)</f>
        <v>129.97400000000002</v>
      </c>
      <c r="F853" s="14">
        <f>129.9719 * CHOOSE(CONTROL!$C$9, $D$9, 100%, $F$9) + CHOOSE(CONTROL!$C$27, 0.0021, 0)</f>
        <v>129.97400000000002</v>
      </c>
      <c r="G853" s="14">
        <f>130.2433 * CHOOSE(CONTROL!$C$9, $D$9, 100%, $F$9) + CHOOSE(CONTROL!$C$27, 0.0021, 0)</f>
        <v>130.24540000000002</v>
      </c>
      <c r="H853" s="14">
        <f>130.1086 * CHOOSE(CONTROL!$C$9, $D$9, 100%, $F$9) + CHOOSE(CONTROL!$C$27, 0.0021, 0)</f>
        <v>130.11070000000001</v>
      </c>
      <c r="I853" s="14">
        <f>130.1086 * CHOOSE(CONTROL!$C$9, $D$9, 100%, $F$9) + CHOOSE(CONTROL!$C$27, 0.0021, 0)</f>
        <v>130.11070000000001</v>
      </c>
      <c r="J853" s="14">
        <f>130.1086 * CHOOSE(CONTROL!$C$9, $D$9, 100%, $F$9) + CHOOSE(CONTROL!$C$27, 0.0021, 0)</f>
        <v>130.11070000000001</v>
      </c>
      <c r="K853" s="14">
        <f>130.1086 * CHOOSE(CONTROL!$C$9, $D$9, 100%, $F$9) + CHOOSE(CONTROL!$C$27, 0.0021, 0)</f>
        <v>130.11070000000001</v>
      </c>
      <c r="L853" s="14"/>
    </row>
    <row r="854" spans="1:12" ht="15.75" x14ac:dyDescent="0.25">
      <c r="A854" s="32">
        <v>66931</v>
      </c>
      <c r="B854" s="14">
        <f>137.3003 * CHOOSE(CONTROL!$C$9, $D$9, 100%, $F$9) + CHOOSE(CONTROL!$C$27, 0.0021, 0)</f>
        <v>137.30240000000001</v>
      </c>
      <c r="C854" s="14">
        <f>136.868 * CHOOSE(CONTROL!$C$9, $D$9, 100%, $F$9) + CHOOSE(CONTROL!$C$27, 0.0021, 0)</f>
        <v>136.87010000000001</v>
      </c>
      <c r="D854" s="14">
        <f>136.868 * CHOOSE(CONTROL!$C$9, $D$9, 100%, $F$9) + CHOOSE(CONTROL!$C$27, 0.0021, 0)</f>
        <v>136.87010000000001</v>
      </c>
      <c r="E854" s="14">
        <f>136.7314 * CHOOSE(CONTROL!$C$9, $D$9, 100%, $F$9) + CHOOSE(CONTROL!$C$27, 0.0021, 0)</f>
        <v>136.73350000000002</v>
      </c>
      <c r="F854" s="14">
        <f>136.7314 * CHOOSE(CONTROL!$C$9, $D$9, 100%, $F$9) + CHOOSE(CONTROL!$C$27, 0.0021, 0)</f>
        <v>136.73350000000002</v>
      </c>
      <c r="G854" s="14">
        <f>137.0027 * CHOOSE(CONTROL!$C$9, $D$9, 100%, $F$9) + CHOOSE(CONTROL!$C$27, 0.0021, 0)</f>
        <v>137.00480000000002</v>
      </c>
      <c r="H854" s="14">
        <f>136.868 * CHOOSE(CONTROL!$C$9, $D$9, 100%, $F$9) + CHOOSE(CONTROL!$C$27, 0.0021, 0)</f>
        <v>136.87010000000001</v>
      </c>
      <c r="I854" s="14">
        <f>136.868 * CHOOSE(CONTROL!$C$9, $D$9, 100%, $F$9) + CHOOSE(CONTROL!$C$27, 0.0021, 0)</f>
        <v>136.87010000000001</v>
      </c>
      <c r="J854" s="14">
        <f>136.868 * CHOOSE(CONTROL!$C$9, $D$9, 100%, $F$9) + CHOOSE(CONTROL!$C$27, 0.0021, 0)</f>
        <v>136.87010000000001</v>
      </c>
      <c r="K854" s="14">
        <f>136.868 * CHOOSE(CONTROL!$C$9, $D$9, 100%, $F$9) + CHOOSE(CONTROL!$C$27, 0.0021, 0)</f>
        <v>136.87010000000001</v>
      </c>
      <c r="L854" s="14"/>
    </row>
    <row r="855" spans="1:12" ht="15.75" x14ac:dyDescent="0.25">
      <c r="A855" s="32">
        <v>66961</v>
      </c>
      <c r="B855" s="14">
        <f>146.0656 * CHOOSE(CONTROL!$C$9, $D$9, 100%, $F$9) + CHOOSE(CONTROL!$C$27, 0.0021, 0)</f>
        <v>146.0677</v>
      </c>
      <c r="C855" s="14">
        <f>145.6334 * CHOOSE(CONTROL!$C$9, $D$9, 100%, $F$9) + CHOOSE(CONTROL!$C$27, 0.0021, 0)</f>
        <v>145.63550000000001</v>
      </c>
      <c r="D855" s="14">
        <f>145.6334 * CHOOSE(CONTROL!$C$9, $D$9, 100%, $F$9) + CHOOSE(CONTROL!$C$27, 0.0021, 0)</f>
        <v>145.63550000000001</v>
      </c>
      <c r="E855" s="14">
        <f>145.4967 * CHOOSE(CONTROL!$C$9, $D$9, 100%, $F$9) + CHOOSE(CONTROL!$C$27, 0.0021, 0)</f>
        <v>145.49880000000002</v>
      </c>
      <c r="F855" s="14">
        <f>145.4967 * CHOOSE(CONTROL!$C$9, $D$9, 100%, $F$9) + CHOOSE(CONTROL!$C$27, 0.0021, 0)</f>
        <v>145.49880000000002</v>
      </c>
      <c r="G855" s="14">
        <f>145.7681 * CHOOSE(CONTROL!$C$9, $D$9, 100%, $F$9) + CHOOSE(CONTROL!$C$27, 0.0021, 0)</f>
        <v>145.77020000000002</v>
      </c>
      <c r="H855" s="14">
        <f>145.6334 * CHOOSE(CONTROL!$C$9, $D$9, 100%, $F$9) + CHOOSE(CONTROL!$C$27, 0.0021, 0)</f>
        <v>145.63550000000001</v>
      </c>
      <c r="I855" s="14">
        <f>145.6334 * CHOOSE(CONTROL!$C$9, $D$9, 100%, $F$9) + CHOOSE(CONTROL!$C$27, 0.0021, 0)</f>
        <v>145.63550000000001</v>
      </c>
      <c r="J855" s="14">
        <f>145.6334 * CHOOSE(CONTROL!$C$9, $D$9, 100%, $F$9) + CHOOSE(CONTROL!$C$27, 0.0021, 0)</f>
        <v>145.63550000000001</v>
      </c>
      <c r="K855" s="14">
        <f>145.6334 * CHOOSE(CONTROL!$C$9, $D$9, 100%, $F$9) + CHOOSE(CONTROL!$C$27, 0.0021, 0)</f>
        <v>145.63550000000001</v>
      </c>
      <c r="L855" s="14"/>
    </row>
    <row r="856" spans="1:12" ht="15.75" x14ac:dyDescent="0.25">
      <c r="A856" s="32">
        <v>66992</v>
      </c>
      <c r="B856" s="14">
        <f>150.8904 * CHOOSE(CONTROL!$C$9, $D$9, 100%, $F$9) + CHOOSE(CONTROL!$C$27, 0.0021, 0)</f>
        <v>150.89250000000001</v>
      </c>
      <c r="C856" s="14">
        <f>150.4581 * CHOOSE(CONTROL!$C$9, $D$9, 100%, $F$9) + CHOOSE(CONTROL!$C$27, 0.0021, 0)</f>
        <v>150.46020000000001</v>
      </c>
      <c r="D856" s="14">
        <f>150.4581 * CHOOSE(CONTROL!$C$9, $D$9, 100%, $F$9) + CHOOSE(CONTROL!$C$27, 0.0021, 0)</f>
        <v>150.46020000000001</v>
      </c>
      <c r="E856" s="14">
        <f>150.3215 * CHOOSE(CONTROL!$C$9, $D$9, 100%, $F$9) + CHOOSE(CONTROL!$C$27, 0.0021, 0)</f>
        <v>150.3236</v>
      </c>
      <c r="F856" s="14">
        <f>150.3215 * CHOOSE(CONTROL!$C$9, $D$9, 100%, $F$9) + CHOOSE(CONTROL!$C$27, 0.0021, 0)</f>
        <v>150.3236</v>
      </c>
      <c r="G856" s="14">
        <f>150.5929 * CHOOSE(CONTROL!$C$9, $D$9, 100%, $F$9) + CHOOSE(CONTROL!$C$27, 0.0021, 0)</f>
        <v>150.595</v>
      </c>
      <c r="H856" s="14">
        <f>150.4581 * CHOOSE(CONTROL!$C$9, $D$9, 100%, $F$9) + CHOOSE(CONTROL!$C$27, 0.0021, 0)</f>
        <v>150.46020000000001</v>
      </c>
      <c r="I856" s="14">
        <f>150.4581 * CHOOSE(CONTROL!$C$9, $D$9, 100%, $F$9) + CHOOSE(CONTROL!$C$27, 0.0021, 0)</f>
        <v>150.46020000000001</v>
      </c>
      <c r="J856" s="14">
        <f>150.4581 * CHOOSE(CONTROL!$C$9, $D$9, 100%, $F$9) + CHOOSE(CONTROL!$C$27, 0.0021, 0)</f>
        <v>150.46020000000001</v>
      </c>
      <c r="K856" s="14">
        <f>150.4581 * CHOOSE(CONTROL!$C$9, $D$9, 100%, $F$9) + CHOOSE(CONTROL!$C$27, 0.0021, 0)</f>
        <v>150.46020000000001</v>
      </c>
      <c r="L856" s="14"/>
    </row>
    <row r="857" spans="1:12" ht="15.75" x14ac:dyDescent="0.25">
      <c r="A857" s="32">
        <v>67022</v>
      </c>
      <c r="B857" s="14">
        <f>153.0315 * CHOOSE(CONTROL!$C$9, $D$9, 100%, $F$9) + CHOOSE(CONTROL!$C$27, 0.0021, 0)</f>
        <v>153.03360000000001</v>
      </c>
      <c r="C857" s="14">
        <f>152.5993 * CHOOSE(CONTROL!$C$9, $D$9, 100%, $F$9) + CHOOSE(CONTROL!$C$27, 0.0021, 0)</f>
        <v>152.60140000000001</v>
      </c>
      <c r="D857" s="14">
        <f>152.5993 * CHOOSE(CONTROL!$C$9, $D$9, 100%, $F$9) + CHOOSE(CONTROL!$C$27, 0.0021, 0)</f>
        <v>152.60140000000001</v>
      </c>
      <c r="E857" s="14">
        <f>152.4626 * CHOOSE(CONTROL!$C$9, $D$9, 100%, $F$9) + CHOOSE(CONTROL!$C$27, 0.0021, 0)</f>
        <v>152.46470000000002</v>
      </c>
      <c r="F857" s="14">
        <f>152.4626 * CHOOSE(CONTROL!$C$9, $D$9, 100%, $F$9) + CHOOSE(CONTROL!$C$27, 0.0021, 0)</f>
        <v>152.46470000000002</v>
      </c>
      <c r="G857" s="14">
        <f>152.734 * CHOOSE(CONTROL!$C$9, $D$9, 100%, $F$9) + CHOOSE(CONTROL!$C$27, 0.0021, 0)</f>
        <v>152.73610000000002</v>
      </c>
      <c r="H857" s="14">
        <f>152.5993 * CHOOSE(CONTROL!$C$9, $D$9, 100%, $F$9) + CHOOSE(CONTROL!$C$27, 0.0021, 0)</f>
        <v>152.60140000000001</v>
      </c>
      <c r="I857" s="14">
        <f>152.5993 * CHOOSE(CONTROL!$C$9, $D$9, 100%, $F$9) + CHOOSE(CONTROL!$C$27, 0.0021, 0)</f>
        <v>152.60140000000001</v>
      </c>
      <c r="J857" s="14">
        <f>152.5993 * CHOOSE(CONTROL!$C$9, $D$9, 100%, $F$9) + CHOOSE(CONTROL!$C$27, 0.0021, 0)</f>
        <v>152.60140000000001</v>
      </c>
      <c r="K857" s="14">
        <f>152.5993 * CHOOSE(CONTROL!$C$9, $D$9, 100%, $F$9) + CHOOSE(CONTROL!$C$27, 0.0021, 0)</f>
        <v>152.60140000000001</v>
      </c>
      <c r="L857" s="14"/>
    </row>
    <row r="858" spans="1:12" ht="15.75" x14ac:dyDescent="0.25">
      <c r="A858" s="32">
        <v>67053</v>
      </c>
      <c r="B858" s="14">
        <f>152.3266 * CHOOSE(CONTROL!$C$9, $D$9, 100%, $F$9) + CHOOSE(CONTROL!$C$27, 0.0021, 0)</f>
        <v>152.32870000000003</v>
      </c>
      <c r="C858" s="14">
        <f>151.8943 * CHOOSE(CONTROL!$C$9, $D$9, 100%, $F$9) + CHOOSE(CONTROL!$C$27, 0.0021, 0)</f>
        <v>151.8964</v>
      </c>
      <c r="D858" s="14">
        <f>151.8943 * CHOOSE(CONTROL!$C$9, $D$9, 100%, $F$9) + CHOOSE(CONTROL!$C$27, 0.0021, 0)</f>
        <v>151.8964</v>
      </c>
      <c r="E858" s="14">
        <f>151.7577 * CHOOSE(CONTROL!$C$9, $D$9, 100%, $F$9) + CHOOSE(CONTROL!$C$27, 0.0021, 0)</f>
        <v>151.75980000000001</v>
      </c>
      <c r="F858" s="14">
        <f>151.7577 * CHOOSE(CONTROL!$C$9, $D$9, 100%, $F$9) + CHOOSE(CONTROL!$C$27, 0.0021, 0)</f>
        <v>151.75980000000001</v>
      </c>
      <c r="G858" s="14">
        <f>152.029 * CHOOSE(CONTROL!$C$9, $D$9, 100%, $F$9) + CHOOSE(CONTROL!$C$27, 0.0021, 0)</f>
        <v>152.03110000000001</v>
      </c>
      <c r="H858" s="14">
        <f>151.8943 * CHOOSE(CONTROL!$C$9, $D$9, 100%, $F$9) + CHOOSE(CONTROL!$C$27, 0.0021, 0)</f>
        <v>151.8964</v>
      </c>
      <c r="I858" s="14">
        <f>151.8943 * CHOOSE(CONTROL!$C$9, $D$9, 100%, $F$9) + CHOOSE(CONTROL!$C$27, 0.0021, 0)</f>
        <v>151.8964</v>
      </c>
      <c r="J858" s="14">
        <f>151.8943 * CHOOSE(CONTROL!$C$9, $D$9, 100%, $F$9) + CHOOSE(CONTROL!$C$27, 0.0021, 0)</f>
        <v>151.8964</v>
      </c>
      <c r="K858" s="14">
        <f>151.8943 * CHOOSE(CONTROL!$C$9, $D$9, 100%, $F$9) + CHOOSE(CONTROL!$C$27, 0.0021, 0)</f>
        <v>151.8964</v>
      </c>
      <c r="L858" s="14"/>
    </row>
    <row r="859" spans="1:12" ht="15.75" x14ac:dyDescent="0.25">
      <c r="A859" s="32">
        <v>67084</v>
      </c>
      <c r="B859" s="14">
        <f>148.8338 * CHOOSE(CONTROL!$C$9, $D$9, 100%, $F$9) + CHOOSE(CONTROL!$C$27, 0.0021, 0)</f>
        <v>148.83590000000001</v>
      </c>
      <c r="C859" s="14">
        <f>148.4016 * CHOOSE(CONTROL!$C$9, $D$9, 100%, $F$9) + CHOOSE(CONTROL!$C$27, 0.0021, 0)</f>
        <v>148.40370000000001</v>
      </c>
      <c r="D859" s="14">
        <f>148.4016 * CHOOSE(CONTROL!$C$9, $D$9, 100%, $F$9) + CHOOSE(CONTROL!$C$27, 0.0021, 0)</f>
        <v>148.40370000000001</v>
      </c>
      <c r="E859" s="14">
        <f>148.2649 * CHOOSE(CONTROL!$C$9, $D$9, 100%, $F$9) + CHOOSE(CONTROL!$C$27, 0.0021, 0)</f>
        <v>148.26700000000002</v>
      </c>
      <c r="F859" s="14">
        <f>148.2649 * CHOOSE(CONTROL!$C$9, $D$9, 100%, $F$9) + CHOOSE(CONTROL!$C$27, 0.0021, 0)</f>
        <v>148.26700000000002</v>
      </c>
      <c r="G859" s="14">
        <f>148.5363 * CHOOSE(CONTROL!$C$9, $D$9, 100%, $F$9) + CHOOSE(CONTROL!$C$27, 0.0021, 0)</f>
        <v>148.53840000000002</v>
      </c>
      <c r="H859" s="14">
        <f>148.4016 * CHOOSE(CONTROL!$C$9, $D$9, 100%, $F$9) + CHOOSE(CONTROL!$C$27, 0.0021, 0)</f>
        <v>148.40370000000001</v>
      </c>
      <c r="I859" s="14">
        <f>148.4016 * CHOOSE(CONTROL!$C$9, $D$9, 100%, $F$9) + CHOOSE(CONTROL!$C$27, 0.0021, 0)</f>
        <v>148.40370000000001</v>
      </c>
      <c r="J859" s="14">
        <f>148.4016 * CHOOSE(CONTROL!$C$9, $D$9, 100%, $F$9) + CHOOSE(CONTROL!$C$27, 0.0021, 0)</f>
        <v>148.40370000000001</v>
      </c>
      <c r="K859" s="14">
        <f>148.4016 * CHOOSE(CONTROL!$C$9, $D$9, 100%, $F$9) + CHOOSE(CONTROL!$C$27, 0.0021, 0)</f>
        <v>148.40370000000001</v>
      </c>
      <c r="L859" s="14"/>
    </row>
    <row r="860" spans="1:12" ht="15.75" x14ac:dyDescent="0.25">
      <c r="A860" s="32">
        <v>67114</v>
      </c>
      <c r="B860" s="14">
        <f>143.963 * CHOOSE(CONTROL!$C$9, $D$9, 100%, $F$9) + CHOOSE(CONTROL!$C$27, 0.0021, 0)</f>
        <v>143.96510000000001</v>
      </c>
      <c r="C860" s="14">
        <f>143.5308 * CHOOSE(CONTROL!$C$9, $D$9, 100%, $F$9) + CHOOSE(CONTROL!$C$27, 0.0021, 0)</f>
        <v>143.53290000000001</v>
      </c>
      <c r="D860" s="14">
        <f>143.5308 * CHOOSE(CONTROL!$C$9, $D$9, 100%, $F$9) + CHOOSE(CONTROL!$C$27, 0.0021, 0)</f>
        <v>143.53290000000001</v>
      </c>
      <c r="E860" s="14">
        <f>143.3941 * CHOOSE(CONTROL!$C$9, $D$9, 100%, $F$9) + CHOOSE(CONTROL!$C$27, 0.0021, 0)</f>
        <v>143.39620000000002</v>
      </c>
      <c r="F860" s="14">
        <f>143.3941 * CHOOSE(CONTROL!$C$9, $D$9, 100%, $F$9) + CHOOSE(CONTROL!$C$27, 0.0021, 0)</f>
        <v>143.39620000000002</v>
      </c>
      <c r="G860" s="14">
        <f>143.6655 * CHOOSE(CONTROL!$C$9, $D$9, 100%, $F$9) + CHOOSE(CONTROL!$C$27, 0.0021, 0)</f>
        <v>143.66760000000002</v>
      </c>
      <c r="H860" s="14">
        <f>143.5308 * CHOOSE(CONTROL!$C$9, $D$9, 100%, $F$9) + CHOOSE(CONTROL!$C$27, 0.0021, 0)</f>
        <v>143.53290000000001</v>
      </c>
      <c r="I860" s="14">
        <f>143.5308 * CHOOSE(CONTROL!$C$9, $D$9, 100%, $F$9) + CHOOSE(CONTROL!$C$27, 0.0021, 0)</f>
        <v>143.53290000000001</v>
      </c>
      <c r="J860" s="14">
        <f>143.5308 * CHOOSE(CONTROL!$C$9, $D$9, 100%, $F$9) + CHOOSE(CONTROL!$C$27, 0.0021, 0)</f>
        <v>143.53290000000001</v>
      </c>
      <c r="K860" s="14">
        <f>143.5308 * CHOOSE(CONTROL!$C$9, $D$9, 100%, $F$9) + CHOOSE(CONTROL!$C$27, 0.0021, 0)</f>
        <v>143.53290000000001</v>
      </c>
      <c r="L860" s="14"/>
    </row>
    <row r="861" spans="1:12" ht="15.75" x14ac:dyDescent="0.25">
      <c r="A861" s="32">
        <v>67145</v>
      </c>
      <c r="B861" s="14">
        <f>139.0639 * CHOOSE(CONTROL!$C$9, $D$9, 100%, $F$9) + CHOOSE(CONTROL!$C$27, 0.0021, 0)</f>
        <v>139.066</v>
      </c>
      <c r="C861" s="14">
        <f>138.6317 * CHOOSE(CONTROL!$C$9, $D$9, 100%, $F$9) + CHOOSE(CONTROL!$C$27, 0.0021, 0)</f>
        <v>138.63380000000001</v>
      </c>
      <c r="D861" s="14">
        <f>138.6317 * CHOOSE(CONTROL!$C$9, $D$9, 100%, $F$9) + CHOOSE(CONTROL!$C$27, 0.0021, 0)</f>
        <v>138.63380000000001</v>
      </c>
      <c r="E861" s="14">
        <f>138.495 * CHOOSE(CONTROL!$C$9, $D$9, 100%, $F$9) + CHOOSE(CONTROL!$C$27, 0.0021, 0)</f>
        <v>138.49710000000002</v>
      </c>
      <c r="F861" s="14">
        <f>138.495 * CHOOSE(CONTROL!$C$9, $D$9, 100%, $F$9) + CHOOSE(CONTROL!$C$27, 0.0021, 0)</f>
        <v>138.49710000000002</v>
      </c>
      <c r="G861" s="14">
        <f>138.7664 * CHOOSE(CONTROL!$C$9, $D$9, 100%, $F$9) + CHOOSE(CONTROL!$C$27, 0.0021, 0)</f>
        <v>138.76850000000002</v>
      </c>
      <c r="H861" s="14">
        <f>138.6317 * CHOOSE(CONTROL!$C$9, $D$9, 100%, $F$9) + CHOOSE(CONTROL!$C$27, 0.0021, 0)</f>
        <v>138.63380000000001</v>
      </c>
      <c r="I861" s="14">
        <f>138.6317 * CHOOSE(CONTROL!$C$9, $D$9, 100%, $F$9) + CHOOSE(CONTROL!$C$27, 0.0021, 0)</f>
        <v>138.63380000000001</v>
      </c>
      <c r="J861" s="14">
        <f>138.6317 * CHOOSE(CONTROL!$C$9, $D$9, 100%, $F$9) + CHOOSE(CONTROL!$C$27, 0.0021, 0)</f>
        <v>138.63380000000001</v>
      </c>
      <c r="K861" s="14">
        <f>138.6317 * CHOOSE(CONTROL!$C$9, $D$9, 100%, $F$9) + CHOOSE(CONTROL!$C$27, 0.0021, 0)</f>
        <v>138.63380000000001</v>
      </c>
      <c r="L861" s="14"/>
    </row>
    <row r="862" spans="1:12" ht="15.75" x14ac:dyDescent="0.25">
      <c r="A862" s="32">
        <v>67175</v>
      </c>
      <c r="B862" s="14">
        <f>138.0894 * CHOOSE(CONTROL!$C$9, $D$9, 100%, $F$9) + CHOOSE(CONTROL!$C$27, 0.0021, 0)</f>
        <v>138.09150000000002</v>
      </c>
      <c r="C862" s="14">
        <f>137.6571 * CHOOSE(CONTROL!$C$9, $D$9, 100%, $F$9) + CHOOSE(CONTROL!$C$27, 0.0021, 0)</f>
        <v>137.65920000000003</v>
      </c>
      <c r="D862" s="14">
        <f>137.6571 * CHOOSE(CONTROL!$C$9, $D$9, 100%, $F$9) + CHOOSE(CONTROL!$C$27, 0.0021, 0)</f>
        <v>137.65920000000003</v>
      </c>
      <c r="E862" s="14">
        <f>137.5205 * CHOOSE(CONTROL!$C$9, $D$9, 100%, $F$9) + CHOOSE(CONTROL!$C$27, 0.0021, 0)</f>
        <v>137.52260000000001</v>
      </c>
      <c r="F862" s="14">
        <f>137.5205 * CHOOSE(CONTROL!$C$9, $D$9, 100%, $F$9) + CHOOSE(CONTROL!$C$27, 0.0021, 0)</f>
        <v>137.52260000000001</v>
      </c>
      <c r="G862" s="14">
        <f>137.7919 * CHOOSE(CONTROL!$C$9, $D$9, 100%, $F$9) + CHOOSE(CONTROL!$C$27, 0.0021, 0)</f>
        <v>137.79400000000001</v>
      </c>
      <c r="H862" s="14">
        <f>137.6571 * CHOOSE(CONTROL!$C$9, $D$9, 100%, $F$9) + CHOOSE(CONTROL!$C$27, 0.0021, 0)</f>
        <v>137.65920000000003</v>
      </c>
      <c r="I862" s="14">
        <f>137.6571 * CHOOSE(CONTROL!$C$9, $D$9, 100%, $F$9) + CHOOSE(CONTROL!$C$27, 0.0021, 0)</f>
        <v>137.65920000000003</v>
      </c>
      <c r="J862" s="14">
        <f>137.6571 * CHOOSE(CONTROL!$C$9, $D$9, 100%, $F$9) + CHOOSE(CONTROL!$C$27, 0.0021, 0)</f>
        <v>137.65920000000003</v>
      </c>
      <c r="K862" s="14">
        <f>137.6571 * CHOOSE(CONTROL!$C$9, $D$9, 100%, $F$9) + CHOOSE(CONTROL!$C$27, 0.0021, 0)</f>
        <v>137.65920000000003</v>
      </c>
      <c r="L862" s="14"/>
    </row>
    <row r="863" spans="1:12" ht="15.75" x14ac:dyDescent="0.25">
      <c r="A863" s="32">
        <v>67206</v>
      </c>
      <c r="B863" s="14">
        <f>134.0596 * CHOOSE(CONTROL!$C$9, $D$9, 100%, $F$9) + CHOOSE(CONTROL!$C$27, 0.0021, 0)</f>
        <v>134.0617</v>
      </c>
      <c r="C863" s="14">
        <f>133.6274 * CHOOSE(CONTROL!$C$9, $D$9, 100%, $F$9) + CHOOSE(CONTROL!$C$27, 0.0021, 0)</f>
        <v>133.62950000000001</v>
      </c>
      <c r="D863" s="14">
        <f>133.6274 * CHOOSE(CONTROL!$C$9, $D$9, 100%, $F$9) + CHOOSE(CONTROL!$C$27, 0.0021, 0)</f>
        <v>133.62950000000001</v>
      </c>
      <c r="E863" s="14">
        <f>133.4907 * CHOOSE(CONTROL!$C$9, $D$9, 100%, $F$9) + CHOOSE(CONTROL!$C$27, 0.0021, 0)</f>
        <v>133.49280000000002</v>
      </c>
      <c r="F863" s="14">
        <f>133.4907 * CHOOSE(CONTROL!$C$9, $D$9, 100%, $F$9) + CHOOSE(CONTROL!$C$27, 0.0021, 0)</f>
        <v>133.49280000000002</v>
      </c>
      <c r="G863" s="14">
        <f>133.7621 * CHOOSE(CONTROL!$C$9, $D$9, 100%, $F$9) + CHOOSE(CONTROL!$C$27, 0.0021, 0)</f>
        <v>133.76420000000002</v>
      </c>
      <c r="H863" s="14">
        <f>133.6274 * CHOOSE(CONTROL!$C$9, $D$9, 100%, $F$9) + CHOOSE(CONTROL!$C$27, 0.0021, 0)</f>
        <v>133.62950000000001</v>
      </c>
      <c r="I863" s="14">
        <f>133.6274 * CHOOSE(CONTROL!$C$9, $D$9, 100%, $F$9) + CHOOSE(CONTROL!$C$27, 0.0021, 0)</f>
        <v>133.62950000000001</v>
      </c>
      <c r="J863" s="14">
        <f>133.6274 * CHOOSE(CONTROL!$C$9, $D$9, 100%, $F$9) + CHOOSE(CONTROL!$C$27, 0.0021, 0)</f>
        <v>133.62950000000001</v>
      </c>
      <c r="K863" s="14">
        <f>133.6274 * CHOOSE(CONTROL!$C$9, $D$9, 100%, $F$9) + CHOOSE(CONTROL!$C$27, 0.0021, 0)</f>
        <v>133.62950000000001</v>
      </c>
      <c r="L863" s="14"/>
    </row>
    <row r="864" spans="1:12" ht="15.75" x14ac:dyDescent="0.25">
      <c r="A864" s="32">
        <v>67237</v>
      </c>
      <c r="B864" s="14">
        <f>133.275 * CHOOSE(CONTROL!$C$9, $D$9, 100%, $F$9) + CHOOSE(CONTROL!$C$27, 0.0021, 0)</f>
        <v>133.27710000000002</v>
      </c>
      <c r="C864" s="14">
        <f>132.8428 * CHOOSE(CONTROL!$C$9, $D$9, 100%, $F$9) + CHOOSE(CONTROL!$C$27, 0.0021, 0)</f>
        <v>132.84490000000002</v>
      </c>
      <c r="D864" s="14">
        <f>132.8428 * CHOOSE(CONTROL!$C$9, $D$9, 100%, $F$9) + CHOOSE(CONTROL!$C$27, 0.0021, 0)</f>
        <v>132.84490000000002</v>
      </c>
      <c r="E864" s="14">
        <f>132.7061 * CHOOSE(CONTROL!$C$9, $D$9, 100%, $F$9) + CHOOSE(CONTROL!$C$27, 0.0021, 0)</f>
        <v>132.70820000000001</v>
      </c>
      <c r="F864" s="14">
        <f>132.7061 * CHOOSE(CONTROL!$C$9, $D$9, 100%, $F$9) + CHOOSE(CONTROL!$C$27, 0.0021, 0)</f>
        <v>132.70820000000001</v>
      </c>
      <c r="G864" s="14">
        <f>132.9775 * CHOOSE(CONTROL!$C$9, $D$9, 100%, $F$9) + CHOOSE(CONTROL!$C$27, 0.0021, 0)</f>
        <v>132.9796</v>
      </c>
      <c r="H864" s="14">
        <f>132.8428 * CHOOSE(CONTROL!$C$9, $D$9, 100%, $F$9) + CHOOSE(CONTROL!$C$27, 0.0021, 0)</f>
        <v>132.84490000000002</v>
      </c>
      <c r="I864" s="14">
        <f>132.8428 * CHOOSE(CONTROL!$C$9, $D$9, 100%, $F$9) + CHOOSE(CONTROL!$C$27, 0.0021, 0)</f>
        <v>132.84490000000002</v>
      </c>
      <c r="J864" s="14">
        <f>132.8428 * CHOOSE(CONTROL!$C$9, $D$9, 100%, $F$9) + CHOOSE(CONTROL!$C$27, 0.0021, 0)</f>
        <v>132.84490000000002</v>
      </c>
      <c r="K864" s="14">
        <f>132.8428 * CHOOSE(CONTROL!$C$9, $D$9, 100%, $F$9) + CHOOSE(CONTROL!$C$27, 0.0021, 0)</f>
        <v>132.84490000000002</v>
      </c>
      <c r="L864" s="14"/>
    </row>
    <row r="865" spans="1:12" ht="15.75" x14ac:dyDescent="0.25">
      <c r="A865" s="32">
        <v>67266</v>
      </c>
      <c r="B865" s="14">
        <f>132.911 * CHOOSE(CONTROL!$C$9, $D$9, 100%, $F$9) + CHOOSE(CONTROL!$C$27, 0.0021, 0)</f>
        <v>132.91310000000001</v>
      </c>
      <c r="C865" s="14">
        <f>132.4787 * CHOOSE(CONTROL!$C$9, $D$9, 100%, $F$9) + CHOOSE(CONTROL!$C$27, 0.0021, 0)</f>
        <v>132.48080000000002</v>
      </c>
      <c r="D865" s="14">
        <f>132.4787 * CHOOSE(CONTROL!$C$9, $D$9, 100%, $F$9) + CHOOSE(CONTROL!$C$27, 0.0021, 0)</f>
        <v>132.48080000000002</v>
      </c>
      <c r="E865" s="14">
        <f>132.3421 * CHOOSE(CONTROL!$C$9, $D$9, 100%, $F$9) + CHOOSE(CONTROL!$C$27, 0.0021, 0)</f>
        <v>132.3442</v>
      </c>
      <c r="F865" s="14">
        <f>132.3421 * CHOOSE(CONTROL!$C$9, $D$9, 100%, $F$9) + CHOOSE(CONTROL!$C$27, 0.0021, 0)</f>
        <v>132.3442</v>
      </c>
      <c r="G865" s="14">
        <f>132.6134 * CHOOSE(CONTROL!$C$9, $D$9, 100%, $F$9) + CHOOSE(CONTROL!$C$27, 0.0021, 0)</f>
        <v>132.61550000000003</v>
      </c>
      <c r="H865" s="14">
        <f>132.4787 * CHOOSE(CONTROL!$C$9, $D$9, 100%, $F$9) + CHOOSE(CONTROL!$C$27, 0.0021, 0)</f>
        <v>132.48080000000002</v>
      </c>
      <c r="I865" s="14">
        <f>132.4787 * CHOOSE(CONTROL!$C$9, $D$9, 100%, $F$9) + CHOOSE(CONTROL!$C$27, 0.0021, 0)</f>
        <v>132.48080000000002</v>
      </c>
      <c r="J865" s="14">
        <f>132.4787 * CHOOSE(CONTROL!$C$9, $D$9, 100%, $F$9) + CHOOSE(CONTROL!$C$27, 0.0021, 0)</f>
        <v>132.48080000000002</v>
      </c>
      <c r="K865" s="14">
        <f>132.4787 * CHOOSE(CONTROL!$C$9, $D$9, 100%, $F$9) + CHOOSE(CONTROL!$C$27, 0.0021, 0)</f>
        <v>132.48080000000002</v>
      </c>
      <c r="L865" s="14"/>
    </row>
    <row r="866" spans="1:12" ht="15.75" x14ac:dyDescent="0.25">
      <c r="A866" s="32">
        <v>67297</v>
      </c>
      <c r="B866" s="14">
        <f>139.7953 * CHOOSE(CONTROL!$C$9, $D$9, 100%, $F$9) + CHOOSE(CONTROL!$C$27, 0.0021, 0)</f>
        <v>139.79740000000001</v>
      </c>
      <c r="C866" s="14">
        <f>139.3631 * CHOOSE(CONTROL!$C$9, $D$9, 100%, $F$9) + CHOOSE(CONTROL!$C$27, 0.0021, 0)</f>
        <v>139.36520000000002</v>
      </c>
      <c r="D866" s="14">
        <f>139.3631 * CHOOSE(CONTROL!$C$9, $D$9, 100%, $F$9) + CHOOSE(CONTROL!$C$27, 0.0021, 0)</f>
        <v>139.36520000000002</v>
      </c>
      <c r="E866" s="14">
        <f>139.2264 * CHOOSE(CONTROL!$C$9, $D$9, 100%, $F$9) + CHOOSE(CONTROL!$C$27, 0.0021, 0)</f>
        <v>139.22850000000003</v>
      </c>
      <c r="F866" s="14">
        <f>139.2264 * CHOOSE(CONTROL!$C$9, $D$9, 100%, $F$9) + CHOOSE(CONTROL!$C$27, 0.0021, 0)</f>
        <v>139.22850000000003</v>
      </c>
      <c r="G866" s="14">
        <f>139.4978 * CHOOSE(CONTROL!$C$9, $D$9, 100%, $F$9) + CHOOSE(CONTROL!$C$27, 0.0021, 0)</f>
        <v>139.49990000000003</v>
      </c>
      <c r="H866" s="14">
        <f>139.3631 * CHOOSE(CONTROL!$C$9, $D$9, 100%, $F$9) + CHOOSE(CONTROL!$C$27, 0.0021, 0)</f>
        <v>139.36520000000002</v>
      </c>
      <c r="I866" s="14">
        <f>139.3631 * CHOOSE(CONTROL!$C$9, $D$9, 100%, $F$9) + CHOOSE(CONTROL!$C$27, 0.0021, 0)</f>
        <v>139.36520000000002</v>
      </c>
      <c r="J866" s="14">
        <f>139.3631 * CHOOSE(CONTROL!$C$9, $D$9, 100%, $F$9) + CHOOSE(CONTROL!$C$27, 0.0021, 0)</f>
        <v>139.36520000000002</v>
      </c>
      <c r="K866" s="14">
        <f>139.3631 * CHOOSE(CONTROL!$C$9, $D$9, 100%, $F$9) + CHOOSE(CONTROL!$C$27, 0.0021, 0)</f>
        <v>139.36520000000002</v>
      </c>
      <c r="L866" s="14"/>
    </row>
    <row r="867" spans="1:12" ht="15.75" x14ac:dyDescent="0.25">
      <c r="A867" s="32">
        <v>67327</v>
      </c>
      <c r="B867" s="14">
        <f>148.7227 * CHOOSE(CONTROL!$C$9, $D$9, 100%, $F$9) + CHOOSE(CONTROL!$C$27, 0.0021, 0)</f>
        <v>148.72480000000002</v>
      </c>
      <c r="C867" s="14">
        <f>148.2904 * CHOOSE(CONTROL!$C$9, $D$9, 100%, $F$9) + CHOOSE(CONTROL!$C$27, 0.0021, 0)</f>
        <v>148.29250000000002</v>
      </c>
      <c r="D867" s="14">
        <f>148.2904 * CHOOSE(CONTROL!$C$9, $D$9, 100%, $F$9) + CHOOSE(CONTROL!$C$27, 0.0021, 0)</f>
        <v>148.29250000000002</v>
      </c>
      <c r="E867" s="14">
        <f>148.1538 * CHOOSE(CONTROL!$C$9, $D$9, 100%, $F$9) + CHOOSE(CONTROL!$C$27, 0.0021, 0)</f>
        <v>148.1559</v>
      </c>
      <c r="F867" s="14">
        <f>148.1538 * CHOOSE(CONTROL!$C$9, $D$9, 100%, $F$9) + CHOOSE(CONTROL!$C$27, 0.0021, 0)</f>
        <v>148.1559</v>
      </c>
      <c r="G867" s="14">
        <f>148.4251 * CHOOSE(CONTROL!$C$9, $D$9, 100%, $F$9) + CHOOSE(CONTROL!$C$27, 0.0021, 0)</f>
        <v>148.4272</v>
      </c>
      <c r="H867" s="14">
        <f>148.2904 * CHOOSE(CONTROL!$C$9, $D$9, 100%, $F$9) + CHOOSE(CONTROL!$C$27, 0.0021, 0)</f>
        <v>148.29250000000002</v>
      </c>
      <c r="I867" s="14">
        <f>148.2904 * CHOOSE(CONTROL!$C$9, $D$9, 100%, $F$9) + CHOOSE(CONTROL!$C$27, 0.0021, 0)</f>
        <v>148.29250000000002</v>
      </c>
      <c r="J867" s="14">
        <f>148.2904 * CHOOSE(CONTROL!$C$9, $D$9, 100%, $F$9) + CHOOSE(CONTROL!$C$27, 0.0021, 0)</f>
        <v>148.29250000000002</v>
      </c>
      <c r="K867" s="14">
        <f>148.2904 * CHOOSE(CONTROL!$C$9, $D$9, 100%, $F$9) + CHOOSE(CONTROL!$C$27, 0.0021, 0)</f>
        <v>148.29250000000002</v>
      </c>
      <c r="L867" s="14"/>
    </row>
    <row r="868" spans="1:12" ht="15.75" x14ac:dyDescent="0.25">
      <c r="A868" s="32">
        <v>67358</v>
      </c>
      <c r="B868" s="14">
        <f>153.6366 * CHOOSE(CONTROL!$C$9, $D$9, 100%, $F$9) + CHOOSE(CONTROL!$C$27, 0.0021, 0)</f>
        <v>153.6387</v>
      </c>
      <c r="C868" s="14">
        <f>153.2043 * CHOOSE(CONTROL!$C$9, $D$9, 100%, $F$9) + CHOOSE(CONTROL!$C$27, 0.0021, 0)</f>
        <v>153.2064</v>
      </c>
      <c r="D868" s="14">
        <f>153.2043 * CHOOSE(CONTROL!$C$9, $D$9, 100%, $F$9) + CHOOSE(CONTROL!$C$27, 0.0021, 0)</f>
        <v>153.2064</v>
      </c>
      <c r="E868" s="14">
        <f>153.0677 * CHOOSE(CONTROL!$C$9, $D$9, 100%, $F$9) + CHOOSE(CONTROL!$C$27, 0.0021, 0)</f>
        <v>153.06980000000001</v>
      </c>
      <c r="F868" s="14">
        <f>153.0677 * CHOOSE(CONTROL!$C$9, $D$9, 100%, $F$9) + CHOOSE(CONTROL!$C$27, 0.0021, 0)</f>
        <v>153.06980000000001</v>
      </c>
      <c r="G868" s="14">
        <f>153.3391 * CHOOSE(CONTROL!$C$9, $D$9, 100%, $F$9) + CHOOSE(CONTROL!$C$27, 0.0021, 0)</f>
        <v>153.34120000000001</v>
      </c>
      <c r="H868" s="14">
        <f>153.2043 * CHOOSE(CONTROL!$C$9, $D$9, 100%, $F$9) + CHOOSE(CONTROL!$C$27, 0.0021, 0)</f>
        <v>153.2064</v>
      </c>
      <c r="I868" s="14">
        <f>153.2043 * CHOOSE(CONTROL!$C$9, $D$9, 100%, $F$9) + CHOOSE(CONTROL!$C$27, 0.0021, 0)</f>
        <v>153.2064</v>
      </c>
      <c r="J868" s="14">
        <f>153.2043 * CHOOSE(CONTROL!$C$9, $D$9, 100%, $F$9) + CHOOSE(CONTROL!$C$27, 0.0021, 0)</f>
        <v>153.2064</v>
      </c>
      <c r="K868" s="14">
        <f>153.2043 * CHOOSE(CONTROL!$C$9, $D$9, 100%, $F$9) + CHOOSE(CONTROL!$C$27, 0.0021, 0)</f>
        <v>153.2064</v>
      </c>
      <c r="L868" s="14"/>
    </row>
    <row r="869" spans="1:12" ht="15.75" x14ac:dyDescent="0.25">
      <c r="A869" s="32">
        <v>67388</v>
      </c>
      <c r="B869" s="14">
        <f>155.8173 * CHOOSE(CONTROL!$C$9, $D$9, 100%, $F$9) + CHOOSE(CONTROL!$C$27, 0.0021, 0)</f>
        <v>155.8194</v>
      </c>
      <c r="C869" s="14">
        <f>155.385 * CHOOSE(CONTROL!$C$9, $D$9, 100%, $F$9) + CHOOSE(CONTROL!$C$27, 0.0021, 0)</f>
        <v>155.3871</v>
      </c>
      <c r="D869" s="14">
        <f>155.385 * CHOOSE(CONTROL!$C$9, $D$9, 100%, $F$9) + CHOOSE(CONTROL!$C$27, 0.0021, 0)</f>
        <v>155.3871</v>
      </c>
      <c r="E869" s="14">
        <f>155.2484 * CHOOSE(CONTROL!$C$9, $D$9, 100%, $F$9) + CHOOSE(CONTROL!$C$27, 0.0021, 0)</f>
        <v>155.25050000000002</v>
      </c>
      <c r="F869" s="14">
        <f>155.2484 * CHOOSE(CONTROL!$C$9, $D$9, 100%, $F$9) + CHOOSE(CONTROL!$C$27, 0.0021, 0)</f>
        <v>155.25050000000002</v>
      </c>
      <c r="G869" s="14">
        <f>155.5198 * CHOOSE(CONTROL!$C$9, $D$9, 100%, $F$9) + CHOOSE(CONTROL!$C$27, 0.0021, 0)</f>
        <v>155.52190000000002</v>
      </c>
      <c r="H869" s="14">
        <f>155.385 * CHOOSE(CONTROL!$C$9, $D$9, 100%, $F$9) + CHOOSE(CONTROL!$C$27, 0.0021, 0)</f>
        <v>155.3871</v>
      </c>
      <c r="I869" s="14">
        <f>155.385 * CHOOSE(CONTROL!$C$9, $D$9, 100%, $F$9) + CHOOSE(CONTROL!$C$27, 0.0021, 0)</f>
        <v>155.3871</v>
      </c>
      <c r="J869" s="14">
        <f>155.385 * CHOOSE(CONTROL!$C$9, $D$9, 100%, $F$9) + CHOOSE(CONTROL!$C$27, 0.0021, 0)</f>
        <v>155.3871</v>
      </c>
      <c r="K869" s="14">
        <f>155.385 * CHOOSE(CONTROL!$C$9, $D$9, 100%, $F$9) + CHOOSE(CONTROL!$C$27, 0.0021, 0)</f>
        <v>155.3871</v>
      </c>
      <c r="L869" s="14"/>
    </row>
    <row r="870" spans="1:12" ht="15.75" x14ac:dyDescent="0.25">
      <c r="A870" s="32">
        <v>67419</v>
      </c>
      <c r="B870" s="14">
        <f>155.0993 * CHOOSE(CONTROL!$C$9, $D$9, 100%, $F$9) + CHOOSE(CONTROL!$C$27, 0.0021, 0)</f>
        <v>155.10140000000001</v>
      </c>
      <c r="C870" s="14">
        <f>154.6671 * CHOOSE(CONTROL!$C$9, $D$9, 100%, $F$9) + CHOOSE(CONTROL!$C$27, 0.0021, 0)</f>
        <v>154.66920000000002</v>
      </c>
      <c r="D870" s="14">
        <f>154.6671 * CHOOSE(CONTROL!$C$9, $D$9, 100%, $F$9) + CHOOSE(CONTROL!$C$27, 0.0021, 0)</f>
        <v>154.66920000000002</v>
      </c>
      <c r="E870" s="14">
        <f>154.5304 * CHOOSE(CONTROL!$C$9, $D$9, 100%, $F$9) + CHOOSE(CONTROL!$C$27, 0.0021, 0)</f>
        <v>154.5325</v>
      </c>
      <c r="F870" s="14">
        <f>154.5304 * CHOOSE(CONTROL!$C$9, $D$9, 100%, $F$9) + CHOOSE(CONTROL!$C$27, 0.0021, 0)</f>
        <v>154.5325</v>
      </c>
      <c r="G870" s="14">
        <f>154.8018 * CHOOSE(CONTROL!$C$9, $D$9, 100%, $F$9) + CHOOSE(CONTROL!$C$27, 0.0021, 0)</f>
        <v>154.8039</v>
      </c>
      <c r="H870" s="14">
        <f>154.6671 * CHOOSE(CONTROL!$C$9, $D$9, 100%, $F$9) + CHOOSE(CONTROL!$C$27, 0.0021, 0)</f>
        <v>154.66920000000002</v>
      </c>
      <c r="I870" s="14">
        <f>154.6671 * CHOOSE(CONTROL!$C$9, $D$9, 100%, $F$9) + CHOOSE(CONTROL!$C$27, 0.0021, 0)</f>
        <v>154.66920000000002</v>
      </c>
      <c r="J870" s="14">
        <f>154.6671 * CHOOSE(CONTROL!$C$9, $D$9, 100%, $F$9) + CHOOSE(CONTROL!$C$27, 0.0021, 0)</f>
        <v>154.66920000000002</v>
      </c>
      <c r="K870" s="14">
        <f>154.6671 * CHOOSE(CONTROL!$C$9, $D$9, 100%, $F$9) + CHOOSE(CONTROL!$C$27, 0.0021, 0)</f>
        <v>154.66920000000002</v>
      </c>
      <c r="L870" s="14"/>
    </row>
    <row r="871" spans="1:12" ht="15.75" x14ac:dyDescent="0.25">
      <c r="A871" s="32">
        <v>67450</v>
      </c>
      <c r="B871" s="14">
        <f>151.542 * CHOOSE(CONTROL!$C$9, $D$9, 100%, $F$9) + CHOOSE(CONTROL!$C$27, 0.0021, 0)</f>
        <v>151.54410000000001</v>
      </c>
      <c r="C871" s="14">
        <f>151.1098 * CHOOSE(CONTROL!$C$9, $D$9, 100%, $F$9) + CHOOSE(CONTROL!$C$27, 0.0021, 0)</f>
        <v>151.11190000000002</v>
      </c>
      <c r="D871" s="14">
        <f>151.1098 * CHOOSE(CONTROL!$C$9, $D$9, 100%, $F$9) + CHOOSE(CONTROL!$C$27, 0.0021, 0)</f>
        <v>151.11190000000002</v>
      </c>
      <c r="E871" s="14">
        <f>150.9731 * CHOOSE(CONTROL!$C$9, $D$9, 100%, $F$9) + CHOOSE(CONTROL!$C$27, 0.0021, 0)</f>
        <v>150.9752</v>
      </c>
      <c r="F871" s="14">
        <f>150.9731 * CHOOSE(CONTROL!$C$9, $D$9, 100%, $F$9) + CHOOSE(CONTROL!$C$27, 0.0021, 0)</f>
        <v>150.9752</v>
      </c>
      <c r="G871" s="14">
        <f>151.2445 * CHOOSE(CONTROL!$C$9, $D$9, 100%, $F$9) + CHOOSE(CONTROL!$C$27, 0.0021, 0)</f>
        <v>151.2466</v>
      </c>
      <c r="H871" s="14">
        <f>151.1098 * CHOOSE(CONTROL!$C$9, $D$9, 100%, $F$9) + CHOOSE(CONTROL!$C$27, 0.0021, 0)</f>
        <v>151.11190000000002</v>
      </c>
      <c r="I871" s="14">
        <f>151.1098 * CHOOSE(CONTROL!$C$9, $D$9, 100%, $F$9) + CHOOSE(CONTROL!$C$27, 0.0021, 0)</f>
        <v>151.11190000000002</v>
      </c>
      <c r="J871" s="14">
        <f>151.1098 * CHOOSE(CONTROL!$C$9, $D$9, 100%, $F$9) + CHOOSE(CONTROL!$C$27, 0.0021, 0)</f>
        <v>151.11190000000002</v>
      </c>
      <c r="K871" s="14">
        <f>151.1098 * CHOOSE(CONTROL!$C$9, $D$9, 100%, $F$9) + CHOOSE(CONTROL!$C$27, 0.0021, 0)</f>
        <v>151.11190000000002</v>
      </c>
      <c r="L871" s="14"/>
    </row>
    <row r="872" spans="1:12" ht="15.75" x14ac:dyDescent="0.25">
      <c r="A872" s="32">
        <v>67480</v>
      </c>
      <c r="B872" s="14">
        <f>146.5812 * CHOOSE(CONTROL!$C$9, $D$9, 100%, $F$9) + CHOOSE(CONTROL!$C$27, 0.0021, 0)</f>
        <v>146.58330000000001</v>
      </c>
      <c r="C872" s="14">
        <f>146.149 * CHOOSE(CONTROL!$C$9, $D$9, 100%, $F$9) + CHOOSE(CONTROL!$C$27, 0.0021, 0)</f>
        <v>146.15110000000001</v>
      </c>
      <c r="D872" s="14">
        <f>146.149 * CHOOSE(CONTROL!$C$9, $D$9, 100%, $F$9) + CHOOSE(CONTROL!$C$27, 0.0021, 0)</f>
        <v>146.15110000000001</v>
      </c>
      <c r="E872" s="14">
        <f>146.0123 * CHOOSE(CONTROL!$C$9, $D$9, 100%, $F$9) + CHOOSE(CONTROL!$C$27, 0.0021, 0)</f>
        <v>146.01440000000002</v>
      </c>
      <c r="F872" s="14">
        <f>146.0123 * CHOOSE(CONTROL!$C$9, $D$9, 100%, $F$9) + CHOOSE(CONTROL!$C$27, 0.0021, 0)</f>
        <v>146.01440000000002</v>
      </c>
      <c r="G872" s="14">
        <f>146.2837 * CHOOSE(CONTROL!$C$9, $D$9, 100%, $F$9) + CHOOSE(CONTROL!$C$27, 0.0021, 0)</f>
        <v>146.28580000000002</v>
      </c>
      <c r="H872" s="14">
        <f>146.149 * CHOOSE(CONTROL!$C$9, $D$9, 100%, $F$9) + CHOOSE(CONTROL!$C$27, 0.0021, 0)</f>
        <v>146.15110000000001</v>
      </c>
      <c r="I872" s="14">
        <f>146.149 * CHOOSE(CONTROL!$C$9, $D$9, 100%, $F$9) + CHOOSE(CONTROL!$C$27, 0.0021, 0)</f>
        <v>146.15110000000001</v>
      </c>
      <c r="J872" s="14">
        <f>146.149 * CHOOSE(CONTROL!$C$9, $D$9, 100%, $F$9) + CHOOSE(CONTROL!$C$27, 0.0021, 0)</f>
        <v>146.15110000000001</v>
      </c>
      <c r="K872" s="14">
        <f>146.149 * CHOOSE(CONTROL!$C$9, $D$9, 100%, $F$9) + CHOOSE(CONTROL!$C$27, 0.0021, 0)</f>
        <v>146.15110000000001</v>
      </c>
      <c r="L872" s="14"/>
    </row>
    <row r="873" spans="1:12" ht="15.75" x14ac:dyDescent="0.25">
      <c r="A873" s="32">
        <v>67511</v>
      </c>
      <c r="B873" s="14">
        <f>141.5916 * CHOOSE(CONTROL!$C$9, $D$9, 100%, $F$9) + CHOOSE(CONTROL!$C$27, 0.0021, 0)</f>
        <v>141.59370000000001</v>
      </c>
      <c r="C873" s="14">
        <f>141.1593 * CHOOSE(CONTROL!$C$9, $D$9, 100%, $F$9) + CHOOSE(CONTROL!$C$27, 0.0021, 0)</f>
        <v>141.16140000000001</v>
      </c>
      <c r="D873" s="14">
        <f>141.1593 * CHOOSE(CONTROL!$C$9, $D$9, 100%, $F$9) + CHOOSE(CONTROL!$C$27, 0.0021, 0)</f>
        <v>141.16140000000001</v>
      </c>
      <c r="E873" s="14">
        <f>141.0227 * CHOOSE(CONTROL!$C$9, $D$9, 100%, $F$9) + CHOOSE(CONTROL!$C$27, 0.0021, 0)</f>
        <v>141.0248</v>
      </c>
      <c r="F873" s="14">
        <f>141.0227 * CHOOSE(CONTROL!$C$9, $D$9, 100%, $F$9) + CHOOSE(CONTROL!$C$27, 0.0021, 0)</f>
        <v>141.0248</v>
      </c>
      <c r="G873" s="14">
        <f>141.294 * CHOOSE(CONTROL!$C$9, $D$9, 100%, $F$9) + CHOOSE(CONTROL!$C$27, 0.0021, 0)</f>
        <v>141.29610000000002</v>
      </c>
      <c r="H873" s="14">
        <f>141.1593 * CHOOSE(CONTROL!$C$9, $D$9, 100%, $F$9) + CHOOSE(CONTROL!$C$27, 0.0021, 0)</f>
        <v>141.16140000000001</v>
      </c>
      <c r="I873" s="14">
        <f>141.1593 * CHOOSE(CONTROL!$C$9, $D$9, 100%, $F$9) + CHOOSE(CONTROL!$C$27, 0.0021, 0)</f>
        <v>141.16140000000001</v>
      </c>
      <c r="J873" s="14">
        <f>141.1593 * CHOOSE(CONTROL!$C$9, $D$9, 100%, $F$9) + CHOOSE(CONTROL!$C$27, 0.0021, 0)</f>
        <v>141.16140000000001</v>
      </c>
      <c r="K873" s="14">
        <f>141.1593 * CHOOSE(CONTROL!$C$9, $D$9, 100%, $F$9) + CHOOSE(CONTROL!$C$27, 0.0021, 0)</f>
        <v>141.16140000000001</v>
      </c>
      <c r="L873" s="14"/>
    </row>
    <row r="874" spans="1:12" ht="15.75" x14ac:dyDescent="0.25">
      <c r="A874" s="32">
        <v>67541</v>
      </c>
      <c r="B874" s="14">
        <f>140.599 * CHOOSE(CONTROL!$C$9, $D$9, 100%, $F$9) + CHOOSE(CONTROL!$C$27, 0.0021, 0)</f>
        <v>140.6011</v>
      </c>
      <c r="C874" s="14">
        <f>140.1668 * CHOOSE(CONTROL!$C$9, $D$9, 100%, $F$9) + CHOOSE(CONTROL!$C$27, 0.0021, 0)</f>
        <v>140.16890000000001</v>
      </c>
      <c r="D874" s="14">
        <f>140.1668 * CHOOSE(CONTROL!$C$9, $D$9, 100%, $F$9) + CHOOSE(CONTROL!$C$27, 0.0021, 0)</f>
        <v>140.16890000000001</v>
      </c>
      <c r="E874" s="14">
        <f>140.0301 * CHOOSE(CONTROL!$C$9, $D$9, 100%, $F$9) + CHOOSE(CONTROL!$C$27, 0.0021, 0)</f>
        <v>140.03220000000002</v>
      </c>
      <c r="F874" s="14">
        <f>140.0301 * CHOOSE(CONTROL!$C$9, $D$9, 100%, $F$9) + CHOOSE(CONTROL!$C$27, 0.0021, 0)</f>
        <v>140.03220000000002</v>
      </c>
      <c r="G874" s="14">
        <f>140.3015 * CHOOSE(CONTROL!$C$9, $D$9, 100%, $F$9) + CHOOSE(CONTROL!$C$27, 0.0021, 0)</f>
        <v>140.30360000000002</v>
      </c>
      <c r="H874" s="14">
        <f>140.1668 * CHOOSE(CONTROL!$C$9, $D$9, 100%, $F$9) + CHOOSE(CONTROL!$C$27, 0.0021, 0)</f>
        <v>140.16890000000001</v>
      </c>
      <c r="I874" s="14">
        <f>140.1668 * CHOOSE(CONTROL!$C$9, $D$9, 100%, $F$9) + CHOOSE(CONTROL!$C$27, 0.0021, 0)</f>
        <v>140.16890000000001</v>
      </c>
      <c r="J874" s="14">
        <f>140.1668 * CHOOSE(CONTROL!$C$9, $D$9, 100%, $F$9) + CHOOSE(CONTROL!$C$27, 0.0021, 0)</f>
        <v>140.16890000000001</v>
      </c>
      <c r="K874" s="14">
        <f>140.1668 * CHOOSE(CONTROL!$C$9, $D$9, 100%, $F$9) + CHOOSE(CONTROL!$C$27, 0.0021, 0)</f>
        <v>140.16890000000001</v>
      </c>
      <c r="L874" s="14"/>
    </row>
    <row r="875" spans="1:12" ht="15.75" x14ac:dyDescent="0.25">
      <c r="A875" s="32">
        <v>67572</v>
      </c>
      <c r="B875" s="14">
        <f>136.4948 * CHOOSE(CONTROL!$C$9, $D$9, 100%, $F$9) + CHOOSE(CONTROL!$C$27, 0.0021, 0)</f>
        <v>136.49690000000001</v>
      </c>
      <c r="C875" s="14">
        <f>136.0625 * CHOOSE(CONTROL!$C$9, $D$9, 100%, $F$9) + CHOOSE(CONTROL!$C$27, 0.0021, 0)</f>
        <v>136.06460000000001</v>
      </c>
      <c r="D875" s="14">
        <f>136.0625 * CHOOSE(CONTROL!$C$9, $D$9, 100%, $F$9) + CHOOSE(CONTROL!$C$27, 0.0021, 0)</f>
        <v>136.06460000000001</v>
      </c>
      <c r="E875" s="14">
        <f>135.9259 * CHOOSE(CONTROL!$C$9, $D$9, 100%, $F$9) + CHOOSE(CONTROL!$C$27, 0.0021, 0)</f>
        <v>135.92800000000003</v>
      </c>
      <c r="F875" s="14">
        <f>135.9259 * CHOOSE(CONTROL!$C$9, $D$9, 100%, $F$9) + CHOOSE(CONTROL!$C$27, 0.0021, 0)</f>
        <v>135.92800000000003</v>
      </c>
      <c r="G875" s="14">
        <f>136.1972 * CHOOSE(CONTROL!$C$9, $D$9, 100%, $F$9) + CHOOSE(CONTROL!$C$27, 0.0021, 0)</f>
        <v>136.19930000000002</v>
      </c>
      <c r="H875" s="14">
        <f>136.0625 * CHOOSE(CONTROL!$C$9, $D$9, 100%, $F$9) + CHOOSE(CONTROL!$C$27, 0.0021, 0)</f>
        <v>136.06460000000001</v>
      </c>
      <c r="I875" s="14">
        <f>136.0625 * CHOOSE(CONTROL!$C$9, $D$9, 100%, $F$9) + CHOOSE(CONTROL!$C$27, 0.0021, 0)</f>
        <v>136.06460000000001</v>
      </c>
      <c r="J875" s="14">
        <f>136.0625 * CHOOSE(CONTROL!$C$9, $D$9, 100%, $F$9) + CHOOSE(CONTROL!$C$27, 0.0021, 0)</f>
        <v>136.06460000000001</v>
      </c>
      <c r="K875" s="14">
        <f>136.0625 * CHOOSE(CONTROL!$C$9, $D$9, 100%, $F$9) + CHOOSE(CONTROL!$C$27, 0.0021, 0)</f>
        <v>136.06460000000001</v>
      </c>
      <c r="L875" s="14"/>
    </row>
    <row r="876" spans="1:12" ht="15.75" x14ac:dyDescent="0.25">
      <c r="A876" s="32">
        <v>67603</v>
      </c>
      <c r="B876" s="14">
        <f>135.6957 * CHOOSE(CONTROL!$C$9, $D$9, 100%, $F$9) + CHOOSE(CONTROL!$C$27, 0.0021, 0)</f>
        <v>135.6978</v>
      </c>
      <c r="C876" s="14">
        <f>135.2635 * CHOOSE(CONTROL!$C$9, $D$9, 100%, $F$9) + CHOOSE(CONTROL!$C$27, 0.0021, 0)</f>
        <v>135.26560000000001</v>
      </c>
      <c r="D876" s="14">
        <f>135.2635 * CHOOSE(CONTROL!$C$9, $D$9, 100%, $F$9) + CHOOSE(CONTROL!$C$27, 0.0021, 0)</f>
        <v>135.26560000000001</v>
      </c>
      <c r="E876" s="14">
        <f>135.1268 * CHOOSE(CONTROL!$C$9, $D$9, 100%, $F$9) + CHOOSE(CONTROL!$C$27, 0.0021, 0)</f>
        <v>135.12890000000002</v>
      </c>
      <c r="F876" s="14">
        <f>135.1268 * CHOOSE(CONTROL!$C$9, $D$9, 100%, $F$9) + CHOOSE(CONTROL!$C$27, 0.0021, 0)</f>
        <v>135.12890000000002</v>
      </c>
      <c r="G876" s="14">
        <f>135.3982 * CHOOSE(CONTROL!$C$9, $D$9, 100%, $F$9) + CHOOSE(CONTROL!$C$27, 0.0021, 0)</f>
        <v>135.40030000000002</v>
      </c>
      <c r="H876" s="14">
        <f>135.2635 * CHOOSE(CONTROL!$C$9, $D$9, 100%, $F$9) + CHOOSE(CONTROL!$C$27, 0.0021, 0)</f>
        <v>135.26560000000001</v>
      </c>
      <c r="I876" s="14">
        <f>135.2635 * CHOOSE(CONTROL!$C$9, $D$9, 100%, $F$9) + CHOOSE(CONTROL!$C$27, 0.0021, 0)</f>
        <v>135.26560000000001</v>
      </c>
      <c r="J876" s="14">
        <f>135.2635 * CHOOSE(CONTROL!$C$9, $D$9, 100%, $F$9) + CHOOSE(CONTROL!$C$27, 0.0021, 0)</f>
        <v>135.26560000000001</v>
      </c>
      <c r="K876" s="14">
        <f>135.2635 * CHOOSE(CONTROL!$C$9, $D$9, 100%, $F$9) + CHOOSE(CONTROL!$C$27, 0.0021, 0)</f>
        <v>135.26560000000001</v>
      </c>
      <c r="L876" s="14"/>
    </row>
    <row r="877" spans="1:12" ht="15.75" x14ac:dyDescent="0.25">
      <c r="A877" s="32">
        <v>67631</v>
      </c>
      <c r="B877" s="14">
        <f>135.3249 * CHOOSE(CONTROL!$C$9, $D$9, 100%, $F$9) + CHOOSE(CONTROL!$C$27, 0.0021, 0)</f>
        <v>135.32700000000003</v>
      </c>
      <c r="C877" s="14">
        <f>134.8926 * CHOOSE(CONTROL!$C$9, $D$9, 100%, $F$9) + CHOOSE(CONTROL!$C$27, 0.0021, 0)</f>
        <v>134.8947</v>
      </c>
      <c r="D877" s="14">
        <f>134.8926 * CHOOSE(CONTROL!$C$9, $D$9, 100%, $F$9) + CHOOSE(CONTROL!$C$27, 0.0021, 0)</f>
        <v>134.8947</v>
      </c>
      <c r="E877" s="14">
        <f>134.756 * CHOOSE(CONTROL!$C$9, $D$9, 100%, $F$9) + CHOOSE(CONTROL!$C$27, 0.0021, 0)</f>
        <v>134.75810000000001</v>
      </c>
      <c r="F877" s="14">
        <f>134.756 * CHOOSE(CONTROL!$C$9, $D$9, 100%, $F$9) + CHOOSE(CONTROL!$C$27, 0.0021, 0)</f>
        <v>134.75810000000001</v>
      </c>
      <c r="G877" s="14">
        <f>135.0274 * CHOOSE(CONTROL!$C$9, $D$9, 100%, $F$9) + CHOOSE(CONTROL!$C$27, 0.0021, 0)</f>
        <v>135.02950000000001</v>
      </c>
      <c r="H877" s="14">
        <f>134.8926 * CHOOSE(CONTROL!$C$9, $D$9, 100%, $F$9) + CHOOSE(CONTROL!$C$27, 0.0021, 0)</f>
        <v>134.8947</v>
      </c>
      <c r="I877" s="14">
        <f>134.8926 * CHOOSE(CONTROL!$C$9, $D$9, 100%, $F$9) + CHOOSE(CONTROL!$C$27, 0.0021, 0)</f>
        <v>134.8947</v>
      </c>
      <c r="J877" s="14">
        <f>134.8926 * CHOOSE(CONTROL!$C$9, $D$9, 100%, $F$9) + CHOOSE(CONTROL!$C$27, 0.0021, 0)</f>
        <v>134.8947</v>
      </c>
      <c r="K877" s="14">
        <f>134.8926 * CHOOSE(CONTROL!$C$9, $D$9, 100%, $F$9) + CHOOSE(CONTROL!$C$27, 0.0021, 0)</f>
        <v>134.8947</v>
      </c>
      <c r="L877" s="14"/>
    </row>
    <row r="878" spans="1:12" ht="15.75" x14ac:dyDescent="0.25">
      <c r="A878" s="32">
        <v>67662</v>
      </c>
      <c r="B878" s="14">
        <f>142.3365 * CHOOSE(CONTROL!$C$9, $D$9, 100%, $F$9) + CHOOSE(CONTROL!$C$27, 0.0021, 0)</f>
        <v>142.33860000000001</v>
      </c>
      <c r="C878" s="14">
        <f>141.9042 * CHOOSE(CONTROL!$C$9, $D$9, 100%, $F$9) + CHOOSE(CONTROL!$C$27, 0.0021, 0)</f>
        <v>141.90630000000002</v>
      </c>
      <c r="D878" s="14">
        <f>141.9042 * CHOOSE(CONTROL!$C$9, $D$9, 100%, $F$9) + CHOOSE(CONTROL!$C$27, 0.0021, 0)</f>
        <v>141.90630000000002</v>
      </c>
      <c r="E878" s="14">
        <f>141.7676 * CHOOSE(CONTROL!$C$9, $D$9, 100%, $F$9) + CHOOSE(CONTROL!$C$27, 0.0021, 0)</f>
        <v>141.7697</v>
      </c>
      <c r="F878" s="14">
        <f>141.7676 * CHOOSE(CONTROL!$C$9, $D$9, 100%, $F$9) + CHOOSE(CONTROL!$C$27, 0.0021, 0)</f>
        <v>141.7697</v>
      </c>
      <c r="G878" s="14">
        <f>142.0389 * CHOOSE(CONTROL!$C$9, $D$9, 100%, $F$9) + CHOOSE(CONTROL!$C$27, 0.0021, 0)</f>
        <v>142.04100000000003</v>
      </c>
      <c r="H878" s="14">
        <f>141.9042 * CHOOSE(CONTROL!$C$9, $D$9, 100%, $F$9) + CHOOSE(CONTROL!$C$27, 0.0021, 0)</f>
        <v>141.90630000000002</v>
      </c>
      <c r="I878" s="14">
        <f>141.9042 * CHOOSE(CONTROL!$C$9, $D$9, 100%, $F$9) + CHOOSE(CONTROL!$C$27, 0.0021, 0)</f>
        <v>141.90630000000002</v>
      </c>
      <c r="J878" s="14">
        <f>141.9042 * CHOOSE(CONTROL!$C$9, $D$9, 100%, $F$9) + CHOOSE(CONTROL!$C$27, 0.0021, 0)</f>
        <v>141.90630000000002</v>
      </c>
      <c r="K878" s="14">
        <f>141.9042 * CHOOSE(CONTROL!$C$9, $D$9, 100%, $F$9) + CHOOSE(CONTROL!$C$27, 0.0021, 0)</f>
        <v>141.90630000000002</v>
      </c>
      <c r="L878" s="14"/>
    </row>
    <row r="879" spans="1:12" ht="15.75" x14ac:dyDescent="0.25">
      <c r="A879" s="32">
        <v>67692</v>
      </c>
      <c r="B879" s="14">
        <f>151.4288 * CHOOSE(CONTROL!$C$9, $D$9, 100%, $F$9) + CHOOSE(CONTROL!$C$27, 0.0021, 0)</f>
        <v>151.43090000000001</v>
      </c>
      <c r="C879" s="14">
        <f>150.9966 * CHOOSE(CONTROL!$C$9, $D$9, 100%, $F$9) + CHOOSE(CONTROL!$C$27, 0.0021, 0)</f>
        <v>150.99870000000001</v>
      </c>
      <c r="D879" s="14">
        <f>150.9966 * CHOOSE(CONTROL!$C$9, $D$9, 100%, $F$9) + CHOOSE(CONTROL!$C$27, 0.0021, 0)</f>
        <v>150.99870000000001</v>
      </c>
      <c r="E879" s="14">
        <f>150.8599 * CHOOSE(CONTROL!$C$9, $D$9, 100%, $F$9) + CHOOSE(CONTROL!$C$27, 0.0021, 0)</f>
        <v>150.86200000000002</v>
      </c>
      <c r="F879" s="14">
        <f>150.8599 * CHOOSE(CONTROL!$C$9, $D$9, 100%, $F$9) + CHOOSE(CONTROL!$C$27, 0.0021, 0)</f>
        <v>150.86200000000002</v>
      </c>
      <c r="G879" s="14">
        <f>151.1313 * CHOOSE(CONTROL!$C$9, $D$9, 100%, $F$9) + CHOOSE(CONTROL!$C$27, 0.0021, 0)</f>
        <v>151.13340000000002</v>
      </c>
      <c r="H879" s="14">
        <f>150.9966 * CHOOSE(CONTROL!$C$9, $D$9, 100%, $F$9) + CHOOSE(CONTROL!$C$27, 0.0021, 0)</f>
        <v>150.99870000000001</v>
      </c>
      <c r="I879" s="14">
        <f>150.9966 * CHOOSE(CONTROL!$C$9, $D$9, 100%, $F$9) + CHOOSE(CONTROL!$C$27, 0.0021, 0)</f>
        <v>150.99870000000001</v>
      </c>
      <c r="J879" s="14">
        <f>150.9966 * CHOOSE(CONTROL!$C$9, $D$9, 100%, $F$9) + CHOOSE(CONTROL!$C$27, 0.0021, 0)</f>
        <v>150.99870000000001</v>
      </c>
      <c r="K879" s="14">
        <f>150.9966 * CHOOSE(CONTROL!$C$9, $D$9, 100%, $F$9) + CHOOSE(CONTROL!$C$27, 0.0021, 0)</f>
        <v>150.99870000000001</v>
      </c>
      <c r="L879" s="14"/>
    </row>
    <row r="880" spans="1:12" ht="15.75" x14ac:dyDescent="0.25">
      <c r="A880" s="32">
        <v>67723</v>
      </c>
      <c r="B880" s="14">
        <f>156.4335 * CHOOSE(CONTROL!$C$9, $D$9, 100%, $F$9) + CHOOSE(CONTROL!$C$27, 0.0021, 0)</f>
        <v>156.43560000000002</v>
      </c>
      <c r="C880" s="14">
        <f>156.0013 * CHOOSE(CONTROL!$C$9, $D$9, 100%, $F$9) + CHOOSE(CONTROL!$C$27, 0.0021, 0)</f>
        <v>156.0034</v>
      </c>
      <c r="D880" s="14">
        <f>156.0013 * CHOOSE(CONTROL!$C$9, $D$9, 100%, $F$9) + CHOOSE(CONTROL!$C$27, 0.0021, 0)</f>
        <v>156.0034</v>
      </c>
      <c r="E880" s="14">
        <f>155.8646 * CHOOSE(CONTROL!$C$9, $D$9, 100%, $F$9) + CHOOSE(CONTROL!$C$27, 0.0021, 0)</f>
        <v>155.86670000000001</v>
      </c>
      <c r="F880" s="14">
        <f>155.8646 * CHOOSE(CONTROL!$C$9, $D$9, 100%, $F$9) + CHOOSE(CONTROL!$C$27, 0.0021, 0)</f>
        <v>155.86670000000001</v>
      </c>
      <c r="G880" s="14">
        <f>156.136 * CHOOSE(CONTROL!$C$9, $D$9, 100%, $F$9) + CHOOSE(CONTROL!$C$27, 0.0021, 0)</f>
        <v>156.13810000000001</v>
      </c>
      <c r="H880" s="14">
        <f>156.0013 * CHOOSE(CONTROL!$C$9, $D$9, 100%, $F$9) + CHOOSE(CONTROL!$C$27, 0.0021, 0)</f>
        <v>156.0034</v>
      </c>
      <c r="I880" s="14">
        <f>156.0013 * CHOOSE(CONTROL!$C$9, $D$9, 100%, $F$9) + CHOOSE(CONTROL!$C$27, 0.0021, 0)</f>
        <v>156.0034</v>
      </c>
      <c r="J880" s="14">
        <f>156.0013 * CHOOSE(CONTROL!$C$9, $D$9, 100%, $F$9) + CHOOSE(CONTROL!$C$27, 0.0021, 0)</f>
        <v>156.0034</v>
      </c>
      <c r="K880" s="14">
        <f>156.0013 * CHOOSE(CONTROL!$C$9, $D$9, 100%, $F$9) + CHOOSE(CONTROL!$C$27, 0.0021, 0)</f>
        <v>156.0034</v>
      </c>
      <c r="L880" s="14"/>
    </row>
    <row r="881" spans="1:12" ht="15.75" x14ac:dyDescent="0.25">
      <c r="A881" s="32">
        <v>67753</v>
      </c>
      <c r="B881" s="14">
        <f>158.6546 * CHOOSE(CONTROL!$C$9, $D$9, 100%, $F$9) + CHOOSE(CONTROL!$C$27, 0.0021, 0)</f>
        <v>158.6567</v>
      </c>
      <c r="C881" s="14">
        <f>158.2223 * CHOOSE(CONTROL!$C$9, $D$9, 100%, $F$9) + CHOOSE(CONTROL!$C$27, 0.0021, 0)</f>
        <v>158.2244</v>
      </c>
      <c r="D881" s="14">
        <f>158.2223 * CHOOSE(CONTROL!$C$9, $D$9, 100%, $F$9) + CHOOSE(CONTROL!$C$27, 0.0021, 0)</f>
        <v>158.2244</v>
      </c>
      <c r="E881" s="14">
        <f>158.0856 * CHOOSE(CONTROL!$C$9, $D$9, 100%, $F$9) + CHOOSE(CONTROL!$C$27, 0.0021, 0)</f>
        <v>158.08770000000001</v>
      </c>
      <c r="F881" s="14">
        <f>158.0856 * CHOOSE(CONTROL!$C$9, $D$9, 100%, $F$9) + CHOOSE(CONTROL!$C$27, 0.0021, 0)</f>
        <v>158.08770000000001</v>
      </c>
      <c r="G881" s="14">
        <f>158.357 * CHOOSE(CONTROL!$C$9, $D$9, 100%, $F$9) + CHOOSE(CONTROL!$C$27, 0.0021, 0)</f>
        <v>158.35910000000001</v>
      </c>
      <c r="H881" s="14">
        <f>158.2223 * CHOOSE(CONTROL!$C$9, $D$9, 100%, $F$9) + CHOOSE(CONTROL!$C$27, 0.0021, 0)</f>
        <v>158.2244</v>
      </c>
      <c r="I881" s="14">
        <f>158.2223 * CHOOSE(CONTROL!$C$9, $D$9, 100%, $F$9) + CHOOSE(CONTROL!$C$27, 0.0021, 0)</f>
        <v>158.2244</v>
      </c>
      <c r="J881" s="14">
        <f>158.2223 * CHOOSE(CONTROL!$C$9, $D$9, 100%, $F$9) + CHOOSE(CONTROL!$C$27, 0.0021, 0)</f>
        <v>158.2244</v>
      </c>
      <c r="K881" s="14">
        <f>158.2223 * CHOOSE(CONTROL!$C$9, $D$9, 100%, $F$9) + CHOOSE(CONTROL!$C$27, 0.0021, 0)</f>
        <v>158.2244</v>
      </c>
      <c r="L881" s="14"/>
    </row>
    <row r="882" spans="1:12" ht="15.75" x14ac:dyDescent="0.25">
      <c r="A882" s="32">
        <v>67784</v>
      </c>
      <c r="B882" s="14">
        <f>157.9233 * CHOOSE(CONTROL!$C$9, $D$9, 100%, $F$9) + CHOOSE(CONTROL!$C$27, 0.0021, 0)</f>
        <v>157.92540000000002</v>
      </c>
      <c r="C882" s="14">
        <f>157.491 * CHOOSE(CONTROL!$C$9, $D$9, 100%, $F$9) + CHOOSE(CONTROL!$C$27, 0.0021, 0)</f>
        <v>157.49310000000003</v>
      </c>
      <c r="D882" s="14">
        <f>157.491 * CHOOSE(CONTROL!$C$9, $D$9, 100%, $F$9) + CHOOSE(CONTROL!$C$27, 0.0021, 0)</f>
        <v>157.49310000000003</v>
      </c>
      <c r="E882" s="14">
        <f>157.3544 * CHOOSE(CONTROL!$C$9, $D$9, 100%, $F$9) + CHOOSE(CONTROL!$C$27, 0.0021, 0)</f>
        <v>157.35650000000001</v>
      </c>
      <c r="F882" s="14">
        <f>157.3544 * CHOOSE(CONTROL!$C$9, $D$9, 100%, $F$9) + CHOOSE(CONTROL!$C$27, 0.0021, 0)</f>
        <v>157.35650000000001</v>
      </c>
      <c r="G882" s="14">
        <f>157.6258 * CHOOSE(CONTROL!$C$9, $D$9, 100%, $F$9) + CHOOSE(CONTROL!$C$27, 0.0021, 0)</f>
        <v>157.62790000000001</v>
      </c>
      <c r="H882" s="14">
        <f>157.491 * CHOOSE(CONTROL!$C$9, $D$9, 100%, $F$9) + CHOOSE(CONTROL!$C$27, 0.0021, 0)</f>
        <v>157.49310000000003</v>
      </c>
      <c r="I882" s="14">
        <f>157.491 * CHOOSE(CONTROL!$C$9, $D$9, 100%, $F$9) + CHOOSE(CONTROL!$C$27, 0.0021, 0)</f>
        <v>157.49310000000003</v>
      </c>
      <c r="J882" s="14">
        <f>157.491 * CHOOSE(CONTROL!$C$9, $D$9, 100%, $F$9) + CHOOSE(CONTROL!$C$27, 0.0021, 0)</f>
        <v>157.49310000000003</v>
      </c>
      <c r="K882" s="14">
        <f>157.491 * CHOOSE(CONTROL!$C$9, $D$9, 100%, $F$9) + CHOOSE(CONTROL!$C$27, 0.0021, 0)</f>
        <v>157.49310000000003</v>
      </c>
      <c r="L882" s="14"/>
    </row>
    <row r="883" spans="1:12" ht="15.75" x14ac:dyDescent="0.25">
      <c r="A883" s="32">
        <v>67815</v>
      </c>
      <c r="B883" s="14">
        <f>154.3003 * CHOOSE(CONTROL!$C$9, $D$9, 100%, $F$9) + CHOOSE(CONTROL!$C$27, 0.0021, 0)</f>
        <v>154.30240000000001</v>
      </c>
      <c r="C883" s="14">
        <f>153.868 * CHOOSE(CONTROL!$C$9, $D$9, 100%, $F$9) + CHOOSE(CONTROL!$C$27, 0.0021, 0)</f>
        <v>153.87010000000001</v>
      </c>
      <c r="D883" s="14">
        <f>153.868 * CHOOSE(CONTROL!$C$9, $D$9, 100%, $F$9) + CHOOSE(CONTROL!$C$27, 0.0021, 0)</f>
        <v>153.87010000000001</v>
      </c>
      <c r="E883" s="14">
        <f>153.7314 * CHOOSE(CONTROL!$C$9, $D$9, 100%, $F$9) + CHOOSE(CONTROL!$C$27, 0.0021, 0)</f>
        <v>153.73350000000002</v>
      </c>
      <c r="F883" s="14">
        <f>153.7314 * CHOOSE(CONTROL!$C$9, $D$9, 100%, $F$9) + CHOOSE(CONTROL!$C$27, 0.0021, 0)</f>
        <v>153.73350000000002</v>
      </c>
      <c r="G883" s="14">
        <f>154.0027 * CHOOSE(CONTROL!$C$9, $D$9, 100%, $F$9) + CHOOSE(CONTROL!$C$27, 0.0021, 0)</f>
        <v>154.00480000000002</v>
      </c>
      <c r="H883" s="14">
        <f>153.868 * CHOOSE(CONTROL!$C$9, $D$9, 100%, $F$9) + CHOOSE(CONTROL!$C$27, 0.0021, 0)</f>
        <v>153.87010000000001</v>
      </c>
      <c r="I883" s="14">
        <f>153.868 * CHOOSE(CONTROL!$C$9, $D$9, 100%, $F$9) + CHOOSE(CONTROL!$C$27, 0.0021, 0)</f>
        <v>153.87010000000001</v>
      </c>
      <c r="J883" s="14">
        <f>153.868 * CHOOSE(CONTROL!$C$9, $D$9, 100%, $F$9) + CHOOSE(CONTROL!$C$27, 0.0021, 0)</f>
        <v>153.87010000000001</v>
      </c>
      <c r="K883" s="14">
        <f>153.868 * CHOOSE(CONTROL!$C$9, $D$9, 100%, $F$9) + CHOOSE(CONTROL!$C$27, 0.0021, 0)</f>
        <v>153.87010000000001</v>
      </c>
      <c r="L883" s="14"/>
    </row>
    <row r="884" spans="1:12" ht="15.75" x14ac:dyDescent="0.25">
      <c r="A884" s="32">
        <v>67845</v>
      </c>
      <c r="B884" s="14">
        <f>149.2478 * CHOOSE(CONTROL!$C$9, $D$9, 100%, $F$9) + CHOOSE(CONTROL!$C$27, 0.0021, 0)</f>
        <v>149.24990000000003</v>
      </c>
      <c r="C884" s="14">
        <f>148.8155 * CHOOSE(CONTROL!$C$9, $D$9, 100%, $F$9) + CHOOSE(CONTROL!$C$27, 0.0021, 0)</f>
        <v>148.8176</v>
      </c>
      <c r="D884" s="14">
        <f>148.8155 * CHOOSE(CONTROL!$C$9, $D$9, 100%, $F$9) + CHOOSE(CONTROL!$C$27, 0.0021, 0)</f>
        <v>148.8176</v>
      </c>
      <c r="E884" s="14">
        <f>148.6789 * CHOOSE(CONTROL!$C$9, $D$9, 100%, $F$9) + CHOOSE(CONTROL!$C$27, 0.0021, 0)</f>
        <v>148.68100000000001</v>
      </c>
      <c r="F884" s="14">
        <f>148.6789 * CHOOSE(CONTROL!$C$9, $D$9, 100%, $F$9) + CHOOSE(CONTROL!$C$27, 0.0021, 0)</f>
        <v>148.68100000000001</v>
      </c>
      <c r="G884" s="14">
        <f>148.9503 * CHOOSE(CONTROL!$C$9, $D$9, 100%, $F$9) + CHOOSE(CONTROL!$C$27, 0.0021, 0)</f>
        <v>148.95240000000001</v>
      </c>
      <c r="H884" s="14">
        <f>148.8155 * CHOOSE(CONTROL!$C$9, $D$9, 100%, $F$9) + CHOOSE(CONTROL!$C$27, 0.0021, 0)</f>
        <v>148.8176</v>
      </c>
      <c r="I884" s="14">
        <f>148.8155 * CHOOSE(CONTROL!$C$9, $D$9, 100%, $F$9) + CHOOSE(CONTROL!$C$27, 0.0021, 0)</f>
        <v>148.8176</v>
      </c>
      <c r="J884" s="14">
        <f>148.8155 * CHOOSE(CONTROL!$C$9, $D$9, 100%, $F$9) + CHOOSE(CONTROL!$C$27, 0.0021, 0)</f>
        <v>148.8176</v>
      </c>
      <c r="K884" s="14">
        <f>148.8155 * CHOOSE(CONTROL!$C$9, $D$9, 100%, $F$9) + CHOOSE(CONTROL!$C$27, 0.0021, 0)</f>
        <v>148.8176</v>
      </c>
      <c r="L884" s="14"/>
    </row>
    <row r="885" spans="1:12" ht="15.75" x14ac:dyDescent="0.25">
      <c r="A885" s="32">
        <v>67876</v>
      </c>
      <c r="B885" s="14">
        <f>144.1659 * CHOOSE(CONTROL!$C$9, $D$9, 100%, $F$9) + CHOOSE(CONTROL!$C$27, 0.0021, 0)</f>
        <v>144.16800000000001</v>
      </c>
      <c r="C885" s="14">
        <f>143.7337 * CHOOSE(CONTROL!$C$9, $D$9, 100%, $F$9) + CHOOSE(CONTROL!$C$27, 0.0021, 0)</f>
        <v>143.73580000000001</v>
      </c>
      <c r="D885" s="14">
        <f>143.7337 * CHOOSE(CONTROL!$C$9, $D$9, 100%, $F$9) + CHOOSE(CONTROL!$C$27, 0.0021, 0)</f>
        <v>143.73580000000001</v>
      </c>
      <c r="E885" s="14">
        <f>143.597 * CHOOSE(CONTROL!$C$9, $D$9, 100%, $F$9) + CHOOSE(CONTROL!$C$27, 0.0021, 0)</f>
        <v>143.59910000000002</v>
      </c>
      <c r="F885" s="14">
        <f>143.597 * CHOOSE(CONTROL!$C$9, $D$9, 100%, $F$9) + CHOOSE(CONTROL!$C$27, 0.0021, 0)</f>
        <v>143.59910000000002</v>
      </c>
      <c r="G885" s="14">
        <f>143.8684 * CHOOSE(CONTROL!$C$9, $D$9, 100%, $F$9) + CHOOSE(CONTROL!$C$27, 0.0021, 0)</f>
        <v>143.87050000000002</v>
      </c>
      <c r="H885" s="14">
        <f>143.7337 * CHOOSE(CONTROL!$C$9, $D$9, 100%, $F$9) + CHOOSE(CONTROL!$C$27, 0.0021, 0)</f>
        <v>143.73580000000001</v>
      </c>
      <c r="I885" s="14">
        <f>143.7337 * CHOOSE(CONTROL!$C$9, $D$9, 100%, $F$9) + CHOOSE(CONTROL!$C$27, 0.0021, 0)</f>
        <v>143.73580000000001</v>
      </c>
      <c r="J885" s="14">
        <f>143.7337 * CHOOSE(CONTROL!$C$9, $D$9, 100%, $F$9) + CHOOSE(CONTROL!$C$27, 0.0021, 0)</f>
        <v>143.73580000000001</v>
      </c>
      <c r="K885" s="14">
        <f>143.7337 * CHOOSE(CONTROL!$C$9, $D$9, 100%, $F$9) + CHOOSE(CONTROL!$C$27, 0.0021, 0)</f>
        <v>143.73580000000001</v>
      </c>
      <c r="L885" s="14"/>
    </row>
    <row r="886" spans="1:12" ht="15.75" x14ac:dyDescent="0.25">
      <c r="A886" s="32">
        <v>67906</v>
      </c>
      <c r="B886" s="14">
        <f>143.155 * CHOOSE(CONTROL!$C$9, $D$9, 100%, $F$9) + CHOOSE(CONTROL!$C$27, 0.0021, 0)</f>
        <v>143.15710000000001</v>
      </c>
      <c r="C886" s="14">
        <f>142.7228 * CHOOSE(CONTROL!$C$9, $D$9, 100%, $F$9) + CHOOSE(CONTROL!$C$27, 0.0021, 0)</f>
        <v>142.72490000000002</v>
      </c>
      <c r="D886" s="14">
        <f>142.7228 * CHOOSE(CONTROL!$C$9, $D$9, 100%, $F$9) + CHOOSE(CONTROL!$C$27, 0.0021, 0)</f>
        <v>142.72490000000002</v>
      </c>
      <c r="E886" s="14">
        <f>142.5861 * CHOOSE(CONTROL!$C$9, $D$9, 100%, $F$9) + CHOOSE(CONTROL!$C$27, 0.0021, 0)</f>
        <v>142.5882</v>
      </c>
      <c r="F886" s="14">
        <f>142.5861 * CHOOSE(CONTROL!$C$9, $D$9, 100%, $F$9) + CHOOSE(CONTROL!$C$27, 0.0021, 0)</f>
        <v>142.5882</v>
      </c>
      <c r="G886" s="14">
        <f>142.8575 * CHOOSE(CONTROL!$C$9, $D$9, 100%, $F$9) + CHOOSE(CONTROL!$C$27, 0.0021, 0)</f>
        <v>142.8596</v>
      </c>
      <c r="H886" s="14">
        <f>142.7228 * CHOOSE(CONTROL!$C$9, $D$9, 100%, $F$9) + CHOOSE(CONTROL!$C$27, 0.0021, 0)</f>
        <v>142.72490000000002</v>
      </c>
      <c r="I886" s="14">
        <f>142.7228 * CHOOSE(CONTROL!$C$9, $D$9, 100%, $F$9) + CHOOSE(CONTROL!$C$27, 0.0021, 0)</f>
        <v>142.72490000000002</v>
      </c>
      <c r="J886" s="14">
        <f>142.7228 * CHOOSE(CONTROL!$C$9, $D$9, 100%, $F$9) + CHOOSE(CONTROL!$C$27, 0.0021, 0)</f>
        <v>142.72490000000002</v>
      </c>
      <c r="K886" s="14">
        <f>142.7228 * CHOOSE(CONTROL!$C$9, $D$9, 100%, $F$9) + CHOOSE(CONTROL!$C$27, 0.0021, 0)</f>
        <v>142.72490000000002</v>
      </c>
      <c r="L886" s="14"/>
    </row>
    <row r="887" spans="1:12" ht="15.75" x14ac:dyDescent="0.25">
      <c r="A887" s="32">
        <v>67937</v>
      </c>
      <c r="B887" s="14">
        <f>138.9749 * CHOOSE(CONTROL!$C$9, $D$9, 100%, $F$9) + CHOOSE(CONTROL!$C$27, 0.0021, 0)</f>
        <v>138.977</v>
      </c>
      <c r="C887" s="14">
        <f>138.5427 * CHOOSE(CONTROL!$C$9, $D$9, 100%, $F$9) + CHOOSE(CONTROL!$C$27, 0.0021, 0)</f>
        <v>138.54480000000001</v>
      </c>
      <c r="D887" s="14">
        <f>138.5427 * CHOOSE(CONTROL!$C$9, $D$9, 100%, $F$9) + CHOOSE(CONTROL!$C$27, 0.0021, 0)</f>
        <v>138.54480000000001</v>
      </c>
      <c r="E887" s="14">
        <f>138.406 * CHOOSE(CONTROL!$C$9, $D$9, 100%, $F$9) + CHOOSE(CONTROL!$C$27, 0.0021, 0)</f>
        <v>138.40810000000002</v>
      </c>
      <c r="F887" s="14">
        <f>138.406 * CHOOSE(CONTROL!$C$9, $D$9, 100%, $F$9) + CHOOSE(CONTROL!$C$27, 0.0021, 0)</f>
        <v>138.40810000000002</v>
      </c>
      <c r="G887" s="14">
        <f>138.6774 * CHOOSE(CONTROL!$C$9, $D$9, 100%, $F$9) + CHOOSE(CONTROL!$C$27, 0.0021, 0)</f>
        <v>138.67950000000002</v>
      </c>
      <c r="H887" s="14">
        <f>138.5427 * CHOOSE(CONTROL!$C$9, $D$9, 100%, $F$9) + CHOOSE(CONTROL!$C$27, 0.0021, 0)</f>
        <v>138.54480000000001</v>
      </c>
      <c r="I887" s="14">
        <f>138.5427 * CHOOSE(CONTROL!$C$9, $D$9, 100%, $F$9) + CHOOSE(CONTROL!$C$27, 0.0021, 0)</f>
        <v>138.54480000000001</v>
      </c>
      <c r="J887" s="14">
        <f>138.5427 * CHOOSE(CONTROL!$C$9, $D$9, 100%, $F$9) + CHOOSE(CONTROL!$C$27, 0.0021, 0)</f>
        <v>138.54480000000001</v>
      </c>
      <c r="K887" s="14">
        <f>138.5427 * CHOOSE(CONTROL!$C$9, $D$9, 100%, $F$9) + CHOOSE(CONTROL!$C$27, 0.0021, 0)</f>
        <v>138.54480000000001</v>
      </c>
      <c r="L887" s="14"/>
    </row>
    <row r="888" spans="1:12" ht="15.75" x14ac:dyDescent="0.25">
      <c r="A888" s="32">
        <v>67968</v>
      </c>
      <c r="B888" s="14">
        <f>138.1611 * CHOOSE(CONTROL!$C$9, $D$9, 100%, $F$9) + CHOOSE(CONTROL!$C$27, 0.0021, 0)</f>
        <v>138.16320000000002</v>
      </c>
      <c r="C888" s="14">
        <f>137.7288 * CHOOSE(CONTROL!$C$9, $D$9, 100%, $F$9) + CHOOSE(CONTROL!$C$27, 0.0021, 0)</f>
        <v>137.73090000000002</v>
      </c>
      <c r="D888" s="14">
        <f>137.7288 * CHOOSE(CONTROL!$C$9, $D$9, 100%, $F$9) + CHOOSE(CONTROL!$C$27, 0.0021, 0)</f>
        <v>137.73090000000002</v>
      </c>
      <c r="E888" s="14">
        <f>137.5922 * CHOOSE(CONTROL!$C$9, $D$9, 100%, $F$9) + CHOOSE(CONTROL!$C$27, 0.0021, 0)</f>
        <v>137.5943</v>
      </c>
      <c r="F888" s="14">
        <f>137.5922 * CHOOSE(CONTROL!$C$9, $D$9, 100%, $F$9) + CHOOSE(CONTROL!$C$27, 0.0021, 0)</f>
        <v>137.5943</v>
      </c>
      <c r="G888" s="14">
        <f>137.8636 * CHOOSE(CONTROL!$C$9, $D$9, 100%, $F$9) + CHOOSE(CONTROL!$C$27, 0.0021, 0)</f>
        <v>137.8657</v>
      </c>
      <c r="H888" s="14">
        <f>137.7288 * CHOOSE(CONTROL!$C$9, $D$9, 100%, $F$9) + CHOOSE(CONTROL!$C$27, 0.0021, 0)</f>
        <v>137.73090000000002</v>
      </c>
      <c r="I888" s="14">
        <f>137.7288 * CHOOSE(CONTROL!$C$9, $D$9, 100%, $F$9) + CHOOSE(CONTROL!$C$27, 0.0021, 0)</f>
        <v>137.73090000000002</v>
      </c>
      <c r="J888" s="14">
        <f>137.7288 * CHOOSE(CONTROL!$C$9, $D$9, 100%, $F$9) + CHOOSE(CONTROL!$C$27, 0.0021, 0)</f>
        <v>137.73090000000002</v>
      </c>
      <c r="K888" s="14">
        <f>137.7288 * CHOOSE(CONTROL!$C$9, $D$9, 100%, $F$9) + CHOOSE(CONTROL!$C$27, 0.0021, 0)</f>
        <v>137.73090000000002</v>
      </c>
      <c r="L888" s="14"/>
    </row>
    <row r="889" spans="1:12" ht="15.75" x14ac:dyDescent="0.25">
      <c r="A889" s="32">
        <v>67996</v>
      </c>
      <c r="B889" s="14">
        <f>137.7834 * CHOOSE(CONTROL!$C$9, $D$9, 100%, $F$9) + CHOOSE(CONTROL!$C$27, 0.0021, 0)</f>
        <v>137.78550000000001</v>
      </c>
      <c r="C889" s="14">
        <f>137.3512 * CHOOSE(CONTROL!$C$9, $D$9, 100%, $F$9) + CHOOSE(CONTROL!$C$27, 0.0021, 0)</f>
        <v>137.35330000000002</v>
      </c>
      <c r="D889" s="14">
        <f>137.3512 * CHOOSE(CONTROL!$C$9, $D$9, 100%, $F$9) + CHOOSE(CONTROL!$C$27, 0.0021, 0)</f>
        <v>137.35330000000002</v>
      </c>
      <c r="E889" s="14">
        <f>137.2145 * CHOOSE(CONTROL!$C$9, $D$9, 100%, $F$9) + CHOOSE(CONTROL!$C$27, 0.0021, 0)</f>
        <v>137.2166</v>
      </c>
      <c r="F889" s="14">
        <f>137.2145 * CHOOSE(CONTROL!$C$9, $D$9, 100%, $F$9) + CHOOSE(CONTROL!$C$27, 0.0021, 0)</f>
        <v>137.2166</v>
      </c>
      <c r="G889" s="14">
        <f>137.4859 * CHOOSE(CONTROL!$C$9, $D$9, 100%, $F$9) + CHOOSE(CONTROL!$C$27, 0.0021, 0)</f>
        <v>137.488</v>
      </c>
      <c r="H889" s="14">
        <f>137.3512 * CHOOSE(CONTROL!$C$9, $D$9, 100%, $F$9) + CHOOSE(CONTROL!$C$27, 0.0021, 0)</f>
        <v>137.35330000000002</v>
      </c>
      <c r="I889" s="14">
        <f>137.3512 * CHOOSE(CONTROL!$C$9, $D$9, 100%, $F$9) + CHOOSE(CONTROL!$C$27, 0.0021, 0)</f>
        <v>137.35330000000002</v>
      </c>
      <c r="J889" s="14">
        <f>137.3512 * CHOOSE(CONTROL!$C$9, $D$9, 100%, $F$9) + CHOOSE(CONTROL!$C$27, 0.0021, 0)</f>
        <v>137.35330000000002</v>
      </c>
      <c r="K889" s="14">
        <f>137.3512 * CHOOSE(CONTROL!$C$9, $D$9, 100%, $F$9) + CHOOSE(CONTROL!$C$27, 0.0021, 0)</f>
        <v>137.35330000000002</v>
      </c>
      <c r="L889" s="14"/>
    </row>
    <row r="890" spans="1:12" ht="15.75" x14ac:dyDescent="0.25">
      <c r="A890" s="32">
        <v>68027</v>
      </c>
      <c r="B890" s="14">
        <f>144.9246 * CHOOSE(CONTROL!$C$9, $D$9, 100%, $F$9) + CHOOSE(CONTROL!$C$27, 0.0021, 0)</f>
        <v>144.92670000000001</v>
      </c>
      <c r="C890" s="14">
        <f>144.4923 * CHOOSE(CONTROL!$C$9, $D$9, 100%, $F$9) + CHOOSE(CONTROL!$C$27, 0.0021, 0)</f>
        <v>144.49440000000001</v>
      </c>
      <c r="D890" s="14">
        <f>144.4923 * CHOOSE(CONTROL!$C$9, $D$9, 100%, $F$9) + CHOOSE(CONTROL!$C$27, 0.0021, 0)</f>
        <v>144.49440000000001</v>
      </c>
      <c r="E890" s="14">
        <f>144.3557 * CHOOSE(CONTROL!$C$9, $D$9, 100%, $F$9) + CHOOSE(CONTROL!$C$27, 0.0021, 0)</f>
        <v>144.35780000000003</v>
      </c>
      <c r="F890" s="14">
        <f>144.3557 * CHOOSE(CONTROL!$C$9, $D$9, 100%, $F$9) + CHOOSE(CONTROL!$C$27, 0.0021, 0)</f>
        <v>144.35780000000003</v>
      </c>
      <c r="G890" s="14">
        <f>144.6271 * CHOOSE(CONTROL!$C$9, $D$9, 100%, $F$9) + CHOOSE(CONTROL!$C$27, 0.0021, 0)</f>
        <v>144.62920000000003</v>
      </c>
      <c r="H890" s="14">
        <f>144.4923 * CHOOSE(CONTROL!$C$9, $D$9, 100%, $F$9) + CHOOSE(CONTROL!$C$27, 0.0021, 0)</f>
        <v>144.49440000000001</v>
      </c>
      <c r="I890" s="14">
        <f>144.4923 * CHOOSE(CONTROL!$C$9, $D$9, 100%, $F$9) + CHOOSE(CONTROL!$C$27, 0.0021, 0)</f>
        <v>144.49440000000001</v>
      </c>
      <c r="J890" s="14">
        <f>144.4923 * CHOOSE(CONTROL!$C$9, $D$9, 100%, $F$9) + CHOOSE(CONTROL!$C$27, 0.0021, 0)</f>
        <v>144.49440000000001</v>
      </c>
      <c r="K890" s="14">
        <f>144.4923 * CHOOSE(CONTROL!$C$9, $D$9, 100%, $F$9) + CHOOSE(CONTROL!$C$27, 0.0021, 0)</f>
        <v>144.49440000000001</v>
      </c>
      <c r="L890" s="14"/>
    </row>
    <row r="891" spans="1:12" ht="15.75" x14ac:dyDescent="0.25">
      <c r="A891" s="32">
        <v>68057</v>
      </c>
      <c r="B891" s="14">
        <f>154.185 * CHOOSE(CONTROL!$C$9, $D$9, 100%, $F$9) + CHOOSE(CONTROL!$C$27, 0.0021, 0)</f>
        <v>154.18710000000002</v>
      </c>
      <c r="C891" s="14">
        <f>153.7527 * CHOOSE(CONTROL!$C$9, $D$9, 100%, $F$9) + CHOOSE(CONTROL!$C$27, 0.0021, 0)</f>
        <v>153.75480000000002</v>
      </c>
      <c r="D891" s="14">
        <f>153.7527 * CHOOSE(CONTROL!$C$9, $D$9, 100%, $F$9) + CHOOSE(CONTROL!$C$27, 0.0021, 0)</f>
        <v>153.75480000000002</v>
      </c>
      <c r="E891" s="14">
        <f>153.6161 * CHOOSE(CONTROL!$C$9, $D$9, 100%, $F$9) + CHOOSE(CONTROL!$C$27, 0.0021, 0)</f>
        <v>153.6182</v>
      </c>
      <c r="F891" s="14">
        <f>153.6161 * CHOOSE(CONTROL!$C$9, $D$9, 100%, $F$9) + CHOOSE(CONTROL!$C$27, 0.0021, 0)</f>
        <v>153.6182</v>
      </c>
      <c r="G891" s="14">
        <f>153.8874 * CHOOSE(CONTROL!$C$9, $D$9, 100%, $F$9) + CHOOSE(CONTROL!$C$27, 0.0021, 0)</f>
        <v>153.88950000000003</v>
      </c>
      <c r="H891" s="14">
        <f>153.7527 * CHOOSE(CONTROL!$C$9, $D$9, 100%, $F$9) + CHOOSE(CONTROL!$C$27, 0.0021, 0)</f>
        <v>153.75480000000002</v>
      </c>
      <c r="I891" s="14">
        <f>153.7527 * CHOOSE(CONTROL!$C$9, $D$9, 100%, $F$9) + CHOOSE(CONTROL!$C$27, 0.0021, 0)</f>
        <v>153.75480000000002</v>
      </c>
      <c r="J891" s="14">
        <f>153.7527 * CHOOSE(CONTROL!$C$9, $D$9, 100%, $F$9) + CHOOSE(CONTROL!$C$27, 0.0021, 0)</f>
        <v>153.75480000000002</v>
      </c>
      <c r="K891" s="14">
        <f>153.7527 * CHOOSE(CONTROL!$C$9, $D$9, 100%, $F$9) + CHOOSE(CONTROL!$C$27, 0.0021, 0)</f>
        <v>153.75480000000002</v>
      </c>
      <c r="L891" s="14"/>
    </row>
    <row r="892" spans="1:12" ht="15.75" x14ac:dyDescent="0.25">
      <c r="A892" s="32">
        <v>68088</v>
      </c>
      <c r="B892" s="14">
        <f>159.2822 * CHOOSE(CONTROL!$C$9, $D$9, 100%, $F$9) + CHOOSE(CONTROL!$C$27, 0.0021, 0)</f>
        <v>159.2843</v>
      </c>
      <c r="C892" s="14">
        <f>158.8499 * CHOOSE(CONTROL!$C$9, $D$9, 100%, $F$9) + CHOOSE(CONTROL!$C$27, 0.0021, 0)</f>
        <v>158.852</v>
      </c>
      <c r="D892" s="14">
        <f>158.8499 * CHOOSE(CONTROL!$C$9, $D$9, 100%, $F$9) + CHOOSE(CONTROL!$C$27, 0.0021, 0)</f>
        <v>158.852</v>
      </c>
      <c r="E892" s="14">
        <f>158.7133 * CHOOSE(CONTROL!$C$9, $D$9, 100%, $F$9) + CHOOSE(CONTROL!$C$27, 0.0021, 0)</f>
        <v>158.71540000000002</v>
      </c>
      <c r="F892" s="14">
        <f>158.7133 * CHOOSE(CONTROL!$C$9, $D$9, 100%, $F$9) + CHOOSE(CONTROL!$C$27, 0.0021, 0)</f>
        <v>158.71540000000002</v>
      </c>
      <c r="G892" s="14">
        <f>158.9847 * CHOOSE(CONTROL!$C$9, $D$9, 100%, $F$9) + CHOOSE(CONTROL!$C$27, 0.0021, 0)</f>
        <v>158.98680000000002</v>
      </c>
      <c r="H892" s="14">
        <f>158.8499 * CHOOSE(CONTROL!$C$9, $D$9, 100%, $F$9) + CHOOSE(CONTROL!$C$27, 0.0021, 0)</f>
        <v>158.852</v>
      </c>
      <c r="I892" s="14">
        <f>158.8499 * CHOOSE(CONTROL!$C$9, $D$9, 100%, $F$9) + CHOOSE(CONTROL!$C$27, 0.0021, 0)</f>
        <v>158.852</v>
      </c>
      <c r="J892" s="14">
        <f>158.8499 * CHOOSE(CONTROL!$C$9, $D$9, 100%, $F$9) + CHOOSE(CONTROL!$C$27, 0.0021, 0)</f>
        <v>158.852</v>
      </c>
      <c r="K892" s="14">
        <f>158.8499 * CHOOSE(CONTROL!$C$9, $D$9, 100%, $F$9) + CHOOSE(CONTROL!$C$27, 0.0021, 0)</f>
        <v>158.852</v>
      </c>
      <c r="L892" s="14"/>
    </row>
    <row r="893" spans="1:12" ht="15.75" x14ac:dyDescent="0.25">
      <c r="A893" s="32">
        <v>68118</v>
      </c>
      <c r="B893" s="14">
        <f>161.5442 * CHOOSE(CONTROL!$C$9, $D$9, 100%, $F$9) + CHOOSE(CONTROL!$C$27, 0.0021, 0)</f>
        <v>161.5463</v>
      </c>
      <c r="C893" s="14">
        <f>161.112 * CHOOSE(CONTROL!$C$9, $D$9, 100%, $F$9) + CHOOSE(CONTROL!$C$27, 0.0021, 0)</f>
        <v>161.11410000000001</v>
      </c>
      <c r="D893" s="14">
        <f>161.112 * CHOOSE(CONTROL!$C$9, $D$9, 100%, $F$9) + CHOOSE(CONTROL!$C$27, 0.0021, 0)</f>
        <v>161.11410000000001</v>
      </c>
      <c r="E893" s="14">
        <f>160.9753 * CHOOSE(CONTROL!$C$9, $D$9, 100%, $F$9) + CHOOSE(CONTROL!$C$27, 0.0021, 0)</f>
        <v>160.97740000000002</v>
      </c>
      <c r="F893" s="14">
        <f>160.9753 * CHOOSE(CONTROL!$C$9, $D$9, 100%, $F$9) + CHOOSE(CONTROL!$C$27, 0.0021, 0)</f>
        <v>160.97740000000002</v>
      </c>
      <c r="G893" s="14">
        <f>161.2467 * CHOOSE(CONTROL!$C$9, $D$9, 100%, $F$9) + CHOOSE(CONTROL!$C$27, 0.0021, 0)</f>
        <v>161.24880000000002</v>
      </c>
      <c r="H893" s="14">
        <f>161.112 * CHOOSE(CONTROL!$C$9, $D$9, 100%, $F$9) + CHOOSE(CONTROL!$C$27, 0.0021, 0)</f>
        <v>161.11410000000001</v>
      </c>
      <c r="I893" s="14">
        <f>161.112 * CHOOSE(CONTROL!$C$9, $D$9, 100%, $F$9) + CHOOSE(CONTROL!$C$27, 0.0021, 0)</f>
        <v>161.11410000000001</v>
      </c>
      <c r="J893" s="14">
        <f>161.112 * CHOOSE(CONTROL!$C$9, $D$9, 100%, $F$9) + CHOOSE(CONTROL!$C$27, 0.0021, 0)</f>
        <v>161.11410000000001</v>
      </c>
      <c r="K893" s="14">
        <f>161.112 * CHOOSE(CONTROL!$C$9, $D$9, 100%, $F$9) + CHOOSE(CONTROL!$C$27, 0.0021, 0)</f>
        <v>161.11410000000001</v>
      </c>
      <c r="L893" s="14"/>
    </row>
    <row r="894" spans="1:12" ht="15.75" x14ac:dyDescent="0.25">
      <c r="A894" s="32">
        <v>68149</v>
      </c>
      <c r="B894" s="14">
        <f>160.7995 * CHOOSE(CONTROL!$C$9, $D$9, 100%, $F$9) + CHOOSE(CONTROL!$C$27, 0.0021, 0)</f>
        <v>160.80160000000001</v>
      </c>
      <c r="C894" s="14">
        <f>160.3672 * CHOOSE(CONTROL!$C$9, $D$9, 100%, $F$9) + CHOOSE(CONTROL!$C$27, 0.0021, 0)</f>
        <v>160.36930000000001</v>
      </c>
      <c r="D894" s="14">
        <f>160.3672 * CHOOSE(CONTROL!$C$9, $D$9, 100%, $F$9) + CHOOSE(CONTROL!$C$27, 0.0021, 0)</f>
        <v>160.36930000000001</v>
      </c>
      <c r="E894" s="14">
        <f>160.2306 * CHOOSE(CONTROL!$C$9, $D$9, 100%, $F$9) + CHOOSE(CONTROL!$C$27, 0.0021, 0)</f>
        <v>160.23270000000002</v>
      </c>
      <c r="F894" s="14">
        <f>160.2306 * CHOOSE(CONTROL!$C$9, $D$9, 100%, $F$9) + CHOOSE(CONTROL!$C$27, 0.0021, 0)</f>
        <v>160.23270000000002</v>
      </c>
      <c r="G894" s="14">
        <f>160.5019 * CHOOSE(CONTROL!$C$9, $D$9, 100%, $F$9) + CHOOSE(CONTROL!$C$27, 0.0021, 0)</f>
        <v>160.50400000000002</v>
      </c>
      <c r="H894" s="14">
        <f>160.3672 * CHOOSE(CONTROL!$C$9, $D$9, 100%, $F$9) + CHOOSE(CONTROL!$C$27, 0.0021, 0)</f>
        <v>160.36930000000001</v>
      </c>
      <c r="I894" s="14">
        <f>160.3672 * CHOOSE(CONTROL!$C$9, $D$9, 100%, $F$9) + CHOOSE(CONTROL!$C$27, 0.0021, 0)</f>
        <v>160.36930000000001</v>
      </c>
      <c r="J894" s="14">
        <f>160.3672 * CHOOSE(CONTROL!$C$9, $D$9, 100%, $F$9) + CHOOSE(CONTROL!$C$27, 0.0021, 0)</f>
        <v>160.36930000000001</v>
      </c>
      <c r="K894" s="14">
        <f>160.3672 * CHOOSE(CONTROL!$C$9, $D$9, 100%, $F$9) + CHOOSE(CONTROL!$C$27, 0.0021, 0)</f>
        <v>160.36930000000001</v>
      </c>
      <c r="L894" s="14"/>
    </row>
    <row r="895" spans="1:12" ht="15.75" x14ac:dyDescent="0.25">
      <c r="A895" s="32">
        <v>68180</v>
      </c>
      <c r="B895" s="14">
        <f>157.1095 * CHOOSE(CONTROL!$C$9, $D$9, 100%, $F$9) + CHOOSE(CONTROL!$C$27, 0.0021, 0)</f>
        <v>157.11160000000001</v>
      </c>
      <c r="C895" s="14">
        <f>156.6772 * CHOOSE(CONTROL!$C$9, $D$9, 100%, $F$9) + CHOOSE(CONTROL!$C$27, 0.0021, 0)</f>
        <v>156.67930000000001</v>
      </c>
      <c r="D895" s="14">
        <f>156.6772 * CHOOSE(CONTROL!$C$9, $D$9, 100%, $F$9) + CHOOSE(CONTROL!$C$27, 0.0021, 0)</f>
        <v>156.67930000000001</v>
      </c>
      <c r="E895" s="14">
        <f>156.5406 * CHOOSE(CONTROL!$C$9, $D$9, 100%, $F$9) + CHOOSE(CONTROL!$C$27, 0.0021, 0)</f>
        <v>156.54270000000002</v>
      </c>
      <c r="F895" s="14">
        <f>156.5406 * CHOOSE(CONTROL!$C$9, $D$9, 100%, $F$9) + CHOOSE(CONTROL!$C$27, 0.0021, 0)</f>
        <v>156.54270000000002</v>
      </c>
      <c r="G895" s="14">
        <f>156.812 * CHOOSE(CONTROL!$C$9, $D$9, 100%, $F$9) + CHOOSE(CONTROL!$C$27, 0.0021, 0)</f>
        <v>156.81410000000002</v>
      </c>
      <c r="H895" s="14">
        <f>156.6772 * CHOOSE(CONTROL!$C$9, $D$9, 100%, $F$9) + CHOOSE(CONTROL!$C$27, 0.0021, 0)</f>
        <v>156.67930000000001</v>
      </c>
      <c r="I895" s="14">
        <f>156.6772 * CHOOSE(CONTROL!$C$9, $D$9, 100%, $F$9) + CHOOSE(CONTROL!$C$27, 0.0021, 0)</f>
        <v>156.67930000000001</v>
      </c>
      <c r="J895" s="14">
        <f>156.6772 * CHOOSE(CONTROL!$C$9, $D$9, 100%, $F$9) + CHOOSE(CONTROL!$C$27, 0.0021, 0)</f>
        <v>156.67930000000001</v>
      </c>
      <c r="K895" s="14">
        <f>156.6772 * CHOOSE(CONTROL!$C$9, $D$9, 100%, $F$9) + CHOOSE(CONTROL!$C$27, 0.0021, 0)</f>
        <v>156.67930000000001</v>
      </c>
      <c r="L895" s="14"/>
    </row>
    <row r="896" spans="1:12" ht="15.75" x14ac:dyDescent="0.25">
      <c r="A896" s="32">
        <v>68210</v>
      </c>
      <c r="B896" s="14">
        <f>151.9636 * CHOOSE(CONTROL!$C$9, $D$9, 100%, $F$9) + CHOOSE(CONTROL!$C$27, 0.0021, 0)</f>
        <v>151.96570000000003</v>
      </c>
      <c r="C896" s="14">
        <f>151.5314 * CHOOSE(CONTROL!$C$9, $D$9, 100%, $F$9) + CHOOSE(CONTROL!$C$27, 0.0021, 0)</f>
        <v>151.5335</v>
      </c>
      <c r="D896" s="14">
        <f>151.5314 * CHOOSE(CONTROL!$C$9, $D$9, 100%, $F$9) + CHOOSE(CONTROL!$C$27, 0.0021, 0)</f>
        <v>151.5335</v>
      </c>
      <c r="E896" s="14">
        <f>151.3947 * CHOOSE(CONTROL!$C$9, $D$9, 100%, $F$9) + CHOOSE(CONTROL!$C$27, 0.0021, 0)</f>
        <v>151.39680000000001</v>
      </c>
      <c r="F896" s="14">
        <f>151.3947 * CHOOSE(CONTROL!$C$9, $D$9, 100%, $F$9) + CHOOSE(CONTROL!$C$27, 0.0021, 0)</f>
        <v>151.39680000000001</v>
      </c>
      <c r="G896" s="14">
        <f>151.6661 * CHOOSE(CONTROL!$C$9, $D$9, 100%, $F$9) + CHOOSE(CONTROL!$C$27, 0.0021, 0)</f>
        <v>151.66820000000001</v>
      </c>
      <c r="H896" s="14">
        <f>151.5314 * CHOOSE(CONTROL!$C$9, $D$9, 100%, $F$9) + CHOOSE(CONTROL!$C$27, 0.0021, 0)</f>
        <v>151.5335</v>
      </c>
      <c r="I896" s="14">
        <f>151.5314 * CHOOSE(CONTROL!$C$9, $D$9, 100%, $F$9) + CHOOSE(CONTROL!$C$27, 0.0021, 0)</f>
        <v>151.5335</v>
      </c>
      <c r="J896" s="14">
        <f>151.5314 * CHOOSE(CONTROL!$C$9, $D$9, 100%, $F$9) + CHOOSE(CONTROL!$C$27, 0.0021, 0)</f>
        <v>151.5335</v>
      </c>
      <c r="K896" s="14">
        <f>151.5314 * CHOOSE(CONTROL!$C$9, $D$9, 100%, $F$9) + CHOOSE(CONTROL!$C$27, 0.0021, 0)</f>
        <v>151.5335</v>
      </c>
      <c r="L896" s="14"/>
    </row>
    <row r="897" spans="1:12" ht="15.75" x14ac:dyDescent="0.25">
      <c r="A897" s="32">
        <v>68241</v>
      </c>
      <c r="B897" s="14">
        <f>146.7878 * CHOOSE(CONTROL!$C$9, $D$9, 100%, $F$9) + CHOOSE(CONTROL!$C$27, 0.0021, 0)</f>
        <v>146.78990000000002</v>
      </c>
      <c r="C897" s="14">
        <f>146.3556 * CHOOSE(CONTROL!$C$9, $D$9, 100%, $F$9) + CHOOSE(CONTROL!$C$27, 0.0021, 0)</f>
        <v>146.35770000000002</v>
      </c>
      <c r="D897" s="14">
        <f>146.3556 * CHOOSE(CONTROL!$C$9, $D$9, 100%, $F$9) + CHOOSE(CONTROL!$C$27, 0.0021, 0)</f>
        <v>146.35770000000002</v>
      </c>
      <c r="E897" s="14">
        <f>146.2189 * CHOOSE(CONTROL!$C$9, $D$9, 100%, $F$9) + CHOOSE(CONTROL!$C$27, 0.0021, 0)</f>
        <v>146.221</v>
      </c>
      <c r="F897" s="14">
        <f>146.2189 * CHOOSE(CONTROL!$C$9, $D$9, 100%, $F$9) + CHOOSE(CONTROL!$C$27, 0.0021, 0)</f>
        <v>146.221</v>
      </c>
      <c r="G897" s="14">
        <f>146.4903 * CHOOSE(CONTROL!$C$9, $D$9, 100%, $F$9) + CHOOSE(CONTROL!$C$27, 0.0021, 0)</f>
        <v>146.4924</v>
      </c>
      <c r="H897" s="14">
        <f>146.3556 * CHOOSE(CONTROL!$C$9, $D$9, 100%, $F$9) + CHOOSE(CONTROL!$C$27, 0.0021, 0)</f>
        <v>146.35770000000002</v>
      </c>
      <c r="I897" s="14">
        <f>146.3556 * CHOOSE(CONTROL!$C$9, $D$9, 100%, $F$9) + CHOOSE(CONTROL!$C$27, 0.0021, 0)</f>
        <v>146.35770000000002</v>
      </c>
      <c r="J897" s="14">
        <f>146.3556 * CHOOSE(CONTROL!$C$9, $D$9, 100%, $F$9) + CHOOSE(CONTROL!$C$27, 0.0021, 0)</f>
        <v>146.35770000000002</v>
      </c>
      <c r="K897" s="14">
        <f>146.3556 * CHOOSE(CONTROL!$C$9, $D$9, 100%, $F$9) + CHOOSE(CONTROL!$C$27, 0.0021, 0)</f>
        <v>146.35770000000002</v>
      </c>
      <c r="L897" s="14"/>
    </row>
    <row r="898" spans="1:12" ht="15.75" x14ac:dyDescent="0.25">
      <c r="A898" s="32">
        <v>68271</v>
      </c>
      <c r="B898" s="14">
        <f>145.7583 * CHOOSE(CONTROL!$C$9, $D$9, 100%, $F$9) + CHOOSE(CONTROL!$C$27, 0.0021, 0)</f>
        <v>145.7604</v>
      </c>
      <c r="C898" s="14">
        <f>145.326 * CHOOSE(CONTROL!$C$9, $D$9, 100%, $F$9) + CHOOSE(CONTROL!$C$27, 0.0021, 0)</f>
        <v>145.32810000000001</v>
      </c>
      <c r="D898" s="14">
        <f>145.326 * CHOOSE(CONTROL!$C$9, $D$9, 100%, $F$9) + CHOOSE(CONTROL!$C$27, 0.0021, 0)</f>
        <v>145.32810000000001</v>
      </c>
      <c r="E898" s="14">
        <f>145.1894 * CHOOSE(CONTROL!$C$9, $D$9, 100%, $F$9) + CHOOSE(CONTROL!$C$27, 0.0021, 0)</f>
        <v>145.19150000000002</v>
      </c>
      <c r="F898" s="14">
        <f>145.1894 * CHOOSE(CONTROL!$C$9, $D$9, 100%, $F$9) + CHOOSE(CONTROL!$C$27, 0.0021, 0)</f>
        <v>145.19150000000002</v>
      </c>
      <c r="G898" s="14">
        <f>145.4608 * CHOOSE(CONTROL!$C$9, $D$9, 100%, $F$9) + CHOOSE(CONTROL!$C$27, 0.0021, 0)</f>
        <v>145.46290000000002</v>
      </c>
      <c r="H898" s="14">
        <f>145.326 * CHOOSE(CONTROL!$C$9, $D$9, 100%, $F$9) + CHOOSE(CONTROL!$C$27, 0.0021, 0)</f>
        <v>145.32810000000001</v>
      </c>
      <c r="I898" s="14">
        <f>145.326 * CHOOSE(CONTROL!$C$9, $D$9, 100%, $F$9) + CHOOSE(CONTROL!$C$27, 0.0021, 0)</f>
        <v>145.32810000000001</v>
      </c>
      <c r="J898" s="14">
        <f>145.326 * CHOOSE(CONTROL!$C$9, $D$9, 100%, $F$9) + CHOOSE(CONTROL!$C$27, 0.0021, 0)</f>
        <v>145.32810000000001</v>
      </c>
      <c r="K898" s="14">
        <f>145.326 * CHOOSE(CONTROL!$C$9, $D$9, 100%, $F$9) + CHOOSE(CONTROL!$C$27, 0.0021, 0)</f>
        <v>145.32810000000001</v>
      </c>
      <c r="L898" s="14"/>
    </row>
    <row r="899" spans="1:12" ht="15.75" x14ac:dyDescent="0.25">
      <c r="A899" s="32">
        <v>68302</v>
      </c>
      <c r="B899" s="14">
        <f>141.5009 * CHOOSE(CONTROL!$C$9, $D$9, 100%, $F$9) + CHOOSE(CONTROL!$C$27, 0.0021, 0)</f>
        <v>141.50300000000001</v>
      </c>
      <c r="C899" s="14">
        <f>141.0687 * CHOOSE(CONTROL!$C$9, $D$9, 100%, $F$9) + CHOOSE(CONTROL!$C$27, 0.0021, 0)</f>
        <v>141.07080000000002</v>
      </c>
      <c r="D899" s="14">
        <f>141.0687 * CHOOSE(CONTROL!$C$9, $D$9, 100%, $F$9) + CHOOSE(CONTROL!$C$27, 0.0021, 0)</f>
        <v>141.07080000000002</v>
      </c>
      <c r="E899" s="14">
        <f>140.932 * CHOOSE(CONTROL!$C$9, $D$9, 100%, $F$9) + CHOOSE(CONTROL!$C$27, 0.0021, 0)</f>
        <v>140.9341</v>
      </c>
      <c r="F899" s="14">
        <f>140.932 * CHOOSE(CONTROL!$C$9, $D$9, 100%, $F$9) + CHOOSE(CONTROL!$C$27, 0.0021, 0)</f>
        <v>140.9341</v>
      </c>
      <c r="G899" s="14">
        <f>141.2034 * CHOOSE(CONTROL!$C$9, $D$9, 100%, $F$9) + CHOOSE(CONTROL!$C$27, 0.0021, 0)</f>
        <v>141.2055</v>
      </c>
      <c r="H899" s="14">
        <f>141.0687 * CHOOSE(CONTROL!$C$9, $D$9, 100%, $F$9) + CHOOSE(CONTROL!$C$27, 0.0021, 0)</f>
        <v>141.07080000000002</v>
      </c>
      <c r="I899" s="14">
        <f>141.0687 * CHOOSE(CONTROL!$C$9, $D$9, 100%, $F$9) + CHOOSE(CONTROL!$C$27, 0.0021, 0)</f>
        <v>141.07080000000002</v>
      </c>
      <c r="J899" s="14">
        <f>141.0687 * CHOOSE(CONTROL!$C$9, $D$9, 100%, $F$9) + CHOOSE(CONTROL!$C$27, 0.0021, 0)</f>
        <v>141.07080000000002</v>
      </c>
      <c r="K899" s="14">
        <f>141.0687 * CHOOSE(CONTROL!$C$9, $D$9, 100%, $F$9) + CHOOSE(CONTROL!$C$27, 0.0021, 0)</f>
        <v>141.07080000000002</v>
      </c>
      <c r="L899" s="14"/>
    </row>
    <row r="900" spans="1:12" ht="15.75" x14ac:dyDescent="0.25">
      <c r="A900" s="32">
        <v>68333</v>
      </c>
      <c r="B900" s="14">
        <f>140.6721 * CHOOSE(CONTROL!$C$9, $D$9, 100%, $F$9) + CHOOSE(CONTROL!$C$27, 0.0021, 0)</f>
        <v>140.67420000000001</v>
      </c>
      <c r="C900" s="14">
        <f>140.2398 * CHOOSE(CONTROL!$C$9, $D$9, 100%, $F$9) + CHOOSE(CONTROL!$C$27, 0.0021, 0)</f>
        <v>140.24190000000002</v>
      </c>
      <c r="D900" s="14">
        <f>140.2398 * CHOOSE(CONTROL!$C$9, $D$9, 100%, $F$9) + CHOOSE(CONTROL!$C$27, 0.0021, 0)</f>
        <v>140.24190000000002</v>
      </c>
      <c r="E900" s="14">
        <f>140.1031 * CHOOSE(CONTROL!$C$9, $D$9, 100%, $F$9) + CHOOSE(CONTROL!$C$27, 0.0021, 0)</f>
        <v>140.10520000000002</v>
      </c>
      <c r="F900" s="14">
        <f>140.1031 * CHOOSE(CONTROL!$C$9, $D$9, 100%, $F$9) + CHOOSE(CONTROL!$C$27, 0.0021, 0)</f>
        <v>140.10520000000002</v>
      </c>
      <c r="G900" s="14">
        <f>140.3745 * CHOOSE(CONTROL!$C$9, $D$9, 100%, $F$9) + CHOOSE(CONTROL!$C$27, 0.0021, 0)</f>
        <v>140.37660000000002</v>
      </c>
      <c r="H900" s="14">
        <f>140.2398 * CHOOSE(CONTROL!$C$9, $D$9, 100%, $F$9) + CHOOSE(CONTROL!$C$27, 0.0021, 0)</f>
        <v>140.24190000000002</v>
      </c>
      <c r="I900" s="14">
        <f>140.2398 * CHOOSE(CONTROL!$C$9, $D$9, 100%, $F$9) + CHOOSE(CONTROL!$C$27, 0.0021, 0)</f>
        <v>140.24190000000002</v>
      </c>
      <c r="J900" s="14">
        <f>140.2398 * CHOOSE(CONTROL!$C$9, $D$9, 100%, $F$9) + CHOOSE(CONTROL!$C$27, 0.0021, 0)</f>
        <v>140.24190000000002</v>
      </c>
      <c r="K900" s="14">
        <f>140.2398 * CHOOSE(CONTROL!$C$9, $D$9, 100%, $F$9) + CHOOSE(CONTROL!$C$27, 0.0021, 0)</f>
        <v>140.24190000000002</v>
      </c>
      <c r="L900" s="14"/>
    </row>
    <row r="901" spans="1:12" ht="15.75" x14ac:dyDescent="0.25">
      <c r="A901" s="32">
        <v>68361</v>
      </c>
      <c r="B901" s="14">
        <f>140.2874 * CHOOSE(CONTROL!$C$9, $D$9, 100%, $F$9) + CHOOSE(CONTROL!$C$27, 0.0021, 0)</f>
        <v>140.2895</v>
      </c>
      <c r="C901" s="14">
        <f>139.8552 * CHOOSE(CONTROL!$C$9, $D$9, 100%, $F$9) + CHOOSE(CONTROL!$C$27, 0.0021, 0)</f>
        <v>139.85730000000001</v>
      </c>
      <c r="D901" s="14">
        <f>139.8552 * CHOOSE(CONTROL!$C$9, $D$9, 100%, $F$9) + CHOOSE(CONTROL!$C$27, 0.0021, 0)</f>
        <v>139.85730000000001</v>
      </c>
      <c r="E901" s="14">
        <f>139.7185 * CHOOSE(CONTROL!$C$9, $D$9, 100%, $F$9) + CHOOSE(CONTROL!$C$27, 0.0021, 0)</f>
        <v>139.72060000000002</v>
      </c>
      <c r="F901" s="14">
        <f>139.7185 * CHOOSE(CONTROL!$C$9, $D$9, 100%, $F$9) + CHOOSE(CONTROL!$C$27, 0.0021, 0)</f>
        <v>139.72060000000002</v>
      </c>
      <c r="G901" s="14">
        <f>139.9899 * CHOOSE(CONTROL!$C$9, $D$9, 100%, $F$9) + CHOOSE(CONTROL!$C$27, 0.0021, 0)</f>
        <v>139.99200000000002</v>
      </c>
      <c r="H901" s="14">
        <f>139.8552 * CHOOSE(CONTROL!$C$9, $D$9, 100%, $F$9) + CHOOSE(CONTROL!$C$27, 0.0021, 0)</f>
        <v>139.85730000000001</v>
      </c>
      <c r="I901" s="14">
        <f>139.8552 * CHOOSE(CONTROL!$C$9, $D$9, 100%, $F$9) + CHOOSE(CONTROL!$C$27, 0.0021, 0)</f>
        <v>139.85730000000001</v>
      </c>
      <c r="J901" s="14">
        <f>139.8552 * CHOOSE(CONTROL!$C$9, $D$9, 100%, $F$9) + CHOOSE(CONTROL!$C$27, 0.0021, 0)</f>
        <v>139.85730000000001</v>
      </c>
      <c r="K901" s="14">
        <f>139.8552 * CHOOSE(CONTROL!$C$9, $D$9, 100%, $F$9) + CHOOSE(CONTROL!$C$27, 0.0021, 0)</f>
        <v>139.85730000000001</v>
      </c>
      <c r="L901" s="14"/>
    </row>
    <row r="902" spans="1:12" ht="15.75" x14ac:dyDescent="0.25">
      <c r="A902" s="32">
        <v>68392</v>
      </c>
      <c r="B902" s="14">
        <f>147.5605 * CHOOSE(CONTROL!$C$9, $D$9, 100%, $F$9) + CHOOSE(CONTROL!$C$27, 0.0021, 0)</f>
        <v>147.5626</v>
      </c>
      <c r="C902" s="14">
        <f>147.1283 * CHOOSE(CONTROL!$C$9, $D$9, 100%, $F$9) + CHOOSE(CONTROL!$C$27, 0.0021, 0)</f>
        <v>147.13040000000001</v>
      </c>
      <c r="D902" s="14">
        <f>147.1283 * CHOOSE(CONTROL!$C$9, $D$9, 100%, $F$9) + CHOOSE(CONTROL!$C$27, 0.0021, 0)</f>
        <v>147.13040000000001</v>
      </c>
      <c r="E902" s="14">
        <f>146.9916 * CHOOSE(CONTROL!$C$9, $D$9, 100%, $F$9) + CHOOSE(CONTROL!$C$27, 0.0021, 0)</f>
        <v>146.99370000000002</v>
      </c>
      <c r="F902" s="14">
        <f>146.9916 * CHOOSE(CONTROL!$C$9, $D$9, 100%, $F$9) + CHOOSE(CONTROL!$C$27, 0.0021, 0)</f>
        <v>146.99370000000002</v>
      </c>
      <c r="G902" s="14">
        <f>147.263 * CHOOSE(CONTROL!$C$9, $D$9, 100%, $F$9) + CHOOSE(CONTROL!$C$27, 0.0021, 0)</f>
        <v>147.26510000000002</v>
      </c>
      <c r="H902" s="14">
        <f>147.1283 * CHOOSE(CONTROL!$C$9, $D$9, 100%, $F$9) + CHOOSE(CONTROL!$C$27, 0.0021, 0)</f>
        <v>147.13040000000001</v>
      </c>
      <c r="I902" s="14">
        <f>147.1283 * CHOOSE(CONTROL!$C$9, $D$9, 100%, $F$9) + CHOOSE(CONTROL!$C$27, 0.0021, 0)</f>
        <v>147.13040000000001</v>
      </c>
      <c r="J902" s="14">
        <f>147.1283 * CHOOSE(CONTROL!$C$9, $D$9, 100%, $F$9) + CHOOSE(CONTROL!$C$27, 0.0021, 0)</f>
        <v>147.13040000000001</v>
      </c>
      <c r="K902" s="14">
        <f>147.1283 * CHOOSE(CONTROL!$C$9, $D$9, 100%, $F$9) + CHOOSE(CONTROL!$C$27, 0.0021, 0)</f>
        <v>147.13040000000001</v>
      </c>
      <c r="L902" s="14"/>
    </row>
    <row r="903" spans="1:12" ht="15.75" x14ac:dyDescent="0.25">
      <c r="A903" s="32">
        <v>68422</v>
      </c>
      <c r="B903" s="14">
        <f>156.9921 * CHOOSE(CONTROL!$C$9, $D$9, 100%, $F$9) + CHOOSE(CONTROL!$C$27, 0.0021, 0)</f>
        <v>156.99420000000001</v>
      </c>
      <c r="C903" s="14">
        <f>156.5598 * CHOOSE(CONTROL!$C$9, $D$9, 100%, $F$9) + CHOOSE(CONTROL!$C$27, 0.0021, 0)</f>
        <v>156.56190000000001</v>
      </c>
      <c r="D903" s="14">
        <f>156.5598 * CHOOSE(CONTROL!$C$9, $D$9, 100%, $F$9) + CHOOSE(CONTROL!$C$27, 0.0021, 0)</f>
        <v>156.56190000000001</v>
      </c>
      <c r="E903" s="14">
        <f>156.4232 * CHOOSE(CONTROL!$C$9, $D$9, 100%, $F$9) + CHOOSE(CONTROL!$C$27, 0.0021, 0)</f>
        <v>156.42530000000002</v>
      </c>
      <c r="F903" s="14">
        <f>156.4232 * CHOOSE(CONTROL!$C$9, $D$9, 100%, $F$9) + CHOOSE(CONTROL!$C$27, 0.0021, 0)</f>
        <v>156.42530000000002</v>
      </c>
      <c r="G903" s="14">
        <f>156.6945 * CHOOSE(CONTROL!$C$9, $D$9, 100%, $F$9) + CHOOSE(CONTROL!$C$27, 0.0021, 0)</f>
        <v>156.69660000000002</v>
      </c>
      <c r="H903" s="14">
        <f>156.5598 * CHOOSE(CONTROL!$C$9, $D$9, 100%, $F$9) + CHOOSE(CONTROL!$C$27, 0.0021, 0)</f>
        <v>156.56190000000001</v>
      </c>
      <c r="I903" s="14">
        <f>156.5598 * CHOOSE(CONTROL!$C$9, $D$9, 100%, $F$9) + CHOOSE(CONTROL!$C$27, 0.0021, 0)</f>
        <v>156.56190000000001</v>
      </c>
      <c r="J903" s="14">
        <f>156.5598 * CHOOSE(CONTROL!$C$9, $D$9, 100%, $F$9) + CHOOSE(CONTROL!$C$27, 0.0021, 0)</f>
        <v>156.56190000000001</v>
      </c>
      <c r="K903" s="14">
        <f>156.5598 * CHOOSE(CONTROL!$C$9, $D$9, 100%, $F$9) + CHOOSE(CONTROL!$C$27, 0.0021, 0)</f>
        <v>156.56190000000001</v>
      </c>
      <c r="L903" s="14"/>
    </row>
    <row r="904" spans="1:12" ht="15.75" x14ac:dyDescent="0.25">
      <c r="A904" s="32">
        <v>68453</v>
      </c>
      <c r="B904" s="14">
        <f>162.1835 * CHOOSE(CONTROL!$C$9, $D$9, 100%, $F$9) + CHOOSE(CONTROL!$C$27, 0.0021, 0)</f>
        <v>162.18560000000002</v>
      </c>
      <c r="C904" s="14">
        <f>161.7512 * CHOOSE(CONTROL!$C$9, $D$9, 100%, $F$9) + CHOOSE(CONTROL!$C$27, 0.0021, 0)</f>
        <v>161.75330000000002</v>
      </c>
      <c r="D904" s="14">
        <f>161.7512 * CHOOSE(CONTROL!$C$9, $D$9, 100%, $F$9) + CHOOSE(CONTROL!$C$27, 0.0021, 0)</f>
        <v>161.75330000000002</v>
      </c>
      <c r="E904" s="14">
        <f>161.6146 * CHOOSE(CONTROL!$C$9, $D$9, 100%, $F$9) + CHOOSE(CONTROL!$C$27, 0.0021, 0)</f>
        <v>161.61670000000001</v>
      </c>
      <c r="F904" s="14">
        <f>161.6146 * CHOOSE(CONTROL!$C$9, $D$9, 100%, $F$9) + CHOOSE(CONTROL!$C$27, 0.0021, 0)</f>
        <v>161.61670000000001</v>
      </c>
      <c r="G904" s="14">
        <f>161.8859 * CHOOSE(CONTROL!$C$9, $D$9, 100%, $F$9) + CHOOSE(CONTROL!$C$27, 0.0021, 0)</f>
        <v>161.88800000000001</v>
      </c>
      <c r="H904" s="14">
        <f>161.7512 * CHOOSE(CONTROL!$C$9, $D$9, 100%, $F$9) + CHOOSE(CONTROL!$C$27, 0.0021, 0)</f>
        <v>161.75330000000002</v>
      </c>
      <c r="I904" s="14">
        <f>161.7512 * CHOOSE(CONTROL!$C$9, $D$9, 100%, $F$9) + CHOOSE(CONTROL!$C$27, 0.0021, 0)</f>
        <v>161.75330000000002</v>
      </c>
      <c r="J904" s="14">
        <f>161.7512 * CHOOSE(CONTROL!$C$9, $D$9, 100%, $F$9) + CHOOSE(CONTROL!$C$27, 0.0021, 0)</f>
        <v>161.75330000000002</v>
      </c>
      <c r="K904" s="14">
        <f>161.7512 * CHOOSE(CONTROL!$C$9, $D$9, 100%, $F$9) + CHOOSE(CONTROL!$C$27, 0.0021, 0)</f>
        <v>161.75330000000002</v>
      </c>
      <c r="L904" s="14"/>
    </row>
    <row r="905" spans="1:12" ht="15.75" x14ac:dyDescent="0.25">
      <c r="A905" s="32">
        <v>68483</v>
      </c>
      <c r="B905" s="14">
        <f>164.4873 * CHOOSE(CONTROL!$C$9, $D$9, 100%, $F$9) + CHOOSE(CONTROL!$C$27, 0.0021, 0)</f>
        <v>164.48940000000002</v>
      </c>
      <c r="C905" s="14">
        <f>164.0551 * CHOOSE(CONTROL!$C$9, $D$9, 100%, $F$9) + CHOOSE(CONTROL!$C$27, 0.0021, 0)</f>
        <v>164.05720000000002</v>
      </c>
      <c r="D905" s="14">
        <f>164.0551 * CHOOSE(CONTROL!$C$9, $D$9, 100%, $F$9) + CHOOSE(CONTROL!$C$27, 0.0021, 0)</f>
        <v>164.05720000000002</v>
      </c>
      <c r="E905" s="14">
        <f>163.9184 * CHOOSE(CONTROL!$C$9, $D$9, 100%, $F$9) + CHOOSE(CONTROL!$C$27, 0.0021, 0)</f>
        <v>163.9205</v>
      </c>
      <c r="F905" s="14">
        <f>163.9184 * CHOOSE(CONTROL!$C$9, $D$9, 100%, $F$9) + CHOOSE(CONTROL!$C$27, 0.0021, 0)</f>
        <v>163.9205</v>
      </c>
      <c r="G905" s="14">
        <f>164.1898 * CHOOSE(CONTROL!$C$9, $D$9, 100%, $F$9) + CHOOSE(CONTROL!$C$27, 0.0021, 0)</f>
        <v>164.1919</v>
      </c>
      <c r="H905" s="14">
        <f>164.0551 * CHOOSE(CONTROL!$C$9, $D$9, 100%, $F$9) + CHOOSE(CONTROL!$C$27, 0.0021, 0)</f>
        <v>164.05720000000002</v>
      </c>
      <c r="I905" s="14">
        <f>164.0551 * CHOOSE(CONTROL!$C$9, $D$9, 100%, $F$9) + CHOOSE(CONTROL!$C$27, 0.0021, 0)</f>
        <v>164.05720000000002</v>
      </c>
      <c r="J905" s="14">
        <f>164.0551 * CHOOSE(CONTROL!$C$9, $D$9, 100%, $F$9) + CHOOSE(CONTROL!$C$27, 0.0021, 0)</f>
        <v>164.05720000000002</v>
      </c>
      <c r="K905" s="14">
        <f>164.0551 * CHOOSE(CONTROL!$C$9, $D$9, 100%, $F$9) + CHOOSE(CONTROL!$C$27, 0.0021, 0)</f>
        <v>164.05720000000002</v>
      </c>
      <c r="L905" s="14"/>
    </row>
    <row r="906" spans="1:12" ht="15.75" x14ac:dyDescent="0.25">
      <c r="A906" s="32">
        <v>68514</v>
      </c>
      <c r="B906" s="14">
        <f>163.7288 * CHOOSE(CONTROL!$C$9, $D$9, 100%, $F$9) + CHOOSE(CONTROL!$C$27, 0.0021, 0)</f>
        <v>163.73090000000002</v>
      </c>
      <c r="C906" s="14">
        <f>163.2966 * CHOOSE(CONTROL!$C$9, $D$9, 100%, $F$9) + CHOOSE(CONTROL!$C$27, 0.0021, 0)</f>
        <v>163.29870000000003</v>
      </c>
      <c r="D906" s="14">
        <f>163.2966 * CHOOSE(CONTROL!$C$9, $D$9, 100%, $F$9) + CHOOSE(CONTROL!$C$27, 0.0021, 0)</f>
        <v>163.29870000000003</v>
      </c>
      <c r="E906" s="14">
        <f>163.1599 * CHOOSE(CONTROL!$C$9, $D$9, 100%, $F$9) + CHOOSE(CONTROL!$C$27, 0.0021, 0)</f>
        <v>163.16200000000001</v>
      </c>
      <c r="F906" s="14">
        <f>163.1599 * CHOOSE(CONTROL!$C$9, $D$9, 100%, $F$9) + CHOOSE(CONTROL!$C$27, 0.0021, 0)</f>
        <v>163.16200000000001</v>
      </c>
      <c r="G906" s="14">
        <f>163.4313 * CHOOSE(CONTROL!$C$9, $D$9, 100%, $F$9) + CHOOSE(CONTROL!$C$27, 0.0021, 0)</f>
        <v>163.43340000000001</v>
      </c>
      <c r="H906" s="14">
        <f>163.2966 * CHOOSE(CONTROL!$C$9, $D$9, 100%, $F$9) + CHOOSE(CONTROL!$C$27, 0.0021, 0)</f>
        <v>163.29870000000003</v>
      </c>
      <c r="I906" s="14">
        <f>163.2966 * CHOOSE(CONTROL!$C$9, $D$9, 100%, $F$9) + CHOOSE(CONTROL!$C$27, 0.0021, 0)</f>
        <v>163.29870000000003</v>
      </c>
      <c r="J906" s="14">
        <f>163.2966 * CHOOSE(CONTROL!$C$9, $D$9, 100%, $F$9) + CHOOSE(CONTROL!$C$27, 0.0021, 0)</f>
        <v>163.29870000000003</v>
      </c>
      <c r="K906" s="14">
        <f>163.2966 * CHOOSE(CONTROL!$C$9, $D$9, 100%, $F$9) + CHOOSE(CONTROL!$C$27, 0.0021, 0)</f>
        <v>163.29870000000003</v>
      </c>
      <c r="L906" s="14"/>
    </row>
    <row r="907" spans="1:12" ht="15.75" x14ac:dyDescent="0.25">
      <c r="A907" s="32">
        <v>68545</v>
      </c>
      <c r="B907" s="14">
        <f>159.9706 * CHOOSE(CONTROL!$C$9, $D$9, 100%, $F$9) + CHOOSE(CONTROL!$C$27, 0.0021, 0)</f>
        <v>159.9727</v>
      </c>
      <c r="C907" s="14">
        <f>159.5384 * CHOOSE(CONTROL!$C$9, $D$9, 100%, $F$9) + CHOOSE(CONTROL!$C$27, 0.0021, 0)</f>
        <v>159.54050000000001</v>
      </c>
      <c r="D907" s="14">
        <f>159.5384 * CHOOSE(CONTROL!$C$9, $D$9, 100%, $F$9) + CHOOSE(CONTROL!$C$27, 0.0021, 0)</f>
        <v>159.54050000000001</v>
      </c>
      <c r="E907" s="14">
        <f>159.4017 * CHOOSE(CONTROL!$C$9, $D$9, 100%, $F$9) + CHOOSE(CONTROL!$C$27, 0.0021, 0)</f>
        <v>159.40380000000002</v>
      </c>
      <c r="F907" s="14">
        <f>159.4017 * CHOOSE(CONTROL!$C$9, $D$9, 100%, $F$9) + CHOOSE(CONTROL!$C$27, 0.0021, 0)</f>
        <v>159.40380000000002</v>
      </c>
      <c r="G907" s="14">
        <f>159.6731 * CHOOSE(CONTROL!$C$9, $D$9, 100%, $F$9) + CHOOSE(CONTROL!$C$27, 0.0021, 0)</f>
        <v>159.67520000000002</v>
      </c>
      <c r="H907" s="14">
        <f>159.5384 * CHOOSE(CONTROL!$C$9, $D$9, 100%, $F$9) + CHOOSE(CONTROL!$C$27, 0.0021, 0)</f>
        <v>159.54050000000001</v>
      </c>
      <c r="I907" s="14">
        <f>159.5384 * CHOOSE(CONTROL!$C$9, $D$9, 100%, $F$9) + CHOOSE(CONTROL!$C$27, 0.0021, 0)</f>
        <v>159.54050000000001</v>
      </c>
      <c r="J907" s="14">
        <f>159.5384 * CHOOSE(CONTROL!$C$9, $D$9, 100%, $F$9) + CHOOSE(CONTROL!$C$27, 0.0021, 0)</f>
        <v>159.54050000000001</v>
      </c>
      <c r="K907" s="14">
        <f>159.5384 * CHOOSE(CONTROL!$C$9, $D$9, 100%, $F$9) + CHOOSE(CONTROL!$C$27, 0.0021, 0)</f>
        <v>159.54050000000001</v>
      </c>
      <c r="L907" s="14"/>
    </row>
    <row r="908" spans="1:12" ht="15.75" x14ac:dyDescent="0.25">
      <c r="A908" s="32">
        <v>68575</v>
      </c>
      <c r="B908" s="14">
        <f>154.7297 * CHOOSE(CONTROL!$C$9, $D$9, 100%, $F$9) + CHOOSE(CONTROL!$C$27, 0.0021, 0)</f>
        <v>154.73180000000002</v>
      </c>
      <c r="C908" s="14">
        <f>154.2974 * CHOOSE(CONTROL!$C$9, $D$9, 100%, $F$9) + CHOOSE(CONTROL!$C$27, 0.0021, 0)</f>
        <v>154.29950000000002</v>
      </c>
      <c r="D908" s="14">
        <f>154.2974 * CHOOSE(CONTROL!$C$9, $D$9, 100%, $F$9) + CHOOSE(CONTROL!$C$27, 0.0021, 0)</f>
        <v>154.29950000000002</v>
      </c>
      <c r="E908" s="14">
        <f>154.1608 * CHOOSE(CONTROL!$C$9, $D$9, 100%, $F$9) + CHOOSE(CONTROL!$C$27, 0.0021, 0)</f>
        <v>154.16290000000001</v>
      </c>
      <c r="F908" s="14">
        <f>154.1608 * CHOOSE(CONTROL!$C$9, $D$9, 100%, $F$9) + CHOOSE(CONTROL!$C$27, 0.0021, 0)</f>
        <v>154.16290000000001</v>
      </c>
      <c r="G908" s="14">
        <f>154.4321 * CHOOSE(CONTROL!$C$9, $D$9, 100%, $F$9) + CHOOSE(CONTROL!$C$27, 0.0021, 0)</f>
        <v>154.4342</v>
      </c>
      <c r="H908" s="14">
        <f>154.2974 * CHOOSE(CONTROL!$C$9, $D$9, 100%, $F$9) + CHOOSE(CONTROL!$C$27, 0.0021, 0)</f>
        <v>154.29950000000002</v>
      </c>
      <c r="I908" s="14">
        <f>154.2974 * CHOOSE(CONTROL!$C$9, $D$9, 100%, $F$9) + CHOOSE(CONTROL!$C$27, 0.0021, 0)</f>
        <v>154.29950000000002</v>
      </c>
      <c r="J908" s="14">
        <f>154.2974 * CHOOSE(CONTROL!$C$9, $D$9, 100%, $F$9) + CHOOSE(CONTROL!$C$27, 0.0021, 0)</f>
        <v>154.29950000000002</v>
      </c>
      <c r="K908" s="14">
        <f>154.2974 * CHOOSE(CONTROL!$C$9, $D$9, 100%, $F$9) + CHOOSE(CONTROL!$C$27, 0.0021, 0)</f>
        <v>154.29950000000002</v>
      </c>
      <c r="L908" s="14"/>
    </row>
    <row r="909" spans="1:12" ht="15.75" x14ac:dyDescent="0.25">
      <c r="A909" s="32">
        <v>68606</v>
      </c>
      <c r="B909" s="14">
        <f>149.4582 * CHOOSE(CONTROL!$C$9, $D$9, 100%, $F$9) + CHOOSE(CONTROL!$C$27, 0.0021, 0)</f>
        <v>149.46030000000002</v>
      </c>
      <c r="C909" s="14">
        <f>149.026 * CHOOSE(CONTROL!$C$9, $D$9, 100%, $F$9) + CHOOSE(CONTROL!$C$27, 0.0021, 0)</f>
        <v>149.02810000000002</v>
      </c>
      <c r="D909" s="14">
        <f>149.026 * CHOOSE(CONTROL!$C$9, $D$9, 100%, $F$9) + CHOOSE(CONTROL!$C$27, 0.0021, 0)</f>
        <v>149.02810000000002</v>
      </c>
      <c r="E909" s="14">
        <f>148.8893 * CHOOSE(CONTROL!$C$9, $D$9, 100%, $F$9) + CHOOSE(CONTROL!$C$27, 0.0021, 0)</f>
        <v>148.8914</v>
      </c>
      <c r="F909" s="14">
        <f>148.8893 * CHOOSE(CONTROL!$C$9, $D$9, 100%, $F$9) + CHOOSE(CONTROL!$C$27, 0.0021, 0)</f>
        <v>148.8914</v>
      </c>
      <c r="G909" s="14">
        <f>149.1607 * CHOOSE(CONTROL!$C$9, $D$9, 100%, $F$9) + CHOOSE(CONTROL!$C$27, 0.0021, 0)</f>
        <v>149.1628</v>
      </c>
      <c r="H909" s="14">
        <f>149.026 * CHOOSE(CONTROL!$C$9, $D$9, 100%, $F$9) + CHOOSE(CONTROL!$C$27, 0.0021, 0)</f>
        <v>149.02810000000002</v>
      </c>
      <c r="I909" s="14">
        <f>149.026 * CHOOSE(CONTROL!$C$9, $D$9, 100%, $F$9) + CHOOSE(CONTROL!$C$27, 0.0021, 0)</f>
        <v>149.02810000000002</v>
      </c>
      <c r="J909" s="14">
        <f>149.026 * CHOOSE(CONTROL!$C$9, $D$9, 100%, $F$9) + CHOOSE(CONTROL!$C$27, 0.0021, 0)</f>
        <v>149.02810000000002</v>
      </c>
      <c r="K909" s="14">
        <f>149.026 * CHOOSE(CONTROL!$C$9, $D$9, 100%, $F$9) + CHOOSE(CONTROL!$C$27, 0.0021, 0)</f>
        <v>149.02810000000002</v>
      </c>
      <c r="L909" s="14"/>
    </row>
    <row r="910" spans="1:12" ht="15.75" x14ac:dyDescent="0.25">
      <c r="A910" s="32">
        <v>68636</v>
      </c>
      <c r="B910" s="14">
        <f>148.4096 * CHOOSE(CONTROL!$C$9, $D$9, 100%, $F$9) + CHOOSE(CONTROL!$C$27, 0.0021, 0)</f>
        <v>148.41170000000002</v>
      </c>
      <c r="C910" s="14">
        <f>147.9774 * CHOOSE(CONTROL!$C$9, $D$9, 100%, $F$9) + CHOOSE(CONTROL!$C$27, 0.0021, 0)</f>
        <v>147.9795</v>
      </c>
      <c r="D910" s="14">
        <f>147.9774 * CHOOSE(CONTROL!$C$9, $D$9, 100%, $F$9) + CHOOSE(CONTROL!$C$27, 0.0021, 0)</f>
        <v>147.9795</v>
      </c>
      <c r="E910" s="14">
        <f>147.8407 * CHOOSE(CONTROL!$C$9, $D$9, 100%, $F$9) + CHOOSE(CONTROL!$C$27, 0.0021, 0)</f>
        <v>147.84280000000001</v>
      </c>
      <c r="F910" s="14">
        <f>147.8407 * CHOOSE(CONTROL!$C$9, $D$9, 100%, $F$9) + CHOOSE(CONTROL!$C$27, 0.0021, 0)</f>
        <v>147.84280000000001</v>
      </c>
      <c r="G910" s="14">
        <f>148.1121 * CHOOSE(CONTROL!$C$9, $D$9, 100%, $F$9) + CHOOSE(CONTROL!$C$27, 0.0021, 0)</f>
        <v>148.11420000000001</v>
      </c>
      <c r="H910" s="14">
        <f>147.9774 * CHOOSE(CONTROL!$C$9, $D$9, 100%, $F$9) + CHOOSE(CONTROL!$C$27, 0.0021, 0)</f>
        <v>147.9795</v>
      </c>
      <c r="I910" s="14">
        <f>147.9774 * CHOOSE(CONTROL!$C$9, $D$9, 100%, $F$9) + CHOOSE(CONTROL!$C$27, 0.0021, 0)</f>
        <v>147.9795</v>
      </c>
      <c r="J910" s="14">
        <f>147.9774 * CHOOSE(CONTROL!$C$9, $D$9, 100%, $F$9) + CHOOSE(CONTROL!$C$27, 0.0021, 0)</f>
        <v>147.9795</v>
      </c>
      <c r="K910" s="14">
        <f>147.9774 * CHOOSE(CONTROL!$C$9, $D$9, 100%, $F$9) + CHOOSE(CONTROL!$C$27, 0.0021, 0)</f>
        <v>147.9795</v>
      </c>
      <c r="L910" s="14"/>
    </row>
    <row r="911" spans="1:12" ht="15.75" x14ac:dyDescent="0.25">
      <c r="A911" s="32">
        <v>68667</v>
      </c>
      <c r="B911" s="14">
        <f>144.0736 * CHOOSE(CONTROL!$C$9, $D$9, 100%, $F$9) + CHOOSE(CONTROL!$C$27, 0.0021, 0)</f>
        <v>144.07570000000001</v>
      </c>
      <c r="C911" s="14">
        <f>143.6413 * CHOOSE(CONTROL!$C$9, $D$9, 100%, $F$9) + CHOOSE(CONTROL!$C$27, 0.0021, 0)</f>
        <v>143.64340000000001</v>
      </c>
      <c r="D911" s="14">
        <f>143.6413 * CHOOSE(CONTROL!$C$9, $D$9, 100%, $F$9) + CHOOSE(CONTROL!$C$27, 0.0021, 0)</f>
        <v>143.64340000000001</v>
      </c>
      <c r="E911" s="14">
        <f>143.5047 * CHOOSE(CONTROL!$C$9, $D$9, 100%, $F$9) + CHOOSE(CONTROL!$C$27, 0.0021, 0)</f>
        <v>143.50680000000003</v>
      </c>
      <c r="F911" s="14">
        <f>143.5047 * CHOOSE(CONTROL!$C$9, $D$9, 100%, $F$9) + CHOOSE(CONTROL!$C$27, 0.0021, 0)</f>
        <v>143.50680000000003</v>
      </c>
      <c r="G911" s="14">
        <f>143.7761 * CHOOSE(CONTROL!$C$9, $D$9, 100%, $F$9) + CHOOSE(CONTROL!$C$27, 0.0021, 0)</f>
        <v>143.77820000000003</v>
      </c>
      <c r="H911" s="14">
        <f>143.6413 * CHOOSE(CONTROL!$C$9, $D$9, 100%, $F$9) + CHOOSE(CONTROL!$C$27, 0.0021, 0)</f>
        <v>143.64340000000001</v>
      </c>
      <c r="I911" s="14">
        <f>143.6413 * CHOOSE(CONTROL!$C$9, $D$9, 100%, $F$9) + CHOOSE(CONTROL!$C$27, 0.0021, 0)</f>
        <v>143.64340000000001</v>
      </c>
      <c r="J911" s="14">
        <f>143.6413 * CHOOSE(CONTROL!$C$9, $D$9, 100%, $F$9) + CHOOSE(CONTROL!$C$27, 0.0021, 0)</f>
        <v>143.64340000000001</v>
      </c>
      <c r="K911" s="14">
        <f>143.6413 * CHOOSE(CONTROL!$C$9, $D$9, 100%, $F$9) + CHOOSE(CONTROL!$C$27, 0.0021, 0)</f>
        <v>143.64340000000001</v>
      </c>
      <c r="L911" s="14"/>
    </row>
    <row r="912" spans="1:12" ht="15.75" x14ac:dyDescent="0.25">
      <c r="A912" s="32">
        <v>68698</v>
      </c>
      <c r="B912" s="14">
        <f>143.2294 * CHOOSE(CONTROL!$C$9, $D$9, 100%, $F$9) + CHOOSE(CONTROL!$C$27, 0.0021, 0)</f>
        <v>143.23150000000001</v>
      </c>
      <c r="C912" s="14">
        <f>142.7972 * CHOOSE(CONTROL!$C$9, $D$9, 100%, $F$9) + CHOOSE(CONTROL!$C$27, 0.0021, 0)</f>
        <v>142.79930000000002</v>
      </c>
      <c r="D912" s="14">
        <f>142.7972 * CHOOSE(CONTROL!$C$9, $D$9, 100%, $F$9) + CHOOSE(CONTROL!$C$27, 0.0021, 0)</f>
        <v>142.79930000000002</v>
      </c>
      <c r="E912" s="14">
        <f>142.6605 * CHOOSE(CONTROL!$C$9, $D$9, 100%, $F$9) + CHOOSE(CONTROL!$C$27, 0.0021, 0)</f>
        <v>142.66260000000003</v>
      </c>
      <c r="F912" s="14">
        <f>142.6605 * CHOOSE(CONTROL!$C$9, $D$9, 100%, $F$9) + CHOOSE(CONTROL!$C$27, 0.0021, 0)</f>
        <v>142.66260000000003</v>
      </c>
      <c r="G912" s="14">
        <f>142.9319 * CHOOSE(CONTROL!$C$9, $D$9, 100%, $F$9) + CHOOSE(CONTROL!$C$27, 0.0021, 0)</f>
        <v>142.93400000000003</v>
      </c>
      <c r="H912" s="14">
        <f>142.7972 * CHOOSE(CONTROL!$C$9, $D$9, 100%, $F$9) + CHOOSE(CONTROL!$C$27, 0.0021, 0)</f>
        <v>142.79930000000002</v>
      </c>
      <c r="I912" s="14">
        <f>142.7972 * CHOOSE(CONTROL!$C$9, $D$9, 100%, $F$9) + CHOOSE(CONTROL!$C$27, 0.0021, 0)</f>
        <v>142.79930000000002</v>
      </c>
      <c r="J912" s="14">
        <f>142.7972 * CHOOSE(CONTROL!$C$9, $D$9, 100%, $F$9) + CHOOSE(CONTROL!$C$27, 0.0021, 0)</f>
        <v>142.79930000000002</v>
      </c>
      <c r="K912" s="14">
        <f>142.7972 * CHOOSE(CONTROL!$C$9, $D$9, 100%, $F$9) + CHOOSE(CONTROL!$C$27, 0.0021, 0)</f>
        <v>142.79930000000002</v>
      </c>
      <c r="L912" s="14"/>
    </row>
    <row r="913" spans="1:12" ht="15.75" x14ac:dyDescent="0.25">
      <c r="A913" s="32">
        <v>68727</v>
      </c>
      <c r="B913" s="14">
        <f>142.8377 * CHOOSE(CONTROL!$C$9, $D$9, 100%, $F$9) + CHOOSE(CONTROL!$C$27, 0.0021, 0)</f>
        <v>142.83980000000003</v>
      </c>
      <c r="C913" s="14">
        <f>142.4054 * CHOOSE(CONTROL!$C$9, $D$9, 100%, $F$9) + CHOOSE(CONTROL!$C$27, 0.0021, 0)</f>
        <v>142.4075</v>
      </c>
      <c r="D913" s="14">
        <f>142.4054 * CHOOSE(CONTROL!$C$9, $D$9, 100%, $F$9) + CHOOSE(CONTROL!$C$27, 0.0021, 0)</f>
        <v>142.4075</v>
      </c>
      <c r="E913" s="14">
        <f>142.2688 * CHOOSE(CONTROL!$C$9, $D$9, 100%, $F$9) + CHOOSE(CONTROL!$C$27, 0.0021, 0)</f>
        <v>142.27090000000001</v>
      </c>
      <c r="F913" s="14">
        <f>142.2688 * CHOOSE(CONTROL!$C$9, $D$9, 100%, $F$9) + CHOOSE(CONTROL!$C$27, 0.0021, 0)</f>
        <v>142.27090000000001</v>
      </c>
      <c r="G913" s="14">
        <f>142.5401 * CHOOSE(CONTROL!$C$9, $D$9, 100%, $F$9) + CHOOSE(CONTROL!$C$27, 0.0021, 0)</f>
        <v>142.54220000000001</v>
      </c>
      <c r="H913" s="14">
        <f>142.4054 * CHOOSE(CONTROL!$C$9, $D$9, 100%, $F$9) + CHOOSE(CONTROL!$C$27, 0.0021, 0)</f>
        <v>142.4075</v>
      </c>
      <c r="I913" s="14">
        <f>142.4054 * CHOOSE(CONTROL!$C$9, $D$9, 100%, $F$9) + CHOOSE(CONTROL!$C$27, 0.0021, 0)</f>
        <v>142.4075</v>
      </c>
      <c r="J913" s="14">
        <f>142.4054 * CHOOSE(CONTROL!$C$9, $D$9, 100%, $F$9) + CHOOSE(CONTROL!$C$27, 0.0021, 0)</f>
        <v>142.4075</v>
      </c>
      <c r="K913" s="14">
        <f>142.4054 * CHOOSE(CONTROL!$C$9, $D$9, 100%, $F$9) + CHOOSE(CONTROL!$C$27, 0.0021, 0)</f>
        <v>142.4075</v>
      </c>
      <c r="L913" s="14"/>
    </row>
    <row r="914" spans="1:12" ht="15.75" x14ac:dyDescent="0.25">
      <c r="A914" s="32">
        <v>68758</v>
      </c>
      <c r="B914" s="14">
        <f>150.2452 * CHOOSE(CONTROL!$C$9, $D$9, 100%, $F$9) + CHOOSE(CONTROL!$C$27, 0.0021, 0)</f>
        <v>150.24730000000002</v>
      </c>
      <c r="C914" s="14">
        <f>149.813 * CHOOSE(CONTROL!$C$9, $D$9, 100%, $F$9) + CHOOSE(CONTROL!$C$27, 0.0021, 0)</f>
        <v>149.8151</v>
      </c>
      <c r="D914" s="14">
        <f>149.813 * CHOOSE(CONTROL!$C$9, $D$9, 100%, $F$9) + CHOOSE(CONTROL!$C$27, 0.0021, 0)</f>
        <v>149.8151</v>
      </c>
      <c r="E914" s="14">
        <f>149.6763 * CHOOSE(CONTROL!$C$9, $D$9, 100%, $F$9) + CHOOSE(CONTROL!$C$27, 0.0021, 0)</f>
        <v>149.67840000000001</v>
      </c>
      <c r="F914" s="14">
        <f>149.6763 * CHOOSE(CONTROL!$C$9, $D$9, 100%, $F$9) + CHOOSE(CONTROL!$C$27, 0.0021, 0)</f>
        <v>149.67840000000001</v>
      </c>
      <c r="G914" s="14">
        <f>149.9477 * CHOOSE(CONTROL!$C$9, $D$9, 100%, $F$9) + CHOOSE(CONTROL!$C$27, 0.0021, 0)</f>
        <v>149.94980000000001</v>
      </c>
      <c r="H914" s="14">
        <f>149.813 * CHOOSE(CONTROL!$C$9, $D$9, 100%, $F$9) + CHOOSE(CONTROL!$C$27, 0.0021, 0)</f>
        <v>149.8151</v>
      </c>
      <c r="I914" s="14">
        <f>149.813 * CHOOSE(CONTROL!$C$9, $D$9, 100%, $F$9) + CHOOSE(CONTROL!$C$27, 0.0021, 0)</f>
        <v>149.8151</v>
      </c>
      <c r="J914" s="14">
        <f>149.813 * CHOOSE(CONTROL!$C$9, $D$9, 100%, $F$9) + CHOOSE(CONTROL!$C$27, 0.0021, 0)</f>
        <v>149.8151</v>
      </c>
      <c r="K914" s="14">
        <f>149.813 * CHOOSE(CONTROL!$C$9, $D$9, 100%, $F$9) + CHOOSE(CONTROL!$C$27, 0.0021, 0)</f>
        <v>149.8151</v>
      </c>
      <c r="L914" s="14"/>
    </row>
    <row r="915" spans="1:12" ht="15.75" x14ac:dyDescent="0.25">
      <c r="A915" s="32">
        <v>68788</v>
      </c>
      <c r="B915" s="14">
        <f>159.851 * CHOOSE(CONTROL!$C$9, $D$9, 100%, $F$9) + CHOOSE(CONTROL!$C$27, 0.0021, 0)</f>
        <v>159.85310000000001</v>
      </c>
      <c r="C915" s="14">
        <f>159.4188 * CHOOSE(CONTROL!$C$9, $D$9, 100%, $F$9) + CHOOSE(CONTROL!$C$27, 0.0021, 0)</f>
        <v>159.42090000000002</v>
      </c>
      <c r="D915" s="14">
        <f>159.4188 * CHOOSE(CONTROL!$C$9, $D$9, 100%, $F$9) + CHOOSE(CONTROL!$C$27, 0.0021, 0)</f>
        <v>159.42090000000002</v>
      </c>
      <c r="E915" s="14">
        <f>159.2821 * CHOOSE(CONTROL!$C$9, $D$9, 100%, $F$9) + CHOOSE(CONTROL!$C$27, 0.0021, 0)</f>
        <v>159.28420000000003</v>
      </c>
      <c r="F915" s="14">
        <f>159.2821 * CHOOSE(CONTROL!$C$9, $D$9, 100%, $F$9) + CHOOSE(CONTROL!$C$27, 0.0021, 0)</f>
        <v>159.28420000000003</v>
      </c>
      <c r="G915" s="14">
        <f>159.5535 * CHOOSE(CONTROL!$C$9, $D$9, 100%, $F$9) + CHOOSE(CONTROL!$C$27, 0.0021, 0)</f>
        <v>159.55560000000003</v>
      </c>
      <c r="H915" s="14">
        <f>159.4188 * CHOOSE(CONTROL!$C$9, $D$9, 100%, $F$9) + CHOOSE(CONTROL!$C$27, 0.0021, 0)</f>
        <v>159.42090000000002</v>
      </c>
      <c r="I915" s="14">
        <f>159.4188 * CHOOSE(CONTROL!$C$9, $D$9, 100%, $F$9) + CHOOSE(CONTROL!$C$27, 0.0021, 0)</f>
        <v>159.42090000000002</v>
      </c>
      <c r="J915" s="14">
        <f>159.4188 * CHOOSE(CONTROL!$C$9, $D$9, 100%, $F$9) + CHOOSE(CONTROL!$C$27, 0.0021, 0)</f>
        <v>159.42090000000002</v>
      </c>
      <c r="K915" s="14">
        <f>159.4188 * CHOOSE(CONTROL!$C$9, $D$9, 100%, $F$9) + CHOOSE(CONTROL!$C$27, 0.0021, 0)</f>
        <v>159.42090000000002</v>
      </c>
      <c r="L915" s="14"/>
    </row>
    <row r="916" spans="1:12" ht="15.75" x14ac:dyDescent="0.25">
      <c r="A916" s="32">
        <v>68819</v>
      </c>
      <c r="B916" s="14">
        <f>165.1384 * CHOOSE(CONTROL!$C$9, $D$9, 100%, $F$9) + CHOOSE(CONTROL!$C$27, 0.0021, 0)</f>
        <v>165.1405</v>
      </c>
      <c r="C916" s="14">
        <f>164.7061 * CHOOSE(CONTROL!$C$9, $D$9, 100%, $F$9) + CHOOSE(CONTROL!$C$27, 0.0021, 0)</f>
        <v>164.70820000000001</v>
      </c>
      <c r="D916" s="14">
        <f>164.7061 * CHOOSE(CONTROL!$C$9, $D$9, 100%, $F$9) + CHOOSE(CONTROL!$C$27, 0.0021, 0)</f>
        <v>164.70820000000001</v>
      </c>
      <c r="E916" s="14">
        <f>164.5695 * CHOOSE(CONTROL!$C$9, $D$9, 100%, $F$9) + CHOOSE(CONTROL!$C$27, 0.0021, 0)</f>
        <v>164.57160000000002</v>
      </c>
      <c r="F916" s="14">
        <f>164.5695 * CHOOSE(CONTROL!$C$9, $D$9, 100%, $F$9) + CHOOSE(CONTROL!$C$27, 0.0021, 0)</f>
        <v>164.57160000000002</v>
      </c>
      <c r="G916" s="14">
        <f>164.8409 * CHOOSE(CONTROL!$C$9, $D$9, 100%, $F$9) + CHOOSE(CONTROL!$C$27, 0.0021, 0)</f>
        <v>164.84300000000002</v>
      </c>
      <c r="H916" s="14">
        <f>164.7061 * CHOOSE(CONTROL!$C$9, $D$9, 100%, $F$9) + CHOOSE(CONTROL!$C$27, 0.0021, 0)</f>
        <v>164.70820000000001</v>
      </c>
      <c r="I916" s="14">
        <f>164.7061 * CHOOSE(CONTROL!$C$9, $D$9, 100%, $F$9) + CHOOSE(CONTROL!$C$27, 0.0021, 0)</f>
        <v>164.70820000000001</v>
      </c>
      <c r="J916" s="14">
        <f>164.7061 * CHOOSE(CONTROL!$C$9, $D$9, 100%, $F$9) + CHOOSE(CONTROL!$C$27, 0.0021, 0)</f>
        <v>164.70820000000001</v>
      </c>
      <c r="K916" s="14">
        <f>164.7061 * CHOOSE(CONTROL!$C$9, $D$9, 100%, $F$9) + CHOOSE(CONTROL!$C$27, 0.0021, 0)</f>
        <v>164.70820000000001</v>
      </c>
      <c r="L916" s="14"/>
    </row>
    <row r="917" spans="1:12" ht="15.75" x14ac:dyDescent="0.25">
      <c r="A917" s="32">
        <v>68849</v>
      </c>
      <c r="B917" s="14">
        <f>167.4848 * CHOOSE(CONTROL!$C$9, $D$9, 100%, $F$9) + CHOOSE(CONTROL!$C$27, 0.0021, 0)</f>
        <v>167.48690000000002</v>
      </c>
      <c r="C917" s="14">
        <f>167.0526 * CHOOSE(CONTROL!$C$9, $D$9, 100%, $F$9) + CHOOSE(CONTROL!$C$27, 0.0021, 0)</f>
        <v>167.05470000000003</v>
      </c>
      <c r="D917" s="14">
        <f>167.0526 * CHOOSE(CONTROL!$C$9, $D$9, 100%, $F$9) + CHOOSE(CONTROL!$C$27, 0.0021, 0)</f>
        <v>167.05470000000003</v>
      </c>
      <c r="E917" s="14">
        <f>166.9159 * CHOOSE(CONTROL!$C$9, $D$9, 100%, $F$9) + CHOOSE(CONTROL!$C$27, 0.0021, 0)</f>
        <v>166.91800000000001</v>
      </c>
      <c r="F917" s="14">
        <f>166.9159 * CHOOSE(CONTROL!$C$9, $D$9, 100%, $F$9) + CHOOSE(CONTROL!$C$27, 0.0021, 0)</f>
        <v>166.91800000000001</v>
      </c>
      <c r="G917" s="14">
        <f>167.1873 * CHOOSE(CONTROL!$C$9, $D$9, 100%, $F$9) + CHOOSE(CONTROL!$C$27, 0.0021, 0)</f>
        <v>167.18940000000001</v>
      </c>
      <c r="H917" s="14">
        <f>167.0526 * CHOOSE(CONTROL!$C$9, $D$9, 100%, $F$9) + CHOOSE(CONTROL!$C$27, 0.0021, 0)</f>
        <v>167.05470000000003</v>
      </c>
      <c r="I917" s="14">
        <f>167.0526 * CHOOSE(CONTROL!$C$9, $D$9, 100%, $F$9) + CHOOSE(CONTROL!$C$27, 0.0021, 0)</f>
        <v>167.05470000000003</v>
      </c>
      <c r="J917" s="14">
        <f>167.0526 * CHOOSE(CONTROL!$C$9, $D$9, 100%, $F$9) + CHOOSE(CONTROL!$C$27, 0.0021, 0)</f>
        <v>167.05470000000003</v>
      </c>
      <c r="K917" s="14">
        <f>167.0526 * CHOOSE(CONTROL!$C$9, $D$9, 100%, $F$9) + CHOOSE(CONTROL!$C$27, 0.0021, 0)</f>
        <v>167.05470000000003</v>
      </c>
      <c r="L917" s="14"/>
    </row>
    <row r="918" spans="1:12" ht="15.75" x14ac:dyDescent="0.25">
      <c r="A918" s="32">
        <v>68880</v>
      </c>
      <c r="B918" s="14">
        <f>166.7123 * CHOOSE(CONTROL!$C$9, $D$9, 100%, $F$9) + CHOOSE(CONTROL!$C$27, 0.0021, 0)</f>
        <v>166.71440000000001</v>
      </c>
      <c r="C918" s="14">
        <f>166.28 * CHOOSE(CONTROL!$C$9, $D$9, 100%, $F$9) + CHOOSE(CONTROL!$C$27, 0.0021, 0)</f>
        <v>166.28210000000001</v>
      </c>
      <c r="D918" s="14">
        <f>166.28 * CHOOSE(CONTROL!$C$9, $D$9, 100%, $F$9) + CHOOSE(CONTROL!$C$27, 0.0021, 0)</f>
        <v>166.28210000000001</v>
      </c>
      <c r="E918" s="14">
        <f>166.1434 * CHOOSE(CONTROL!$C$9, $D$9, 100%, $F$9) + CHOOSE(CONTROL!$C$27, 0.0021, 0)</f>
        <v>166.14550000000003</v>
      </c>
      <c r="F918" s="14">
        <f>166.1434 * CHOOSE(CONTROL!$C$9, $D$9, 100%, $F$9) + CHOOSE(CONTROL!$C$27, 0.0021, 0)</f>
        <v>166.14550000000003</v>
      </c>
      <c r="G918" s="14">
        <f>166.4147 * CHOOSE(CONTROL!$C$9, $D$9, 100%, $F$9) + CHOOSE(CONTROL!$C$27, 0.0021, 0)</f>
        <v>166.41680000000002</v>
      </c>
      <c r="H918" s="14">
        <f>166.28 * CHOOSE(CONTROL!$C$9, $D$9, 100%, $F$9) + CHOOSE(CONTROL!$C$27, 0.0021, 0)</f>
        <v>166.28210000000001</v>
      </c>
      <c r="I918" s="14">
        <f>166.28 * CHOOSE(CONTROL!$C$9, $D$9, 100%, $F$9) + CHOOSE(CONTROL!$C$27, 0.0021, 0)</f>
        <v>166.28210000000001</v>
      </c>
      <c r="J918" s="14">
        <f>166.28 * CHOOSE(CONTROL!$C$9, $D$9, 100%, $F$9) + CHOOSE(CONTROL!$C$27, 0.0021, 0)</f>
        <v>166.28210000000001</v>
      </c>
      <c r="K918" s="14">
        <f>166.28 * CHOOSE(CONTROL!$C$9, $D$9, 100%, $F$9) + CHOOSE(CONTROL!$C$27, 0.0021, 0)</f>
        <v>166.28210000000001</v>
      </c>
      <c r="L918" s="14"/>
    </row>
    <row r="919" spans="1:12" ht="15.75" x14ac:dyDescent="0.25">
      <c r="A919" s="32">
        <v>68911</v>
      </c>
      <c r="B919" s="14">
        <f>162.8846 * CHOOSE(CONTROL!$C$9, $D$9, 100%, $F$9) + CHOOSE(CONTROL!$C$27, 0.0021, 0)</f>
        <v>162.88670000000002</v>
      </c>
      <c r="C919" s="14">
        <f>162.4524 * CHOOSE(CONTROL!$C$9, $D$9, 100%, $F$9) + CHOOSE(CONTROL!$C$27, 0.0021, 0)</f>
        <v>162.45450000000002</v>
      </c>
      <c r="D919" s="14">
        <f>162.4524 * CHOOSE(CONTROL!$C$9, $D$9, 100%, $F$9) + CHOOSE(CONTROL!$C$27, 0.0021, 0)</f>
        <v>162.45450000000002</v>
      </c>
      <c r="E919" s="14">
        <f>162.3157 * CHOOSE(CONTROL!$C$9, $D$9, 100%, $F$9) + CHOOSE(CONTROL!$C$27, 0.0021, 0)</f>
        <v>162.31780000000001</v>
      </c>
      <c r="F919" s="14">
        <f>162.3157 * CHOOSE(CONTROL!$C$9, $D$9, 100%, $F$9) + CHOOSE(CONTROL!$C$27, 0.0021, 0)</f>
        <v>162.31780000000001</v>
      </c>
      <c r="G919" s="14">
        <f>162.5871 * CHOOSE(CONTROL!$C$9, $D$9, 100%, $F$9) + CHOOSE(CONTROL!$C$27, 0.0021, 0)</f>
        <v>162.58920000000001</v>
      </c>
      <c r="H919" s="14">
        <f>162.4524 * CHOOSE(CONTROL!$C$9, $D$9, 100%, $F$9) + CHOOSE(CONTROL!$C$27, 0.0021, 0)</f>
        <v>162.45450000000002</v>
      </c>
      <c r="I919" s="14">
        <f>162.4524 * CHOOSE(CONTROL!$C$9, $D$9, 100%, $F$9) + CHOOSE(CONTROL!$C$27, 0.0021, 0)</f>
        <v>162.45450000000002</v>
      </c>
      <c r="J919" s="14">
        <f>162.4524 * CHOOSE(CONTROL!$C$9, $D$9, 100%, $F$9) + CHOOSE(CONTROL!$C$27, 0.0021, 0)</f>
        <v>162.45450000000002</v>
      </c>
      <c r="K919" s="14">
        <f>162.4524 * CHOOSE(CONTROL!$C$9, $D$9, 100%, $F$9) + CHOOSE(CONTROL!$C$27, 0.0021, 0)</f>
        <v>162.45450000000002</v>
      </c>
      <c r="L919" s="14"/>
    </row>
    <row r="920" spans="1:12" ht="15.75" x14ac:dyDescent="0.25">
      <c r="A920" s="32">
        <v>68941</v>
      </c>
      <c r="B920" s="14">
        <f>157.5468 * CHOOSE(CONTROL!$C$9, $D$9, 100%, $F$9) + CHOOSE(CONTROL!$C$27, 0.0021, 0)</f>
        <v>157.5489</v>
      </c>
      <c r="C920" s="14">
        <f>157.1146 * CHOOSE(CONTROL!$C$9, $D$9, 100%, $F$9) + CHOOSE(CONTROL!$C$27, 0.0021, 0)</f>
        <v>157.11670000000001</v>
      </c>
      <c r="D920" s="14">
        <f>157.1146 * CHOOSE(CONTROL!$C$9, $D$9, 100%, $F$9) + CHOOSE(CONTROL!$C$27, 0.0021, 0)</f>
        <v>157.11670000000001</v>
      </c>
      <c r="E920" s="14">
        <f>156.9779 * CHOOSE(CONTROL!$C$9, $D$9, 100%, $F$9) + CHOOSE(CONTROL!$C$27, 0.0021, 0)</f>
        <v>156.98000000000002</v>
      </c>
      <c r="F920" s="14">
        <f>156.9779 * CHOOSE(CONTROL!$C$9, $D$9, 100%, $F$9) + CHOOSE(CONTROL!$C$27, 0.0021, 0)</f>
        <v>156.98000000000002</v>
      </c>
      <c r="G920" s="14">
        <f>157.2493 * CHOOSE(CONTROL!$C$9, $D$9, 100%, $F$9) + CHOOSE(CONTROL!$C$27, 0.0021, 0)</f>
        <v>157.25140000000002</v>
      </c>
      <c r="H920" s="14">
        <f>157.1146 * CHOOSE(CONTROL!$C$9, $D$9, 100%, $F$9) + CHOOSE(CONTROL!$C$27, 0.0021, 0)</f>
        <v>157.11670000000001</v>
      </c>
      <c r="I920" s="14">
        <f>157.1146 * CHOOSE(CONTROL!$C$9, $D$9, 100%, $F$9) + CHOOSE(CONTROL!$C$27, 0.0021, 0)</f>
        <v>157.11670000000001</v>
      </c>
      <c r="J920" s="14">
        <f>157.1146 * CHOOSE(CONTROL!$C$9, $D$9, 100%, $F$9) + CHOOSE(CONTROL!$C$27, 0.0021, 0)</f>
        <v>157.11670000000001</v>
      </c>
      <c r="K920" s="14">
        <f>157.1146 * CHOOSE(CONTROL!$C$9, $D$9, 100%, $F$9) + CHOOSE(CONTROL!$C$27, 0.0021, 0)</f>
        <v>157.11670000000001</v>
      </c>
      <c r="L920" s="14"/>
    </row>
    <row r="921" spans="1:12" ht="15.75" x14ac:dyDescent="0.25">
      <c r="A921" s="32">
        <v>68972</v>
      </c>
      <c r="B921" s="14">
        <f>152.178 * CHOOSE(CONTROL!$C$9, $D$9, 100%, $F$9) + CHOOSE(CONTROL!$C$27, 0.0021, 0)</f>
        <v>152.18010000000001</v>
      </c>
      <c r="C921" s="14">
        <f>151.7457 * CHOOSE(CONTROL!$C$9, $D$9, 100%, $F$9) + CHOOSE(CONTROL!$C$27, 0.0021, 0)</f>
        <v>151.74780000000001</v>
      </c>
      <c r="D921" s="14">
        <f>151.7457 * CHOOSE(CONTROL!$C$9, $D$9, 100%, $F$9) + CHOOSE(CONTROL!$C$27, 0.0021, 0)</f>
        <v>151.74780000000001</v>
      </c>
      <c r="E921" s="14">
        <f>151.6091 * CHOOSE(CONTROL!$C$9, $D$9, 100%, $F$9) + CHOOSE(CONTROL!$C$27, 0.0021, 0)</f>
        <v>151.61120000000003</v>
      </c>
      <c r="F921" s="14">
        <f>151.6091 * CHOOSE(CONTROL!$C$9, $D$9, 100%, $F$9) + CHOOSE(CONTROL!$C$27, 0.0021, 0)</f>
        <v>151.61120000000003</v>
      </c>
      <c r="G921" s="14">
        <f>151.8804 * CHOOSE(CONTROL!$C$9, $D$9, 100%, $F$9) + CHOOSE(CONTROL!$C$27, 0.0021, 0)</f>
        <v>151.88250000000002</v>
      </c>
      <c r="H921" s="14">
        <f>151.7457 * CHOOSE(CONTROL!$C$9, $D$9, 100%, $F$9) + CHOOSE(CONTROL!$C$27, 0.0021, 0)</f>
        <v>151.74780000000001</v>
      </c>
      <c r="I921" s="14">
        <f>151.7457 * CHOOSE(CONTROL!$C$9, $D$9, 100%, $F$9) + CHOOSE(CONTROL!$C$27, 0.0021, 0)</f>
        <v>151.74780000000001</v>
      </c>
      <c r="J921" s="14">
        <f>151.7457 * CHOOSE(CONTROL!$C$9, $D$9, 100%, $F$9) + CHOOSE(CONTROL!$C$27, 0.0021, 0)</f>
        <v>151.74780000000001</v>
      </c>
      <c r="K921" s="14">
        <f>151.7457 * CHOOSE(CONTROL!$C$9, $D$9, 100%, $F$9) + CHOOSE(CONTROL!$C$27, 0.0021, 0)</f>
        <v>151.74780000000001</v>
      </c>
      <c r="L921" s="14"/>
    </row>
    <row r="922" spans="1:12" ht="15.75" x14ac:dyDescent="0.25">
      <c r="A922" s="32">
        <v>69002</v>
      </c>
      <c r="B922" s="14">
        <f>151.11 * CHOOSE(CONTROL!$C$9, $D$9, 100%, $F$9) + CHOOSE(CONTROL!$C$27, 0.0021, 0)</f>
        <v>151.11210000000003</v>
      </c>
      <c r="C922" s="14">
        <f>150.6777 * CHOOSE(CONTROL!$C$9, $D$9, 100%, $F$9) + CHOOSE(CONTROL!$C$27, 0.0021, 0)</f>
        <v>150.6798</v>
      </c>
      <c r="D922" s="14">
        <f>150.6777 * CHOOSE(CONTROL!$C$9, $D$9, 100%, $F$9) + CHOOSE(CONTROL!$C$27, 0.0021, 0)</f>
        <v>150.6798</v>
      </c>
      <c r="E922" s="14">
        <f>150.5411 * CHOOSE(CONTROL!$C$9, $D$9, 100%, $F$9) + CHOOSE(CONTROL!$C$27, 0.0021, 0)</f>
        <v>150.54320000000001</v>
      </c>
      <c r="F922" s="14">
        <f>150.5411 * CHOOSE(CONTROL!$C$9, $D$9, 100%, $F$9) + CHOOSE(CONTROL!$C$27, 0.0021, 0)</f>
        <v>150.54320000000001</v>
      </c>
      <c r="G922" s="14">
        <f>150.8125 * CHOOSE(CONTROL!$C$9, $D$9, 100%, $F$9) + CHOOSE(CONTROL!$C$27, 0.0021, 0)</f>
        <v>150.81460000000001</v>
      </c>
      <c r="H922" s="14">
        <f>150.6777 * CHOOSE(CONTROL!$C$9, $D$9, 100%, $F$9) + CHOOSE(CONTROL!$C$27, 0.0021, 0)</f>
        <v>150.6798</v>
      </c>
      <c r="I922" s="14">
        <f>150.6777 * CHOOSE(CONTROL!$C$9, $D$9, 100%, $F$9) + CHOOSE(CONTROL!$C$27, 0.0021, 0)</f>
        <v>150.6798</v>
      </c>
      <c r="J922" s="14">
        <f>150.6777 * CHOOSE(CONTROL!$C$9, $D$9, 100%, $F$9) + CHOOSE(CONTROL!$C$27, 0.0021, 0)</f>
        <v>150.6798</v>
      </c>
      <c r="K922" s="14">
        <f>150.6777 * CHOOSE(CONTROL!$C$9, $D$9, 100%, $F$9) + CHOOSE(CONTROL!$C$27, 0.0021, 0)</f>
        <v>150.6798</v>
      </c>
      <c r="L922" s="14"/>
    </row>
    <row r="923" spans="1:12" ht="15.75" x14ac:dyDescent="0.25">
      <c r="A923" s="32">
        <v>69033</v>
      </c>
      <c r="B923" s="14">
        <f>146.6938 * CHOOSE(CONTROL!$C$9, $D$9, 100%, $F$9) + CHOOSE(CONTROL!$C$27, 0.0021, 0)</f>
        <v>146.69590000000002</v>
      </c>
      <c r="C923" s="14">
        <f>146.2616 * CHOOSE(CONTROL!$C$9, $D$9, 100%, $F$9) + CHOOSE(CONTROL!$C$27, 0.0021, 0)</f>
        <v>146.2637</v>
      </c>
      <c r="D923" s="14">
        <f>146.2616 * CHOOSE(CONTROL!$C$9, $D$9, 100%, $F$9) + CHOOSE(CONTROL!$C$27, 0.0021, 0)</f>
        <v>146.2637</v>
      </c>
      <c r="E923" s="14">
        <f>146.1249 * CHOOSE(CONTROL!$C$9, $D$9, 100%, $F$9) + CHOOSE(CONTROL!$C$27, 0.0021, 0)</f>
        <v>146.12700000000001</v>
      </c>
      <c r="F923" s="14">
        <f>146.1249 * CHOOSE(CONTROL!$C$9, $D$9, 100%, $F$9) + CHOOSE(CONTROL!$C$27, 0.0021, 0)</f>
        <v>146.12700000000001</v>
      </c>
      <c r="G923" s="14">
        <f>146.3963 * CHOOSE(CONTROL!$C$9, $D$9, 100%, $F$9) + CHOOSE(CONTROL!$C$27, 0.0021, 0)</f>
        <v>146.39840000000001</v>
      </c>
      <c r="H923" s="14">
        <f>146.2616 * CHOOSE(CONTROL!$C$9, $D$9, 100%, $F$9) + CHOOSE(CONTROL!$C$27, 0.0021, 0)</f>
        <v>146.2637</v>
      </c>
      <c r="I923" s="14">
        <f>146.2616 * CHOOSE(CONTROL!$C$9, $D$9, 100%, $F$9) + CHOOSE(CONTROL!$C$27, 0.0021, 0)</f>
        <v>146.2637</v>
      </c>
      <c r="J923" s="14">
        <f>146.2616 * CHOOSE(CONTROL!$C$9, $D$9, 100%, $F$9) + CHOOSE(CONTROL!$C$27, 0.0021, 0)</f>
        <v>146.2637</v>
      </c>
      <c r="K923" s="14">
        <f>146.2616 * CHOOSE(CONTROL!$C$9, $D$9, 100%, $F$9) + CHOOSE(CONTROL!$C$27, 0.0021, 0)</f>
        <v>146.2637</v>
      </c>
      <c r="L923" s="14"/>
    </row>
    <row r="924" spans="1:12" ht="15.75" x14ac:dyDescent="0.25">
      <c r="A924" s="32">
        <v>69064</v>
      </c>
      <c r="B924" s="14">
        <f>145.834 * CHOOSE(CONTROL!$C$9, $D$9, 100%, $F$9) + CHOOSE(CONTROL!$C$27, 0.0021, 0)</f>
        <v>145.83610000000002</v>
      </c>
      <c r="C924" s="14">
        <f>145.4018 * CHOOSE(CONTROL!$C$9, $D$9, 100%, $F$9) + CHOOSE(CONTROL!$C$27, 0.0021, 0)</f>
        <v>145.40390000000002</v>
      </c>
      <c r="D924" s="14">
        <f>145.4018 * CHOOSE(CONTROL!$C$9, $D$9, 100%, $F$9) + CHOOSE(CONTROL!$C$27, 0.0021, 0)</f>
        <v>145.40390000000002</v>
      </c>
      <c r="E924" s="14">
        <f>145.2651 * CHOOSE(CONTROL!$C$9, $D$9, 100%, $F$9) + CHOOSE(CONTROL!$C$27, 0.0021, 0)</f>
        <v>145.2672</v>
      </c>
      <c r="F924" s="14">
        <f>145.2651 * CHOOSE(CONTROL!$C$9, $D$9, 100%, $F$9) + CHOOSE(CONTROL!$C$27, 0.0021, 0)</f>
        <v>145.2672</v>
      </c>
      <c r="G924" s="14">
        <f>145.5365 * CHOOSE(CONTROL!$C$9, $D$9, 100%, $F$9) + CHOOSE(CONTROL!$C$27, 0.0021, 0)</f>
        <v>145.5386</v>
      </c>
      <c r="H924" s="14">
        <f>145.4018 * CHOOSE(CONTROL!$C$9, $D$9, 100%, $F$9) + CHOOSE(CONTROL!$C$27, 0.0021, 0)</f>
        <v>145.40390000000002</v>
      </c>
      <c r="I924" s="14">
        <f>145.4018 * CHOOSE(CONTROL!$C$9, $D$9, 100%, $F$9) + CHOOSE(CONTROL!$C$27, 0.0021, 0)</f>
        <v>145.40390000000002</v>
      </c>
      <c r="J924" s="14">
        <f>145.4018 * CHOOSE(CONTROL!$C$9, $D$9, 100%, $F$9) + CHOOSE(CONTROL!$C$27, 0.0021, 0)</f>
        <v>145.40390000000002</v>
      </c>
      <c r="K924" s="14">
        <f>145.4018 * CHOOSE(CONTROL!$C$9, $D$9, 100%, $F$9) + CHOOSE(CONTROL!$C$27, 0.0021, 0)</f>
        <v>145.40390000000002</v>
      </c>
      <c r="L924" s="14"/>
    </row>
    <row r="925" spans="1:12" ht="15.75" x14ac:dyDescent="0.25">
      <c r="A925" s="32">
        <v>69092</v>
      </c>
      <c r="B925" s="14">
        <f>145.435 * CHOOSE(CONTROL!$C$9, $D$9, 100%, $F$9) + CHOOSE(CONTROL!$C$27, 0.0021, 0)</f>
        <v>145.43710000000002</v>
      </c>
      <c r="C925" s="14">
        <f>145.0028 * CHOOSE(CONTROL!$C$9, $D$9, 100%, $F$9) + CHOOSE(CONTROL!$C$27, 0.0021, 0)</f>
        <v>145.00490000000002</v>
      </c>
      <c r="D925" s="14">
        <f>145.0028 * CHOOSE(CONTROL!$C$9, $D$9, 100%, $F$9) + CHOOSE(CONTROL!$C$27, 0.0021, 0)</f>
        <v>145.00490000000002</v>
      </c>
      <c r="E925" s="14">
        <f>144.8661 * CHOOSE(CONTROL!$C$9, $D$9, 100%, $F$9) + CHOOSE(CONTROL!$C$27, 0.0021, 0)</f>
        <v>144.8682</v>
      </c>
      <c r="F925" s="14">
        <f>144.8661 * CHOOSE(CONTROL!$C$9, $D$9, 100%, $F$9) + CHOOSE(CONTROL!$C$27, 0.0021, 0)</f>
        <v>144.8682</v>
      </c>
      <c r="G925" s="14">
        <f>145.1375 * CHOOSE(CONTROL!$C$9, $D$9, 100%, $F$9) + CHOOSE(CONTROL!$C$27, 0.0021, 0)</f>
        <v>145.1396</v>
      </c>
      <c r="H925" s="14">
        <f>145.0028 * CHOOSE(CONTROL!$C$9, $D$9, 100%, $F$9) + CHOOSE(CONTROL!$C$27, 0.0021, 0)</f>
        <v>145.00490000000002</v>
      </c>
      <c r="I925" s="14">
        <f>145.0028 * CHOOSE(CONTROL!$C$9, $D$9, 100%, $F$9) + CHOOSE(CONTROL!$C$27, 0.0021, 0)</f>
        <v>145.00490000000002</v>
      </c>
      <c r="J925" s="14">
        <f>145.0028 * CHOOSE(CONTROL!$C$9, $D$9, 100%, $F$9) + CHOOSE(CONTROL!$C$27, 0.0021, 0)</f>
        <v>145.00490000000002</v>
      </c>
      <c r="K925" s="14">
        <f>145.0028 * CHOOSE(CONTROL!$C$9, $D$9, 100%, $F$9) + CHOOSE(CONTROL!$C$27, 0.0021, 0)</f>
        <v>145.00490000000002</v>
      </c>
      <c r="L925" s="14"/>
    </row>
    <row r="926" spans="1:12" ht="15.75" x14ac:dyDescent="0.25">
      <c r="A926" s="32">
        <v>69123</v>
      </c>
      <c r="B926" s="14">
        <f>152.9795 * CHOOSE(CONTROL!$C$9, $D$9, 100%, $F$9) + CHOOSE(CONTROL!$C$27, 0.0021, 0)</f>
        <v>152.98160000000001</v>
      </c>
      <c r="C926" s="14">
        <f>152.5472 * CHOOSE(CONTROL!$C$9, $D$9, 100%, $F$9) + CHOOSE(CONTROL!$C$27, 0.0021, 0)</f>
        <v>152.54930000000002</v>
      </c>
      <c r="D926" s="14">
        <f>152.5472 * CHOOSE(CONTROL!$C$9, $D$9, 100%, $F$9) + CHOOSE(CONTROL!$C$27, 0.0021, 0)</f>
        <v>152.54930000000002</v>
      </c>
      <c r="E926" s="14">
        <f>152.4106 * CHOOSE(CONTROL!$C$9, $D$9, 100%, $F$9) + CHOOSE(CONTROL!$C$27, 0.0021, 0)</f>
        <v>152.4127</v>
      </c>
      <c r="F926" s="14">
        <f>152.4106 * CHOOSE(CONTROL!$C$9, $D$9, 100%, $F$9) + CHOOSE(CONTROL!$C$27, 0.0021, 0)</f>
        <v>152.4127</v>
      </c>
      <c r="G926" s="14">
        <f>152.682 * CHOOSE(CONTROL!$C$9, $D$9, 100%, $F$9) + CHOOSE(CONTROL!$C$27, 0.0021, 0)</f>
        <v>152.6841</v>
      </c>
      <c r="H926" s="14">
        <f>152.5472 * CHOOSE(CONTROL!$C$9, $D$9, 100%, $F$9) + CHOOSE(CONTROL!$C$27, 0.0021, 0)</f>
        <v>152.54930000000002</v>
      </c>
      <c r="I926" s="14">
        <f>152.5472 * CHOOSE(CONTROL!$C$9, $D$9, 100%, $F$9) + CHOOSE(CONTROL!$C$27, 0.0021, 0)</f>
        <v>152.54930000000002</v>
      </c>
      <c r="J926" s="14">
        <f>152.5472 * CHOOSE(CONTROL!$C$9, $D$9, 100%, $F$9) + CHOOSE(CONTROL!$C$27, 0.0021, 0)</f>
        <v>152.54930000000002</v>
      </c>
      <c r="K926" s="14">
        <f>152.5472 * CHOOSE(CONTROL!$C$9, $D$9, 100%, $F$9) + CHOOSE(CONTROL!$C$27, 0.0021, 0)</f>
        <v>152.54930000000002</v>
      </c>
      <c r="L926" s="14"/>
    </row>
    <row r="927" spans="1:12" ht="15.75" x14ac:dyDescent="0.25">
      <c r="A927" s="32">
        <v>69153</v>
      </c>
      <c r="B927" s="14">
        <f>162.7628 * CHOOSE(CONTROL!$C$9, $D$9, 100%, $F$9) + CHOOSE(CONTROL!$C$27, 0.0021, 0)</f>
        <v>162.76490000000001</v>
      </c>
      <c r="C927" s="14">
        <f>162.3306 * CHOOSE(CONTROL!$C$9, $D$9, 100%, $F$9) + CHOOSE(CONTROL!$C$27, 0.0021, 0)</f>
        <v>162.33270000000002</v>
      </c>
      <c r="D927" s="14">
        <f>162.3306 * CHOOSE(CONTROL!$C$9, $D$9, 100%, $F$9) + CHOOSE(CONTROL!$C$27, 0.0021, 0)</f>
        <v>162.33270000000002</v>
      </c>
      <c r="E927" s="14">
        <f>162.1939 * CHOOSE(CONTROL!$C$9, $D$9, 100%, $F$9) + CHOOSE(CONTROL!$C$27, 0.0021, 0)</f>
        <v>162.19600000000003</v>
      </c>
      <c r="F927" s="14">
        <f>162.1939 * CHOOSE(CONTROL!$C$9, $D$9, 100%, $F$9) + CHOOSE(CONTROL!$C$27, 0.0021, 0)</f>
        <v>162.19600000000003</v>
      </c>
      <c r="G927" s="14">
        <f>162.4653 * CHOOSE(CONTROL!$C$9, $D$9, 100%, $F$9) + CHOOSE(CONTROL!$C$27, 0.0021, 0)</f>
        <v>162.46740000000003</v>
      </c>
      <c r="H927" s="14">
        <f>162.3306 * CHOOSE(CONTROL!$C$9, $D$9, 100%, $F$9) + CHOOSE(CONTROL!$C$27, 0.0021, 0)</f>
        <v>162.33270000000002</v>
      </c>
      <c r="I927" s="14">
        <f>162.3306 * CHOOSE(CONTROL!$C$9, $D$9, 100%, $F$9) + CHOOSE(CONTROL!$C$27, 0.0021, 0)</f>
        <v>162.33270000000002</v>
      </c>
      <c r="J927" s="14">
        <f>162.3306 * CHOOSE(CONTROL!$C$9, $D$9, 100%, $F$9) + CHOOSE(CONTROL!$C$27, 0.0021, 0)</f>
        <v>162.33270000000002</v>
      </c>
      <c r="K927" s="14">
        <f>162.3306 * CHOOSE(CONTROL!$C$9, $D$9, 100%, $F$9) + CHOOSE(CONTROL!$C$27, 0.0021, 0)</f>
        <v>162.33270000000002</v>
      </c>
      <c r="L927" s="14"/>
    </row>
    <row r="928" spans="1:12" ht="15.75" x14ac:dyDescent="0.25">
      <c r="A928" s="32">
        <v>69184</v>
      </c>
      <c r="B928" s="14">
        <f>168.1479 * CHOOSE(CONTROL!$C$9, $D$9, 100%, $F$9) + CHOOSE(CONTROL!$C$27, 0.0021, 0)</f>
        <v>168.15</v>
      </c>
      <c r="C928" s="14">
        <f>167.7157 * CHOOSE(CONTROL!$C$9, $D$9, 100%, $F$9) + CHOOSE(CONTROL!$C$27, 0.0021, 0)</f>
        <v>167.71780000000001</v>
      </c>
      <c r="D928" s="14">
        <f>167.7157 * CHOOSE(CONTROL!$C$9, $D$9, 100%, $F$9) + CHOOSE(CONTROL!$C$27, 0.0021, 0)</f>
        <v>167.71780000000001</v>
      </c>
      <c r="E928" s="14">
        <f>167.579 * CHOOSE(CONTROL!$C$9, $D$9, 100%, $F$9) + CHOOSE(CONTROL!$C$27, 0.0021, 0)</f>
        <v>167.58110000000002</v>
      </c>
      <c r="F928" s="14">
        <f>167.579 * CHOOSE(CONTROL!$C$9, $D$9, 100%, $F$9) + CHOOSE(CONTROL!$C$27, 0.0021, 0)</f>
        <v>167.58110000000002</v>
      </c>
      <c r="G928" s="14">
        <f>167.8504 * CHOOSE(CONTROL!$C$9, $D$9, 100%, $F$9) + CHOOSE(CONTROL!$C$27, 0.0021, 0)</f>
        <v>167.85250000000002</v>
      </c>
      <c r="H928" s="14">
        <f>167.7157 * CHOOSE(CONTROL!$C$9, $D$9, 100%, $F$9) + CHOOSE(CONTROL!$C$27, 0.0021, 0)</f>
        <v>167.71780000000001</v>
      </c>
      <c r="I928" s="14">
        <f>167.7157 * CHOOSE(CONTROL!$C$9, $D$9, 100%, $F$9) + CHOOSE(CONTROL!$C$27, 0.0021, 0)</f>
        <v>167.71780000000001</v>
      </c>
      <c r="J928" s="14">
        <f>167.7157 * CHOOSE(CONTROL!$C$9, $D$9, 100%, $F$9) + CHOOSE(CONTROL!$C$27, 0.0021, 0)</f>
        <v>167.71780000000001</v>
      </c>
      <c r="K928" s="14">
        <f>167.7157 * CHOOSE(CONTROL!$C$9, $D$9, 100%, $F$9) + CHOOSE(CONTROL!$C$27, 0.0021, 0)</f>
        <v>167.71780000000001</v>
      </c>
      <c r="L928" s="14"/>
    </row>
    <row r="929" spans="1:12" ht="15.75" x14ac:dyDescent="0.25">
      <c r="A929" s="32">
        <v>69214</v>
      </c>
      <c r="B929" s="14">
        <f>170.5377 * CHOOSE(CONTROL!$C$9, $D$9, 100%, $F$9) + CHOOSE(CONTROL!$C$27, 0.0021, 0)</f>
        <v>170.53980000000001</v>
      </c>
      <c r="C929" s="14">
        <f>170.1055 * CHOOSE(CONTROL!$C$9, $D$9, 100%, $F$9) + CHOOSE(CONTROL!$C$27, 0.0021, 0)</f>
        <v>170.10760000000002</v>
      </c>
      <c r="D929" s="14">
        <f>170.1055 * CHOOSE(CONTROL!$C$9, $D$9, 100%, $F$9) + CHOOSE(CONTROL!$C$27, 0.0021, 0)</f>
        <v>170.10760000000002</v>
      </c>
      <c r="E929" s="14">
        <f>169.9688 * CHOOSE(CONTROL!$C$9, $D$9, 100%, $F$9) + CHOOSE(CONTROL!$C$27, 0.0021, 0)</f>
        <v>169.9709</v>
      </c>
      <c r="F929" s="14">
        <f>169.9688 * CHOOSE(CONTROL!$C$9, $D$9, 100%, $F$9) + CHOOSE(CONTROL!$C$27, 0.0021, 0)</f>
        <v>169.9709</v>
      </c>
      <c r="G929" s="14">
        <f>170.2402 * CHOOSE(CONTROL!$C$9, $D$9, 100%, $F$9) + CHOOSE(CONTROL!$C$27, 0.0021, 0)</f>
        <v>170.2423</v>
      </c>
      <c r="H929" s="14">
        <f>170.1055 * CHOOSE(CONTROL!$C$9, $D$9, 100%, $F$9) + CHOOSE(CONTROL!$C$27, 0.0021, 0)</f>
        <v>170.10760000000002</v>
      </c>
      <c r="I929" s="14">
        <f>170.1055 * CHOOSE(CONTROL!$C$9, $D$9, 100%, $F$9) + CHOOSE(CONTROL!$C$27, 0.0021, 0)</f>
        <v>170.10760000000002</v>
      </c>
      <c r="J929" s="14">
        <f>170.1055 * CHOOSE(CONTROL!$C$9, $D$9, 100%, $F$9) + CHOOSE(CONTROL!$C$27, 0.0021, 0)</f>
        <v>170.10760000000002</v>
      </c>
      <c r="K929" s="14">
        <f>170.1055 * CHOOSE(CONTROL!$C$9, $D$9, 100%, $F$9) + CHOOSE(CONTROL!$C$27, 0.0021, 0)</f>
        <v>170.10760000000002</v>
      </c>
      <c r="L929" s="14"/>
    </row>
    <row r="930" spans="1:12" ht="15.75" x14ac:dyDescent="0.25">
      <c r="A930" s="32">
        <v>69245</v>
      </c>
      <c r="B930" s="14">
        <f>169.7509 * CHOOSE(CONTROL!$C$9, $D$9, 100%, $F$9) + CHOOSE(CONTROL!$C$27, 0.0021, 0)</f>
        <v>169.75300000000001</v>
      </c>
      <c r="C930" s="14">
        <f>169.3186 * CHOOSE(CONTROL!$C$9, $D$9, 100%, $F$9) + CHOOSE(CONTROL!$C$27, 0.0021, 0)</f>
        <v>169.32070000000002</v>
      </c>
      <c r="D930" s="14">
        <f>169.3186 * CHOOSE(CONTROL!$C$9, $D$9, 100%, $F$9) + CHOOSE(CONTROL!$C$27, 0.0021, 0)</f>
        <v>169.32070000000002</v>
      </c>
      <c r="E930" s="14">
        <f>169.182 * CHOOSE(CONTROL!$C$9, $D$9, 100%, $F$9) + CHOOSE(CONTROL!$C$27, 0.0021, 0)</f>
        <v>169.1841</v>
      </c>
      <c r="F930" s="14">
        <f>169.182 * CHOOSE(CONTROL!$C$9, $D$9, 100%, $F$9) + CHOOSE(CONTROL!$C$27, 0.0021, 0)</f>
        <v>169.1841</v>
      </c>
      <c r="G930" s="14">
        <f>169.4533 * CHOOSE(CONTROL!$C$9, $D$9, 100%, $F$9) + CHOOSE(CONTROL!$C$27, 0.0021, 0)</f>
        <v>169.45540000000003</v>
      </c>
      <c r="H930" s="14">
        <f>169.3186 * CHOOSE(CONTROL!$C$9, $D$9, 100%, $F$9) + CHOOSE(CONTROL!$C$27, 0.0021, 0)</f>
        <v>169.32070000000002</v>
      </c>
      <c r="I930" s="14">
        <f>169.3186 * CHOOSE(CONTROL!$C$9, $D$9, 100%, $F$9) + CHOOSE(CONTROL!$C$27, 0.0021, 0)</f>
        <v>169.32070000000002</v>
      </c>
      <c r="J930" s="14">
        <f>169.3186 * CHOOSE(CONTROL!$C$9, $D$9, 100%, $F$9) + CHOOSE(CONTROL!$C$27, 0.0021, 0)</f>
        <v>169.32070000000002</v>
      </c>
      <c r="K930" s="14">
        <f>169.3186 * CHOOSE(CONTROL!$C$9, $D$9, 100%, $F$9) + CHOOSE(CONTROL!$C$27, 0.0021, 0)</f>
        <v>169.32070000000002</v>
      </c>
      <c r="L930" s="14"/>
    </row>
    <row r="931" spans="1:12" ht="15.75" x14ac:dyDescent="0.25">
      <c r="A931" s="32">
        <v>69276</v>
      </c>
      <c r="B931" s="14">
        <f>165.8525 * CHOOSE(CONTROL!$C$9, $D$9, 100%, $F$9) + CHOOSE(CONTROL!$C$27, 0.0021, 0)</f>
        <v>165.8546</v>
      </c>
      <c r="C931" s="14">
        <f>165.4203 * CHOOSE(CONTROL!$C$9, $D$9, 100%, $F$9) + CHOOSE(CONTROL!$C$27, 0.0021, 0)</f>
        <v>165.42240000000001</v>
      </c>
      <c r="D931" s="14">
        <f>165.4203 * CHOOSE(CONTROL!$C$9, $D$9, 100%, $F$9) + CHOOSE(CONTROL!$C$27, 0.0021, 0)</f>
        <v>165.42240000000001</v>
      </c>
      <c r="E931" s="14">
        <f>165.2836 * CHOOSE(CONTROL!$C$9, $D$9, 100%, $F$9) + CHOOSE(CONTROL!$C$27, 0.0021, 0)</f>
        <v>165.28570000000002</v>
      </c>
      <c r="F931" s="14">
        <f>165.2836 * CHOOSE(CONTROL!$C$9, $D$9, 100%, $F$9) + CHOOSE(CONTROL!$C$27, 0.0021, 0)</f>
        <v>165.28570000000002</v>
      </c>
      <c r="G931" s="14">
        <f>165.555 * CHOOSE(CONTROL!$C$9, $D$9, 100%, $F$9) + CHOOSE(CONTROL!$C$27, 0.0021, 0)</f>
        <v>165.55710000000002</v>
      </c>
      <c r="H931" s="14">
        <f>165.4203 * CHOOSE(CONTROL!$C$9, $D$9, 100%, $F$9) + CHOOSE(CONTROL!$C$27, 0.0021, 0)</f>
        <v>165.42240000000001</v>
      </c>
      <c r="I931" s="14">
        <f>165.4203 * CHOOSE(CONTROL!$C$9, $D$9, 100%, $F$9) + CHOOSE(CONTROL!$C$27, 0.0021, 0)</f>
        <v>165.42240000000001</v>
      </c>
      <c r="J931" s="14">
        <f>165.4203 * CHOOSE(CONTROL!$C$9, $D$9, 100%, $F$9) + CHOOSE(CONTROL!$C$27, 0.0021, 0)</f>
        <v>165.42240000000001</v>
      </c>
      <c r="K931" s="14">
        <f>165.4203 * CHOOSE(CONTROL!$C$9, $D$9, 100%, $F$9) + CHOOSE(CONTROL!$C$27, 0.0021, 0)</f>
        <v>165.42240000000001</v>
      </c>
      <c r="L931" s="14"/>
    </row>
    <row r="932" spans="1:12" ht="15.75" x14ac:dyDescent="0.25">
      <c r="A932" s="32">
        <v>69306</v>
      </c>
      <c r="B932" s="14">
        <f>160.416 * CHOOSE(CONTROL!$C$9, $D$9, 100%, $F$9) + CHOOSE(CONTROL!$C$27, 0.0021, 0)</f>
        <v>160.41810000000001</v>
      </c>
      <c r="C932" s="14">
        <f>159.9838 * CHOOSE(CONTROL!$C$9, $D$9, 100%, $F$9) + CHOOSE(CONTROL!$C$27, 0.0021, 0)</f>
        <v>159.98590000000002</v>
      </c>
      <c r="D932" s="14">
        <f>159.9838 * CHOOSE(CONTROL!$C$9, $D$9, 100%, $F$9) + CHOOSE(CONTROL!$C$27, 0.0021, 0)</f>
        <v>159.98590000000002</v>
      </c>
      <c r="E932" s="14">
        <f>159.8471 * CHOOSE(CONTROL!$C$9, $D$9, 100%, $F$9) + CHOOSE(CONTROL!$C$27, 0.0021, 0)</f>
        <v>159.84920000000002</v>
      </c>
      <c r="F932" s="14">
        <f>159.8471 * CHOOSE(CONTROL!$C$9, $D$9, 100%, $F$9) + CHOOSE(CONTROL!$C$27, 0.0021, 0)</f>
        <v>159.84920000000002</v>
      </c>
      <c r="G932" s="14">
        <f>160.1185 * CHOOSE(CONTROL!$C$9, $D$9, 100%, $F$9) + CHOOSE(CONTROL!$C$27, 0.0021, 0)</f>
        <v>160.12060000000002</v>
      </c>
      <c r="H932" s="14">
        <f>159.9838 * CHOOSE(CONTROL!$C$9, $D$9, 100%, $F$9) + CHOOSE(CONTROL!$C$27, 0.0021, 0)</f>
        <v>159.98590000000002</v>
      </c>
      <c r="I932" s="14">
        <f>159.9838 * CHOOSE(CONTROL!$C$9, $D$9, 100%, $F$9) + CHOOSE(CONTROL!$C$27, 0.0021, 0)</f>
        <v>159.98590000000002</v>
      </c>
      <c r="J932" s="14">
        <f>159.9838 * CHOOSE(CONTROL!$C$9, $D$9, 100%, $F$9) + CHOOSE(CONTROL!$C$27, 0.0021, 0)</f>
        <v>159.98590000000002</v>
      </c>
      <c r="K932" s="14">
        <f>159.9838 * CHOOSE(CONTROL!$C$9, $D$9, 100%, $F$9) + CHOOSE(CONTROL!$C$27, 0.0021, 0)</f>
        <v>159.98590000000002</v>
      </c>
      <c r="L932" s="14"/>
    </row>
    <row r="933" spans="1:12" ht="15.75" x14ac:dyDescent="0.25">
      <c r="A933" s="32">
        <v>69337</v>
      </c>
      <c r="B933" s="14">
        <f>154.948 * CHOOSE(CONTROL!$C$9, $D$9, 100%, $F$9) + CHOOSE(CONTROL!$C$27, 0.0021, 0)</f>
        <v>154.95010000000002</v>
      </c>
      <c r="C933" s="14">
        <f>154.5157 * CHOOSE(CONTROL!$C$9, $D$9, 100%, $F$9) + CHOOSE(CONTROL!$C$27, 0.0021, 0)</f>
        <v>154.51780000000002</v>
      </c>
      <c r="D933" s="14">
        <f>154.5157 * CHOOSE(CONTROL!$C$9, $D$9, 100%, $F$9) + CHOOSE(CONTROL!$C$27, 0.0021, 0)</f>
        <v>154.51780000000002</v>
      </c>
      <c r="E933" s="14">
        <f>154.3791 * CHOOSE(CONTROL!$C$9, $D$9, 100%, $F$9) + CHOOSE(CONTROL!$C$27, 0.0021, 0)</f>
        <v>154.38120000000001</v>
      </c>
      <c r="F933" s="14">
        <f>154.3791 * CHOOSE(CONTROL!$C$9, $D$9, 100%, $F$9) + CHOOSE(CONTROL!$C$27, 0.0021, 0)</f>
        <v>154.38120000000001</v>
      </c>
      <c r="G933" s="14">
        <f>154.6504 * CHOOSE(CONTROL!$C$9, $D$9, 100%, $F$9) + CHOOSE(CONTROL!$C$27, 0.0021, 0)</f>
        <v>154.6525</v>
      </c>
      <c r="H933" s="14">
        <f>154.5157 * CHOOSE(CONTROL!$C$9, $D$9, 100%, $F$9) + CHOOSE(CONTROL!$C$27, 0.0021, 0)</f>
        <v>154.51780000000002</v>
      </c>
      <c r="I933" s="14">
        <f>154.5157 * CHOOSE(CONTROL!$C$9, $D$9, 100%, $F$9) + CHOOSE(CONTROL!$C$27, 0.0021, 0)</f>
        <v>154.51780000000002</v>
      </c>
      <c r="J933" s="14">
        <f>154.5157 * CHOOSE(CONTROL!$C$9, $D$9, 100%, $F$9) + CHOOSE(CONTROL!$C$27, 0.0021, 0)</f>
        <v>154.51780000000002</v>
      </c>
      <c r="K933" s="14">
        <f>154.5157 * CHOOSE(CONTROL!$C$9, $D$9, 100%, $F$9) + CHOOSE(CONTROL!$C$27, 0.0021, 0)</f>
        <v>154.51780000000002</v>
      </c>
      <c r="L933" s="14"/>
    </row>
    <row r="934" spans="1:12" ht="15.75" x14ac:dyDescent="0.25">
      <c r="A934" s="32">
        <v>69367</v>
      </c>
      <c r="B934" s="14">
        <f>153.8603 * CHOOSE(CONTROL!$C$9, $D$9, 100%, $F$9) + CHOOSE(CONTROL!$C$27, 0.0021, 0)</f>
        <v>153.86240000000001</v>
      </c>
      <c r="C934" s="14">
        <f>153.428 * CHOOSE(CONTROL!$C$9, $D$9, 100%, $F$9) + CHOOSE(CONTROL!$C$27, 0.0021, 0)</f>
        <v>153.43010000000001</v>
      </c>
      <c r="D934" s="14">
        <f>153.428 * CHOOSE(CONTROL!$C$9, $D$9, 100%, $F$9) + CHOOSE(CONTROL!$C$27, 0.0021, 0)</f>
        <v>153.43010000000001</v>
      </c>
      <c r="E934" s="14">
        <f>153.2914 * CHOOSE(CONTROL!$C$9, $D$9, 100%, $F$9) + CHOOSE(CONTROL!$C$27, 0.0021, 0)</f>
        <v>153.29350000000002</v>
      </c>
      <c r="F934" s="14">
        <f>153.2914 * CHOOSE(CONTROL!$C$9, $D$9, 100%, $F$9) + CHOOSE(CONTROL!$C$27, 0.0021, 0)</f>
        <v>153.29350000000002</v>
      </c>
      <c r="G934" s="14">
        <f>153.5627 * CHOOSE(CONTROL!$C$9, $D$9, 100%, $F$9) + CHOOSE(CONTROL!$C$27, 0.0021, 0)</f>
        <v>153.56480000000002</v>
      </c>
      <c r="H934" s="14">
        <f>153.428 * CHOOSE(CONTROL!$C$9, $D$9, 100%, $F$9) + CHOOSE(CONTROL!$C$27, 0.0021, 0)</f>
        <v>153.43010000000001</v>
      </c>
      <c r="I934" s="14">
        <f>153.428 * CHOOSE(CONTROL!$C$9, $D$9, 100%, $F$9) + CHOOSE(CONTROL!$C$27, 0.0021, 0)</f>
        <v>153.43010000000001</v>
      </c>
      <c r="J934" s="14">
        <f>153.428 * CHOOSE(CONTROL!$C$9, $D$9, 100%, $F$9) + CHOOSE(CONTROL!$C$27, 0.0021, 0)</f>
        <v>153.43010000000001</v>
      </c>
      <c r="K934" s="14">
        <f>153.428 * CHOOSE(CONTROL!$C$9, $D$9, 100%, $F$9) + CHOOSE(CONTROL!$C$27, 0.0021, 0)</f>
        <v>153.43010000000001</v>
      </c>
      <c r="L934" s="14"/>
    </row>
    <row r="935" spans="1:12" ht="15.75" x14ac:dyDescent="0.25">
      <c r="A935" s="32">
        <v>69398</v>
      </c>
      <c r="B935" s="14">
        <f>149.3625 * CHOOSE(CONTROL!$C$9, $D$9, 100%, $F$9) + CHOOSE(CONTROL!$C$27, 0.0021, 0)</f>
        <v>149.36460000000002</v>
      </c>
      <c r="C935" s="14">
        <f>148.9302 * CHOOSE(CONTROL!$C$9, $D$9, 100%, $F$9) + CHOOSE(CONTROL!$C$27, 0.0021, 0)</f>
        <v>148.93230000000003</v>
      </c>
      <c r="D935" s="14">
        <f>148.9302 * CHOOSE(CONTROL!$C$9, $D$9, 100%, $F$9) + CHOOSE(CONTROL!$C$27, 0.0021, 0)</f>
        <v>148.93230000000003</v>
      </c>
      <c r="E935" s="14">
        <f>148.7936 * CHOOSE(CONTROL!$C$9, $D$9, 100%, $F$9) + CHOOSE(CONTROL!$C$27, 0.0021, 0)</f>
        <v>148.79570000000001</v>
      </c>
      <c r="F935" s="14">
        <f>148.7936 * CHOOSE(CONTROL!$C$9, $D$9, 100%, $F$9) + CHOOSE(CONTROL!$C$27, 0.0021, 0)</f>
        <v>148.79570000000001</v>
      </c>
      <c r="G935" s="14">
        <f>149.0649 * CHOOSE(CONTROL!$C$9, $D$9, 100%, $F$9) + CHOOSE(CONTROL!$C$27, 0.0021, 0)</f>
        <v>149.06700000000001</v>
      </c>
      <c r="H935" s="14">
        <f>148.9302 * CHOOSE(CONTROL!$C$9, $D$9, 100%, $F$9) + CHOOSE(CONTROL!$C$27, 0.0021, 0)</f>
        <v>148.93230000000003</v>
      </c>
      <c r="I935" s="14">
        <f>148.9302 * CHOOSE(CONTROL!$C$9, $D$9, 100%, $F$9) + CHOOSE(CONTROL!$C$27, 0.0021, 0)</f>
        <v>148.93230000000003</v>
      </c>
      <c r="J935" s="14">
        <f>148.9302 * CHOOSE(CONTROL!$C$9, $D$9, 100%, $F$9) + CHOOSE(CONTROL!$C$27, 0.0021, 0)</f>
        <v>148.93230000000003</v>
      </c>
      <c r="K935" s="14">
        <f>148.9302 * CHOOSE(CONTROL!$C$9, $D$9, 100%, $F$9) + CHOOSE(CONTROL!$C$27, 0.0021, 0)</f>
        <v>148.93230000000003</v>
      </c>
      <c r="L935" s="14"/>
    </row>
    <row r="936" spans="1:12" ht="15.75" x14ac:dyDescent="0.25">
      <c r="A936" s="32">
        <v>69429</v>
      </c>
      <c r="B936" s="14">
        <f>148.4868 * CHOOSE(CONTROL!$C$9, $D$9, 100%, $F$9) + CHOOSE(CONTROL!$C$27, 0.0021, 0)</f>
        <v>148.4889</v>
      </c>
      <c r="C936" s="14">
        <f>148.0545 * CHOOSE(CONTROL!$C$9, $D$9, 100%, $F$9) + CHOOSE(CONTROL!$C$27, 0.0021, 0)</f>
        <v>148.0566</v>
      </c>
      <c r="D936" s="14">
        <f>148.0545 * CHOOSE(CONTROL!$C$9, $D$9, 100%, $F$9) + CHOOSE(CONTROL!$C$27, 0.0021, 0)</f>
        <v>148.0566</v>
      </c>
      <c r="E936" s="14">
        <f>147.9179 * CHOOSE(CONTROL!$C$9, $D$9, 100%, $F$9) + CHOOSE(CONTROL!$C$27, 0.0021, 0)</f>
        <v>147.92000000000002</v>
      </c>
      <c r="F936" s="14">
        <f>147.9179 * CHOOSE(CONTROL!$C$9, $D$9, 100%, $F$9) + CHOOSE(CONTROL!$C$27, 0.0021, 0)</f>
        <v>147.92000000000002</v>
      </c>
      <c r="G936" s="14">
        <f>148.1893 * CHOOSE(CONTROL!$C$9, $D$9, 100%, $F$9) + CHOOSE(CONTROL!$C$27, 0.0021, 0)</f>
        <v>148.19140000000002</v>
      </c>
      <c r="H936" s="14">
        <f>148.0545 * CHOOSE(CONTROL!$C$9, $D$9, 100%, $F$9) + CHOOSE(CONTROL!$C$27, 0.0021, 0)</f>
        <v>148.0566</v>
      </c>
      <c r="I936" s="14">
        <f>148.0545 * CHOOSE(CONTROL!$C$9, $D$9, 100%, $F$9) + CHOOSE(CONTROL!$C$27, 0.0021, 0)</f>
        <v>148.0566</v>
      </c>
      <c r="J936" s="14">
        <f>148.0545 * CHOOSE(CONTROL!$C$9, $D$9, 100%, $F$9) + CHOOSE(CONTROL!$C$27, 0.0021, 0)</f>
        <v>148.0566</v>
      </c>
      <c r="K936" s="14">
        <f>148.0545 * CHOOSE(CONTROL!$C$9, $D$9, 100%, $F$9) + CHOOSE(CONTROL!$C$27, 0.0021, 0)</f>
        <v>148.0566</v>
      </c>
      <c r="L936" s="14"/>
    </row>
    <row r="937" spans="1:12" ht="15.75" x14ac:dyDescent="0.25">
      <c r="A937" s="32">
        <v>69457</v>
      </c>
      <c r="B937" s="14">
        <f>148.0804 * CHOOSE(CONTROL!$C$9, $D$9, 100%, $F$9) + CHOOSE(CONTROL!$C$27, 0.0021, 0)</f>
        <v>148.08250000000001</v>
      </c>
      <c r="C937" s="14">
        <f>147.6482 * CHOOSE(CONTROL!$C$9, $D$9, 100%, $F$9) + CHOOSE(CONTROL!$C$27, 0.0021, 0)</f>
        <v>147.65030000000002</v>
      </c>
      <c r="D937" s="14">
        <f>147.6482 * CHOOSE(CONTROL!$C$9, $D$9, 100%, $F$9) + CHOOSE(CONTROL!$C$27, 0.0021, 0)</f>
        <v>147.65030000000002</v>
      </c>
      <c r="E937" s="14">
        <f>147.5115 * CHOOSE(CONTROL!$C$9, $D$9, 100%, $F$9) + CHOOSE(CONTROL!$C$27, 0.0021, 0)</f>
        <v>147.51360000000003</v>
      </c>
      <c r="F937" s="14">
        <f>147.5115 * CHOOSE(CONTROL!$C$9, $D$9, 100%, $F$9) + CHOOSE(CONTROL!$C$27, 0.0021, 0)</f>
        <v>147.51360000000003</v>
      </c>
      <c r="G937" s="14">
        <f>147.7829 * CHOOSE(CONTROL!$C$9, $D$9, 100%, $F$9) + CHOOSE(CONTROL!$C$27, 0.0021, 0)</f>
        <v>147.78500000000003</v>
      </c>
      <c r="H937" s="14">
        <f>147.6482 * CHOOSE(CONTROL!$C$9, $D$9, 100%, $F$9) + CHOOSE(CONTROL!$C$27, 0.0021, 0)</f>
        <v>147.65030000000002</v>
      </c>
      <c r="I937" s="14">
        <f>147.6482 * CHOOSE(CONTROL!$C$9, $D$9, 100%, $F$9) + CHOOSE(CONTROL!$C$27, 0.0021, 0)</f>
        <v>147.65030000000002</v>
      </c>
      <c r="J937" s="14">
        <f>147.6482 * CHOOSE(CONTROL!$C$9, $D$9, 100%, $F$9) + CHOOSE(CONTROL!$C$27, 0.0021, 0)</f>
        <v>147.65030000000002</v>
      </c>
      <c r="K937" s="14">
        <f>147.6482 * CHOOSE(CONTROL!$C$9, $D$9, 100%, $F$9) + CHOOSE(CONTROL!$C$27, 0.0021, 0)</f>
        <v>147.65030000000002</v>
      </c>
      <c r="L937" s="14"/>
    </row>
    <row r="938" spans="1:12" ht="15.75" x14ac:dyDescent="0.25">
      <c r="A938" s="32">
        <v>69488</v>
      </c>
      <c r="B938" s="14">
        <f>155.7643 * CHOOSE(CONTROL!$C$9, $D$9, 100%, $F$9) + CHOOSE(CONTROL!$C$27, 0.0021, 0)</f>
        <v>155.7664</v>
      </c>
      <c r="C938" s="14">
        <f>155.3321 * CHOOSE(CONTROL!$C$9, $D$9, 100%, $F$9) + CHOOSE(CONTROL!$C$27, 0.0021, 0)</f>
        <v>155.33420000000001</v>
      </c>
      <c r="D938" s="14">
        <f>155.3321 * CHOOSE(CONTROL!$C$9, $D$9, 100%, $F$9) + CHOOSE(CONTROL!$C$27, 0.0021, 0)</f>
        <v>155.33420000000001</v>
      </c>
      <c r="E938" s="14">
        <f>155.1954 * CHOOSE(CONTROL!$C$9, $D$9, 100%, $F$9) + CHOOSE(CONTROL!$C$27, 0.0021, 0)</f>
        <v>155.19750000000002</v>
      </c>
      <c r="F938" s="14">
        <f>155.1954 * CHOOSE(CONTROL!$C$9, $D$9, 100%, $F$9) + CHOOSE(CONTROL!$C$27, 0.0021, 0)</f>
        <v>155.19750000000002</v>
      </c>
      <c r="G938" s="14">
        <f>155.4668 * CHOOSE(CONTROL!$C$9, $D$9, 100%, $F$9) + CHOOSE(CONTROL!$C$27, 0.0021, 0)</f>
        <v>155.46890000000002</v>
      </c>
      <c r="H938" s="14">
        <f>155.3321 * CHOOSE(CONTROL!$C$9, $D$9, 100%, $F$9) + CHOOSE(CONTROL!$C$27, 0.0021, 0)</f>
        <v>155.33420000000001</v>
      </c>
      <c r="I938" s="14">
        <f>155.3321 * CHOOSE(CONTROL!$C$9, $D$9, 100%, $F$9) + CHOOSE(CONTROL!$C$27, 0.0021, 0)</f>
        <v>155.33420000000001</v>
      </c>
      <c r="J938" s="14">
        <f>155.3321 * CHOOSE(CONTROL!$C$9, $D$9, 100%, $F$9) + CHOOSE(CONTROL!$C$27, 0.0021, 0)</f>
        <v>155.33420000000001</v>
      </c>
      <c r="K938" s="14">
        <f>155.3321 * CHOOSE(CONTROL!$C$9, $D$9, 100%, $F$9) + CHOOSE(CONTROL!$C$27, 0.0021, 0)</f>
        <v>155.33420000000001</v>
      </c>
      <c r="L938" s="14"/>
    </row>
    <row r="939" spans="1:12" ht="15.75" x14ac:dyDescent="0.25">
      <c r="A939" s="32">
        <v>69518</v>
      </c>
      <c r="B939" s="14">
        <f>165.7284 * CHOOSE(CONTROL!$C$9, $D$9, 100%, $F$9) + CHOOSE(CONTROL!$C$27, 0.0021, 0)</f>
        <v>165.73050000000001</v>
      </c>
      <c r="C939" s="14">
        <f>165.2962 * CHOOSE(CONTROL!$C$9, $D$9, 100%, $F$9) + CHOOSE(CONTROL!$C$27, 0.0021, 0)</f>
        <v>165.29830000000001</v>
      </c>
      <c r="D939" s="14">
        <f>165.2962 * CHOOSE(CONTROL!$C$9, $D$9, 100%, $F$9) + CHOOSE(CONTROL!$C$27, 0.0021, 0)</f>
        <v>165.29830000000001</v>
      </c>
      <c r="E939" s="14">
        <f>165.1595 * CHOOSE(CONTROL!$C$9, $D$9, 100%, $F$9) + CHOOSE(CONTROL!$C$27, 0.0021, 0)</f>
        <v>165.16160000000002</v>
      </c>
      <c r="F939" s="14">
        <f>165.1595 * CHOOSE(CONTROL!$C$9, $D$9, 100%, $F$9) + CHOOSE(CONTROL!$C$27, 0.0021, 0)</f>
        <v>165.16160000000002</v>
      </c>
      <c r="G939" s="14">
        <f>165.4309 * CHOOSE(CONTROL!$C$9, $D$9, 100%, $F$9) + CHOOSE(CONTROL!$C$27, 0.0021, 0)</f>
        <v>165.43300000000002</v>
      </c>
      <c r="H939" s="14">
        <f>165.2962 * CHOOSE(CONTROL!$C$9, $D$9, 100%, $F$9) + CHOOSE(CONTROL!$C$27, 0.0021, 0)</f>
        <v>165.29830000000001</v>
      </c>
      <c r="I939" s="14">
        <f>165.2962 * CHOOSE(CONTROL!$C$9, $D$9, 100%, $F$9) + CHOOSE(CONTROL!$C$27, 0.0021, 0)</f>
        <v>165.29830000000001</v>
      </c>
      <c r="J939" s="14">
        <f>165.2962 * CHOOSE(CONTROL!$C$9, $D$9, 100%, $F$9) + CHOOSE(CONTROL!$C$27, 0.0021, 0)</f>
        <v>165.29830000000001</v>
      </c>
      <c r="K939" s="14">
        <f>165.2962 * CHOOSE(CONTROL!$C$9, $D$9, 100%, $F$9) + CHOOSE(CONTROL!$C$27, 0.0021, 0)</f>
        <v>165.29830000000001</v>
      </c>
      <c r="L939" s="14"/>
    </row>
    <row r="940" spans="1:12" ht="15.75" x14ac:dyDescent="0.25">
      <c r="A940" s="32">
        <v>69549</v>
      </c>
      <c r="B940" s="14">
        <f>171.213 * CHOOSE(CONTROL!$C$9, $D$9, 100%, $F$9) + CHOOSE(CONTROL!$C$27, 0.0021, 0)</f>
        <v>171.21510000000001</v>
      </c>
      <c r="C940" s="14">
        <f>170.7808 * CHOOSE(CONTROL!$C$9, $D$9, 100%, $F$9) + CHOOSE(CONTROL!$C$27, 0.0021, 0)</f>
        <v>170.78290000000001</v>
      </c>
      <c r="D940" s="14">
        <f>170.7808 * CHOOSE(CONTROL!$C$9, $D$9, 100%, $F$9) + CHOOSE(CONTROL!$C$27, 0.0021, 0)</f>
        <v>170.78290000000001</v>
      </c>
      <c r="E940" s="14">
        <f>170.6441 * CHOOSE(CONTROL!$C$9, $D$9, 100%, $F$9) + CHOOSE(CONTROL!$C$27, 0.0021, 0)</f>
        <v>170.64620000000002</v>
      </c>
      <c r="F940" s="14">
        <f>170.6441 * CHOOSE(CONTROL!$C$9, $D$9, 100%, $F$9) + CHOOSE(CONTROL!$C$27, 0.0021, 0)</f>
        <v>170.64620000000002</v>
      </c>
      <c r="G940" s="14">
        <f>170.9155 * CHOOSE(CONTROL!$C$9, $D$9, 100%, $F$9) + CHOOSE(CONTROL!$C$27, 0.0021, 0)</f>
        <v>170.91760000000002</v>
      </c>
      <c r="H940" s="14">
        <f>170.7808 * CHOOSE(CONTROL!$C$9, $D$9, 100%, $F$9) + CHOOSE(CONTROL!$C$27, 0.0021, 0)</f>
        <v>170.78290000000001</v>
      </c>
      <c r="I940" s="14">
        <f>170.7808 * CHOOSE(CONTROL!$C$9, $D$9, 100%, $F$9) + CHOOSE(CONTROL!$C$27, 0.0021, 0)</f>
        <v>170.78290000000001</v>
      </c>
      <c r="J940" s="14">
        <f>170.7808 * CHOOSE(CONTROL!$C$9, $D$9, 100%, $F$9) + CHOOSE(CONTROL!$C$27, 0.0021, 0)</f>
        <v>170.78290000000001</v>
      </c>
      <c r="K940" s="14">
        <f>170.7808 * CHOOSE(CONTROL!$C$9, $D$9, 100%, $F$9) + CHOOSE(CONTROL!$C$27, 0.0021, 0)</f>
        <v>170.78290000000001</v>
      </c>
      <c r="L940" s="14"/>
    </row>
    <row r="941" spans="1:12" ht="15.75" x14ac:dyDescent="0.25">
      <c r="A941" s="32">
        <v>69579</v>
      </c>
      <c r="B941" s="14">
        <f>173.647 * CHOOSE(CONTROL!$C$9, $D$9, 100%, $F$9) + CHOOSE(CONTROL!$C$27, 0.0021, 0)</f>
        <v>173.6491</v>
      </c>
      <c r="C941" s="14">
        <f>173.2148 * CHOOSE(CONTROL!$C$9, $D$9, 100%, $F$9) + CHOOSE(CONTROL!$C$27, 0.0021, 0)</f>
        <v>173.21690000000001</v>
      </c>
      <c r="D941" s="14">
        <f>173.2148 * CHOOSE(CONTROL!$C$9, $D$9, 100%, $F$9) + CHOOSE(CONTROL!$C$27, 0.0021, 0)</f>
        <v>173.21690000000001</v>
      </c>
      <c r="E941" s="14">
        <f>173.0781 * CHOOSE(CONTROL!$C$9, $D$9, 100%, $F$9) + CHOOSE(CONTROL!$C$27, 0.0021, 0)</f>
        <v>173.08020000000002</v>
      </c>
      <c r="F941" s="14">
        <f>173.0781 * CHOOSE(CONTROL!$C$9, $D$9, 100%, $F$9) + CHOOSE(CONTROL!$C$27, 0.0021, 0)</f>
        <v>173.08020000000002</v>
      </c>
      <c r="G941" s="14">
        <f>173.3495 * CHOOSE(CONTROL!$C$9, $D$9, 100%, $F$9) + CHOOSE(CONTROL!$C$27, 0.0021, 0)</f>
        <v>173.35160000000002</v>
      </c>
      <c r="H941" s="14">
        <f>173.2148 * CHOOSE(CONTROL!$C$9, $D$9, 100%, $F$9) + CHOOSE(CONTROL!$C$27, 0.0021, 0)</f>
        <v>173.21690000000001</v>
      </c>
      <c r="I941" s="14">
        <f>173.2148 * CHOOSE(CONTROL!$C$9, $D$9, 100%, $F$9) + CHOOSE(CONTROL!$C$27, 0.0021, 0)</f>
        <v>173.21690000000001</v>
      </c>
      <c r="J941" s="14">
        <f>173.2148 * CHOOSE(CONTROL!$C$9, $D$9, 100%, $F$9) + CHOOSE(CONTROL!$C$27, 0.0021, 0)</f>
        <v>173.21690000000001</v>
      </c>
      <c r="K941" s="14">
        <f>173.2148 * CHOOSE(CONTROL!$C$9, $D$9, 100%, $F$9) + CHOOSE(CONTROL!$C$27, 0.0021, 0)</f>
        <v>173.21690000000001</v>
      </c>
      <c r="L941" s="14"/>
    </row>
    <row r="942" spans="1:12" ht="15.75" x14ac:dyDescent="0.25">
      <c r="A942" s="32">
        <v>69610</v>
      </c>
      <c r="B942" s="14">
        <f>172.8456 * CHOOSE(CONTROL!$C$9, $D$9, 100%, $F$9) + CHOOSE(CONTROL!$C$27, 0.0021, 0)</f>
        <v>172.8477</v>
      </c>
      <c r="C942" s="14">
        <f>172.4134 * CHOOSE(CONTROL!$C$9, $D$9, 100%, $F$9) + CHOOSE(CONTROL!$C$27, 0.0021, 0)</f>
        <v>172.41550000000001</v>
      </c>
      <c r="D942" s="14">
        <f>172.4134 * CHOOSE(CONTROL!$C$9, $D$9, 100%, $F$9) + CHOOSE(CONTROL!$C$27, 0.0021, 0)</f>
        <v>172.41550000000001</v>
      </c>
      <c r="E942" s="14">
        <f>172.2767 * CHOOSE(CONTROL!$C$9, $D$9, 100%, $F$9) + CHOOSE(CONTROL!$C$27, 0.0021, 0)</f>
        <v>172.27880000000002</v>
      </c>
      <c r="F942" s="14">
        <f>172.2767 * CHOOSE(CONTROL!$C$9, $D$9, 100%, $F$9) + CHOOSE(CONTROL!$C$27, 0.0021, 0)</f>
        <v>172.27880000000002</v>
      </c>
      <c r="G942" s="14">
        <f>172.5481 * CHOOSE(CONTROL!$C$9, $D$9, 100%, $F$9) + CHOOSE(CONTROL!$C$27, 0.0021, 0)</f>
        <v>172.55020000000002</v>
      </c>
      <c r="H942" s="14">
        <f>172.4134 * CHOOSE(CONTROL!$C$9, $D$9, 100%, $F$9) + CHOOSE(CONTROL!$C$27, 0.0021, 0)</f>
        <v>172.41550000000001</v>
      </c>
      <c r="I942" s="14">
        <f>172.4134 * CHOOSE(CONTROL!$C$9, $D$9, 100%, $F$9) + CHOOSE(CONTROL!$C$27, 0.0021, 0)</f>
        <v>172.41550000000001</v>
      </c>
      <c r="J942" s="14">
        <f>172.4134 * CHOOSE(CONTROL!$C$9, $D$9, 100%, $F$9) + CHOOSE(CONTROL!$C$27, 0.0021, 0)</f>
        <v>172.41550000000001</v>
      </c>
      <c r="K942" s="14">
        <f>172.4134 * CHOOSE(CONTROL!$C$9, $D$9, 100%, $F$9) + CHOOSE(CONTROL!$C$27, 0.0021, 0)</f>
        <v>172.41550000000001</v>
      </c>
      <c r="L942" s="14"/>
    </row>
    <row r="943" spans="1:12" ht="15.75" x14ac:dyDescent="0.25">
      <c r="A943" s="32">
        <v>69641</v>
      </c>
      <c r="B943" s="14">
        <f>168.8752 * CHOOSE(CONTROL!$C$9, $D$9, 100%, $F$9) + CHOOSE(CONTROL!$C$27, 0.0021, 0)</f>
        <v>168.87730000000002</v>
      </c>
      <c r="C943" s="14">
        <f>168.443 * CHOOSE(CONTROL!$C$9, $D$9, 100%, $F$9) + CHOOSE(CONTROL!$C$27, 0.0021, 0)</f>
        <v>168.44510000000002</v>
      </c>
      <c r="D943" s="14">
        <f>168.443 * CHOOSE(CONTROL!$C$9, $D$9, 100%, $F$9) + CHOOSE(CONTROL!$C$27, 0.0021, 0)</f>
        <v>168.44510000000002</v>
      </c>
      <c r="E943" s="14">
        <f>168.3063 * CHOOSE(CONTROL!$C$9, $D$9, 100%, $F$9) + CHOOSE(CONTROL!$C$27, 0.0021, 0)</f>
        <v>168.30840000000001</v>
      </c>
      <c r="F943" s="14">
        <f>168.3063 * CHOOSE(CONTROL!$C$9, $D$9, 100%, $F$9) + CHOOSE(CONTROL!$C$27, 0.0021, 0)</f>
        <v>168.30840000000001</v>
      </c>
      <c r="G943" s="14">
        <f>168.5777 * CHOOSE(CONTROL!$C$9, $D$9, 100%, $F$9) + CHOOSE(CONTROL!$C$27, 0.0021, 0)</f>
        <v>168.57980000000001</v>
      </c>
      <c r="H943" s="14">
        <f>168.443 * CHOOSE(CONTROL!$C$9, $D$9, 100%, $F$9) + CHOOSE(CONTROL!$C$27, 0.0021, 0)</f>
        <v>168.44510000000002</v>
      </c>
      <c r="I943" s="14">
        <f>168.443 * CHOOSE(CONTROL!$C$9, $D$9, 100%, $F$9) + CHOOSE(CONTROL!$C$27, 0.0021, 0)</f>
        <v>168.44510000000002</v>
      </c>
      <c r="J943" s="14">
        <f>168.443 * CHOOSE(CONTROL!$C$9, $D$9, 100%, $F$9) + CHOOSE(CONTROL!$C$27, 0.0021, 0)</f>
        <v>168.44510000000002</v>
      </c>
      <c r="K943" s="14">
        <f>168.443 * CHOOSE(CONTROL!$C$9, $D$9, 100%, $F$9) + CHOOSE(CONTROL!$C$27, 0.0021, 0)</f>
        <v>168.44510000000002</v>
      </c>
      <c r="L943" s="14"/>
    </row>
    <row r="944" spans="1:12" ht="15.75" x14ac:dyDescent="0.25">
      <c r="A944" s="32">
        <v>69671</v>
      </c>
      <c r="B944" s="14">
        <f>163.3383 * CHOOSE(CONTROL!$C$9, $D$9, 100%, $F$9) + CHOOSE(CONTROL!$C$27, 0.0021, 0)</f>
        <v>163.34040000000002</v>
      </c>
      <c r="C944" s="14">
        <f>162.906 * CHOOSE(CONTROL!$C$9, $D$9, 100%, $F$9) + CHOOSE(CONTROL!$C$27, 0.0021, 0)</f>
        <v>162.90810000000002</v>
      </c>
      <c r="D944" s="14">
        <f>162.906 * CHOOSE(CONTROL!$C$9, $D$9, 100%, $F$9) + CHOOSE(CONTROL!$C$27, 0.0021, 0)</f>
        <v>162.90810000000002</v>
      </c>
      <c r="E944" s="14">
        <f>162.7694 * CHOOSE(CONTROL!$C$9, $D$9, 100%, $F$9) + CHOOSE(CONTROL!$C$27, 0.0021, 0)</f>
        <v>162.7715</v>
      </c>
      <c r="F944" s="14">
        <f>162.7694 * CHOOSE(CONTROL!$C$9, $D$9, 100%, $F$9) + CHOOSE(CONTROL!$C$27, 0.0021, 0)</f>
        <v>162.7715</v>
      </c>
      <c r="G944" s="14">
        <f>163.0408 * CHOOSE(CONTROL!$C$9, $D$9, 100%, $F$9) + CHOOSE(CONTROL!$C$27, 0.0021, 0)</f>
        <v>163.0429</v>
      </c>
      <c r="H944" s="14">
        <f>162.906 * CHOOSE(CONTROL!$C$9, $D$9, 100%, $F$9) + CHOOSE(CONTROL!$C$27, 0.0021, 0)</f>
        <v>162.90810000000002</v>
      </c>
      <c r="I944" s="14">
        <f>162.906 * CHOOSE(CONTROL!$C$9, $D$9, 100%, $F$9) + CHOOSE(CONTROL!$C$27, 0.0021, 0)</f>
        <v>162.90810000000002</v>
      </c>
      <c r="J944" s="14">
        <f>162.906 * CHOOSE(CONTROL!$C$9, $D$9, 100%, $F$9) + CHOOSE(CONTROL!$C$27, 0.0021, 0)</f>
        <v>162.90810000000002</v>
      </c>
      <c r="K944" s="14">
        <f>162.906 * CHOOSE(CONTROL!$C$9, $D$9, 100%, $F$9) + CHOOSE(CONTROL!$C$27, 0.0021, 0)</f>
        <v>162.90810000000002</v>
      </c>
      <c r="L944" s="14"/>
    </row>
    <row r="945" spans="1:12" ht="15.75" x14ac:dyDescent="0.25">
      <c r="A945" s="32">
        <v>69702</v>
      </c>
      <c r="B945" s="14">
        <f>157.7692 * CHOOSE(CONTROL!$C$9, $D$9, 100%, $F$9) + CHOOSE(CONTROL!$C$27, 0.0021, 0)</f>
        <v>157.77130000000002</v>
      </c>
      <c r="C945" s="14">
        <f>157.3369 * CHOOSE(CONTROL!$C$9, $D$9, 100%, $F$9) + CHOOSE(CONTROL!$C$27, 0.0021, 0)</f>
        <v>157.33900000000003</v>
      </c>
      <c r="D945" s="14">
        <f>157.3369 * CHOOSE(CONTROL!$C$9, $D$9, 100%, $F$9) + CHOOSE(CONTROL!$C$27, 0.0021, 0)</f>
        <v>157.33900000000003</v>
      </c>
      <c r="E945" s="14">
        <f>157.2003 * CHOOSE(CONTROL!$C$9, $D$9, 100%, $F$9) + CHOOSE(CONTROL!$C$27, 0.0021, 0)</f>
        <v>157.20240000000001</v>
      </c>
      <c r="F945" s="14">
        <f>157.2003 * CHOOSE(CONTROL!$C$9, $D$9, 100%, $F$9) + CHOOSE(CONTROL!$C$27, 0.0021, 0)</f>
        <v>157.20240000000001</v>
      </c>
      <c r="G945" s="14">
        <f>157.4716 * CHOOSE(CONTROL!$C$9, $D$9, 100%, $F$9) + CHOOSE(CONTROL!$C$27, 0.0021, 0)</f>
        <v>157.47370000000001</v>
      </c>
      <c r="H945" s="14">
        <f>157.3369 * CHOOSE(CONTROL!$C$9, $D$9, 100%, $F$9) + CHOOSE(CONTROL!$C$27, 0.0021, 0)</f>
        <v>157.33900000000003</v>
      </c>
      <c r="I945" s="14">
        <f>157.3369 * CHOOSE(CONTROL!$C$9, $D$9, 100%, $F$9) + CHOOSE(CONTROL!$C$27, 0.0021, 0)</f>
        <v>157.33900000000003</v>
      </c>
      <c r="J945" s="14">
        <f>157.3369 * CHOOSE(CONTROL!$C$9, $D$9, 100%, $F$9) + CHOOSE(CONTROL!$C$27, 0.0021, 0)</f>
        <v>157.33900000000003</v>
      </c>
      <c r="K945" s="14">
        <f>157.3369 * CHOOSE(CONTROL!$C$9, $D$9, 100%, $F$9) + CHOOSE(CONTROL!$C$27, 0.0021, 0)</f>
        <v>157.33900000000003</v>
      </c>
      <c r="L945" s="14"/>
    </row>
    <row r="946" spans="1:12" ht="15.75" x14ac:dyDescent="0.25">
      <c r="A946" s="32">
        <v>69732</v>
      </c>
      <c r="B946" s="14">
        <f>156.6613 * CHOOSE(CONTROL!$C$9, $D$9, 100%, $F$9) + CHOOSE(CONTROL!$C$27, 0.0021, 0)</f>
        <v>156.66340000000002</v>
      </c>
      <c r="C946" s="14">
        <f>156.2291 * CHOOSE(CONTROL!$C$9, $D$9, 100%, $F$9) + CHOOSE(CONTROL!$C$27, 0.0021, 0)</f>
        <v>156.2312</v>
      </c>
      <c r="D946" s="14">
        <f>156.2291 * CHOOSE(CONTROL!$C$9, $D$9, 100%, $F$9) + CHOOSE(CONTROL!$C$27, 0.0021, 0)</f>
        <v>156.2312</v>
      </c>
      <c r="E946" s="14">
        <f>156.0924 * CHOOSE(CONTROL!$C$9, $D$9, 100%, $F$9) + CHOOSE(CONTROL!$C$27, 0.0021, 0)</f>
        <v>156.09450000000001</v>
      </c>
      <c r="F946" s="14">
        <f>156.0924 * CHOOSE(CONTROL!$C$9, $D$9, 100%, $F$9) + CHOOSE(CONTROL!$C$27, 0.0021, 0)</f>
        <v>156.09450000000001</v>
      </c>
      <c r="G946" s="14">
        <f>156.3638 * CHOOSE(CONTROL!$C$9, $D$9, 100%, $F$9) + CHOOSE(CONTROL!$C$27, 0.0021, 0)</f>
        <v>156.36590000000001</v>
      </c>
      <c r="H946" s="14">
        <f>156.2291 * CHOOSE(CONTROL!$C$9, $D$9, 100%, $F$9) + CHOOSE(CONTROL!$C$27, 0.0021, 0)</f>
        <v>156.2312</v>
      </c>
      <c r="I946" s="14">
        <f>156.2291 * CHOOSE(CONTROL!$C$9, $D$9, 100%, $F$9) + CHOOSE(CONTROL!$C$27, 0.0021, 0)</f>
        <v>156.2312</v>
      </c>
      <c r="J946" s="14">
        <f>156.2291 * CHOOSE(CONTROL!$C$9, $D$9, 100%, $F$9) + CHOOSE(CONTROL!$C$27, 0.0021, 0)</f>
        <v>156.2312</v>
      </c>
      <c r="K946" s="14">
        <f>156.2291 * CHOOSE(CONTROL!$C$9, $D$9, 100%, $F$9) + CHOOSE(CONTROL!$C$27, 0.0021, 0)</f>
        <v>156.2312</v>
      </c>
      <c r="L946" s="14"/>
    </row>
    <row r="947" spans="1:12" ht="15.75" x14ac:dyDescent="0.25">
      <c r="A947" s="32">
        <v>69763</v>
      </c>
      <c r="B947" s="14">
        <f>152.0804 * CHOOSE(CONTROL!$C$9, $D$9, 100%, $F$9) + CHOOSE(CONTROL!$C$27, 0.0021, 0)</f>
        <v>152.08250000000001</v>
      </c>
      <c r="C947" s="14">
        <f>151.6482 * CHOOSE(CONTROL!$C$9, $D$9, 100%, $F$9) + CHOOSE(CONTROL!$C$27, 0.0021, 0)</f>
        <v>151.65030000000002</v>
      </c>
      <c r="D947" s="14">
        <f>151.6482 * CHOOSE(CONTROL!$C$9, $D$9, 100%, $F$9) + CHOOSE(CONTROL!$C$27, 0.0021, 0)</f>
        <v>151.65030000000002</v>
      </c>
      <c r="E947" s="14">
        <f>151.5115 * CHOOSE(CONTROL!$C$9, $D$9, 100%, $F$9) + CHOOSE(CONTROL!$C$27, 0.0021, 0)</f>
        <v>151.51360000000003</v>
      </c>
      <c r="F947" s="14">
        <f>151.5115 * CHOOSE(CONTROL!$C$9, $D$9, 100%, $F$9) + CHOOSE(CONTROL!$C$27, 0.0021, 0)</f>
        <v>151.51360000000003</v>
      </c>
      <c r="G947" s="14">
        <f>151.7829 * CHOOSE(CONTROL!$C$9, $D$9, 100%, $F$9) + CHOOSE(CONTROL!$C$27, 0.0021, 0)</f>
        <v>151.78500000000003</v>
      </c>
      <c r="H947" s="14">
        <f>151.6482 * CHOOSE(CONTROL!$C$9, $D$9, 100%, $F$9) + CHOOSE(CONTROL!$C$27, 0.0021, 0)</f>
        <v>151.65030000000002</v>
      </c>
      <c r="I947" s="14">
        <f>151.6482 * CHOOSE(CONTROL!$C$9, $D$9, 100%, $F$9) + CHOOSE(CONTROL!$C$27, 0.0021, 0)</f>
        <v>151.65030000000002</v>
      </c>
      <c r="J947" s="14">
        <f>151.6482 * CHOOSE(CONTROL!$C$9, $D$9, 100%, $F$9) + CHOOSE(CONTROL!$C$27, 0.0021, 0)</f>
        <v>151.65030000000002</v>
      </c>
      <c r="K947" s="14">
        <f>151.6482 * CHOOSE(CONTROL!$C$9, $D$9, 100%, $F$9) + CHOOSE(CONTROL!$C$27, 0.0021, 0)</f>
        <v>151.65030000000002</v>
      </c>
      <c r="L947" s="14"/>
    </row>
    <row r="948" spans="1:12" ht="15.75" x14ac:dyDescent="0.25">
      <c r="A948" s="32">
        <v>69794</v>
      </c>
      <c r="B948" s="14">
        <f>151.1886 * CHOOSE(CONTROL!$C$9, $D$9, 100%, $F$9) + CHOOSE(CONTROL!$C$27, 0.0021, 0)</f>
        <v>151.19070000000002</v>
      </c>
      <c r="C948" s="14">
        <f>150.7563 * CHOOSE(CONTROL!$C$9, $D$9, 100%, $F$9) + CHOOSE(CONTROL!$C$27, 0.0021, 0)</f>
        <v>150.75840000000002</v>
      </c>
      <c r="D948" s="14">
        <f>150.7563 * CHOOSE(CONTROL!$C$9, $D$9, 100%, $F$9) + CHOOSE(CONTROL!$C$27, 0.0021, 0)</f>
        <v>150.75840000000002</v>
      </c>
      <c r="E948" s="14">
        <f>150.6197 * CHOOSE(CONTROL!$C$9, $D$9, 100%, $F$9) + CHOOSE(CONTROL!$C$27, 0.0021, 0)</f>
        <v>150.62180000000001</v>
      </c>
      <c r="F948" s="14">
        <f>150.6197 * CHOOSE(CONTROL!$C$9, $D$9, 100%, $F$9) + CHOOSE(CONTROL!$C$27, 0.0021, 0)</f>
        <v>150.62180000000001</v>
      </c>
      <c r="G948" s="14">
        <f>150.891 * CHOOSE(CONTROL!$C$9, $D$9, 100%, $F$9) + CHOOSE(CONTROL!$C$27, 0.0021, 0)</f>
        <v>150.8931</v>
      </c>
      <c r="H948" s="14">
        <f>150.7563 * CHOOSE(CONTROL!$C$9, $D$9, 100%, $F$9) + CHOOSE(CONTROL!$C$27, 0.0021, 0)</f>
        <v>150.75840000000002</v>
      </c>
      <c r="I948" s="14">
        <f>150.7563 * CHOOSE(CONTROL!$C$9, $D$9, 100%, $F$9) + CHOOSE(CONTROL!$C$27, 0.0021, 0)</f>
        <v>150.75840000000002</v>
      </c>
      <c r="J948" s="14">
        <f>150.7563 * CHOOSE(CONTROL!$C$9, $D$9, 100%, $F$9) + CHOOSE(CONTROL!$C$27, 0.0021, 0)</f>
        <v>150.75840000000002</v>
      </c>
      <c r="K948" s="14">
        <f>150.7563 * CHOOSE(CONTROL!$C$9, $D$9, 100%, $F$9) + CHOOSE(CONTROL!$C$27, 0.0021, 0)</f>
        <v>150.75840000000002</v>
      </c>
      <c r="L948" s="14"/>
    </row>
    <row r="949" spans="1:12" ht="15.75" x14ac:dyDescent="0.25">
      <c r="A949" s="32">
        <v>69822</v>
      </c>
      <c r="B949" s="14">
        <f>150.7747 * CHOOSE(CONTROL!$C$9, $D$9, 100%, $F$9) + CHOOSE(CONTROL!$C$27, 0.0021, 0)</f>
        <v>150.77680000000001</v>
      </c>
      <c r="C949" s="14">
        <f>150.3424 * CHOOSE(CONTROL!$C$9, $D$9, 100%, $F$9) + CHOOSE(CONTROL!$C$27, 0.0021, 0)</f>
        <v>150.34450000000001</v>
      </c>
      <c r="D949" s="14">
        <f>150.3424 * CHOOSE(CONTROL!$C$9, $D$9, 100%, $F$9) + CHOOSE(CONTROL!$C$27, 0.0021, 0)</f>
        <v>150.34450000000001</v>
      </c>
      <c r="E949" s="14">
        <f>150.2058 * CHOOSE(CONTROL!$C$9, $D$9, 100%, $F$9) + CHOOSE(CONTROL!$C$27, 0.0021, 0)</f>
        <v>150.20790000000002</v>
      </c>
      <c r="F949" s="14">
        <f>150.2058 * CHOOSE(CONTROL!$C$9, $D$9, 100%, $F$9) + CHOOSE(CONTROL!$C$27, 0.0021, 0)</f>
        <v>150.20790000000002</v>
      </c>
      <c r="G949" s="14">
        <f>150.4772 * CHOOSE(CONTROL!$C$9, $D$9, 100%, $F$9) + CHOOSE(CONTROL!$C$27, 0.0021, 0)</f>
        <v>150.47930000000002</v>
      </c>
      <c r="H949" s="14">
        <f>150.3424 * CHOOSE(CONTROL!$C$9, $D$9, 100%, $F$9) + CHOOSE(CONTROL!$C$27, 0.0021, 0)</f>
        <v>150.34450000000001</v>
      </c>
      <c r="I949" s="14">
        <f>150.3424 * CHOOSE(CONTROL!$C$9, $D$9, 100%, $F$9) + CHOOSE(CONTROL!$C$27, 0.0021, 0)</f>
        <v>150.34450000000001</v>
      </c>
      <c r="J949" s="14">
        <f>150.3424 * CHOOSE(CONTROL!$C$9, $D$9, 100%, $F$9) + CHOOSE(CONTROL!$C$27, 0.0021, 0)</f>
        <v>150.34450000000001</v>
      </c>
      <c r="K949" s="14">
        <f>150.3424 * CHOOSE(CONTROL!$C$9, $D$9, 100%, $F$9) + CHOOSE(CONTROL!$C$27, 0.0021, 0)</f>
        <v>150.34450000000001</v>
      </c>
      <c r="L949" s="14"/>
    </row>
    <row r="950" spans="1:12" ht="15.75" x14ac:dyDescent="0.25">
      <c r="A950" s="32">
        <v>69853</v>
      </c>
      <c r="B950" s="14">
        <f>158.6006 * CHOOSE(CONTROL!$C$9, $D$9, 100%, $F$9) + CHOOSE(CONTROL!$C$27, 0.0021, 0)</f>
        <v>158.6027</v>
      </c>
      <c r="C950" s="14">
        <f>158.1683 * CHOOSE(CONTROL!$C$9, $D$9, 100%, $F$9) + CHOOSE(CONTROL!$C$27, 0.0021, 0)</f>
        <v>158.1704</v>
      </c>
      <c r="D950" s="14">
        <f>158.1683 * CHOOSE(CONTROL!$C$9, $D$9, 100%, $F$9) + CHOOSE(CONTROL!$C$27, 0.0021, 0)</f>
        <v>158.1704</v>
      </c>
      <c r="E950" s="14">
        <f>158.0317 * CHOOSE(CONTROL!$C$9, $D$9, 100%, $F$9) + CHOOSE(CONTROL!$C$27, 0.0021, 0)</f>
        <v>158.03380000000001</v>
      </c>
      <c r="F950" s="14">
        <f>158.0317 * CHOOSE(CONTROL!$C$9, $D$9, 100%, $F$9) + CHOOSE(CONTROL!$C$27, 0.0021, 0)</f>
        <v>158.03380000000001</v>
      </c>
      <c r="G950" s="14">
        <f>158.303 * CHOOSE(CONTROL!$C$9, $D$9, 100%, $F$9) + CHOOSE(CONTROL!$C$27, 0.0021, 0)</f>
        <v>158.30510000000001</v>
      </c>
      <c r="H950" s="14">
        <f>158.1683 * CHOOSE(CONTROL!$C$9, $D$9, 100%, $F$9) + CHOOSE(CONTROL!$C$27, 0.0021, 0)</f>
        <v>158.1704</v>
      </c>
      <c r="I950" s="14">
        <f>158.1683 * CHOOSE(CONTROL!$C$9, $D$9, 100%, $F$9) + CHOOSE(CONTROL!$C$27, 0.0021, 0)</f>
        <v>158.1704</v>
      </c>
      <c r="J950" s="14">
        <f>158.1683 * CHOOSE(CONTROL!$C$9, $D$9, 100%, $F$9) + CHOOSE(CONTROL!$C$27, 0.0021, 0)</f>
        <v>158.1704</v>
      </c>
      <c r="K950" s="14">
        <f>158.1683 * CHOOSE(CONTROL!$C$9, $D$9, 100%, $F$9) + CHOOSE(CONTROL!$C$27, 0.0021, 0)</f>
        <v>158.1704</v>
      </c>
      <c r="L950" s="14"/>
    </row>
    <row r="951" spans="1:12" ht="15.75" x14ac:dyDescent="0.25">
      <c r="A951" s="32">
        <v>69883</v>
      </c>
      <c r="B951" s="14">
        <f>168.7489 * CHOOSE(CONTROL!$C$9, $D$9, 100%, $F$9) + CHOOSE(CONTROL!$C$27, 0.0021, 0)</f>
        <v>168.751</v>
      </c>
      <c r="C951" s="14">
        <f>168.3166 * CHOOSE(CONTROL!$C$9, $D$9, 100%, $F$9) + CHOOSE(CONTROL!$C$27, 0.0021, 0)</f>
        <v>168.31870000000001</v>
      </c>
      <c r="D951" s="14">
        <f>168.3166 * CHOOSE(CONTROL!$C$9, $D$9, 100%, $F$9) + CHOOSE(CONTROL!$C$27, 0.0021, 0)</f>
        <v>168.31870000000001</v>
      </c>
      <c r="E951" s="14">
        <f>168.18 * CHOOSE(CONTROL!$C$9, $D$9, 100%, $F$9) + CHOOSE(CONTROL!$C$27, 0.0021, 0)</f>
        <v>168.18210000000002</v>
      </c>
      <c r="F951" s="14">
        <f>168.18 * CHOOSE(CONTROL!$C$9, $D$9, 100%, $F$9) + CHOOSE(CONTROL!$C$27, 0.0021, 0)</f>
        <v>168.18210000000002</v>
      </c>
      <c r="G951" s="14">
        <f>168.4513 * CHOOSE(CONTROL!$C$9, $D$9, 100%, $F$9) + CHOOSE(CONTROL!$C$27, 0.0021, 0)</f>
        <v>168.45340000000002</v>
      </c>
      <c r="H951" s="14">
        <f>168.3166 * CHOOSE(CONTROL!$C$9, $D$9, 100%, $F$9) + CHOOSE(CONTROL!$C$27, 0.0021, 0)</f>
        <v>168.31870000000001</v>
      </c>
      <c r="I951" s="14">
        <f>168.3166 * CHOOSE(CONTROL!$C$9, $D$9, 100%, $F$9) + CHOOSE(CONTROL!$C$27, 0.0021, 0)</f>
        <v>168.31870000000001</v>
      </c>
      <c r="J951" s="14">
        <f>168.3166 * CHOOSE(CONTROL!$C$9, $D$9, 100%, $F$9) + CHOOSE(CONTROL!$C$27, 0.0021, 0)</f>
        <v>168.31870000000001</v>
      </c>
      <c r="K951" s="14">
        <f>168.3166 * CHOOSE(CONTROL!$C$9, $D$9, 100%, $F$9) + CHOOSE(CONTROL!$C$27, 0.0021, 0)</f>
        <v>168.31870000000001</v>
      </c>
      <c r="L951" s="14"/>
    </row>
    <row r="952" spans="1:12" ht="15.75" x14ac:dyDescent="0.25">
      <c r="A952" s="32">
        <v>69914</v>
      </c>
      <c r="B952" s="14">
        <f>174.3348 * CHOOSE(CONTROL!$C$9, $D$9, 100%, $F$9) + CHOOSE(CONTROL!$C$27, 0.0021, 0)</f>
        <v>174.33690000000001</v>
      </c>
      <c r="C952" s="14">
        <f>173.9026 * CHOOSE(CONTROL!$C$9, $D$9, 100%, $F$9) + CHOOSE(CONTROL!$C$27, 0.0021, 0)</f>
        <v>173.90470000000002</v>
      </c>
      <c r="D952" s="14">
        <f>173.9026 * CHOOSE(CONTROL!$C$9, $D$9, 100%, $F$9) + CHOOSE(CONTROL!$C$27, 0.0021, 0)</f>
        <v>173.90470000000002</v>
      </c>
      <c r="E952" s="14">
        <f>173.7659 * CHOOSE(CONTROL!$C$9, $D$9, 100%, $F$9) + CHOOSE(CONTROL!$C$27, 0.0021, 0)</f>
        <v>173.768</v>
      </c>
      <c r="F952" s="14">
        <f>173.7659 * CHOOSE(CONTROL!$C$9, $D$9, 100%, $F$9) + CHOOSE(CONTROL!$C$27, 0.0021, 0)</f>
        <v>173.768</v>
      </c>
      <c r="G952" s="14">
        <f>174.0373 * CHOOSE(CONTROL!$C$9, $D$9, 100%, $F$9) + CHOOSE(CONTROL!$C$27, 0.0021, 0)</f>
        <v>174.0394</v>
      </c>
      <c r="H952" s="14">
        <f>173.9026 * CHOOSE(CONTROL!$C$9, $D$9, 100%, $F$9) + CHOOSE(CONTROL!$C$27, 0.0021, 0)</f>
        <v>173.90470000000002</v>
      </c>
      <c r="I952" s="14">
        <f>173.9026 * CHOOSE(CONTROL!$C$9, $D$9, 100%, $F$9) + CHOOSE(CONTROL!$C$27, 0.0021, 0)</f>
        <v>173.90470000000002</v>
      </c>
      <c r="J952" s="14">
        <f>173.9026 * CHOOSE(CONTROL!$C$9, $D$9, 100%, $F$9) + CHOOSE(CONTROL!$C$27, 0.0021, 0)</f>
        <v>173.90470000000002</v>
      </c>
      <c r="K952" s="14">
        <f>173.9026 * CHOOSE(CONTROL!$C$9, $D$9, 100%, $F$9) + CHOOSE(CONTROL!$C$27, 0.0021, 0)</f>
        <v>173.90470000000002</v>
      </c>
      <c r="L952" s="14"/>
    </row>
    <row r="953" spans="1:12" ht="15.75" x14ac:dyDescent="0.25">
      <c r="A953" s="32">
        <v>69944</v>
      </c>
      <c r="B953" s="14">
        <f>176.8138 * CHOOSE(CONTROL!$C$9, $D$9, 100%, $F$9) + CHOOSE(CONTROL!$C$27, 0.0021, 0)</f>
        <v>176.8159</v>
      </c>
      <c r="C953" s="14">
        <f>176.3815 * CHOOSE(CONTROL!$C$9, $D$9, 100%, $F$9) + CHOOSE(CONTROL!$C$27, 0.0021, 0)</f>
        <v>176.3836</v>
      </c>
      <c r="D953" s="14">
        <f>176.3815 * CHOOSE(CONTROL!$C$9, $D$9, 100%, $F$9) + CHOOSE(CONTROL!$C$27, 0.0021, 0)</f>
        <v>176.3836</v>
      </c>
      <c r="E953" s="14">
        <f>176.2449 * CHOOSE(CONTROL!$C$9, $D$9, 100%, $F$9) + CHOOSE(CONTROL!$C$27, 0.0021, 0)</f>
        <v>176.24700000000001</v>
      </c>
      <c r="F953" s="14">
        <f>176.2449 * CHOOSE(CONTROL!$C$9, $D$9, 100%, $F$9) + CHOOSE(CONTROL!$C$27, 0.0021, 0)</f>
        <v>176.24700000000001</v>
      </c>
      <c r="G953" s="14">
        <f>176.5162 * CHOOSE(CONTROL!$C$9, $D$9, 100%, $F$9) + CHOOSE(CONTROL!$C$27, 0.0021, 0)</f>
        <v>176.51830000000001</v>
      </c>
      <c r="H953" s="14">
        <f>176.3815 * CHOOSE(CONTROL!$C$9, $D$9, 100%, $F$9) + CHOOSE(CONTROL!$C$27, 0.0021, 0)</f>
        <v>176.3836</v>
      </c>
      <c r="I953" s="14">
        <f>176.3815 * CHOOSE(CONTROL!$C$9, $D$9, 100%, $F$9) + CHOOSE(CONTROL!$C$27, 0.0021, 0)</f>
        <v>176.3836</v>
      </c>
      <c r="J953" s="14">
        <f>176.3815 * CHOOSE(CONTROL!$C$9, $D$9, 100%, $F$9) + CHOOSE(CONTROL!$C$27, 0.0021, 0)</f>
        <v>176.3836</v>
      </c>
      <c r="K953" s="14">
        <f>176.3815 * CHOOSE(CONTROL!$C$9, $D$9, 100%, $F$9) + CHOOSE(CONTROL!$C$27, 0.0021, 0)</f>
        <v>176.3836</v>
      </c>
      <c r="L953" s="14"/>
    </row>
    <row r="954" spans="1:12" ht="15.75" x14ac:dyDescent="0.25">
      <c r="A954" s="32">
        <v>69975</v>
      </c>
      <c r="B954" s="14">
        <f>175.9976 * CHOOSE(CONTROL!$C$9, $D$9, 100%, $F$9) + CHOOSE(CONTROL!$C$27, 0.0021, 0)</f>
        <v>175.99970000000002</v>
      </c>
      <c r="C954" s="14">
        <f>175.5653 * CHOOSE(CONTROL!$C$9, $D$9, 100%, $F$9) + CHOOSE(CONTROL!$C$27, 0.0021, 0)</f>
        <v>175.56740000000002</v>
      </c>
      <c r="D954" s="14">
        <f>175.5653 * CHOOSE(CONTROL!$C$9, $D$9, 100%, $F$9) + CHOOSE(CONTROL!$C$27, 0.0021, 0)</f>
        <v>175.56740000000002</v>
      </c>
      <c r="E954" s="14">
        <f>175.4287 * CHOOSE(CONTROL!$C$9, $D$9, 100%, $F$9) + CHOOSE(CONTROL!$C$27, 0.0021, 0)</f>
        <v>175.4308</v>
      </c>
      <c r="F954" s="14">
        <f>175.4287 * CHOOSE(CONTROL!$C$9, $D$9, 100%, $F$9) + CHOOSE(CONTROL!$C$27, 0.0021, 0)</f>
        <v>175.4308</v>
      </c>
      <c r="G954" s="14">
        <f>175.7001 * CHOOSE(CONTROL!$C$9, $D$9, 100%, $F$9) + CHOOSE(CONTROL!$C$27, 0.0021, 0)</f>
        <v>175.7022</v>
      </c>
      <c r="H954" s="14">
        <f>175.5653 * CHOOSE(CONTROL!$C$9, $D$9, 100%, $F$9) + CHOOSE(CONTROL!$C$27, 0.0021, 0)</f>
        <v>175.56740000000002</v>
      </c>
      <c r="I954" s="14">
        <f>175.5653 * CHOOSE(CONTROL!$C$9, $D$9, 100%, $F$9) + CHOOSE(CONTROL!$C$27, 0.0021, 0)</f>
        <v>175.56740000000002</v>
      </c>
      <c r="J954" s="14">
        <f>175.5653 * CHOOSE(CONTROL!$C$9, $D$9, 100%, $F$9) + CHOOSE(CONTROL!$C$27, 0.0021, 0)</f>
        <v>175.56740000000002</v>
      </c>
      <c r="K954" s="14">
        <f>175.5653 * CHOOSE(CONTROL!$C$9, $D$9, 100%, $F$9) + CHOOSE(CONTROL!$C$27, 0.0021, 0)</f>
        <v>175.56740000000002</v>
      </c>
      <c r="L954" s="14"/>
    </row>
    <row r="955" spans="1:12" ht="15.75" x14ac:dyDescent="0.25">
      <c r="A955" s="32">
        <v>70006</v>
      </c>
      <c r="B955" s="14">
        <f>171.9538 * CHOOSE(CONTROL!$C$9, $D$9, 100%, $F$9) + CHOOSE(CONTROL!$C$27, 0.0021, 0)</f>
        <v>171.95590000000001</v>
      </c>
      <c r="C955" s="14">
        <f>171.5215 * CHOOSE(CONTROL!$C$9, $D$9, 100%, $F$9) + CHOOSE(CONTROL!$C$27, 0.0021, 0)</f>
        <v>171.52360000000002</v>
      </c>
      <c r="D955" s="14">
        <f>171.5215 * CHOOSE(CONTROL!$C$9, $D$9, 100%, $F$9) + CHOOSE(CONTROL!$C$27, 0.0021, 0)</f>
        <v>171.52360000000002</v>
      </c>
      <c r="E955" s="14">
        <f>171.3849 * CHOOSE(CONTROL!$C$9, $D$9, 100%, $F$9) + CHOOSE(CONTROL!$C$27, 0.0021, 0)</f>
        <v>171.387</v>
      </c>
      <c r="F955" s="14">
        <f>171.3849 * CHOOSE(CONTROL!$C$9, $D$9, 100%, $F$9) + CHOOSE(CONTROL!$C$27, 0.0021, 0)</f>
        <v>171.387</v>
      </c>
      <c r="G955" s="14">
        <f>171.6563 * CHOOSE(CONTROL!$C$9, $D$9, 100%, $F$9) + CHOOSE(CONTROL!$C$27, 0.0021, 0)</f>
        <v>171.6584</v>
      </c>
      <c r="H955" s="14">
        <f>171.5215 * CHOOSE(CONTROL!$C$9, $D$9, 100%, $F$9) + CHOOSE(CONTROL!$C$27, 0.0021, 0)</f>
        <v>171.52360000000002</v>
      </c>
      <c r="I955" s="14">
        <f>171.5215 * CHOOSE(CONTROL!$C$9, $D$9, 100%, $F$9) + CHOOSE(CONTROL!$C$27, 0.0021, 0)</f>
        <v>171.52360000000002</v>
      </c>
      <c r="J955" s="14">
        <f>171.5215 * CHOOSE(CONTROL!$C$9, $D$9, 100%, $F$9) + CHOOSE(CONTROL!$C$27, 0.0021, 0)</f>
        <v>171.52360000000002</v>
      </c>
      <c r="K955" s="14">
        <f>171.5215 * CHOOSE(CONTROL!$C$9, $D$9, 100%, $F$9) + CHOOSE(CONTROL!$C$27, 0.0021, 0)</f>
        <v>171.52360000000002</v>
      </c>
      <c r="L955" s="14"/>
    </row>
    <row r="956" spans="1:12" ht="15.75" x14ac:dyDescent="0.25">
      <c r="A956" s="32">
        <v>70036</v>
      </c>
      <c r="B956" s="14">
        <f>166.3145 * CHOOSE(CONTROL!$C$9, $D$9, 100%, $F$9) + CHOOSE(CONTROL!$C$27, 0.0021, 0)</f>
        <v>166.31660000000002</v>
      </c>
      <c r="C956" s="14">
        <f>165.8823 * CHOOSE(CONTROL!$C$9, $D$9, 100%, $F$9) + CHOOSE(CONTROL!$C$27, 0.0021, 0)</f>
        <v>165.8844</v>
      </c>
      <c r="D956" s="14">
        <f>165.8823 * CHOOSE(CONTROL!$C$9, $D$9, 100%, $F$9) + CHOOSE(CONTROL!$C$27, 0.0021, 0)</f>
        <v>165.8844</v>
      </c>
      <c r="E956" s="14">
        <f>165.7456 * CHOOSE(CONTROL!$C$9, $D$9, 100%, $F$9) + CHOOSE(CONTROL!$C$27, 0.0021, 0)</f>
        <v>165.74770000000001</v>
      </c>
      <c r="F956" s="14">
        <f>165.7456 * CHOOSE(CONTROL!$C$9, $D$9, 100%, $F$9) + CHOOSE(CONTROL!$C$27, 0.0021, 0)</f>
        <v>165.74770000000001</v>
      </c>
      <c r="G956" s="14">
        <f>166.017 * CHOOSE(CONTROL!$C$9, $D$9, 100%, $F$9) + CHOOSE(CONTROL!$C$27, 0.0021, 0)</f>
        <v>166.01910000000001</v>
      </c>
      <c r="H956" s="14">
        <f>165.8823 * CHOOSE(CONTROL!$C$9, $D$9, 100%, $F$9) + CHOOSE(CONTROL!$C$27, 0.0021, 0)</f>
        <v>165.8844</v>
      </c>
      <c r="I956" s="14">
        <f>165.8823 * CHOOSE(CONTROL!$C$9, $D$9, 100%, $F$9) + CHOOSE(CONTROL!$C$27, 0.0021, 0)</f>
        <v>165.8844</v>
      </c>
      <c r="J956" s="14">
        <f>165.8823 * CHOOSE(CONTROL!$C$9, $D$9, 100%, $F$9) + CHOOSE(CONTROL!$C$27, 0.0021, 0)</f>
        <v>165.8844</v>
      </c>
      <c r="K956" s="14">
        <f>165.8823 * CHOOSE(CONTROL!$C$9, $D$9, 100%, $F$9) + CHOOSE(CONTROL!$C$27, 0.0021, 0)</f>
        <v>165.8844</v>
      </c>
      <c r="L956" s="14"/>
    </row>
    <row r="957" spans="1:12" ht="15.75" x14ac:dyDescent="0.25">
      <c r="A957" s="32">
        <v>70067</v>
      </c>
      <c r="B957" s="14">
        <f>160.6425 * CHOOSE(CONTROL!$C$9, $D$9, 100%, $F$9) + CHOOSE(CONTROL!$C$27, 0.0021, 0)</f>
        <v>160.64460000000003</v>
      </c>
      <c r="C957" s="14">
        <f>160.2102 * CHOOSE(CONTROL!$C$9, $D$9, 100%, $F$9) + CHOOSE(CONTROL!$C$27, 0.0021, 0)</f>
        <v>160.2123</v>
      </c>
      <c r="D957" s="14">
        <f>160.2102 * CHOOSE(CONTROL!$C$9, $D$9, 100%, $F$9) + CHOOSE(CONTROL!$C$27, 0.0021, 0)</f>
        <v>160.2123</v>
      </c>
      <c r="E957" s="14">
        <f>160.0736 * CHOOSE(CONTROL!$C$9, $D$9, 100%, $F$9) + CHOOSE(CONTROL!$C$27, 0.0021, 0)</f>
        <v>160.07570000000001</v>
      </c>
      <c r="F957" s="14">
        <f>160.0736 * CHOOSE(CONTROL!$C$9, $D$9, 100%, $F$9) + CHOOSE(CONTROL!$C$27, 0.0021, 0)</f>
        <v>160.07570000000001</v>
      </c>
      <c r="G957" s="14">
        <f>160.345 * CHOOSE(CONTROL!$C$9, $D$9, 100%, $F$9) + CHOOSE(CONTROL!$C$27, 0.0021, 0)</f>
        <v>160.34710000000001</v>
      </c>
      <c r="H957" s="14">
        <f>160.2102 * CHOOSE(CONTROL!$C$9, $D$9, 100%, $F$9) + CHOOSE(CONTROL!$C$27, 0.0021, 0)</f>
        <v>160.2123</v>
      </c>
      <c r="I957" s="14">
        <f>160.2102 * CHOOSE(CONTROL!$C$9, $D$9, 100%, $F$9) + CHOOSE(CONTROL!$C$27, 0.0021, 0)</f>
        <v>160.2123</v>
      </c>
      <c r="J957" s="14">
        <f>160.2102 * CHOOSE(CONTROL!$C$9, $D$9, 100%, $F$9) + CHOOSE(CONTROL!$C$27, 0.0021, 0)</f>
        <v>160.2123</v>
      </c>
      <c r="K957" s="14">
        <f>160.2102 * CHOOSE(CONTROL!$C$9, $D$9, 100%, $F$9) + CHOOSE(CONTROL!$C$27, 0.0021, 0)</f>
        <v>160.2123</v>
      </c>
      <c r="L957" s="14"/>
    </row>
    <row r="958" spans="1:12" ht="15.75" x14ac:dyDescent="0.25">
      <c r="A958" s="32">
        <v>70097</v>
      </c>
      <c r="B958" s="14">
        <f>159.5142 * CHOOSE(CONTROL!$C$9, $D$9, 100%, $F$9) + CHOOSE(CONTROL!$C$27, 0.0021, 0)</f>
        <v>159.5163</v>
      </c>
      <c r="C958" s="14">
        <f>159.082 * CHOOSE(CONTROL!$C$9, $D$9, 100%, $F$9) + CHOOSE(CONTROL!$C$27, 0.0021, 0)</f>
        <v>159.08410000000001</v>
      </c>
      <c r="D958" s="14">
        <f>159.082 * CHOOSE(CONTROL!$C$9, $D$9, 100%, $F$9) + CHOOSE(CONTROL!$C$27, 0.0021, 0)</f>
        <v>159.08410000000001</v>
      </c>
      <c r="E958" s="14">
        <f>158.9453 * CHOOSE(CONTROL!$C$9, $D$9, 100%, $F$9) + CHOOSE(CONTROL!$C$27, 0.0021, 0)</f>
        <v>158.94740000000002</v>
      </c>
      <c r="F958" s="14">
        <f>158.9453 * CHOOSE(CONTROL!$C$9, $D$9, 100%, $F$9) + CHOOSE(CONTROL!$C$27, 0.0021, 0)</f>
        <v>158.94740000000002</v>
      </c>
      <c r="G958" s="14">
        <f>159.2167 * CHOOSE(CONTROL!$C$9, $D$9, 100%, $F$9) + CHOOSE(CONTROL!$C$27, 0.0021, 0)</f>
        <v>159.21880000000002</v>
      </c>
      <c r="H958" s="14">
        <f>159.082 * CHOOSE(CONTROL!$C$9, $D$9, 100%, $F$9) + CHOOSE(CONTROL!$C$27, 0.0021, 0)</f>
        <v>159.08410000000001</v>
      </c>
      <c r="I958" s="14">
        <f>159.082 * CHOOSE(CONTROL!$C$9, $D$9, 100%, $F$9) + CHOOSE(CONTROL!$C$27, 0.0021, 0)</f>
        <v>159.08410000000001</v>
      </c>
      <c r="J958" s="14">
        <f>159.082 * CHOOSE(CONTROL!$C$9, $D$9, 100%, $F$9) + CHOOSE(CONTROL!$C$27, 0.0021, 0)</f>
        <v>159.08410000000001</v>
      </c>
      <c r="K958" s="14">
        <f>159.082 * CHOOSE(CONTROL!$C$9, $D$9, 100%, $F$9) + CHOOSE(CONTROL!$C$27, 0.0021, 0)</f>
        <v>159.08410000000001</v>
      </c>
      <c r="L958" s="14"/>
    </row>
    <row r="959" spans="1:12" ht="15.75" x14ac:dyDescent="0.25">
      <c r="A959" s="32">
        <v>70128</v>
      </c>
      <c r="B959" s="14">
        <f>154.8486 * CHOOSE(CONTROL!$C$9, $D$9, 100%, $F$9) + CHOOSE(CONTROL!$C$27, 0.0021, 0)</f>
        <v>154.85070000000002</v>
      </c>
      <c r="C959" s="14">
        <f>154.4164 * CHOOSE(CONTROL!$C$9, $D$9, 100%, $F$9) + CHOOSE(CONTROL!$C$27, 0.0021, 0)</f>
        <v>154.41850000000002</v>
      </c>
      <c r="D959" s="14">
        <f>154.4164 * CHOOSE(CONTROL!$C$9, $D$9, 100%, $F$9) + CHOOSE(CONTROL!$C$27, 0.0021, 0)</f>
        <v>154.41850000000002</v>
      </c>
      <c r="E959" s="14">
        <f>154.2797 * CHOOSE(CONTROL!$C$9, $D$9, 100%, $F$9) + CHOOSE(CONTROL!$C$27, 0.0021, 0)</f>
        <v>154.2818</v>
      </c>
      <c r="F959" s="14">
        <f>154.2797 * CHOOSE(CONTROL!$C$9, $D$9, 100%, $F$9) + CHOOSE(CONTROL!$C$27, 0.0021, 0)</f>
        <v>154.2818</v>
      </c>
      <c r="G959" s="14">
        <f>154.5511 * CHOOSE(CONTROL!$C$9, $D$9, 100%, $F$9) + CHOOSE(CONTROL!$C$27, 0.0021, 0)</f>
        <v>154.5532</v>
      </c>
      <c r="H959" s="14">
        <f>154.4164 * CHOOSE(CONTROL!$C$9, $D$9, 100%, $F$9) + CHOOSE(CONTROL!$C$27, 0.0021, 0)</f>
        <v>154.41850000000002</v>
      </c>
      <c r="I959" s="14">
        <f>154.4164 * CHOOSE(CONTROL!$C$9, $D$9, 100%, $F$9) + CHOOSE(CONTROL!$C$27, 0.0021, 0)</f>
        <v>154.41850000000002</v>
      </c>
      <c r="J959" s="14">
        <f>154.4164 * CHOOSE(CONTROL!$C$9, $D$9, 100%, $F$9) + CHOOSE(CONTROL!$C$27, 0.0021, 0)</f>
        <v>154.41850000000002</v>
      </c>
      <c r="K959" s="14">
        <f>154.4164 * CHOOSE(CONTROL!$C$9, $D$9, 100%, $F$9) + CHOOSE(CONTROL!$C$27, 0.0021, 0)</f>
        <v>154.41850000000002</v>
      </c>
      <c r="L959" s="14"/>
    </row>
    <row r="960" spans="1:12" ht="15.75" x14ac:dyDescent="0.25">
      <c r="A960" s="32">
        <v>70159</v>
      </c>
      <c r="B960" s="14">
        <f>153.9403 * CHOOSE(CONTROL!$C$9, $D$9, 100%, $F$9) + CHOOSE(CONTROL!$C$27, 0.0021, 0)</f>
        <v>153.94240000000002</v>
      </c>
      <c r="C960" s="14">
        <f>153.508 * CHOOSE(CONTROL!$C$9, $D$9, 100%, $F$9) + CHOOSE(CONTROL!$C$27, 0.0021, 0)</f>
        <v>153.51010000000002</v>
      </c>
      <c r="D960" s="14">
        <f>153.508 * CHOOSE(CONTROL!$C$9, $D$9, 100%, $F$9) + CHOOSE(CONTROL!$C$27, 0.0021, 0)</f>
        <v>153.51010000000002</v>
      </c>
      <c r="E960" s="14">
        <f>153.3714 * CHOOSE(CONTROL!$C$9, $D$9, 100%, $F$9) + CHOOSE(CONTROL!$C$27, 0.0021, 0)</f>
        <v>153.37350000000001</v>
      </c>
      <c r="F960" s="14">
        <f>153.3714 * CHOOSE(CONTROL!$C$9, $D$9, 100%, $F$9) + CHOOSE(CONTROL!$C$27, 0.0021, 0)</f>
        <v>153.37350000000001</v>
      </c>
      <c r="G960" s="14">
        <f>153.6428 * CHOOSE(CONTROL!$C$9, $D$9, 100%, $F$9) + CHOOSE(CONTROL!$C$27, 0.0021, 0)</f>
        <v>153.64490000000001</v>
      </c>
      <c r="H960" s="14">
        <f>153.508 * CHOOSE(CONTROL!$C$9, $D$9, 100%, $F$9) + CHOOSE(CONTROL!$C$27, 0.0021, 0)</f>
        <v>153.51010000000002</v>
      </c>
      <c r="I960" s="14">
        <f>153.508 * CHOOSE(CONTROL!$C$9, $D$9, 100%, $F$9) + CHOOSE(CONTROL!$C$27, 0.0021, 0)</f>
        <v>153.51010000000002</v>
      </c>
      <c r="J960" s="14">
        <f>153.508 * CHOOSE(CONTROL!$C$9, $D$9, 100%, $F$9) + CHOOSE(CONTROL!$C$27, 0.0021, 0)</f>
        <v>153.51010000000002</v>
      </c>
      <c r="K960" s="14">
        <f>153.508 * CHOOSE(CONTROL!$C$9, $D$9, 100%, $F$9) + CHOOSE(CONTROL!$C$27, 0.0021, 0)</f>
        <v>153.51010000000002</v>
      </c>
      <c r="L960" s="14"/>
    </row>
    <row r="961" spans="1:12" ht="15.75" x14ac:dyDescent="0.25">
      <c r="A961" s="32">
        <v>70188</v>
      </c>
      <c r="B961" s="14">
        <f>153.5188 * CHOOSE(CONTROL!$C$9, $D$9, 100%, $F$9) + CHOOSE(CONTROL!$C$27, 0.0021, 0)</f>
        <v>153.52090000000001</v>
      </c>
      <c r="C961" s="14">
        <f>153.0865 * CHOOSE(CONTROL!$C$9, $D$9, 100%, $F$9) + CHOOSE(CONTROL!$C$27, 0.0021, 0)</f>
        <v>153.08860000000001</v>
      </c>
      <c r="D961" s="14">
        <f>153.0865 * CHOOSE(CONTROL!$C$9, $D$9, 100%, $F$9) + CHOOSE(CONTROL!$C$27, 0.0021, 0)</f>
        <v>153.08860000000001</v>
      </c>
      <c r="E961" s="14">
        <f>152.9499 * CHOOSE(CONTROL!$C$9, $D$9, 100%, $F$9) + CHOOSE(CONTROL!$C$27, 0.0021, 0)</f>
        <v>152.95200000000003</v>
      </c>
      <c r="F961" s="14">
        <f>152.9499 * CHOOSE(CONTROL!$C$9, $D$9, 100%, $F$9) + CHOOSE(CONTROL!$C$27, 0.0021, 0)</f>
        <v>152.95200000000003</v>
      </c>
      <c r="G961" s="14">
        <f>153.2212 * CHOOSE(CONTROL!$C$9, $D$9, 100%, $F$9) + CHOOSE(CONTROL!$C$27, 0.0021, 0)</f>
        <v>153.22330000000002</v>
      </c>
      <c r="H961" s="14">
        <f>153.0865 * CHOOSE(CONTROL!$C$9, $D$9, 100%, $F$9) + CHOOSE(CONTROL!$C$27, 0.0021, 0)</f>
        <v>153.08860000000001</v>
      </c>
      <c r="I961" s="14">
        <f>153.0865 * CHOOSE(CONTROL!$C$9, $D$9, 100%, $F$9) + CHOOSE(CONTROL!$C$27, 0.0021, 0)</f>
        <v>153.08860000000001</v>
      </c>
      <c r="J961" s="14">
        <f>153.0865 * CHOOSE(CONTROL!$C$9, $D$9, 100%, $F$9) + CHOOSE(CONTROL!$C$27, 0.0021, 0)</f>
        <v>153.08860000000001</v>
      </c>
      <c r="K961" s="14">
        <f>153.0865 * CHOOSE(CONTROL!$C$9, $D$9, 100%, $F$9) + CHOOSE(CONTROL!$C$27, 0.0021, 0)</f>
        <v>153.08860000000001</v>
      </c>
      <c r="L961" s="14"/>
    </row>
    <row r="962" spans="1:12" ht="15.75" x14ac:dyDescent="0.25">
      <c r="A962" s="32">
        <v>70219</v>
      </c>
      <c r="B962" s="14">
        <f>161.4893 * CHOOSE(CONTROL!$C$9, $D$9, 100%, $F$9) + CHOOSE(CONTROL!$C$27, 0.0021, 0)</f>
        <v>161.4914</v>
      </c>
      <c r="C962" s="14">
        <f>161.057 * CHOOSE(CONTROL!$C$9, $D$9, 100%, $F$9) + CHOOSE(CONTROL!$C$27, 0.0021, 0)</f>
        <v>161.0591</v>
      </c>
      <c r="D962" s="14">
        <f>161.057 * CHOOSE(CONTROL!$C$9, $D$9, 100%, $F$9) + CHOOSE(CONTROL!$C$27, 0.0021, 0)</f>
        <v>161.0591</v>
      </c>
      <c r="E962" s="14">
        <f>160.9204 * CHOOSE(CONTROL!$C$9, $D$9, 100%, $F$9) + CHOOSE(CONTROL!$C$27, 0.0021, 0)</f>
        <v>160.92250000000001</v>
      </c>
      <c r="F962" s="14">
        <f>160.9204 * CHOOSE(CONTROL!$C$9, $D$9, 100%, $F$9) + CHOOSE(CONTROL!$C$27, 0.0021, 0)</f>
        <v>160.92250000000001</v>
      </c>
      <c r="G962" s="14">
        <f>161.1917 * CHOOSE(CONTROL!$C$9, $D$9, 100%, $F$9) + CHOOSE(CONTROL!$C$27, 0.0021, 0)</f>
        <v>161.19380000000001</v>
      </c>
      <c r="H962" s="14">
        <f>161.057 * CHOOSE(CONTROL!$C$9, $D$9, 100%, $F$9) + CHOOSE(CONTROL!$C$27, 0.0021, 0)</f>
        <v>161.0591</v>
      </c>
      <c r="I962" s="14">
        <f>161.057 * CHOOSE(CONTROL!$C$9, $D$9, 100%, $F$9) + CHOOSE(CONTROL!$C$27, 0.0021, 0)</f>
        <v>161.0591</v>
      </c>
      <c r="J962" s="14">
        <f>161.057 * CHOOSE(CONTROL!$C$9, $D$9, 100%, $F$9) + CHOOSE(CONTROL!$C$27, 0.0021, 0)</f>
        <v>161.0591</v>
      </c>
      <c r="K962" s="14">
        <f>161.057 * CHOOSE(CONTROL!$C$9, $D$9, 100%, $F$9) + CHOOSE(CONTROL!$C$27, 0.0021, 0)</f>
        <v>161.0591</v>
      </c>
      <c r="L962" s="14"/>
    </row>
    <row r="963" spans="1:12" ht="15.75" x14ac:dyDescent="0.25">
      <c r="A963" s="32">
        <v>70249</v>
      </c>
      <c r="B963" s="14">
        <f>171.8251 * CHOOSE(CONTROL!$C$9, $D$9, 100%, $F$9) + CHOOSE(CONTROL!$C$27, 0.0021, 0)</f>
        <v>171.8272</v>
      </c>
      <c r="C963" s="14">
        <f>171.3929 * CHOOSE(CONTROL!$C$9, $D$9, 100%, $F$9) + CHOOSE(CONTROL!$C$27, 0.0021, 0)</f>
        <v>171.39500000000001</v>
      </c>
      <c r="D963" s="14">
        <f>171.3929 * CHOOSE(CONTROL!$C$9, $D$9, 100%, $F$9) + CHOOSE(CONTROL!$C$27, 0.0021, 0)</f>
        <v>171.39500000000001</v>
      </c>
      <c r="E963" s="14">
        <f>171.2562 * CHOOSE(CONTROL!$C$9, $D$9, 100%, $F$9) + CHOOSE(CONTROL!$C$27, 0.0021, 0)</f>
        <v>171.25830000000002</v>
      </c>
      <c r="F963" s="14">
        <f>171.2562 * CHOOSE(CONTROL!$C$9, $D$9, 100%, $F$9) + CHOOSE(CONTROL!$C$27, 0.0021, 0)</f>
        <v>171.25830000000002</v>
      </c>
      <c r="G963" s="14">
        <f>171.5276 * CHOOSE(CONTROL!$C$9, $D$9, 100%, $F$9) + CHOOSE(CONTROL!$C$27, 0.0021, 0)</f>
        <v>171.52970000000002</v>
      </c>
      <c r="H963" s="14">
        <f>171.3929 * CHOOSE(CONTROL!$C$9, $D$9, 100%, $F$9) + CHOOSE(CONTROL!$C$27, 0.0021, 0)</f>
        <v>171.39500000000001</v>
      </c>
      <c r="I963" s="14">
        <f>171.3929 * CHOOSE(CONTROL!$C$9, $D$9, 100%, $F$9) + CHOOSE(CONTROL!$C$27, 0.0021, 0)</f>
        <v>171.39500000000001</v>
      </c>
      <c r="J963" s="14">
        <f>171.3929 * CHOOSE(CONTROL!$C$9, $D$9, 100%, $F$9) + CHOOSE(CONTROL!$C$27, 0.0021, 0)</f>
        <v>171.39500000000001</v>
      </c>
      <c r="K963" s="14">
        <f>171.3929 * CHOOSE(CONTROL!$C$9, $D$9, 100%, $F$9) + CHOOSE(CONTROL!$C$27, 0.0021, 0)</f>
        <v>171.39500000000001</v>
      </c>
      <c r="L963" s="14"/>
    </row>
    <row r="964" spans="1:12" ht="15.75" x14ac:dyDescent="0.25">
      <c r="A964" s="32">
        <v>70280</v>
      </c>
      <c r="B964" s="14">
        <f>177.5143 * CHOOSE(CONTROL!$C$9, $D$9, 100%, $F$9) + CHOOSE(CONTROL!$C$27, 0.0021, 0)</f>
        <v>177.5164</v>
      </c>
      <c r="C964" s="14">
        <f>177.082 * CHOOSE(CONTROL!$C$9, $D$9, 100%, $F$9) + CHOOSE(CONTROL!$C$27, 0.0021, 0)</f>
        <v>177.08410000000001</v>
      </c>
      <c r="D964" s="14">
        <f>177.082 * CHOOSE(CONTROL!$C$9, $D$9, 100%, $F$9) + CHOOSE(CONTROL!$C$27, 0.0021, 0)</f>
        <v>177.08410000000001</v>
      </c>
      <c r="E964" s="14">
        <f>176.9454 * CHOOSE(CONTROL!$C$9, $D$9, 100%, $F$9) + CHOOSE(CONTROL!$C$27, 0.0021, 0)</f>
        <v>176.94750000000002</v>
      </c>
      <c r="F964" s="14">
        <f>176.9454 * CHOOSE(CONTROL!$C$9, $D$9, 100%, $F$9) + CHOOSE(CONTROL!$C$27, 0.0021, 0)</f>
        <v>176.94750000000002</v>
      </c>
      <c r="G964" s="14">
        <f>177.2168 * CHOOSE(CONTROL!$C$9, $D$9, 100%, $F$9) + CHOOSE(CONTROL!$C$27, 0.0021, 0)</f>
        <v>177.21890000000002</v>
      </c>
      <c r="H964" s="14">
        <f>177.082 * CHOOSE(CONTROL!$C$9, $D$9, 100%, $F$9) + CHOOSE(CONTROL!$C$27, 0.0021, 0)</f>
        <v>177.08410000000001</v>
      </c>
      <c r="I964" s="14">
        <f>177.082 * CHOOSE(CONTROL!$C$9, $D$9, 100%, $F$9) + CHOOSE(CONTROL!$C$27, 0.0021, 0)</f>
        <v>177.08410000000001</v>
      </c>
      <c r="J964" s="14">
        <f>177.082 * CHOOSE(CONTROL!$C$9, $D$9, 100%, $F$9) + CHOOSE(CONTROL!$C$27, 0.0021, 0)</f>
        <v>177.08410000000001</v>
      </c>
      <c r="K964" s="14">
        <f>177.082 * CHOOSE(CONTROL!$C$9, $D$9, 100%, $F$9) + CHOOSE(CONTROL!$C$27, 0.0021, 0)</f>
        <v>177.08410000000001</v>
      </c>
      <c r="L964" s="14"/>
    </row>
    <row r="965" spans="1:12" ht="15.75" x14ac:dyDescent="0.25">
      <c r="A965" s="32">
        <v>70310</v>
      </c>
      <c r="B965" s="14">
        <f>180.0391 * CHOOSE(CONTROL!$C$9, $D$9, 100%, $F$9) + CHOOSE(CONTROL!$C$27, 0.0021, 0)</f>
        <v>180.0412</v>
      </c>
      <c r="C965" s="14">
        <f>179.6068 * CHOOSE(CONTROL!$C$9, $D$9, 100%, $F$9) + CHOOSE(CONTROL!$C$27, 0.0021, 0)</f>
        <v>179.60890000000001</v>
      </c>
      <c r="D965" s="14">
        <f>179.6068 * CHOOSE(CONTROL!$C$9, $D$9, 100%, $F$9) + CHOOSE(CONTROL!$C$27, 0.0021, 0)</f>
        <v>179.60890000000001</v>
      </c>
      <c r="E965" s="14">
        <f>179.4701 * CHOOSE(CONTROL!$C$9, $D$9, 100%, $F$9) + CHOOSE(CONTROL!$C$27, 0.0021, 0)</f>
        <v>179.47220000000002</v>
      </c>
      <c r="F965" s="14">
        <f>179.4701 * CHOOSE(CONTROL!$C$9, $D$9, 100%, $F$9) + CHOOSE(CONTROL!$C$27, 0.0021, 0)</f>
        <v>179.47220000000002</v>
      </c>
      <c r="G965" s="14">
        <f>179.7415 * CHOOSE(CONTROL!$C$9, $D$9, 100%, $F$9) + CHOOSE(CONTROL!$C$27, 0.0021, 0)</f>
        <v>179.74360000000001</v>
      </c>
      <c r="H965" s="14">
        <f>179.6068 * CHOOSE(CONTROL!$C$9, $D$9, 100%, $F$9) + CHOOSE(CONTROL!$C$27, 0.0021, 0)</f>
        <v>179.60890000000001</v>
      </c>
      <c r="I965" s="14">
        <f>179.6068 * CHOOSE(CONTROL!$C$9, $D$9, 100%, $F$9) + CHOOSE(CONTROL!$C$27, 0.0021, 0)</f>
        <v>179.60890000000001</v>
      </c>
      <c r="J965" s="14">
        <f>179.6068 * CHOOSE(CONTROL!$C$9, $D$9, 100%, $F$9) + CHOOSE(CONTROL!$C$27, 0.0021, 0)</f>
        <v>179.60890000000001</v>
      </c>
      <c r="K965" s="14">
        <f>179.6068 * CHOOSE(CONTROL!$C$9, $D$9, 100%, $F$9) + CHOOSE(CONTROL!$C$27, 0.0021, 0)</f>
        <v>179.60890000000001</v>
      </c>
      <c r="L965" s="14"/>
    </row>
    <row r="966" spans="1:12" ht="15.75" x14ac:dyDescent="0.25">
      <c r="A966" s="32">
        <v>70341</v>
      </c>
      <c r="B966" s="14">
        <f>179.2078 * CHOOSE(CONTROL!$C$9, $D$9, 100%, $F$9) + CHOOSE(CONTROL!$C$27, 0.0021, 0)</f>
        <v>179.2099</v>
      </c>
      <c r="C966" s="14">
        <f>178.7755 * CHOOSE(CONTROL!$C$9, $D$9, 100%, $F$9) + CHOOSE(CONTROL!$C$27, 0.0021, 0)</f>
        <v>178.77760000000001</v>
      </c>
      <c r="D966" s="14">
        <f>178.7755 * CHOOSE(CONTROL!$C$9, $D$9, 100%, $F$9) + CHOOSE(CONTROL!$C$27, 0.0021, 0)</f>
        <v>178.77760000000001</v>
      </c>
      <c r="E966" s="14">
        <f>178.6389 * CHOOSE(CONTROL!$C$9, $D$9, 100%, $F$9) + CHOOSE(CONTROL!$C$27, 0.0021, 0)</f>
        <v>178.64100000000002</v>
      </c>
      <c r="F966" s="14">
        <f>178.6389 * CHOOSE(CONTROL!$C$9, $D$9, 100%, $F$9) + CHOOSE(CONTROL!$C$27, 0.0021, 0)</f>
        <v>178.64100000000002</v>
      </c>
      <c r="G966" s="14">
        <f>178.9103 * CHOOSE(CONTROL!$C$9, $D$9, 100%, $F$9) + CHOOSE(CONTROL!$C$27, 0.0021, 0)</f>
        <v>178.91240000000002</v>
      </c>
      <c r="H966" s="14">
        <f>178.7755 * CHOOSE(CONTROL!$C$9, $D$9, 100%, $F$9) + CHOOSE(CONTROL!$C$27, 0.0021, 0)</f>
        <v>178.77760000000001</v>
      </c>
      <c r="I966" s="14">
        <f>178.7755 * CHOOSE(CONTROL!$C$9, $D$9, 100%, $F$9) + CHOOSE(CONTROL!$C$27, 0.0021, 0)</f>
        <v>178.77760000000001</v>
      </c>
      <c r="J966" s="14">
        <f>178.7755 * CHOOSE(CONTROL!$C$9, $D$9, 100%, $F$9) + CHOOSE(CONTROL!$C$27, 0.0021, 0)</f>
        <v>178.77760000000001</v>
      </c>
      <c r="K966" s="14">
        <f>178.7755 * CHOOSE(CONTROL!$C$9, $D$9, 100%, $F$9) + CHOOSE(CONTROL!$C$27, 0.0021, 0)</f>
        <v>178.77760000000001</v>
      </c>
      <c r="L966" s="14"/>
    </row>
    <row r="967" spans="1:12" ht="15.75" x14ac:dyDescent="0.25">
      <c r="A967" s="32">
        <v>70372</v>
      </c>
      <c r="B967" s="14">
        <f>175.0893 * CHOOSE(CONTROL!$C$9, $D$9, 100%, $F$9) + CHOOSE(CONTROL!$C$27, 0.0021, 0)</f>
        <v>175.09140000000002</v>
      </c>
      <c r="C967" s="14">
        <f>174.657 * CHOOSE(CONTROL!$C$9, $D$9, 100%, $F$9) + CHOOSE(CONTROL!$C$27, 0.0021, 0)</f>
        <v>174.65910000000002</v>
      </c>
      <c r="D967" s="14">
        <f>174.657 * CHOOSE(CONTROL!$C$9, $D$9, 100%, $F$9) + CHOOSE(CONTROL!$C$27, 0.0021, 0)</f>
        <v>174.65910000000002</v>
      </c>
      <c r="E967" s="14">
        <f>174.5204 * CHOOSE(CONTROL!$C$9, $D$9, 100%, $F$9) + CHOOSE(CONTROL!$C$27, 0.0021, 0)</f>
        <v>174.52250000000001</v>
      </c>
      <c r="F967" s="14">
        <f>174.5204 * CHOOSE(CONTROL!$C$9, $D$9, 100%, $F$9) + CHOOSE(CONTROL!$C$27, 0.0021, 0)</f>
        <v>174.52250000000001</v>
      </c>
      <c r="G967" s="14">
        <f>174.7917 * CHOOSE(CONTROL!$C$9, $D$9, 100%, $F$9) + CHOOSE(CONTROL!$C$27, 0.0021, 0)</f>
        <v>174.7938</v>
      </c>
      <c r="H967" s="14">
        <f>174.657 * CHOOSE(CONTROL!$C$9, $D$9, 100%, $F$9) + CHOOSE(CONTROL!$C$27, 0.0021, 0)</f>
        <v>174.65910000000002</v>
      </c>
      <c r="I967" s="14">
        <f>174.657 * CHOOSE(CONTROL!$C$9, $D$9, 100%, $F$9) + CHOOSE(CONTROL!$C$27, 0.0021, 0)</f>
        <v>174.65910000000002</v>
      </c>
      <c r="J967" s="14">
        <f>174.657 * CHOOSE(CONTROL!$C$9, $D$9, 100%, $F$9) + CHOOSE(CONTROL!$C$27, 0.0021, 0)</f>
        <v>174.65910000000002</v>
      </c>
      <c r="K967" s="14">
        <f>174.657 * CHOOSE(CONTROL!$C$9, $D$9, 100%, $F$9) + CHOOSE(CONTROL!$C$27, 0.0021, 0)</f>
        <v>174.65910000000002</v>
      </c>
      <c r="L967" s="14"/>
    </row>
    <row r="968" spans="1:12" ht="15.75" x14ac:dyDescent="0.25">
      <c r="A968" s="32">
        <v>70402</v>
      </c>
      <c r="B968" s="14">
        <f>169.3458 * CHOOSE(CONTROL!$C$9, $D$9, 100%, $F$9) + CHOOSE(CONTROL!$C$27, 0.0021, 0)</f>
        <v>169.34790000000001</v>
      </c>
      <c r="C968" s="14">
        <f>168.9135 * CHOOSE(CONTROL!$C$9, $D$9, 100%, $F$9) + CHOOSE(CONTROL!$C$27, 0.0021, 0)</f>
        <v>168.91560000000001</v>
      </c>
      <c r="D968" s="14">
        <f>168.9135 * CHOOSE(CONTROL!$C$9, $D$9, 100%, $F$9) + CHOOSE(CONTROL!$C$27, 0.0021, 0)</f>
        <v>168.91560000000001</v>
      </c>
      <c r="E968" s="14">
        <f>168.7769 * CHOOSE(CONTROL!$C$9, $D$9, 100%, $F$9) + CHOOSE(CONTROL!$C$27, 0.0021, 0)</f>
        <v>168.77900000000002</v>
      </c>
      <c r="F968" s="14">
        <f>168.7769 * CHOOSE(CONTROL!$C$9, $D$9, 100%, $F$9) + CHOOSE(CONTROL!$C$27, 0.0021, 0)</f>
        <v>168.77900000000002</v>
      </c>
      <c r="G968" s="14">
        <f>169.0483 * CHOOSE(CONTROL!$C$9, $D$9, 100%, $F$9) + CHOOSE(CONTROL!$C$27, 0.0021, 0)</f>
        <v>169.05040000000002</v>
      </c>
      <c r="H968" s="14">
        <f>168.9135 * CHOOSE(CONTROL!$C$9, $D$9, 100%, $F$9) + CHOOSE(CONTROL!$C$27, 0.0021, 0)</f>
        <v>168.91560000000001</v>
      </c>
      <c r="I968" s="14">
        <f>168.9135 * CHOOSE(CONTROL!$C$9, $D$9, 100%, $F$9) + CHOOSE(CONTROL!$C$27, 0.0021, 0)</f>
        <v>168.91560000000001</v>
      </c>
      <c r="J968" s="14">
        <f>168.9135 * CHOOSE(CONTROL!$C$9, $D$9, 100%, $F$9) + CHOOSE(CONTROL!$C$27, 0.0021, 0)</f>
        <v>168.91560000000001</v>
      </c>
      <c r="K968" s="14">
        <f>168.9135 * CHOOSE(CONTROL!$C$9, $D$9, 100%, $F$9) + CHOOSE(CONTROL!$C$27, 0.0021, 0)</f>
        <v>168.91560000000001</v>
      </c>
      <c r="L968" s="14"/>
    </row>
    <row r="969" spans="1:12" ht="15.75" x14ac:dyDescent="0.25">
      <c r="A969" s="32">
        <v>70433</v>
      </c>
      <c r="B969" s="14">
        <f>163.5689 * CHOOSE(CONTROL!$C$9, $D$9, 100%, $F$9) + CHOOSE(CONTROL!$C$27, 0.0021, 0)</f>
        <v>163.57100000000003</v>
      </c>
      <c r="C969" s="14">
        <f>163.1367 * CHOOSE(CONTROL!$C$9, $D$9, 100%, $F$9) + CHOOSE(CONTROL!$C$27, 0.0021, 0)</f>
        <v>163.1388</v>
      </c>
      <c r="D969" s="14">
        <f>163.1367 * CHOOSE(CONTROL!$C$9, $D$9, 100%, $F$9) + CHOOSE(CONTROL!$C$27, 0.0021, 0)</f>
        <v>163.1388</v>
      </c>
      <c r="E969" s="14">
        <f>163 * CHOOSE(CONTROL!$C$9, $D$9, 100%, $F$9) + CHOOSE(CONTROL!$C$27, 0.0021, 0)</f>
        <v>163.00210000000001</v>
      </c>
      <c r="F969" s="14">
        <f>163 * CHOOSE(CONTROL!$C$9, $D$9, 100%, $F$9) + CHOOSE(CONTROL!$C$27, 0.0021, 0)</f>
        <v>163.00210000000001</v>
      </c>
      <c r="G969" s="14">
        <f>163.2714 * CHOOSE(CONTROL!$C$9, $D$9, 100%, $F$9) + CHOOSE(CONTROL!$C$27, 0.0021, 0)</f>
        <v>163.27350000000001</v>
      </c>
      <c r="H969" s="14">
        <f>163.1367 * CHOOSE(CONTROL!$C$9, $D$9, 100%, $F$9) + CHOOSE(CONTROL!$C$27, 0.0021, 0)</f>
        <v>163.1388</v>
      </c>
      <c r="I969" s="14">
        <f>163.1367 * CHOOSE(CONTROL!$C$9, $D$9, 100%, $F$9) + CHOOSE(CONTROL!$C$27, 0.0021, 0)</f>
        <v>163.1388</v>
      </c>
      <c r="J969" s="14">
        <f>163.1367 * CHOOSE(CONTROL!$C$9, $D$9, 100%, $F$9) + CHOOSE(CONTROL!$C$27, 0.0021, 0)</f>
        <v>163.1388</v>
      </c>
      <c r="K969" s="14">
        <f>163.1367 * CHOOSE(CONTROL!$C$9, $D$9, 100%, $F$9) + CHOOSE(CONTROL!$C$27, 0.0021, 0)</f>
        <v>163.1388</v>
      </c>
      <c r="L969" s="14"/>
    </row>
    <row r="970" spans="1:12" ht="15.75" x14ac:dyDescent="0.25">
      <c r="A970" s="32">
        <v>70463</v>
      </c>
      <c r="B970" s="14">
        <f>162.4198 * CHOOSE(CONTROL!$C$9, $D$9, 100%, $F$9) + CHOOSE(CONTROL!$C$27, 0.0021, 0)</f>
        <v>162.42190000000002</v>
      </c>
      <c r="C970" s="14">
        <f>161.9875 * CHOOSE(CONTROL!$C$9, $D$9, 100%, $F$9) + CHOOSE(CONTROL!$C$27, 0.0021, 0)</f>
        <v>161.98960000000002</v>
      </c>
      <c r="D970" s="14">
        <f>161.9875 * CHOOSE(CONTROL!$C$9, $D$9, 100%, $F$9) + CHOOSE(CONTROL!$C$27, 0.0021, 0)</f>
        <v>161.98960000000002</v>
      </c>
      <c r="E970" s="14">
        <f>161.8509 * CHOOSE(CONTROL!$C$9, $D$9, 100%, $F$9) + CHOOSE(CONTROL!$C$27, 0.0021, 0)</f>
        <v>161.85300000000001</v>
      </c>
      <c r="F970" s="14">
        <f>161.8509 * CHOOSE(CONTROL!$C$9, $D$9, 100%, $F$9) + CHOOSE(CONTROL!$C$27, 0.0021, 0)</f>
        <v>161.85300000000001</v>
      </c>
      <c r="G970" s="14">
        <f>162.1222 * CHOOSE(CONTROL!$C$9, $D$9, 100%, $F$9) + CHOOSE(CONTROL!$C$27, 0.0021, 0)</f>
        <v>162.12430000000001</v>
      </c>
      <c r="H970" s="14">
        <f>161.9875 * CHOOSE(CONTROL!$C$9, $D$9, 100%, $F$9) + CHOOSE(CONTROL!$C$27, 0.0021, 0)</f>
        <v>161.98960000000002</v>
      </c>
      <c r="I970" s="14">
        <f>161.9875 * CHOOSE(CONTROL!$C$9, $D$9, 100%, $F$9) + CHOOSE(CONTROL!$C$27, 0.0021, 0)</f>
        <v>161.98960000000002</v>
      </c>
      <c r="J970" s="14">
        <f>161.9875 * CHOOSE(CONTROL!$C$9, $D$9, 100%, $F$9) + CHOOSE(CONTROL!$C$27, 0.0021, 0)</f>
        <v>161.98960000000002</v>
      </c>
      <c r="K970" s="14">
        <f>161.9875 * CHOOSE(CONTROL!$C$9, $D$9, 100%, $F$9) + CHOOSE(CONTROL!$C$27, 0.0021, 0)</f>
        <v>161.98960000000002</v>
      </c>
      <c r="L970" s="14"/>
    </row>
    <row r="971" spans="1:12" ht="15.75" x14ac:dyDescent="0.25">
      <c r="A971" s="32">
        <v>70494</v>
      </c>
      <c r="B971" s="14">
        <f>157.668 * CHOOSE(CONTROL!$C$9, $D$9, 100%, $F$9) + CHOOSE(CONTROL!$C$27, 0.0021, 0)</f>
        <v>157.67010000000002</v>
      </c>
      <c r="C971" s="14">
        <f>157.2357 * CHOOSE(CONTROL!$C$9, $D$9, 100%, $F$9) + CHOOSE(CONTROL!$C$27, 0.0021, 0)</f>
        <v>157.23780000000002</v>
      </c>
      <c r="D971" s="14">
        <f>157.2357 * CHOOSE(CONTROL!$C$9, $D$9, 100%, $F$9) + CHOOSE(CONTROL!$C$27, 0.0021, 0)</f>
        <v>157.23780000000002</v>
      </c>
      <c r="E971" s="14">
        <f>157.0991 * CHOOSE(CONTROL!$C$9, $D$9, 100%, $F$9) + CHOOSE(CONTROL!$C$27, 0.0021, 0)</f>
        <v>157.10120000000001</v>
      </c>
      <c r="F971" s="14">
        <f>157.0991 * CHOOSE(CONTROL!$C$9, $D$9, 100%, $F$9) + CHOOSE(CONTROL!$C$27, 0.0021, 0)</f>
        <v>157.10120000000001</v>
      </c>
      <c r="G971" s="14">
        <f>157.3705 * CHOOSE(CONTROL!$C$9, $D$9, 100%, $F$9) + CHOOSE(CONTROL!$C$27, 0.0021, 0)</f>
        <v>157.37260000000001</v>
      </c>
      <c r="H971" s="14">
        <f>157.2357 * CHOOSE(CONTROL!$C$9, $D$9, 100%, $F$9) + CHOOSE(CONTROL!$C$27, 0.0021, 0)</f>
        <v>157.23780000000002</v>
      </c>
      <c r="I971" s="14">
        <f>157.2357 * CHOOSE(CONTROL!$C$9, $D$9, 100%, $F$9) + CHOOSE(CONTROL!$C$27, 0.0021, 0)</f>
        <v>157.23780000000002</v>
      </c>
      <c r="J971" s="14">
        <f>157.2357 * CHOOSE(CONTROL!$C$9, $D$9, 100%, $F$9) + CHOOSE(CONTROL!$C$27, 0.0021, 0)</f>
        <v>157.23780000000002</v>
      </c>
      <c r="K971" s="14">
        <f>157.2357 * CHOOSE(CONTROL!$C$9, $D$9, 100%, $F$9) + CHOOSE(CONTROL!$C$27, 0.0021, 0)</f>
        <v>157.23780000000002</v>
      </c>
      <c r="L971" s="14"/>
    </row>
    <row r="972" spans="1:12" ht="15.75" x14ac:dyDescent="0.25">
      <c r="A972" s="32">
        <v>70525</v>
      </c>
      <c r="B972" s="14">
        <f>156.7429 * CHOOSE(CONTROL!$C$9, $D$9, 100%, $F$9) + CHOOSE(CONTROL!$C$27, 0.0021, 0)</f>
        <v>156.745</v>
      </c>
      <c r="C972" s="14">
        <f>156.3106 * CHOOSE(CONTROL!$C$9, $D$9, 100%, $F$9) + CHOOSE(CONTROL!$C$27, 0.0021, 0)</f>
        <v>156.31270000000001</v>
      </c>
      <c r="D972" s="14">
        <f>156.3106 * CHOOSE(CONTROL!$C$9, $D$9, 100%, $F$9) + CHOOSE(CONTROL!$C$27, 0.0021, 0)</f>
        <v>156.31270000000001</v>
      </c>
      <c r="E972" s="14">
        <f>156.174 * CHOOSE(CONTROL!$C$9, $D$9, 100%, $F$9) + CHOOSE(CONTROL!$C$27, 0.0021, 0)</f>
        <v>156.17610000000002</v>
      </c>
      <c r="F972" s="14">
        <f>156.174 * CHOOSE(CONTROL!$C$9, $D$9, 100%, $F$9) + CHOOSE(CONTROL!$C$27, 0.0021, 0)</f>
        <v>156.17610000000002</v>
      </c>
      <c r="G972" s="14">
        <f>156.4453 * CHOOSE(CONTROL!$C$9, $D$9, 100%, $F$9) + CHOOSE(CONTROL!$C$27, 0.0021, 0)</f>
        <v>156.44740000000002</v>
      </c>
      <c r="H972" s="14">
        <f>156.3106 * CHOOSE(CONTROL!$C$9, $D$9, 100%, $F$9) + CHOOSE(CONTROL!$C$27, 0.0021, 0)</f>
        <v>156.31270000000001</v>
      </c>
      <c r="I972" s="14">
        <f>156.3106 * CHOOSE(CONTROL!$C$9, $D$9, 100%, $F$9) + CHOOSE(CONTROL!$C$27, 0.0021, 0)</f>
        <v>156.31270000000001</v>
      </c>
      <c r="J972" s="14">
        <f>156.3106 * CHOOSE(CONTROL!$C$9, $D$9, 100%, $F$9) + CHOOSE(CONTROL!$C$27, 0.0021, 0)</f>
        <v>156.31270000000001</v>
      </c>
      <c r="K972" s="14">
        <f>156.3106 * CHOOSE(CONTROL!$C$9, $D$9, 100%, $F$9) + CHOOSE(CONTROL!$C$27, 0.0021, 0)</f>
        <v>156.31270000000001</v>
      </c>
      <c r="L972" s="14"/>
    </row>
    <row r="973" spans="1:12" ht="15.75" x14ac:dyDescent="0.25">
      <c r="A973" s="32">
        <v>70553</v>
      </c>
      <c r="B973" s="14">
        <f>156.3135 * CHOOSE(CONTROL!$C$9, $D$9, 100%, $F$9) + CHOOSE(CONTROL!$C$27, 0.0021, 0)</f>
        <v>156.31560000000002</v>
      </c>
      <c r="C973" s="14">
        <f>155.8813 * CHOOSE(CONTROL!$C$9, $D$9, 100%, $F$9) + CHOOSE(CONTROL!$C$27, 0.0021, 0)</f>
        <v>155.88340000000002</v>
      </c>
      <c r="D973" s="14">
        <f>155.8813 * CHOOSE(CONTROL!$C$9, $D$9, 100%, $F$9) + CHOOSE(CONTROL!$C$27, 0.0021, 0)</f>
        <v>155.88340000000002</v>
      </c>
      <c r="E973" s="14">
        <f>155.7446 * CHOOSE(CONTROL!$C$9, $D$9, 100%, $F$9) + CHOOSE(CONTROL!$C$27, 0.0021, 0)</f>
        <v>155.7467</v>
      </c>
      <c r="F973" s="14">
        <f>155.7446 * CHOOSE(CONTROL!$C$9, $D$9, 100%, $F$9) + CHOOSE(CONTROL!$C$27, 0.0021, 0)</f>
        <v>155.7467</v>
      </c>
      <c r="G973" s="14">
        <f>156.016 * CHOOSE(CONTROL!$C$9, $D$9, 100%, $F$9) + CHOOSE(CONTROL!$C$27, 0.0021, 0)</f>
        <v>156.0181</v>
      </c>
      <c r="H973" s="14">
        <f>155.8813 * CHOOSE(CONTROL!$C$9, $D$9, 100%, $F$9) + CHOOSE(CONTROL!$C$27, 0.0021, 0)</f>
        <v>155.88340000000002</v>
      </c>
      <c r="I973" s="14">
        <f>155.8813 * CHOOSE(CONTROL!$C$9, $D$9, 100%, $F$9) + CHOOSE(CONTROL!$C$27, 0.0021, 0)</f>
        <v>155.88340000000002</v>
      </c>
      <c r="J973" s="14">
        <f>155.8813 * CHOOSE(CONTROL!$C$9, $D$9, 100%, $F$9) + CHOOSE(CONTROL!$C$27, 0.0021, 0)</f>
        <v>155.88340000000002</v>
      </c>
      <c r="K973" s="14">
        <f>155.8813 * CHOOSE(CONTROL!$C$9, $D$9, 100%, $F$9) + CHOOSE(CONTROL!$C$27, 0.0021, 0)</f>
        <v>155.88340000000002</v>
      </c>
      <c r="L973" s="14"/>
    </row>
    <row r="974" spans="1:12" ht="15.75" x14ac:dyDescent="0.25">
      <c r="A974" s="32">
        <v>70584</v>
      </c>
      <c r="B974" s="14">
        <f>164.4313 * CHOOSE(CONTROL!$C$9, $D$9, 100%, $F$9) + CHOOSE(CONTROL!$C$27, 0.0021, 0)</f>
        <v>164.43340000000001</v>
      </c>
      <c r="C974" s="14">
        <f>163.9991 * CHOOSE(CONTROL!$C$9, $D$9, 100%, $F$9) + CHOOSE(CONTROL!$C$27, 0.0021, 0)</f>
        <v>164.00120000000001</v>
      </c>
      <c r="D974" s="14">
        <f>163.9991 * CHOOSE(CONTROL!$C$9, $D$9, 100%, $F$9) + CHOOSE(CONTROL!$C$27, 0.0021, 0)</f>
        <v>164.00120000000001</v>
      </c>
      <c r="E974" s="14">
        <f>163.8624 * CHOOSE(CONTROL!$C$9, $D$9, 100%, $F$9) + CHOOSE(CONTROL!$C$27, 0.0021, 0)</f>
        <v>163.86450000000002</v>
      </c>
      <c r="F974" s="14">
        <f>163.8624 * CHOOSE(CONTROL!$C$9, $D$9, 100%, $F$9) + CHOOSE(CONTROL!$C$27, 0.0021, 0)</f>
        <v>163.86450000000002</v>
      </c>
      <c r="G974" s="14">
        <f>164.1338 * CHOOSE(CONTROL!$C$9, $D$9, 100%, $F$9) + CHOOSE(CONTROL!$C$27, 0.0021, 0)</f>
        <v>164.13590000000002</v>
      </c>
      <c r="H974" s="14">
        <f>163.9991 * CHOOSE(CONTROL!$C$9, $D$9, 100%, $F$9) + CHOOSE(CONTROL!$C$27, 0.0021, 0)</f>
        <v>164.00120000000001</v>
      </c>
      <c r="I974" s="14">
        <f>163.9991 * CHOOSE(CONTROL!$C$9, $D$9, 100%, $F$9) + CHOOSE(CONTROL!$C$27, 0.0021, 0)</f>
        <v>164.00120000000001</v>
      </c>
      <c r="J974" s="14">
        <f>163.9991 * CHOOSE(CONTROL!$C$9, $D$9, 100%, $F$9) + CHOOSE(CONTROL!$C$27, 0.0021, 0)</f>
        <v>164.00120000000001</v>
      </c>
      <c r="K974" s="14">
        <f>163.9991 * CHOOSE(CONTROL!$C$9, $D$9, 100%, $F$9) + CHOOSE(CONTROL!$C$27, 0.0021, 0)</f>
        <v>164.00120000000001</v>
      </c>
      <c r="L974" s="14"/>
    </row>
    <row r="975" spans="1:12" ht="15.75" x14ac:dyDescent="0.25">
      <c r="A975" s="32">
        <v>70614</v>
      </c>
      <c r="B975" s="14">
        <f>174.9582 * CHOOSE(CONTROL!$C$9, $D$9, 100%, $F$9) + CHOOSE(CONTROL!$C$27, 0.0021, 0)</f>
        <v>174.96030000000002</v>
      </c>
      <c r="C975" s="14">
        <f>174.526 * CHOOSE(CONTROL!$C$9, $D$9, 100%, $F$9) + CHOOSE(CONTROL!$C$27, 0.0021, 0)</f>
        <v>174.52810000000002</v>
      </c>
      <c r="D975" s="14">
        <f>174.526 * CHOOSE(CONTROL!$C$9, $D$9, 100%, $F$9) + CHOOSE(CONTROL!$C$27, 0.0021, 0)</f>
        <v>174.52810000000002</v>
      </c>
      <c r="E975" s="14">
        <f>174.3893 * CHOOSE(CONTROL!$C$9, $D$9, 100%, $F$9) + CHOOSE(CONTROL!$C$27, 0.0021, 0)</f>
        <v>174.3914</v>
      </c>
      <c r="F975" s="14">
        <f>174.3893 * CHOOSE(CONTROL!$C$9, $D$9, 100%, $F$9) + CHOOSE(CONTROL!$C$27, 0.0021, 0)</f>
        <v>174.3914</v>
      </c>
      <c r="G975" s="14">
        <f>174.6607 * CHOOSE(CONTROL!$C$9, $D$9, 100%, $F$9) + CHOOSE(CONTROL!$C$27, 0.0021, 0)</f>
        <v>174.6628</v>
      </c>
      <c r="H975" s="14">
        <f>174.526 * CHOOSE(CONTROL!$C$9, $D$9, 100%, $F$9) + CHOOSE(CONTROL!$C$27, 0.0021, 0)</f>
        <v>174.52810000000002</v>
      </c>
      <c r="I975" s="14">
        <f>174.526 * CHOOSE(CONTROL!$C$9, $D$9, 100%, $F$9) + CHOOSE(CONTROL!$C$27, 0.0021, 0)</f>
        <v>174.52810000000002</v>
      </c>
      <c r="J975" s="14">
        <f>174.526 * CHOOSE(CONTROL!$C$9, $D$9, 100%, $F$9) + CHOOSE(CONTROL!$C$27, 0.0021, 0)</f>
        <v>174.52810000000002</v>
      </c>
      <c r="K975" s="14">
        <f>174.526 * CHOOSE(CONTROL!$C$9, $D$9, 100%, $F$9) + CHOOSE(CONTROL!$C$27, 0.0021, 0)</f>
        <v>174.52810000000002</v>
      </c>
      <c r="L975" s="14"/>
    </row>
    <row r="976" spans="1:12" ht="15.75" x14ac:dyDescent="0.25">
      <c r="A976" s="32">
        <v>70645</v>
      </c>
      <c r="B976" s="14">
        <f>180.7525 * CHOOSE(CONTROL!$C$9, $D$9, 100%, $F$9) + CHOOSE(CONTROL!$C$27, 0.0021, 0)</f>
        <v>180.75460000000001</v>
      </c>
      <c r="C976" s="14">
        <f>180.3203 * CHOOSE(CONTROL!$C$9, $D$9, 100%, $F$9) + CHOOSE(CONTROL!$C$27, 0.0021, 0)</f>
        <v>180.32240000000002</v>
      </c>
      <c r="D976" s="14">
        <f>180.3203 * CHOOSE(CONTROL!$C$9, $D$9, 100%, $F$9) + CHOOSE(CONTROL!$C$27, 0.0021, 0)</f>
        <v>180.32240000000002</v>
      </c>
      <c r="E976" s="14">
        <f>180.1836 * CHOOSE(CONTROL!$C$9, $D$9, 100%, $F$9) + CHOOSE(CONTROL!$C$27, 0.0021, 0)</f>
        <v>180.18570000000003</v>
      </c>
      <c r="F976" s="14">
        <f>180.1836 * CHOOSE(CONTROL!$C$9, $D$9, 100%, $F$9) + CHOOSE(CONTROL!$C$27, 0.0021, 0)</f>
        <v>180.18570000000003</v>
      </c>
      <c r="G976" s="14">
        <f>180.455 * CHOOSE(CONTROL!$C$9, $D$9, 100%, $F$9) + CHOOSE(CONTROL!$C$27, 0.0021, 0)</f>
        <v>180.45710000000003</v>
      </c>
      <c r="H976" s="14">
        <f>180.3203 * CHOOSE(CONTROL!$C$9, $D$9, 100%, $F$9) + CHOOSE(CONTROL!$C$27, 0.0021, 0)</f>
        <v>180.32240000000002</v>
      </c>
      <c r="I976" s="14">
        <f>180.3203 * CHOOSE(CONTROL!$C$9, $D$9, 100%, $F$9) + CHOOSE(CONTROL!$C$27, 0.0021, 0)</f>
        <v>180.32240000000002</v>
      </c>
      <c r="J976" s="14">
        <f>180.3203 * CHOOSE(CONTROL!$C$9, $D$9, 100%, $F$9) + CHOOSE(CONTROL!$C$27, 0.0021, 0)</f>
        <v>180.32240000000002</v>
      </c>
      <c r="K976" s="14">
        <f>180.3203 * CHOOSE(CONTROL!$C$9, $D$9, 100%, $F$9) + CHOOSE(CONTROL!$C$27, 0.0021, 0)</f>
        <v>180.32240000000002</v>
      </c>
      <c r="L976" s="14"/>
    </row>
    <row r="977" spans="1:12" ht="15.75" x14ac:dyDescent="0.25">
      <c r="A977" s="32">
        <v>70675</v>
      </c>
      <c r="B977" s="14">
        <f>183.3239 * CHOOSE(CONTROL!$C$9, $D$9, 100%, $F$9) + CHOOSE(CONTROL!$C$27, 0.0021, 0)</f>
        <v>183.32600000000002</v>
      </c>
      <c r="C977" s="14">
        <f>182.8917 * CHOOSE(CONTROL!$C$9, $D$9, 100%, $F$9) + CHOOSE(CONTROL!$C$27, 0.0021, 0)</f>
        <v>182.8938</v>
      </c>
      <c r="D977" s="14">
        <f>182.8917 * CHOOSE(CONTROL!$C$9, $D$9, 100%, $F$9) + CHOOSE(CONTROL!$C$27, 0.0021, 0)</f>
        <v>182.8938</v>
      </c>
      <c r="E977" s="14">
        <f>182.755 * CHOOSE(CONTROL!$C$9, $D$9, 100%, $F$9) + CHOOSE(CONTROL!$C$27, 0.0021, 0)</f>
        <v>182.75710000000001</v>
      </c>
      <c r="F977" s="14">
        <f>182.755 * CHOOSE(CONTROL!$C$9, $D$9, 100%, $F$9) + CHOOSE(CONTROL!$C$27, 0.0021, 0)</f>
        <v>182.75710000000001</v>
      </c>
      <c r="G977" s="14">
        <f>183.0264 * CHOOSE(CONTROL!$C$9, $D$9, 100%, $F$9) + CHOOSE(CONTROL!$C$27, 0.0021, 0)</f>
        <v>183.02850000000001</v>
      </c>
      <c r="H977" s="14">
        <f>182.8917 * CHOOSE(CONTROL!$C$9, $D$9, 100%, $F$9) + CHOOSE(CONTROL!$C$27, 0.0021, 0)</f>
        <v>182.8938</v>
      </c>
      <c r="I977" s="14">
        <f>182.8917 * CHOOSE(CONTROL!$C$9, $D$9, 100%, $F$9) + CHOOSE(CONTROL!$C$27, 0.0021, 0)</f>
        <v>182.8938</v>
      </c>
      <c r="J977" s="14">
        <f>182.8917 * CHOOSE(CONTROL!$C$9, $D$9, 100%, $F$9) + CHOOSE(CONTROL!$C$27, 0.0021, 0)</f>
        <v>182.8938</v>
      </c>
      <c r="K977" s="14">
        <f>182.8917 * CHOOSE(CONTROL!$C$9, $D$9, 100%, $F$9) + CHOOSE(CONTROL!$C$27, 0.0021, 0)</f>
        <v>182.8938</v>
      </c>
      <c r="L977" s="14"/>
    </row>
    <row r="978" spans="1:12" ht="15.75" x14ac:dyDescent="0.25">
      <c r="A978" s="32">
        <v>70706</v>
      </c>
      <c r="B978" s="14">
        <f>182.4773 * CHOOSE(CONTROL!$C$9, $D$9, 100%, $F$9) + CHOOSE(CONTROL!$C$27, 0.0021, 0)</f>
        <v>182.47940000000003</v>
      </c>
      <c r="C978" s="14">
        <f>182.0451 * CHOOSE(CONTROL!$C$9, $D$9, 100%, $F$9) + CHOOSE(CONTROL!$C$27, 0.0021, 0)</f>
        <v>182.0472</v>
      </c>
      <c r="D978" s="14">
        <f>182.0451 * CHOOSE(CONTROL!$C$9, $D$9, 100%, $F$9) + CHOOSE(CONTROL!$C$27, 0.0021, 0)</f>
        <v>182.0472</v>
      </c>
      <c r="E978" s="14">
        <f>181.9084 * CHOOSE(CONTROL!$C$9, $D$9, 100%, $F$9) + CHOOSE(CONTROL!$C$27, 0.0021, 0)</f>
        <v>181.91050000000001</v>
      </c>
      <c r="F978" s="14">
        <f>181.9084 * CHOOSE(CONTROL!$C$9, $D$9, 100%, $F$9) + CHOOSE(CONTROL!$C$27, 0.0021, 0)</f>
        <v>181.91050000000001</v>
      </c>
      <c r="G978" s="14">
        <f>182.1798 * CHOOSE(CONTROL!$C$9, $D$9, 100%, $F$9) + CHOOSE(CONTROL!$C$27, 0.0021, 0)</f>
        <v>182.18190000000001</v>
      </c>
      <c r="H978" s="14">
        <f>182.0451 * CHOOSE(CONTROL!$C$9, $D$9, 100%, $F$9) + CHOOSE(CONTROL!$C$27, 0.0021, 0)</f>
        <v>182.0472</v>
      </c>
      <c r="I978" s="14">
        <f>182.0451 * CHOOSE(CONTROL!$C$9, $D$9, 100%, $F$9) + CHOOSE(CONTROL!$C$27, 0.0021, 0)</f>
        <v>182.0472</v>
      </c>
      <c r="J978" s="14">
        <f>182.0451 * CHOOSE(CONTROL!$C$9, $D$9, 100%, $F$9) + CHOOSE(CONTROL!$C$27, 0.0021, 0)</f>
        <v>182.0472</v>
      </c>
      <c r="K978" s="14">
        <f>182.0451 * CHOOSE(CONTROL!$C$9, $D$9, 100%, $F$9) + CHOOSE(CONTROL!$C$27, 0.0021, 0)</f>
        <v>182.0472</v>
      </c>
      <c r="L978" s="14"/>
    </row>
    <row r="979" spans="1:12" ht="15.75" x14ac:dyDescent="0.25">
      <c r="A979" s="32">
        <v>70737</v>
      </c>
      <c r="B979" s="14">
        <f>178.2827 * CHOOSE(CONTROL!$C$9, $D$9, 100%, $F$9) + CHOOSE(CONTROL!$C$27, 0.0021, 0)</f>
        <v>178.28480000000002</v>
      </c>
      <c r="C979" s="14">
        <f>177.8504 * CHOOSE(CONTROL!$C$9, $D$9, 100%, $F$9) + CHOOSE(CONTROL!$C$27, 0.0021, 0)</f>
        <v>177.85250000000002</v>
      </c>
      <c r="D979" s="14">
        <f>177.8504 * CHOOSE(CONTROL!$C$9, $D$9, 100%, $F$9) + CHOOSE(CONTROL!$C$27, 0.0021, 0)</f>
        <v>177.85250000000002</v>
      </c>
      <c r="E979" s="14">
        <f>177.7138 * CHOOSE(CONTROL!$C$9, $D$9, 100%, $F$9) + CHOOSE(CONTROL!$C$27, 0.0021, 0)</f>
        <v>177.7159</v>
      </c>
      <c r="F979" s="14">
        <f>177.7138 * CHOOSE(CONTROL!$C$9, $D$9, 100%, $F$9) + CHOOSE(CONTROL!$C$27, 0.0021, 0)</f>
        <v>177.7159</v>
      </c>
      <c r="G979" s="14">
        <f>177.9852 * CHOOSE(CONTROL!$C$9, $D$9, 100%, $F$9) + CHOOSE(CONTROL!$C$27, 0.0021, 0)</f>
        <v>177.9873</v>
      </c>
      <c r="H979" s="14">
        <f>177.8504 * CHOOSE(CONTROL!$C$9, $D$9, 100%, $F$9) + CHOOSE(CONTROL!$C$27, 0.0021, 0)</f>
        <v>177.85250000000002</v>
      </c>
      <c r="I979" s="14">
        <f>177.8504 * CHOOSE(CONTROL!$C$9, $D$9, 100%, $F$9) + CHOOSE(CONTROL!$C$27, 0.0021, 0)</f>
        <v>177.85250000000002</v>
      </c>
      <c r="J979" s="14">
        <f>177.8504 * CHOOSE(CONTROL!$C$9, $D$9, 100%, $F$9) + CHOOSE(CONTROL!$C$27, 0.0021, 0)</f>
        <v>177.85250000000002</v>
      </c>
      <c r="K979" s="14">
        <f>177.8504 * CHOOSE(CONTROL!$C$9, $D$9, 100%, $F$9) + CHOOSE(CONTROL!$C$27, 0.0021, 0)</f>
        <v>177.85250000000002</v>
      </c>
      <c r="L979" s="14"/>
    </row>
    <row r="980" spans="1:12" ht="15.75" x14ac:dyDescent="0.25">
      <c r="A980" s="32">
        <v>70767</v>
      </c>
      <c r="B980" s="14">
        <f>172.4331 * CHOOSE(CONTROL!$C$9, $D$9, 100%, $F$9) + CHOOSE(CONTROL!$C$27, 0.0021, 0)</f>
        <v>172.43520000000001</v>
      </c>
      <c r="C980" s="14">
        <f>172.0008 * CHOOSE(CONTROL!$C$9, $D$9, 100%, $F$9) + CHOOSE(CONTROL!$C$27, 0.0021, 0)</f>
        <v>172.00290000000001</v>
      </c>
      <c r="D980" s="14">
        <f>172.0008 * CHOOSE(CONTROL!$C$9, $D$9, 100%, $F$9) + CHOOSE(CONTROL!$C$27, 0.0021, 0)</f>
        <v>172.00290000000001</v>
      </c>
      <c r="E980" s="14">
        <f>171.8642 * CHOOSE(CONTROL!$C$9, $D$9, 100%, $F$9) + CHOOSE(CONTROL!$C$27, 0.0021, 0)</f>
        <v>171.86630000000002</v>
      </c>
      <c r="F980" s="14">
        <f>171.8642 * CHOOSE(CONTROL!$C$9, $D$9, 100%, $F$9) + CHOOSE(CONTROL!$C$27, 0.0021, 0)</f>
        <v>171.86630000000002</v>
      </c>
      <c r="G980" s="14">
        <f>172.1355 * CHOOSE(CONTROL!$C$9, $D$9, 100%, $F$9) + CHOOSE(CONTROL!$C$27, 0.0021, 0)</f>
        <v>172.13760000000002</v>
      </c>
      <c r="H980" s="14">
        <f>172.0008 * CHOOSE(CONTROL!$C$9, $D$9, 100%, $F$9) + CHOOSE(CONTROL!$C$27, 0.0021, 0)</f>
        <v>172.00290000000001</v>
      </c>
      <c r="I980" s="14">
        <f>172.0008 * CHOOSE(CONTROL!$C$9, $D$9, 100%, $F$9) + CHOOSE(CONTROL!$C$27, 0.0021, 0)</f>
        <v>172.00290000000001</v>
      </c>
      <c r="J980" s="14">
        <f>172.0008 * CHOOSE(CONTROL!$C$9, $D$9, 100%, $F$9) + CHOOSE(CONTROL!$C$27, 0.0021, 0)</f>
        <v>172.00290000000001</v>
      </c>
      <c r="K980" s="14">
        <f>172.0008 * CHOOSE(CONTROL!$C$9, $D$9, 100%, $F$9) + CHOOSE(CONTROL!$C$27, 0.0021, 0)</f>
        <v>172.00290000000001</v>
      </c>
      <c r="L980" s="14"/>
    </row>
    <row r="981" spans="1:12" ht="15.75" x14ac:dyDescent="0.25">
      <c r="A981" s="32">
        <v>70798</v>
      </c>
      <c r="B981" s="14">
        <f>166.5494 * CHOOSE(CONTROL!$C$9, $D$9, 100%, $F$9) + CHOOSE(CONTROL!$C$27, 0.0021, 0)</f>
        <v>166.5515</v>
      </c>
      <c r="C981" s="14">
        <f>166.1172 * CHOOSE(CONTROL!$C$9, $D$9, 100%, $F$9) + CHOOSE(CONTROL!$C$27, 0.0021, 0)</f>
        <v>166.11930000000001</v>
      </c>
      <c r="D981" s="14">
        <f>166.1172 * CHOOSE(CONTROL!$C$9, $D$9, 100%, $F$9) + CHOOSE(CONTROL!$C$27, 0.0021, 0)</f>
        <v>166.11930000000001</v>
      </c>
      <c r="E981" s="14">
        <f>165.9805 * CHOOSE(CONTROL!$C$9, $D$9, 100%, $F$9) + CHOOSE(CONTROL!$C$27, 0.0021, 0)</f>
        <v>165.98260000000002</v>
      </c>
      <c r="F981" s="14">
        <f>165.9805 * CHOOSE(CONTROL!$C$9, $D$9, 100%, $F$9) + CHOOSE(CONTROL!$C$27, 0.0021, 0)</f>
        <v>165.98260000000002</v>
      </c>
      <c r="G981" s="14">
        <f>166.2519 * CHOOSE(CONTROL!$C$9, $D$9, 100%, $F$9) + CHOOSE(CONTROL!$C$27, 0.0021, 0)</f>
        <v>166.25400000000002</v>
      </c>
      <c r="H981" s="14">
        <f>166.1172 * CHOOSE(CONTROL!$C$9, $D$9, 100%, $F$9) + CHOOSE(CONTROL!$C$27, 0.0021, 0)</f>
        <v>166.11930000000001</v>
      </c>
      <c r="I981" s="14">
        <f>166.1172 * CHOOSE(CONTROL!$C$9, $D$9, 100%, $F$9) + CHOOSE(CONTROL!$C$27, 0.0021, 0)</f>
        <v>166.11930000000001</v>
      </c>
      <c r="J981" s="14">
        <f>166.1172 * CHOOSE(CONTROL!$C$9, $D$9, 100%, $F$9) + CHOOSE(CONTROL!$C$27, 0.0021, 0)</f>
        <v>166.11930000000001</v>
      </c>
      <c r="K981" s="14">
        <f>166.1172 * CHOOSE(CONTROL!$C$9, $D$9, 100%, $F$9) + CHOOSE(CONTROL!$C$27, 0.0021, 0)</f>
        <v>166.11930000000001</v>
      </c>
      <c r="L981" s="14"/>
    </row>
    <row r="982" spans="1:12" ht="15.75" x14ac:dyDescent="0.25">
      <c r="A982" s="32">
        <v>70828</v>
      </c>
      <c r="B982" s="14">
        <f>165.3791 * CHOOSE(CONTROL!$C$9, $D$9, 100%, $F$9) + CHOOSE(CONTROL!$C$27, 0.0021, 0)</f>
        <v>165.38120000000001</v>
      </c>
      <c r="C982" s="14">
        <f>164.9468 * CHOOSE(CONTROL!$C$9, $D$9, 100%, $F$9) + CHOOSE(CONTROL!$C$27, 0.0021, 0)</f>
        <v>164.94890000000001</v>
      </c>
      <c r="D982" s="14">
        <f>164.9468 * CHOOSE(CONTROL!$C$9, $D$9, 100%, $F$9) + CHOOSE(CONTROL!$C$27, 0.0021, 0)</f>
        <v>164.94890000000001</v>
      </c>
      <c r="E982" s="14">
        <f>164.8101 * CHOOSE(CONTROL!$C$9, $D$9, 100%, $F$9) + CHOOSE(CONTROL!$C$27, 0.0021, 0)</f>
        <v>164.81220000000002</v>
      </c>
      <c r="F982" s="14">
        <f>164.8101 * CHOOSE(CONTROL!$C$9, $D$9, 100%, $F$9) + CHOOSE(CONTROL!$C$27, 0.0021, 0)</f>
        <v>164.81220000000002</v>
      </c>
      <c r="G982" s="14">
        <f>165.0815 * CHOOSE(CONTROL!$C$9, $D$9, 100%, $F$9) + CHOOSE(CONTROL!$C$27, 0.0021, 0)</f>
        <v>165.08360000000002</v>
      </c>
      <c r="H982" s="14">
        <f>164.9468 * CHOOSE(CONTROL!$C$9, $D$9, 100%, $F$9) + CHOOSE(CONTROL!$C$27, 0.0021, 0)</f>
        <v>164.94890000000001</v>
      </c>
      <c r="I982" s="14">
        <f>164.9468 * CHOOSE(CONTROL!$C$9, $D$9, 100%, $F$9) + CHOOSE(CONTROL!$C$27, 0.0021, 0)</f>
        <v>164.94890000000001</v>
      </c>
      <c r="J982" s="14">
        <f>164.9468 * CHOOSE(CONTROL!$C$9, $D$9, 100%, $F$9) + CHOOSE(CONTROL!$C$27, 0.0021, 0)</f>
        <v>164.94890000000001</v>
      </c>
      <c r="K982" s="14">
        <f>164.9468 * CHOOSE(CONTROL!$C$9, $D$9, 100%, $F$9) + CHOOSE(CONTROL!$C$27, 0.0021, 0)</f>
        <v>164.94890000000001</v>
      </c>
      <c r="L982" s="14"/>
    </row>
    <row r="983" spans="1:12" ht="15.75" x14ac:dyDescent="0.25">
      <c r="A983" s="32">
        <v>70859</v>
      </c>
      <c r="B983" s="14">
        <f>160.5394 * CHOOSE(CONTROL!$C$9, $D$9, 100%, $F$9) + CHOOSE(CONTROL!$C$27, 0.0021, 0)</f>
        <v>160.54150000000001</v>
      </c>
      <c r="C983" s="14">
        <f>160.1072 * CHOOSE(CONTROL!$C$9, $D$9, 100%, $F$9) + CHOOSE(CONTROL!$C$27, 0.0021, 0)</f>
        <v>160.10930000000002</v>
      </c>
      <c r="D983" s="14">
        <f>160.1072 * CHOOSE(CONTROL!$C$9, $D$9, 100%, $F$9) + CHOOSE(CONTROL!$C$27, 0.0021, 0)</f>
        <v>160.10930000000002</v>
      </c>
      <c r="E983" s="14">
        <f>159.9705 * CHOOSE(CONTROL!$C$9, $D$9, 100%, $F$9) + CHOOSE(CONTROL!$C$27, 0.0021, 0)</f>
        <v>159.9726</v>
      </c>
      <c r="F983" s="14">
        <f>159.9705 * CHOOSE(CONTROL!$C$9, $D$9, 100%, $F$9) + CHOOSE(CONTROL!$C$27, 0.0021, 0)</f>
        <v>159.9726</v>
      </c>
      <c r="G983" s="14">
        <f>160.2419 * CHOOSE(CONTROL!$C$9, $D$9, 100%, $F$9) + CHOOSE(CONTROL!$C$27, 0.0021, 0)</f>
        <v>160.244</v>
      </c>
      <c r="H983" s="14">
        <f>160.1072 * CHOOSE(CONTROL!$C$9, $D$9, 100%, $F$9) + CHOOSE(CONTROL!$C$27, 0.0021, 0)</f>
        <v>160.10930000000002</v>
      </c>
      <c r="I983" s="14">
        <f>160.1072 * CHOOSE(CONTROL!$C$9, $D$9, 100%, $F$9) + CHOOSE(CONTROL!$C$27, 0.0021, 0)</f>
        <v>160.10930000000002</v>
      </c>
      <c r="J983" s="14">
        <f>160.1072 * CHOOSE(CONTROL!$C$9, $D$9, 100%, $F$9) + CHOOSE(CONTROL!$C$27, 0.0021, 0)</f>
        <v>160.10930000000002</v>
      </c>
      <c r="K983" s="14">
        <f>160.1072 * CHOOSE(CONTROL!$C$9, $D$9, 100%, $F$9) + CHOOSE(CONTROL!$C$27, 0.0021, 0)</f>
        <v>160.10930000000002</v>
      </c>
      <c r="L983" s="14"/>
    </row>
    <row r="984" spans="1:12" ht="15.75" x14ac:dyDescent="0.25">
      <c r="A984" s="32">
        <v>70890</v>
      </c>
      <c r="B984" s="14">
        <f>159.5972 * CHOOSE(CONTROL!$C$9, $D$9, 100%, $F$9) + CHOOSE(CONTROL!$C$27, 0.0021, 0)</f>
        <v>159.5993</v>
      </c>
      <c r="C984" s="14">
        <f>159.165 * CHOOSE(CONTROL!$C$9, $D$9, 100%, $F$9) + CHOOSE(CONTROL!$C$27, 0.0021, 0)</f>
        <v>159.1671</v>
      </c>
      <c r="D984" s="14">
        <f>159.165 * CHOOSE(CONTROL!$C$9, $D$9, 100%, $F$9) + CHOOSE(CONTROL!$C$27, 0.0021, 0)</f>
        <v>159.1671</v>
      </c>
      <c r="E984" s="14">
        <f>159.0283 * CHOOSE(CONTROL!$C$9, $D$9, 100%, $F$9) + CHOOSE(CONTROL!$C$27, 0.0021, 0)</f>
        <v>159.03040000000001</v>
      </c>
      <c r="F984" s="14">
        <f>159.0283 * CHOOSE(CONTROL!$C$9, $D$9, 100%, $F$9) + CHOOSE(CONTROL!$C$27, 0.0021, 0)</f>
        <v>159.03040000000001</v>
      </c>
      <c r="G984" s="14">
        <f>159.2997 * CHOOSE(CONTROL!$C$9, $D$9, 100%, $F$9) + CHOOSE(CONTROL!$C$27, 0.0021, 0)</f>
        <v>159.30180000000001</v>
      </c>
      <c r="H984" s="14">
        <f>159.165 * CHOOSE(CONTROL!$C$9, $D$9, 100%, $F$9) + CHOOSE(CONTROL!$C$27, 0.0021, 0)</f>
        <v>159.1671</v>
      </c>
      <c r="I984" s="14">
        <f>159.165 * CHOOSE(CONTROL!$C$9, $D$9, 100%, $F$9) + CHOOSE(CONTROL!$C$27, 0.0021, 0)</f>
        <v>159.1671</v>
      </c>
      <c r="J984" s="14">
        <f>159.165 * CHOOSE(CONTROL!$C$9, $D$9, 100%, $F$9) + CHOOSE(CONTROL!$C$27, 0.0021, 0)</f>
        <v>159.1671</v>
      </c>
      <c r="K984" s="14">
        <f>159.165 * CHOOSE(CONTROL!$C$9, $D$9, 100%, $F$9) + CHOOSE(CONTROL!$C$27, 0.0021, 0)</f>
        <v>159.1671</v>
      </c>
      <c r="L984" s="14"/>
    </row>
    <row r="985" spans="1:12" ht="15.75" x14ac:dyDescent="0.25">
      <c r="A985" s="32">
        <v>70918</v>
      </c>
      <c r="B985" s="14">
        <f>159.16 * CHOOSE(CONTROL!$C$9, $D$9, 100%, $F$9) + CHOOSE(CONTROL!$C$27, 0.0021, 0)</f>
        <v>159.16210000000001</v>
      </c>
      <c r="C985" s="14">
        <f>158.7277 * CHOOSE(CONTROL!$C$9, $D$9, 100%, $F$9) + CHOOSE(CONTROL!$C$27, 0.0021, 0)</f>
        <v>158.72980000000001</v>
      </c>
      <c r="D985" s="14">
        <f>158.7277 * CHOOSE(CONTROL!$C$9, $D$9, 100%, $F$9) + CHOOSE(CONTROL!$C$27, 0.0021, 0)</f>
        <v>158.72980000000001</v>
      </c>
      <c r="E985" s="14">
        <f>158.5911 * CHOOSE(CONTROL!$C$9, $D$9, 100%, $F$9) + CHOOSE(CONTROL!$C$27, 0.0021, 0)</f>
        <v>158.59320000000002</v>
      </c>
      <c r="F985" s="14">
        <f>158.5911 * CHOOSE(CONTROL!$C$9, $D$9, 100%, $F$9) + CHOOSE(CONTROL!$C$27, 0.0021, 0)</f>
        <v>158.59320000000002</v>
      </c>
      <c r="G985" s="14">
        <f>158.8624 * CHOOSE(CONTROL!$C$9, $D$9, 100%, $F$9) + CHOOSE(CONTROL!$C$27, 0.0021, 0)</f>
        <v>158.86450000000002</v>
      </c>
      <c r="H985" s="14">
        <f>158.7277 * CHOOSE(CONTROL!$C$9, $D$9, 100%, $F$9) + CHOOSE(CONTROL!$C$27, 0.0021, 0)</f>
        <v>158.72980000000001</v>
      </c>
      <c r="I985" s="14">
        <f>158.7277 * CHOOSE(CONTROL!$C$9, $D$9, 100%, $F$9) + CHOOSE(CONTROL!$C$27, 0.0021, 0)</f>
        <v>158.72980000000001</v>
      </c>
      <c r="J985" s="14">
        <f>158.7277 * CHOOSE(CONTROL!$C$9, $D$9, 100%, $F$9) + CHOOSE(CONTROL!$C$27, 0.0021, 0)</f>
        <v>158.72980000000001</v>
      </c>
      <c r="K985" s="14">
        <f>158.7277 * CHOOSE(CONTROL!$C$9, $D$9, 100%, $F$9) + CHOOSE(CONTROL!$C$27, 0.0021, 0)</f>
        <v>158.72980000000001</v>
      </c>
      <c r="L985" s="14"/>
    </row>
    <row r="986" spans="1:12" ht="15.75" x14ac:dyDescent="0.25">
      <c r="A986" s="32">
        <v>70949</v>
      </c>
      <c r="B986" s="14">
        <f>167.4278 * CHOOSE(CONTROL!$C$9, $D$9, 100%, $F$9) + CHOOSE(CONTROL!$C$27, 0.0021, 0)</f>
        <v>167.4299</v>
      </c>
      <c r="C986" s="14">
        <f>166.9955 * CHOOSE(CONTROL!$C$9, $D$9, 100%, $F$9) + CHOOSE(CONTROL!$C$27, 0.0021, 0)</f>
        <v>166.99760000000001</v>
      </c>
      <c r="D986" s="14">
        <f>166.9955 * CHOOSE(CONTROL!$C$9, $D$9, 100%, $F$9) + CHOOSE(CONTROL!$C$27, 0.0021, 0)</f>
        <v>166.99760000000001</v>
      </c>
      <c r="E986" s="14">
        <f>166.8589 * CHOOSE(CONTROL!$C$9, $D$9, 100%, $F$9) + CHOOSE(CONTROL!$C$27, 0.0021, 0)</f>
        <v>166.86100000000002</v>
      </c>
      <c r="F986" s="14">
        <f>166.8589 * CHOOSE(CONTROL!$C$9, $D$9, 100%, $F$9) + CHOOSE(CONTROL!$C$27, 0.0021, 0)</f>
        <v>166.86100000000002</v>
      </c>
      <c r="G986" s="14">
        <f>167.1303 * CHOOSE(CONTROL!$C$9, $D$9, 100%, $F$9) + CHOOSE(CONTROL!$C$27, 0.0021, 0)</f>
        <v>167.13240000000002</v>
      </c>
      <c r="H986" s="14">
        <f>166.9955 * CHOOSE(CONTROL!$C$9, $D$9, 100%, $F$9) + CHOOSE(CONTROL!$C$27, 0.0021, 0)</f>
        <v>166.99760000000001</v>
      </c>
      <c r="I986" s="14">
        <f>166.9955 * CHOOSE(CONTROL!$C$9, $D$9, 100%, $F$9) + CHOOSE(CONTROL!$C$27, 0.0021, 0)</f>
        <v>166.99760000000001</v>
      </c>
      <c r="J986" s="14">
        <f>166.9955 * CHOOSE(CONTROL!$C$9, $D$9, 100%, $F$9) + CHOOSE(CONTROL!$C$27, 0.0021, 0)</f>
        <v>166.99760000000001</v>
      </c>
      <c r="K986" s="14">
        <f>166.9955 * CHOOSE(CONTROL!$C$9, $D$9, 100%, $F$9) + CHOOSE(CONTROL!$C$27, 0.0021, 0)</f>
        <v>166.99760000000001</v>
      </c>
      <c r="L986" s="14"/>
    </row>
    <row r="987" spans="1:12" ht="15.75" x14ac:dyDescent="0.25">
      <c r="A987" s="32">
        <v>70979</v>
      </c>
      <c r="B987" s="14">
        <f>178.1492 * CHOOSE(CONTROL!$C$9, $D$9, 100%, $F$9) + CHOOSE(CONTROL!$C$27, 0.0021, 0)</f>
        <v>178.15130000000002</v>
      </c>
      <c r="C987" s="14">
        <f>177.7169 * CHOOSE(CONTROL!$C$9, $D$9, 100%, $F$9) + CHOOSE(CONTROL!$C$27, 0.0021, 0)</f>
        <v>177.71900000000002</v>
      </c>
      <c r="D987" s="14">
        <f>177.7169 * CHOOSE(CONTROL!$C$9, $D$9, 100%, $F$9) + CHOOSE(CONTROL!$C$27, 0.0021, 0)</f>
        <v>177.71900000000002</v>
      </c>
      <c r="E987" s="14">
        <f>177.5803 * CHOOSE(CONTROL!$C$9, $D$9, 100%, $F$9) + CHOOSE(CONTROL!$C$27, 0.0021, 0)</f>
        <v>177.58240000000001</v>
      </c>
      <c r="F987" s="14">
        <f>177.5803 * CHOOSE(CONTROL!$C$9, $D$9, 100%, $F$9) + CHOOSE(CONTROL!$C$27, 0.0021, 0)</f>
        <v>177.58240000000001</v>
      </c>
      <c r="G987" s="14">
        <f>177.8517 * CHOOSE(CONTROL!$C$9, $D$9, 100%, $F$9) + CHOOSE(CONTROL!$C$27, 0.0021, 0)</f>
        <v>177.85380000000001</v>
      </c>
      <c r="H987" s="14">
        <f>177.7169 * CHOOSE(CONTROL!$C$9, $D$9, 100%, $F$9) + CHOOSE(CONTROL!$C$27, 0.0021, 0)</f>
        <v>177.71900000000002</v>
      </c>
      <c r="I987" s="14">
        <f>177.7169 * CHOOSE(CONTROL!$C$9, $D$9, 100%, $F$9) + CHOOSE(CONTROL!$C$27, 0.0021, 0)</f>
        <v>177.71900000000002</v>
      </c>
      <c r="J987" s="14">
        <f>177.7169 * CHOOSE(CONTROL!$C$9, $D$9, 100%, $F$9) + CHOOSE(CONTROL!$C$27, 0.0021, 0)</f>
        <v>177.71900000000002</v>
      </c>
      <c r="K987" s="14">
        <f>177.7169 * CHOOSE(CONTROL!$C$9, $D$9, 100%, $F$9) + CHOOSE(CONTROL!$C$27, 0.0021, 0)</f>
        <v>177.71900000000002</v>
      </c>
      <c r="L987" s="14"/>
    </row>
    <row r="988" spans="1:12" ht="15.75" x14ac:dyDescent="0.25">
      <c r="A988" s="32">
        <v>71010</v>
      </c>
      <c r="B988" s="14">
        <f>184.0506 * CHOOSE(CONTROL!$C$9, $D$9, 100%, $F$9) + CHOOSE(CONTROL!$C$27, 0.0021, 0)</f>
        <v>184.05270000000002</v>
      </c>
      <c r="C988" s="14">
        <f>183.6184 * CHOOSE(CONTROL!$C$9, $D$9, 100%, $F$9) + CHOOSE(CONTROL!$C$27, 0.0021, 0)</f>
        <v>183.62050000000002</v>
      </c>
      <c r="D988" s="14">
        <f>183.6184 * CHOOSE(CONTROL!$C$9, $D$9, 100%, $F$9) + CHOOSE(CONTROL!$C$27, 0.0021, 0)</f>
        <v>183.62050000000002</v>
      </c>
      <c r="E988" s="14">
        <f>183.4817 * CHOOSE(CONTROL!$C$9, $D$9, 100%, $F$9) + CHOOSE(CONTROL!$C$27, 0.0021, 0)</f>
        <v>183.4838</v>
      </c>
      <c r="F988" s="14">
        <f>183.4817 * CHOOSE(CONTROL!$C$9, $D$9, 100%, $F$9) + CHOOSE(CONTROL!$C$27, 0.0021, 0)</f>
        <v>183.4838</v>
      </c>
      <c r="G988" s="14">
        <f>183.7531 * CHOOSE(CONTROL!$C$9, $D$9, 100%, $F$9) + CHOOSE(CONTROL!$C$27, 0.0021, 0)</f>
        <v>183.7552</v>
      </c>
      <c r="H988" s="14">
        <f>183.6184 * CHOOSE(CONTROL!$C$9, $D$9, 100%, $F$9) + CHOOSE(CONTROL!$C$27, 0.0021, 0)</f>
        <v>183.62050000000002</v>
      </c>
      <c r="I988" s="14">
        <f>183.6184 * CHOOSE(CONTROL!$C$9, $D$9, 100%, $F$9) + CHOOSE(CONTROL!$C$27, 0.0021, 0)</f>
        <v>183.62050000000002</v>
      </c>
      <c r="J988" s="14">
        <f>183.6184 * CHOOSE(CONTROL!$C$9, $D$9, 100%, $F$9) + CHOOSE(CONTROL!$C$27, 0.0021, 0)</f>
        <v>183.62050000000002</v>
      </c>
      <c r="K988" s="14">
        <f>183.6184 * CHOOSE(CONTROL!$C$9, $D$9, 100%, $F$9) + CHOOSE(CONTROL!$C$27, 0.0021, 0)</f>
        <v>183.62050000000002</v>
      </c>
      <c r="L988" s="14"/>
    </row>
    <row r="989" spans="1:12" ht="15.75" x14ac:dyDescent="0.25">
      <c r="A989" s="32">
        <v>71040</v>
      </c>
      <c r="B989" s="14">
        <f>186.6695 * CHOOSE(CONTROL!$C$9, $D$9, 100%, $F$9) + CHOOSE(CONTROL!$C$27, 0.0021, 0)</f>
        <v>186.67160000000001</v>
      </c>
      <c r="C989" s="14">
        <f>186.2373 * CHOOSE(CONTROL!$C$9, $D$9, 100%, $F$9) + CHOOSE(CONTROL!$C$27, 0.0021, 0)</f>
        <v>186.23940000000002</v>
      </c>
      <c r="D989" s="14">
        <f>186.2373 * CHOOSE(CONTROL!$C$9, $D$9, 100%, $F$9) + CHOOSE(CONTROL!$C$27, 0.0021, 0)</f>
        <v>186.23940000000002</v>
      </c>
      <c r="E989" s="14">
        <f>186.1006 * CHOOSE(CONTROL!$C$9, $D$9, 100%, $F$9) + CHOOSE(CONTROL!$C$27, 0.0021, 0)</f>
        <v>186.1027</v>
      </c>
      <c r="F989" s="14">
        <f>186.1006 * CHOOSE(CONTROL!$C$9, $D$9, 100%, $F$9) + CHOOSE(CONTROL!$C$27, 0.0021, 0)</f>
        <v>186.1027</v>
      </c>
      <c r="G989" s="14">
        <f>186.372 * CHOOSE(CONTROL!$C$9, $D$9, 100%, $F$9) + CHOOSE(CONTROL!$C$27, 0.0021, 0)</f>
        <v>186.37410000000003</v>
      </c>
      <c r="H989" s="14">
        <f>186.2373 * CHOOSE(CONTROL!$C$9, $D$9, 100%, $F$9) + CHOOSE(CONTROL!$C$27, 0.0021, 0)</f>
        <v>186.23940000000002</v>
      </c>
      <c r="I989" s="14">
        <f>186.2373 * CHOOSE(CONTROL!$C$9, $D$9, 100%, $F$9) + CHOOSE(CONTROL!$C$27, 0.0021, 0)</f>
        <v>186.23940000000002</v>
      </c>
      <c r="J989" s="14">
        <f>186.2373 * CHOOSE(CONTROL!$C$9, $D$9, 100%, $F$9) + CHOOSE(CONTROL!$C$27, 0.0021, 0)</f>
        <v>186.23940000000002</v>
      </c>
      <c r="K989" s="14">
        <f>186.2373 * CHOOSE(CONTROL!$C$9, $D$9, 100%, $F$9) + CHOOSE(CONTROL!$C$27, 0.0021, 0)</f>
        <v>186.23940000000002</v>
      </c>
      <c r="L989" s="14"/>
    </row>
    <row r="990" spans="1:12" ht="15.75" x14ac:dyDescent="0.25">
      <c r="A990" s="32">
        <v>71071</v>
      </c>
      <c r="B990" s="14">
        <f>185.8073 * CHOOSE(CONTROL!$C$9, $D$9, 100%, $F$9) + CHOOSE(CONTROL!$C$27, 0.0021, 0)</f>
        <v>185.80940000000001</v>
      </c>
      <c r="C990" s="14">
        <f>185.375 * CHOOSE(CONTROL!$C$9, $D$9, 100%, $F$9) + CHOOSE(CONTROL!$C$27, 0.0021, 0)</f>
        <v>185.37710000000001</v>
      </c>
      <c r="D990" s="14">
        <f>185.375 * CHOOSE(CONTROL!$C$9, $D$9, 100%, $F$9) + CHOOSE(CONTROL!$C$27, 0.0021, 0)</f>
        <v>185.37710000000001</v>
      </c>
      <c r="E990" s="14">
        <f>185.2384 * CHOOSE(CONTROL!$C$9, $D$9, 100%, $F$9) + CHOOSE(CONTROL!$C$27, 0.0021, 0)</f>
        <v>185.24050000000003</v>
      </c>
      <c r="F990" s="14">
        <f>185.2384 * CHOOSE(CONTROL!$C$9, $D$9, 100%, $F$9) + CHOOSE(CONTROL!$C$27, 0.0021, 0)</f>
        <v>185.24050000000003</v>
      </c>
      <c r="G990" s="14">
        <f>185.5097 * CHOOSE(CONTROL!$C$9, $D$9, 100%, $F$9) + CHOOSE(CONTROL!$C$27, 0.0021, 0)</f>
        <v>185.51180000000002</v>
      </c>
      <c r="H990" s="14">
        <f>185.375 * CHOOSE(CONTROL!$C$9, $D$9, 100%, $F$9) + CHOOSE(CONTROL!$C$27, 0.0021, 0)</f>
        <v>185.37710000000001</v>
      </c>
      <c r="I990" s="14">
        <f>185.375 * CHOOSE(CONTROL!$C$9, $D$9, 100%, $F$9) + CHOOSE(CONTROL!$C$27, 0.0021, 0)</f>
        <v>185.37710000000001</v>
      </c>
      <c r="J990" s="14">
        <f>185.375 * CHOOSE(CONTROL!$C$9, $D$9, 100%, $F$9) + CHOOSE(CONTROL!$C$27, 0.0021, 0)</f>
        <v>185.37710000000001</v>
      </c>
      <c r="K990" s="14">
        <f>185.375 * CHOOSE(CONTROL!$C$9, $D$9, 100%, $F$9) + CHOOSE(CONTROL!$C$27, 0.0021, 0)</f>
        <v>185.37710000000001</v>
      </c>
      <c r="L990" s="14"/>
    </row>
    <row r="991" spans="1:12" ht="15.75" x14ac:dyDescent="0.25">
      <c r="A991" s="32">
        <v>71102</v>
      </c>
      <c r="B991" s="14">
        <f>181.5351 * CHOOSE(CONTROL!$C$9, $D$9, 100%, $F$9) + CHOOSE(CONTROL!$C$27, 0.0021, 0)</f>
        <v>181.53720000000001</v>
      </c>
      <c r="C991" s="14">
        <f>181.1029 * CHOOSE(CONTROL!$C$9, $D$9, 100%, $F$9) + CHOOSE(CONTROL!$C$27, 0.0021, 0)</f>
        <v>181.10500000000002</v>
      </c>
      <c r="D991" s="14">
        <f>181.1029 * CHOOSE(CONTROL!$C$9, $D$9, 100%, $F$9) + CHOOSE(CONTROL!$C$27, 0.0021, 0)</f>
        <v>181.10500000000002</v>
      </c>
      <c r="E991" s="14">
        <f>180.9662 * CHOOSE(CONTROL!$C$9, $D$9, 100%, $F$9) + CHOOSE(CONTROL!$C$27, 0.0021, 0)</f>
        <v>180.9683</v>
      </c>
      <c r="F991" s="14">
        <f>180.9662 * CHOOSE(CONTROL!$C$9, $D$9, 100%, $F$9) + CHOOSE(CONTROL!$C$27, 0.0021, 0)</f>
        <v>180.9683</v>
      </c>
      <c r="G991" s="14">
        <f>181.2376 * CHOOSE(CONTROL!$C$9, $D$9, 100%, $F$9) + CHOOSE(CONTROL!$C$27, 0.0021, 0)</f>
        <v>181.2397</v>
      </c>
      <c r="H991" s="14">
        <f>181.1029 * CHOOSE(CONTROL!$C$9, $D$9, 100%, $F$9) + CHOOSE(CONTROL!$C$27, 0.0021, 0)</f>
        <v>181.10500000000002</v>
      </c>
      <c r="I991" s="14">
        <f>181.1029 * CHOOSE(CONTROL!$C$9, $D$9, 100%, $F$9) + CHOOSE(CONTROL!$C$27, 0.0021, 0)</f>
        <v>181.10500000000002</v>
      </c>
      <c r="J991" s="14">
        <f>181.1029 * CHOOSE(CONTROL!$C$9, $D$9, 100%, $F$9) + CHOOSE(CONTROL!$C$27, 0.0021, 0)</f>
        <v>181.10500000000002</v>
      </c>
      <c r="K991" s="14">
        <f>181.1029 * CHOOSE(CONTROL!$C$9, $D$9, 100%, $F$9) + CHOOSE(CONTROL!$C$27, 0.0021, 0)</f>
        <v>181.10500000000002</v>
      </c>
      <c r="L991" s="14"/>
    </row>
    <row r="992" spans="1:12" ht="15.75" x14ac:dyDescent="0.25">
      <c r="A992" s="32">
        <v>71132</v>
      </c>
      <c r="B992" s="14">
        <f>175.5774 * CHOOSE(CONTROL!$C$9, $D$9, 100%, $F$9) + CHOOSE(CONTROL!$C$27, 0.0021, 0)</f>
        <v>175.57950000000002</v>
      </c>
      <c r="C992" s="14">
        <f>175.1451 * CHOOSE(CONTROL!$C$9, $D$9, 100%, $F$9) + CHOOSE(CONTROL!$C$27, 0.0021, 0)</f>
        <v>175.14720000000003</v>
      </c>
      <c r="D992" s="14">
        <f>175.1451 * CHOOSE(CONTROL!$C$9, $D$9, 100%, $F$9) + CHOOSE(CONTROL!$C$27, 0.0021, 0)</f>
        <v>175.14720000000003</v>
      </c>
      <c r="E992" s="14">
        <f>175.0085 * CHOOSE(CONTROL!$C$9, $D$9, 100%, $F$9) + CHOOSE(CONTROL!$C$27, 0.0021, 0)</f>
        <v>175.01060000000001</v>
      </c>
      <c r="F992" s="14">
        <f>175.0085 * CHOOSE(CONTROL!$C$9, $D$9, 100%, $F$9) + CHOOSE(CONTROL!$C$27, 0.0021, 0)</f>
        <v>175.01060000000001</v>
      </c>
      <c r="G992" s="14">
        <f>175.2799 * CHOOSE(CONTROL!$C$9, $D$9, 100%, $F$9) + CHOOSE(CONTROL!$C$27, 0.0021, 0)</f>
        <v>175.28200000000001</v>
      </c>
      <c r="H992" s="14">
        <f>175.1451 * CHOOSE(CONTROL!$C$9, $D$9, 100%, $F$9) + CHOOSE(CONTROL!$C$27, 0.0021, 0)</f>
        <v>175.14720000000003</v>
      </c>
      <c r="I992" s="14">
        <f>175.1451 * CHOOSE(CONTROL!$C$9, $D$9, 100%, $F$9) + CHOOSE(CONTROL!$C$27, 0.0021, 0)</f>
        <v>175.14720000000003</v>
      </c>
      <c r="J992" s="14">
        <f>175.1451 * CHOOSE(CONTROL!$C$9, $D$9, 100%, $F$9) + CHOOSE(CONTROL!$C$27, 0.0021, 0)</f>
        <v>175.14720000000003</v>
      </c>
      <c r="K992" s="14">
        <f>175.1451 * CHOOSE(CONTROL!$C$9, $D$9, 100%, $F$9) + CHOOSE(CONTROL!$C$27, 0.0021, 0)</f>
        <v>175.14720000000003</v>
      </c>
      <c r="L992" s="14"/>
    </row>
    <row r="993" spans="1:12" ht="15.75" x14ac:dyDescent="0.25">
      <c r="A993" s="32">
        <v>71163</v>
      </c>
      <c r="B993" s="14">
        <f>169.585 * CHOOSE(CONTROL!$C$9, $D$9, 100%, $F$9) + CHOOSE(CONTROL!$C$27, 0.0021, 0)</f>
        <v>169.58710000000002</v>
      </c>
      <c r="C993" s="14">
        <f>169.1528 * CHOOSE(CONTROL!$C$9, $D$9, 100%, $F$9) + CHOOSE(CONTROL!$C$27, 0.0021, 0)</f>
        <v>169.15490000000003</v>
      </c>
      <c r="D993" s="14">
        <f>169.1528 * CHOOSE(CONTROL!$C$9, $D$9, 100%, $F$9) + CHOOSE(CONTROL!$C$27, 0.0021, 0)</f>
        <v>169.15490000000003</v>
      </c>
      <c r="E993" s="14">
        <f>169.0161 * CHOOSE(CONTROL!$C$9, $D$9, 100%, $F$9) + CHOOSE(CONTROL!$C$27, 0.0021, 0)</f>
        <v>169.01820000000001</v>
      </c>
      <c r="F993" s="14">
        <f>169.0161 * CHOOSE(CONTROL!$C$9, $D$9, 100%, $F$9) + CHOOSE(CONTROL!$C$27, 0.0021, 0)</f>
        <v>169.01820000000001</v>
      </c>
      <c r="G993" s="14">
        <f>169.2875 * CHOOSE(CONTROL!$C$9, $D$9, 100%, $F$9) + CHOOSE(CONTROL!$C$27, 0.0021, 0)</f>
        <v>169.28960000000001</v>
      </c>
      <c r="H993" s="14">
        <f>169.1528 * CHOOSE(CONTROL!$C$9, $D$9, 100%, $F$9) + CHOOSE(CONTROL!$C$27, 0.0021, 0)</f>
        <v>169.15490000000003</v>
      </c>
      <c r="I993" s="14">
        <f>169.1528 * CHOOSE(CONTROL!$C$9, $D$9, 100%, $F$9) + CHOOSE(CONTROL!$C$27, 0.0021, 0)</f>
        <v>169.15490000000003</v>
      </c>
      <c r="J993" s="14">
        <f>169.1528 * CHOOSE(CONTROL!$C$9, $D$9, 100%, $F$9) + CHOOSE(CONTROL!$C$27, 0.0021, 0)</f>
        <v>169.15490000000003</v>
      </c>
      <c r="K993" s="14">
        <f>169.1528 * CHOOSE(CONTROL!$C$9, $D$9, 100%, $F$9) + CHOOSE(CONTROL!$C$27, 0.0021, 0)</f>
        <v>169.15490000000003</v>
      </c>
      <c r="L993" s="14"/>
    </row>
    <row r="994" spans="1:12" ht="15.75" x14ac:dyDescent="0.25">
      <c r="A994" s="32">
        <v>71193</v>
      </c>
      <c r="B994" s="14">
        <f>168.393 * CHOOSE(CONTROL!$C$9, $D$9, 100%, $F$9) + CHOOSE(CONTROL!$C$27, 0.0021, 0)</f>
        <v>168.39510000000001</v>
      </c>
      <c r="C994" s="14">
        <f>167.9608 * CHOOSE(CONTROL!$C$9, $D$9, 100%, $F$9) + CHOOSE(CONTROL!$C$27, 0.0021, 0)</f>
        <v>167.96290000000002</v>
      </c>
      <c r="D994" s="14">
        <f>167.9608 * CHOOSE(CONTROL!$C$9, $D$9, 100%, $F$9) + CHOOSE(CONTROL!$C$27, 0.0021, 0)</f>
        <v>167.96290000000002</v>
      </c>
      <c r="E994" s="14">
        <f>167.8241 * CHOOSE(CONTROL!$C$9, $D$9, 100%, $F$9) + CHOOSE(CONTROL!$C$27, 0.0021, 0)</f>
        <v>167.8262</v>
      </c>
      <c r="F994" s="14">
        <f>167.8241 * CHOOSE(CONTROL!$C$9, $D$9, 100%, $F$9) + CHOOSE(CONTROL!$C$27, 0.0021, 0)</f>
        <v>167.8262</v>
      </c>
      <c r="G994" s="14">
        <f>168.0955 * CHOOSE(CONTROL!$C$9, $D$9, 100%, $F$9) + CHOOSE(CONTROL!$C$27, 0.0021, 0)</f>
        <v>168.0976</v>
      </c>
      <c r="H994" s="14">
        <f>167.9608 * CHOOSE(CONTROL!$C$9, $D$9, 100%, $F$9) + CHOOSE(CONTROL!$C$27, 0.0021, 0)</f>
        <v>167.96290000000002</v>
      </c>
      <c r="I994" s="14">
        <f>167.9608 * CHOOSE(CONTROL!$C$9, $D$9, 100%, $F$9) + CHOOSE(CONTROL!$C$27, 0.0021, 0)</f>
        <v>167.96290000000002</v>
      </c>
      <c r="J994" s="14">
        <f>167.9608 * CHOOSE(CONTROL!$C$9, $D$9, 100%, $F$9) + CHOOSE(CONTROL!$C$27, 0.0021, 0)</f>
        <v>167.96290000000002</v>
      </c>
      <c r="K994" s="14">
        <f>167.9608 * CHOOSE(CONTROL!$C$9, $D$9, 100%, $F$9) + CHOOSE(CONTROL!$C$27, 0.0021, 0)</f>
        <v>167.96290000000002</v>
      </c>
      <c r="L994" s="14"/>
    </row>
    <row r="995" spans="1:12" ht="15.75" x14ac:dyDescent="0.25">
      <c r="A995" s="32">
        <v>71224</v>
      </c>
      <c r="B995" s="14">
        <f>163.464 * CHOOSE(CONTROL!$C$9, $D$9, 100%, $F$9) + CHOOSE(CONTROL!$C$27, 0.0021, 0)</f>
        <v>163.46610000000001</v>
      </c>
      <c r="C995" s="14">
        <f>163.0317 * CHOOSE(CONTROL!$C$9, $D$9, 100%, $F$9) + CHOOSE(CONTROL!$C$27, 0.0021, 0)</f>
        <v>163.03380000000001</v>
      </c>
      <c r="D995" s="14">
        <f>163.0317 * CHOOSE(CONTROL!$C$9, $D$9, 100%, $F$9) + CHOOSE(CONTROL!$C$27, 0.0021, 0)</f>
        <v>163.03380000000001</v>
      </c>
      <c r="E995" s="14">
        <f>162.8951 * CHOOSE(CONTROL!$C$9, $D$9, 100%, $F$9) + CHOOSE(CONTROL!$C$27, 0.0021, 0)</f>
        <v>162.89720000000003</v>
      </c>
      <c r="F995" s="14">
        <f>162.8951 * CHOOSE(CONTROL!$C$9, $D$9, 100%, $F$9) + CHOOSE(CONTROL!$C$27, 0.0021, 0)</f>
        <v>162.89720000000003</v>
      </c>
      <c r="G995" s="14">
        <f>163.1664 * CHOOSE(CONTROL!$C$9, $D$9, 100%, $F$9) + CHOOSE(CONTROL!$C$27, 0.0021, 0)</f>
        <v>163.16850000000002</v>
      </c>
      <c r="H995" s="14">
        <f>163.0317 * CHOOSE(CONTROL!$C$9, $D$9, 100%, $F$9) + CHOOSE(CONTROL!$C$27, 0.0021, 0)</f>
        <v>163.03380000000001</v>
      </c>
      <c r="I995" s="14">
        <f>163.0317 * CHOOSE(CONTROL!$C$9, $D$9, 100%, $F$9) + CHOOSE(CONTROL!$C$27, 0.0021, 0)</f>
        <v>163.03380000000001</v>
      </c>
      <c r="J995" s="14">
        <f>163.0317 * CHOOSE(CONTROL!$C$9, $D$9, 100%, $F$9) + CHOOSE(CONTROL!$C$27, 0.0021, 0)</f>
        <v>163.03380000000001</v>
      </c>
      <c r="K995" s="14">
        <f>163.0317 * CHOOSE(CONTROL!$C$9, $D$9, 100%, $F$9) + CHOOSE(CONTROL!$C$27, 0.0021, 0)</f>
        <v>163.03380000000001</v>
      </c>
      <c r="L995" s="14"/>
    </row>
    <row r="996" spans="1:12" ht="15.75" x14ac:dyDescent="0.25">
      <c r="A996" s="32">
        <v>71255</v>
      </c>
      <c r="B996" s="14">
        <f>162.5043 * CHOOSE(CONTROL!$C$9, $D$9, 100%, $F$9) + CHOOSE(CONTROL!$C$27, 0.0021, 0)</f>
        <v>162.50640000000001</v>
      </c>
      <c r="C996" s="14">
        <f>162.0721 * CHOOSE(CONTROL!$C$9, $D$9, 100%, $F$9) + CHOOSE(CONTROL!$C$27, 0.0021, 0)</f>
        <v>162.07420000000002</v>
      </c>
      <c r="D996" s="14">
        <f>162.0721 * CHOOSE(CONTROL!$C$9, $D$9, 100%, $F$9) + CHOOSE(CONTROL!$C$27, 0.0021, 0)</f>
        <v>162.07420000000002</v>
      </c>
      <c r="E996" s="14">
        <f>161.9354 * CHOOSE(CONTROL!$C$9, $D$9, 100%, $F$9) + CHOOSE(CONTROL!$C$27, 0.0021, 0)</f>
        <v>161.9375</v>
      </c>
      <c r="F996" s="14">
        <f>161.9354 * CHOOSE(CONTROL!$C$9, $D$9, 100%, $F$9) + CHOOSE(CONTROL!$C$27, 0.0021, 0)</f>
        <v>161.9375</v>
      </c>
      <c r="G996" s="14">
        <f>162.2068 * CHOOSE(CONTROL!$C$9, $D$9, 100%, $F$9) + CHOOSE(CONTROL!$C$27, 0.0021, 0)</f>
        <v>162.2089</v>
      </c>
      <c r="H996" s="14">
        <f>162.0721 * CHOOSE(CONTROL!$C$9, $D$9, 100%, $F$9) + CHOOSE(CONTROL!$C$27, 0.0021, 0)</f>
        <v>162.07420000000002</v>
      </c>
      <c r="I996" s="14">
        <f>162.0721 * CHOOSE(CONTROL!$C$9, $D$9, 100%, $F$9) + CHOOSE(CONTROL!$C$27, 0.0021, 0)</f>
        <v>162.07420000000002</v>
      </c>
      <c r="J996" s="14">
        <f>162.0721 * CHOOSE(CONTROL!$C$9, $D$9, 100%, $F$9) + CHOOSE(CONTROL!$C$27, 0.0021, 0)</f>
        <v>162.07420000000002</v>
      </c>
      <c r="K996" s="14">
        <f>162.0721 * CHOOSE(CONTROL!$C$9, $D$9, 100%, $F$9) + CHOOSE(CONTROL!$C$27, 0.0021, 0)</f>
        <v>162.07420000000002</v>
      </c>
      <c r="L996" s="14"/>
    </row>
    <row r="997" spans="1:12" ht="15.75" x14ac:dyDescent="0.25">
      <c r="A997" s="32">
        <v>71283</v>
      </c>
      <c r="B997" s="14">
        <f>162.059 * CHOOSE(CONTROL!$C$9, $D$9, 100%, $F$9) + CHOOSE(CONTROL!$C$27, 0.0021, 0)</f>
        <v>162.06110000000001</v>
      </c>
      <c r="C997" s="14">
        <f>161.6267 * CHOOSE(CONTROL!$C$9, $D$9, 100%, $F$9) + CHOOSE(CONTROL!$C$27, 0.0021, 0)</f>
        <v>161.62880000000001</v>
      </c>
      <c r="D997" s="14">
        <f>161.6267 * CHOOSE(CONTROL!$C$9, $D$9, 100%, $F$9) + CHOOSE(CONTROL!$C$27, 0.0021, 0)</f>
        <v>161.62880000000001</v>
      </c>
      <c r="E997" s="14">
        <f>161.4901 * CHOOSE(CONTROL!$C$9, $D$9, 100%, $F$9) + CHOOSE(CONTROL!$C$27, 0.0021, 0)</f>
        <v>161.49220000000003</v>
      </c>
      <c r="F997" s="14">
        <f>161.4901 * CHOOSE(CONTROL!$C$9, $D$9, 100%, $F$9) + CHOOSE(CONTROL!$C$27, 0.0021, 0)</f>
        <v>161.49220000000003</v>
      </c>
      <c r="G997" s="14">
        <f>161.7615 * CHOOSE(CONTROL!$C$9, $D$9, 100%, $F$9) + CHOOSE(CONTROL!$C$27, 0.0021, 0)</f>
        <v>161.76360000000003</v>
      </c>
      <c r="H997" s="14">
        <f>161.6267 * CHOOSE(CONTROL!$C$9, $D$9, 100%, $F$9) + CHOOSE(CONTROL!$C$27, 0.0021, 0)</f>
        <v>161.62880000000001</v>
      </c>
      <c r="I997" s="14">
        <f>161.6267 * CHOOSE(CONTROL!$C$9, $D$9, 100%, $F$9) + CHOOSE(CONTROL!$C$27, 0.0021, 0)</f>
        <v>161.62880000000001</v>
      </c>
      <c r="J997" s="14">
        <f>161.6267 * CHOOSE(CONTROL!$C$9, $D$9, 100%, $F$9) + CHOOSE(CONTROL!$C$27, 0.0021, 0)</f>
        <v>161.62880000000001</v>
      </c>
      <c r="K997" s="14">
        <f>161.6267 * CHOOSE(CONTROL!$C$9, $D$9, 100%, $F$9) + CHOOSE(CONTROL!$C$27, 0.0021, 0)</f>
        <v>161.62880000000001</v>
      </c>
      <c r="L997" s="14"/>
    </row>
    <row r="998" spans="1:12" ht="15.75" x14ac:dyDescent="0.25">
      <c r="A998" s="32">
        <v>71314</v>
      </c>
      <c r="B998" s="14">
        <f>170.4796 * CHOOSE(CONTROL!$C$9, $D$9, 100%, $F$9) + CHOOSE(CONTROL!$C$27, 0.0021, 0)</f>
        <v>170.48170000000002</v>
      </c>
      <c r="C998" s="14">
        <f>170.0474 * CHOOSE(CONTROL!$C$9, $D$9, 100%, $F$9) + CHOOSE(CONTROL!$C$27, 0.0021, 0)</f>
        <v>170.04950000000002</v>
      </c>
      <c r="D998" s="14">
        <f>170.0474 * CHOOSE(CONTROL!$C$9, $D$9, 100%, $F$9) + CHOOSE(CONTROL!$C$27, 0.0021, 0)</f>
        <v>170.04950000000002</v>
      </c>
      <c r="E998" s="14">
        <f>169.9107 * CHOOSE(CONTROL!$C$9, $D$9, 100%, $F$9) + CHOOSE(CONTROL!$C$27, 0.0021, 0)</f>
        <v>169.9128</v>
      </c>
      <c r="F998" s="14">
        <f>169.9107 * CHOOSE(CONTROL!$C$9, $D$9, 100%, $F$9) + CHOOSE(CONTROL!$C$27, 0.0021, 0)</f>
        <v>169.9128</v>
      </c>
      <c r="G998" s="14">
        <f>170.1821 * CHOOSE(CONTROL!$C$9, $D$9, 100%, $F$9) + CHOOSE(CONTROL!$C$27, 0.0021, 0)</f>
        <v>170.1842</v>
      </c>
      <c r="H998" s="14">
        <f>170.0474 * CHOOSE(CONTROL!$C$9, $D$9, 100%, $F$9) + CHOOSE(CONTROL!$C$27, 0.0021, 0)</f>
        <v>170.04950000000002</v>
      </c>
      <c r="I998" s="14">
        <f>170.0474 * CHOOSE(CONTROL!$C$9, $D$9, 100%, $F$9) + CHOOSE(CONTROL!$C$27, 0.0021, 0)</f>
        <v>170.04950000000002</v>
      </c>
      <c r="J998" s="14">
        <f>170.0474 * CHOOSE(CONTROL!$C$9, $D$9, 100%, $F$9) + CHOOSE(CONTROL!$C$27, 0.0021, 0)</f>
        <v>170.04950000000002</v>
      </c>
      <c r="K998" s="14">
        <f>170.0474 * CHOOSE(CONTROL!$C$9, $D$9, 100%, $F$9) + CHOOSE(CONTROL!$C$27, 0.0021, 0)</f>
        <v>170.04950000000002</v>
      </c>
      <c r="L998" s="14"/>
    </row>
    <row r="999" spans="1:12" ht="15.75" x14ac:dyDescent="0.25">
      <c r="A999" s="32">
        <v>71344</v>
      </c>
      <c r="B999" s="14">
        <f>181.3992 * CHOOSE(CONTROL!$C$9, $D$9, 100%, $F$9) + CHOOSE(CONTROL!$C$27, 0.0021, 0)</f>
        <v>181.40130000000002</v>
      </c>
      <c r="C999" s="14">
        <f>180.9669 * CHOOSE(CONTROL!$C$9, $D$9, 100%, $F$9) + CHOOSE(CONTROL!$C$27, 0.0021, 0)</f>
        <v>180.96900000000002</v>
      </c>
      <c r="D999" s="14">
        <f>180.9669 * CHOOSE(CONTROL!$C$9, $D$9, 100%, $F$9) + CHOOSE(CONTROL!$C$27, 0.0021, 0)</f>
        <v>180.96900000000002</v>
      </c>
      <c r="E999" s="14">
        <f>180.8303 * CHOOSE(CONTROL!$C$9, $D$9, 100%, $F$9) + CHOOSE(CONTROL!$C$27, 0.0021, 0)</f>
        <v>180.83240000000001</v>
      </c>
      <c r="F999" s="14">
        <f>180.8303 * CHOOSE(CONTROL!$C$9, $D$9, 100%, $F$9) + CHOOSE(CONTROL!$C$27, 0.0021, 0)</f>
        <v>180.83240000000001</v>
      </c>
      <c r="G999" s="14">
        <f>181.1016 * CHOOSE(CONTROL!$C$9, $D$9, 100%, $F$9) + CHOOSE(CONTROL!$C$27, 0.0021, 0)</f>
        <v>181.1037</v>
      </c>
      <c r="H999" s="14">
        <f>180.9669 * CHOOSE(CONTROL!$C$9, $D$9, 100%, $F$9) + CHOOSE(CONTROL!$C$27, 0.0021, 0)</f>
        <v>180.96900000000002</v>
      </c>
      <c r="I999" s="14">
        <f>180.9669 * CHOOSE(CONTROL!$C$9, $D$9, 100%, $F$9) + CHOOSE(CONTROL!$C$27, 0.0021, 0)</f>
        <v>180.96900000000002</v>
      </c>
      <c r="J999" s="14">
        <f>180.9669 * CHOOSE(CONTROL!$C$9, $D$9, 100%, $F$9) + CHOOSE(CONTROL!$C$27, 0.0021, 0)</f>
        <v>180.96900000000002</v>
      </c>
      <c r="K999" s="14">
        <f>180.9669 * CHOOSE(CONTROL!$C$9, $D$9, 100%, $F$9) + CHOOSE(CONTROL!$C$27, 0.0021, 0)</f>
        <v>180.96900000000002</v>
      </c>
      <c r="L999" s="14"/>
    </row>
    <row r="1000" spans="1:12" ht="15.75" x14ac:dyDescent="0.25">
      <c r="A1000" s="32">
        <v>71375</v>
      </c>
      <c r="B1000" s="14">
        <f>187.4096 * CHOOSE(CONTROL!$C$9, $D$9, 100%, $F$9) + CHOOSE(CONTROL!$C$27, 0.0021, 0)</f>
        <v>187.41170000000002</v>
      </c>
      <c r="C1000" s="14">
        <f>186.9774 * CHOOSE(CONTROL!$C$9, $D$9, 100%, $F$9) + CHOOSE(CONTROL!$C$27, 0.0021, 0)</f>
        <v>186.9795</v>
      </c>
      <c r="D1000" s="14">
        <f>186.9774 * CHOOSE(CONTROL!$C$9, $D$9, 100%, $F$9) + CHOOSE(CONTROL!$C$27, 0.0021, 0)</f>
        <v>186.9795</v>
      </c>
      <c r="E1000" s="14">
        <f>186.8407 * CHOOSE(CONTROL!$C$9, $D$9, 100%, $F$9) + CHOOSE(CONTROL!$C$27, 0.0021, 0)</f>
        <v>186.84280000000001</v>
      </c>
      <c r="F1000" s="14">
        <f>186.8407 * CHOOSE(CONTROL!$C$9, $D$9, 100%, $F$9) + CHOOSE(CONTROL!$C$27, 0.0021, 0)</f>
        <v>186.84280000000001</v>
      </c>
      <c r="G1000" s="14">
        <f>187.1121 * CHOOSE(CONTROL!$C$9, $D$9, 100%, $F$9) + CHOOSE(CONTROL!$C$27, 0.0021, 0)</f>
        <v>187.11420000000001</v>
      </c>
      <c r="H1000" s="14">
        <f>186.9774 * CHOOSE(CONTROL!$C$9, $D$9, 100%, $F$9) + CHOOSE(CONTROL!$C$27, 0.0021, 0)</f>
        <v>186.9795</v>
      </c>
      <c r="I1000" s="14">
        <f>186.9774 * CHOOSE(CONTROL!$C$9, $D$9, 100%, $F$9) + CHOOSE(CONTROL!$C$27, 0.0021, 0)</f>
        <v>186.9795</v>
      </c>
      <c r="J1000" s="14">
        <f>186.9774 * CHOOSE(CONTROL!$C$9, $D$9, 100%, $F$9) + CHOOSE(CONTROL!$C$27, 0.0021, 0)</f>
        <v>186.9795</v>
      </c>
      <c r="K1000" s="14">
        <f>186.9774 * CHOOSE(CONTROL!$C$9, $D$9, 100%, $F$9) + CHOOSE(CONTROL!$C$27, 0.0021, 0)</f>
        <v>186.9795</v>
      </c>
      <c r="L1000" s="14"/>
    </row>
    <row r="1001" spans="1:12" ht="15.75" x14ac:dyDescent="0.25">
      <c r="A1001" s="32">
        <v>71405</v>
      </c>
      <c r="B1001" s="14">
        <f>190.077 * CHOOSE(CONTROL!$C$9, $D$9, 100%, $F$9) + CHOOSE(CONTROL!$C$27, 0.0021, 0)</f>
        <v>190.07910000000001</v>
      </c>
      <c r="C1001" s="14">
        <f>189.6447 * CHOOSE(CONTROL!$C$9, $D$9, 100%, $F$9) + CHOOSE(CONTROL!$C$27, 0.0021, 0)</f>
        <v>189.64680000000001</v>
      </c>
      <c r="D1001" s="14">
        <f>189.6447 * CHOOSE(CONTROL!$C$9, $D$9, 100%, $F$9) + CHOOSE(CONTROL!$C$27, 0.0021, 0)</f>
        <v>189.64680000000001</v>
      </c>
      <c r="E1001" s="14">
        <f>189.5081 * CHOOSE(CONTROL!$C$9, $D$9, 100%, $F$9) + CHOOSE(CONTROL!$C$27, 0.0021, 0)</f>
        <v>189.51020000000003</v>
      </c>
      <c r="F1001" s="14">
        <f>189.5081 * CHOOSE(CONTROL!$C$9, $D$9, 100%, $F$9) + CHOOSE(CONTROL!$C$27, 0.0021, 0)</f>
        <v>189.51020000000003</v>
      </c>
      <c r="G1001" s="14">
        <f>189.7794 * CHOOSE(CONTROL!$C$9, $D$9, 100%, $F$9) + CHOOSE(CONTROL!$C$27, 0.0021, 0)</f>
        <v>189.78150000000002</v>
      </c>
      <c r="H1001" s="14">
        <f>189.6447 * CHOOSE(CONTROL!$C$9, $D$9, 100%, $F$9) + CHOOSE(CONTROL!$C$27, 0.0021, 0)</f>
        <v>189.64680000000001</v>
      </c>
      <c r="I1001" s="14">
        <f>189.6447 * CHOOSE(CONTROL!$C$9, $D$9, 100%, $F$9) + CHOOSE(CONTROL!$C$27, 0.0021, 0)</f>
        <v>189.64680000000001</v>
      </c>
      <c r="J1001" s="14">
        <f>189.6447 * CHOOSE(CONTROL!$C$9, $D$9, 100%, $F$9) + CHOOSE(CONTROL!$C$27, 0.0021, 0)</f>
        <v>189.64680000000001</v>
      </c>
      <c r="K1001" s="14">
        <f>189.6447 * CHOOSE(CONTROL!$C$9, $D$9, 100%, $F$9) + CHOOSE(CONTROL!$C$27, 0.0021, 0)</f>
        <v>189.64680000000001</v>
      </c>
      <c r="L1001" s="14"/>
    </row>
    <row r="1002" spans="1:12" ht="15.75" x14ac:dyDescent="0.25">
      <c r="A1002" s="32">
        <v>71436</v>
      </c>
      <c r="B1002" s="14">
        <f>189.1988 * CHOOSE(CONTROL!$C$9, $D$9, 100%, $F$9) + CHOOSE(CONTROL!$C$27, 0.0021, 0)</f>
        <v>189.20090000000002</v>
      </c>
      <c r="C1002" s="14">
        <f>188.7665 * CHOOSE(CONTROL!$C$9, $D$9, 100%, $F$9) + CHOOSE(CONTROL!$C$27, 0.0021, 0)</f>
        <v>188.76860000000002</v>
      </c>
      <c r="D1002" s="14">
        <f>188.7665 * CHOOSE(CONTROL!$C$9, $D$9, 100%, $F$9) + CHOOSE(CONTROL!$C$27, 0.0021, 0)</f>
        <v>188.76860000000002</v>
      </c>
      <c r="E1002" s="14">
        <f>188.6299 * CHOOSE(CONTROL!$C$9, $D$9, 100%, $F$9) + CHOOSE(CONTROL!$C$27, 0.0021, 0)</f>
        <v>188.63200000000001</v>
      </c>
      <c r="F1002" s="14">
        <f>188.6299 * CHOOSE(CONTROL!$C$9, $D$9, 100%, $F$9) + CHOOSE(CONTROL!$C$27, 0.0021, 0)</f>
        <v>188.63200000000001</v>
      </c>
      <c r="G1002" s="14">
        <f>188.9012 * CHOOSE(CONTROL!$C$9, $D$9, 100%, $F$9) + CHOOSE(CONTROL!$C$27, 0.0021, 0)</f>
        <v>188.9033</v>
      </c>
      <c r="H1002" s="14">
        <f>188.7665 * CHOOSE(CONTROL!$C$9, $D$9, 100%, $F$9) + CHOOSE(CONTROL!$C$27, 0.0021, 0)</f>
        <v>188.76860000000002</v>
      </c>
      <c r="I1002" s="14">
        <f>188.7665 * CHOOSE(CONTROL!$C$9, $D$9, 100%, $F$9) + CHOOSE(CONTROL!$C$27, 0.0021, 0)</f>
        <v>188.76860000000002</v>
      </c>
      <c r="J1002" s="14">
        <f>188.7665 * CHOOSE(CONTROL!$C$9, $D$9, 100%, $F$9) + CHOOSE(CONTROL!$C$27, 0.0021, 0)</f>
        <v>188.76860000000002</v>
      </c>
      <c r="K1002" s="14">
        <f>188.7665 * CHOOSE(CONTROL!$C$9, $D$9, 100%, $F$9) + CHOOSE(CONTROL!$C$27, 0.0021, 0)</f>
        <v>188.76860000000002</v>
      </c>
      <c r="L1002" s="14"/>
    </row>
    <row r="1003" spans="1:12" ht="15.75" x14ac:dyDescent="0.25">
      <c r="A1003" s="32">
        <v>71467</v>
      </c>
      <c r="B1003" s="14">
        <f>184.8477 * CHOOSE(CONTROL!$C$9, $D$9, 100%, $F$9) + CHOOSE(CONTROL!$C$27, 0.0021, 0)</f>
        <v>184.84980000000002</v>
      </c>
      <c r="C1003" s="14">
        <f>184.4154 * CHOOSE(CONTROL!$C$9, $D$9, 100%, $F$9) + CHOOSE(CONTROL!$C$27, 0.0021, 0)</f>
        <v>184.41750000000002</v>
      </c>
      <c r="D1003" s="14">
        <f>184.4154 * CHOOSE(CONTROL!$C$9, $D$9, 100%, $F$9) + CHOOSE(CONTROL!$C$27, 0.0021, 0)</f>
        <v>184.41750000000002</v>
      </c>
      <c r="E1003" s="14">
        <f>184.2788 * CHOOSE(CONTROL!$C$9, $D$9, 100%, $F$9) + CHOOSE(CONTROL!$C$27, 0.0021, 0)</f>
        <v>184.2809</v>
      </c>
      <c r="F1003" s="14">
        <f>184.2788 * CHOOSE(CONTROL!$C$9, $D$9, 100%, $F$9) + CHOOSE(CONTROL!$C$27, 0.0021, 0)</f>
        <v>184.2809</v>
      </c>
      <c r="G1003" s="14">
        <f>184.5501 * CHOOSE(CONTROL!$C$9, $D$9, 100%, $F$9) + CHOOSE(CONTROL!$C$27, 0.0021, 0)</f>
        <v>184.5522</v>
      </c>
      <c r="H1003" s="14">
        <f>184.4154 * CHOOSE(CONTROL!$C$9, $D$9, 100%, $F$9) + CHOOSE(CONTROL!$C$27, 0.0021, 0)</f>
        <v>184.41750000000002</v>
      </c>
      <c r="I1003" s="14">
        <f>184.4154 * CHOOSE(CONTROL!$C$9, $D$9, 100%, $F$9) + CHOOSE(CONTROL!$C$27, 0.0021, 0)</f>
        <v>184.41750000000002</v>
      </c>
      <c r="J1003" s="14">
        <f>184.4154 * CHOOSE(CONTROL!$C$9, $D$9, 100%, $F$9) + CHOOSE(CONTROL!$C$27, 0.0021, 0)</f>
        <v>184.41750000000002</v>
      </c>
      <c r="K1003" s="14">
        <f>184.4154 * CHOOSE(CONTROL!$C$9, $D$9, 100%, $F$9) + CHOOSE(CONTROL!$C$27, 0.0021, 0)</f>
        <v>184.41750000000002</v>
      </c>
      <c r="L1003" s="14"/>
    </row>
    <row r="1004" spans="1:12" ht="15.75" x14ac:dyDescent="0.25">
      <c r="A1004" s="32">
        <v>71497</v>
      </c>
      <c r="B1004" s="14">
        <f>178.7798 * CHOOSE(CONTROL!$C$9, $D$9, 100%, $F$9) + CHOOSE(CONTROL!$C$27, 0.0021, 0)</f>
        <v>178.78190000000001</v>
      </c>
      <c r="C1004" s="14">
        <f>178.3476 * CHOOSE(CONTROL!$C$9, $D$9, 100%, $F$9) + CHOOSE(CONTROL!$C$27, 0.0021, 0)</f>
        <v>178.34970000000001</v>
      </c>
      <c r="D1004" s="14">
        <f>178.3476 * CHOOSE(CONTROL!$C$9, $D$9, 100%, $F$9) + CHOOSE(CONTROL!$C$27, 0.0021, 0)</f>
        <v>178.34970000000001</v>
      </c>
      <c r="E1004" s="14">
        <f>178.2109 * CHOOSE(CONTROL!$C$9, $D$9, 100%, $F$9) + CHOOSE(CONTROL!$C$27, 0.0021, 0)</f>
        <v>178.21300000000002</v>
      </c>
      <c r="F1004" s="14">
        <f>178.2109 * CHOOSE(CONTROL!$C$9, $D$9, 100%, $F$9) + CHOOSE(CONTROL!$C$27, 0.0021, 0)</f>
        <v>178.21300000000002</v>
      </c>
      <c r="G1004" s="14">
        <f>178.4823 * CHOOSE(CONTROL!$C$9, $D$9, 100%, $F$9) + CHOOSE(CONTROL!$C$27, 0.0021, 0)</f>
        <v>178.48440000000002</v>
      </c>
      <c r="H1004" s="14">
        <f>178.3476 * CHOOSE(CONTROL!$C$9, $D$9, 100%, $F$9) + CHOOSE(CONTROL!$C$27, 0.0021, 0)</f>
        <v>178.34970000000001</v>
      </c>
      <c r="I1004" s="14">
        <f>178.3476 * CHOOSE(CONTROL!$C$9, $D$9, 100%, $F$9) + CHOOSE(CONTROL!$C$27, 0.0021, 0)</f>
        <v>178.34970000000001</v>
      </c>
      <c r="J1004" s="14">
        <f>178.3476 * CHOOSE(CONTROL!$C$9, $D$9, 100%, $F$9) + CHOOSE(CONTROL!$C$27, 0.0021, 0)</f>
        <v>178.34970000000001</v>
      </c>
      <c r="K1004" s="14">
        <f>178.3476 * CHOOSE(CONTROL!$C$9, $D$9, 100%, $F$9) + CHOOSE(CONTROL!$C$27, 0.0021, 0)</f>
        <v>178.34970000000001</v>
      </c>
      <c r="L1004" s="14"/>
    </row>
    <row r="1005" spans="1:12" ht="15.75" x14ac:dyDescent="0.25">
      <c r="A1005" s="32">
        <v>71528</v>
      </c>
      <c r="B1005" s="14">
        <f>172.6767 * CHOOSE(CONTROL!$C$9, $D$9, 100%, $F$9) + CHOOSE(CONTROL!$C$27, 0.0021, 0)</f>
        <v>172.67880000000002</v>
      </c>
      <c r="C1005" s="14">
        <f>172.2445 * CHOOSE(CONTROL!$C$9, $D$9, 100%, $F$9) + CHOOSE(CONTROL!$C$27, 0.0021, 0)</f>
        <v>172.2466</v>
      </c>
      <c r="D1005" s="14">
        <f>172.2445 * CHOOSE(CONTROL!$C$9, $D$9, 100%, $F$9) + CHOOSE(CONTROL!$C$27, 0.0021, 0)</f>
        <v>172.2466</v>
      </c>
      <c r="E1005" s="14">
        <f>172.1078 * CHOOSE(CONTROL!$C$9, $D$9, 100%, $F$9) + CHOOSE(CONTROL!$C$27, 0.0021, 0)</f>
        <v>172.10990000000001</v>
      </c>
      <c r="F1005" s="14">
        <f>172.1078 * CHOOSE(CONTROL!$C$9, $D$9, 100%, $F$9) + CHOOSE(CONTROL!$C$27, 0.0021, 0)</f>
        <v>172.10990000000001</v>
      </c>
      <c r="G1005" s="14">
        <f>172.3792 * CHOOSE(CONTROL!$C$9, $D$9, 100%, $F$9) + CHOOSE(CONTROL!$C$27, 0.0021, 0)</f>
        <v>172.38130000000001</v>
      </c>
      <c r="H1005" s="14">
        <f>172.2445 * CHOOSE(CONTROL!$C$9, $D$9, 100%, $F$9) + CHOOSE(CONTROL!$C$27, 0.0021, 0)</f>
        <v>172.2466</v>
      </c>
      <c r="I1005" s="14">
        <f>172.2445 * CHOOSE(CONTROL!$C$9, $D$9, 100%, $F$9) + CHOOSE(CONTROL!$C$27, 0.0021, 0)</f>
        <v>172.2466</v>
      </c>
      <c r="J1005" s="14">
        <f>172.2445 * CHOOSE(CONTROL!$C$9, $D$9, 100%, $F$9) + CHOOSE(CONTROL!$C$27, 0.0021, 0)</f>
        <v>172.2466</v>
      </c>
      <c r="K1005" s="14">
        <f>172.2445 * CHOOSE(CONTROL!$C$9, $D$9, 100%, $F$9) + CHOOSE(CONTROL!$C$27, 0.0021, 0)</f>
        <v>172.2466</v>
      </c>
      <c r="L1005" s="14"/>
    </row>
    <row r="1006" spans="1:12" ht="15.75" x14ac:dyDescent="0.25">
      <c r="A1006" s="32">
        <v>71558</v>
      </c>
      <c r="B1006" s="14">
        <f>171.4627 * CHOOSE(CONTROL!$C$9, $D$9, 100%, $F$9) + CHOOSE(CONTROL!$C$27, 0.0021, 0)</f>
        <v>171.46480000000003</v>
      </c>
      <c r="C1006" s="14">
        <f>171.0304 * CHOOSE(CONTROL!$C$9, $D$9, 100%, $F$9) + CHOOSE(CONTROL!$C$27, 0.0021, 0)</f>
        <v>171.0325</v>
      </c>
      <c r="D1006" s="14">
        <f>171.0304 * CHOOSE(CONTROL!$C$9, $D$9, 100%, $F$9) + CHOOSE(CONTROL!$C$27, 0.0021, 0)</f>
        <v>171.0325</v>
      </c>
      <c r="E1006" s="14">
        <f>170.8938 * CHOOSE(CONTROL!$C$9, $D$9, 100%, $F$9) + CHOOSE(CONTROL!$C$27, 0.0021, 0)</f>
        <v>170.89590000000001</v>
      </c>
      <c r="F1006" s="14">
        <f>170.8938 * CHOOSE(CONTROL!$C$9, $D$9, 100%, $F$9) + CHOOSE(CONTROL!$C$27, 0.0021, 0)</f>
        <v>170.89590000000001</v>
      </c>
      <c r="G1006" s="14">
        <f>171.1652 * CHOOSE(CONTROL!$C$9, $D$9, 100%, $F$9) + CHOOSE(CONTROL!$C$27, 0.0021, 0)</f>
        <v>171.16730000000001</v>
      </c>
      <c r="H1006" s="14">
        <f>171.0304 * CHOOSE(CONTROL!$C$9, $D$9, 100%, $F$9) + CHOOSE(CONTROL!$C$27, 0.0021, 0)</f>
        <v>171.0325</v>
      </c>
      <c r="I1006" s="14">
        <f>171.0304 * CHOOSE(CONTROL!$C$9, $D$9, 100%, $F$9) + CHOOSE(CONTROL!$C$27, 0.0021, 0)</f>
        <v>171.0325</v>
      </c>
      <c r="J1006" s="14">
        <f>171.0304 * CHOOSE(CONTROL!$C$9, $D$9, 100%, $F$9) + CHOOSE(CONTROL!$C$27, 0.0021, 0)</f>
        <v>171.0325</v>
      </c>
      <c r="K1006" s="14">
        <f>171.0304 * CHOOSE(CONTROL!$C$9, $D$9, 100%, $F$9) + CHOOSE(CONTROL!$C$27, 0.0021, 0)</f>
        <v>171.0325</v>
      </c>
      <c r="L1006" s="14"/>
    </row>
    <row r="1007" spans="1:12" ht="15.75" x14ac:dyDescent="0.25">
      <c r="A1007" s="32">
        <v>71589</v>
      </c>
      <c r="B1007" s="14">
        <f>166.4425 * CHOOSE(CONTROL!$C$9, $D$9, 100%, $F$9) + CHOOSE(CONTROL!$C$27, 0.0021, 0)</f>
        <v>166.44460000000001</v>
      </c>
      <c r="C1007" s="14">
        <f>166.0103 * CHOOSE(CONTROL!$C$9, $D$9, 100%, $F$9) + CHOOSE(CONTROL!$C$27, 0.0021, 0)</f>
        <v>166.01240000000001</v>
      </c>
      <c r="D1007" s="14">
        <f>166.0103 * CHOOSE(CONTROL!$C$9, $D$9, 100%, $F$9) + CHOOSE(CONTROL!$C$27, 0.0021, 0)</f>
        <v>166.01240000000001</v>
      </c>
      <c r="E1007" s="14">
        <f>165.8736 * CHOOSE(CONTROL!$C$9, $D$9, 100%, $F$9) + CHOOSE(CONTROL!$C$27, 0.0021, 0)</f>
        <v>165.87570000000002</v>
      </c>
      <c r="F1007" s="14">
        <f>165.8736 * CHOOSE(CONTROL!$C$9, $D$9, 100%, $F$9) + CHOOSE(CONTROL!$C$27, 0.0021, 0)</f>
        <v>165.87570000000002</v>
      </c>
      <c r="G1007" s="14">
        <f>166.145 * CHOOSE(CONTROL!$C$9, $D$9, 100%, $F$9) + CHOOSE(CONTROL!$C$27, 0.0021, 0)</f>
        <v>166.14710000000002</v>
      </c>
      <c r="H1007" s="14">
        <f>166.0103 * CHOOSE(CONTROL!$C$9, $D$9, 100%, $F$9) + CHOOSE(CONTROL!$C$27, 0.0021, 0)</f>
        <v>166.01240000000001</v>
      </c>
      <c r="I1007" s="14">
        <f>166.0103 * CHOOSE(CONTROL!$C$9, $D$9, 100%, $F$9) + CHOOSE(CONTROL!$C$27, 0.0021, 0)</f>
        <v>166.01240000000001</v>
      </c>
      <c r="J1007" s="14">
        <f>166.0103 * CHOOSE(CONTROL!$C$9, $D$9, 100%, $F$9) + CHOOSE(CONTROL!$C$27, 0.0021, 0)</f>
        <v>166.01240000000001</v>
      </c>
      <c r="K1007" s="14">
        <f>166.0103 * CHOOSE(CONTROL!$C$9, $D$9, 100%, $F$9) + CHOOSE(CONTROL!$C$27, 0.0021, 0)</f>
        <v>166.01240000000001</v>
      </c>
      <c r="L1007" s="14"/>
    </row>
    <row r="1008" spans="1:12" ht="15.75" x14ac:dyDescent="0.25">
      <c r="A1008" s="32">
        <v>71620</v>
      </c>
      <c r="B1008" s="14">
        <f>165.4652 * CHOOSE(CONTROL!$C$9, $D$9, 100%, $F$9) + CHOOSE(CONTROL!$C$27, 0.0021, 0)</f>
        <v>165.46730000000002</v>
      </c>
      <c r="C1008" s="14">
        <f>165.0329 * CHOOSE(CONTROL!$C$9, $D$9, 100%, $F$9) + CHOOSE(CONTROL!$C$27, 0.0021, 0)</f>
        <v>165.03500000000003</v>
      </c>
      <c r="D1008" s="14">
        <f>165.0329 * CHOOSE(CONTROL!$C$9, $D$9, 100%, $F$9) + CHOOSE(CONTROL!$C$27, 0.0021, 0)</f>
        <v>165.03500000000003</v>
      </c>
      <c r="E1008" s="14">
        <f>164.8963 * CHOOSE(CONTROL!$C$9, $D$9, 100%, $F$9) + CHOOSE(CONTROL!$C$27, 0.0021, 0)</f>
        <v>164.89840000000001</v>
      </c>
      <c r="F1008" s="14">
        <f>164.8963 * CHOOSE(CONTROL!$C$9, $D$9, 100%, $F$9) + CHOOSE(CONTROL!$C$27, 0.0021, 0)</f>
        <v>164.89840000000001</v>
      </c>
      <c r="G1008" s="14">
        <f>165.1676 * CHOOSE(CONTROL!$C$9, $D$9, 100%, $F$9) + CHOOSE(CONTROL!$C$27, 0.0021, 0)</f>
        <v>165.16970000000001</v>
      </c>
      <c r="H1008" s="14">
        <f>165.0329 * CHOOSE(CONTROL!$C$9, $D$9, 100%, $F$9) + CHOOSE(CONTROL!$C$27, 0.0021, 0)</f>
        <v>165.03500000000003</v>
      </c>
      <c r="I1008" s="14">
        <f>165.0329 * CHOOSE(CONTROL!$C$9, $D$9, 100%, $F$9) + CHOOSE(CONTROL!$C$27, 0.0021, 0)</f>
        <v>165.03500000000003</v>
      </c>
      <c r="J1008" s="14">
        <f>165.0329 * CHOOSE(CONTROL!$C$9, $D$9, 100%, $F$9) + CHOOSE(CONTROL!$C$27, 0.0021, 0)</f>
        <v>165.03500000000003</v>
      </c>
      <c r="K1008" s="14">
        <f>165.0329 * CHOOSE(CONTROL!$C$9, $D$9, 100%, $F$9) + CHOOSE(CONTROL!$C$27, 0.0021, 0)</f>
        <v>165.03500000000003</v>
      </c>
      <c r="L1008" s="14"/>
    </row>
    <row r="1009" spans="1:12" ht="15.75" x14ac:dyDescent="0.25">
      <c r="A1009" s="32">
        <v>71649</v>
      </c>
      <c r="B1009" s="14">
        <f>165.0116 * CHOOSE(CONTROL!$C$9, $D$9, 100%, $F$9) + CHOOSE(CONTROL!$C$27, 0.0021, 0)</f>
        <v>165.0137</v>
      </c>
      <c r="C1009" s="14">
        <f>164.5794 * CHOOSE(CONTROL!$C$9, $D$9, 100%, $F$9) + CHOOSE(CONTROL!$C$27, 0.0021, 0)</f>
        <v>164.58150000000001</v>
      </c>
      <c r="D1009" s="14">
        <f>164.5794 * CHOOSE(CONTROL!$C$9, $D$9, 100%, $F$9) + CHOOSE(CONTROL!$C$27, 0.0021, 0)</f>
        <v>164.58150000000001</v>
      </c>
      <c r="E1009" s="14">
        <f>164.4427 * CHOOSE(CONTROL!$C$9, $D$9, 100%, $F$9) + CHOOSE(CONTROL!$C$27, 0.0021, 0)</f>
        <v>164.44480000000001</v>
      </c>
      <c r="F1009" s="14">
        <f>164.4427 * CHOOSE(CONTROL!$C$9, $D$9, 100%, $F$9) + CHOOSE(CONTROL!$C$27, 0.0021, 0)</f>
        <v>164.44480000000001</v>
      </c>
      <c r="G1009" s="14">
        <f>164.7141 * CHOOSE(CONTROL!$C$9, $D$9, 100%, $F$9) + CHOOSE(CONTROL!$C$27, 0.0021, 0)</f>
        <v>164.71620000000001</v>
      </c>
      <c r="H1009" s="14">
        <f>164.5794 * CHOOSE(CONTROL!$C$9, $D$9, 100%, $F$9) + CHOOSE(CONTROL!$C$27, 0.0021, 0)</f>
        <v>164.58150000000001</v>
      </c>
      <c r="I1009" s="14">
        <f>164.5794 * CHOOSE(CONTROL!$C$9, $D$9, 100%, $F$9) + CHOOSE(CONTROL!$C$27, 0.0021, 0)</f>
        <v>164.58150000000001</v>
      </c>
      <c r="J1009" s="14">
        <f>164.5794 * CHOOSE(CONTROL!$C$9, $D$9, 100%, $F$9) + CHOOSE(CONTROL!$C$27, 0.0021, 0)</f>
        <v>164.58150000000001</v>
      </c>
      <c r="K1009" s="14">
        <f>164.5794 * CHOOSE(CONTROL!$C$9, $D$9, 100%, $F$9) + CHOOSE(CONTROL!$C$27, 0.0021, 0)</f>
        <v>164.58150000000001</v>
      </c>
      <c r="L1009" s="14"/>
    </row>
    <row r="1010" spans="1:12" ht="15.75" x14ac:dyDescent="0.25">
      <c r="A1010" s="32">
        <v>71680</v>
      </c>
      <c r="B1010" s="14">
        <f>173.5879 * CHOOSE(CONTROL!$C$9, $D$9, 100%, $F$9) + CHOOSE(CONTROL!$C$27, 0.0021, 0)</f>
        <v>173.59</v>
      </c>
      <c r="C1010" s="14">
        <f>173.1556 * CHOOSE(CONTROL!$C$9, $D$9, 100%, $F$9) + CHOOSE(CONTROL!$C$27, 0.0021, 0)</f>
        <v>173.15770000000001</v>
      </c>
      <c r="D1010" s="14">
        <f>173.1556 * CHOOSE(CONTROL!$C$9, $D$9, 100%, $F$9) + CHOOSE(CONTROL!$C$27, 0.0021, 0)</f>
        <v>173.15770000000001</v>
      </c>
      <c r="E1010" s="14">
        <f>173.0189 * CHOOSE(CONTROL!$C$9, $D$9, 100%, $F$9) + CHOOSE(CONTROL!$C$27, 0.0021, 0)</f>
        <v>173.02100000000002</v>
      </c>
      <c r="F1010" s="14">
        <f>173.0189 * CHOOSE(CONTROL!$C$9, $D$9, 100%, $F$9) + CHOOSE(CONTROL!$C$27, 0.0021, 0)</f>
        <v>173.02100000000002</v>
      </c>
      <c r="G1010" s="14">
        <f>173.2903 * CHOOSE(CONTROL!$C$9, $D$9, 100%, $F$9) + CHOOSE(CONTROL!$C$27, 0.0021, 0)</f>
        <v>173.29240000000001</v>
      </c>
      <c r="H1010" s="14">
        <f>173.1556 * CHOOSE(CONTROL!$C$9, $D$9, 100%, $F$9) + CHOOSE(CONTROL!$C$27, 0.0021, 0)</f>
        <v>173.15770000000001</v>
      </c>
      <c r="I1010" s="14">
        <f>173.1556 * CHOOSE(CONTROL!$C$9, $D$9, 100%, $F$9) + CHOOSE(CONTROL!$C$27, 0.0021, 0)</f>
        <v>173.15770000000001</v>
      </c>
      <c r="J1010" s="14">
        <f>173.1556 * CHOOSE(CONTROL!$C$9, $D$9, 100%, $F$9) + CHOOSE(CONTROL!$C$27, 0.0021, 0)</f>
        <v>173.15770000000001</v>
      </c>
      <c r="K1010" s="14">
        <f>173.1556 * CHOOSE(CONTROL!$C$9, $D$9, 100%, $F$9) + CHOOSE(CONTROL!$C$27, 0.0021, 0)</f>
        <v>173.15770000000001</v>
      </c>
      <c r="L1010" s="14"/>
    </row>
    <row r="1011" spans="1:12" ht="15.75" x14ac:dyDescent="0.25">
      <c r="A1011" s="32">
        <v>71710</v>
      </c>
      <c r="B1011" s="14">
        <f>184.7092 * CHOOSE(CONTROL!$C$9, $D$9, 100%, $F$9) + CHOOSE(CONTROL!$C$27, 0.0021, 0)</f>
        <v>184.71130000000002</v>
      </c>
      <c r="C1011" s="14">
        <f>184.2769 * CHOOSE(CONTROL!$C$9, $D$9, 100%, $F$9) + CHOOSE(CONTROL!$C$27, 0.0021, 0)</f>
        <v>184.27900000000002</v>
      </c>
      <c r="D1011" s="14">
        <f>184.2769 * CHOOSE(CONTROL!$C$9, $D$9, 100%, $F$9) + CHOOSE(CONTROL!$C$27, 0.0021, 0)</f>
        <v>184.27900000000002</v>
      </c>
      <c r="E1011" s="14">
        <f>184.1403 * CHOOSE(CONTROL!$C$9, $D$9, 100%, $F$9) + CHOOSE(CONTROL!$C$27, 0.0021, 0)</f>
        <v>184.14240000000001</v>
      </c>
      <c r="F1011" s="14">
        <f>184.1403 * CHOOSE(CONTROL!$C$9, $D$9, 100%, $F$9) + CHOOSE(CONTROL!$C$27, 0.0021, 0)</f>
        <v>184.14240000000001</v>
      </c>
      <c r="G1011" s="14">
        <f>184.4117 * CHOOSE(CONTROL!$C$9, $D$9, 100%, $F$9) + CHOOSE(CONTROL!$C$27, 0.0021, 0)</f>
        <v>184.41380000000001</v>
      </c>
      <c r="H1011" s="14">
        <f>184.2769 * CHOOSE(CONTROL!$C$9, $D$9, 100%, $F$9) + CHOOSE(CONTROL!$C$27, 0.0021, 0)</f>
        <v>184.27900000000002</v>
      </c>
      <c r="I1011" s="14">
        <f>184.2769 * CHOOSE(CONTROL!$C$9, $D$9, 100%, $F$9) + CHOOSE(CONTROL!$C$27, 0.0021, 0)</f>
        <v>184.27900000000002</v>
      </c>
      <c r="J1011" s="14">
        <f>184.2769 * CHOOSE(CONTROL!$C$9, $D$9, 100%, $F$9) + CHOOSE(CONTROL!$C$27, 0.0021, 0)</f>
        <v>184.27900000000002</v>
      </c>
      <c r="K1011" s="14">
        <f>184.2769 * CHOOSE(CONTROL!$C$9, $D$9, 100%, $F$9) + CHOOSE(CONTROL!$C$27, 0.0021, 0)</f>
        <v>184.27900000000002</v>
      </c>
      <c r="L1011" s="14"/>
    </row>
    <row r="1012" spans="1:12" ht="15.75" x14ac:dyDescent="0.25">
      <c r="A1012" s="32">
        <v>71741</v>
      </c>
      <c r="B1012" s="14">
        <f>190.8307 * CHOOSE(CONTROL!$C$9, $D$9, 100%, $F$9) + CHOOSE(CONTROL!$C$27, 0.0021, 0)</f>
        <v>190.83280000000002</v>
      </c>
      <c r="C1012" s="14">
        <f>190.3985 * CHOOSE(CONTROL!$C$9, $D$9, 100%, $F$9) + CHOOSE(CONTROL!$C$27, 0.0021, 0)</f>
        <v>190.40060000000003</v>
      </c>
      <c r="D1012" s="14">
        <f>190.3985 * CHOOSE(CONTROL!$C$9, $D$9, 100%, $F$9) + CHOOSE(CONTROL!$C$27, 0.0021, 0)</f>
        <v>190.40060000000003</v>
      </c>
      <c r="E1012" s="14">
        <f>190.2618 * CHOOSE(CONTROL!$C$9, $D$9, 100%, $F$9) + CHOOSE(CONTROL!$C$27, 0.0021, 0)</f>
        <v>190.26390000000001</v>
      </c>
      <c r="F1012" s="14">
        <f>190.2618 * CHOOSE(CONTROL!$C$9, $D$9, 100%, $F$9) + CHOOSE(CONTROL!$C$27, 0.0021, 0)</f>
        <v>190.26390000000001</v>
      </c>
      <c r="G1012" s="14">
        <f>190.5332 * CHOOSE(CONTROL!$C$9, $D$9, 100%, $F$9) + CHOOSE(CONTROL!$C$27, 0.0021, 0)</f>
        <v>190.53530000000001</v>
      </c>
      <c r="H1012" s="14">
        <f>190.3985 * CHOOSE(CONTROL!$C$9, $D$9, 100%, $F$9) + CHOOSE(CONTROL!$C$27, 0.0021, 0)</f>
        <v>190.40060000000003</v>
      </c>
      <c r="I1012" s="14">
        <f>190.3985 * CHOOSE(CONTROL!$C$9, $D$9, 100%, $F$9) + CHOOSE(CONTROL!$C$27, 0.0021, 0)</f>
        <v>190.40060000000003</v>
      </c>
      <c r="J1012" s="14">
        <f>190.3985 * CHOOSE(CONTROL!$C$9, $D$9, 100%, $F$9) + CHOOSE(CONTROL!$C$27, 0.0021, 0)</f>
        <v>190.40060000000003</v>
      </c>
      <c r="K1012" s="14">
        <f>190.3985 * CHOOSE(CONTROL!$C$9, $D$9, 100%, $F$9) + CHOOSE(CONTROL!$C$27, 0.0021, 0)</f>
        <v>190.40060000000003</v>
      </c>
      <c r="L1012" s="14"/>
    </row>
    <row r="1013" spans="1:12" ht="15.75" x14ac:dyDescent="0.25">
      <c r="A1013" s="32">
        <v>71771</v>
      </c>
      <c r="B1013" s="14">
        <f>193.5474 * CHOOSE(CONTROL!$C$9, $D$9, 100%, $F$9) + CHOOSE(CONTROL!$C$27, 0.0021, 0)</f>
        <v>193.54950000000002</v>
      </c>
      <c r="C1013" s="14">
        <f>193.1151 * CHOOSE(CONTROL!$C$9, $D$9, 100%, $F$9) + CHOOSE(CONTROL!$C$27, 0.0021, 0)</f>
        <v>193.11720000000003</v>
      </c>
      <c r="D1013" s="14">
        <f>193.1151 * CHOOSE(CONTROL!$C$9, $D$9, 100%, $F$9) + CHOOSE(CONTROL!$C$27, 0.0021, 0)</f>
        <v>193.11720000000003</v>
      </c>
      <c r="E1013" s="14">
        <f>192.9785 * CHOOSE(CONTROL!$C$9, $D$9, 100%, $F$9) + CHOOSE(CONTROL!$C$27, 0.0021, 0)</f>
        <v>192.98060000000001</v>
      </c>
      <c r="F1013" s="14">
        <f>192.9785 * CHOOSE(CONTROL!$C$9, $D$9, 100%, $F$9) + CHOOSE(CONTROL!$C$27, 0.0021, 0)</f>
        <v>192.98060000000001</v>
      </c>
      <c r="G1013" s="14">
        <f>193.2498 * CHOOSE(CONTROL!$C$9, $D$9, 100%, $F$9) + CHOOSE(CONTROL!$C$27, 0.0021, 0)</f>
        <v>193.25190000000001</v>
      </c>
      <c r="H1013" s="14">
        <f>193.1151 * CHOOSE(CONTROL!$C$9, $D$9, 100%, $F$9) + CHOOSE(CONTROL!$C$27, 0.0021, 0)</f>
        <v>193.11720000000003</v>
      </c>
      <c r="I1013" s="14">
        <f>193.1151 * CHOOSE(CONTROL!$C$9, $D$9, 100%, $F$9) + CHOOSE(CONTROL!$C$27, 0.0021, 0)</f>
        <v>193.11720000000003</v>
      </c>
      <c r="J1013" s="14">
        <f>193.1151 * CHOOSE(CONTROL!$C$9, $D$9, 100%, $F$9) + CHOOSE(CONTROL!$C$27, 0.0021, 0)</f>
        <v>193.11720000000003</v>
      </c>
      <c r="K1013" s="14">
        <f>193.1151 * CHOOSE(CONTROL!$C$9, $D$9, 100%, $F$9) + CHOOSE(CONTROL!$C$27, 0.0021, 0)</f>
        <v>193.11720000000003</v>
      </c>
      <c r="L1013" s="14"/>
    </row>
    <row r="1014" spans="1:12" ht="15.75" x14ac:dyDescent="0.25">
      <c r="A1014" s="32">
        <v>71802</v>
      </c>
      <c r="B1014" s="14">
        <f>192.6529 * CHOOSE(CONTROL!$C$9, $D$9, 100%, $F$9) + CHOOSE(CONTROL!$C$27, 0.0021, 0)</f>
        <v>192.655</v>
      </c>
      <c r="C1014" s="14">
        <f>192.2207 * CHOOSE(CONTROL!$C$9, $D$9, 100%, $F$9) + CHOOSE(CONTROL!$C$27, 0.0021, 0)</f>
        <v>192.22280000000001</v>
      </c>
      <c r="D1014" s="14">
        <f>192.2207 * CHOOSE(CONTROL!$C$9, $D$9, 100%, $F$9) + CHOOSE(CONTROL!$C$27, 0.0021, 0)</f>
        <v>192.22280000000001</v>
      </c>
      <c r="E1014" s="14">
        <f>192.084 * CHOOSE(CONTROL!$C$9, $D$9, 100%, $F$9) + CHOOSE(CONTROL!$C$27, 0.0021, 0)</f>
        <v>192.08610000000002</v>
      </c>
      <c r="F1014" s="14">
        <f>192.084 * CHOOSE(CONTROL!$C$9, $D$9, 100%, $F$9) + CHOOSE(CONTROL!$C$27, 0.0021, 0)</f>
        <v>192.08610000000002</v>
      </c>
      <c r="G1014" s="14">
        <f>192.3554 * CHOOSE(CONTROL!$C$9, $D$9, 100%, $F$9) + CHOOSE(CONTROL!$C$27, 0.0021, 0)</f>
        <v>192.35750000000002</v>
      </c>
      <c r="H1014" s="14">
        <f>192.2207 * CHOOSE(CONTROL!$C$9, $D$9, 100%, $F$9) + CHOOSE(CONTROL!$C$27, 0.0021, 0)</f>
        <v>192.22280000000001</v>
      </c>
      <c r="I1014" s="14">
        <f>192.2207 * CHOOSE(CONTROL!$C$9, $D$9, 100%, $F$9) + CHOOSE(CONTROL!$C$27, 0.0021, 0)</f>
        <v>192.22280000000001</v>
      </c>
      <c r="J1014" s="14">
        <f>192.2207 * CHOOSE(CONTROL!$C$9, $D$9, 100%, $F$9) + CHOOSE(CONTROL!$C$27, 0.0021, 0)</f>
        <v>192.22280000000001</v>
      </c>
      <c r="K1014" s="14">
        <f>192.2207 * CHOOSE(CONTROL!$C$9, $D$9, 100%, $F$9) + CHOOSE(CONTROL!$C$27, 0.0021, 0)</f>
        <v>192.22280000000001</v>
      </c>
      <c r="L1014" s="14"/>
    </row>
    <row r="1015" spans="1:12" ht="15.75" x14ac:dyDescent="0.25">
      <c r="A1015" s="32">
        <v>71833</v>
      </c>
      <c r="B1015" s="14">
        <f>188.2214 * CHOOSE(CONTROL!$C$9, $D$9, 100%, $F$9) + CHOOSE(CONTROL!$C$27, 0.0021, 0)</f>
        <v>188.2235</v>
      </c>
      <c r="C1015" s="14">
        <f>187.7892 * CHOOSE(CONTROL!$C$9, $D$9, 100%, $F$9) + CHOOSE(CONTROL!$C$27, 0.0021, 0)</f>
        <v>187.79130000000001</v>
      </c>
      <c r="D1015" s="14">
        <f>187.7892 * CHOOSE(CONTROL!$C$9, $D$9, 100%, $F$9) + CHOOSE(CONTROL!$C$27, 0.0021, 0)</f>
        <v>187.79130000000001</v>
      </c>
      <c r="E1015" s="14">
        <f>187.6525 * CHOOSE(CONTROL!$C$9, $D$9, 100%, $F$9) + CHOOSE(CONTROL!$C$27, 0.0021, 0)</f>
        <v>187.65460000000002</v>
      </c>
      <c r="F1015" s="14">
        <f>187.6525 * CHOOSE(CONTROL!$C$9, $D$9, 100%, $F$9) + CHOOSE(CONTROL!$C$27, 0.0021, 0)</f>
        <v>187.65460000000002</v>
      </c>
      <c r="G1015" s="14">
        <f>187.9239 * CHOOSE(CONTROL!$C$9, $D$9, 100%, $F$9) + CHOOSE(CONTROL!$C$27, 0.0021, 0)</f>
        <v>187.92600000000002</v>
      </c>
      <c r="H1015" s="14">
        <f>187.7892 * CHOOSE(CONTROL!$C$9, $D$9, 100%, $F$9) + CHOOSE(CONTROL!$C$27, 0.0021, 0)</f>
        <v>187.79130000000001</v>
      </c>
      <c r="I1015" s="14">
        <f>187.7892 * CHOOSE(CONTROL!$C$9, $D$9, 100%, $F$9) + CHOOSE(CONTROL!$C$27, 0.0021, 0)</f>
        <v>187.79130000000001</v>
      </c>
      <c r="J1015" s="14">
        <f>187.7892 * CHOOSE(CONTROL!$C$9, $D$9, 100%, $F$9) + CHOOSE(CONTROL!$C$27, 0.0021, 0)</f>
        <v>187.79130000000001</v>
      </c>
      <c r="K1015" s="14">
        <f>187.7892 * CHOOSE(CONTROL!$C$9, $D$9, 100%, $F$9) + CHOOSE(CONTROL!$C$27, 0.0021, 0)</f>
        <v>187.79130000000001</v>
      </c>
      <c r="L1015" s="14"/>
    </row>
    <row r="1016" spans="1:12" ht="15.75" x14ac:dyDescent="0.25">
      <c r="A1016" s="32">
        <v>71863</v>
      </c>
      <c r="B1016" s="14">
        <f>182.0415 * CHOOSE(CONTROL!$C$9, $D$9, 100%, $F$9) + CHOOSE(CONTROL!$C$27, 0.0021, 0)</f>
        <v>182.04360000000003</v>
      </c>
      <c r="C1016" s="14">
        <f>181.6092 * CHOOSE(CONTROL!$C$9, $D$9, 100%, $F$9) + CHOOSE(CONTROL!$C$27, 0.0021, 0)</f>
        <v>181.6113</v>
      </c>
      <c r="D1016" s="14">
        <f>181.6092 * CHOOSE(CONTROL!$C$9, $D$9, 100%, $F$9) + CHOOSE(CONTROL!$C$27, 0.0021, 0)</f>
        <v>181.6113</v>
      </c>
      <c r="E1016" s="14">
        <f>181.4725 * CHOOSE(CONTROL!$C$9, $D$9, 100%, $F$9) + CHOOSE(CONTROL!$C$27, 0.0021, 0)</f>
        <v>181.47460000000001</v>
      </c>
      <c r="F1016" s="14">
        <f>181.4725 * CHOOSE(CONTROL!$C$9, $D$9, 100%, $F$9) + CHOOSE(CONTROL!$C$27, 0.0021, 0)</f>
        <v>181.47460000000001</v>
      </c>
      <c r="G1016" s="14">
        <f>181.7439 * CHOOSE(CONTROL!$C$9, $D$9, 100%, $F$9) + CHOOSE(CONTROL!$C$27, 0.0021, 0)</f>
        <v>181.74600000000001</v>
      </c>
      <c r="H1016" s="14">
        <f>181.6092 * CHOOSE(CONTROL!$C$9, $D$9, 100%, $F$9) + CHOOSE(CONTROL!$C$27, 0.0021, 0)</f>
        <v>181.6113</v>
      </c>
      <c r="I1016" s="14">
        <f>181.6092 * CHOOSE(CONTROL!$C$9, $D$9, 100%, $F$9) + CHOOSE(CONTROL!$C$27, 0.0021, 0)</f>
        <v>181.6113</v>
      </c>
      <c r="J1016" s="14">
        <f>181.6092 * CHOOSE(CONTROL!$C$9, $D$9, 100%, $F$9) + CHOOSE(CONTROL!$C$27, 0.0021, 0)</f>
        <v>181.6113</v>
      </c>
      <c r="K1016" s="14">
        <f>181.6092 * CHOOSE(CONTROL!$C$9, $D$9, 100%, $F$9) + CHOOSE(CONTROL!$C$27, 0.0021, 0)</f>
        <v>181.6113</v>
      </c>
      <c r="L1016" s="14"/>
    </row>
    <row r="1017" spans="1:12" ht="15.75" x14ac:dyDescent="0.25">
      <c r="A1017" s="32">
        <v>71894</v>
      </c>
      <c r="B1017" s="14">
        <f>175.8255 * CHOOSE(CONTROL!$C$9, $D$9, 100%, $F$9) + CHOOSE(CONTROL!$C$27, 0.0021, 0)</f>
        <v>175.82760000000002</v>
      </c>
      <c r="C1017" s="14">
        <f>175.3933 * CHOOSE(CONTROL!$C$9, $D$9, 100%, $F$9) + CHOOSE(CONTROL!$C$27, 0.0021, 0)</f>
        <v>175.39540000000002</v>
      </c>
      <c r="D1017" s="14">
        <f>175.3933 * CHOOSE(CONTROL!$C$9, $D$9, 100%, $F$9) + CHOOSE(CONTROL!$C$27, 0.0021, 0)</f>
        <v>175.39540000000002</v>
      </c>
      <c r="E1017" s="14">
        <f>175.2566 * CHOOSE(CONTROL!$C$9, $D$9, 100%, $F$9) + CHOOSE(CONTROL!$C$27, 0.0021, 0)</f>
        <v>175.2587</v>
      </c>
      <c r="F1017" s="14">
        <f>175.2566 * CHOOSE(CONTROL!$C$9, $D$9, 100%, $F$9) + CHOOSE(CONTROL!$C$27, 0.0021, 0)</f>
        <v>175.2587</v>
      </c>
      <c r="G1017" s="14">
        <f>175.528 * CHOOSE(CONTROL!$C$9, $D$9, 100%, $F$9) + CHOOSE(CONTROL!$C$27, 0.0021, 0)</f>
        <v>175.5301</v>
      </c>
      <c r="H1017" s="14">
        <f>175.3933 * CHOOSE(CONTROL!$C$9, $D$9, 100%, $F$9) + CHOOSE(CONTROL!$C$27, 0.0021, 0)</f>
        <v>175.39540000000002</v>
      </c>
      <c r="I1017" s="14">
        <f>175.3933 * CHOOSE(CONTROL!$C$9, $D$9, 100%, $F$9) + CHOOSE(CONTROL!$C$27, 0.0021, 0)</f>
        <v>175.39540000000002</v>
      </c>
      <c r="J1017" s="14">
        <f>175.3933 * CHOOSE(CONTROL!$C$9, $D$9, 100%, $F$9) + CHOOSE(CONTROL!$C$27, 0.0021, 0)</f>
        <v>175.39540000000002</v>
      </c>
      <c r="K1017" s="14">
        <f>175.3933 * CHOOSE(CONTROL!$C$9, $D$9, 100%, $F$9) + CHOOSE(CONTROL!$C$27, 0.0021, 0)</f>
        <v>175.39540000000002</v>
      </c>
      <c r="L1017" s="14"/>
    </row>
    <row r="1018" spans="1:12" ht="15.75" x14ac:dyDescent="0.25">
      <c r="A1018" s="32">
        <v>71924</v>
      </c>
      <c r="B1018" s="14">
        <f>174.5891 * CHOOSE(CONTROL!$C$9, $D$9, 100%, $F$9) + CHOOSE(CONTROL!$C$27, 0.0021, 0)</f>
        <v>174.59120000000001</v>
      </c>
      <c r="C1018" s="14">
        <f>174.1568 * CHOOSE(CONTROL!$C$9, $D$9, 100%, $F$9) + CHOOSE(CONTROL!$C$27, 0.0021, 0)</f>
        <v>174.15890000000002</v>
      </c>
      <c r="D1018" s="14">
        <f>174.1568 * CHOOSE(CONTROL!$C$9, $D$9, 100%, $F$9) + CHOOSE(CONTROL!$C$27, 0.0021, 0)</f>
        <v>174.15890000000002</v>
      </c>
      <c r="E1018" s="14">
        <f>174.0202 * CHOOSE(CONTROL!$C$9, $D$9, 100%, $F$9) + CHOOSE(CONTROL!$C$27, 0.0021, 0)</f>
        <v>174.0223</v>
      </c>
      <c r="F1018" s="14">
        <f>174.0202 * CHOOSE(CONTROL!$C$9, $D$9, 100%, $F$9) + CHOOSE(CONTROL!$C$27, 0.0021, 0)</f>
        <v>174.0223</v>
      </c>
      <c r="G1018" s="14">
        <f>174.2915 * CHOOSE(CONTROL!$C$9, $D$9, 100%, $F$9) + CHOOSE(CONTROL!$C$27, 0.0021, 0)</f>
        <v>174.29360000000003</v>
      </c>
      <c r="H1018" s="14">
        <f>174.1568 * CHOOSE(CONTROL!$C$9, $D$9, 100%, $F$9) + CHOOSE(CONTROL!$C$27, 0.0021, 0)</f>
        <v>174.15890000000002</v>
      </c>
      <c r="I1018" s="14">
        <f>174.1568 * CHOOSE(CONTROL!$C$9, $D$9, 100%, $F$9) + CHOOSE(CONTROL!$C$27, 0.0021, 0)</f>
        <v>174.15890000000002</v>
      </c>
      <c r="J1018" s="14">
        <f>174.1568 * CHOOSE(CONTROL!$C$9, $D$9, 100%, $F$9) + CHOOSE(CONTROL!$C$27, 0.0021, 0)</f>
        <v>174.15890000000002</v>
      </c>
      <c r="K1018" s="14">
        <f>174.1568 * CHOOSE(CONTROL!$C$9, $D$9, 100%, $F$9) + CHOOSE(CONTROL!$C$27, 0.0021, 0)</f>
        <v>174.15890000000002</v>
      </c>
      <c r="L1018" s="14"/>
    </row>
    <row r="1019" spans="1:12" ht="15.75" x14ac:dyDescent="0.25">
      <c r="A1019" s="32">
        <v>71955</v>
      </c>
      <c r="B1019" s="14">
        <f>169.4762 * CHOOSE(CONTROL!$C$9, $D$9, 100%, $F$9) + CHOOSE(CONTROL!$C$27, 0.0021, 0)</f>
        <v>169.47830000000002</v>
      </c>
      <c r="C1019" s="14">
        <f>169.0439 * CHOOSE(CONTROL!$C$9, $D$9, 100%, $F$9) + CHOOSE(CONTROL!$C$27, 0.0021, 0)</f>
        <v>169.04600000000002</v>
      </c>
      <c r="D1019" s="14">
        <f>169.0439 * CHOOSE(CONTROL!$C$9, $D$9, 100%, $F$9) + CHOOSE(CONTROL!$C$27, 0.0021, 0)</f>
        <v>169.04600000000002</v>
      </c>
      <c r="E1019" s="14">
        <f>168.9073 * CHOOSE(CONTROL!$C$9, $D$9, 100%, $F$9) + CHOOSE(CONTROL!$C$27, 0.0021, 0)</f>
        <v>168.90940000000001</v>
      </c>
      <c r="F1019" s="14">
        <f>168.9073 * CHOOSE(CONTROL!$C$9, $D$9, 100%, $F$9) + CHOOSE(CONTROL!$C$27, 0.0021, 0)</f>
        <v>168.90940000000001</v>
      </c>
      <c r="G1019" s="14">
        <f>169.1786 * CHOOSE(CONTROL!$C$9, $D$9, 100%, $F$9) + CHOOSE(CONTROL!$C$27, 0.0021, 0)</f>
        <v>169.1807</v>
      </c>
      <c r="H1019" s="14">
        <f>169.0439 * CHOOSE(CONTROL!$C$9, $D$9, 100%, $F$9) + CHOOSE(CONTROL!$C$27, 0.0021, 0)</f>
        <v>169.04600000000002</v>
      </c>
      <c r="I1019" s="14">
        <f>169.0439 * CHOOSE(CONTROL!$C$9, $D$9, 100%, $F$9) + CHOOSE(CONTROL!$C$27, 0.0021, 0)</f>
        <v>169.04600000000002</v>
      </c>
      <c r="J1019" s="14">
        <f>169.0439 * CHOOSE(CONTROL!$C$9, $D$9, 100%, $F$9) + CHOOSE(CONTROL!$C$27, 0.0021, 0)</f>
        <v>169.04600000000002</v>
      </c>
      <c r="K1019" s="14">
        <f>169.0439 * CHOOSE(CONTROL!$C$9, $D$9, 100%, $F$9) + CHOOSE(CONTROL!$C$27, 0.0021, 0)</f>
        <v>169.04600000000002</v>
      </c>
      <c r="L1019" s="14"/>
    </row>
    <row r="1020" spans="1:12" ht="15.75" x14ac:dyDescent="0.25">
      <c r="A1020" s="32">
        <v>71986</v>
      </c>
      <c r="B1020" s="14">
        <f>168.4807 * CHOOSE(CONTROL!$C$9, $D$9, 100%, $F$9) + CHOOSE(CONTROL!$C$27, 0.0021, 0)</f>
        <v>168.48280000000003</v>
      </c>
      <c r="C1020" s="14">
        <f>168.0485 * CHOOSE(CONTROL!$C$9, $D$9, 100%, $F$9) + CHOOSE(CONTROL!$C$27, 0.0021, 0)</f>
        <v>168.0506</v>
      </c>
      <c r="D1020" s="14">
        <f>168.0485 * CHOOSE(CONTROL!$C$9, $D$9, 100%, $F$9) + CHOOSE(CONTROL!$C$27, 0.0021, 0)</f>
        <v>168.0506</v>
      </c>
      <c r="E1020" s="14">
        <f>167.9118 * CHOOSE(CONTROL!$C$9, $D$9, 100%, $F$9) + CHOOSE(CONTROL!$C$27, 0.0021, 0)</f>
        <v>167.91390000000001</v>
      </c>
      <c r="F1020" s="14">
        <f>167.9118 * CHOOSE(CONTROL!$C$9, $D$9, 100%, $F$9) + CHOOSE(CONTROL!$C$27, 0.0021, 0)</f>
        <v>167.91390000000001</v>
      </c>
      <c r="G1020" s="14">
        <f>168.1832 * CHOOSE(CONTROL!$C$9, $D$9, 100%, $F$9) + CHOOSE(CONTROL!$C$27, 0.0021, 0)</f>
        <v>168.18530000000001</v>
      </c>
      <c r="H1020" s="14">
        <f>168.0485 * CHOOSE(CONTROL!$C$9, $D$9, 100%, $F$9) + CHOOSE(CONTROL!$C$27, 0.0021, 0)</f>
        <v>168.0506</v>
      </c>
      <c r="I1020" s="14">
        <f>168.0485 * CHOOSE(CONTROL!$C$9, $D$9, 100%, $F$9) + CHOOSE(CONTROL!$C$27, 0.0021, 0)</f>
        <v>168.0506</v>
      </c>
      <c r="J1020" s="14">
        <f>168.0485 * CHOOSE(CONTROL!$C$9, $D$9, 100%, $F$9) + CHOOSE(CONTROL!$C$27, 0.0021, 0)</f>
        <v>168.0506</v>
      </c>
      <c r="K1020" s="14">
        <f>168.0485 * CHOOSE(CONTROL!$C$9, $D$9, 100%, $F$9) + CHOOSE(CONTROL!$C$27, 0.0021, 0)</f>
        <v>168.0506</v>
      </c>
      <c r="L1020" s="14"/>
    </row>
    <row r="1021" spans="1:12" ht="15.75" x14ac:dyDescent="0.25">
      <c r="A1021" s="32">
        <v>72014</v>
      </c>
      <c r="B1021" s="14">
        <f>168.0188 * CHOOSE(CONTROL!$C$9, $D$9, 100%, $F$9) + CHOOSE(CONTROL!$C$27, 0.0021, 0)</f>
        <v>168.02090000000001</v>
      </c>
      <c r="C1021" s="14">
        <f>167.5865 * CHOOSE(CONTROL!$C$9, $D$9, 100%, $F$9) + CHOOSE(CONTROL!$C$27, 0.0021, 0)</f>
        <v>167.58860000000001</v>
      </c>
      <c r="D1021" s="14">
        <f>167.5865 * CHOOSE(CONTROL!$C$9, $D$9, 100%, $F$9) + CHOOSE(CONTROL!$C$27, 0.0021, 0)</f>
        <v>167.58860000000001</v>
      </c>
      <c r="E1021" s="14">
        <f>167.4499 * CHOOSE(CONTROL!$C$9, $D$9, 100%, $F$9) + CHOOSE(CONTROL!$C$27, 0.0021, 0)</f>
        <v>167.45200000000003</v>
      </c>
      <c r="F1021" s="14">
        <f>167.4499 * CHOOSE(CONTROL!$C$9, $D$9, 100%, $F$9) + CHOOSE(CONTROL!$C$27, 0.0021, 0)</f>
        <v>167.45200000000003</v>
      </c>
      <c r="G1021" s="14">
        <f>167.7212 * CHOOSE(CONTROL!$C$9, $D$9, 100%, $F$9) + CHOOSE(CONTROL!$C$27, 0.0021, 0)</f>
        <v>167.72330000000002</v>
      </c>
      <c r="H1021" s="14">
        <f>167.5865 * CHOOSE(CONTROL!$C$9, $D$9, 100%, $F$9) + CHOOSE(CONTROL!$C$27, 0.0021, 0)</f>
        <v>167.58860000000001</v>
      </c>
      <c r="I1021" s="14">
        <f>167.5865 * CHOOSE(CONTROL!$C$9, $D$9, 100%, $F$9) + CHOOSE(CONTROL!$C$27, 0.0021, 0)</f>
        <v>167.58860000000001</v>
      </c>
      <c r="J1021" s="14">
        <f>167.5865 * CHOOSE(CONTROL!$C$9, $D$9, 100%, $F$9) + CHOOSE(CONTROL!$C$27, 0.0021, 0)</f>
        <v>167.58860000000001</v>
      </c>
      <c r="K1021" s="14">
        <f>167.5865 * CHOOSE(CONTROL!$C$9, $D$9, 100%, $F$9) + CHOOSE(CONTROL!$C$27, 0.0021, 0)</f>
        <v>167.58860000000001</v>
      </c>
      <c r="L1021" s="14"/>
    </row>
    <row r="1022" spans="1:12" ht="15.75" x14ac:dyDescent="0.25">
      <c r="A1022" s="32">
        <v>72045</v>
      </c>
      <c r="B1022" s="14">
        <f>176.7535 * CHOOSE(CONTROL!$C$9, $D$9, 100%, $F$9) + CHOOSE(CONTROL!$C$27, 0.0021, 0)</f>
        <v>176.75560000000002</v>
      </c>
      <c r="C1022" s="14">
        <f>176.3213 * CHOOSE(CONTROL!$C$9, $D$9, 100%, $F$9) + CHOOSE(CONTROL!$C$27, 0.0021, 0)</f>
        <v>176.32340000000002</v>
      </c>
      <c r="D1022" s="14">
        <f>176.3213 * CHOOSE(CONTROL!$C$9, $D$9, 100%, $F$9) + CHOOSE(CONTROL!$C$27, 0.0021, 0)</f>
        <v>176.32340000000002</v>
      </c>
      <c r="E1022" s="14">
        <f>176.1846 * CHOOSE(CONTROL!$C$9, $D$9, 100%, $F$9) + CHOOSE(CONTROL!$C$27, 0.0021, 0)</f>
        <v>176.1867</v>
      </c>
      <c r="F1022" s="14">
        <f>176.1846 * CHOOSE(CONTROL!$C$9, $D$9, 100%, $F$9) + CHOOSE(CONTROL!$C$27, 0.0021, 0)</f>
        <v>176.1867</v>
      </c>
      <c r="G1022" s="14">
        <f>176.456 * CHOOSE(CONTROL!$C$9, $D$9, 100%, $F$9) + CHOOSE(CONTROL!$C$27, 0.0021, 0)</f>
        <v>176.4581</v>
      </c>
      <c r="H1022" s="14">
        <f>176.3213 * CHOOSE(CONTROL!$C$9, $D$9, 100%, $F$9) + CHOOSE(CONTROL!$C$27, 0.0021, 0)</f>
        <v>176.32340000000002</v>
      </c>
      <c r="I1022" s="14">
        <f>176.3213 * CHOOSE(CONTROL!$C$9, $D$9, 100%, $F$9) + CHOOSE(CONTROL!$C$27, 0.0021, 0)</f>
        <v>176.32340000000002</v>
      </c>
      <c r="J1022" s="14">
        <f>176.3213 * CHOOSE(CONTROL!$C$9, $D$9, 100%, $F$9) + CHOOSE(CONTROL!$C$27, 0.0021, 0)</f>
        <v>176.32340000000002</v>
      </c>
      <c r="K1022" s="14">
        <f>176.3213 * CHOOSE(CONTROL!$C$9, $D$9, 100%, $F$9) + CHOOSE(CONTROL!$C$27, 0.0021, 0)</f>
        <v>176.32340000000002</v>
      </c>
      <c r="L1022" s="14"/>
    </row>
    <row r="1023" spans="1:12" ht="15.75" x14ac:dyDescent="0.25">
      <c r="A1023" s="32">
        <v>72075</v>
      </c>
      <c r="B1023" s="14">
        <f>188.0804 * CHOOSE(CONTROL!$C$9, $D$9, 100%, $F$9) + CHOOSE(CONTROL!$C$27, 0.0021, 0)</f>
        <v>188.08250000000001</v>
      </c>
      <c r="C1023" s="14">
        <f>187.6481 * CHOOSE(CONTROL!$C$9, $D$9, 100%, $F$9) + CHOOSE(CONTROL!$C$27, 0.0021, 0)</f>
        <v>187.65020000000001</v>
      </c>
      <c r="D1023" s="14">
        <f>187.6481 * CHOOSE(CONTROL!$C$9, $D$9, 100%, $F$9) + CHOOSE(CONTROL!$C$27, 0.0021, 0)</f>
        <v>187.65020000000001</v>
      </c>
      <c r="E1023" s="14">
        <f>187.5115 * CHOOSE(CONTROL!$C$9, $D$9, 100%, $F$9) + CHOOSE(CONTROL!$C$27, 0.0021, 0)</f>
        <v>187.51360000000003</v>
      </c>
      <c r="F1023" s="14">
        <f>187.5115 * CHOOSE(CONTROL!$C$9, $D$9, 100%, $F$9) + CHOOSE(CONTROL!$C$27, 0.0021, 0)</f>
        <v>187.51360000000003</v>
      </c>
      <c r="G1023" s="14">
        <f>187.7829 * CHOOSE(CONTROL!$C$9, $D$9, 100%, $F$9) + CHOOSE(CONTROL!$C$27, 0.0021, 0)</f>
        <v>187.78500000000003</v>
      </c>
      <c r="H1023" s="14">
        <f>187.6481 * CHOOSE(CONTROL!$C$9, $D$9, 100%, $F$9) + CHOOSE(CONTROL!$C$27, 0.0021, 0)</f>
        <v>187.65020000000001</v>
      </c>
      <c r="I1023" s="14">
        <f>187.6481 * CHOOSE(CONTROL!$C$9, $D$9, 100%, $F$9) + CHOOSE(CONTROL!$C$27, 0.0021, 0)</f>
        <v>187.65020000000001</v>
      </c>
      <c r="J1023" s="14">
        <f>187.6481 * CHOOSE(CONTROL!$C$9, $D$9, 100%, $F$9) + CHOOSE(CONTROL!$C$27, 0.0021, 0)</f>
        <v>187.65020000000001</v>
      </c>
      <c r="K1023" s="14">
        <f>187.6481 * CHOOSE(CONTROL!$C$9, $D$9, 100%, $F$9) + CHOOSE(CONTROL!$C$27, 0.0021, 0)</f>
        <v>187.65020000000001</v>
      </c>
      <c r="L1023" s="14"/>
    </row>
    <row r="1024" spans="1:12" ht="15.75" x14ac:dyDescent="0.25">
      <c r="A1024" s="32">
        <v>72106</v>
      </c>
      <c r="B1024" s="14">
        <f>194.3151 * CHOOSE(CONTROL!$C$9, $D$9, 100%, $F$9) + CHOOSE(CONTROL!$C$27, 0.0021, 0)</f>
        <v>194.31720000000001</v>
      </c>
      <c r="C1024" s="14">
        <f>193.8828 * CHOOSE(CONTROL!$C$9, $D$9, 100%, $F$9) + CHOOSE(CONTROL!$C$27, 0.0021, 0)</f>
        <v>193.88490000000002</v>
      </c>
      <c r="D1024" s="14">
        <f>193.8828 * CHOOSE(CONTROL!$C$9, $D$9, 100%, $F$9) + CHOOSE(CONTROL!$C$27, 0.0021, 0)</f>
        <v>193.88490000000002</v>
      </c>
      <c r="E1024" s="14">
        <f>193.7462 * CHOOSE(CONTROL!$C$9, $D$9, 100%, $F$9) + CHOOSE(CONTROL!$C$27, 0.0021, 0)</f>
        <v>193.7483</v>
      </c>
      <c r="F1024" s="14">
        <f>193.7462 * CHOOSE(CONTROL!$C$9, $D$9, 100%, $F$9) + CHOOSE(CONTROL!$C$27, 0.0021, 0)</f>
        <v>193.7483</v>
      </c>
      <c r="G1024" s="14">
        <f>194.0175 * CHOOSE(CONTROL!$C$9, $D$9, 100%, $F$9) + CHOOSE(CONTROL!$C$27, 0.0021, 0)</f>
        <v>194.01960000000003</v>
      </c>
      <c r="H1024" s="14">
        <f>193.8828 * CHOOSE(CONTROL!$C$9, $D$9, 100%, $F$9) + CHOOSE(CONTROL!$C$27, 0.0021, 0)</f>
        <v>193.88490000000002</v>
      </c>
      <c r="I1024" s="14">
        <f>193.8828 * CHOOSE(CONTROL!$C$9, $D$9, 100%, $F$9) + CHOOSE(CONTROL!$C$27, 0.0021, 0)</f>
        <v>193.88490000000002</v>
      </c>
      <c r="J1024" s="14">
        <f>193.8828 * CHOOSE(CONTROL!$C$9, $D$9, 100%, $F$9) + CHOOSE(CONTROL!$C$27, 0.0021, 0)</f>
        <v>193.88490000000002</v>
      </c>
      <c r="K1024" s="14">
        <f>193.8828 * CHOOSE(CONTROL!$C$9, $D$9, 100%, $F$9) + CHOOSE(CONTROL!$C$27, 0.0021, 0)</f>
        <v>193.88490000000002</v>
      </c>
      <c r="L1024" s="14"/>
    </row>
    <row r="1025" spans="1:12" ht="15.75" x14ac:dyDescent="0.25">
      <c r="A1025" s="32">
        <v>72136</v>
      </c>
      <c r="B1025" s="14">
        <f>197.0819 * CHOOSE(CONTROL!$C$9, $D$9, 100%, $F$9) + CHOOSE(CONTROL!$C$27, 0.0021, 0)</f>
        <v>197.084</v>
      </c>
      <c r="C1025" s="14">
        <f>196.6497 * CHOOSE(CONTROL!$C$9, $D$9, 100%, $F$9) + CHOOSE(CONTROL!$C$27, 0.0021, 0)</f>
        <v>196.65180000000001</v>
      </c>
      <c r="D1025" s="14">
        <f>196.6497 * CHOOSE(CONTROL!$C$9, $D$9, 100%, $F$9) + CHOOSE(CONTROL!$C$27, 0.0021, 0)</f>
        <v>196.65180000000001</v>
      </c>
      <c r="E1025" s="14">
        <f>196.513 * CHOOSE(CONTROL!$C$9, $D$9, 100%, $F$9) + CHOOSE(CONTROL!$C$27, 0.0021, 0)</f>
        <v>196.51510000000002</v>
      </c>
      <c r="F1025" s="14">
        <f>196.513 * CHOOSE(CONTROL!$C$9, $D$9, 100%, $F$9) + CHOOSE(CONTROL!$C$27, 0.0021, 0)</f>
        <v>196.51510000000002</v>
      </c>
      <c r="G1025" s="14">
        <f>196.7844 * CHOOSE(CONTROL!$C$9, $D$9, 100%, $F$9) + CHOOSE(CONTROL!$C$27, 0.0021, 0)</f>
        <v>196.78650000000002</v>
      </c>
      <c r="H1025" s="14">
        <f>196.6497 * CHOOSE(CONTROL!$C$9, $D$9, 100%, $F$9) + CHOOSE(CONTROL!$C$27, 0.0021, 0)</f>
        <v>196.65180000000001</v>
      </c>
      <c r="I1025" s="14">
        <f>196.6497 * CHOOSE(CONTROL!$C$9, $D$9, 100%, $F$9) + CHOOSE(CONTROL!$C$27, 0.0021, 0)</f>
        <v>196.65180000000001</v>
      </c>
      <c r="J1025" s="14">
        <f>196.6497 * CHOOSE(CONTROL!$C$9, $D$9, 100%, $F$9) + CHOOSE(CONTROL!$C$27, 0.0021, 0)</f>
        <v>196.65180000000001</v>
      </c>
      <c r="K1025" s="14">
        <f>196.6497 * CHOOSE(CONTROL!$C$9, $D$9, 100%, $F$9) + CHOOSE(CONTROL!$C$27, 0.0021, 0)</f>
        <v>196.65180000000001</v>
      </c>
      <c r="L1025" s="14"/>
    </row>
    <row r="1026" spans="1:12" ht="15.75" x14ac:dyDescent="0.25">
      <c r="A1026" s="32">
        <v>72167</v>
      </c>
      <c r="B1026" s="14">
        <f>196.1709 * CHOOSE(CONTROL!$C$9, $D$9, 100%, $F$9) + CHOOSE(CONTROL!$C$27, 0.0021, 0)</f>
        <v>196.173</v>
      </c>
      <c r="C1026" s="14">
        <f>195.7387 * CHOOSE(CONTROL!$C$9, $D$9, 100%, $F$9) + CHOOSE(CONTROL!$C$27, 0.0021, 0)</f>
        <v>195.74080000000001</v>
      </c>
      <c r="D1026" s="14">
        <f>195.7387 * CHOOSE(CONTROL!$C$9, $D$9, 100%, $F$9) + CHOOSE(CONTROL!$C$27, 0.0021, 0)</f>
        <v>195.74080000000001</v>
      </c>
      <c r="E1026" s="14">
        <f>195.602 * CHOOSE(CONTROL!$C$9, $D$9, 100%, $F$9) + CHOOSE(CONTROL!$C$27, 0.0021, 0)</f>
        <v>195.60410000000002</v>
      </c>
      <c r="F1026" s="14">
        <f>195.602 * CHOOSE(CONTROL!$C$9, $D$9, 100%, $F$9) + CHOOSE(CONTROL!$C$27, 0.0021, 0)</f>
        <v>195.60410000000002</v>
      </c>
      <c r="G1026" s="14">
        <f>195.8734 * CHOOSE(CONTROL!$C$9, $D$9, 100%, $F$9) + CHOOSE(CONTROL!$C$27, 0.0021, 0)</f>
        <v>195.87550000000002</v>
      </c>
      <c r="H1026" s="14">
        <f>195.7387 * CHOOSE(CONTROL!$C$9, $D$9, 100%, $F$9) + CHOOSE(CONTROL!$C$27, 0.0021, 0)</f>
        <v>195.74080000000001</v>
      </c>
      <c r="I1026" s="14">
        <f>195.7387 * CHOOSE(CONTROL!$C$9, $D$9, 100%, $F$9) + CHOOSE(CONTROL!$C$27, 0.0021, 0)</f>
        <v>195.74080000000001</v>
      </c>
      <c r="J1026" s="14">
        <f>195.7387 * CHOOSE(CONTROL!$C$9, $D$9, 100%, $F$9) + CHOOSE(CONTROL!$C$27, 0.0021, 0)</f>
        <v>195.74080000000001</v>
      </c>
      <c r="K1026" s="14">
        <f>195.7387 * CHOOSE(CONTROL!$C$9, $D$9, 100%, $F$9) + CHOOSE(CONTROL!$C$27, 0.0021, 0)</f>
        <v>195.74080000000001</v>
      </c>
      <c r="L1026" s="14"/>
    </row>
    <row r="1027" spans="1:12" ht="15.75" x14ac:dyDescent="0.25">
      <c r="A1027" s="32">
        <v>72198</v>
      </c>
      <c r="B1027" s="14">
        <f>191.6575 * CHOOSE(CONTROL!$C$9, $D$9, 100%, $F$9) + CHOOSE(CONTROL!$C$27, 0.0021, 0)</f>
        <v>191.65960000000001</v>
      </c>
      <c r="C1027" s="14">
        <f>191.2253 * CHOOSE(CONTROL!$C$9, $D$9, 100%, $F$9) + CHOOSE(CONTROL!$C$27, 0.0021, 0)</f>
        <v>191.22740000000002</v>
      </c>
      <c r="D1027" s="14">
        <f>191.2253 * CHOOSE(CONTROL!$C$9, $D$9, 100%, $F$9) + CHOOSE(CONTROL!$C$27, 0.0021, 0)</f>
        <v>191.22740000000002</v>
      </c>
      <c r="E1027" s="14">
        <f>191.0886 * CHOOSE(CONTROL!$C$9, $D$9, 100%, $F$9) + CHOOSE(CONTROL!$C$27, 0.0021, 0)</f>
        <v>191.09070000000003</v>
      </c>
      <c r="F1027" s="14">
        <f>191.0886 * CHOOSE(CONTROL!$C$9, $D$9, 100%, $F$9) + CHOOSE(CONTROL!$C$27, 0.0021, 0)</f>
        <v>191.09070000000003</v>
      </c>
      <c r="G1027" s="14">
        <f>191.36 * CHOOSE(CONTROL!$C$9, $D$9, 100%, $F$9) + CHOOSE(CONTROL!$C$27, 0.0021, 0)</f>
        <v>191.36210000000003</v>
      </c>
      <c r="H1027" s="14">
        <f>191.2253 * CHOOSE(CONTROL!$C$9, $D$9, 100%, $F$9) + CHOOSE(CONTROL!$C$27, 0.0021, 0)</f>
        <v>191.22740000000002</v>
      </c>
      <c r="I1027" s="14">
        <f>191.2253 * CHOOSE(CONTROL!$C$9, $D$9, 100%, $F$9) + CHOOSE(CONTROL!$C$27, 0.0021, 0)</f>
        <v>191.22740000000002</v>
      </c>
      <c r="J1027" s="14">
        <f>191.2253 * CHOOSE(CONTROL!$C$9, $D$9, 100%, $F$9) + CHOOSE(CONTROL!$C$27, 0.0021, 0)</f>
        <v>191.22740000000002</v>
      </c>
      <c r="K1027" s="14">
        <f>191.2253 * CHOOSE(CONTROL!$C$9, $D$9, 100%, $F$9) + CHOOSE(CONTROL!$C$27, 0.0021, 0)</f>
        <v>191.22740000000002</v>
      </c>
      <c r="L1027" s="14"/>
    </row>
    <row r="1028" spans="1:12" ht="15.75" x14ac:dyDescent="0.25">
      <c r="A1028" s="32">
        <v>72228</v>
      </c>
      <c r="B1028" s="14">
        <f>185.3634 * CHOOSE(CONTROL!$C$9, $D$9, 100%, $F$9) + CHOOSE(CONTROL!$C$27, 0.0021, 0)</f>
        <v>185.36550000000003</v>
      </c>
      <c r="C1028" s="14">
        <f>184.9311 * CHOOSE(CONTROL!$C$9, $D$9, 100%, $F$9) + CHOOSE(CONTROL!$C$27, 0.0021, 0)</f>
        <v>184.9332</v>
      </c>
      <c r="D1028" s="14">
        <f>184.9311 * CHOOSE(CONTROL!$C$9, $D$9, 100%, $F$9) + CHOOSE(CONTROL!$C$27, 0.0021, 0)</f>
        <v>184.9332</v>
      </c>
      <c r="E1028" s="14">
        <f>184.7944 * CHOOSE(CONTROL!$C$9, $D$9, 100%, $F$9) + CHOOSE(CONTROL!$C$27, 0.0021, 0)</f>
        <v>184.79650000000001</v>
      </c>
      <c r="F1028" s="14">
        <f>184.7944 * CHOOSE(CONTROL!$C$9, $D$9, 100%, $F$9) + CHOOSE(CONTROL!$C$27, 0.0021, 0)</f>
        <v>184.79650000000001</v>
      </c>
      <c r="G1028" s="14">
        <f>185.0658 * CHOOSE(CONTROL!$C$9, $D$9, 100%, $F$9) + CHOOSE(CONTROL!$C$27, 0.0021, 0)</f>
        <v>185.06790000000001</v>
      </c>
      <c r="H1028" s="14">
        <f>184.9311 * CHOOSE(CONTROL!$C$9, $D$9, 100%, $F$9) + CHOOSE(CONTROL!$C$27, 0.0021, 0)</f>
        <v>184.9332</v>
      </c>
      <c r="I1028" s="14">
        <f>184.9311 * CHOOSE(CONTROL!$C$9, $D$9, 100%, $F$9) + CHOOSE(CONTROL!$C$27, 0.0021, 0)</f>
        <v>184.9332</v>
      </c>
      <c r="J1028" s="14">
        <f>184.9311 * CHOOSE(CONTROL!$C$9, $D$9, 100%, $F$9) + CHOOSE(CONTROL!$C$27, 0.0021, 0)</f>
        <v>184.9332</v>
      </c>
      <c r="K1028" s="14">
        <f>184.9311 * CHOOSE(CONTROL!$C$9, $D$9, 100%, $F$9) + CHOOSE(CONTROL!$C$27, 0.0021, 0)</f>
        <v>184.9332</v>
      </c>
      <c r="L1028" s="14"/>
    </row>
    <row r="1029" spans="1:12" ht="15.75" x14ac:dyDescent="0.25">
      <c r="A1029" s="32">
        <v>72259</v>
      </c>
      <c r="B1029" s="14">
        <f>179.0326 * CHOOSE(CONTROL!$C$9, $D$9, 100%, $F$9) + CHOOSE(CONTROL!$C$27, 0.0021, 0)</f>
        <v>179.03470000000002</v>
      </c>
      <c r="C1029" s="14">
        <f>178.6003 * CHOOSE(CONTROL!$C$9, $D$9, 100%, $F$9) + CHOOSE(CONTROL!$C$27, 0.0021, 0)</f>
        <v>178.60240000000002</v>
      </c>
      <c r="D1029" s="14">
        <f>178.6003 * CHOOSE(CONTROL!$C$9, $D$9, 100%, $F$9) + CHOOSE(CONTROL!$C$27, 0.0021, 0)</f>
        <v>178.60240000000002</v>
      </c>
      <c r="E1029" s="14">
        <f>178.4637 * CHOOSE(CONTROL!$C$9, $D$9, 100%, $F$9) + CHOOSE(CONTROL!$C$27, 0.0021, 0)</f>
        <v>178.4658</v>
      </c>
      <c r="F1029" s="14">
        <f>178.4637 * CHOOSE(CONTROL!$C$9, $D$9, 100%, $F$9) + CHOOSE(CONTROL!$C$27, 0.0021, 0)</f>
        <v>178.4658</v>
      </c>
      <c r="G1029" s="14">
        <f>178.735 * CHOOSE(CONTROL!$C$9, $D$9, 100%, $F$9) + CHOOSE(CONTROL!$C$27, 0.0021, 0)</f>
        <v>178.73710000000003</v>
      </c>
      <c r="H1029" s="14">
        <f>178.6003 * CHOOSE(CONTROL!$C$9, $D$9, 100%, $F$9) + CHOOSE(CONTROL!$C$27, 0.0021, 0)</f>
        <v>178.60240000000002</v>
      </c>
      <c r="I1029" s="14">
        <f>178.6003 * CHOOSE(CONTROL!$C$9, $D$9, 100%, $F$9) + CHOOSE(CONTROL!$C$27, 0.0021, 0)</f>
        <v>178.60240000000002</v>
      </c>
      <c r="J1029" s="14">
        <f>178.6003 * CHOOSE(CONTROL!$C$9, $D$9, 100%, $F$9) + CHOOSE(CONTROL!$C$27, 0.0021, 0)</f>
        <v>178.60240000000002</v>
      </c>
      <c r="K1029" s="14">
        <f>178.6003 * CHOOSE(CONTROL!$C$9, $D$9, 100%, $F$9) + CHOOSE(CONTROL!$C$27, 0.0021, 0)</f>
        <v>178.60240000000002</v>
      </c>
      <c r="L1029" s="14"/>
    </row>
    <row r="1030" spans="1:12" ht="15.75" x14ac:dyDescent="0.25">
      <c r="A1030" s="32">
        <v>72289</v>
      </c>
      <c r="B1030" s="14">
        <f>177.7733 * CHOOSE(CONTROL!$C$9, $D$9, 100%, $F$9) + CHOOSE(CONTROL!$C$27, 0.0021, 0)</f>
        <v>177.77540000000002</v>
      </c>
      <c r="C1030" s="14">
        <f>177.341 * CHOOSE(CONTROL!$C$9, $D$9, 100%, $F$9) + CHOOSE(CONTROL!$C$27, 0.0021, 0)</f>
        <v>177.34310000000002</v>
      </c>
      <c r="D1030" s="14">
        <f>177.341 * CHOOSE(CONTROL!$C$9, $D$9, 100%, $F$9) + CHOOSE(CONTROL!$C$27, 0.0021, 0)</f>
        <v>177.34310000000002</v>
      </c>
      <c r="E1030" s="14">
        <f>177.2043 * CHOOSE(CONTROL!$C$9, $D$9, 100%, $F$9) + CHOOSE(CONTROL!$C$27, 0.0021, 0)</f>
        <v>177.2064</v>
      </c>
      <c r="F1030" s="14">
        <f>177.2043 * CHOOSE(CONTROL!$C$9, $D$9, 100%, $F$9) + CHOOSE(CONTROL!$C$27, 0.0021, 0)</f>
        <v>177.2064</v>
      </c>
      <c r="G1030" s="14">
        <f>177.4757 * CHOOSE(CONTROL!$C$9, $D$9, 100%, $F$9) + CHOOSE(CONTROL!$C$27, 0.0021, 0)</f>
        <v>177.4778</v>
      </c>
      <c r="H1030" s="14">
        <f>177.341 * CHOOSE(CONTROL!$C$9, $D$9, 100%, $F$9) + CHOOSE(CONTROL!$C$27, 0.0021, 0)</f>
        <v>177.34310000000002</v>
      </c>
      <c r="I1030" s="14">
        <f>177.341 * CHOOSE(CONTROL!$C$9, $D$9, 100%, $F$9) + CHOOSE(CONTROL!$C$27, 0.0021, 0)</f>
        <v>177.34310000000002</v>
      </c>
      <c r="J1030" s="14">
        <f>177.341 * CHOOSE(CONTROL!$C$9, $D$9, 100%, $F$9) + CHOOSE(CONTROL!$C$27, 0.0021, 0)</f>
        <v>177.34310000000002</v>
      </c>
      <c r="K1030" s="14">
        <f>177.341 * CHOOSE(CONTROL!$C$9, $D$9, 100%, $F$9) + CHOOSE(CONTROL!$C$27, 0.0021, 0)</f>
        <v>177.34310000000002</v>
      </c>
      <c r="L1030" s="14"/>
    </row>
    <row r="1031" spans="1:12" ht="15.75" x14ac:dyDescent="0.25">
      <c r="A1031" s="32">
        <v>72320</v>
      </c>
      <c r="B1031" s="14">
        <f>172.5658 * CHOOSE(CONTROL!$C$9, $D$9, 100%, $F$9) + CHOOSE(CONTROL!$C$27, 0.0021, 0)</f>
        <v>172.56790000000001</v>
      </c>
      <c r="C1031" s="14">
        <f>172.1336 * CHOOSE(CONTROL!$C$9, $D$9, 100%, $F$9) + CHOOSE(CONTROL!$C$27, 0.0021, 0)</f>
        <v>172.13570000000001</v>
      </c>
      <c r="D1031" s="14">
        <f>172.1336 * CHOOSE(CONTROL!$C$9, $D$9, 100%, $F$9) + CHOOSE(CONTROL!$C$27, 0.0021, 0)</f>
        <v>172.13570000000001</v>
      </c>
      <c r="E1031" s="14">
        <f>171.9969 * CHOOSE(CONTROL!$C$9, $D$9, 100%, $F$9) + CHOOSE(CONTROL!$C$27, 0.0021, 0)</f>
        <v>171.99900000000002</v>
      </c>
      <c r="F1031" s="14">
        <f>171.9969 * CHOOSE(CONTROL!$C$9, $D$9, 100%, $F$9) + CHOOSE(CONTROL!$C$27, 0.0021, 0)</f>
        <v>171.99900000000002</v>
      </c>
      <c r="G1031" s="14">
        <f>172.2683 * CHOOSE(CONTROL!$C$9, $D$9, 100%, $F$9) + CHOOSE(CONTROL!$C$27, 0.0021, 0)</f>
        <v>172.27040000000002</v>
      </c>
      <c r="H1031" s="14">
        <f>172.1336 * CHOOSE(CONTROL!$C$9, $D$9, 100%, $F$9) + CHOOSE(CONTROL!$C$27, 0.0021, 0)</f>
        <v>172.13570000000001</v>
      </c>
      <c r="I1031" s="14">
        <f>172.1336 * CHOOSE(CONTROL!$C$9, $D$9, 100%, $F$9) + CHOOSE(CONTROL!$C$27, 0.0021, 0)</f>
        <v>172.13570000000001</v>
      </c>
      <c r="J1031" s="14">
        <f>172.1336 * CHOOSE(CONTROL!$C$9, $D$9, 100%, $F$9) + CHOOSE(CONTROL!$C$27, 0.0021, 0)</f>
        <v>172.13570000000001</v>
      </c>
      <c r="K1031" s="14">
        <f>172.1336 * CHOOSE(CONTROL!$C$9, $D$9, 100%, $F$9) + CHOOSE(CONTROL!$C$27, 0.0021, 0)</f>
        <v>172.13570000000001</v>
      </c>
      <c r="L1031" s="14"/>
    </row>
    <row r="1032" spans="1:12" ht="15.75" x14ac:dyDescent="0.25">
      <c r="A1032" s="32">
        <v>72351</v>
      </c>
      <c r="B1032" s="14">
        <f>171.552 * CHOOSE(CONTROL!$C$9, $D$9, 100%, $F$9) + CHOOSE(CONTROL!$C$27, 0.0021, 0)</f>
        <v>171.55410000000001</v>
      </c>
      <c r="C1032" s="14">
        <f>171.1198 * CHOOSE(CONTROL!$C$9, $D$9, 100%, $F$9) + CHOOSE(CONTROL!$C$27, 0.0021, 0)</f>
        <v>171.12190000000001</v>
      </c>
      <c r="D1032" s="14">
        <f>171.1198 * CHOOSE(CONTROL!$C$9, $D$9, 100%, $F$9) + CHOOSE(CONTROL!$C$27, 0.0021, 0)</f>
        <v>171.12190000000001</v>
      </c>
      <c r="E1032" s="14">
        <f>170.9831 * CHOOSE(CONTROL!$C$9, $D$9, 100%, $F$9) + CHOOSE(CONTROL!$C$27, 0.0021, 0)</f>
        <v>170.98520000000002</v>
      </c>
      <c r="F1032" s="14">
        <f>170.9831 * CHOOSE(CONTROL!$C$9, $D$9, 100%, $F$9) + CHOOSE(CONTROL!$C$27, 0.0021, 0)</f>
        <v>170.98520000000002</v>
      </c>
      <c r="G1032" s="14">
        <f>171.2545 * CHOOSE(CONTROL!$C$9, $D$9, 100%, $F$9) + CHOOSE(CONTROL!$C$27, 0.0021, 0)</f>
        <v>171.25660000000002</v>
      </c>
      <c r="H1032" s="14">
        <f>171.1198 * CHOOSE(CONTROL!$C$9, $D$9, 100%, $F$9) + CHOOSE(CONTROL!$C$27, 0.0021, 0)</f>
        <v>171.12190000000001</v>
      </c>
      <c r="I1032" s="14">
        <f>171.1198 * CHOOSE(CONTROL!$C$9, $D$9, 100%, $F$9) + CHOOSE(CONTROL!$C$27, 0.0021, 0)</f>
        <v>171.12190000000001</v>
      </c>
      <c r="J1032" s="14">
        <f>171.1198 * CHOOSE(CONTROL!$C$9, $D$9, 100%, $F$9) + CHOOSE(CONTROL!$C$27, 0.0021, 0)</f>
        <v>171.12190000000001</v>
      </c>
      <c r="K1032" s="14">
        <f>171.1198 * CHOOSE(CONTROL!$C$9, $D$9, 100%, $F$9) + CHOOSE(CONTROL!$C$27, 0.0021, 0)</f>
        <v>171.12190000000001</v>
      </c>
      <c r="L1032" s="14"/>
    </row>
    <row r="1033" spans="1:12" ht="15.75" x14ac:dyDescent="0.25">
      <c r="A1033" s="32">
        <v>72379</v>
      </c>
      <c r="B1033" s="14">
        <f>171.0815 * CHOOSE(CONTROL!$C$9, $D$9, 100%, $F$9) + CHOOSE(CONTROL!$C$27, 0.0021, 0)</f>
        <v>171.08360000000002</v>
      </c>
      <c r="C1033" s="14">
        <f>170.6493 * CHOOSE(CONTROL!$C$9, $D$9, 100%, $F$9) + CHOOSE(CONTROL!$C$27, 0.0021, 0)</f>
        <v>170.65140000000002</v>
      </c>
      <c r="D1033" s="14">
        <f>170.6493 * CHOOSE(CONTROL!$C$9, $D$9, 100%, $F$9) + CHOOSE(CONTROL!$C$27, 0.0021, 0)</f>
        <v>170.65140000000002</v>
      </c>
      <c r="E1033" s="14">
        <f>170.5126 * CHOOSE(CONTROL!$C$9, $D$9, 100%, $F$9) + CHOOSE(CONTROL!$C$27, 0.0021, 0)</f>
        <v>170.5147</v>
      </c>
      <c r="F1033" s="14">
        <f>170.5126 * CHOOSE(CONTROL!$C$9, $D$9, 100%, $F$9) + CHOOSE(CONTROL!$C$27, 0.0021, 0)</f>
        <v>170.5147</v>
      </c>
      <c r="G1033" s="14">
        <f>170.784 * CHOOSE(CONTROL!$C$9, $D$9, 100%, $F$9) + CHOOSE(CONTROL!$C$27, 0.0021, 0)</f>
        <v>170.7861</v>
      </c>
      <c r="H1033" s="14">
        <f>170.6493 * CHOOSE(CONTROL!$C$9, $D$9, 100%, $F$9) + CHOOSE(CONTROL!$C$27, 0.0021, 0)</f>
        <v>170.65140000000002</v>
      </c>
      <c r="I1033" s="14">
        <f>170.6493 * CHOOSE(CONTROL!$C$9, $D$9, 100%, $F$9) + CHOOSE(CONTROL!$C$27, 0.0021, 0)</f>
        <v>170.65140000000002</v>
      </c>
      <c r="J1033" s="14">
        <f>170.6493 * CHOOSE(CONTROL!$C$9, $D$9, 100%, $F$9) + CHOOSE(CONTROL!$C$27, 0.0021, 0)</f>
        <v>170.65140000000002</v>
      </c>
      <c r="K1033" s="14">
        <f>170.6493 * CHOOSE(CONTROL!$C$9, $D$9, 100%, $F$9) + CHOOSE(CONTROL!$C$27, 0.0021, 0)</f>
        <v>170.65140000000002</v>
      </c>
      <c r="L1033" s="14"/>
    </row>
    <row r="1034" spans="1:12" ht="15.75" x14ac:dyDescent="0.25">
      <c r="A1034" s="32">
        <v>72410</v>
      </c>
      <c r="B1034" s="14">
        <f>179.9777 * CHOOSE(CONTROL!$C$9, $D$9, 100%, $F$9) + CHOOSE(CONTROL!$C$27, 0.0021, 0)</f>
        <v>179.97980000000001</v>
      </c>
      <c r="C1034" s="14">
        <f>179.5454 * CHOOSE(CONTROL!$C$9, $D$9, 100%, $F$9) + CHOOSE(CONTROL!$C$27, 0.0021, 0)</f>
        <v>179.54750000000001</v>
      </c>
      <c r="D1034" s="14">
        <f>179.5454 * CHOOSE(CONTROL!$C$9, $D$9, 100%, $F$9) + CHOOSE(CONTROL!$C$27, 0.0021, 0)</f>
        <v>179.54750000000001</v>
      </c>
      <c r="E1034" s="14">
        <f>179.4088 * CHOOSE(CONTROL!$C$9, $D$9, 100%, $F$9) + CHOOSE(CONTROL!$C$27, 0.0021, 0)</f>
        <v>179.41090000000003</v>
      </c>
      <c r="F1034" s="14">
        <f>179.4088 * CHOOSE(CONTROL!$C$9, $D$9, 100%, $F$9) + CHOOSE(CONTROL!$C$27, 0.0021, 0)</f>
        <v>179.41090000000003</v>
      </c>
      <c r="G1034" s="14">
        <f>179.6802 * CHOOSE(CONTROL!$C$9, $D$9, 100%, $F$9) + CHOOSE(CONTROL!$C$27, 0.0021, 0)</f>
        <v>179.68230000000003</v>
      </c>
      <c r="H1034" s="14">
        <f>179.5454 * CHOOSE(CONTROL!$C$9, $D$9, 100%, $F$9) + CHOOSE(CONTROL!$C$27, 0.0021, 0)</f>
        <v>179.54750000000001</v>
      </c>
      <c r="I1034" s="14">
        <f>179.5454 * CHOOSE(CONTROL!$C$9, $D$9, 100%, $F$9) + CHOOSE(CONTROL!$C$27, 0.0021, 0)</f>
        <v>179.54750000000001</v>
      </c>
      <c r="J1034" s="14">
        <f>179.5454 * CHOOSE(CONTROL!$C$9, $D$9, 100%, $F$9) + CHOOSE(CONTROL!$C$27, 0.0021, 0)</f>
        <v>179.54750000000001</v>
      </c>
      <c r="K1034" s="14">
        <f>179.5454 * CHOOSE(CONTROL!$C$9, $D$9, 100%, $F$9) + CHOOSE(CONTROL!$C$27, 0.0021, 0)</f>
        <v>179.54750000000001</v>
      </c>
      <c r="L1034" s="14"/>
    </row>
    <row r="1035" spans="1:12" ht="15.75" x14ac:dyDescent="0.25">
      <c r="A1035" s="32">
        <v>72440</v>
      </c>
      <c r="B1035" s="14">
        <f>191.5139 * CHOOSE(CONTROL!$C$9, $D$9, 100%, $F$9) + CHOOSE(CONTROL!$C$27, 0.0021, 0)</f>
        <v>191.51600000000002</v>
      </c>
      <c r="C1035" s="14">
        <f>191.0816 * CHOOSE(CONTROL!$C$9, $D$9, 100%, $F$9) + CHOOSE(CONTROL!$C$27, 0.0021, 0)</f>
        <v>191.08370000000002</v>
      </c>
      <c r="D1035" s="14">
        <f>191.0816 * CHOOSE(CONTROL!$C$9, $D$9, 100%, $F$9) + CHOOSE(CONTROL!$C$27, 0.0021, 0)</f>
        <v>191.08370000000002</v>
      </c>
      <c r="E1035" s="14">
        <f>190.945 * CHOOSE(CONTROL!$C$9, $D$9, 100%, $F$9) + CHOOSE(CONTROL!$C$27, 0.0021, 0)</f>
        <v>190.94710000000001</v>
      </c>
      <c r="F1035" s="14">
        <f>190.945 * CHOOSE(CONTROL!$C$9, $D$9, 100%, $F$9) + CHOOSE(CONTROL!$C$27, 0.0021, 0)</f>
        <v>190.94710000000001</v>
      </c>
      <c r="G1035" s="14">
        <f>191.2164 * CHOOSE(CONTROL!$C$9, $D$9, 100%, $F$9) + CHOOSE(CONTROL!$C$27, 0.0021, 0)</f>
        <v>191.21850000000001</v>
      </c>
      <c r="H1035" s="14">
        <f>191.0816 * CHOOSE(CONTROL!$C$9, $D$9, 100%, $F$9) + CHOOSE(CONTROL!$C$27, 0.0021, 0)</f>
        <v>191.08370000000002</v>
      </c>
      <c r="I1035" s="14">
        <f>191.0816 * CHOOSE(CONTROL!$C$9, $D$9, 100%, $F$9) + CHOOSE(CONTROL!$C$27, 0.0021, 0)</f>
        <v>191.08370000000002</v>
      </c>
      <c r="J1035" s="14">
        <f>191.0816 * CHOOSE(CONTROL!$C$9, $D$9, 100%, $F$9) + CHOOSE(CONTROL!$C$27, 0.0021, 0)</f>
        <v>191.08370000000002</v>
      </c>
      <c r="K1035" s="14">
        <f>191.0816 * CHOOSE(CONTROL!$C$9, $D$9, 100%, $F$9) + CHOOSE(CONTROL!$C$27, 0.0021, 0)</f>
        <v>191.08370000000002</v>
      </c>
      <c r="L1035" s="14"/>
    </row>
    <row r="1036" spans="1:12" ht="15.75" x14ac:dyDescent="0.25">
      <c r="A1036" s="32">
        <v>72471</v>
      </c>
      <c r="B1036" s="14">
        <f>197.8638 * CHOOSE(CONTROL!$C$9, $D$9, 100%, $F$9) + CHOOSE(CONTROL!$C$27, 0.0021, 0)</f>
        <v>197.86590000000001</v>
      </c>
      <c r="C1036" s="14">
        <f>197.4315 * CHOOSE(CONTROL!$C$9, $D$9, 100%, $F$9) + CHOOSE(CONTROL!$C$27, 0.0021, 0)</f>
        <v>197.43360000000001</v>
      </c>
      <c r="D1036" s="14">
        <f>197.4315 * CHOOSE(CONTROL!$C$9, $D$9, 100%, $F$9) + CHOOSE(CONTROL!$C$27, 0.0021, 0)</f>
        <v>197.43360000000001</v>
      </c>
      <c r="E1036" s="14">
        <f>197.2949 * CHOOSE(CONTROL!$C$9, $D$9, 100%, $F$9) + CHOOSE(CONTROL!$C$27, 0.0021, 0)</f>
        <v>197.29700000000003</v>
      </c>
      <c r="F1036" s="14">
        <f>197.2949 * CHOOSE(CONTROL!$C$9, $D$9, 100%, $F$9) + CHOOSE(CONTROL!$C$27, 0.0021, 0)</f>
        <v>197.29700000000003</v>
      </c>
      <c r="G1036" s="14">
        <f>197.5663 * CHOOSE(CONTROL!$C$9, $D$9, 100%, $F$9) + CHOOSE(CONTROL!$C$27, 0.0021, 0)</f>
        <v>197.56840000000003</v>
      </c>
      <c r="H1036" s="14">
        <f>197.4315 * CHOOSE(CONTROL!$C$9, $D$9, 100%, $F$9) + CHOOSE(CONTROL!$C$27, 0.0021, 0)</f>
        <v>197.43360000000001</v>
      </c>
      <c r="I1036" s="14">
        <f>197.4315 * CHOOSE(CONTROL!$C$9, $D$9, 100%, $F$9) + CHOOSE(CONTROL!$C$27, 0.0021, 0)</f>
        <v>197.43360000000001</v>
      </c>
      <c r="J1036" s="14">
        <f>197.4315 * CHOOSE(CONTROL!$C$9, $D$9, 100%, $F$9) + CHOOSE(CONTROL!$C$27, 0.0021, 0)</f>
        <v>197.43360000000001</v>
      </c>
      <c r="K1036" s="14">
        <f>197.4315 * CHOOSE(CONTROL!$C$9, $D$9, 100%, $F$9) + CHOOSE(CONTROL!$C$27, 0.0021, 0)</f>
        <v>197.43360000000001</v>
      </c>
      <c r="L1036" s="14"/>
    </row>
    <row r="1037" spans="1:12" ht="15.75" x14ac:dyDescent="0.25">
      <c r="A1037" s="32">
        <v>72501</v>
      </c>
      <c r="B1037" s="14">
        <f>200.6818 * CHOOSE(CONTROL!$C$9, $D$9, 100%, $F$9) + CHOOSE(CONTROL!$C$27, 0.0021, 0)</f>
        <v>200.68390000000002</v>
      </c>
      <c r="C1037" s="14">
        <f>200.2495 * CHOOSE(CONTROL!$C$9, $D$9, 100%, $F$9) + CHOOSE(CONTROL!$C$27, 0.0021, 0)</f>
        <v>200.25160000000002</v>
      </c>
      <c r="D1037" s="14">
        <f>200.2495 * CHOOSE(CONTROL!$C$9, $D$9, 100%, $F$9) + CHOOSE(CONTROL!$C$27, 0.0021, 0)</f>
        <v>200.25160000000002</v>
      </c>
      <c r="E1037" s="14">
        <f>200.1129 * CHOOSE(CONTROL!$C$9, $D$9, 100%, $F$9) + CHOOSE(CONTROL!$C$27, 0.0021, 0)</f>
        <v>200.11500000000001</v>
      </c>
      <c r="F1037" s="14">
        <f>200.1129 * CHOOSE(CONTROL!$C$9, $D$9, 100%, $F$9) + CHOOSE(CONTROL!$C$27, 0.0021, 0)</f>
        <v>200.11500000000001</v>
      </c>
      <c r="G1037" s="14">
        <f>200.3842 * CHOOSE(CONTROL!$C$9, $D$9, 100%, $F$9) + CHOOSE(CONTROL!$C$27, 0.0021, 0)</f>
        <v>200.38630000000001</v>
      </c>
      <c r="H1037" s="14">
        <f>200.2495 * CHOOSE(CONTROL!$C$9, $D$9, 100%, $F$9) + CHOOSE(CONTROL!$C$27, 0.0021, 0)</f>
        <v>200.25160000000002</v>
      </c>
      <c r="I1037" s="14">
        <f>200.2495 * CHOOSE(CONTROL!$C$9, $D$9, 100%, $F$9) + CHOOSE(CONTROL!$C$27, 0.0021, 0)</f>
        <v>200.25160000000002</v>
      </c>
      <c r="J1037" s="14">
        <f>200.2495 * CHOOSE(CONTROL!$C$9, $D$9, 100%, $F$9) + CHOOSE(CONTROL!$C$27, 0.0021, 0)</f>
        <v>200.25160000000002</v>
      </c>
      <c r="K1037" s="14">
        <f>200.2495 * CHOOSE(CONTROL!$C$9, $D$9, 100%, $F$9) + CHOOSE(CONTROL!$C$27, 0.0021, 0)</f>
        <v>200.25160000000002</v>
      </c>
      <c r="L1037" s="14"/>
    </row>
    <row r="1038" spans="1:12" ht="15.75" x14ac:dyDescent="0.25">
      <c r="A1038" s="32">
        <v>72532</v>
      </c>
      <c r="B1038" s="14">
        <f>199.754 * CHOOSE(CONTROL!$C$9, $D$9, 100%, $F$9) + CHOOSE(CONTROL!$C$27, 0.0021, 0)</f>
        <v>199.7561</v>
      </c>
      <c r="C1038" s="14">
        <f>199.3217 * CHOOSE(CONTROL!$C$9, $D$9, 100%, $F$9) + CHOOSE(CONTROL!$C$27, 0.0021, 0)</f>
        <v>199.32380000000001</v>
      </c>
      <c r="D1038" s="14">
        <f>199.3217 * CHOOSE(CONTROL!$C$9, $D$9, 100%, $F$9) + CHOOSE(CONTROL!$C$27, 0.0021, 0)</f>
        <v>199.32380000000001</v>
      </c>
      <c r="E1038" s="14">
        <f>199.1851 * CHOOSE(CONTROL!$C$9, $D$9, 100%, $F$9) + CHOOSE(CONTROL!$C$27, 0.0021, 0)</f>
        <v>199.18720000000002</v>
      </c>
      <c r="F1038" s="14">
        <f>199.1851 * CHOOSE(CONTROL!$C$9, $D$9, 100%, $F$9) + CHOOSE(CONTROL!$C$27, 0.0021, 0)</f>
        <v>199.18720000000002</v>
      </c>
      <c r="G1038" s="14">
        <f>199.4564 * CHOOSE(CONTROL!$C$9, $D$9, 100%, $F$9) + CHOOSE(CONTROL!$C$27, 0.0021, 0)</f>
        <v>199.45850000000002</v>
      </c>
      <c r="H1038" s="14">
        <f>199.3217 * CHOOSE(CONTROL!$C$9, $D$9, 100%, $F$9) + CHOOSE(CONTROL!$C$27, 0.0021, 0)</f>
        <v>199.32380000000001</v>
      </c>
      <c r="I1038" s="14">
        <f>199.3217 * CHOOSE(CONTROL!$C$9, $D$9, 100%, $F$9) + CHOOSE(CONTROL!$C$27, 0.0021, 0)</f>
        <v>199.32380000000001</v>
      </c>
      <c r="J1038" s="14">
        <f>199.3217 * CHOOSE(CONTROL!$C$9, $D$9, 100%, $F$9) + CHOOSE(CONTROL!$C$27, 0.0021, 0)</f>
        <v>199.32380000000001</v>
      </c>
      <c r="K1038" s="14">
        <f>199.3217 * CHOOSE(CONTROL!$C$9, $D$9, 100%, $F$9) + CHOOSE(CONTROL!$C$27, 0.0021, 0)</f>
        <v>199.32380000000001</v>
      </c>
      <c r="L1038" s="14"/>
    </row>
    <row r="1039" spans="1:12" ht="15.75" x14ac:dyDescent="0.25">
      <c r="A1039" s="32">
        <v>72563</v>
      </c>
      <c r="B1039" s="14">
        <f>195.1571 * CHOOSE(CONTROL!$C$9, $D$9, 100%, $F$9) + CHOOSE(CONTROL!$C$27, 0.0021, 0)</f>
        <v>195.15920000000003</v>
      </c>
      <c r="C1039" s="14">
        <f>194.7249 * CHOOSE(CONTROL!$C$9, $D$9, 100%, $F$9) + CHOOSE(CONTROL!$C$27, 0.0021, 0)</f>
        <v>194.727</v>
      </c>
      <c r="D1039" s="14">
        <f>194.7249 * CHOOSE(CONTROL!$C$9, $D$9, 100%, $F$9) + CHOOSE(CONTROL!$C$27, 0.0021, 0)</f>
        <v>194.727</v>
      </c>
      <c r="E1039" s="14">
        <f>194.5882 * CHOOSE(CONTROL!$C$9, $D$9, 100%, $F$9) + CHOOSE(CONTROL!$C$27, 0.0021, 0)</f>
        <v>194.59030000000001</v>
      </c>
      <c r="F1039" s="14">
        <f>194.5882 * CHOOSE(CONTROL!$C$9, $D$9, 100%, $F$9) + CHOOSE(CONTROL!$C$27, 0.0021, 0)</f>
        <v>194.59030000000001</v>
      </c>
      <c r="G1039" s="14">
        <f>194.8596 * CHOOSE(CONTROL!$C$9, $D$9, 100%, $F$9) + CHOOSE(CONTROL!$C$27, 0.0021, 0)</f>
        <v>194.86170000000001</v>
      </c>
      <c r="H1039" s="14">
        <f>194.7249 * CHOOSE(CONTROL!$C$9, $D$9, 100%, $F$9) + CHOOSE(CONTROL!$C$27, 0.0021, 0)</f>
        <v>194.727</v>
      </c>
      <c r="I1039" s="14">
        <f>194.7249 * CHOOSE(CONTROL!$C$9, $D$9, 100%, $F$9) + CHOOSE(CONTROL!$C$27, 0.0021, 0)</f>
        <v>194.727</v>
      </c>
      <c r="J1039" s="14">
        <f>194.7249 * CHOOSE(CONTROL!$C$9, $D$9, 100%, $F$9) + CHOOSE(CONTROL!$C$27, 0.0021, 0)</f>
        <v>194.727</v>
      </c>
      <c r="K1039" s="14">
        <f>194.7249 * CHOOSE(CONTROL!$C$9, $D$9, 100%, $F$9) + CHOOSE(CONTROL!$C$27, 0.0021, 0)</f>
        <v>194.727</v>
      </c>
      <c r="L1039" s="14"/>
    </row>
    <row r="1040" spans="1:12" ht="15.75" x14ac:dyDescent="0.25">
      <c r="A1040" s="32">
        <v>72593</v>
      </c>
      <c r="B1040" s="14">
        <f>188.7466 * CHOOSE(CONTROL!$C$9, $D$9, 100%, $F$9) + CHOOSE(CONTROL!$C$27, 0.0021, 0)</f>
        <v>188.74870000000001</v>
      </c>
      <c r="C1040" s="14">
        <f>188.3144 * CHOOSE(CONTROL!$C$9, $D$9, 100%, $F$9) + CHOOSE(CONTROL!$C$27, 0.0021, 0)</f>
        <v>188.31650000000002</v>
      </c>
      <c r="D1040" s="14">
        <f>188.3144 * CHOOSE(CONTROL!$C$9, $D$9, 100%, $F$9) + CHOOSE(CONTROL!$C$27, 0.0021, 0)</f>
        <v>188.31650000000002</v>
      </c>
      <c r="E1040" s="14">
        <f>188.1777 * CHOOSE(CONTROL!$C$9, $D$9, 100%, $F$9) + CHOOSE(CONTROL!$C$27, 0.0021, 0)</f>
        <v>188.1798</v>
      </c>
      <c r="F1040" s="14">
        <f>188.1777 * CHOOSE(CONTROL!$C$9, $D$9, 100%, $F$9) + CHOOSE(CONTROL!$C$27, 0.0021, 0)</f>
        <v>188.1798</v>
      </c>
      <c r="G1040" s="14">
        <f>188.4491 * CHOOSE(CONTROL!$C$9, $D$9, 100%, $F$9) + CHOOSE(CONTROL!$C$27, 0.0021, 0)</f>
        <v>188.4512</v>
      </c>
      <c r="H1040" s="14">
        <f>188.3144 * CHOOSE(CONTROL!$C$9, $D$9, 100%, $F$9) + CHOOSE(CONTROL!$C$27, 0.0021, 0)</f>
        <v>188.31650000000002</v>
      </c>
      <c r="I1040" s="14">
        <f>188.3144 * CHOOSE(CONTROL!$C$9, $D$9, 100%, $F$9) + CHOOSE(CONTROL!$C$27, 0.0021, 0)</f>
        <v>188.31650000000002</v>
      </c>
      <c r="J1040" s="14">
        <f>188.3144 * CHOOSE(CONTROL!$C$9, $D$9, 100%, $F$9) + CHOOSE(CONTROL!$C$27, 0.0021, 0)</f>
        <v>188.31650000000002</v>
      </c>
      <c r="K1040" s="14">
        <f>188.3144 * CHOOSE(CONTROL!$C$9, $D$9, 100%, $F$9) + CHOOSE(CONTROL!$C$27, 0.0021, 0)</f>
        <v>188.31650000000002</v>
      </c>
      <c r="L1040" s="14"/>
    </row>
    <row r="1041" spans="1:12" ht="15.75" x14ac:dyDescent="0.25">
      <c r="A1041" s="32">
        <v>72624</v>
      </c>
      <c r="B1041" s="14">
        <f>182.2989 * CHOOSE(CONTROL!$C$9, $D$9, 100%, $F$9) + CHOOSE(CONTROL!$C$27, 0.0021, 0)</f>
        <v>182.30100000000002</v>
      </c>
      <c r="C1041" s="14">
        <f>181.8666 * CHOOSE(CONTROL!$C$9, $D$9, 100%, $F$9) + CHOOSE(CONTROL!$C$27, 0.0021, 0)</f>
        <v>181.86870000000002</v>
      </c>
      <c r="D1041" s="14">
        <f>181.8666 * CHOOSE(CONTROL!$C$9, $D$9, 100%, $F$9) + CHOOSE(CONTROL!$C$27, 0.0021, 0)</f>
        <v>181.86870000000002</v>
      </c>
      <c r="E1041" s="14">
        <f>181.73 * CHOOSE(CONTROL!$C$9, $D$9, 100%, $F$9) + CHOOSE(CONTROL!$C$27, 0.0021, 0)</f>
        <v>181.7321</v>
      </c>
      <c r="F1041" s="14">
        <f>181.73 * CHOOSE(CONTROL!$C$9, $D$9, 100%, $F$9) + CHOOSE(CONTROL!$C$27, 0.0021, 0)</f>
        <v>181.7321</v>
      </c>
      <c r="G1041" s="14">
        <f>182.0013 * CHOOSE(CONTROL!$C$9, $D$9, 100%, $F$9) + CHOOSE(CONTROL!$C$27, 0.0021, 0)</f>
        <v>182.0034</v>
      </c>
      <c r="H1041" s="14">
        <f>181.8666 * CHOOSE(CONTROL!$C$9, $D$9, 100%, $F$9) + CHOOSE(CONTROL!$C$27, 0.0021, 0)</f>
        <v>181.86870000000002</v>
      </c>
      <c r="I1041" s="14">
        <f>181.8666 * CHOOSE(CONTROL!$C$9, $D$9, 100%, $F$9) + CHOOSE(CONTROL!$C$27, 0.0021, 0)</f>
        <v>181.86870000000002</v>
      </c>
      <c r="J1041" s="14">
        <f>181.8666 * CHOOSE(CONTROL!$C$9, $D$9, 100%, $F$9) + CHOOSE(CONTROL!$C$27, 0.0021, 0)</f>
        <v>181.86870000000002</v>
      </c>
      <c r="K1041" s="14">
        <f>181.8666 * CHOOSE(CONTROL!$C$9, $D$9, 100%, $F$9) + CHOOSE(CONTROL!$C$27, 0.0021, 0)</f>
        <v>181.86870000000002</v>
      </c>
      <c r="L1041" s="14"/>
    </row>
    <row r="1042" spans="1:12" ht="15.75" x14ac:dyDescent="0.25">
      <c r="A1042" s="32">
        <v>72654</v>
      </c>
      <c r="B1042" s="14">
        <f>181.0163 * CHOOSE(CONTROL!$C$9, $D$9, 100%, $F$9) + CHOOSE(CONTROL!$C$27, 0.0021, 0)</f>
        <v>181.01840000000001</v>
      </c>
      <c r="C1042" s="14">
        <f>180.584 * CHOOSE(CONTROL!$C$9, $D$9, 100%, $F$9) + CHOOSE(CONTROL!$C$27, 0.0021, 0)</f>
        <v>180.58610000000002</v>
      </c>
      <c r="D1042" s="14">
        <f>180.584 * CHOOSE(CONTROL!$C$9, $D$9, 100%, $F$9) + CHOOSE(CONTROL!$C$27, 0.0021, 0)</f>
        <v>180.58610000000002</v>
      </c>
      <c r="E1042" s="14">
        <f>180.4474 * CHOOSE(CONTROL!$C$9, $D$9, 100%, $F$9) + CHOOSE(CONTROL!$C$27, 0.0021, 0)</f>
        <v>180.4495</v>
      </c>
      <c r="F1042" s="14">
        <f>180.4474 * CHOOSE(CONTROL!$C$9, $D$9, 100%, $F$9) + CHOOSE(CONTROL!$C$27, 0.0021, 0)</f>
        <v>180.4495</v>
      </c>
      <c r="G1042" s="14">
        <f>180.7187 * CHOOSE(CONTROL!$C$9, $D$9, 100%, $F$9) + CHOOSE(CONTROL!$C$27, 0.0021, 0)</f>
        <v>180.72080000000003</v>
      </c>
      <c r="H1042" s="14">
        <f>180.584 * CHOOSE(CONTROL!$C$9, $D$9, 100%, $F$9) + CHOOSE(CONTROL!$C$27, 0.0021, 0)</f>
        <v>180.58610000000002</v>
      </c>
      <c r="I1042" s="14">
        <f>180.584 * CHOOSE(CONTROL!$C$9, $D$9, 100%, $F$9) + CHOOSE(CONTROL!$C$27, 0.0021, 0)</f>
        <v>180.58610000000002</v>
      </c>
      <c r="J1042" s="14">
        <f>180.584 * CHOOSE(CONTROL!$C$9, $D$9, 100%, $F$9) + CHOOSE(CONTROL!$C$27, 0.0021, 0)</f>
        <v>180.58610000000002</v>
      </c>
      <c r="K1042" s="14">
        <f>180.584 * CHOOSE(CONTROL!$C$9, $D$9, 100%, $F$9) + CHOOSE(CONTROL!$C$27, 0.0021, 0)</f>
        <v>180.58610000000002</v>
      </c>
      <c r="L1042" s="14"/>
    </row>
    <row r="1043" spans="1:12" ht="15.75" x14ac:dyDescent="0.25">
      <c r="A1043" s="32">
        <v>72685</v>
      </c>
      <c r="B1043" s="14">
        <f>175.7126 * CHOOSE(CONTROL!$C$9, $D$9, 100%, $F$9) + CHOOSE(CONTROL!$C$27, 0.0021, 0)</f>
        <v>175.71470000000002</v>
      </c>
      <c r="C1043" s="14">
        <f>175.2804 * CHOOSE(CONTROL!$C$9, $D$9, 100%, $F$9) + CHOOSE(CONTROL!$C$27, 0.0021, 0)</f>
        <v>175.2825</v>
      </c>
      <c r="D1043" s="14">
        <f>175.2804 * CHOOSE(CONTROL!$C$9, $D$9, 100%, $F$9) + CHOOSE(CONTROL!$C$27, 0.0021, 0)</f>
        <v>175.2825</v>
      </c>
      <c r="E1043" s="14">
        <f>175.1437 * CHOOSE(CONTROL!$C$9, $D$9, 100%, $F$9) + CHOOSE(CONTROL!$C$27, 0.0021, 0)</f>
        <v>175.14580000000001</v>
      </c>
      <c r="F1043" s="14">
        <f>175.1437 * CHOOSE(CONTROL!$C$9, $D$9, 100%, $F$9) + CHOOSE(CONTROL!$C$27, 0.0021, 0)</f>
        <v>175.14580000000001</v>
      </c>
      <c r="G1043" s="14">
        <f>175.4151 * CHOOSE(CONTROL!$C$9, $D$9, 100%, $F$9) + CHOOSE(CONTROL!$C$27, 0.0021, 0)</f>
        <v>175.41720000000001</v>
      </c>
      <c r="H1043" s="14">
        <f>175.2804 * CHOOSE(CONTROL!$C$9, $D$9, 100%, $F$9) + CHOOSE(CONTROL!$C$27, 0.0021, 0)</f>
        <v>175.2825</v>
      </c>
      <c r="I1043" s="14">
        <f>175.2804 * CHOOSE(CONTROL!$C$9, $D$9, 100%, $F$9) + CHOOSE(CONTROL!$C$27, 0.0021, 0)</f>
        <v>175.2825</v>
      </c>
      <c r="J1043" s="14">
        <f>175.2804 * CHOOSE(CONTROL!$C$9, $D$9, 100%, $F$9) + CHOOSE(CONTROL!$C$27, 0.0021, 0)</f>
        <v>175.2825</v>
      </c>
      <c r="K1043" s="14">
        <f>175.2804 * CHOOSE(CONTROL!$C$9, $D$9, 100%, $F$9) + CHOOSE(CONTROL!$C$27, 0.0021, 0)</f>
        <v>175.2825</v>
      </c>
      <c r="L1043" s="14"/>
    </row>
    <row r="1044" spans="1:12" ht="15.75" x14ac:dyDescent="0.25">
      <c r="A1044" s="32">
        <v>72716</v>
      </c>
      <c r="B1044" s="14">
        <f>174.6801 * CHOOSE(CONTROL!$C$9, $D$9, 100%, $F$9) + CHOOSE(CONTROL!$C$27, 0.0021, 0)</f>
        <v>174.68220000000002</v>
      </c>
      <c r="C1044" s="14">
        <f>174.2478 * CHOOSE(CONTROL!$C$9, $D$9, 100%, $F$9) + CHOOSE(CONTROL!$C$27, 0.0021, 0)</f>
        <v>174.24990000000003</v>
      </c>
      <c r="D1044" s="14">
        <f>174.2478 * CHOOSE(CONTROL!$C$9, $D$9, 100%, $F$9) + CHOOSE(CONTROL!$C$27, 0.0021, 0)</f>
        <v>174.24990000000003</v>
      </c>
      <c r="E1044" s="14">
        <f>174.1112 * CHOOSE(CONTROL!$C$9, $D$9, 100%, $F$9) + CHOOSE(CONTROL!$C$27, 0.0021, 0)</f>
        <v>174.11330000000001</v>
      </c>
      <c r="F1044" s="14">
        <f>174.1112 * CHOOSE(CONTROL!$C$9, $D$9, 100%, $F$9) + CHOOSE(CONTROL!$C$27, 0.0021, 0)</f>
        <v>174.11330000000001</v>
      </c>
      <c r="G1044" s="14">
        <f>174.3825 * CHOOSE(CONTROL!$C$9, $D$9, 100%, $F$9) + CHOOSE(CONTROL!$C$27, 0.0021, 0)</f>
        <v>174.38460000000001</v>
      </c>
      <c r="H1044" s="14">
        <f>174.2478 * CHOOSE(CONTROL!$C$9, $D$9, 100%, $F$9) + CHOOSE(CONTROL!$C$27, 0.0021, 0)</f>
        <v>174.24990000000003</v>
      </c>
      <c r="I1044" s="14">
        <f>174.2478 * CHOOSE(CONTROL!$C$9, $D$9, 100%, $F$9) + CHOOSE(CONTROL!$C$27, 0.0021, 0)</f>
        <v>174.24990000000003</v>
      </c>
      <c r="J1044" s="14">
        <f>174.2478 * CHOOSE(CONTROL!$C$9, $D$9, 100%, $F$9) + CHOOSE(CONTROL!$C$27, 0.0021, 0)</f>
        <v>174.24990000000003</v>
      </c>
      <c r="K1044" s="14">
        <f>174.2478 * CHOOSE(CONTROL!$C$9, $D$9, 100%, $F$9) + CHOOSE(CONTROL!$C$27, 0.0021, 0)</f>
        <v>174.24990000000003</v>
      </c>
      <c r="L1044" s="14"/>
    </row>
    <row r="1045" spans="1:12" ht="15.75" x14ac:dyDescent="0.25">
      <c r="A1045" s="32">
        <v>72744</v>
      </c>
      <c r="B1045" s="14">
        <f>174.2009 * CHOOSE(CONTROL!$C$9, $D$9, 100%, $F$9) + CHOOSE(CONTROL!$C$27, 0.0021, 0)</f>
        <v>174.203</v>
      </c>
      <c r="C1045" s="14">
        <f>173.7686 * CHOOSE(CONTROL!$C$9, $D$9, 100%, $F$9) + CHOOSE(CONTROL!$C$27, 0.0021, 0)</f>
        <v>173.77070000000001</v>
      </c>
      <c r="D1045" s="14">
        <f>173.7686 * CHOOSE(CONTROL!$C$9, $D$9, 100%, $F$9) + CHOOSE(CONTROL!$C$27, 0.0021, 0)</f>
        <v>173.77070000000001</v>
      </c>
      <c r="E1045" s="14">
        <f>173.632 * CHOOSE(CONTROL!$C$9, $D$9, 100%, $F$9) + CHOOSE(CONTROL!$C$27, 0.0021, 0)</f>
        <v>173.63410000000002</v>
      </c>
      <c r="F1045" s="14">
        <f>173.632 * CHOOSE(CONTROL!$C$9, $D$9, 100%, $F$9) + CHOOSE(CONTROL!$C$27, 0.0021, 0)</f>
        <v>173.63410000000002</v>
      </c>
      <c r="G1045" s="14">
        <f>173.9033 * CHOOSE(CONTROL!$C$9, $D$9, 100%, $F$9) + CHOOSE(CONTROL!$C$27, 0.0021, 0)</f>
        <v>173.90540000000001</v>
      </c>
      <c r="H1045" s="14">
        <f>173.7686 * CHOOSE(CONTROL!$C$9, $D$9, 100%, $F$9) + CHOOSE(CONTROL!$C$27, 0.0021, 0)</f>
        <v>173.77070000000001</v>
      </c>
      <c r="I1045" s="14">
        <f>173.7686 * CHOOSE(CONTROL!$C$9, $D$9, 100%, $F$9) + CHOOSE(CONTROL!$C$27, 0.0021, 0)</f>
        <v>173.77070000000001</v>
      </c>
      <c r="J1045" s="14">
        <f>173.7686 * CHOOSE(CONTROL!$C$9, $D$9, 100%, $F$9) + CHOOSE(CONTROL!$C$27, 0.0021, 0)</f>
        <v>173.77070000000001</v>
      </c>
      <c r="K1045" s="14">
        <f>173.7686 * CHOOSE(CONTROL!$C$9, $D$9, 100%, $F$9) + CHOOSE(CONTROL!$C$27, 0.0021, 0)</f>
        <v>173.77070000000001</v>
      </c>
      <c r="L1045" s="14"/>
    </row>
    <row r="1046" spans="1:12" ht="15.75" x14ac:dyDescent="0.25">
      <c r="A1046" s="32">
        <v>72775</v>
      </c>
      <c r="B1046" s="14">
        <f>183.2615 * CHOOSE(CONTROL!$C$9, $D$9, 100%, $F$9) + CHOOSE(CONTROL!$C$27, 0.0021, 0)</f>
        <v>183.26360000000003</v>
      </c>
      <c r="C1046" s="14">
        <f>182.8292 * CHOOSE(CONTROL!$C$9, $D$9, 100%, $F$9) + CHOOSE(CONTROL!$C$27, 0.0021, 0)</f>
        <v>182.8313</v>
      </c>
      <c r="D1046" s="14">
        <f>182.8292 * CHOOSE(CONTROL!$C$9, $D$9, 100%, $F$9) + CHOOSE(CONTROL!$C$27, 0.0021, 0)</f>
        <v>182.8313</v>
      </c>
      <c r="E1046" s="14">
        <f>182.6925 * CHOOSE(CONTROL!$C$9, $D$9, 100%, $F$9) + CHOOSE(CONTROL!$C$27, 0.0021, 0)</f>
        <v>182.69460000000001</v>
      </c>
      <c r="F1046" s="14">
        <f>182.6925 * CHOOSE(CONTROL!$C$9, $D$9, 100%, $F$9) + CHOOSE(CONTROL!$C$27, 0.0021, 0)</f>
        <v>182.69460000000001</v>
      </c>
      <c r="G1046" s="14">
        <f>182.9639 * CHOOSE(CONTROL!$C$9, $D$9, 100%, $F$9) + CHOOSE(CONTROL!$C$27, 0.0021, 0)</f>
        <v>182.96600000000001</v>
      </c>
      <c r="H1046" s="14">
        <f>182.8292 * CHOOSE(CONTROL!$C$9, $D$9, 100%, $F$9) + CHOOSE(CONTROL!$C$27, 0.0021, 0)</f>
        <v>182.8313</v>
      </c>
      <c r="I1046" s="14">
        <f>182.8292 * CHOOSE(CONTROL!$C$9, $D$9, 100%, $F$9) + CHOOSE(CONTROL!$C$27, 0.0021, 0)</f>
        <v>182.8313</v>
      </c>
      <c r="J1046" s="14">
        <f>182.8292 * CHOOSE(CONTROL!$C$9, $D$9, 100%, $F$9) + CHOOSE(CONTROL!$C$27, 0.0021, 0)</f>
        <v>182.8313</v>
      </c>
      <c r="K1046" s="14">
        <f>182.8292 * CHOOSE(CONTROL!$C$9, $D$9, 100%, $F$9) + CHOOSE(CONTROL!$C$27, 0.0021, 0)</f>
        <v>182.8313</v>
      </c>
      <c r="L1046" s="14"/>
    </row>
    <row r="1047" spans="1:12" ht="15.75" x14ac:dyDescent="0.25">
      <c r="A1047" s="32">
        <v>72805</v>
      </c>
      <c r="B1047" s="14">
        <f>195.0108 * CHOOSE(CONTROL!$C$9, $D$9, 100%, $F$9) + CHOOSE(CONTROL!$C$27, 0.0021, 0)</f>
        <v>195.0129</v>
      </c>
      <c r="C1047" s="14">
        <f>194.5786 * CHOOSE(CONTROL!$C$9, $D$9, 100%, $F$9) + CHOOSE(CONTROL!$C$27, 0.0021, 0)</f>
        <v>194.58070000000001</v>
      </c>
      <c r="D1047" s="14">
        <f>194.5786 * CHOOSE(CONTROL!$C$9, $D$9, 100%, $F$9) + CHOOSE(CONTROL!$C$27, 0.0021, 0)</f>
        <v>194.58070000000001</v>
      </c>
      <c r="E1047" s="14">
        <f>194.4419 * CHOOSE(CONTROL!$C$9, $D$9, 100%, $F$9) + CHOOSE(CONTROL!$C$27, 0.0021, 0)</f>
        <v>194.44400000000002</v>
      </c>
      <c r="F1047" s="14">
        <f>194.4419 * CHOOSE(CONTROL!$C$9, $D$9, 100%, $F$9) + CHOOSE(CONTROL!$C$27, 0.0021, 0)</f>
        <v>194.44400000000002</v>
      </c>
      <c r="G1047" s="14">
        <f>194.7133 * CHOOSE(CONTROL!$C$9, $D$9, 100%, $F$9) + CHOOSE(CONTROL!$C$27, 0.0021, 0)</f>
        <v>194.71540000000002</v>
      </c>
      <c r="H1047" s="14">
        <f>194.5786 * CHOOSE(CONTROL!$C$9, $D$9, 100%, $F$9) + CHOOSE(CONTROL!$C$27, 0.0021, 0)</f>
        <v>194.58070000000001</v>
      </c>
      <c r="I1047" s="14">
        <f>194.5786 * CHOOSE(CONTROL!$C$9, $D$9, 100%, $F$9) + CHOOSE(CONTROL!$C$27, 0.0021, 0)</f>
        <v>194.58070000000001</v>
      </c>
      <c r="J1047" s="14">
        <f>194.5786 * CHOOSE(CONTROL!$C$9, $D$9, 100%, $F$9) + CHOOSE(CONTROL!$C$27, 0.0021, 0)</f>
        <v>194.58070000000001</v>
      </c>
      <c r="K1047" s="14">
        <f>194.5786 * CHOOSE(CONTROL!$C$9, $D$9, 100%, $F$9) + CHOOSE(CONTROL!$C$27, 0.0021, 0)</f>
        <v>194.58070000000001</v>
      </c>
      <c r="L1047" s="14"/>
    </row>
    <row r="1048" spans="1:12" ht="15.75" x14ac:dyDescent="0.25">
      <c r="A1048" s="32">
        <v>72836</v>
      </c>
      <c r="B1048" s="14">
        <f>201.4781 * CHOOSE(CONTROL!$C$9, $D$9, 100%, $F$9) + CHOOSE(CONTROL!$C$27, 0.0021, 0)</f>
        <v>201.48020000000002</v>
      </c>
      <c r="C1048" s="14">
        <f>201.0459 * CHOOSE(CONTROL!$C$9, $D$9, 100%, $F$9) + CHOOSE(CONTROL!$C$27, 0.0021, 0)</f>
        <v>201.048</v>
      </c>
      <c r="D1048" s="14">
        <f>201.0459 * CHOOSE(CONTROL!$C$9, $D$9, 100%, $F$9) + CHOOSE(CONTROL!$C$27, 0.0021, 0)</f>
        <v>201.048</v>
      </c>
      <c r="E1048" s="14">
        <f>200.9092 * CHOOSE(CONTROL!$C$9, $D$9, 100%, $F$9) + CHOOSE(CONTROL!$C$27, 0.0021, 0)</f>
        <v>200.91130000000001</v>
      </c>
      <c r="F1048" s="14">
        <f>200.9092 * CHOOSE(CONTROL!$C$9, $D$9, 100%, $F$9) + CHOOSE(CONTROL!$C$27, 0.0021, 0)</f>
        <v>200.91130000000001</v>
      </c>
      <c r="G1048" s="14">
        <f>201.1806 * CHOOSE(CONTROL!$C$9, $D$9, 100%, $F$9) + CHOOSE(CONTROL!$C$27, 0.0021, 0)</f>
        <v>201.18270000000001</v>
      </c>
      <c r="H1048" s="14">
        <f>201.0459 * CHOOSE(CONTROL!$C$9, $D$9, 100%, $F$9) + CHOOSE(CONTROL!$C$27, 0.0021, 0)</f>
        <v>201.048</v>
      </c>
      <c r="I1048" s="14">
        <f>201.0459 * CHOOSE(CONTROL!$C$9, $D$9, 100%, $F$9) + CHOOSE(CONTROL!$C$27, 0.0021, 0)</f>
        <v>201.048</v>
      </c>
      <c r="J1048" s="14">
        <f>201.0459 * CHOOSE(CONTROL!$C$9, $D$9, 100%, $F$9) + CHOOSE(CONTROL!$C$27, 0.0021, 0)</f>
        <v>201.048</v>
      </c>
      <c r="K1048" s="14">
        <f>201.0459 * CHOOSE(CONTROL!$C$9, $D$9, 100%, $F$9) + CHOOSE(CONTROL!$C$27, 0.0021, 0)</f>
        <v>201.048</v>
      </c>
      <c r="L1048" s="14"/>
    </row>
    <row r="1049" spans="1:12" ht="15.75" x14ac:dyDescent="0.25">
      <c r="A1049" s="32">
        <v>72866</v>
      </c>
      <c r="B1049" s="14">
        <f>204.3482 * CHOOSE(CONTROL!$C$9, $D$9, 100%, $F$9) + CHOOSE(CONTROL!$C$27, 0.0021, 0)</f>
        <v>204.3503</v>
      </c>
      <c r="C1049" s="14">
        <f>203.9159 * CHOOSE(CONTROL!$C$9, $D$9, 100%, $F$9) + CHOOSE(CONTROL!$C$27, 0.0021, 0)</f>
        <v>203.91800000000001</v>
      </c>
      <c r="D1049" s="14">
        <f>203.9159 * CHOOSE(CONTROL!$C$9, $D$9, 100%, $F$9) + CHOOSE(CONTROL!$C$27, 0.0021, 0)</f>
        <v>203.91800000000001</v>
      </c>
      <c r="E1049" s="14">
        <f>203.7792 * CHOOSE(CONTROL!$C$9, $D$9, 100%, $F$9) + CHOOSE(CONTROL!$C$27, 0.0021, 0)</f>
        <v>203.78130000000002</v>
      </c>
      <c r="F1049" s="14">
        <f>203.7792 * CHOOSE(CONTROL!$C$9, $D$9, 100%, $F$9) + CHOOSE(CONTROL!$C$27, 0.0021, 0)</f>
        <v>203.78130000000002</v>
      </c>
      <c r="G1049" s="14">
        <f>204.0506 * CHOOSE(CONTROL!$C$9, $D$9, 100%, $F$9) + CHOOSE(CONTROL!$C$27, 0.0021, 0)</f>
        <v>204.05270000000002</v>
      </c>
      <c r="H1049" s="14">
        <f>203.9159 * CHOOSE(CONTROL!$C$9, $D$9, 100%, $F$9) + CHOOSE(CONTROL!$C$27, 0.0021, 0)</f>
        <v>203.91800000000001</v>
      </c>
      <c r="I1049" s="14">
        <f>203.9159 * CHOOSE(CONTROL!$C$9, $D$9, 100%, $F$9) + CHOOSE(CONTROL!$C$27, 0.0021, 0)</f>
        <v>203.91800000000001</v>
      </c>
      <c r="J1049" s="14">
        <f>203.9159 * CHOOSE(CONTROL!$C$9, $D$9, 100%, $F$9) + CHOOSE(CONTROL!$C$27, 0.0021, 0)</f>
        <v>203.91800000000001</v>
      </c>
      <c r="K1049" s="14">
        <f>203.9159 * CHOOSE(CONTROL!$C$9, $D$9, 100%, $F$9) + CHOOSE(CONTROL!$C$27, 0.0021, 0)</f>
        <v>203.91800000000001</v>
      </c>
      <c r="L1049" s="14"/>
    </row>
    <row r="1050" spans="1:12" ht="15.75" x14ac:dyDescent="0.25">
      <c r="A1050" s="32">
        <v>72897</v>
      </c>
      <c r="B1050" s="14">
        <f>203.4032 * CHOOSE(CONTROL!$C$9, $D$9, 100%, $F$9) + CHOOSE(CONTROL!$C$27, 0.0021, 0)</f>
        <v>203.40530000000001</v>
      </c>
      <c r="C1050" s="14">
        <f>202.971 * CHOOSE(CONTROL!$C$9, $D$9, 100%, $F$9) + CHOOSE(CONTROL!$C$27, 0.0021, 0)</f>
        <v>202.97310000000002</v>
      </c>
      <c r="D1050" s="14">
        <f>202.971 * CHOOSE(CONTROL!$C$9, $D$9, 100%, $F$9) + CHOOSE(CONTROL!$C$27, 0.0021, 0)</f>
        <v>202.97310000000002</v>
      </c>
      <c r="E1050" s="14">
        <f>202.8343 * CHOOSE(CONTROL!$C$9, $D$9, 100%, $F$9) + CHOOSE(CONTROL!$C$27, 0.0021, 0)</f>
        <v>202.83640000000003</v>
      </c>
      <c r="F1050" s="14">
        <f>202.8343 * CHOOSE(CONTROL!$C$9, $D$9, 100%, $F$9) + CHOOSE(CONTROL!$C$27, 0.0021, 0)</f>
        <v>202.83640000000003</v>
      </c>
      <c r="G1050" s="14">
        <f>203.1057 * CHOOSE(CONTROL!$C$9, $D$9, 100%, $F$9) + CHOOSE(CONTROL!$C$27, 0.0021, 0)</f>
        <v>203.10780000000003</v>
      </c>
      <c r="H1050" s="14">
        <f>202.971 * CHOOSE(CONTROL!$C$9, $D$9, 100%, $F$9) + CHOOSE(CONTROL!$C$27, 0.0021, 0)</f>
        <v>202.97310000000002</v>
      </c>
      <c r="I1050" s="14">
        <f>202.971 * CHOOSE(CONTROL!$C$9, $D$9, 100%, $F$9) + CHOOSE(CONTROL!$C$27, 0.0021, 0)</f>
        <v>202.97310000000002</v>
      </c>
      <c r="J1050" s="14">
        <f>202.971 * CHOOSE(CONTROL!$C$9, $D$9, 100%, $F$9) + CHOOSE(CONTROL!$C$27, 0.0021, 0)</f>
        <v>202.97310000000002</v>
      </c>
      <c r="K1050" s="14">
        <f>202.971 * CHOOSE(CONTROL!$C$9, $D$9, 100%, $F$9) + CHOOSE(CONTROL!$C$27, 0.0021, 0)</f>
        <v>202.97310000000002</v>
      </c>
      <c r="L1050" s="14"/>
    </row>
    <row r="1051" spans="1:12" ht="15.75" x14ac:dyDescent="0.25">
      <c r="A1051" s="32">
        <v>72928</v>
      </c>
      <c r="B1051" s="14">
        <f>198.7214 * CHOOSE(CONTROL!$C$9, $D$9, 100%, $F$9) + CHOOSE(CONTROL!$C$27, 0.0021, 0)</f>
        <v>198.7235</v>
      </c>
      <c r="C1051" s="14">
        <f>198.2892 * CHOOSE(CONTROL!$C$9, $D$9, 100%, $F$9) + CHOOSE(CONTROL!$C$27, 0.0021, 0)</f>
        <v>198.29130000000001</v>
      </c>
      <c r="D1051" s="14">
        <f>198.2892 * CHOOSE(CONTROL!$C$9, $D$9, 100%, $F$9) + CHOOSE(CONTROL!$C$27, 0.0021, 0)</f>
        <v>198.29130000000001</v>
      </c>
      <c r="E1051" s="14">
        <f>198.1525 * CHOOSE(CONTROL!$C$9, $D$9, 100%, $F$9) + CHOOSE(CONTROL!$C$27, 0.0021, 0)</f>
        <v>198.15460000000002</v>
      </c>
      <c r="F1051" s="14">
        <f>198.1525 * CHOOSE(CONTROL!$C$9, $D$9, 100%, $F$9) + CHOOSE(CONTROL!$C$27, 0.0021, 0)</f>
        <v>198.15460000000002</v>
      </c>
      <c r="G1051" s="14">
        <f>198.4239 * CHOOSE(CONTROL!$C$9, $D$9, 100%, $F$9) + CHOOSE(CONTROL!$C$27, 0.0021, 0)</f>
        <v>198.42600000000002</v>
      </c>
      <c r="H1051" s="14">
        <f>198.2892 * CHOOSE(CONTROL!$C$9, $D$9, 100%, $F$9) + CHOOSE(CONTROL!$C$27, 0.0021, 0)</f>
        <v>198.29130000000001</v>
      </c>
      <c r="I1051" s="14">
        <f>198.2892 * CHOOSE(CONTROL!$C$9, $D$9, 100%, $F$9) + CHOOSE(CONTROL!$C$27, 0.0021, 0)</f>
        <v>198.29130000000001</v>
      </c>
      <c r="J1051" s="14">
        <f>198.2892 * CHOOSE(CONTROL!$C$9, $D$9, 100%, $F$9) + CHOOSE(CONTROL!$C$27, 0.0021, 0)</f>
        <v>198.29130000000001</v>
      </c>
      <c r="K1051" s="14">
        <f>198.2892 * CHOOSE(CONTROL!$C$9, $D$9, 100%, $F$9) + CHOOSE(CONTROL!$C$27, 0.0021, 0)</f>
        <v>198.29130000000001</v>
      </c>
      <c r="L1051" s="14"/>
    </row>
    <row r="1052" spans="1:12" ht="15.75" x14ac:dyDescent="0.25">
      <c r="A1052" s="32">
        <v>72958</v>
      </c>
      <c r="B1052" s="14">
        <f>192.1925 * CHOOSE(CONTROL!$C$9, $D$9, 100%, $F$9) + CHOOSE(CONTROL!$C$27, 0.0021, 0)</f>
        <v>192.19460000000001</v>
      </c>
      <c r="C1052" s="14">
        <f>191.7602 * CHOOSE(CONTROL!$C$9, $D$9, 100%, $F$9) + CHOOSE(CONTROL!$C$27, 0.0021, 0)</f>
        <v>191.76230000000001</v>
      </c>
      <c r="D1052" s="14">
        <f>191.7602 * CHOOSE(CONTROL!$C$9, $D$9, 100%, $F$9) + CHOOSE(CONTROL!$C$27, 0.0021, 0)</f>
        <v>191.76230000000001</v>
      </c>
      <c r="E1052" s="14">
        <f>191.6236 * CHOOSE(CONTROL!$C$9, $D$9, 100%, $F$9) + CHOOSE(CONTROL!$C$27, 0.0021, 0)</f>
        <v>191.62570000000002</v>
      </c>
      <c r="F1052" s="14">
        <f>191.6236 * CHOOSE(CONTROL!$C$9, $D$9, 100%, $F$9) + CHOOSE(CONTROL!$C$27, 0.0021, 0)</f>
        <v>191.62570000000002</v>
      </c>
      <c r="G1052" s="14">
        <f>191.8949 * CHOOSE(CONTROL!$C$9, $D$9, 100%, $F$9) + CHOOSE(CONTROL!$C$27, 0.0021, 0)</f>
        <v>191.89700000000002</v>
      </c>
      <c r="H1052" s="14">
        <f>191.7602 * CHOOSE(CONTROL!$C$9, $D$9, 100%, $F$9) + CHOOSE(CONTROL!$C$27, 0.0021, 0)</f>
        <v>191.76230000000001</v>
      </c>
      <c r="I1052" s="14">
        <f>191.7602 * CHOOSE(CONTROL!$C$9, $D$9, 100%, $F$9) + CHOOSE(CONTROL!$C$27, 0.0021, 0)</f>
        <v>191.76230000000001</v>
      </c>
      <c r="J1052" s="14">
        <f>191.7602 * CHOOSE(CONTROL!$C$9, $D$9, 100%, $F$9) + CHOOSE(CONTROL!$C$27, 0.0021, 0)</f>
        <v>191.76230000000001</v>
      </c>
      <c r="K1052" s="14">
        <f>191.7602 * CHOOSE(CONTROL!$C$9, $D$9, 100%, $F$9) + CHOOSE(CONTROL!$C$27, 0.0021, 0)</f>
        <v>191.76230000000001</v>
      </c>
      <c r="L1052" s="14"/>
    </row>
    <row r="1053" spans="1:12" ht="15.75" x14ac:dyDescent="0.25">
      <c r="A1053" s="32">
        <v>72989</v>
      </c>
      <c r="B1053" s="14">
        <f>185.6255 * CHOOSE(CONTROL!$C$9, $D$9, 100%, $F$9) + CHOOSE(CONTROL!$C$27, 0.0021, 0)</f>
        <v>185.6276</v>
      </c>
      <c r="C1053" s="14">
        <f>185.1933 * CHOOSE(CONTROL!$C$9, $D$9, 100%, $F$9) + CHOOSE(CONTROL!$C$27, 0.0021, 0)</f>
        <v>185.19540000000001</v>
      </c>
      <c r="D1053" s="14">
        <f>185.1933 * CHOOSE(CONTROL!$C$9, $D$9, 100%, $F$9) + CHOOSE(CONTROL!$C$27, 0.0021, 0)</f>
        <v>185.19540000000001</v>
      </c>
      <c r="E1053" s="14">
        <f>185.0566 * CHOOSE(CONTROL!$C$9, $D$9, 100%, $F$9) + CHOOSE(CONTROL!$C$27, 0.0021, 0)</f>
        <v>185.05870000000002</v>
      </c>
      <c r="F1053" s="14">
        <f>185.0566 * CHOOSE(CONTROL!$C$9, $D$9, 100%, $F$9) + CHOOSE(CONTROL!$C$27, 0.0021, 0)</f>
        <v>185.05870000000002</v>
      </c>
      <c r="G1053" s="14">
        <f>185.328 * CHOOSE(CONTROL!$C$9, $D$9, 100%, $F$9) + CHOOSE(CONTROL!$C$27, 0.0021, 0)</f>
        <v>185.33010000000002</v>
      </c>
      <c r="H1053" s="14">
        <f>185.1933 * CHOOSE(CONTROL!$C$9, $D$9, 100%, $F$9) + CHOOSE(CONTROL!$C$27, 0.0021, 0)</f>
        <v>185.19540000000001</v>
      </c>
      <c r="I1053" s="14">
        <f>185.1933 * CHOOSE(CONTROL!$C$9, $D$9, 100%, $F$9) + CHOOSE(CONTROL!$C$27, 0.0021, 0)</f>
        <v>185.19540000000001</v>
      </c>
      <c r="J1053" s="14">
        <f>185.1933 * CHOOSE(CONTROL!$C$9, $D$9, 100%, $F$9) + CHOOSE(CONTROL!$C$27, 0.0021, 0)</f>
        <v>185.19540000000001</v>
      </c>
      <c r="K1053" s="14">
        <f>185.1933 * CHOOSE(CONTROL!$C$9, $D$9, 100%, $F$9) + CHOOSE(CONTROL!$C$27, 0.0021, 0)</f>
        <v>185.19540000000001</v>
      </c>
      <c r="L1053" s="14"/>
    </row>
    <row r="1054" spans="1:12" ht="15.75" x14ac:dyDescent="0.25">
      <c r="A1054" s="32">
        <v>73019</v>
      </c>
      <c r="B1054" s="14">
        <f>184.3192 * CHOOSE(CONTROL!$C$9, $D$9, 100%, $F$9) + CHOOSE(CONTROL!$C$27, 0.0021, 0)</f>
        <v>184.32130000000001</v>
      </c>
      <c r="C1054" s="14">
        <f>183.887 * CHOOSE(CONTROL!$C$9, $D$9, 100%, $F$9) + CHOOSE(CONTROL!$C$27, 0.0021, 0)</f>
        <v>183.88910000000001</v>
      </c>
      <c r="D1054" s="14">
        <f>183.887 * CHOOSE(CONTROL!$C$9, $D$9, 100%, $F$9) + CHOOSE(CONTROL!$C$27, 0.0021, 0)</f>
        <v>183.88910000000001</v>
      </c>
      <c r="E1054" s="14">
        <f>183.7503 * CHOOSE(CONTROL!$C$9, $D$9, 100%, $F$9) + CHOOSE(CONTROL!$C$27, 0.0021, 0)</f>
        <v>183.75240000000002</v>
      </c>
      <c r="F1054" s="14">
        <f>183.7503 * CHOOSE(CONTROL!$C$9, $D$9, 100%, $F$9) + CHOOSE(CONTROL!$C$27, 0.0021, 0)</f>
        <v>183.75240000000002</v>
      </c>
      <c r="G1054" s="14">
        <f>184.0217 * CHOOSE(CONTROL!$C$9, $D$9, 100%, $F$9) + CHOOSE(CONTROL!$C$27, 0.0021, 0)</f>
        <v>184.02380000000002</v>
      </c>
      <c r="H1054" s="14">
        <f>183.887 * CHOOSE(CONTROL!$C$9, $D$9, 100%, $F$9) + CHOOSE(CONTROL!$C$27, 0.0021, 0)</f>
        <v>183.88910000000001</v>
      </c>
      <c r="I1054" s="14">
        <f>183.887 * CHOOSE(CONTROL!$C$9, $D$9, 100%, $F$9) + CHOOSE(CONTROL!$C$27, 0.0021, 0)</f>
        <v>183.88910000000001</v>
      </c>
      <c r="J1054" s="14">
        <f>183.887 * CHOOSE(CONTROL!$C$9, $D$9, 100%, $F$9) + CHOOSE(CONTROL!$C$27, 0.0021, 0)</f>
        <v>183.88910000000001</v>
      </c>
      <c r="K1054" s="14">
        <f>183.887 * CHOOSE(CONTROL!$C$9, $D$9, 100%, $F$9) + CHOOSE(CONTROL!$C$27, 0.0021, 0)</f>
        <v>183.88910000000001</v>
      </c>
      <c r="L1054" s="14"/>
    </row>
    <row r="1055" spans="1:12" ht="15.75" x14ac:dyDescent="0.25">
      <c r="A1055" s="32">
        <v>73050</v>
      </c>
      <c r="B1055" s="14">
        <f>178.9176 * CHOOSE(CONTROL!$C$9, $D$9, 100%, $F$9) + CHOOSE(CONTROL!$C$27, 0.0021, 0)</f>
        <v>178.91970000000001</v>
      </c>
      <c r="C1055" s="14">
        <f>178.4853 * CHOOSE(CONTROL!$C$9, $D$9, 100%, $F$9) + CHOOSE(CONTROL!$C$27, 0.0021, 0)</f>
        <v>178.48740000000001</v>
      </c>
      <c r="D1055" s="14">
        <f>178.4853 * CHOOSE(CONTROL!$C$9, $D$9, 100%, $F$9) + CHOOSE(CONTROL!$C$27, 0.0021, 0)</f>
        <v>178.48740000000001</v>
      </c>
      <c r="E1055" s="14">
        <f>178.3487 * CHOOSE(CONTROL!$C$9, $D$9, 100%, $F$9) + CHOOSE(CONTROL!$C$27, 0.0021, 0)</f>
        <v>178.35080000000002</v>
      </c>
      <c r="F1055" s="14">
        <f>178.3487 * CHOOSE(CONTROL!$C$9, $D$9, 100%, $F$9) + CHOOSE(CONTROL!$C$27, 0.0021, 0)</f>
        <v>178.35080000000002</v>
      </c>
      <c r="G1055" s="14">
        <f>178.62 * CHOOSE(CONTROL!$C$9, $D$9, 100%, $F$9) + CHOOSE(CONTROL!$C$27, 0.0021, 0)</f>
        <v>178.62210000000002</v>
      </c>
      <c r="H1055" s="14">
        <f>178.4853 * CHOOSE(CONTROL!$C$9, $D$9, 100%, $F$9) + CHOOSE(CONTROL!$C$27, 0.0021, 0)</f>
        <v>178.48740000000001</v>
      </c>
      <c r="I1055" s="14">
        <f>178.4853 * CHOOSE(CONTROL!$C$9, $D$9, 100%, $F$9) + CHOOSE(CONTROL!$C$27, 0.0021, 0)</f>
        <v>178.48740000000001</v>
      </c>
      <c r="J1055" s="14">
        <f>178.4853 * CHOOSE(CONTROL!$C$9, $D$9, 100%, $F$9) + CHOOSE(CONTROL!$C$27, 0.0021, 0)</f>
        <v>178.48740000000001</v>
      </c>
      <c r="K1055" s="14">
        <f>178.4853 * CHOOSE(CONTROL!$C$9, $D$9, 100%, $F$9) + CHOOSE(CONTROL!$C$27, 0.0021, 0)</f>
        <v>178.48740000000001</v>
      </c>
      <c r="L1055" s="14"/>
    </row>
    <row r="1056" spans="1:12" ht="15.75" x14ac:dyDescent="0.25">
      <c r="A1056" s="32">
        <v>73081</v>
      </c>
      <c r="B1056" s="14">
        <f>177.8659 * CHOOSE(CONTROL!$C$9, $D$9, 100%, $F$9) + CHOOSE(CONTROL!$C$27, 0.0021, 0)</f>
        <v>177.86800000000002</v>
      </c>
      <c r="C1056" s="14">
        <f>177.4337 * CHOOSE(CONTROL!$C$9, $D$9, 100%, $F$9) + CHOOSE(CONTROL!$C$27, 0.0021, 0)</f>
        <v>177.4358</v>
      </c>
      <c r="D1056" s="14">
        <f>177.4337 * CHOOSE(CONTROL!$C$9, $D$9, 100%, $F$9) + CHOOSE(CONTROL!$C$27, 0.0021, 0)</f>
        <v>177.4358</v>
      </c>
      <c r="E1056" s="14">
        <f>177.297 * CHOOSE(CONTROL!$C$9, $D$9, 100%, $F$9) + CHOOSE(CONTROL!$C$27, 0.0021, 0)</f>
        <v>177.29910000000001</v>
      </c>
      <c r="F1056" s="14">
        <f>177.297 * CHOOSE(CONTROL!$C$9, $D$9, 100%, $F$9) + CHOOSE(CONTROL!$C$27, 0.0021, 0)</f>
        <v>177.29910000000001</v>
      </c>
      <c r="G1056" s="14">
        <f>177.5684 * CHOOSE(CONTROL!$C$9, $D$9, 100%, $F$9) + CHOOSE(CONTROL!$C$27, 0.0021, 0)</f>
        <v>177.57050000000001</v>
      </c>
      <c r="H1056" s="14">
        <f>177.4337 * CHOOSE(CONTROL!$C$9, $D$9, 100%, $F$9) + CHOOSE(CONTROL!$C$27, 0.0021, 0)</f>
        <v>177.4358</v>
      </c>
      <c r="I1056" s="14">
        <f>177.4337 * CHOOSE(CONTROL!$C$9, $D$9, 100%, $F$9) + CHOOSE(CONTROL!$C$27, 0.0021, 0)</f>
        <v>177.4358</v>
      </c>
      <c r="J1056" s="14">
        <f>177.4337 * CHOOSE(CONTROL!$C$9, $D$9, 100%, $F$9) + CHOOSE(CONTROL!$C$27, 0.0021, 0)</f>
        <v>177.4358</v>
      </c>
      <c r="K1056" s="14">
        <f>177.4337 * CHOOSE(CONTROL!$C$9, $D$9, 100%, $F$9) + CHOOSE(CONTROL!$C$27, 0.0021, 0)</f>
        <v>177.4358</v>
      </c>
      <c r="L1056" s="14"/>
    </row>
    <row r="1057" spans="1:12" ht="15.75" x14ac:dyDescent="0.25">
      <c r="A1057" s="32">
        <v>73109</v>
      </c>
      <c r="B1057" s="14">
        <f>177.3779 * CHOOSE(CONTROL!$C$9, $D$9, 100%, $F$9) + CHOOSE(CONTROL!$C$27, 0.0021, 0)</f>
        <v>177.38000000000002</v>
      </c>
      <c r="C1057" s="14">
        <f>176.9456 * CHOOSE(CONTROL!$C$9, $D$9, 100%, $F$9) + CHOOSE(CONTROL!$C$27, 0.0021, 0)</f>
        <v>176.94770000000003</v>
      </c>
      <c r="D1057" s="14">
        <f>176.9456 * CHOOSE(CONTROL!$C$9, $D$9, 100%, $F$9) + CHOOSE(CONTROL!$C$27, 0.0021, 0)</f>
        <v>176.94770000000003</v>
      </c>
      <c r="E1057" s="14">
        <f>176.809 * CHOOSE(CONTROL!$C$9, $D$9, 100%, $F$9) + CHOOSE(CONTROL!$C$27, 0.0021, 0)</f>
        <v>176.81110000000001</v>
      </c>
      <c r="F1057" s="14">
        <f>176.809 * CHOOSE(CONTROL!$C$9, $D$9, 100%, $F$9) + CHOOSE(CONTROL!$C$27, 0.0021, 0)</f>
        <v>176.81110000000001</v>
      </c>
      <c r="G1057" s="14">
        <f>177.0803 * CHOOSE(CONTROL!$C$9, $D$9, 100%, $F$9) + CHOOSE(CONTROL!$C$27, 0.0021, 0)</f>
        <v>177.08240000000001</v>
      </c>
      <c r="H1057" s="14">
        <f>176.9456 * CHOOSE(CONTROL!$C$9, $D$9, 100%, $F$9) + CHOOSE(CONTROL!$C$27, 0.0021, 0)</f>
        <v>176.94770000000003</v>
      </c>
      <c r="I1057" s="14">
        <f>176.9456 * CHOOSE(CONTROL!$C$9, $D$9, 100%, $F$9) + CHOOSE(CONTROL!$C$27, 0.0021, 0)</f>
        <v>176.94770000000003</v>
      </c>
      <c r="J1057" s="14">
        <f>176.9456 * CHOOSE(CONTROL!$C$9, $D$9, 100%, $F$9) + CHOOSE(CONTROL!$C$27, 0.0021, 0)</f>
        <v>176.94770000000003</v>
      </c>
      <c r="K1057" s="14">
        <f>176.9456 * CHOOSE(CONTROL!$C$9, $D$9, 100%, $F$9) + CHOOSE(CONTROL!$C$27, 0.0021, 0)</f>
        <v>176.94770000000003</v>
      </c>
      <c r="L1057" s="14"/>
    </row>
    <row r="1058" spans="1:12" ht="15.75" x14ac:dyDescent="0.25">
      <c r="A1058" s="32">
        <v>73140</v>
      </c>
      <c r="B1058" s="14">
        <f>186.6059 * CHOOSE(CONTROL!$C$9, $D$9, 100%, $F$9) + CHOOSE(CONTROL!$C$27, 0.0021, 0)</f>
        <v>186.608</v>
      </c>
      <c r="C1058" s="14">
        <f>186.1736 * CHOOSE(CONTROL!$C$9, $D$9, 100%, $F$9) + CHOOSE(CONTROL!$C$27, 0.0021, 0)</f>
        <v>186.17570000000001</v>
      </c>
      <c r="D1058" s="14">
        <f>186.1736 * CHOOSE(CONTROL!$C$9, $D$9, 100%, $F$9) + CHOOSE(CONTROL!$C$27, 0.0021, 0)</f>
        <v>186.17570000000001</v>
      </c>
      <c r="E1058" s="14">
        <f>186.037 * CHOOSE(CONTROL!$C$9, $D$9, 100%, $F$9) + CHOOSE(CONTROL!$C$27, 0.0021, 0)</f>
        <v>186.03910000000002</v>
      </c>
      <c r="F1058" s="14">
        <f>186.037 * CHOOSE(CONTROL!$C$9, $D$9, 100%, $F$9) + CHOOSE(CONTROL!$C$27, 0.0021, 0)</f>
        <v>186.03910000000002</v>
      </c>
      <c r="G1058" s="14">
        <f>186.3084 * CHOOSE(CONTROL!$C$9, $D$9, 100%, $F$9) + CHOOSE(CONTROL!$C$27, 0.0021, 0)</f>
        <v>186.31050000000002</v>
      </c>
      <c r="H1058" s="14">
        <f>186.1736 * CHOOSE(CONTROL!$C$9, $D$9, 100%, $F$9) + CHOOSE(CONTROL!$C$27, 0.0021, 0)</f>
        <v>186.17570000000001</v>
      </c>
      <c r="I1058" s="14">
        <f>186.1736 * CHOOSE(CONTROL!$C$9, $D$9, 100%, $F$9) + CHOOSE(CONTROL!$C$27, 0.0021, 0)</f>
        <v>186.17570000000001</v>
      </c>
      <c r="J1058" s="14">
        <f>186.1736 * CHOOSE(CONTROL!$C$9, $D$9, 100%, $F$9) + CHOOSE(CONTROL!$C$27, 0.0021, 0)</f>
        <v>186.17570000000001</v>
      </c>
      <c r="K1058" s="14">
        <f>186.1736 * CHOOSE(CONTROL!$C$9, $D$9, 100%, $F$9) + CHOOSE(CONTROL!$C$27, 0.0021, 0)</f>
        <v>186.17570000000001</v>
      </c>
      <c r="L1058" s="14"/>
    </row>
    <row r="1059" spans="1:12" ht="15.75" x14ac:dyDescent="0.25">
      <c r="A1059" s="32">
        <v>73170</v>
      </c>
      <c r="B1059" s="14">
        <f>198.5724 * CHOOSE(CONTROL!$C$9, $D$9, 100%, $F$9) + CHOOSE(CONTROL!$C$27, 0.0021, 0)</f>
        <v>198.5745</v>
      </c>
      <c r="C1059" s="14">
        <f>198.1402 * CHOOSE(CONTROL!$C$9, $D$9, 100%, $F$9) + CHOOSE(CONTROL!$C$27, 0.0021, 0)</f>
        <v>198.14230000000001</v>
      </c>
      <c r="D1059" s="14">
        <f>198.1402 * CHOOSE(CONTROL!$C$9, $D$9, 100%, $F$9) + CHOOSE(CONTROL!$C$27, 0.0021, 0)</f>
        <v>198.14230000000001</v>
      </c>
      <c r="E1059" s="14">
        <f>198.0035 * CHOOSE(CONTROL!$C$9, $D$9, 100%, $F$9) + CHOOSE(CONTROL!$C$27, 0.0021, 0)</f>
        <v>198.00560000000002</v>
      </c>
      <c r="F1059" s="14">
        <f>198.0035 * CHOOSE(CONTROL!$C$9, $D$9, 100%, $F$9) + CHOOSE(CONTROL!$C$27, 0.0021, 0)</f>
        <v>198.00560000000002</v>
      </c>
      <c r="G1059" s="14">
        <f>198.2749 * CHOOSE(CONTROL!$C$9, $D$9, 100%, $F$9) + CHOOSE(CONTROL!$C$27, 0.0021, 0)</f>
        <v>198.27700000000002</v>
      </c>
      <c r="H1059" s="14">
        <f>198.1402 * CHOOSE(CONTROL!$C$9, $D$9, 100%, $F$9) + CHOOSE(CONTROL!$C$27, 0.0021, 0)</f>
        <v>198.14230000000001</v>
      </c>
      <c r="I1059" s="14">
        <f>198.1402 * CHOOSE(CONTROL!$C$9, $D$9, 100%, $F$9) + CHOOSE(CONTROL!$C$27, 0.0021, 0)</f>
        <v>198.14230000000001</v>
      </c>
      <c r="J1059" s="14">
        <f>198.1402 * CHOOSE(CONTROL!$C$9, $D$9, 100%, $F$9) + CHOOSE(CONTROL!$C$27, 0.0021, 0)</f>
        <v>198.14230000000001</v>
      </c>
      <c r="K1059" s="14">
        <f>198.1402 * CHOOSE(CONTROL!$C$9, $D$9, 100%, $F$9) + CHOOSE(CONTROL!$C$27, 0.0021, 0)</f>
        <v>198.14230000000001</v>
      </c>
      <c r="L1059" s="14"/>
    </row>
    <row r="1060" spans="1:12" ht="15.75" x14ac:dyDescent="0.25">
      <c r="A1060" s="32">
        <v>73201</v>
      </c>
      <c r="B1060" s="14">
        <f>205.1592 * CHOOSE(CONTROL!$C$9, $D$9, 100%, $F$9) + CHOOSE(CONTROL!$C$27, 0.0021, 0)</f>
        <v>205.16130000000001</v>
      </c>
      <c r="C1060" s="14">
        <f>204.727 * CHOOSE(CONTROL!$C$9, $D$9, 100%, $F$9) + CHOOSE(CONTROL!$C$27, 0.0021, 0)</f>
        <v>204.72910000000002</v>
      </c>
      <c r="D1060" s="14">
        <f>204.727 * CHOOSE(CONTROL!$C$9, $D$9, 100%, $F$9) + CHOOSE(CONTROL!$C$27, 0.0021, 0)</f>
        <v>204.72910000000002</v>
      </c>
      <c r="E1060" s="14">
        <f>204.5903 * CHOOSE(CONTROL!$C$9, $D$9, 100%, $F$9) + CHOOSE(CONTROL!$C$27, 0.0021, 0)</f>
        <v>204.59240000000003</v>
      </c>
      <c r="F1060" s="14">
        <f>204.5903 * CHOOSE(CONTROL!$C$9, $D$9, 100%, $F$9) + CHOOSE(CONTROL!$C$27, 0.0021, 0)</f>
        <v>204.59240000000003</v>
      </c>
      <c r="G1060" s="14">
        <f>204.8617 * CHOOSE(CONTROL!$C$9, $D$9, 100%, $F$9) + CHOOSE(CONTROL!$C$27, 0.0021, 0)</f>
        <v>204.86380000000003</v>
      </c>
      <c r="H1060" s="14">
        <f>204.727 * CHOOSE(CONTROL!$C$9, $D$9, 100%, $F$9) + CHOOSE(CONTROL!$C$27, 0.0021, 0)</f>
        <v>204.72910000000002</v>
      </c>
      <c r="I1060" s="14">
        <f>204.727 * CHOOSE(CONTROL!$C$9, $D$9, 100%, $F$9) + CHOOSE(CONTROL!$C$27, 0.0021, 0)</f>
        <v>204.72910000000002</v>
      </c>
      <c r="J1060" s="14">
        <f>204.727 * CHOOSE(CONTROL!$C$9, $D$9, 100%, $F$9) + CHOOSE(CONTROL!$C$27, 0.0021, 0)</f>
        <v>204.72910000000002</v>
      </c>
      <c r="K1060" s="14">
        <f>204.727 * CHOOSE(CONTROL!$C$9, $D$9, 100%, $F$9) + CHOOSE(CONTROL!$C$27, 0.0021, 0)</f>
        <v>204.72910000000002</v>
      </c>
      <c r="L1060" s="14"/>
    </row>
    <row r="1061" spans="1:12" ht="15.75" x14ac:dyDescent="0.25">
      <c r="A1061" s="32">
        <v>73231</v>
      </c>
      <c r="B1061" s="14">
        <f>208.0823 * CHOOSE(CONTROL!$C$9, $D$9, 100%, $F$9) + CHOOSE(CONTROL!$C$27, 0.0021, 0)</f>
        <v>208.08440000000002</v>
      </c>
      <c r="C1061" s="14">
        <f>207.65 * CHOOSE(CONTROL!$C$9, $D$9, 100%, $F$9) + CHOOSE(CONTROL!$C$27, 0.0021, 0)</f>
        <v>207.65210000000002</v>
      </c>
      <c r="D1061" s="14">
        <f>207.65 * CHOOSE(CONTROL!$C$9, $D$9, 100%, $F$9) + CHOOSE(CONTROL!$C$27, 0.0021, 0)</f>
        <v>207.65210000000002</v>
      </c>
      <c r="E1061" s="14">
        <f>207.5134 * CHOOSE(CONTROL!$C$9, $D$9, 100%, $F$9) + CHOOSE(CONTROL!$C$27, 0.0021, 0)</f>
        <v>207.5155</v>
      </c>
      <c r="F1061" s="14">
        <f>207.5134 * CHOOSE(CONTROL!$C$9, $D$9, 100%, $F$9) + CHOOSE(CONTROL!$C$27, 0.0021, 0)</f>
        <v>207.5155</v>
      </c>
      <c r="G1061" s="14">
        <f>207.7848 * CHOOSE(CONTROL!$C$9, $D$9, 100%, $F$9) + CHOOSE(CONTROL!$C$27, 0.0021, 0)</f>
        <v>207.7869</v>
      </c>
      <c r="H1061" s="14">
        <f>207.65 * CHOOSE(CONTROL!$C$9, $D$9, 100%, $F$9) + CHOOSE(CONTROL!$C$27, 0.0021, 0)</f>
        <v>207.65210000000002</v>
      </c>
      <c r="I1061" s="14">
        <f>207.65 * CHOOSE(CONTROL!$C$9, $D$9, 100%, $F$9) + CHOOSE(CONTROL!$C$27, 0.0021, 0)</f>
        <v>207.65210000000002</v>
      </c>
      <c r="J1061" s="14">
        <f>207.65 * CHOOSE(CONTROL!$C$9, $D$9, 100%, $F$9) + CHOOSE(CONTROL!$C$27, 0.0021, 0)</f>
        <v>207.65210000000002</v>
      </c>
      <c r="K1061" s="14">
        <f>207.65 * CHOOSE(CONTROL!$C$9, $D$9, 100%, $F$9) + CHOOSE(CONTROL!$C$27, 0.0021, 0)</f>
        <v>207.65210000000002</v>
      </c>
      <c r="L1061" s="14"/>
    </row>
    <row r="1062" spans="1:12" ht="15.75" x14ac:dyDescent="0.25">
      <c r="A1062" s="32">
        <v>73262</v>
      </c>
      <c r="B1062" s="14">
        <f>207.1199 * CHOOSE(CONTROL!$C$9, $D$9, 100%, $F$9) + CHOOSE(CONTROL!$C$27, 0.0021, 0)</f>
        <v>207.12200000000001</v>
      </c>
      <c r="C1062" s="14">
        <f>206.6876 * CHOOSE(CONTROL!$C$9, $D$9, 100%, $F$9) + CHOOSE(CONTROL!$C$27, 0.0021, 0)</f>
        <v>206.68970000000002</v>
      </c>
      <c r="D1062" s="14">
        <f>206.6876 * CHOOSE(CONTROL!$C$9, $D$9, 100%, $F$9) + CHOOSE(CONTROL!$C$27, 0.0021, 0)</f>
        <v>206.68970000000002</v>
      </c>
      <c r="E1062" s="14">
        <f>206.551 * CHOOSE(CONTROL!$C$9, $D$9, 100%, $F$9) + CHOOSE(CONTROL!$C$27, 0.0021, 0)</f>
        <v>206.5531</v>
      </c>
      <c r="F1062" s="14">
        <f>206.551 * CHOOSE(CONTROL!$C$9, $D$9, 100%, $F$9) + CHOOSE(CONTROL!$C$27, 0.0021, 0)</f>
        <v>206.5531</v>
      </c>
      <c r="G1062" s="14">
        <f>206.8223 * CHOOSE(CONTROL!$C$9, $D$9, 100%, $F$9) + CHOOSE(CONTROL!$C$27, 0.0021, 0)</f>
        <v>206.82440000000003</v>
      </c>
      <c r="H1062" s="14">
        <f>206.6876 * CHOOSE(CONTROL!$C$9, $D$9, 100%, $F$9) + CHOOSE(CONTROL!$C$27, 0.0021, 0)</f>
        <v>206.68970000000002</v>
      </c>
      <c r="I1062" s="14">
        <f>206.6876 * CHOOSE(CONTROL!$C$9, $D$9, 100%, $F$9) + CHOOSE(CONTROL!$C$27, 0.0021, 0)</f>
        <v>206.68970000000002</v>
      </c>
      <c r="J1062" s="14">
        <f>206.6876 * CHOOSE(CONTROL!$C$9, $D$9, 100%, $F$9) + CHOOSE(CONTROL!$C$27, 0.0021, 0)</f>
        <v>206.68970000000002</v>
      </c>
      <c r="K1062" s="14">
        <f>206.6876 * CHOOSE(CONTROL!$C$9, $D$9, 100%, $F$9) + CHOOSE(CONTROL!$C$27, 0.0021, 0)</f>
        <v>206.68970000000002</v>
      </c>
      <c r="L1062" s="14"/>
    </row>
    <row r="1063" spans="1:12" ht="15.75" x14ac:dyDescent="0.25">
      <c r="A1063" s="32">
        <v>73293</v>
      </c>
      <c r="B1063" s="14">
        <f>202.3516 * CHOOSE(CONTROL!$C$9, $D$9, 100%, $F$9) + CHOOSE(CONTROL!$C$27, 0.0021, 0)</f>
        <v>202.3537</v>
      </c>
      <c r="C1063" s="14">
        <f>201.9193 * CHOOSE(CONTROL!$C$9, $D$9, 100%, $F$9) + CHOOSE(CONTROL!$C$27, 0.0021, 0)</f>
        <v>201.92140000000001</v>
      </c>
      <c r="D1063" s="14">
        <f>201.9193 * CHOOSE(CONTROL!$C$9, $D$9, 100%, $F$9) + CHOOSE(CONTROL!$C$27, 0.0021, 0)</f>
        <v>201.92140000000001</v>
      </c>
      <c r="E1063" s="14">
        <f>201.7827 * CHOOSE(CONTROL!$C$9, $D$9, 100%, $F$9) + CHOOSE(CONTROL!$C$27, 0.0021, 0)</f>
        <v>201.78480000000002</v>
      </c>
      <c r="F1063" s="14">
        <f>201.7827 * CHOOSE(CONTROL!$C$9, $D$9, 100%, $F$9) + CHOOSE(CONTROL!$C$27, 0.0021, 0)</f>
        <v>201.78480000000002</v>
      </c>
      <c r="G1063" s="14">
        <f>202.054 * CHOOSE(CONTROL!$C$9, $D$9, 100%, $F$9) + CHOOSE(CONTROL!$C$27, 0.0021, 0)</f>
        <v>202.05610000000001</v>
      </c>
      <c r="H1063" s="14">
        <f>201.9193 * CHOOSE(CONTROL!$C$9, $D$9, 100%, $F$9) + CHOOSE(CONTROL!$C$27, 0.0021, 0)</f>
        <v>201.92140000000001</v>
      </c>
      <c r="I1063" s="14">
        <f>201.9193 * CHOOSE(CONTROL!$C$9, $D$9, 100%, $F$9) + CHOOSE(CONTROL!$C$27, 0.0021, 0)</f>
        <v>201.92140000000001</v>
      </c>
      <c r="J1063" s="14">
        <f>201.9193 * CHOOSE(CONTROL!$C$9, $D$9, 100%, $F$9) + CHOOSE(CONTROL!$C$27, 0.0021, 0)</f>
        <v>201.92140000000001</v>
      </c>
      <c r="K1063" s="14">
        <f>201.9193 * CHOOSE(CONTROL!$C$9, $D$9, 100%, $F$9) + CHOOSE(CONTROL!$C$27, 0.0021, 0)</f>
        <v>201.92140000000001</v>
      </c>
      <c r="L1063" s="14"/>
    </row>
    <row r="1064" spans="1:12" ht="15.75" x14ac:dyDescent="0.25">
      <c r="A1064" s="32">
        <v>73323</v>
      </c>
      <c r="B1064" s="14">
        <f>195.702 * CHOOSE(CONTROL!$C$9, $D$9, 100%, $F$9) + CHOOSE(CONTROL!$C$27, 0.0021, 0)</f>
        <v>195.70410000000001</v>
      </c>
      <c r="C1064" s="14">
        <f>195.2697 * CHOOSE(CONTROL!$C$9, $D$9, 100%, $F$9) + CHOOSE(CONTROL!$C$27, 0.0021, 0)</f>
        <v>195.27180000000001</v>
      </c>
      <c r="D1064" s="14">
        <f>195.2697 * CHOOSE(CONTROL!$C$9, $D$9, 100%, $F$9) + CHOOSE(CONTROL!$C$27, 0.0021, 0)</f>
        <v>195.27180000000001</v>
      </c>
      <c r="E1064" s="14">
        <f>195.133 * CHOOSE(CONTROL!$C$9, $D$9, 100%, $F$9) + CHOOSE(CONTROL!$C$27, 0.0021, 0)</f>
        <v>195.13510000000002</v>
      </c>
      <c r="F1064" s="14">
        <f>195.133 * CHOOSE(CONTROL!$C$9, $D$9, 100%, $F$9) + CHOOSE(CONTROL!$C$27, 0.0021, 0)</f>
        <v>195.13510000000002</v>
      </c>
      <c r="G1064" s="14">
        <f>195.4044 * CHOOSE(CONTROL!$C$9, $D$9, 100%, $F$9) + CHOOSE(CONTROL!$C$27, 0.0021, 0)</f>
        <v>195.40650000000002</v>
      </c>
      <c r="H1064" s="14">
        <f>195.2697 * CHOOSE(CONTROL!$C$9, $D$9, 100%, $F$9) + CHOOSE(CONTROL!$C$27, 0.0021, 0)</f>
        <v>195.27180000000001</v>
      </c>
      <c r="I1064" s="14">
        <f>195.2697 * CHOOSE(CONTROL!$C$9, $D$9, 100%, $F$9) + CHOOSE(CONTROL!$C$27, 0.0021, 0)</f>
        <v>195.27180000000001</v>
      </c>
      <c r="J1064" s="14">
        <f>195.2697 * CHOOSE(CONTROL!$C$9, $D$9, 100%, $F$9) + CHOOSE(CONTROL!$C$27, 0.0021, 0)</f>
        <v>195.27180000000001</v>
      </c>
      <c r="K1064" s="14">
        <f>195.2697 * CHOOSE(CONTROL!$C$9, $D$9, 100%, $F$9) + CHOOSE(CONTROL!$C$27, 0.0021, 0)</f>
        <v>195.27180000000001</v>
      </c>
      <c r="L1064" s="14"/>
    </row>
    <row r="1065" spans="1:12" ht="15.75" x14ac:dyDescent="0.25">
      <c r="A1065" s="32">
        <v>73354</v>
      </c>
      <c r="B1065" s="14">
        <f>189.0137 * CHOOSE(CONTROL!$C$9, $D$9, 100%, $F$9) + CHOOSE(CONTROL!$C$27, 0.0021, 0)</f>
        <v>189.01580000000001</v>
      </c>
      <c r="C1065" s="14">
        <f>188.5814 * CHOOSE(CONTROL!$C$9, $D$9, 100%, $F$9) + CHOOSE(CONTROL!$C$27, 0.0021, 0)</f>
        <v>188.58350000000002</v>
      </c>
      <c r="D1065" s="14">
        <f>188.5814 * CHOOSE(CONTROL!$C$9, $D$9, 100%, $F$9) + CHOOSE(CONTROL!$C$27, 0.0021, 0)</f>
        <v>188.58350000000002</v>
      </c>
      <c r="E1065" s="14">
        <f>188.4447 * CHOOSE(CONTROL!$C$9, $D$9, 100%, $F$9) + CHOOSE(CONTROL!$C$27, 0.0021, 0)</f>
        <v>188.44680000000002</v>
      </c>
      <c r="F1065" s="14">
        <f>188.4447 * CHOOSE(CONTROL!$C$9, $D$9, 100%, $F$9) + CHOOSE(CONTROL!$C$27, 0.0021, 0)</f>
        <v>188.44680000000002</v>
      </c>
      <c r="G1065" s="14">
        <f>188.7161 * CHOOSE(CONTROL!$C$9, $D$9, 100%, $F$9) + CHOOSE(CONTROL!$C$27, 0.0021, 0)</f>
        <v>188.71820000000002</v>
      </c>
      <c r="H1065" s="14">
        <f>188.5814 * CHOOSE(CONTROL!$C$9, $D$9, 100%, $F$9) + CHOOSE(CONTROL!$C$27, 0.0021, 0)</f>
        <v>188.58350000000002</v>
      </c>
      <c r="I1065" s="14">
        <f>188.5814 * CHOOSE(CONTROL!$C$9, $D$9, 100%, $F$9) + CHOOSE(CONTROL!$C$27, 0.0021, 0)</f>
        <v>188.58350000000002</v>
      </c>
      <c r="J1065" s="14">
        <f>188.5814 * CHOOSE(CONTROL!$C$9, $D$9, 100%, $F$9) + CHOOSE(CONTROL!$C$27, 0.0021, 0)</f>
        <v>188.58350000000002</v>
      </c>
      <c r="K1065" s="14">
        <f>188.5814 * CHOOSE(CONTROL!$C$9, $D$9, 100%, $F$9) + CHOOSE(CONTROL!$C$27, 0.0021, 0)</f>
        <v>188.58350000000002</v>
      </c>
      <c r="L1065" s="14"/>
    </row>
    <row r="1066" spans="1:12" ht="15.75" x14ac:dyDescent="0.25">
      <c r="A1066" s="32">
        <v>73384</v>
      </c>
      <c r="B1066" s="14">
        <f>187.6832 * CHOOSE(CONTROL!$C$9, $D$9, 100%, $F$9) + CHOOSE(CONTROL!$C$27, 0.0021, 0)</f>
        <v>187.68530000000001</v>
      </c>
      <c r="C1066" s="14">
        <f>187.251 * CHOOSE(CONTROL!$C$9, $D$9, 100%, $F$9) + CHOOSE(CONTROL!$C$27, 0.0021, 0)</f>
        <v>187.25310000000002</v>
      </c>
      <c r="D1066" s="14">
        <f>187.251 * CHOOSE(CONTROL!$C$9, $D$9, 100%, $F$9) + CHOOSE(CONTROL!$C$27, 0.0021, 0)</f>
        <v>187.25310000000002</v>
      </c>
      <c r="E1066" s="14">
        <f>187.1143 * CHOOSE(CONTROL!$C$9, $D$9, 100%, $F$9) + CHOOSE(CONTROL!$C$27, 0.0021, 0)</f>
        <v>187.1164</v>
      </c>
      <c r="F1066" s="14">
        <f>187.1143 * CHOOSE(CONTROL!$C$9, $D$9, 100%, $F$9) + CHOOSE(CONTROL!$C$27, 0.0021, 0)</f>
        <v>187.1164</v>
      </c>
      <c r="G1066" s="14">
        <f>187.3857 * CHOOSE(CONTROL!$C$9, $D$9, 100%, $F$9) + CHOOSE(CONTROL!$C$27, 0.0021, 0)</f>
        <v>187.38780000000003</v>
      </c>
      <c r="H1066" s="14">
        <f>187.251 * CHOOSE(CONTROL!$C$9, $D$9, 100%, $F$9) + CHOOSE(CONTROL!$C$27, 0.0021, 0)</f>
        <v>187.25310000000002</v>
      </c>
      <c r="I1066" s="14">
        <f>187.251 * CHOOSE(CONTROL!$C$9, $D$9, 100%, $F$9) + CHOOSE(CONTROL!$C$27, 0.0021, 0)</f>
        <v>187.25310000000002</v>
      </c>
      <c r="J1066" s="14">
        <f>187.251 * CHOOSE(CONTROL!$C$9, $D$9, 100%, $F$9) + CHOOSE(CONTROL!$C$27, 0.0021, 0)</f>
        <v>187.25310000000002</v>
      </c>
      <c r="K1066" s="14">
        <f>187.251 * CHOOSE(CONTROL!$C$9, $D$9, 100%, $F$9) + CHOOSE(CONTROL!$C$27, 0.0021, 0)</f>
        <v>187.25310000000002</v>
      </c>
      <c r="L1066" s="14"/>
    </row>
    <row r="1067" spans="1:12" ht="15.75" x14ac:dyDescent="0.25">
      <c r="A1067" s="32">
        <v>73415</v>
      </c>
      <c r="B1067" s="14">
        <f>182.1817 * CHOOSE(CONTROL!$C$9, $D$9, 100%, $F$9) + CHOOSE(CONTROL!$C$27, 0.0021, 0)</f>
        <v>182.18380000000002</v>
      </c>
      <c r="C1067" s="14">
        <f>181.7495 * CHOOSE(CONTROL!$C$9, $D$9, 100%, $F$9) + CHOOSE(CONTROL!$C$27, 0.0021, 0)</f>
        <v>181.75160000000002</v>
      </c>
      <c r="D1067" s="14">
        <f>181.7495 * CHOOSE(CONTROL!$C$9, $D$9, 100%, $F$9) + CHOOSE(CONTROL!$C$27, 0.0021, 0)</f>
        <v>181.75160000000002</v>
      </c>
      <c r="E1067" s="14">
        <f>181.6128 * CHOOSE(CONTROL!$C$9, $D$9, 100%, $F$9) + CHOOSE(CONTROL!$C$27, 0.0021, 0)</f>
        <v>181.61490000000001</v>
      </c>
      <c r="F1067" s="14">
        <f>181.6128 * CHOOSE(CONTROL!$C$9, $D$9, 100%, $F$9) + CHOOSE(CONTROL!$C$27, 0.0021, 0)</f>
        <v>181.61490000000001</v>
      </c>
      <c r="G1067" s="14">
        <f>181.8842 * CHOOSE(CONTROL!$C$9, $D$9, 100%, $F$9) + CHOOSE(CONTROL!$C$27, 0.0021, 0)</f>
        <v>181.88630000000001</v>
      </c>
      <c r="H1067" s="14">
        <f>181.7495 * CHOOSE(CONTROL!$C$9, $D$9, 100%, $F$9) + CHOOSE(CONTROL!$C$27, 0.0021, 0)</f>
        <v>181.75160000000002</v>
      </c>
      <c r="I1067" s="14">
        <f>181.7495 * CHOOSE(CONTROL!$C$9, $D$9, 100%, $F$9) + CHOOSE(CONTROL!$C$27, 0.0021, 0)</f>
        <v>181.75160000000002</v>
      </c>
      <c r="J1067" s="14">
        <f>181.7495 * CHOOSE(CONTROL!$C$9, $D$9, 100%, $F$9) + CHOOSE(CONTROL!$C$27, 0.0021, 0)</f>
        <v>181.75160000000002</v>
      </c>
      <c r="K1067" s="14">
        <f>181.7495 * CHOOSE(CONTROL!$C$9, $D$9, 100%, $F$9) + CHOOSE(CONTROL!$C$27, 0.0021, 0)</f>
        <v>181.75160000000002</v>
      </c>
      <c r="L1067" s="14"/>
    </row>
    <row r="1068" spans="1:12" ht="15" x14ac:dyDescent="0.2">
      <c r="A1068" s="12"/>
      <c r="B1068" s="14"/>
      <c r="C1068" s="14"/>
      <c r="D1068" s="14"/>
      <c r="E1068" s="14"/>
      <c r="F1068" s="14"/>
      <c r="G1068" s="14"/>
      <c r="H1068" s="14"/>
      <c r="I1068" s="14"/>
      <c r="L1068" s="14"/>
    </row>
    <row r="1069" spans="1:12" ht="15" x14ac:dyDescent="0.2">
      <c r="A1069" s="10">
        <v>2013</v>
      </c>
      <c r="B1069" s="14">
        <f>AVERAGE(B12:B23)</f>
        <v>23.989244811781848</v>
      </c>
      <c r="C1069" s="14">
        <f>AVERAGE(C12:C23)</f>
        <v>23.556988479592018</v>
      </c>
      <c r="D1069" s="14"/>
      <c r="E1069" s="14">
        <f t="shared" ref="E1069:K1069" si="0">AVERAGE(E12:E23)</f>
        <v>23.420332819214675</v>
      </c>
      <c r="F1069" s="14">
        <f t="shared" si="0"/>
        <v>23.420332819214675</v>
      </c>
      <c r="G1069" s="14">
        <f t="shared" si="0"/>
        <v>23.691699800346743</v>
      </c>
      <c r="H1069" s="14">
        <f t="shared" si="0"/>
        <v>23.556988479592018</v>
      </c>
      <c r="I1069" s="14">
        <f t="shared" si="0"/>
        <v>23.556988479592018</v>
      </c>
      <c r="J1069" s="14">
        <f t="shared" si="0"/>
        <v>23.196784591656066</v>
      </c>
      <c r="K1069" s="14">
        <f t="shared" si="0"/>
        <v>23.556988479592018</v>
      </c>
      <c r="L1069" s="14"/>
    </row>
    <row r="1070" spans="1:12" ht="15" x14ac:dyDescent="0.2">
      <c r="A1070" s="10">
        <v>2014</v>
      </c>
      <c r="B1070" s="14">
        <f>AVERAGE(B24:B35)</f>
        <v>23.820541666666671</v>
      </c>
      <c r="C1070" s="14">
        <f>AVERAGE(C24:C35)</f>
        <v>23.388283333333334</v>
      </c>
      <c r="D1070" s="14"/>
      <c r="E1070" s="14">
        <f t="shared" ref="E1070:K1070" si="1">AVERAGE(E24:E35)</f>
        <v>23.251633333333331</v>
      </c>
      <c r="F1070" s="14">
        <f t="shared" si="1"/>
        <v>23.251633333333331</v>
      </c>
      <c r="G1070" s="14">
        <f t="shared" si="1"/>
        <v>23.523008333333333</v>
      </c>
      <c r="H1070" s="14">
        <f t="shared" si="1"/>
        <v>23.388283333333334</v>
      </c>
      <c r="I1070" s="14">
        <f t="shared" si="1"/>
        <v>23.388283333333334</v>
      </c>
      <c r="J1070" s="14">
        <f t="shared" si="1"/>
        <v>23.02806666666666</v>
      </c>
      <c r="K1070" s="14">
        <f t="shared" si="1"/>
        <v>23.388283333333334</v>
      </c>
      <c r="L1070" s="14"/>
    </row>
    <row r="1071" spans="1:12" ht="15" x14ac:dyDescent="0.2">
      <c r="A1071" s="10">
        <v>2015</v>
      </c>
      <c r="B1071" s="14">
        <f>AVERAGE(B36:B47)</f>
        <v>22.950408333333328</v>
      </c>
      <c r="C1071" s="14">
        <f>AVERAGE(C36:C47)</f>
        <v>22.518133333333328</v>
      </c>
      <c r="D1071" s="14"/>
      <c r="E1071" s="14">
        <f t="shared" ref="E1071:K1071" si="2">AVERAGE(E36:E47)</f>
        <v>22.381491666666665</v>
      </c>
      <c r="F1071" s="14">
        <f t="shared" si="2"/>
        <v>22.381491666666665</v>
      </c>
      <c r="G1071" s="14">
        <f t="shared" si="2"/>
        <v>22.652866666666664</v>
      </c>
      <c r="H1071" s="14">
        <f t="shared" si="2"/>
        <v>22.518133333333328</v>
      </c>
      <c r="I1071" s="14">
        <f t="shared" si="2"/>
        <v>22.518133333333328</v>
      </c>
      <c r="J1071" s="14">
        <f t="shared" si="2"/>
        <v>22.518133333333328</v>
      </c>
      <c r="K1071" s="14">
        <f t="shared" si="2"/>
        <v>22.518133333333328</v>
      </c>
      <c r="L1071" s="14"/>
    </row>
    <row r="1072" spans="1:12" ht="15" x14ac:dyDescent="0.2">
      <c r="A1072" s="10">
        <v>2016</v>
      </c>
      <c r="B1072" s="14">
        <f>AVERAGE(B48:B59)</f>
        <v>24.845133333333337</v>
      </c>
      <c r="C1072" s="14">
        <f>AVERAGE(C48:C59)</f>
        <v>24.412899999999997</v>
      </c>
      <c r="D1072" s="14"/>
      <c r="E1072" s="14">
        <f t="shared" ref="E1072:K1072" si="3">AVERAGE(E48:E59)</f>
        <v>24.276233333333327</v>
      </c>
      <c r="F1072" s="14">
        <f t="shared" si="3"/>
        <v>24.276233333333327</v>
      </c>
      <c r="G1072" s="14">
        <f t="shared" si="3"/>
        <v>24.547608333333329</v>
      </c>
      <c r="H1072" s="14">
        <f t="shared" si="3"/>
        <v>24.412899999999997</v>
      </c>
      <c r="I1072" s="14">
        <f t="shared" si="3"/>
        <v>24.412899999999997</v>
      </c>
      <c r="J1072" s="14">
        <f t="shared" si="3"/>
        <v>24.412899999999997</v>
      </c>
      <c r="K1072" s="14">
        <f t="shared" si="3"/>
        <v>24.412899999999997</v>
      </c>
      <c r="L1072" s="14"/>
    </row>
    <row r="1073" spans="1:12" ht="15" x14ac:dyDescent="0.2">
      <c r="A1073" s="10">
        <v>2017</v>
      </c>
      <c r="B1073" s="14">
        <f>AVERAGE(B60:B71)</f>
        <v>25.630241666666667</v>
      </c>
      <c r="C1073" s="14">
        <f>AVERAGE(C60:C71)</f>
        <v>25.198000000000004</v>
      </c>
      <c r="D1073" s="14"/>
      <c r="E1073" s="14">
        <f t="shared" ref="E1073:K1073" si="4">AVERAGE(E60:E71)</f>
        <v>25.061341666666664</v>
      </c>
      <c r="F1073" s="14">
        <f t="shared" si="4"/>
        <v>25.061341666666664</v>
      </c>
      <c r="G1073" s="14">
        <f t="shared" si="4"/>
        <v>25.332716666666666</v>
      </c>
      <c r="H1073" s="14">
        <f t="shared" si="4"/>
        <v>25.198000000000004</v>
      </c>
      <c r="I1073" s="14">
        <f t="shared" si="4"/>
        <v>25.198000000000004</v>
      </c>
      <c r="J1073" s="14">
        <f t="shared" si="4"/>
        <v>25.198000000000004</v>
      </c>
      <c r="K1073" s="14">
        <f t="shared" si="4"/>
        <v>25.198000000000004</v>
      </c>
      <c r="L1073" s="14"/>
    </row>
    <row r="1074" spans="1:12" ht="15" x14ac:dyDescent="0.2">
      <c r="A1074" s="10">
        <v>2018</v>
      </c>
      <c r="B1074" s="14">
        <f>AVERAGE(B72:B83)</f>
        <v>29.348116666666666</v>
      </c>
      <c r="C1074" s="14">
        <f>AVERAGE(C72:C83)</f>
        <v>28.915849999999995</v>
      </c>
      <c r="D1074" s="14"/>
      <c r="E1074" s="14">
        <f t="shared" ref="E1074:K1074" si="5">AVERAGE(E72:E83)</f>
        <v>28.77921666666666</v>
      </c>
      <c r="F1074" s="14">
        <f t="shared" si="5"/>
        <v>28.77921666666666</v>
      </c>
      <c r="G1074" s="14">
        <f t="shared" si="5"/>
        <v>29.050583333333336</v>
      </c>
      <c r="H1074" s="14">
        <f t="shared" si="5"/>
        <v>28.915849999999995</v>
      </c>
      <c r="I1074" s="14">
        <f t="shared" si="5"/>
        <v>28.915849999999995</v>
      </c>
      <c r="J1074" s="14">
        <f t="shared" si="5"/>
        <v>28.915849999999995</v>
      </c>
      <c r="K1074" s="14">
        <f t="shared" si="5"/>
        <v>28.915849999999995</v>
      </c>
      <c r="L1074" s="14"/>
    </row>
    <row r="1075" spans="1:12" ht="15" x14ac:dyDescent="0.2">
      <c r="A1075" s="10">
        <v>2019</v>
      </c>
      <c r="B1075" s="14">
        <f>AVERAGE(B84:B95)</f>
        <v>30.664341666666669</v>
      </c>
      <c r="C1075" s="14">
        <f>AVERAGE(C84:C95)</f>
        <v>30.232108333333329</v>
      </c>
      <c r="D1075" s="14"/>
      <c r="E1075" s="14">
        <f t="shared" ref="E1075:K1075" si="6">AVERAGE(E84:E95)</f>
        <v>30.09544166666667</v>
      </c>
      <c r="F1075" s="14">
        <f t="shared" si="6"/>
        <v>30.09544166666667</v>
      </c>
      <c r="G1075" s="14">
        <f t="shared" si="6"/>
        <v>30.366833333333329</v>
      </c>
      <c r="H1075" s="14">
        <f t="shared" si="6"/>
        <v>30.232108333333329</v>
      </c>
      <c r="I1075" s="14">
        <f t="shared" si="6"/>
        <v>30.232108333333329</v>
      </c>
      <c r="J1075" s="14">
        <f t="shared" si="6"/>
        <v>30.232108333333329</v>
      </c>
      <c r="K1075" s="14">
        <f t="shared" si="6"/>
        <v>30.232108333333329</v>
      </c>
      <c r="L1075" s="14"/>
    </row>
    <row r="1076" spans="1:12" ht="15" x14ac:dyDescent="0.2">
      <c r="A1076" s="10">
        <v>2020</v>
      </c>
      <c r="B1076" s="14">
        <f>AVERAGE(B96:B107)</f>
        <v>32.245424999999997</v>
      </c>
      <c r="C1076" s="14">
        <f>AVERAGE(C96:C107)</f>
        <v>31.813183333333338</v>
      </c>
      <c r="D1076" s="14"/>
      <c r="E1076" s="14">
        <f t="shared" ref="E1076:K1076" si="7">AVERAGE(E96:E107)</f>
        <v>31.676524999999998</v>
      </c>
      <c r="F1076" s="14">
        <f t="shared" si="7"/>
        <v>31.676524999999998</v>
      </c>
      <c r="G1076" s="14">
        <f t="shared" si="7"/>
        <v>31.947883333333337</v>
      </c>
      <c r="H1076" s="14">
        <f t="shared" si="7"/>
        <v>31.813183333333338</v>
      </c>
      <c r="I1076" s="14">
        <f t="shared" si="7"/>
        <v>31.813183333333338</v>
      </c>
      <c r="J1076" s="14">
        <f t="shared" si="7"/>
        <v>31.813183333333338</v>
      </c>
      <c r="K1076" s="14">
        <f t="shared" si="7"/>
        <v>31.813183333333338</v>
      </c>
      <c r="L1076" s="14"/>
    </row>
    <row r="1077" spans="1:12" ht="15" x14ac:dyDescent="0.2">
      <c r="A1077" s="10">
        <v>2021</v>
      </c>
      <c r="B1077" s="14">
        <f>AVERAGE(B108:B119)</f>
        <v>34.550824999999996</v>
      </c>
      <c r="C1077" s="14">
        <f>AVERAGE(C108:C119)</f>
        <v>34.118575</v>
      </c>
      <c r="D1077" s="14"/>
      <c r="E1077" s="14">
        <f t="shared" ref="E1077:K1077" si="8">AVERAGE(E108:E119)</f>
        <v>33.981924999999997</v>
      </c>
      <c r="F1077" s="14">
        <f t="shared" si="8"/>
        <v>33.981924999999997</v>
      </c>
      <c r="G1077" s="14">
        <f t="shared" si="8"/>
        <v>34.253283333333336</v>
      </c>
      <c r="H1077" s="14">
        <f t="shared" si="8"/>
        <v>34.118575</v>
      </c>
      <c r="I1077" s="14">
        <f t="shared" si="8"/>
        <v>34.118575</v>
      </c>
      <c r="J1077" s="14">
        <f t="shared" si="8"/>
        <v>34.118575</v>
      </c>
      <c r="K1077" s="14">
        <f t="shared" si="8"/>
        <v>34.118575</v>
      </c>
      <c r="L1077" s="14"/>
    </row>
    <row r="1078" spans="1:12" ht="15" x14ac:dyDescent="0.2">
      <c r="A1078" s="10">
        <v>2022</v>
      </c>
      <c r="B1078" s="14">
        <f>AVERAGE(B120:B131)</f>
        <v>37.052883333333334</v>
      </c>
      <c r="C1078" s="14">
        <f>AVERAGE(C120:C131)</f>
        <v>36.62063333333333</v>
      </c>
      <c r="D1078" s="14"/>
      <c r="E1078" s="14">
        <f t="shared" ref="E1078:K1078" si="9">AVERAGE(E120:E131)</f>
        <v>36.483975000000008</v>
      </c>
      <c r="F1078" s="14">
        <f t="shared" si="9"/>
        <v>36.483975000000008</v>
      </c>
      <c r="G1078" s="14">
        <f t="shared" si="9"/>
        <v>36.755341666666659</v>
      </c>
      <c r="H1078" s="14">
        <f t="shared" si="9"/>
        <v>36.62063333333333</v>
      </c>
      <c r="I1078" s="14">
        <f t="shared" si="9"/>
        <v>36.62063333333333</v>
      </c>
      <c r="J1078" s="14">
        <f t="shared" si="9"/>
        <v>36.62063333333333</v>
      </c>
      <c r="K1078" s="14">
        <f t="shared" si="9"/>
        <v>36.62063333333333</v>
      </c>
      <c r="L1078" s="14"/>
    </row>
    <row r="1079" spans="1:12" ht="15" x14ac:dyDescent="0.2">
      <c r="A1079" s="10">
        <v>2023</v>
      </c>
      <c r="B1079" s="14">
        <f>AVERAGE(B132:B143)</f>
        <v>39.601025</v>
      </c>
      <c r="C1079" s="14">
        <f>AVERAGE(C132:C143)</f>
        <v>39.168791666666664</v>
      </c>
      <c r="D1079" s="14"/>
      <c r="E1079" s="14">
        <f t="shared" ref="E1079:K1079" si="10">AVERAGE(E132:E143)</f>
        <v>39.032116666666667</v>
      </c>
      <c r="F1079" s="14">
        <f t="shared" si="10"/>
        <v>39.032116666666667</v>
      </c>
      <c r="G1079" s="14">
        <f t="shared" si="10"/>
        <v>39.303516666666667</v>
      </c>
      <c r="H1079" s="14">
        <f t="shared" si="10"/>
        <v>39.168791666666664</v>
      </c>
      <c r="I1079" s="14">
        <f t="shared" si="10"/>
        <v>39.168791666666664</v>
      </c>
      <c r="J1079" s="14">
        <f t="shared" si="10"/>
        <v>39.168791666666664</v>
      </c>
      <c r="K1079" s="14">
        <f t="shared" si="10"/>
        <v>39.168791666666664</v>
      </c>
      <c r="L1079" s="14"/>
    </row>
    <row r="1080" spans="1:12" ht="15" x14ac:dyDescent="0.2">
      <c r="A1080" s="10">
        <v>2024</v>
      </c>
      <c r="B1080" s="14">
        <f>AVERAGE(B144:B155)</f>
        <v>42.197108333333333</v>
      </c>
      <c r="C1080" s="14">
        <f>AVERAGE(C144:C155)</f>
        <v>41.764883333333323</v>
      </c>
      <c r="D1080" s="14"/>
      <c r="E1080" s="14">
        <f t="shared" ref="E1080:K1080" si="11">AVERAGE(E144:E155)</f>
        <v>41.628208333333333</v>
      </c>
      <c r="F1080" s="14">
        <f t="shared" si="11"/>
        <v>41.628208333333333</v>
      </c>
      <c r="G1080" s="14">
        <f t="shared" si="11"/>
        <v>41.899583333333332</v>
      </c>
      <c r="H1080" s="14">
        <f t="shared" si="11"/>
        <v>41.764883333333323</v>
      </c>
      <c r="I1080" s="14">
        <f t="shared" si="11"/>
        <v>41.764883333333323</v>
      </c>
      <c r="J1080" s="14">
        <f t="shared" si="11"/>
        <v>41.764883333333323</v>
      </c>
      <c r="K1080" s="14">
        <f t="shared" si="11"/>
        <v>41.764883333333323</v>
      </c>
      <c r="L1080" s="14"/>
    </row>
    <row r="1081" spans="1:12" ht="15" x14ac:dyDescent="0.2">
      <c r="A1081" s="10">
        <v>2025</v>
      </c>
      <c r="B1081" s="14">
        <f>AVERAGE(B156:B167)</f>
        <v>44.843224999999997</v>
      </c>
      <c r="C1081" s="14">
        <f>AVERAGE(C156:C167)</f>
        <v>44.410975000000001</v>
      </c>
      <c r="D1081" s="14"/>
      <c r="E1081" s="14">
        <f t="shared" ref="E1081:K1081" si="12">AVERAGE(E156:E167)</f>
        <v>44.274316666666664</v>
      </c>
      <c r="F1081" s="14">
        <f t="shared" si="12"/>
        <v>44.274316666666664</v>
      </c>
      <c r="G1081" s="14">
        <f t="shared" si="12"/>
        <v>44.545700000000004</v>
      </c>
      <c r="H1081" s="14">
        <f t="shared" si="12"/>
        <v>44.410975000000001</v>
      </c>
      <c r="I1081" s="14">
        <f t="shared" si="12"/>
        <v>44.410975000000001</v>
      </c>
      <c r="J1081" s="14">
        <f t="shared" si="12"/>
        <v>44.410975000000001</v>
      </c>
      <c r="K1081" s="14">
        <f t="shared" si="12"/>
        <v>44.410975000000001</v>
      </c>
      <c r="L1081" s="14"/>
    </row>
    <row r="1082" spans="1:12" ht="15" x14ac:dyDescent="0.2">
      <c r="A1082" s="10">
        <v>2026</v>
      </c>
      <c r="B1082" s="14">
        <f>AVERAGE(B168:B179)</f>
        <v>46.830333333333336</v>
      </c>
      <c r="C1082" s="14">
        <f>AVERAGE(C168:C179)</f>
        <v>46.398066666666665</v>
      </c>
      <c r="D1082" s="14"/>
      <c r="E1082" s="14">
        <f t="shared" ref="E1082:K1082" si="13">AVERAGE(E168:E179)</f>
        <v>46.261416666666669</v>
      </c>
      <c r="F1082" s="14">
        <f t="shared" si="13"/>
        <v>46.261416666666669</v>
      </c>
      <c r="G1082" s="14">
        <f t="shared" si="13"/>
        <v>46.532791666666668</v>
      </c>
      <c r="H1082" s="14">
        <f t="shared" si="13"/>
        <v>46.398066666666665</v>
      </c>
      <c r="I1082" s="14">
        <f t="shared" si="13"/>
        <v>46.398066666666665</v>
      </c>
      <c r="J1082" s="14">
        <f t="shared" si="13"/>
        <v>46.398066666666665</v>
      </c>
      <c r="K1082" s="14">
        <f t="shared" si="13"/>
        <v>46.398066666666665</v>
      </c>
      <c r="L1082" s="14"/>
    </row>
    <row r="1083" spans="1:12" ht="15" x14ac:dyDescent="0.2">
      <c r="A1083" s="10">
        <v>2027</v>
      </c>
      <c r="B1083" s="14">
        <f>AVERAGE(B180:B191)</f>
        <v>48.854424999999999</v>
      </c>
      <c r="C1083" s="14">
        <f>AVERAGE(C180:C191)</f>
        <v>48.422175000000003</v>
      </c>
      <c r="D1083" s="14"/>
      <c r="E1083" s="14">
        <f t="shared" ref="E1083:K1083" si="14">AVERAGE(E180:E191)</f>
        <v>48.285525</v>
      </c>
      <c r="F1083" s="14">
        <f t="shared" si="14"/>
        <v>48.285525</v>
      </c>
      <c r="G1083" s="14">
        <f t="shared" si="14"/>
        <v>48.556891666666665</v>
      </c>
      <c r="H1083" s="14">
        <f t="shared" si="14"/>
        <v>48.422175000000003</v>
      </c>
      <c r="I1083" s="14">
        <f t="shared" si="14"/>
        <v>48.422175000000003</v>
      </c>
      <c r="J1083" s="14">
        <f t="shared" si="14"/>
        <v>48.422175000000003</v>
      </c>
      <c r="K1083" s="14">
        <f t="shared" si="14"/>
        <v>48.422175000000003</v>
      </c>
      <c r="L1083" s="14"/>
    </row>
    <row r="1084" spans="1:12" ht="15" x14ac:dyDescent="0.2">
      <c r="A1084" s="10">
        <v>2028</v>
      </c>
      <c r="B1084" s="14">
        <f>AVERAGE(B192:B203)</f>
        <v>50.876433333333331</v>
      </c>
      <c r="C1084" s="14">
        <f>AVERAGE(C192:C203)</f>
        <v>50.444158333333327</v>
      </c>
      <c r="D1084" s="14"/>
      <c r="E1084" s="14">
        <f t="shared" ref="E1084:K1084" si="15">AVERAGE(E192:E203)</f>
        <v>50.30747499999999</v>
      </c>
      <c r="F1084" s="14">
        <f t="shared" si="15"/>
        <v>50.30747499999999</v>
      </c>
      <c r="G1084" s="14">
        <f t="shared" si="15"/>
        <v>50.57886666666667</v>
      </c>
      <c r="H1084" s="14">
        <f t="shared" si="15"/>
        <v>50.444158333333327</v>
      </c>
      <c r="I1084" s="14">
        <f t="shared" si="15"/>
        <v>50.444158333333327</v>
      </c>
      <c r="J1084" s="14">
        <f t="shared" si="15"/>
        <v>50.444158333333327</v>
      </c>
      <c r="K1084" s="14">
        <f t="shared" si="15"/>
        <v>50.444158333333327</v>
      </c>
      <c r="L1084" s="14"/>
    </row>
    <row r="1085" spans="1:12" ht="15" x14ac:dyDescent="0.2">
      <c r="A1085" s="10">
        <v>2029</v>
      </c>
      <c r="B1085" s="14">
        <f>AVERAGE(B204:B215)</f>
        <v>53.013650000000005</v>
      </c>
      <c r="C1085" s="14">
        <f>AVERAGE(C204:C215)</f>
        <v>52.581408333333322</v>
      </c>
      <c r="D1085" s="14"/>
      <c r="E1085" s="14">
        <f t="shared" ref="E1085:K1085" si="16">AVERAGE(E204:E215)</f>
        <v>52.444733333333325</v>
      </c>
      <c r="F1085" s="14">
        <f t="shared" si="16"/>
        <v>52.444733333333325</v>
      </c>
      <c r="G1085" s="14">
        <f t="shared" si="16"/>
        <v>52.716116666666672</v>
      </c>
      <c r="H1085" s="14">
        <f t="shared" si="16"/>
        <v>52.581408333333322</v>
      </c>
      <c r="I1085" s="14">
        <f t="shared" si="16"/>
        <v>52.581408333333322</v>
      </c>
      <c r="J1085" s="14">
        <f t="shared" si="16"/>
        <v>52.581408333333322</v>
      </c>
      <c r="K1085" s="14">
        <f t="shared" si="16"/>
        <v>52.581408333333322</v>
      </c>
      <c r="L1085" s="14"/>
    </row>
    <row r="1086" spans="1:12" ht="15" x14ac:dyDescent="0.2">
      <c r="A1086" s="10">
        <v>2030</v>
      </c>
      <c r="B1086" s="14">
        <f>AVERAGE(B216:B227)</f>
        <v>55.075083333333332</v>
      </c>
      <c r="C1086" s="14">
        <f>AVERAGE(C216:C227)</f>
        <v>54.642866666666663</v>
      </c>
      <c r="D1086" s="14"/>
      <c r="E1086" s="14">
        <f t="shared" ref="E1086:K1086" si="17">AVERAGE(E216:E227)</f>
        <v>54.506183333333333</v>
      </c>
      <c r="F1086" s="14">
        <f t="shared" si="17"/>
        <v>54.506183333333333</v>
      </c>
      <c r="G1086" s="14">
        <f t="shared" si="17"/>
        <v>54.777575000000006</v>
      </c>
      <c r="H1086" s="14">
        <f t="shared" si="17"/>
        <v>54.642866666666663</v>
      </c>
      <c r="I1086" s="14">
        <f t="shared" si="17"/>
        <v>54.642866666666663</v>
      </c>
      <c r="J1086" s="14">
        <f t="shared" si="17"/>
        <v>54.642866666666663</v>
      </c>
      <c r="K1086" s="14">
        <f t="shared" si="17"/>
        <v>54.642866666666663</v>
      </c>
      <c r="L1086" s="14"/>
    </row>
    <row r="1087" spans="1:12" ht="15" x14ac:dyDescent="0.2">
      <c r="A1087" s="10">
        <v>2031</v>
      </c>
      <c r="B1087" s="14">
        <f>AVERAGE(B228:B239)</f>
        <v>56.239133333333321</v>
      </c>
      <c r="C1087" s="14">
        <f>AVERAGE(C228:C239)</f>
        <v>55.806883333333325</v>
      </c>
      <c r="D1087" s="14"/>
      <c r="E1087" s="14">
        <f t="shared" ref="E1087:K1087" si="18">AVERAGE(E228:E239)</f>
        <v>55.670233333333336</v>
      </c>
      <c r="F1087" s="14">
        <f t="shared" si="18"/>
        <v>55.670233333333336</v>
      </c>
      <c r="G1087" s="14">
        <f t="shared" si="18"/>
        <v>55.941608333333328</v>
      </c>
      <c r="H1087" s="14">
        <f t="shared" si="18"/>
        <v>55.806883333333325</v>
      </c>
      <c r="I1087" s="14">
        <f t="shared" si="18"/>
        <v>55.806883333333325</v>
      </c>
      <c r="J1087" s="14">
        <f t="shared" si="18"/>
        <v>55.806883333333325</v>
      </c>
      <c r="K1087" s="14">
        <f t="shared" si="18"/>
        <v>55.806883333333325</v>
      </c>
      <c r="L1087" s="14"/>
    </row>
    <row r="1088" spans="1:12" ht="15" x14ac:dyDescent="0.2">
      <c r="A1088" s="10">
        <v>2032</v>
      </c>
      <c r="B1088" s="14">
        <f>AVERAGE(B240:B251)</f>
        <v>57.236066666666659</v>
      </c>
      <c r="C1088" s="14">
        <f>AVERAGE(C240:C251)</f>
        <v>56.803833333333337</v>
      </c>
      <c r="D1088" s="14"/>
      <c r="E1088" s="14">
        <f t="shared" ref="E1088:K1088" si="19">AVERAGE(E240:E251)</f>
        <v>56.667158333333333</v>
      </c>
      <c r="F1088" s="14">
        <f t="shared" si="19"/>
        <v>56.667158333333333</v>
      </c>
      <c r="G1088" s="14">
        <f t="shared" si="19"/>
        <v>56.938541666666659</v>
      </c>
      <c r="H1088" s="14">
        <f t="shared" si="19"/>
        <v>56.803833333333337</v>
      </c>
      <c r="I1088" s="14">
        <f t="shared" si="19"/>
        <v>56.803833333333337</v>
      </c>
      <c r="J1088" s="14">
        <f t="shared" si="19"/>
        <v>56.803833333333337</v>
      </c>
      <c r="K1088" s="14">
        <f t="shared" si="19"/>
        <v>56.803833333333337</v>
      </c>
      <c r="L1088" s="14"/>
    </row>
    <row r="1089" spans="1:12" ht="15" x14ac:dyDescent="0.2">
      <c r="A1089" s="10">
        <v>2033</v>
      </c>
      <c r="B1089" s="14">
        <f>AVERAGE(B252:B263)</f>
        <v>58.251441666666665</v>
      </c>
      <c r="C1089" s="14">
        <f>AVERAGE(C252:C263)</f>
        <v>57.819183333333335</v>
      </c>
      <c r="D1089" s="14"/>
      <c r="E1089" s="14">
        <f t="shared" ref="E1089:K1089" si="20">AVERAGE(E252:E263)</f>
        <v>57.682525000000005</v>
      </c>
      <c r="F1089" s="14">
        <f t="shared" si="20"/>
        <v>57.682525000000005</v>
      </c>
      <c r="G1089" s="14">
        <f t="shared" si="20"/>
        <v>57.953899999999997</v>
      </c>
      <c r="H1089" s="14">
        <f t="shared" si="20"/>
        <v>57.819183333333335</v>
      </c>
      <c r="I1089" s="14">
        <f t="shared" si="20"/>
        <v>57.819183333333335</v>
      </c>
      <c r="J1089" s="14">
        <f t="shared" si="20"/>
        <v>57.819183333333335</v>
      </c>
      <c r="K1089" s="14">
        <f t="shared" si="20"/>
        <v>57.819183333333335</v>
      </c>
      <c r="L1089" s="14"/>
    </row>
    <row r="1090" spans="1:12" ht="15" x14ac:dyDescent="0.2">
      <c r="A1090" s="10">
        <v>2034</v>
      </c>
      <c r="B1090" s="14">
        <f>AVERAGE(B264:B275)</f>
        <v>59.285566666666661</v>
      </c>
      <c r="C1090" s="14">
        <f>AVERAGE(C264:C275)</f>
        <v>58.853299999999997</v>
      </c>
      <c r="D1090" s="14"/>
      <c r="E1090" s="14">
        <f t="shared" ref="E1090:K1090" si="21">AVERAGE(E264:E275)</f>
        <v>58.716658333333328</v>
      </c>
      <c r="F1090" s="14">
        <f t="shared" si="21"/>
        <v>58.716658333333328</v>
      </c>
      <c r="G1090" s="14">
        <f t="shared" si="21"/>
        <v>58.988041666666675</v>
      </c>
      <c r="H1090" s="14">
        <f t="shared" si="21"/>
        <v>58.853299999999997</v>
      </c>
      <c r="I1090" s="14">
        <f t="shared" si="21"/>
        <v>58.853299999999997</v>
      </c>
      <c r="J1090" s="14">
        <f t="shared" si="21"/>
        <v>58.853299999999997</v>
      </c>
      <c r="K1090" s="14">
        <f t="shared" si="21"/>
        <v>58.853299999999997</v>
      </c>
      <c r="L1090" s="14"/>
    </row>
    <row r="1091" spans="1:12" ht="15" x14ac:dyDescent="0.2">
      <c r="A1091" s="10">
        <v>2035</v>
      </c>
      <c r="B1091" s="14">
        <f>AVERAGE(B276:B287)</f>
        <v>60.338808333333326</v>
      </c>
      <c r="C1091" s="14">
        <f>AVERAGE(C276:C287)</f>
        <v>59.906558333333344</v>
      </c>
      <c r="D1091" s="14"/>
      <c r="E1091" s="14">
        <f t="shared" ref="E1091:K1091" si="22">AVERAGE(E276:E287)</f>
        <v>59.7699</v>
      </c>
      <c r="F1091" s="14">
        <f t="shared" si="22"/>
        <v>59.7699</v>
      </c>
      <c r="G1091" s="14">
        <f t="shared" si="22"/>
        <v>60.041274999999992</v>
      </c>
      <c r="H1091" s="14">
        <f t="shared" si="22"/>
        <v>59.906558333333344</v>
      </c>
      <c r="I1091" s="14">
        <f t="shared" si="22"/>
        <v>59.906558333333344</v>
      </c>
      <c r="J1091" s="14">
        <f t="shared" si="22"/>
        <v>59.906558333333344</v>
      </c>
      <c r="K1091" s="14">
        <f t="shared" si="22"/>
        <v>59.906558333333344</v>
      </c>
      <c r="L1091" s="14"/>
    </row>
    <row r="1092" spans="1:12" ht="15" x14ac:dyDescent="0.2">
      <c r="A1092" s="10">
        <v>2036</v>
      </c>
      <c r="B1092" s="14">
        <f>AVERAGE(B288:B299)</f>
        <v>61.41149999999999</v>
      </c>
      <c r="C1092" s="14">
        <f>AVERAGE(C288:C299)</f>
        <v>60.979258333333327</v>
      </c>
      <c r="D1092" s="14"/>
      <c r="E1092" s="14">
        <f t="shared" ref="E1092:K1092" si="23">AVERAGE(E288:E299)</f>
        <v>60.842599999999997</v>
      </c>
      <c r="F1092" s="14">
        <f t="shared" si="23"/>
        <v>60.842599999999997</v>
      </c>
      <c r="G1092" s="14">
        <f t="shared" si="23"/>
        <v>61.113975000000003</v>
      </c>
      <c r="H1092" s="14">
        <f t="shared" si="23"/>
        <v>60.979258333333327</v>
      </c>
      <c r="I1092" s="14">
        <f t="shared" si="23"/>
        <v>60.979258333333327</v>
      </c>
      <c r="J1092" s="14">
        <f t="shared" si="23"/>
        <v>60.979258333333327</v>
      </c>
      <c r="K1092" s="14">
        <f t="shared" si="23"/>
        <v>60.979258333333327</v>
      </c>
      <c r="L1092" s="14"/>
    </row>
    <row r="1093" spans="1:12" ht="15" x14ac:dyDescent="0.2">
      <c r="A1093" s="10">
        <v>2037</v>
      </c>
      <c r="B1093" s="14">
        <f>AVERAGE(B300:B311)</f>
        <v>62.504033333333332</v>
      </c>
      <c r="C1093" s="14">
        <f>AVERAGE(C300:C311)</f>
        <v>62.071783333333336</v>
      </c>
      <c r="D1093" s="14"/>
      <c r="E1093" s="14">
        <f t="shared" ref="E1093:K1093" si="24">AVERAGE(E300:E311)</f>
        <v>61.935133333333333</v>
      </c>
      <c r="F1093" s="14">
        <f t="shared" si="24"/>
        <v>61.935133333333333</v>
      </c>
      <c r="G1093" s="14">
        <f t="shared" si="24"/>
        <v>62.206491666666665</v>
      </c>
      <c r="H1093" s="14">
        <f t="shared" si="24"/>
        <v>62.071783333333336</v>
      </c>
      <c r="I1093" s="14">
        <f t="shared" si="24"/>
        <v>62.071783333333336</v>
      </c>
      <c r="J1093" s="14">
        <f t="shared" si="24"/>
        <v>62.071783333333336</v>
      </c>
      <c r="K1093" s="14">
        <f t="shared" si="24"/>
        <v>62.071783333333336</v>
      </c>
      <c r="L1093" s="14"/>
    </row>
    <row r="1094" spans="1:12" ht="15" x14ac:dyDescent="0.2">
      <c r="A1094" s="10">
        <f t="shared" ref="A1094:A1125" si="25">A1093+1</f>
        <v>2038</v>
      </c>
      <c r="B1094" s="14">
        <f>AVERAGE(B312:B323)</f>
        <v>63.616749999999989</v>
      </c>
      <c r="C1094" s="14">
        <f>AVERAGE(C312:C323)</f>
        <v>63.184500000000007</v>
      </c>
      <c r="D1094" s="14"/>
      <c r="E1094" s="14">
        <f t="shared" ref="E1094:K1094" si="26">AVERAGE(E312:E323)</f>
        <v>63.047841666666663</v>
      </c>
      <c r="F1094" s="14">
        <f t="shared" si="26"/>
        <v>63.047841666666663</v>
      </c>
      <c r="G1094" s="14">
        <f t="shared" si="26"/>
        <v>63.319216666666669</v>
      </c>
      <c r="H1094" s="14">
        <f t="shared" si="26"/>
        <v>63.184500000000007</v>
      </c>
      <c r="I1094" s="14">
        <f t="shared" si="26"/>
        <v>63.184500000000007</v>
      </c>
      <c r="J1094" s="14">
        <f t="shared" si="26"/>
        <v>63.184500000000007</v>
      </c>
      <c r="K1094" s="14">
        <f t="shared" si="26"/>
        <v>63.184500000000007</v>
      </c>
      <c r="L1094" s="14"/>
    </row>
    <row r="1095" spans="1:12" ht="15" x14ac:dyDescent="0.2">
      <c r="A1095" s="10">
        <f t="shared" si="25"/>
        <v>2039</v>
      </c>
      <c r="B1095" s="14">
        <f>AVERAGE(B324:B335)</f>
        <v>64.750016666666667</v>
      </c>
      <c r="C1095" s="14">
        <f>AVERAGE(C324:C335)</f>
        <v>64.317783333333324</v>
      </c>
      <c r="D1095" s="14"/>
      <c r="E1095" s="14">
        <f t="shared" ref="E1095:K1095" si="27">AVERAGE(E324:E335)</f>
        <v>64.181116666666654</v>
      </c>
      <c r="F1095" s="14">
        <f t="shared" si="27"/>
        <v>64.181116666666654</v>
      </c>
      <c r="G1095" s="14">
        <f t="shared" si="27"/>
        <v>64.452516666666668</v>
      </c>
      <c r="H1095" s="14">
        <f t="shared" si="27"/>
        <v>64.317783333333324</v>
      </c>
      <c r="I1095" s="14">
        <f t="shared" si="27"/>
        <v>64.317783333333324</v>
      </c>
      <c r="J1095" s="14">
        <f t="shared" si="27"/>
        <v>64.317783333333324</v>
      </c>
      <c r="K1095" s="14">
        <f t="shared" si="27"/>
        <v>64.317783333333324</v>
      </c>
      <c r="L1095" s="14"/>
    </row>
    <row r="1096" spans="1:12" ht="15" x14ac:dyDescent="0.2">
      <c r="A1096" s="10">
        <f t="shared" si="25"/>
        <v>2040</v>
      </c>
      <c r="B1096" s="14">
        <f>AVERAGE(B336:B347)</f>
        <v>65.904266666666658</v>
      </c>
      <c r="C1096" s="14">
        <f>AVERAGE(C336:C347)</f>
        <v>65.471991666666682</v>
      </c>
      <c r="D1096" s="14"/>
      <c r="E1096" s="14">
        <f t="shared" ref="E1096:K1096" si="28">AVERAGE(E336:E347)</f>
        <v>65.335366666666658</v>
      </c>
      <c r="F1096" s="14">
        <f t="shared" si="28"/>
        <v>65.335366666666658</v>
      </c>
      <c r="G1096" s="14">
        <f t="shared" si="28"/>
        <v>65.606724999999997</v>
      </c>
      <c r="H1096" s="14">
        <f t="shared" si="28"/>
        <v>65.471991666666682</v>
      </c>
      <c r="I1096" s="14">
        <f t="shared" si="28"/>
        <v>65.471991666666682</v>
      </c>
      <c r="J1096" s="14">
        <f t="shared" si="28"/>
        <v>65.471991666666682</v>
      </c>
      <c r="K1096" s="14">
        <f t="shared" si="28"/>
        <v>65.471991666666682</v>
      </c>
      <c r="L1096" s="14"/>
    </row>
    <row r="1097" spans="1:12" ht="15" x14ac:dyDescent="0.2">
      <c r="A1097" s="10">
        <f t="shared" si="25"/>
        <v>2041</v>
      </c>
      <c r="B1097" s="14">
        <f>AVERAGE(B348:B359)</f>
        <v>67.079816666666659</v>
      </c>
      <c r="C1097" s="14">
        <f>AVERAGE(C348:C359)</f>
        <v>66.647575000000003</v>
      </c>
      <c r="D1097" s="14"/>
      <c r="E1097" s="14">
        <f t="shared" ref="E1097:K1097" si="29">AVERAGE(E348:E359)</f>
        <v>66.510900000000007</v>
      </c>
      <c r="F1097" s="14">
        <f t="shared" si="29"/>
        <v>66.510900000000007</v>
      </c>
      <c r="G1097" s="14">
        <f t="shared" si="29"/>
        <v>66.782274999999998</v>
      </c>
      <c r="H1097" s="14">
        <f t="shared" si="29"/>
        <v>66.647575000000003</v>
      </c>
      <c r="I1097" s="14">
        <f t="shared" si="29"/>
        <v>66.647575000000003</v>
      </c>
      <c r="J1097" s="14">
        <f t="shared" si="29"/>
        <v>66.647575000000003</v>
      </c>
      <c r="K1097" s="14">
        <f t="shared" si="29"/>
        <v>66.647575000000003</v>
      </c>
      <c r="L1097" s="14"/>
    </row>
    <row r="1098" spans="1:12" ht="15" x14ac:dyDescent="0.2">
      <c r="A1098" s="10">
        <f t="shared" si="25"/>
        <v>2042</v>
      </c>
      <c r="B1098" s="14">
        <f>AVERAGE(B360:B371)</f>
        <v>68.277108333333345</v>
      </c>
      <c r="C1098" s="14">
        <f>AVERAGE(C360:C371)</f>
        <v>67.844841666666682</v>
      </c>
      <c r="D1098" s="14"/>
      <c r="E1098" s="14">
        <f t="shared" ref="E1098:K1098" si="30">AVERAGE(E360:E371)</f>
        <v>67.708191666666679</v>
      </c>
      <c r="F1098" s="14">
        <f t="shared" si="30"/>
        <v>67.708191666666679</v>
      </c>
      <c r="G1098" s="14">
        <f t="shared" si="30"/>
        <v>67.97956666666667</v>
      </c>
      <c r="H1098" s="14">
        <f t="shared" si="30"/>
        <v>67.844841666666682</v>
      </c>
      <c r="I1098" s="14">
        <f t="shared" si="30"/>
        <v>67.844841666666682</v>
      </c>
      <c r="J1098" s="14">
        <f t="shared" si="30"/>
        <v>67.844841666666682</v>
      </c>
      <c r="K1098" s="14">
        <f t="shared" si="30"/>
        <v>67.844841666666682</v>
      </c>
      <c r="L1098" s="14"/>
    </row>
    <row r="1099" spans="1:12" ht="15" x14ac:dyDescent="0.2">
      <c r="A1099" s="10">
        <f t="shared" si="25"/>
        <v>2043</v>
      </c>
      <c r="B1099" s="14">
        <f>AVERAGE(B372:B383)</f>
        <v>69.496500000000012</v>
      </c>
      <c r="C1099" s="14">
        <f>AVERAGE(C372:C383)</f>
        <v>69.064266666666668</v>
      </c>
      <c r="D1099" s="14"/>
      <c r="E1099" s="14">
        <f t="shared" ref="E1099:K1099" si="31">AVERAGE(E372:E383)</f>
        <v>68.927599999999998</v>
      </c>
      <c r="F1099" s="14">
        <f t="shared" si="31"/>
        <v>68.927599999999998</v>
      </c>
      <c r="G1099" s="14">
        <f t="shared" si="31"/>
        <v>69.198975000000004</v>
      </c>
      <c r="H1099" s="14">
        <f t="shared" si="31"/>
        <v>69.064266666666668</v>
      </c>
      <c r="I1099" s="14">
        <f t="shared" si="31"/>
        <v>69.064266666666668</v>
      </c>
      <c r="J1099" s="14">
        <f t="shared" si="31"/>
        <v>69.064266666666668</v>
      </c>
      <c r="K1099" s="14">
        <f t="shared" si="31"/>
        <v>69.064266666666668</v>
      </c>
      <c r="L1099" s="14"/>
    </row>
    <row r="1100" spans="1:12" ht="15" x14ac:dyDescent="0.2">
      <c r="A1100" s="10">
        <f t="shared" si="25"/>
        <v>2044</v>
      </c>
      <c r="B1100" s="14">
        <f>AVERAGE(B384:B395)</f>
        <v>70.738458333333355</v>
      </c>
      <c r="C1100" s="14">
        <f>AVERAGE(C384:C395)</f>
        <v>70.30619999999999</v>
      </c>
      <c r="D1100" s="14"/>
      <c r="E1100" s="14">
        <f t="shared" ref="E1100:K1100" si="32">AVERAGE(E384:E395)</f>
        <v>70.16953333333332</v>
      </c>
      <c r="F1100" s="14">
        <f t="shared" si="32"/>
        <v>70.16953333333332</v>
      </c>
      <c r="G1100" s="14">
        <f t="shared" si="32"/>
        <v>70.44090833333334</v>
      </c>
      <c r="H1100" s="14">
        <f t="shared" si="32"/>
        <v>70.30619999999999</v>
      </c>
      <c r="I1100" s="14">
        <f t="shared" si="32"/>
        <v>70.30619999999999</v>
      </c>
      <c r="J1100" s="14">
        <f t="shared" si="32"/>
        <v>70.30619999999999</v>
      </c>
      <c r="K1100" s="14">
        <f t="shared" si="32"/>
        <v>70.30619999999999</v>
      </c>
      <c r="L1100" s="14"/>
    </row>
    <row r="1101" spans="1:12" ht="15" x14ac:dyDescent="0.2">
      <c r="A1101" s="10">
        <f t="shared" si="25"/>
        <v>2045</v>
      </c>
      <c r="B1101" s="14">
        <f>AVERAGE(B396:B407)</f>
        <v>72.003349999999998</v>
      </c>
      <c r="C1101" s="14">
        <f>AVERAGE(C396:C407)</f>
        <v>71.571083333333334</v>
      </c>
      <c r="D1101" s="14"/>
      <c r="E1101" s="14">
        <f t="shared" ref="E1101:K1101" si="33">AVERAGE(E396:E407)</f>
        <v>71.434441666666658</v>
      </c>
      <c r="F1101" s="14">
        <f t="shared" si="33"/>
        <v>71.434441666666658</v>
      </c>
      <c r="G1101" s="14">
        <f t="shared" si="33"/>
        <v>71.705808333333323</v>
      </c>
      <c r="H1101" s="14">
        <f t="shared" si="33"/>
        <v>71.571083333333334</v>
      </c>
      <c r="I1101" s="14">
        <f t="shared" si="33"/>
        <v>71.571083333333334</v>
      </c>
      <c r="J1101" s="14">
        <f t="shared" si="33"/>
        <v>71.571083333333334</v>
      </c>
      <c r="K1101" s="14">
        <f t="shared" si="33"/>
        <v>71.571083333333334</v>
      </c>
      <c r="L1101" s="14"/>
    </row>
    <row r="1102" spans="1:12" ht="15" x14ac:dyDescent="0.2">
      <c r="A1102" s="10">
        <f t="shared" si="25"/>
        <v>2046</v>
      </c>
      <c r="B1102" s="14">
        <f>AVERAGE(B408:B419)</f>
        <v>73.291624999999996</v>
      </c>
      <c r="C1102" s="14">
        <f>AVERAGE(C408:C419)</f>
        <v>72.859358333333333</v>
      </c>
      <c r="D1102" s="14"/>
      <c r="E1102" s="14">
        <f t="shared" ref="E1102:K1102" si="34">AVERAGE(E408:E419)</f>
        <v>72.722716666666656</v>
      </c>
      <c r="F1102" s="14">
        <f t="shared" si="34"/>
        <v>72.722716666666656</v>
      </c>
      <c r="G1102" s="14">
        <f t="shared" si="34"/>
        <v>72.994099999999989</v>
      </c>
      <c r="H1102" s="14">
        <f t="shared" si="34"/>
        <v>72.859358333333333</v>
      </c>
      <c r="I1102" s="14">
        <f t="shared" si="34"/>
        <v>72.859358333333333</v>
      </c>
      <c r="J1102" s="14">
        <f t="shared" si="34"/>
        <v>72.859358333333333</v>
      </c>
      <c r="K1102" s="14">
        <f t="shared" si="34"/>
        <v>72.859358333333333</v>
      </c>
      <c r="L1102" s="14"/>
    </row>
    <row r="1103" spans="1:12" ht="15" x14ac:dyDescent="0.2">
      <c r="A1103" s="10">
        <f t="shared" si="25"/>
        <v>2047</v>
      </c>
      <c r="B1103" s="14">
        <f>AVERAGE(B420:B431)</f>
        <v>74.60370833333333</v>
      </c>
      <c r="C1103" s="14">
        <f>AVERAGE(C420:C431)</f>
        <v>74.171433333333326</v>
      </c>
      <c r="D1103" s="14"/>
      <c r="E1103" s="14">
        <f t="shared" ref="E1103:K1103" si="35">AVERAGE(E420:E431)</f>
        <v>74.034791666666663</v>
      </c>
      <c r="F1103" s="14">
        <f t="shared" si="35"/>
        <v>74.034791666666663</v>
      </c>
      <c r="G1103" s="14">
        <f t="shared" si="35"/>
        <v>74.306158333333329</v>
      </c>
      <c r="H1103" s="14">
        <f t="shared" si="35"/>
        <v>74.171433333333326</v>
      </c>
      <c r="I1103" s="14">
        <f t="shared" si="35"/>
        <v>74.171433333333326</v>
      </c>
      <c r="J1103" s="14">
        <f t="shared" si="35"/>
        <v>74.171433333333326</v>
      </c>
      <c r="K1103" s="14">
        <f t="shared" si="35"/>
        <v>74.171433333333326</v>
      </c>
      <c r="L1103" s="14"/>
    </row>
    <row r="1104" spans="1:12" ht="15" x14ac:dyDescent="0.2">
      <c r="A1104" s="10">
        <f t="shared" si="25"/>
        <v>2048</v>
      </c>
      <c r="B1104" s="14">
        <f>AVERAGE(B432:B443)</f>
        <v>75.940016666666679</v>
      </c>
      <c r="C1104" s="14">
        <f>AVERAGE(C432:C443)</f>
        <v>75.507791666666677</v>
      </c>
      <c r="D1104" s="14"/>
      <c r="E1104" s="14">
        <f t="shared" ref="E1104:K1104" si="36">AVERAGE(E432:E443)</f>
        <v>75.371108333333339</v>
      </c>
      <c r="F1104" s="14">
        <f t="shared" si="36"/>
        <v>75.371108333333339</v>
      </c>
      <c r="G1104" s="14">
        <f t="shared" si="36"/>
        <v>75.642499999999998</v>
      </c>
      <c r="H1104" s="14">
        <f t="shared" si="36"/>
        <v>75.507791666666677</v>
      </c>
      <c r="I1104" s="14">
        <f t="shared" si="36"/>
        <v>75.507791666666677</v>
      </c>
      <c r="J1104" s="14">
        <f t="shared" si="36"/>
        <v>75.507791666666677</v>
      </c>
      <c r="K1104" s="14">
        <f t="shared" si="36"/>
        <v>75.507791666666677</v>
      </c>
      <c r="L1104" s="14"/>
    </row>
    <row r="1105" spans="1:12" ht="15" x14ac:dyDescent="0.2">
      <c r="A1105" s="10">
        <f t="shared" si="25"/>
        <v>2049</v>
      </c>
      <c r="B1105" s="14">
        <f>AVERAGE(B444:B455)</f>
        <v>77.301041666666677</v>
      </c>
      <c r="C1105" s="14">
        <f>AVERAGE(C444:C455)</f>
        <v>76.86880833333332</v>
      </c>
      <c r="D1105" s="14"/>
      <c r="E1105" s="14">
        <f t="shared" ref="E1105:K1105" si="37">AVERAGE(E444:E455)</f>
        <v>76.732141666666664</v>
      </c>
      <c r="F1105" s="14">
        <f t="shared" si="37"/>
        <v>76.732141666666664</v>
      </c>
      <c r="G1105" s="14">
        <f t="shared" si="37"/>
        <v>77.003533333333351</v>
      </c>
      <c r="H1105" s="14">
        <f t="shared" si="37"/>
        <v>76.86880833333332</v>
      </c>
      <c r="I1105" s="14">
        <f t="shared" si="37"/>
        <v>76.86880833333332</v>
      </c>
      <c r="J1105" s="14">
        <f t="shared" si="37"/>
        <v>76.86880833333332</v>
      </c>
      <c r="K1105" s="14">
        <f t="shared" si="37"/>
        <v>76.86880833333332</v>
      </c>
      <c r="L1105" s="14"/>
    </row>
    <row r="1106" spans="1:12" ht="15" x14ac:dyDescent="0.2">
      <c r="A1106" s="10">
        <f t="shared" si="25"/>
        <v>2050</v>
      </c>
      <c r="B1106" s="14">
        <f>AVERAGE(B456:B467)</f>
        <v>78.687233333333339</v>
      </c>
      <c r="C1106" s="14">
        <f>AVERAGE(C456:C467)</f>
        <v>78.254991666666669</v>
      </c>
      <c r="D1106" s="14"/>
      <c r="E1106" s="14">
        <f t="shared" ref="E1106:K1106" si="38">AVERAGE(E456:E467)</f>
        <v>78.118316666666672</v>
      </c>
      <c r="F1106" s="14">
        <f t="shared" si="38"/>
        <v>78.118316666666672</v>
      </c>
      <c r="G1106" s="14">
        <f t="shared" si="38"/>
        <v>78.389699999999991</v>
      </c>
      <c r="H1106" s="14">
        <f t="shared" si="38"/>
        <v>78.254991666666669</v>
      </c>
      <c r="I1106" s="14">
        <f t="shared" si="38"/>
        <v>78.254991666666669</v>
      </c>
      <c r="J1106" s="14">
        <f t="shared" si="38"/>
        <v>78.254991666666669</v>
      </c>
      <c r="K1106" s="14">
        <f t="shared" si="38"/>
        <v>78.254991666666669</v>
      </c>
      <c r="L1106" s="14"/>
    </row>
    <row r="1107" spans="1:12" ht="15" x14ac:dyDescent="0.2">
      <c r="A1107" s="10">
        <f t="shared" si="25"/>
        <v>2051</v>
      </c>
      <c r="B1107" s="14">
        <f>AVERAGE(B468:B479)</f>
        <v>80.099024999999997</v>
      </c>
      <c r="C1107" s="14">
        <f>AVERAGE(C468:C479)</f>
        <v>79.666791666666668</v>
      </c>
      <c r="D1107" s="14"/>
      <c r="E1107" s="14">
        <f t="shared" ref="E1107:K1107" si="39">AVERAGE(E468:E479)</f>
        <v>79.530125000000012</v>
      </c>
      <c r="F1107" s="14">
        <f t="shared" si="39"/>
        <v>79.530125000000012</v>
      </c>
      <c r="G1107" s="14">
        <f t="shared" si="39"/>
        <v>79.801500000000004</v>
      </c>
      <c r="H1107" s="14">
        <f t="shared" si="39"/>
        <v>79.666791666666668</v>
      </c>
      <c r="I1107" s="14">
        <f t="shared" si="39"/>
        <v>79.666791666666668</v>
      </c>
      <c r="J1107" s="14">
        <f t="shared" si="39"/>
        <v>79.666791666666668</v>
      </c>
      <c r="K1107" s="14">
        <f t="shared" si="39"/>
        <v>79.666791666666668</v>
      </c>
      <c r="L1107" s="14"/>
    </row>
    <row r="1108" spans="1:12" ht="15" x14ac:dyDescent="0.2">
      <c r="A1108" s="10">
        <f t="shared" si="25"/>
        <v>2052</v>
      </c>
      <c r="B1108" s="14">
        <f>AVERAGE(B480:B491)</f>
        <v>81.536908333333329</v>
      </c>
      <c r="C1108" s="14">
        <f>AVERAGE(C480:C491)</f>
        <v>81.104666666666674</v>
      </c>
      <c r="D1108" s="14"/>
      <c r="E1108" s="14">
        <f t="shared" ref="E1108:K1108" si="40">AVERAGE(E480:E491)</f>
        <v>80.968000000000004</v>
      </c>
      <c r="F1108" s="14">
        <f t="shared" si="40"/>
        <v>80.968000000000004</v>
      </c>
      <c r="G1108" s="14">
        <f t="shared" si="40"/>
        <v>81.239383333333322</v>
      </c>
      <c r="H1108" s="14">
        <f t="shared" si="40"/>
        <v>81.104666666666674</v>
      </c>
      <c r="I1108" s="14">
        <f t="shared" si="40"/>
        <v>81.104666666666674</v>
      </c>
      <c r="J1108" s="14">
        <f t="shared" si="40"/>
        <v>81.104666666666674</v>
      </c>
      <c r="K1108" s="14">
        <f t="shared" si="40"/>
        <v>81.104666666666674</v>
      </c>
      <c r="L1108" s="14"/>
    </row>
    <row r="1109" spans="1:12" ht="15" x14ac:dyDescent="0.2">
      <c r="A1109" s="10">
        <f t="shared" si="25"/>
        <v>2053</v>
      </c>
      <c r="B1109" s="14">
        <f>AVERAGE(B492:B503)</f>
        <v>83.001366666666655</v>
      </c>
      <c r="C1109" s="14">
        <f>AVERAGE(C492:C503)</f>
        <v>82.56913333333334</v>
      </c>
      <c r="D1109" s="14"/>
      <c r="E1109" s="14">
        <f t="shared" ref="E1109:K1109" si="41">AVERAGE(E492:E503)</f>
        <v>82.43246666666667</v>
      </c>
      <c r="F1109" s="14">
        <f t="shared" si="41"/>
        <v>82.43246666666667</v>
      </c>
      <c r="G1109" s="14">
        <f t="shared" si="41"/>
        <v>82.703841666666662</v>
      </c>
      <c r="H1109" s="14">
        <f t="shared" si="41"/>
        <v>82.56913333333334</v>
      </c>
      <c r="I1109" s="14">
        <f t="shared" si="41"/>
        <v>82.56913333333334</v>
      </c>
      <c r="J1109" s="14">
        <f t="shared" si="41"/>
        <v>82.56913333333334</v>
      </c>
      <c r="K1109" s="14">
        <f t="shared" si="41"/>
        <v>82.56913333333334</v>
      </c>
      <c r="L1109" s="14"/>
    </row>
    <row r="1110" spans="1:12" ht="15" x14ac:dyDescent="0.2">
      <c r="A1110" s="10">
        <f t="shared" si="25"/>
        <v>2054</v>
      </c>
      <c r="B1110" s="14">
        <f>AVERAGE(B504:B515)</f>
        <v>84.492891666666665</v>
      </c>
      <c r="C1110" s="14">
        <f>AVERAGE(C504:C515)</f>
        <v>84.060658333333336</v>
      </c>
      <c r="D1110" s="14"/>
      <c r="E1110" s="14">
        <f t="shared" ref="E1110:K1110" si="42">AVERAGE(E504:E515)</f>
        <v>83.923983333333339</v>
      </c>
      <c r="F1110" s="14">
        <f t="shared" si="42"/>
        <v>83.923983333333339</v>
      </c>
      <c r="G1110" s="14">
        <f t="shared" si="42"/>
        <v>84.195366666666658</v>
      </c>
      <c r="H1110" s="14">
        <f t="shared" si="42"/>
        <v>84.060658333333336</v>
      </c>
      <c r="I1110" s="14">
        <f t="shared" si="42"/>
        <v>84.060658333333336</v>
      </c>
      <c r="J1110" s="14">
        <f t="shared" si="42"/>
        <v>84.060658333333336</v>
      </c>
      <c r="K1110" s="14">
        <f t="shared" si="42"/>
        <v>84.060658333333336</v>
      </c>
      <c r="L1110" s="14"/>
    </row>
    <row r="1111" spans="1:12" ht="15" x14ac:dyDescent="0.2">
      <c r="A1111" s="10">
        <f t="shared" si="25"/>
        <v>2055</v>
      </c>
      <c r="B1111" s="14">
        <f>AVERAGE(B516:B527)</f>
        <v>86.011983333333333</v>
      </c>
      <c r="C1111" s="14">
        <f>AVERAGE(C516:C527)</f>
        <v>85.57974999999999</v>
      </c>
      <c r="D1111" s="14"/>
      <c r="E1111" s="14">
        <f t="shared" ref="E1111:K1111" si="43">AVERAGE(E516:E527)</f>
        <v>85.443075000000007</v>
      </c>
      <c r="F1111" s="14">
        <f t="shared" si="43"/>
        <v>85.443075000000007</v>
      </c>
      <c r="G1111" s="14">
        <f t="shared" si="43"/>
        <v>85.714449999999999</v>
      </c>
      <c r="H1111" s="14">
        <f t="shared" si="43"/>
        <v>85.57974999999999</v>
      </c>
      <c r="I1111" s="14">
        <f t="shared" si="43"/>
        <v>85.57974999999999</v>
      </c>
      <c r="J1111" s="14">
        <f t="shared" si="43"/>
        <v>85.57974999999999</v>
      </c>
      <c r="K1111" s="14">
        <f t="shared" si="43"/>
        <v>85.57974999999999</v>
      </c>
      <c r="L1111" s="14"/>
    </row>
    <row r="1112" spans="1:12" ht="15" x14ac:dyDescent="0.2">
      <c r="A1112" s="10">
        <f t="shared" si="25"/>
        <v>2056</v>
      </c>
      <c r="B1112" s="14">
        <f>AVERAGE(B528:B539)</f>
        <v>87.559150000000002</v>
      </c>
      <c r="C1112" s="14">
        <f>AVERAGE(C528:C539)</f>
        <v>87.126908333333333</v>
      </c>
      <c r="D1112" s="14"/>
      <c r="E1112" s="14">
        <f t="shared" ref="E1112:K1112" si="44">AVERAGE(E528:E539)</f>
        <v>86.990250000000003</v>
      </c>
      <c r="F1112" s="14">
        <f t="shared" si="44"/>
        <v>86.990250000000003</v>
      </c>
      <c r="G1112" s="14">
        <f t="shared" si="44"/>
        <v>87.261633333333336</v>
      </c>
      <c r="H1112" s="14">
        <f t="shared" si="44"/>
        <v>87.126908333333333</v>
      </c>
      <c r="I1112" s="14">
        <f t="shared" si="44"/>
        <v>87.126908333333333</v>
      </c>
      <c r="J1112" s="14">
        <f t="shared" si="44"/>
        <v>87.126908333333333</v>
      </c>
      <c r="K1112" s="14">
        <f t="shared" si="44"/>
        <v>87.126908333333333</v>
      </c>
      <c r="L1112" s="14"/>
    </row>
    <row r="1113" spans="1:12" ht="15" x14ac:dyDescent="0.2">
      <c r="A1113" s="10">
        <f t="shared" si="25"/>
        <v>2057</v>
      </c>
      <c r="B1113" s="14">
        <f>AVERAGE(B540:B551)</f>
        <v>89.134916666666655</v>
      </c>
      <c r="C1113" s="14">
        <f>AVERAGE(C540:C551)</f>
        <v>88.702650000000006</v>
      </c>
      <c r="D1113" s="14"/>
      <c r="E1113" s="14">
        <f t="shared" ref="E1113:K1113" si="45">AVERAGE(E540:E551)</f>
        <v>88.566008333333343</v>
      </c>
      <c r="F1113" s="14">
        <f t="shared" si="45"/>
        <v>88.566008333333343</v>
      </c>
      <c r="G1113" s="14">
        <f t="shared" si="45"/>
        <v>88.837391666666676</v>
      </c>
      <c r="H1113" s="14">
        <f t="shared" si="45"/>
        <v>88.702650000000006</v>
      </c>
      <c r="I1113" s="14">
        <f t="shared" si="45"/>
        <v>88.702650000000006</v>
      </c>
      <c r="J1113" s="14">
        <f t="shared" si="45"/>
        <v>88.702650000000006</v>
      </c>
      <c r="K1113" s="14">
        <f t="shared" si="45"/>
        <v>88.702650000000006</v>
      </c>
      <c r="L1113" s="14"/>
    </row>
    <row r="1114" spans="1:12" ht="15" x14ac:dyDescent="0.2">
      <c r="A1114" s="10">
        <f t="shared" si="25"/>
        <v>2058</v>
      </c>
      <c r="B1114" s="14">
        <f>AVERAGE(B552:B563)</f>
        <v>90.739791666666648</v>
      </c>
      <c r="C1114" s="14">
        <f>AVERAGE(C552:C563)</f>
        <v>90.307541666666665</v>
      </c>
      <c r="D1114" s="14"/>
      <c r="E1114" s="14">
        <f t="shared" ref="E1114:K1114" si="46">AVERAGE(E552:E563)</f>
        <v>90.170874999999981</v>
      </c>
      <c r="F1114" s="14">
        <f t="shared" si="46"/>
        <v>90.170874999999981</v>
      </c>
      <c r="G1114" s="14">
        <f t="shared" si="46"/>
        <v>90.442266666666683</v>
      </c>
      <c r="H1114" s="14">
        <f t="shared" si="46"/>
        <v>90.307541666666665</v>
      </c>
      <c r="I1114" s="14">
        <f t="shared" si="46"/>
        <v>90.307541666666665</v>
      </c>
      <c r="J1114" s="14">
        <f t="shared" si="46"/>
        <v>90.307541666666665</v>
      </c>
      <c r="K1114" s="14">
        <f t="shared" si="46"/>
        <v>90.307541666666665</v>
      </c>
      <c r="L1114" s="14"/>
    </row>
    <row r="1115" spans="1:12" ht="15" x14ac:dyDescent="0.2">
      <c r="A1115" s="10">
        <f t="shared" si="25"/>
        <v>2059</v>
      </c>
      <c r="B1115" s="14">
        <f>AVERAGE(B564:B575)</f>
        <v>92.374324999999999</v>
      </c>
      <c r="C1115" s="14">
        <f>AVERAGE(C564:C575)</f>
        <v>91.942066666666676</v>
      </c>
      <c r="D1115" s="14"/>
      <c r="E1115" s="14">
        <f t="shared" ref="E1115:K1115" si="47">AVERAGE(E564:E575)</f>
        <v>91.805416666666659</v>
      </c>
      <c r="F1115" s="14">
        <f t="shared" si="47"/>
        <v>91.805416666666659</v>
      </c>
      <c r="G1115" s="14">
        <f t="shared" si="47"/>
        <v>92.076783333333324</v>
      </c>
      <c r="H1115" s="14">
        <f t="shared" si="47"/>
        <v>91.942066666666676</v>
      </c>
      <c r="I1115" s="14">
        <f t="shared" si="47"/>
        <v>91.942066666666676</v>
      </c>
      <c r="J1115" s="14">
        <f t="shared" si="47"/>
        <v>91.942066666666676</v>
      </c>
      <c r="K1115" s="14">
        <f t="shared" si="47"/>
        <v>91.942066666666676</v>
      </c>
      <c r="L1115" s="14"/>
    </row>
    <row r="1116" spans="1:12" ht="15" x14ac:dyDescent="0.2">
      <c r="A1116" s="10">
        <f t="shared" si="25"/>
        <v>2060</v>
      </c>
      <c r="B1116" s="14">
        <f>AVERAGE(B576:B587)</f>
        <v>94.039083333333338</v>
      </c>
      <c r="C1116" s="14">
        <f>AVERAGE(C576:C587)</f>
        <v>93.606808333333333</v>
      </c>
      <c r="D1116" s="14"/>
      <c r="E1116" s="14">
        <f t="shared" ref="E1116:K1116" si="48">AVERAGE(E576:E587)</f>
        <v>93.470158333333316</v>
      </c>
      <c r="F1116" s="14">
        <f t="shared" si="48"/>
        <v>93.470158333333316</v>
      </c>
      <c r="G1116" s="14">
        <f t="shared" si="48"/>
        <v>93.741524999999982</v>
      </c>
      <c r="H1116" s="14">
        <f t="shared" si="48"/>
        <v>93.606808333333333</v>
      </c>
      <c r="I1116" s="14">
        <f t="shared" si="48"/>
        <v>93.606808333333333</v>
      </c>
      <c r="J1116" s="14">
        <f t="shared" si="48"/>
        <v>93.606808333333333</v>
      </c>
      <c r="K1116" s="14">
        <f t="shared" si="48"/>
        <v>93.606808333333333</v>
      </c>
      <c r="L1116" s="14"/>
    </row>
    <row r="1117" spans="1:12" ht="15" x14ac:dyDescent="0.2">
      <c r="A1117" s="10">
        <f t="shared" si="25"/>
        <v>2061</v>
      </c>
      <c r="B1117" s="14">
        <f>AVERAGE(B588:B599)</f>
        <v>95.734583333333333</v>
      </c>
      <c r="C1117" s="14">
        <f>AVERAGE(C588:C599)</f>
        <v>95.302324999999996</v>
      </c>
      <c r="D1117" s="14"/>
      <c r="E1117" s="14">
        <f t="shared" ref="E1117:K1117" si="49">AVERAGE(E588:E599)</f>
        <v>95.165675000000007</v>
      </c>
      <c r="F1117" s="14">
        <f t="shared" si="49"/>
        <v>95.165675000000007</v>
      </c>
      <c r="G1117" s="14">
        <f t="shared" si="49"/>
        <v>95.437041666666673</v>
      </c>
      <c r="H1117" s="14">
        <f t="shared" si="49"/>
        <v>95.302324999999996</v>
      </c>
      <c r="I1117" s="14">
        <f t="shared" si="49"/>
        <v>95.302324999999996</v>
      </c>
      <c r="J1117" s="14">
        <f t="shared" si="49"/>
        <v>95.302324999999996</v>
      </c>
      <c r="K1117" s="14">
        <f t="shared" si="49"/>
        <v>95.302324999999996</v>
      </c>
      <c r="L1117" s="14"/>
    </row>
    <row r="1118" spans="1:12" ht="15" x14ac:dyDescent="0.2">
      <c r="A1118" s="10">
        <f t="shared" si="25"/>
        <v>2062</v>
      </c>
      <c r="B1118" s="14">
        <f t="shared" ref="B1118:C1137" ca="1" si="50">AVERAGE(OFFSET(B$600,($A1118-$A$1118)*12,0,12,1))</f>
        <v>97.461416666666665</v>
      </c>
      <c r="C1118" s="14">
        <f t="shared" ca="1" si="50"/>
        <v>97.029175000000009</v>
      </c>
      <c r="D1118" s="14"/>
      <c r="E1118" s="14">
        <f t="shared" ref="E1118:K1127" ca="1" si="51">AVERAGE(OFFSET(E$600,($A1118-$A$1118)*12,0,12,1))</f>
        <v>96.892499999999984</v>
      </c>
      <c r="F1118" s="14">
        <f t="shared" ca="1" si="51"/>
        <v>96.892499999999984</v>
      </c>
      <c r="G1118" s="14">
        <f t="shared" ca="1" si="51"/>
        <v>97.163875000000004</v>
      </c>
      <c r="H1118" s="14">
        <f t="shared" ca="1" si="51"/>
        <v>97.029175000000009</v>
      </c>
      <c r="I1118" s="14">
        <f t="shared" ca="1" si="51"/>
        <v>97.029175000000009</v>
      </c>
      <c r="J1118" s="14">
        <f t="shared" ca="1" si="51"/>
        <v>97.029175000000009</v>
      </c>
      <c r="K1118" s="14">
        <f t="shared" ca="1" si="51"/>
        <v>97.029175000000009</v>
      </c>
    </row>
    <row r="1119" spans="1:12" ht="15" x14ac:dyDescent="0.2">
      <c r="A1119" s="10">
        <f t="shared" si="25"/>
        <v>2063</v>
      </c>
      <c r="B1119" s="14">
        <f t="shared" ca="1" si="50"/>
        <v>99.22018333333331</v>
      </c>
      <c r="C1119" s="14">
        <f t="shared" ca="1" si="50"/>
        <v>98.787908333333334</v>
      </c>
      <c r="D1119" s="14"/>
      <c r="E1119" s="14">
        <f t="shared" ca="1" si="51"/>
        <v>98.651274999999998</v>
      </c>
      <c r="F1119" s="14">
        <f t="shared" ca="1" si="51"/>
        <v>98.651274999999998</v>
      </c>
      <c r="G1119" s="14">
        <f t="shared" ca="1" si="51"/>
        <v>98.922641666666664</v>
      </c>
      <c r="H1119" s="14">
        <f t="shared" ca="1" si="51"/>
        <v>98.787908333333334</v>
      </c>
      <c r="I1119" s="14">
        <f t="shared" ca="1" si="51"/>
        <v>98.787908333333334</v>
      </c>
      <c r="J1119" s="14">
        <f t="shared" ca="1" si="51"/>
        <v>98.787908333333334</v>
      </c>
      <c r="K1119" s="14">
        <f t="shared" ca="1" si="51"/>
        <v>98.787908333333334</v>
      </c>
    </row>
    <row r="1120" spans="1:12" ht="15" x14ac:dyDescent="0.2">
      <c r="A1120" s="10">
        <f t="shared" si="25"/>
        <v>2064</v>
      </c>
      <c r="B1120" s="14">
        <f t="shared" ca="1" si="50"/>
        <v>101.01144999999998</v>
      </c>
      <c r="C1120" s="14">
        <f t="shared" ca="1" si="50"/>
        <v>100.57918333333333</v>
      </c>
      <c r="D1120" s="14"/>
      <c r="E1120" s="14">
        <f t="shared" ca="1" si="51"/>
        <v>100.44253333333332</v>
      </c>
      <c r="F1120" s="14">
        <f t="shared" ca="1" si="51"/>
        <v>100.44253333333332</v>
      </c>
      <c r="G1120" s="14">
        <f t="shared" ca="1" si="51"/>
        <v>100.71389166666665</v>
      </c>
      <c r="H1120" s="14">
        <f t="shared" ca="1" si="51"/>
        <v>100.57918333333333</v>
      </c>
      <c r="I1120" s="14">
        <f t="shared" ca="1" si="51"/>
        <v>100.57918333333333</v>
      </c>
      <c r="J1120" s="14">
        <f t="shared" ca="1" si="51"/>
        <v>100.57918333333333</v>
      </c>
      <c r="K1120" s="14">
        <f t="shared" ca="1" si="51"/>
        <v>100.57918333333333</v>
      </c>
    </row>
    <row r="1121" spans="1:11" ht="15" x14ac:dyDescent="0.2">
      <c r="A1121" s="10">
        <f t="shared" si="25"/>
        <v>2065</v>
      </c>
      <c r="B1121" s="14">
        <f t="shared" ca="1" si="50"/>
        <v>102.83578333333332</v>
      </c>
      <c r="C1121" s="14">
        <f t="shared" ca="1" si="50"/>
        <v>102.40355</v>
      </c>
      <c r="D1121" s="14"/>
      <c r="E1121" s="14">
        <f t="shared" ca="1" si="51"/>
        <v>102.26687500000001</v>
      </c>
      <c r="F1121" s="14">
        <f t="shared" ca="1" si="51"/>
        <v>102.26687500000001</v>
      </c>
      <c r="G1121" s="14">
        <f t="shared" ca="1" si="51"/>
        <v>102.53825833333333</v>
      </c>
      <c r="H1121" s="14">
        <f t="shared" ca="1" si="51"/>
        <v>102.40355</v>
      </c>
      <c r="I1121" s="14">
        <f t="shared" ca="1" si="51"/>
        <v>102.40355</v>
      </c>
      <c r="J1121" s="14">
        <f t="shared" ca="1" si="51"/>
        <v>102.40355</v>
      </c>
      <c r="K1121" s="14">
        <f t="shared" ca="1" si="51"/>
        <v>102.40355</v>
      </c>
    </row>
    <row r="1122" spans="1:11" ht="15" x14ac:dyDescent="0.2">
      <c r="A1122" s="10">
        <f t="shared" si="25"/>
        <v>2066</v>
      </c>
      <c r="B1122" s="14">
        <f t="shared" ca="1" si="50"/>
        <v>104.69388333333332</v>
      </c>
      <c r="C1122" s="14">
        <f t="shared" ca="1" si="50"/>
        <v>104.26161666666667</v>
      </c>
      <c r="D1122" s="14"/>
      <c r="E1122" s="14">
        <f t="shared" ca="1" si="51"/>
        <v>104.12498333333332</v>
      </c>
      <c r="F1122" s="14">
        <f t="shared" ca="1" si="51"/>
        <v>104.12498333333332</v>
      </c>
      <c r="G1122" s="14">
        <f t="shared" ca="1" si="51"/>
        <v>104.39635833333334</v>
      </c>
      <c r="H1122" s="14">
        <f t="shared" ca="1" si="51"/>
        <v>104.26161666666667</v>
      </c>
      <c r="I1122" s="14">
        <f t="shared" ca="1" si="51"/>
        <v>104.26161666666667</v>
      </c>
      <c r="J1122" s="14">
        <f t="shared" ca="1" si="51"/>
        <v>104.26161666666667</v>
      </c>
      <c r="K1122" s="14">
        <f t="shared" ca="1" si="51"/>
        <v>104.26161666666667</v>
      </c>
    </row>
    <row r="1123" spans="1:11" ht="15" x14ac:dyDescent="0.2">
      <c r="A1123" s="10">
        <f t="shared" si="25"/>
        <v>2067</v>
      </c>
      <c r="B1123" s="14">
        <f t="shared" ca="1" si="50"/>
        <v>106.58629999999998</v>
      </c>
      <c r="C1123" s="14">
        <f t="shared" ca="1" si="50"/>
        <v>106.15404166666666</v>
      </c>
      <c r="D1123" s="14"/>
      <c r="E1123" s="14">
        <f t="shared" ca="1" si="51"/>
        <v>106.01739999999999</v>
      </c>
      <c r="F1123" s="14">
        <f t="shared" ca="1" si="51"/>
        <v>106.01739999999999</v>
      </c>
      <c r="G1123" s="14">
        <f t="shared" ca="1" si="51"/>
        <v>106.28875833333332</v>
      </c>
      <c r="H1123" s="14">
        <f t="shared" ca="1" si="51"/>
        <v>106.15404166666666</v>
      </c>
      <c r="I1123" s="14">
        <f t="shared" ca="1" si="51"/>
        <v>106.15404166666666</v>
      </c>
      <c r="J1123" s="14">
        <f t="shared" ca="1" si="51"/>
        <v>106.15404166666666</v>
      </c>
      <c r="K1123" s="14">
        <f t="shared" ca="1" si="51"/>
        <v>106.15404166666666</v>
      </c>
    </row>
    <row r="1124" spans="1:11" ht="15" x14ac:dyDescent="0.2">
      <c r="A1124" s="10">
        <f t="shared" si="25"/>
        <v>2068</v>
      </c>
      <c r="B1124" s="14">
        <f t="shared" ca="1" si="50"/>
        <v>108.51367499999998</v>
      </c>
      <c r="C1124" s="14">
        <f t="shared" ca="1" si="50"/>
        <v>108.08145</v>
      </c>
      <c r="D1124" s="14"/>
      <c r="E1124" s="14">
        <f t="shared" ca="1" si="51"/>
        <v>107.94477499999999</v>
      </c>
      <c r="F1124" s="14">
        <f t="shared" ca="1" si="51"/>
        <v>107.94477499999999</v>
      </c>
      <c r="G1124" s="14">
        <f t="shared" ca="1" si="51"/>
        <v>108.21616666666667</v>
      </c>
      <c r="H1124" s="14">
        <f t="shared" ca="1" si="51"/>
        <v>108.08145</v>
      </c>
      <c r="I1124" s="14">
        <f t="shared" ca="1" si="51"/>
        <v>108.08145</v>
      </c>
      <c r="J1124" s="14">
        <f t="shared" ca="1" si="51"/>
        <v>108.08145</v>
      </c>
      <c r="K1124" s="14">
        <f t="shared" ca="1" si="51"/>
        <v>108.08145</v>
      </c>
    </row>
    <row r="1125" spans="1:11" ht="15" x14ac:dyDescent="0.2">
      <c r="A1125" s="10">
        <f t="shared" si="25"/>
        <v>2069</v>
      </c>
      <c r="B1125" s="14">
        <f t="shared" ca="1" si="50"/>
        <v>110.47668333333336</v>
      </c>
      <c r="C1125" s="14">
        <f t="shared" ca="1" si="50"/>
        <v>110.04446666666668</v>
      </c>
      <c r="D1125" s="14"/>
      <c r="E1125" s="14">
        <f t="shared" ca="1" si="51"/>
        <v>109.90778333333334</v>
      </c>
      <c r="F1125" s="14">
        <f t="shared" ca="1" si="51"/>
        <v>109.90778333333334</v>
      </c>
      <c r="G1125" s="14">
        <f t="shared" ca="1" si="51"/>
        <v>110.17916666666666</v>
      </c>
      <c r="H1125" s="14">
        <f t="shared" ca="1" si="51"/>
        <v>110.04446666666668</v>
      </c>
      <c r="I1125" s="14">
        <f t="shared" ca="1" si="51"/>
        <v>110.04446666666668</v>
      </c>
      <c r="J1125" s="14">
        <f t="shared" ca="1" si="51"/>
        <v>110.04446666666668</v>
      </c>
      <c r="K1125" s="14">
        <f t="shared" ca="1" si="51"/>
        <v>110.04446666666668</v>
      </c>
    </row>
    <row r="1126" spans="1:11" ht="15" x14ac:dyDescent="0.2">
      <c r="A1126" s="10">
        <f t="shared" ref="A1126:A1156" si="52">A1125+1</f>
        <v>2070</v>
      </c>
      <c r="B1126" s="14">
        <f t="shared" ca="1" si="50"/>
        <v>112.47599166666667</v>
      </c>
      <c r="C1126" s="14">
        <f t="shared" ca="1" si="50"/>
        <v>112.04374166666666</v>
      </c>
      <c r="D1126" s="14"/>
      <c r="E1126" s="14">
        <f t="shared" ca="1" si="51"/>
        <v>111.90709166666669</v>
      </c>
      <c r="F1126" s="14">
        <f t="shared" ca="1" si="51"/>
        <v>111.90709166666669</v>
      </c>
      <c r="G1126" s="14">
        <f t="shared" ca="1" si="51"/>
        <v>112.17845</v>
      </c>
      <c r="H1126" s="14">
        <f t="shared" ca="1" si="51"/>
        <v>112.04374166666666</v>
      </c>
      <c r="I1126" s="14">
        <f t="shared" ca="1" si="51"/>
        <v>112.04374166666666</v>
      </c>
      <c r="J1126" s="14">
        <f t="shared" ca="1" si="51"/>
        <v>112.04374166666666</v>
      </c>
      <c r="K1126" s="14">
        <f t="shared" ca="1" si="51"/>
        <v>112.04374166666666</v>
      </c>
    </row>
    <row r="1127" spans="1:11" ht="15" x14ac:dyDescent="0.2">
      <c r="A1127" s="10">
        <f t="shared" si="52"/>
        <v>2071</v>
      </c>
      <c r="B1127" s="14">
        <f t="shared" ca="1" si="50"/>
        <v>114.51222499999999</v>
      </c>
      <c r="C1127" s="14">
        <f t="shared" ca="1" si="50"/>
        <v>114.07997499999999</v>
      </c>
      <c r="D1127" s="14"/>
      <c r="E1127" s="14">
        <f t="shared" ca="1" si="51"/>
        <v>113.943325</v>
      </c>
      <c r="F1127" s="14">
        <f t="shared" ca="1" si="51"/>
        <v>113.943325</v>
      </c>
      <c r="G1127" s="14">
        <f t="shared" ca="1" si="51"/>
        <v>114.21468333333335</v>
      </c>
      <c r="H1127" s="14">
        <f t="shared" ca="1" si="51"/>
        <v>114.07997499999999</v>
      </c>
      <c r="I1127" s="14">
        <f t="shared" ca="1" si="51"/>
        <v>114.07997499999999</v>
      </c>
      <c r="J1127" s="14">
        <f t="shared" ca="1" si="51"/>
        <v>114.07997499999999</v>
      </c>
      <c r="K1127" s="14">
        <f t="shared" ca="1" si="51"/>
        <v>114.07997499999999</v>
      </c>
    </row>
    <row r="1128" spans="1:11" ht="15" x14ac:dyDescent="0.2">
      <c r="A1128" s="10">
        <f t="shared" si="52"/>
        <v>2072</v>
      </c>
      <c r="B1128" s="14">
        <f t="shared" ca="1" si="50"/>
        <v>116.58609166666663</v>
      </c>
      <c r="C1128" s="14">
        <f t="shared" ca="1" si="50"/>
        <v>116.15385833333333</v>
      </c>
      <c r="D1128" s="14"/>
      <c r="E1128" s="14">
        <f t="shared" ref="E1128:K1137" ca="1" si="53">AVERAGE(OFFSET(E$600,($A1128-$A$1118)*12,0,12,1))</f>
        <v>116.01718333333332</v>
      </c>
      <c r="F1128" s="14">
        <f t="shared" ca="1" si="53"/>
        <v>116.01718333333332</v>
      </c>
      <c r="G1128" s="14">
        <f t="shared" ca="1" si="53"/>
        <v>116.28855833333331</v>
      </c>
      <c r="H1128" s="14">
        <f t="shared" ca="1" si="53"/>
        <v>116.15385833333333</v>
      </c>
      <c r="I1128" s="14">
        <f t="shared" ca="1" si="53"/>
        <v>116.15385833333333</v>
      </c>
      <c r="J1128" s="14">
        <f t="shared" ca="1" si="53"/>
        <v>116.15385833333333</v>
      </c>
      <c r="K1128" s="14">
        <f t="shared" ca="1" si="53"/>
        <v>116.15385833333333</v>
      </c>
    </row>
    <row r="1129" spans="1:11" ht="15" x14ac:dyDescent="0.2">
      <c r="A1129" s="10">
        <f t="shared" si="52"/>
        <v>2073</v>
      </c>
      <c r="B1129" s="14">
        <f t="shared" ca="1" si="50"/>
        <v>118.69828333333334</v>
      </c>
      <c r="C1129" s="14">
        <f t="shared" ca="1" si="50"/>
        <v>118.26604166666665</v>
      </c>
      <c r="D1129" s="14"/>
      <c r="E1129" s="14">
        <f t="shared" ca="1" si="53"/>
        <v>118.12938333333334</v>
      </c>
      <c r="F1129" s="14">
        <f t="shared" ca="1" si="53"/>
        <v>118.12938333333334</v>
      </c>
      <c r="G1129" s="14">
        <f t="shared" ca="1" si="53"/>
        <v>118.40076666666668</v>
      </c>
      <c r="H1129" s="14">
        <f t="shared" ca="1" si="53"/>
        <v>118.26604166666665</v>
      </c>
      <c r="I1129" s="14">
        <f t="shared" ca="1" si="53"/>
        <v>118.26604166666665</v>
      </c>
      <c r="J1129" s="14">
        <f t="shared" ca="1" si="53"/>
        <v>118.26604166666665</v>
      </c>
      <c r="K1129" s="14">
        <f t="shared" ca="1" si="53"/>
        <v>118.26604166666665</v>
      </c>
    </row>
    <row r="1130" spans="1:11" ht="15" x14ac:dyDescent="0.2">
      <c r="A1130" s="10">
        <f t="shared" si="52"/>
        <v>2074</v>
      </c>
      <c r="B1130" s="14">
        <f t="shared" ca="1" si="50"/>
        <v>120.84951666666667</v>
      </c>
      <c r="C1130" s="14">
        <f t="shared" ca="1" si="50"/>
        <v>120.417275</v>
      </c>
      <c r="D1130" s="14"/>
      <c r="E1130" s="14">
        <f t="shared" ca="1" si="53"/>
        <v>120.28060833333336</v>
      </c>
      <c r="F1130" s="14">
        <f t="shared" ca="1" si="53"/>
        <v>120.28060833333336</v>
      </c>
      <c r="G1130" s="14">
        <f t="shared" ca="1" si="53"/>
        <v>120.55197500000001</v>
      </c>
      <c r="H1130" s="14">
        <f t="shared" ca="1" si="53"/>
        <v>120.417275</v>
      </c>
      <c r="I1130" s="14">
        <f t="shared" ca="1" si="53"/>
        <v>120.417275</v>
      </c>
      <c r="J1130" s="14">
        <f t="shared" ca="1" si="53"/>
        <v>120.417275</v>
      </c>
      <c r="K1130" s="14">
        <f t="shared" ca="1" si="53"/>
        <v>120.417275</v>
      </c>
    </row>
    <row r="1131" spans="1:11" ht="15" x14ac:dyDescent="0.2">
      <c r="A1131" s="10">
        <f t="shared" si="52"/>
        <v>2075</v>
      </c>
      <c r="B1131" s="14">
        <f t="shared" ca="1" si="50"/>
        <v>123.04050833333336</v>
      </c>
      <c r="C1131" s="14">
        <f t="shared" ca="1" si="50"/>
        <v>122.60825833333331</v>
      </c>
      <c r="D1131" s="14"/>
      <c r="E1131" s="14">
        <f t="shared" ca="1" si="53"/>
        <v>122.47159166666665</v>
      </c>
      <c r="F1131" s="14">
        <f t="shared" ca="1" si="53"/>
        <v>122.47159166666665</v>
      </c>
      <c r="G1131" s="14">
        <f t="shared" ca="1" si="53"/>
        <v>122.74296666666667</v>
      </c>
      <c r="H1131" s="14">
        <f t="shared" ca="1" si="53"/>
        <v>122.60825833333331</v>
      </c>
      <c r="I1131" s="14">
        <f t="shared" ca="1" si="53"/>
        <v>122.60825833333331</v>
      </c>
      <c r="J1131" s="14">
        <f t="shared" ca="1" si="53"/>
        <v>122.60825833333331</v>
      </c>
      <c r="K1131" s="14">
        <f t="shared" ca="1" si="53"/>
        <v>122.60825833333331</v>
      </c>
    </row>
    <row r="1132" spans="1:11" ht="15" x14ac:dyDescent="0.2">
      <c r="A1132" s="10">
        <f t="shared" si="52"/>
        <v>2076</v>
      </c>
      <c r="B1132" s="14">
        <f t="shared" ca="1" si="50"/>
        <v>125.27197500000001</v>
      </c>
      <c r="C1132" s="14">
        <f t="shared" ca="1" si="50"/>
        <v>124.83974166666667</v>
      </c>
      <c r="D1132" s="14"/>
      <c r="E1132" s="14">
        <f t="shared" ca="1" si="53"/>
        <v>124.70307500000001</v>
      </c>
      <c r="F1132" s="14">
        <f t="shared" ca="1" si="53"/>
        <v>124.70307500000001</v>
      </c>
      <c r="G1132" s="14">
        <f t="shared" ca="1" si="53"/>
        <v>124.97445833333335</v>
      </c>
      <c r="H1132" s="14">
        <f t="shared" ca="1" si="53"/>
        <v>124.83974166666667</v>
      </c>
      <c r="I1132" s="14">
        <f t="shared" ca="1" si="53"/>
        <v>124.83974166666667</v>
      </c>
      <c r="J1132" s="14">
        <f t="shared" ca="1" si="53"/>
        <v>124.83974166666667</v>
      </c>
      <c r="K1132" s="14">
        <f t="shared" ca="1" si="53"/>
        <v>124.83974166666667</v>
      </c>
    </row>
    <row r="1133" spans="1:11" ht="15" x14ac:dyDescent="0.2">
      <c r="A1133" s="10">
        <f t="shared" si="52"/>
        <v>2077</v>
      </c>
      <c r="B1133" s="14">
        <f t="shared" ca="1" si="50"/>
        <v>127.54470000000002</v>
      </c>
      <c r="C1133" s="14">
        <f t="shared" ca="1" si="50"/>
        <v>127.11244166666664</v>
      </c>
      <c r="D1133" s="14"/>
      <c r="E1133" s="14">
        <f t="shared" ca="1" si="53"/>
        <v>126.97580000000001</v>
      </c>
      <c r="F1133" s="14">
        <f t="shared" ca="1" si="53"/>
        <v>126.97580000000001</v>
      </c>
      <c r="G1133" s="14">
        <f t="shared" ca="1" si="53"/>
        <v>127.24717499999998</v>
      </c>
      <c r="H1133" s="14">
        <f t="shared" ca="1" si="53"/>
        <v>127.11244166666664</v>
      </c>
      <c r="I1133" s="14">
        <f t="shared" ca="1" si="53"/>
        <v>127.11244166666664</v>
      </c>
      <c r="J1133" s="14">
        <f t="shared" ca="1" si="53"/>
        <v>127.11244166666664</v>
      </c>
      <c r="K1133" s="14">
        <f t="shared" ca="1" si="53"/>
        <v>127.11244166666664</v>
      </c>
    </row>
    <row r="1134" spans="1:11" ht="15" x14ac:dyDescent="0.2">
      <c r="A1134" s="10">
        <f t="shared" si="52"/>
        <v>2078</v>
      </c>
      <c r="B1134" s="14">
        <f t="shared" ca="1" si="50"/>
        <v>129.85941666666668</v>
      </c>
      <c r="C1134" s="14">
        <f t="shared" ca="1" si="50"/>
        <v>129.42716666666669</v>
      </c>
      <c r="D1134" s="14"/>
      <c r="E1134" s="14">
        <f t="shared" ca="1" si="53"/>
        <v>129.29051666666666</v>
      </c>
      <c r="F1134" s="14">
        <f t="shared" ca="1" si="53"/>
        <v>129.29051666666666</v>
      </c>
      <c r="G1134" s="14">
        <f t="shared" ca="1" si="53"/>
        <v>129.56190000000001</v>
      </c>
      <c r="H1134" s="14">
        <f t="shared" ca="1" si="53"/>
        <v>129.42716666666669</v>
      </c>
      <c r="I1134" s="14">
        <f t="shared" ca="1" si="53"/>
        <v>129.42716666666669</v>
      </c>
      <c r="J1134" s="14">
        <f t="shared" ca="1" si="53"/>
        <v>129.42716666666669</v>
      </c>
      <c r="K1134" s="14">
        <f t="shared" ca="1" si="53"/>
        <v>129.42716666666669</v>
      </c>
    </row>
    <row r="1135" spans="1:11" ht="15" x14ac:dyDescent="0.2">
      <c r="A1135" s="10">
        <f t="shared" si="52"/>
        <v>2079</v>
      </c>
      <c r="B1135" s="14">
        <f t="shared" ca="1" si="50"/>
        <v>132.21692499999997</v>
      </c>
      <c r="C1135" s="14">
        <f t="shared" ca="1" si="50"/>
        <v>131.78465833333334</v>
      </c>
      <c r="D1135" s="14"/>
      <c r="E1135" s="14">
        <f t="shared" ca="1" si="53"/>
        <v>131.64800833333334</v>
      </c>
      <c r="F1135" s="14">
        <f t="shared" ca="1" si="53"/>
        <v>131.64800833333334</v>
      </c>
      <c r="G1135" s="14">
        <f t="shared" ca="1" si="53"/>
        <v>131.91937500000003</v>
      </c>
      <c r="H1135" s="14">
        <f t="shared" ca="1" si="53"/>
        <v>131.78465833333334</v>
      </c>
      <c r="I1135" s="14">
        <f t="shared" ca="1" si="53"/>
        <v>131.78465833333334</v>
      </c>
      <c r="J1135" s="14">
        <f t="shared" ca="1" si="53"/>
        <v>131.78465833333334</v>
      </c>
      <c r="K1135" s="14">
        <f t="shared" ca="1" si="53"/>
        <v>131.78465833333334</v>
      </c>
    </row>
    <row r="1136" spans="1:11" ht="15" x14ac:dyDescent="0.2">
      <c r="A1136" s="10">
        <f t="shared" si="52"/>
        <v>2080</v>
      </c>
      <c r="B1136" s="14">
        <f t="shared" ca="1" si="50"/>
        <v>134.61798333333334</v>
      </c>
      <c r="C1136" s="14">
        <f t="shared" ca="1" si="50"/>
        <v>134.18572500000002</v>
      </c>
      <c r="D1136" s="14"/>
      <c r="E1136" s="14">
        <f t="shared" ca="1" si="53"/>
        <v>134.04907500000002</v>
      </c>
      <c r="F1136" s="14">
        <f t="shared" ca="1" si="53"/>
        <v>134.04907500000002</v>
      </c>
      <c r="G1136" s="14">
        <f t="shared" ca="1" si="53"/>
        <v>134.32043333333334</v>
      </c>
      <c r="H1136" s="14">
        <f t="shared" ca="1" si="53"/>
        <v>134.18572500000002</v>
      </c>
      <c r="I1136" s="14">
        <f t="shared" ca="1" si="53"/>
        <v>134.18572500000002</v>
      </c>
      <c r="J1136" s="14">
        <f t="shared" ca="1" si="53"/>
        <v>134.18572500000002</v>
      </c>
      <c r="K1136" s="14">
        <f t="shared" ca="1" si="53"/>
        <v>134.18572500000002</v>
      </c>
    </row>
    <row r="1137" spans="1:11" ht="15" x14ac:dyDescent="0.2">
      <c r="A1137" s="10">
        <f t="shared" si="52"/>
        <v>2081</v>
      </c>
      <c r="B1137" s="14">
        <f t="shared" ca="1" si="50"/>
        <v>137.06340833333334</v>
      </c>
      <c r="C1137" s="14">
        <f t="shared" ca="1" si="50"/>
        <v>136.63117500000001</v>
      </c>
      <c r="D1137" s="14"/>
      <c r="E1137" s="14">
        <f t="shared" ca="1" si="53"/>
        <v>136.49450833333336</v>
      </c>
      <c r="F1137" s="14">
        <f t="shared" ca="1" si="53"/>
        <v>136.49450833333336</v>
      </c>
      <c r="G1137" s="14">
        <f t="shared" ca="1" si="53"/>
        <v>136.76588333333333</v>
      </c>
      <c r="H1137" s="14">
        <f t="shared" ca="1" si="53"/>
        <v>136.63117500000001</v>
      </c>
      <c r="I1137" s="14">
        <f t="shared" ca="1" si="53"/>
        <v>136.63117500000001</v>
      </c>
      <c r="J1137" s="14">
        <f t="shared" ca="1" si="53"/>
        <v>136.63117500000001</v>
      </c>
      <c r="K1137" s="14">
        <f t="shared" ca="1" si="53"/>
        <v>136.63117500000001</v>
      </c>
    </row>
    <row r="1138" spans="1:11" ht="15" x14ac:dyDescent="0.2">
      <c r="A1138" s="10">
        <f t="shared" si="52"/>
        <v>2082</v>
      </c>
      <c r="B1138" s="14">
        <f t="shared" ref="B1138:C1156" ca="1" si="54">AVERAGE(OFFSET(B$600,($A1138-$A$1118)*12,0,12,1))</f>
        <v>139.55404166666668</v>
      </c>
      <c r="C1138" s="14">
        <f t="shared" ca="1" si="54"/>
        <v>139.12181666666666</v>
      </c>
      <c r="D1138" s="14"/>
      <c r="E1138" s="14">
        <f t="shared" ref="E1138:K1147" ca="1" si="55">AVERAGE(OFFSET(E$600,($A1138-$A$1118)*12,0,12,1))</f>
        <v>138.98514166666666</v>
      </c>
      <c r="F1138" s="14">
        <f t="shared" ca="1" si="55"/>
        <v>138.98514166666666</v>
      </c>
      <c r="G1138" s="14">
        <f t="shared" ca="1" si="55"/>
        <v>139.25652500000001</v>
      </c>
      <c r="H1138" s="14">
        <f t="shared" ca="1" si="55"/>
        <v>139.12181666666666</v>
      </c>
      <c r="I1138" s="14">
        <f t="shared" ca="1" si="55"/>
        <v>139.12181666666666</v>
      </c>
      <c r="J1138" s="14">
        <f t="shared" ca="1" si="55"/>
        <v>139.12181666666666</v>
      </c>
      <c r="K1138" s="14">
        <f t="shared" ca="1" si="55"/>
        <v>139.12181666666666</v>
      </c>
    </row>
    <row r="1139" spans="1:11" ht="15" x14ac:dyDescent="0.2">
      <c r="A1139" s="10">
        <f t="shared" si="52"/>
        <v>2083</v>
      </c>
      <c r="B1139" s="14">
        <f t="shared" ca="1" si="54"/>
        <v>142.0907</v>
      </c>
      <c r="C1139" s="14">
        <f t="shared" ca="1" si="54"/>
        <v>141.65846666666667</v>
      </c>
      <c r="D1139" s="14"/>
      <c r="E1139" s="14">
        <f t="shared" ca="1" si="55"/>
        <v>141.52180000000001</v>
      </c>
      <c r="F1139" s="14">
        <f t="shared" ca="1" si="55"/>
        <v>141.52180000000001</v>
      </c>
      <c r="G1139" s="14">
        <f t="shared" ca="1" si="55"/>
        <v>141.79318333333336</v>
      </c>
      <c r="H1139" s="14">
        <f t="shared" ca="1" si="55"/>
        <v>141.65846666666667</v>
      </c>
      <c r="I1139" s="14">
        <f t="shared" ca="1" si="55"/>
        <v>141.65846666666667</v>
      </c>
      <c r="J1139" s="14">
        <f t="shared" ca="1" si="55"/>
        <v>141.65846666666667</v>
      </c>
      <c r="K1139" s="14">
        <f t="shared" ca="1" si="55"/>
        <v>141.65846666666667</v>
      </c>
    </row>
    <row r="1140" spans="1:11" ht="15" x14ac:dyDescent="0.2">
      <c r="A1140" s="10">
        <f t="shared" si="52"/>
        <v>2084</v>
      </c>
      <c r="B1140" s="14">
        <f t="shared" ca="1" si="54"/>
        <v>144.67425</v>
      </c>
      <c r="C1140" s="14">
        <f t="shared" ca="1" si="54"/>
        <v>144.24200000000002</v>
      </c>
      <c r="D1140" s="14"/>
      <c r="E1140" s="14">
        <f t="shared" ca="1" si="55"/>
        <v>144.10535000000002</v>
      </c>
      <c r="F1140" s="14">
        <f t="shared" ca="1" si="55"/>
        <v>144.10535000000002</v>
      </c>
      <c r="G1140" s="14">
        <f t="shared" ca="1" si="55"/>
        <v>144.37671666666668</v>
      </c>
      <c r="H1140" s="14">
        <f t="shared" ca="1" si="55"/>
        <v>144.24200000000002</v>
      </c>
      <c r="I1140" s="14">
        <f t="shared" ca="1" si="55"/>
        <v>144.24200000000002</v>
      </c>
      <c r="J1140" s="14">
        <f t="shared" ca="1" si="55"/>
        <v>144.24200000000002</v>
      </c>
      <c r="K1140" s="14">
        <f t="shared" ca="1" si="55"/>
        <v>144.24200000000002</v>
      </c>
    </row>
    <row r="1141" spans="1:11" ht="15" x14ac:dyDescent="0.2">
      <c r="A1141" s="10">
        <f t="shared" si="52"/>
        <v>2085</v>
      </c>
      <c r="B1141" s="14">
        <f t="shared" ca="1" si="54"/>
        <v>147.30553333333336</v>
      </c>
      <c r="C1141" s="14">
        <f t="shared" ca="1" si="54"/>
        <v>146.87328333333335</v>
      </c>
      <c r="D1141" s="14"/>
      <c r="E1141" s="14">
        <f t="shared" ca="1" si="55"/>
        <v>146.73662500000003</v>
      </c>
      <c r="F1141" s="14">
        <f t="shared" ca="1" si="55"/>
        <v>146.73662500000003</v>
      </c>
      <c r="G1141" s="14">
        <f t="shared" ca="1" si="55"/>
        <v>147.00800833333335</v>
      </c>
      <c r="H1141" s="14">
        <f t="shared" ca="1" si="55"/>
        <v>146.87328333333335</v>
      </c>
      <c r="I1141" s="14">
        <f t="shared" ca="1" si="55"/>
        <v>146.87328333333335</v>
      </c>
      <c r="J1141" s="14">
        <f t="shared" ca="1" si="55"/>
        <v>146.87328333333335</v>
      </c>
      <c r="K1141" s="14">
        <f t="shared" ca="1" si="55"/>
        <v>146.87328333333335</v>
      </c>
    </row>
    <row r="1142" spans="1:11" ht="15" x14ac:dyDescent="0.2">
      <c r="A1142" s="10">
        <f t="shared" si="52"/>
        <v>2086</v>
      </c>
      <c r="B1142" s="14">
        <f t="shared" ca="1" si="54"/>
        <v>149.98544166666665</v>
      </c>
      <c r="C1142" s="14">
        <f t="shared" ca="1" si="54"/>
        <v>149.55318333333335</v>
      </c>
      <c r="D1142" s="14"/>
      <c r="E1142" s="14">
        <f t="shared" ca="1" si="55"/>
        <v>149.41654166666669</v>
      </c>
      <c r="F1142" s="14">
        <f t="shared" ca="1" si="55"/>
        <v>149.41654166666669</v>
      </c>
      <c r="G1142" s="14">
        <f t="shared" ca="1" si="55"/>
        <v>149.68792500000004</v>
      </c>
      <c r="H1142" s="14">
        <f t="shared" ca="1" si="55"/>
        <v>149.55318333333335</v>
      </c>
      <c r="I1142" s="14">
        <f t="shared" ca="1" si="55"/>
        <v>149.55318333333335</v>
      </c>
      <c r="J1142" s="14">
        <f t="shared" ca="1" si="55"/>
        <v>149.55318333333335</v>
      </c>
      <c r="K1142" s="14">
        <f t="shared" ca="1" si="55"/>
        <v>149.55318333333335</v>
      </c>
    </row>
    <row r="1143" spans="1:11" ht="15" x14ac:dyDescent="0.2">
      <c r="A1143" s="10">
        <f t="shared" si="52"/>
        <v>2087</v>
      </c>
      <c r="B1143" s="14">
        <f t="shared" ca="1" si="54"/>
        <v>152.71488333333335</v>
      </c>
      <c r="C1143" s="14">
        <f t="shared" ca="1" si="54"/>
        <v>152.28264166666668</v>
      </c>
      <c r="D1143" s="14"/>
      <c r="E1143" s="14">
        <f t="shared" ca="1" si="55"/>
        <v>152.14597500000002</v>
      </c>
      <c r="F1143" s="14">
        <f t="shared" ca="1" si="55"/>
        <v>152.14597500000002</v>
      </c>
      <c r="G1143" s="14">
        <f t="shared" ca="1" si="55"/>
        <v>152.41735000000003</v>
      </c>
      <c r="H1143" s="14">
        <f t="shared" ca="1" si="55"/>
        <v>152.28264166666668</v>
      </c>
      <c r="I1143" s="14">
        <f t="shared" ca="1" si="55"/>
        <v>152.28264166666668</v>
      </c>
      <c r="J1143" s="14">
        <f t="shared" ca="1" si="55"/>
        <v>152.28264166666668</v>
      </c>
      <c r="K1143" s="14">
        <f t="shared" ca="1" si="55"/>
        <v>152.28264166666668</v>
      </c>
    </row>
    <row r="1144" spans="1:11" ht="15" x14ac:dyDescent="0.2">
      <c r="A1144" s="10">
        <f t="shared" si="52"/>
        <v>2088</v>
      </c>
      <c r="B1144" s="14">
        <f t="shared" ca="1" si="54"/>
        <v>155.49476666666666</v>
      </c>
      <c r="C1144" s="14">
        <f t="shared" ca="1" si="54"/>
        <v>155.06252500000002</v>
      </c>
      <c r="D1144" s="14"/>
      <c r="E1144" s="14">
        <f t="shared" ca="1" si="55"/>
        <v>154.92586666666668</v>
      </c>
      <c r="F1144" s="14">
        <f t="shared" ca="1" si="55"/>
        <v>154.92586666666668</v>
      </c>
      <c r="G1144" s="14">
        <f t="shared" ca="1" si="55"/>
        <v>155.19724166666666</v>
      </c>
      <c r="H1144" s="14">
        <f t="shared" ca="1" si="55"/>
        <v>155.06252500000002</v>
      </c>
      <c r="I1144" s="14">
        <f t="shared" ca="1" si="55"/>
        <v>155.06252500000002</v>
      </c>
      <c r="J1144" s="14">
        <f t="shared" ca="1" si="55"/>
        <v>155.06252500000002</v>
      </c>
      <c r="K1144" s="14">
        <f t="shared" ca="1" si="55"/>
        <v>155.06252500000002</v>
      </c>
    </row>
    <row r="1145" spans="1:11" ht="15" x14ac:dyDescent="0.2">
      <c r="A1145" s="10">
        <f t="shared" si="52"/>
        <v>2089</v>
      </c>
      <c r="B1145" s="14">
        <f t="shared" ca="1" si="54"/>
        <v>158.32602500000004</v>
      </c>
      <c r="C1145" s="14">
        <f t="shared" ca="1" si="54"/>
        <v>157.89378333333335</v>
      </c>
      <c r="D1145" s="14"/>
      <c r="E1145" s="14">
        <f t="shared" ca="1" si="55"/>
        <v>157.757125</v>
      </c>
      <c r="F1145" s="14">
        <f t="shared" ca="1" si="55"/>
        <v>157.757125</v>
      </c>
      <c r="G1145" s="14">
        <f t="shared" ca="1" si="55"/>
        <v>158.02849166666667</v>
      </c>
      <c r="H1145" s="14">
        <f t="shared" ca="1" si="55"/>
        <v>157.89378333333335</v>
      </c>
      <c r="I1145" s="14">
        <f t="shared" ca="1" si="55"/>
        <v>157.89378333333335</v>
      </c>
      <c r="J1145" s="14">
        <f t="shared" ca="1" si="55"/>
        <v>157.89378333333335</v>
      </c>
      <c r="K1145" s="14">
        <f t="shared" ca="1" si="55"/>
        <v>157.89378333333335</v>
      </c>
    </row>
    <row r="1146" spans="1:11" ht="15" x14ac:dyDescent="0.2">
      <c r="A1146" s="10">
        <f t="shared" si="52"/>
        <v>2090</v>
      </c>
      <c r="B1146" s="14">
        <f t="shared" ca="1" si="54"/>
        <v>161.20959166666668</v>
      </c>
      <c r="C1146" s="14">
        <f t="shared" ca="1" si="54"/>
        <v>160.77736666666669</v>
      </c>
      <c r="D1146" s="14"/>
      <c r="E1146" s="14">
        <f t="shared" ca="1" si="55"/>
        <v>160.64069166666664</v>
      </c>
      <c r="F1146" s="14">
        <f t="shared" ca="1" si="55"/>
        <v>160.64069166666664</v>
      </c>
      <c r="G1146" s="14">
        <f t="shared" ca="1" si="55"/>
        <v>160.91208333333336</v>
      </c>
      <c r="H1146" s="14">
        <f t="shared" ca="1" si="55"/>
        <v>160.77736666666669</v>
      </c>
      <c r="I1146" s="14">
        <f t="shared" ca="1" si="55"/>
        <v>160.77736666666669</v>
      </c>
      <c r="J1146" s="14">
        <f t="shared" ca="1" si="55"/>
        <v>160.77736666666669</v>
      </c>
      <c r="K1146" s="14">
        <f t="shared" ca="1" si="55"/>
        <v>160.77736666666669</v>
      </c>
    </row>
    <row r="1147" spans="1:11" ht="15" x14ac:dyDescent="0.2">
      <c r="A1147" s="10">
        <f t="shared" si="52"/>
        <v>2091</v>
      </c>
      <c r="B1147" s="14">
        <f t="shared" ca="1" si="54"/>
        <v>164.14648333333335</v>
      </c>
      <c r="C1147" s="14">
        <f t="shared" ca="1" si="54"/>
        <v>163.71421666666666</v>
      </c>
      <c r="D1147" s="14"/>
      <c r="E1147" s="14">
        <f t="shared" ca="1" si="55"/>
        <v>163.57758333333334</v>
      </c>
      <c r="F1147" s="14">
        <f t="shared" ca="1" si="55"/>
        <v>163.57758333333334</v>
      </c>
      <c r="G1147" s="14">
        <f t="shared" ca="1" si="55"/>
        <v>163.84895</v>
      </c>
      <c r="H1147" s="14">
        <f t="shared" ca="1" si="55"/>
        <v>163.71421666666666</v>
      </c>
      <c r="I1147" s="14">
        <f t="shared" ca="1" si="55"/>
        <v>163.71421666666666</v>
      </c>
      <c r="J1147" s="14">
        <f t="shared" ca="1" si="55"/>
        <v>163.71421666666666</v>
      </c>
      <c r="K1147" s="14">
        <f t="shared" ca="1" si="55"/>
        <v>163.71421666666666</v>
      </c>
    </row>
    <row r="1148" spans="1:11" ht="15" x14ac:dyDescent="0.2">
      <c r="A1148" s="10">
        <f t="shared" si="52"/>
        <v>2092</v>
      </c>
      <c r="B1148" s="14">
        <f t="shared" ca="1" si="54"/>
        <v>167.13764166666667</v>
      </c>
      <c r="C1148" s="14">
        <f t="shared" ca="1" si="54"/>
        <v>166.70535833333335</v>
      </c>
      <c r="D1148" s="14"/>
      <c r="E1148" s="14">
        <f t="shared" ref="E1148:K1156" ca="1" si="56">AVERAGE(OFFSET(E$600,($A1148-$A$1118)*12,0,12,1))</f>
        <v>166.56873333333334</v>
      </c>
      <c r="F1148" s="14">
        <f t="shared" ca="1" si="56"/>
        <v>166.56873333333334</v>
      </c>
      <c r="G1148" s="14">
        <f t="shared" ca="1" si="56"/>
        <v>166.84009999999998</v>
      </c>
      <c r="H1148" s="14">
        <f t="shared" ca="1" si="56"/>
        <v>166.70535833333335</v>
      </c>
      <c r="I1148" s="14">
        <f t="shared" ca="1" si="56"/>
        <v>166.70535833333335</v>
      </c>
      <c r="J1148" s="14">
        <f t="shared" ca="1" si="56"/>
        <v>166.70535833333335</v>
      </c>
      <c r="K1148" s="14">
        <f t="shared" ca="1" si="56"/>
        <v>166.70535833333335</v>
      </c>
    </row>
    <row r="1149" spans="1:11" ht="15" x14ac:dyDescent="0.2">
      <c r="A1149" s="10">
        <f t="shared" si="52"/>
        <v>2093</v>
      </c>
      <c r="B1149" s="14">
        <f t="shared" ca="1" si="54"/>
        <v>170.18404166666667</v>
      </c>
      <c r="C1149" s="14">
        <f t="shared" ca="1" si="54"/>
        <v>169.75180833333334</v>
      </c>
      <c r="D1149" s="14"/>
      <c r="E1149" s="14">
        <f t="shared" ca="1" si="56"/>
        <v>169.61513333333335</v>
      </c>
      <c r="F1149" s="14">
        <f t="shared" ca="1" si="56"/>
        <v>169.61513333333335</v>
      </c>
      <c r="G1149" s="14">
        <f t="shared" ca="1" si="56"/>
        <v>169.88651666666667</v>
      </c>
      <c r="H1149" s="14">
        <f t="shared" ca="1" si="56"/>
        <v>169.75180833333334</v>
      </c>
      <c r="I1149" s="14">
        <f t="shared" ca="1" si="56"/>
        <v>169.75180833333334</v>
      </c>
      <c r="J1149" s="14">
        <f t="shared" ca="1" si="56"/>
        <v>169.75180833333334</v>
      </c>
      <c r="K1149" s="14">
        <f t="shared" ca="1" si="56"/>
        <v>169.75180833333334</v>
      </c>
    </row>
    <row r="1150" spans="1:11" ht="15" x14ac:dyDescent="0.2">
      <c r="A1150" s="10">
        <f t="shared" si="52"/>
        <v>2094</v>
      </c>
      <c r="B1150" s="14">
        <f t="shared" ca="1" si="54"/>
        <v>173.28677500000001</v>
      </c>
      <c r="C1150" s="14">
        <f t="shared" ca="1" si="54"/>
        <v>172.854525</v>
      </c>
      <c r="D1150" s="14"/>
      <c r="E1150" s="14">
        <f t="shared" ca="1" si="56"/>
        <v>172.71787500000002</v>
      </c>
      <c r="F1150" s="14">
        <f t="shared" ca="1" si="56"/>
        <v>172.71787500000002</v>
      </c>
      <c r="G1150" s="14">
        <f t="shared" ca="1" si="56"/>
        <v>172.98925</v>
      </c>
      <c r="H1150" s="14">
        <f t="shared" ca="1" si="56"/>
        <v>172.854525</v>
      </c>
      <c r="I1150" s="14">
        <f t="shared" ca="1" si="56"/>
        <v>172.854525</v>
      </c>
      <c r="J1150" s="14">
        <f t="shared" ca="1" si="56"/>
        <v>172.854525</v>
      </c>
      <c r="K1150" s="14">
        <f t="shared" ca="1" si="56"/>
        <v>172.854525</v>
      </c>
    </row>
    <row r="1151" spans="1:11" ht="15" x14ac:dyDescent="0.2">
      <c r="A1151" s="10">
        <f t="shared" si="52"/>
        <v>2095</v>
      </c>
      <c r="B1151" s="14">
        <f t="shared" ca="1" si="54"/>
        <v>176.44684166666664</v>
      </c>
      <c r="C1151" s="14">
        <f t="shared" ca="1" si="54"/>
        <v>176.01459166666669</v>
      </c>
      <c r="D1151" s="14"/>
      <c r="E1151" s="14">
        <f t="shared" ca="1" si="56"/>
        <v>175.87794166666666</v>
      </c>
      <c r="F1151" s="14">
        <f t="shared" ca="1" si="56"/>
        <v>175.87794166666666</v>
      </c>
      <c r="G1151" s="14">
        <f t="shared" ca="1" si="56"/>
        <v>176.14930833333335</v>
      </c>
      <c r="H1151" s="14">
        <f t="shared" ca="1" si="56"/>
        <v>176.01459166666669</v>
      </c>
      <c r="I1151" s="14">
        <f t="shared" ca="1" si="56"/>
        <v>176.01459166666669</v>
      </c>
      <c r="J1151" s="14">
        <f t="shared" ca="1" si="56"/>
        <v>176.01459166666669</v>
      </c>
      <c r="K1151" s="14">
        <f t="shared" ca="1" si="56"/>
        <v>176.01459166666669</v>
      </c>
    </row>
    <row r="1152" spans="1:11" ht="15" x14ac:dyDescent="0.2">
      <c r="A1152" s="10">
        <f t="shared" si="52"/>
        <v>2096</v>
      </c>
      <c r="B1152" s="14">
        <f t="shared" ca="1" si="54"/>
        <v>179.66531666666671</v>
      </c>
      <c r="C1152" s="14">
        <f t="shared" ca="1" si="54"/>
        <v>179.23305833333336</v>
      </c>
      <c r="D1152" s="14"/>
      <c r="E1152" s="14">
        <f t="shared" ca="1" si="56"/>
        <v>179.09640000000005</v>
      </c>
      <c r="F1152" s="14">
        <f t="shared" ca="1" si="56"/>
        <v>179.09640000000005</v>
      </c>
      <c r="G1152" s="14">
        <f t="shared" ca="1" si="56"/>
        <v>179.36776666666665</v>
      </c>
      <c r="H1152" s="14">
        <f t="shared" ca="1" si="56"/>
        <v>179.23305833333336</v>
      </c>
      <c r="I1152" s="14">
        <f t="shared" ca="1" si="56"/>
        <v>179.23305833333336</v>
      </c>
      <c r="J1152" s="14">
        <f t="shared" ca="1" si="56"/>
        <v>179.23305833333336</v>
      </c>
      <c r="K1152" s="14">
        <f t="shared" ca="1" si="56"/>
        <v>179.23305833333336</v>
      </c>
    </row>
    <row r="1153" spans="1:11" ht="15" x14ac:dyDescent="0.2">
      <c r="A1153" s="10">
        <f t="shared" si="52"/>
        <v>2097</v>
      </c>
      <c r="B1153" s="14">
        <f t="shared" ca="1" si="54"/>
        <v>182.94325833333335</v>
      </c>
      <c r="C1153" s="14">
        <f t="shared" ca="1" si="54"/>
        <v>182.51100833333336</v>
      </c>
      <c r="D1153" s="14"/>
      <c r="E1153" s="14">
        <f t="shared" ca="1" si="56"/>
        <v>182.37434166666665</v>
      </c>
      <c r="F1153" s="14">
        <f t="shared" ca="1" si="56"/>
        <v>182.37434166666665</v>
      </c>
      <c r="G1153" s="14">
        <f t="shared" ca="1" si="56"/>
        <v>182.64571666666669</v>
      </c>
      <c r="H1153" s="14">
        <f t="shared" ca="1" si="56"/>
        <v>182.51100833333336</v>
      </c>
      <c r="I1153" s="14">
        <f t="shared" ca="1" si="56"/>
        <v>182.51100833333336</v>
      </c>
      <c r="J1153" s="14">
        <f t="shared" ca="1" si="56"/>
        <v>182.51100833333336</v>
      </c>
      <c r="K1153" s="14">
        <f t="shared" ca="1" si="56"/>
        <v>182.51100833333336</v>
      </c>
    </row>
    <row r="1154" spans="1:11" ht="15" x14ac:dyDescent="0.2">
      <c r="A1154" s="10">
        <f t="shared" si="52"/>
        <v>2098</v>
      </c>
      <c r="B1154" s="14">
        <f t="shared" ca="1" si="54"/>
        <v>186.28178333333335</v>
      </c>
      <c r="C1154" s="14">
        <f t="shared" ca="1" si="54"/>
        <v>185.849525</v>
      </c>
      <c r="D1154" s="14"/>
      <c r="E1154" s="14">
        <f t="shared" ca="1" si="56"/>
        <v>185.71288333333337</v>
      </c>
      <c r="F1154" s="14">
        <f t="shared" ca="1" si="56"/>
        <v>185.71288333333337</v>
      </c>
      <c r="G1154" s="14">
        <f t="shared" ca="1" si="56"/>
        <v>185.98424999999997</v>
      </c>
      <c r="H1154" s="14">
        <f t="shared" ca="1" si="56"/>
        <v>185.849525</v>
      </c>
      <c r="I1154" s="14">
        <f t="shared" ca="1" si="56"/>
        <v>185.849525</v>
      </c>
      <c r="J1154" s="14">
        <f t="shared" ca="1" si="56"/>
        <v>185.849525</v>
      </c>
      <c r="K1154" s="14">
        <f t="shared" ca="1" si="56"/>
        <v>185.849525</v>
      </c>
    </row>
    <row r="1155" spans="1:11" ht="15" x14ac:dyDescent="0.2">
      <c r="A1155" s="10">
        <f t="shared" si="52"/>
        <v>2099</v>
      </c>
      <c r="B1155" s="14">
        <f t="shared" ca="1" si="54"/>
        <v>189.68201666666667</v>
      </c>
      <c r="C1155" s="14">
        <f t="shared" ca="1" si="54"/>
        <v>189.24976666666669</v>
      </c>
      <c r="D1155" s="14"/>
      <c r="E1155" s="14">
        <f t="shared" ca="1" si="56"/>
        <v>189.11310000000003</v>
      </c>
      <c r="F1155" s="14">
        <f t="shared" ca="1" si="56"/>
        <v>189.11310000000003</v>
      </c>
      <c r="G1155" s="14">
        <f t="shared" ca="1" si="56"/>
        <v>189.38446666666667</v>
      </c>
      <c r="H1155" s="14">
        <f t="shared" ca="1" si="56"/>
        <v>189.24976666666669</v>
      </c>
      <c r="I1155" s="14">
        <f t="shared" ca="1" si="56"/>
        <v>189.24976666666669</v>
      </c>
      <c r="J1155" s="14">
        <f t="shared" ca="1" si="56"/>
        <v>189.24976666666669</v>
      </c>
      <c r="K1155" s="14">
        <f t="shared" ca="1" si="56"/>
        <v>189.24976666666669</v>
      </c>
    </row>
    <row r="1156" spans="1:11" ht="15" x14ac:dyDescent="0.2">
      <c r="A1156" s="10">
        <f t="shared" si="52"/>
        <v>2100</v>
      </c>
      <c r="B1156" s="14">
        <f t="shared" ca="1" si="54"/>
        <v>193.14507499999999</v>
      </c>
      <c r="C1156" s="14">
        <f t="shared" ca="1" si="54"/>
        <v>192.71281666666664</v>
      </c>
      <c r="D1156" s="14"/>
      <c r="E1156" s="14">
        <f t="shared" ca="1" si="56"/>
        <v>192.57615833333332</v>
      </c>
      <c r="F1156" s="14">
        <f t="shared" ca="1" si="56"/>
        <v>192.57615833333332</v>
      </c>
      <c r="G1156" s="14">
        <f t="shared" ca="1" si="56"/>
        <v>192.84753333333336</v>
      </c>
      <c r="H1156" s="14">
        <f t="shared" ca="1" si="56"/>
        <v>192.71281666666664</v>
      </c>
      <c r="I1156" s="14">
        <f t="shared" ca="1" si="56"/>
        <v>192.71281666666664</v>
      </c>
      <c r="J1156" s="14">
        <f t="shared" ca="1" si="56"/>
        <v>192.71281666666664</v>
      </c>
      <c r="K1156" s="14">
        <f t="shared" ca="1" si="56"/>
        <v>192.71281666666664</v>
      </c>
    </row>
    <row r="1157" spans="1:11" x14ac:dyDescent="0.2">
      <c r="A1157" s="8"/>
    </row>
    <row r="1158" spans="1:11" x14ac:dyDescent="0.2">
      <c r="A1158" s="8"/>
    </row>
    <row r="1159" spans="1:11" x14ac:dyDescent="0.2">
      <c r="A1159" s="8"/>
    </row>
    <row r="1160" spans="1:11" x14ac:dyDescent="0.2">
      <c r="A1160" s="8"/>
    </row>
    <row r="1161" spans="1:11" x14ac:dyDescent="0.2">
      <c r="A1161" s="8"/>
    </row>
    <row r="1162" spans="1:11" x14ac:dyDescent="0.2">
      <c r="A1162" s="8"/>
    </row>
    <row r="1163" spans="1:11" x14ac:dyDescent="0.2">
      <c r="A1163" s="8"/>
    </row>
    <row r="1164" spans="1:11" x14ac:dyDescent="0.2">
      <c r="A1164" s="8"/>
    </row>
    <row r="1165" spans="1:11" x14ac:dyDescent="0.2">
      <c r="A1165" s="8"/>
    </row>
    <row r="1166" spans="1:11" x14ac:dyDescent="0.2">
      <c r="A1166" s="8"/>
    </row>
    <row r="1167" spans="1:11" x14ac:dyDescent="0.2">
      <c r="A1167" s="8"/>
    </row>
    <row r="1168" spans="1:11" x14ac:dyDescent="0.2">
      <c r="A1168" s="8"/>
    </row>
    <row r="1169" spans="1:1" x14ac:dyDescent="0.2">
      <c r="A1169" s="8"/>
    </row>
    <row r="1170" spans="1:1" x14ac:dyDescent="0.2">
      <c r="A1170" s="8"/>
    </row>
    <row r="1171" spans="1:1" x14ac:dyDescent="0.2">
      <c r="A1171" s="8"/>
    </row>
    <row r="1172" spans="1:1" x14ac:dyDescent="0.2">
      <c r="A1172" s="8"/>
    </row>
    <row r="1173" spans="1:1" x14ac:dyDescent="0.2">
      <c r="A1173" s="8"/>
    </row>
    <row r="1174" spans="1:1" x14ac:dyDescent="0.2">
      <c r="A1174" s="8"/>
    </row>
    <row r="1175" spans="1:1" x14ac:dyDescent="0.2">
      <c r="A1175" s="8"/>
    </row>
    <row r="1176" spans="1:1" x14ac:dyDescent="0.2">
      <c r="A1176" s="8"/>
    </row>
  </sheetData>
  <pageMargins left="0.25" right="0.25" top="0.5" bottom="0.5" header="0.25" footer="0.25"/>
  <pageSetup paperSize="5" scale="75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locked="0" defaultSize="0" autoLine="0" autoPict="0">
                <anchor moveWithCells="1">
                  <from>
                    <xdr:col>6</xdr:col>
                    <xdr:colOff>95250</xdr:colOff>
                    <xdr:row>7</xdr:row>
                    <xdr:rowOff>28575</xdr:rowOff>
                  </from>
                  <to>
                    <xdr:col>7</xdr:col>
                    <xdr:colOff>123825</xdr:colOff>
                    <xdr:row>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Drop Down 2">
              <controlPr locked="0" defaultSize="0" autoLine="0" autoPict="0">
                <anchor moveWithCells="1">
                  <from>
                    <xdr:col>7</xdr:col>
                    <xdr:colOff>295275</xdr:colOff>
                    <xdr:row>7</xdr:row>
                    <xdr:rowOff>57150</xdr:rowOff>
                  </from>
                  <to>
                    <xdr:col>8</xdr:col>
                    <xdr:colOff>314325</xdr:colOff>
                    <xdr:row>8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A1:K1176"/>
  <sheetViews>
    <sheetView zoomScale="70" zoomScaleNormal="70" workbookViewId="0">
      <pane xSplit="1" ySplit="11" topLeftCell="B12" activePane="bottomRight" state="frozen"/>
      <selection activeCell="A4" sqref="A4:XFD6"/>
      <selection pane="topRight" activeCell="A4" sqref="A4:XFD6"/>
      <selection pane="bottomLeft" activeCell="A4" sqref="A4:XFD6"/>
      <selection pane="bottomRight" activeCell="B12" sqref="B12"/>
    </sheetView>
  </sheetViews>
  <sheetFormatPr defaultColWidth="7.109375" defaultRowHeight="12.75" x14ac:dyDescent="0.2"/>
  <cols>
    <col min="1" max="1" width="18.44140625" style="31" customWidth="1"/>
    <col min="2" max="3" width="14.5546875" style="31" customWidth="1"/>
    <col min="4" max="4" width="16.88671875" style="31" customWidth="1"/>
    <col min="5" max="5" width="14.5546875" style="31" customWidth="1"/>
    <col min="6" max="6" width="16.77734375" style="31" customWidth="1"/>
    <col min="7" max="9" width="14.5546875" style="31" customWidth="1"/>
    <col min="10" max="10" width="12.21875" style="8" customWidth="1"/>
    <col min="11" max="11" width="9.6640625" style="8" customWidth="1"/>
    <col min="12" max="16384" width="7.109375" style="8"/>
  </cols>
  <sheetData>
    <row r="1" spans="1:10" ht="15.75" x14ac:dyDescent="0.25">
      <c r="A1" s="108" t="s">
        <v>91</v>
      </c>
    </row>
    <row r="2" spans="1:10" ht="15.75" x14ac:dyDescent="0.25">
      <c r="A2" s="108" t="s">
        <v>92</v>
      </c>
    </row>
    <row r="3" spans="1:10" ht="15.75" x14ac:dyDescent="0.25">
      <c r="A3" s="108" t="s">
        <v>93</v>
      </c>
    </row>
    <row r="4" spans="1:10" ht="15.75" x14ac:dyDescent="0.25">
      <c r="A4" s="108" t="s">
        <v>94</v>
      </c>
    </row>
    <row r="5" spans="1:10" ht="15.75" x14ac:dyDescent="0.25">
      <c r="A5" s="108" t="s">
        <v>96</v>
      </c>
    </row>
    <row r="6" spans="1:10" ht="15.75" x14ac:dyDescent="0.25">
      <c r="A6" s="108" t="s">
        <v>99</v>
      </c>
    </row>
    <row r="8" spans="1:10" ht="15.75" x14ac:dyDescent="0.25">
      <c r="A8" s="47" t="s">
        <v>27</v>
      </c>
      <c r="B8" s="48"/>
      <c r="C8" s="42"/>
    </row>
    <row r="9" spans="1:10" ht="15.75" x14ac:dyDescent="0.25">
      <c r="A9" s="47"/>
      <c r="B9" s="42"/>
      <c r="C9" s="42"/>
      <c r="D9" s="41" t="s">
        <v>25</v>
      </c>
      <c r="E9" s="40">
        <f>1-0.273</f>
        <v>0.72699999999999998</v>
      </c>
      <c r="F9" s="41" t="s">
        <v>24</v>
      </c>
      <c r="G9" s="40">
        <f>1+0.273</f>
        <v>1.2730000000000001</v>
      </c>
    </row>
    <row r="10" spans="1:10" s="36" customFormat="1" ht="34.9" customHeight="1" x14ac:dyDescent="0.25">
      <c r="B10" s="39" t="s">
        <v>47</v>
      </c>
      <c r="C10" s="37" t="s">
        <v>46</v>
      </c>
      <c r="D10" s="39" t="s">
        <v>45</v>
      </c>
      <c r="E10" s="39" t="s">
        <v>44</v>
      </c>
      <c r="F10" s="39" t="s">
        <v>43</v>
      </c>
      <c r="G10" s="37" t="s">
        <v>42</v>
      </c>
      <c r="H10" s="37" t="s">
        <v>41</v>
      </c>
      <c r="I10" s="39" t="s">
        <v>40</v>
      </c>
      <c r="J10" s="37" t="s">
        <v>39</v>
      </c>
    </row>
    <row r="11" spans="1:10" s="36" customFormat="1" ht="21" customHeight="1" x14ac:dyDescent="0.25">
      <c r="A11" s="38" t="s">
        <v>15</v>
      </c>
      <c r="B11" s="38" t="s">
        <v>14</v>
      </c>
      <c r="C11" s="38" t="s">
        <v>14</v>
      </c>
      <c r="D11" s="38" t="s">
        <v>14</v>
      </c>
      <c r="E11" s="38" t="s">
        <v>14</v>
      </c>
      <c r="F11" s="38" t="s">
        <v>14</v>
      </c>
      <c r="G11" s="38" t="s">
        <v>14</v>
      </c>
      <c r="H11" s="38" t="s">
        <v>14</v>
      </c>
      <c r="I11" s="38" t="s">
        <v>14</v>
      </c>
      <c r="J11" s="38" t="s">
        <v>38</v>
      </c>
    </row>
    <row r="12" spans="1:10" ht="15" x14ac:dyDescent="0.2">
      <c r="A12" s="13">
        <v>41275</v>
      </c>
      <c r="B12" s="14">
        <v>17.5608163872467</v>
      </c>
      <c r="C12" s="14">
        <v>16.672788775099502</v>
      </c>
      <c r="D12" s="14">
        <v>16.664976275099502</v>
      </c>
      <c r="E12" s="14">
        <v>16.664976275099502</v>
      </c>
      <c r="F12" s="14">
        <v>16.6118512750995</v>
      </c>
      <c r="G12" s="14">
        <v>16.6712262750995</v>
      </c>
      <c r="H12" s="14">
        <v>16.6712262750995</v>
      </c>
      <c r="I12" s="14">
        <v>16.672788775099502</v>
      </c>
      <c r="J12" s="44">
        <f>89.51</f>
        <v>89.51</v>
      </c>
    </row>
    <row r="13" spans="1:10" ht="15" x14ac:dyDescent="0.2">
      <c r="A13" s="13">
        <v>41306</v>
      </c>
      <c r="B13" s="14">
        <v>18.139507285282502</v>
      </c>
      <c r="C13" s="14">
        <v>17.084489196554799</v>
      </c>
      <c r="D13" s="14">
        <v>17.076676696554799</v>
      </c>
      <c r="E13" s="14">
        <v>17.076676696554799</v>
      </c>
      <c r="F13" s="14">
        <v>17.023551696554801</v>
      </c>
      <c r="G13" s="14">
        <v>17.0829266965548</v>
      </c>
      <c r="H13" s="14">
        <v>17.0829266965548</v>
      </c>
      <c r="I13" s="14">
        <v>17.084489196554799</v>
      </c>
      <c r="J13" s="44">
        <f>96.24</f>
        <v>96.24</v>
      </c>
    </row>
    <row r="14" spans="1:10" ht="15" x14ac:dyDescent="0.2">
      <c r="A14" s="13">
        <v>41334</v>
      </c>
      <c r="B14" s="14">
        <v>16.456719986895401</v>
      </c>
      <c r="C14" s="14">
        <v>15.771603971900401</v>
      </c>
      <c r="D14" s="14">
        <v>15.763791471900401</v>
      </c>
      <c r="E14" s="14">
        <v>15.763791471900401</v>
      </c>
      <c r="F14" s="14">
        <v>16.456719986895401</v>
      </c>
      <c r="G14" s="14">
        <v>15.770041471900401</v>
      </c>
      <c r="H14" s="14">
        <v>15.770041471900401</v>
      </c>
      <c r="I14" s="14">
        <v>15.771603971900401</v>
      </c>
      <c r="J14" s="44">
        <f>94.46</f>
        <v>94.46</v>
      </c>
    </row>
    <row r="15" spans="1:10" ht="15" x14ac:dyDescent="0.2">
      <c r="A15" s="13">
        <v>41365</v>
      </c>
      <c r="B15" s="14">
        <v>16.071251267255601</v>
      </c>
      <c r="C15" s="14">
        <v>15.4136066904326</v>
      </c>
      <c r="D15" s="14">
        <v>15.4057941904326</v>
      </c>
      <c r="E15" s="14">
        <v>15.4057941904326</v>
      </c>
      <c r="F15" s="45">
        <v>15.915001267255599</v>
      </c>
      <c r="G15" s="14">
        <v>15.412044190432599</v>
      </c>
      <c r="H15" s="14">
        <v>15.412044190432599</v>
      </c>
      <c r="I15" s="14">
        <v>15.4136066904326</v>
      </c>
      <c r="J15" s="44">
        <f>92.96</f>
        <v>92.96</v>
      </c>
    </row>
    <row r="16" spans="1:10" ht="15" x14ac:dyDescent="0.2">
      <c r="A16" s="13">
        <v>41395</v>
      </c>
      <c r="B16" s="14">
        <v>16.0652180011265</v>
      </c>
      <c r="C16" s="14">
        <v>15.407153397421901</v>
      </c>
      <c r="D16" s="14">
        <v>15.399340897421901</v>
      </c>
      <c r="E16" s="14">
        <v>15.399340897421901</v>
      </c>
      <c r="F16" s="45">
        <v>15.9089680011265</v>
      </c>
      <c r="G16" s="14">
        <v>15.4055908974219</v>
      </c>
      <c r="H16" s="14">
        <v>15.4055908974219</v>
      </c>
      <c r="I16" s="14">
        <v>15.407153397421901</v>
      </c>
      <c r="J16" s="44">
        <f>88.76</f>
        <v>88.76</v>
      </c>
    </row>
    <row r="17" spans="1:10" ht="15" x14ac:dyDescent="0.2">
      <c r="A17" s="13">
        <v>41426</v>
      </c>
      <c r="B17" s="14">
        <v>15.8182825172556</v>
      </c>
      <c r="C17" s="14">
        <v>15.2292316904326</v>
      </c>
      <c r="D17" s="14">
        <v>15.2214191904326</v>
      </c>
      <c r="E17" s="14">
        <v>15.2214191904326</v>
      </c>
      <c r="F17" s="45">
        <v>15.6620325172556</v>
      </c>
      <c r="G17" s="14">
        <v>15.2276691904326</v>
      </c>
      <c r="H17" s="14">
        <v>15.2276691904326</v>
      </c>
      <c r="I17" s="14">
        <v>15.2292316904326</v>
      </c>
      <c r="J17" s="44">
        <f>96.16</f>
        <v>96.16</v>
      </c>
    </row>
    <row r="18" spans="1:10" ht="15" x14ac:dyDescent="0.2">
      <c r="A18" s="13">
        <v>41456</v>
      </c>
      <c r="B18" s="14">
        <v>15.5105978738396</v>
      </c>
      <c r="C18" s="14">
        <v>15.084690528199401</v>
      </c>
      <c r="D18" s="14">
        <v>15.076878028199401</v>
      </c>
      <c r="E18" s="14">
        <v>15.076878028199401</v>
      </c>
      <c r="F18" s="45">
        <v>15.3543478738396</v>
      </c>
      <c r="G18" s="14">
        <v>15.0831280281994</v>
      </c>
      <c r="H18" s="14">
        <v>15.0831280281994</v>
      </c>
      <c r="I18" s="14">
        <v>15.084690528199401</v>
      </c>
      <c r="J18" s="44">
        <f>95.4</f>
        <v>95.4</v>
      </c>
    </row>
    <row r="19" spans="1:10" ht="15" x14ac:dyDescent="0.2">
      <c r="A19" s="13">
        <v>41487</v>
      </c>
      <c r="B19" s="14">
        <v>15.649710777065399</v>
      </c>
      <c r="C19" s="14">
        <v>15.3149828669091</v>
      </c>
      <c r="D19" s="14">
        <v>15.3071703669091</v>
      </c>
      <c r="E19" s="14">
        <v>15.3071703669091</v>
      </c>
      <c r="F19" s="45">
        <v>15.493460777065399</v>
      </c>
      <c r="G19" s="14">
        <v>15.313420366909099</v>
      </c>
      <c r="H19" s="14">
        <v>15.313420366909099</v>
      </c>
      <c r="I19" s="14">
        <v>15.3149828669091</v>
      </c>
      <c r="J19" s="44">
        <f>106.91</f>
        <v>106.91</v>
      </c>
    </row>
    <row r="20" spans="1:10" ht="15" x14ac:dyDescent="0.2">
      <c r="A20" s="13">
        <v>41518</v>
      </c>
      <c r="B20" s="14">
        <f>15.6562 * CHOOSE(CONTROL!$C$15, $E$9, 100%, $G$9) + CHOOSE(CONTROL!$C$38, 0.0278, 0)</f>
        <v>15.683999999999999</v>
      </c>
      <c r="C20" s="14">
        <f>15.2656 * CHOOSE(CONTROL!$C$15, $E$9, 100%, $G$9) + CHOOSE(CONTROL!$C$38, 0.0369, 0)</f>
        <v>15.302499999999998</v>
      </c>
      <c r="D20" s="14">
        <f>15.2578 * CHOOSE(CONTROL!$C$15, $E$9, 100%, $G$9) + CHOOSE(CONTROL!$C$38, 0.0369, 0)</f>
        <v>15.294699999999999</v>
      </c>
      <c r="E20" s="14">
        <f>15.2578 * CHOOSE(CONTROL!$C$15, $E$9, 100%, $G$9) + CHOOSE(CONTROL!$C$38, 0.0369, 0)</f>
        <v>15.294699999999999</v>
      </c>
      <c r="F20" s="45">
        <f>15.5 * CHOOSE(CONTROL!$C$15, $E$9, 100%, $G$9) + CHOOSE(CONTROL!$C$38, 0.0278, 0)</f>
        <v>15.527799999999999</v>
      </c>
      <c r="G20" s="14">
        <f>15.2641 * CHOOSE(CONTROL!$C$15, $E$9, 100%, $G$9) + CHOOSE(CONTROL!$C$38, 0.0369, 0)</f>
        <v>15.300999999999998</v>
      </c>
      <c r="H20" s="14">
        <f>15.2641 * CHOOSE(CONTROL!$C$15, $E$9, 100%, $G$9) + CHOOSE(CONTROL!$C$38, 0.0369, 0)</f>
        <v>15.300999999999998</v>
      </c>
      <c r="I20" s="14">
        <f>15.2656 * CHOOSE(CONTROL!$C$15, $E$9, 100%, $G$9) + CHOOSE(CONTROL!$C$38, 0.0369, 0)</f>
        <v>15.302499999999998</v>
      </c>
      <c r="J20" s="44">
        <f>106.56</f>
        <v>106.56</v>
      </c>
    </row>
    <row r="21" spans="1:10" ht="15" x14ac:dyDescent="0.2">
      <c r="A21" s="13">
        <v>41548</v>
      </c>
      <c r="B21" s="14">
        <f>15.9219 * CHOOSE(CONTROL!$C$15, $E$9, 100%, $G$9) + CHOOSE(CONTROL!$C$38, 0.0256, 0)</f>
        <v>15.947500000000002</v>
      </c>
      <c r="C21" s="14">
        <f>15.2969 * CHOOSE(CONTROL!$C$15, $E$9, 100%, $G$9) + CHOOSE(CONTROL!$C$38, 0.0347, 0)</f>
        <v>15.331600000000002</v>
      </c>
      <c r="D21" s="14">
        <f>15.2891 * CHOOSE(CONTROL!$C$15, $E$9, 100%, $G$9) + CHOOSE(CONTROL!$C$38, 0.0347, 0)</f>
        <v>15.3238</v>
      </c>
      <c r="E21" s="14">
        <f>15.2891 * CHOOSE(CONTROL!$C$15, $E$9, 100%, $G$9) + CHOOSE(CONTROL!$C$38, 0.0347, 0)</f>
        <v>15.3238</v>
      </c>
      <c r="F21" s="45">
        <f>15.7656 * CHOOSE(CONTROL!$C$15, $E$9, 100%, $G$9) + CHOOSE(CONTROL!$C$38, 0.0256, 0)</f>
        <v>15.7912</v>
      </c>
      <c r="G21" s="14">
        <f>15.2953 * CHOOSE(CONTROL!$C$15, $E$9, 100%, $G$9) + CHOOSE(CONTROL!$C$38, 0.0347, 0)</f>
        <v>15.33</v>
      </c>
      <c r="H21" s="14">
        <f>15.2953 * CHOOSE(CONTROL!$C$15, $E$9, 100%, $G$9) + CHOOSE(CONTROL!$C$38, 0.0347, 0)</f>
        <v>15.33</v>
      </c>
      <c r="I21" s="14">
        <f>15.2969 * CHOOSE(CONTROL!$C$15, $E$9, 100%, $G$9) + CHOOSE(CONTROL!$C$38, 0.0347, 0)</f>
        <v>15.331600000000002</v>
      </c>
      <c r="J21" s="44">
        <f>105.9</f>
        <v>105.9</v>
      </c>
    </row>
    <row r="22" spans="1:10" ht="15" x14ac:dyDescent="0.2">
      <c r="A22" s="13">
        <v>41579</v>
      </c>
      <c r="B22" s="14">
        <f>15.9141 * CHOOSE(CONTROL!$C$15, $E$9, 100%, $G$9) + CHOOSE(CONTROL!$C$38, 0.0256, 0)</f>
        <v>15.9397</v>
      </c>
      <c r="C22" s="14">
        <f>15.2891 * CHOOSE(CONTROL!$C$15, $E$9, 100%, $G$9) + CHOOSE(CONTROL!$C$38, 0.0347, 0)</f>
        <v>15.3238</v>
      </c>
      <c r="D22" s="14">
        <f>15.2812 * CHOOSE(CONTROL!$C$15, $E$9, 100%, $G$9) + CHOOSE(CONTROL!$C$38, 0.0347, 0)</f>
        <v>15.315900000000001</v>
      </c>
      <c r="E22" s="14">
        <f>15.2812 * CHOOSE(CONTROL!$C$15, $E$9, 100%, $G$9) + CHOOSE(CONTROL!$C$38, 0.0347, 0)</f>
        <v>15.315900000000001</v>
      </c>
      <c r="F22" s="45">
        <f>15.7578 * CHOOSE(CONTROL!$C$15, $E$9, 100%, $G$9) + CHOOSE(CONTROL!$C$38, 0.0256, 0)</f>
        <v>15.7834</v>
      </c>
      <c r="G22" s="14">
        <f>15.2875 * CHOOSE(CONTROL!$C$15, $E$9, 100%, $G$9) + CHOOSE(CONTROL!$C$38, 0.0347, 0)</f>
        <v>15.3222</v>
      </c>
      <c r="H22" s="14">
        <f>15.2875 * CHOOSE(CONTROL!$C$15, $E$9, 100%, $G$9) + CHOOSE(CONTROL!$C$38, 0.0347, 0)</f>
        <v>15.3222</v>
      </c>
      <c r="I22" s="14">
        <f>15.2891 * CHOOSE(CONTROL!$C$15, $E$9, 100%, $G$9) + CHOOSE(CONTROL!$C$38, 0.0347, 0)</f>
        <v>15.3238</v>
      </c>
      <c r="J22" s="44">
        <f>104.51</f>
        <v>104.51</v>
      </c>
    </row>
    <row r="23" spans="1:10" ht="15" x14ac:dyDescent="0.2">
      <c r="A23" s="13">
        <v>41609</v>
      </c>
      <c r="B23" s="14">
        <f>15.9297 * CHOOSE(CONTROL!$C$15, $E$9, 100%, $G$9) + CHOOSE(CONTROL!$C$38, 0.0256, 0)</f>
        <v>15.955300000000001</v>
      </c>
      <c r="C23" s="14">
        <f>15.3047 * CHOOSE(CONTROL!$C$15, $E$9, 100%, $G$9) + CHOOSE(CONTROL!$C$38, 0.0347, 0)</f>
        <v>15.339400000000001</v>
      </c>
      <c r="D23" s="14">
        <f>15.2969 * CHOOSE(CONTROL!$C$15, $E$9, 100%, $G$9) + CHOOSE(CONTROL!$C$38, 0.0347, 0)</f>
        <v>15.331600000000002</v>
      </c>
      <c r="E23" s="14">
        <f>15.2969 * CHOOSE(CONTROL!$C$15, $E$9, 100%, $G$9) + CHOOSE(CONTROL!$C$38, 0.0347, 0)</f>
        <v>15.331600000000002</v>
      </c>
      <c r="F23" s="45">
        <f>15.7734 * CHOOSE(CONTROL!$C$15, $E$9, 100%, $G$9) + CHOOSE(CONTROL!$C$38, 0.0256, 0)</f>
        <v>15.799000000000001</v>
      </c>
      <c r="G23" s="14">
        <f>15.3031 * CHOOSE(CONTROL!$C$15, $E$9, 100%, $G$9) + CHOOSE(CONTROL!$C$38, 0.0347, 0)</f>
        <v>15.337800000000001</v>
      </c>
      <c r="H23" s="14">
        <f>15.3031 * CHOOSE(CONTROL!$C$15, $E$9, 100%, $G$9) + CHOOSE(CONTROL!$C$38, 0.0347, 0)</f>
        <v>15.337800000000001</v>
      </c>
      <c r="I23" s="14">
        <f>15.3047 * CHOOSE(CONTROL!$C$15, $E$9, 100%, $G$9) + CHOOSE(CONTROL!$C$38, 0.0347, 0)</f>
        <v>15.339400000000001</v>
      </c>
      <c r="J23" s="44">
        <f>103.08</f>
        <v>103.08</v>
      </c>
    </row>
    <row r="24" spans="1:10" ht="15" x14ac:dyDescent="0.2">
      <c r="A24" s="13">
        <v>41640</v>
      </c>
      <c r="B24" s="14">
        <f>16.0891 * CHOOSE(CONTROL!$C$15, $E$9, 100%, $G$9) + CHOOSE(CONTROL!$C$38, 0.0256, 0)</f>
        <v>16.114699999999999</v>
      </c>
      <c r="C24" s="14">
        <f>15.3203 * CHOOSE(CONTROL!$C$15, $E$9, 100%, $G$9) + CHOOSE(CONTROL!$C$38, 0.0347, 0)</f>
        <v>15.355</v>
      </c>
      <c r="D24" s="14">
        <f>15.3125 * CHOOSE(CONTROL!$C$15, $E$9, 100%, $G$9) + CHOOSE(CONTROL!$C$38, 0.0347, 0)</f>
        <v>15.347200000000001</v>
      </c>
      <c r="E24" s="46">
        <f>15.9328 * CHOOSE(CONTROL!$C$15, $E$9, 100%, $G$9) + CHOOSE(CONTROL!$C$38, 0.0347, 0)</f>
        <v>15.967500000000001</v>
      </c>
      <c r="F24" s="45">
        <f>15.9328 * CHOOSE(CONTROL!$C$15, $E$9, 100%, $G$9) + CHOOSE(CONTROL!$C$38, 0.0256, 0)</f>
        <v>15.958400000000001</v>
      </c>
      <c r="G24" s="14">
        <f>15.3187 * CHOOSE(CONTROL!$C$15, $E$9, 100%, $G$9) + CHOOSE(CONTROL!$C$38, 0.0347, 0)</f>
        <v>15.353400000000001</v>
      </c>
      <c r="H24" s="14">
        <f>15.3187 * CHOOSE(CONTROL!$C$15, $E$9, 100%, $G$9) + CHOOSE(CONTROL!$C$38, 0.0347, 0)</f>
        <v>15.353400000000001</v>
      </c>
      <c r="I24" s="14">
        <f>15.3203 * CHOOSE(CONTROL!$C$15, $E$9, 100%, $G$9) + CHOOSE(CONTROL!$C$38, 0.0347, 0)</f>
        <v>15.355</v>
      </c>
      <c r="J24" s="44">
        <f>101.7</f>
        <v>101.7</v>
      </c>
    </row>
    <row r="25" spans="1:10" ht="15" x14ac:dyDescent="0.2">
      <c r="A25" s="13">
        <v>41671</v>
      </c>
      <c r="B25" s="14">
        <f>16.0891 * CHOOSE(CONTROL!$C$15, $E$9, 100%, $G$9) + CHOOSE(CONTROL!$C$38, 0.0256, 0)</f>
        <v>16.114699999999999</v>
      </c>
      <c r="C25" s="14">
        <f>15.3203 * CHOOSE(CONTROL!$C$15, $E$9, 100%, $G$9) + CHOOSE(CONTROL!$C$38, 0.0347, 0)</f>
        <v>15.355</v>
      </c>
      <c r="D25" s="14">
        <f>15.3125 * CHOOSE(CONTROL!$C$15, $E$9, 100%, $G$9) + CHOOSE(CONTROL!$C$38, 0.0347, 0)</f>
        <v>15.347200000000001</v>
      </c>
      <c r="E25" s="46">
        <f>15.9328 * CHOOSE(CONTROL!$C$15, $E$9, 100%, $G$9) + CHOOSE(CONTROL!$C$38, 0.0347, 0)</f>
        <v>15.967500000000001</v>
      </c>
      <c r="F25" s="45">
        <f>15.9328 * CHOOSE(CONTROL!$C$15, $E$9, 100%, $G$9) + CHOOSE(CONTROL!$C$38, 0.0256, 0)</f>
        <v>15.958400000000001</v>
      </c>
      <c r="G25" s="14">
        <f>15.3187 * CHOOSE(CONTROL!$C$15, $E$9, 100%, $G$9) + CHOOSE(CONTROL!$C$38, 0.0347, 0)</f>
        <v>15.353400000000001</v>
      </c>
      <c r="H25" s="14">
        <f>15.3187 * CHOOSE(CONTROL!$C$15, $E$9, 100%, $G$9) + CHOOSE(CONTROL!$C$38, 0.0347, 0)</f>
        <v>15.353400000000001</v>
      </c>
      <c r="I25" s="14">
        <f>15.3203 * CHOOSE(CONTROL!$C$15, $E$9, 100%, $G$9) + CHOOSE(CONTROL!$C$38, 0.0347, 0)</f>
        <v>15.355</v>
      </c>
      <c r="J25" s="44">
        <f>100.39</f>
        <v>100.39</v>
      </c>
    </row>
    <row r="26" spans="1:10" ht="15" x14ac:dyDescent="0.2">
      <c r="A26" s="13">
        <v>41699</v>
      </c>
      <c r="B26" s="14">
        <f>16.0891 * CHOOSE(CONTROL!$C$15, $E$9, 100%, $G$9) + CHOOSE(CONTROL!$C$38, 0.0256, 0)</f>
        <v>16.114699999999999</v>
      </c>
      <c r="C26" s="14">
        <f>15.3203 * CHOOSE(CONTROL!$C$15, $E$9, 100%, $G$9) + CHOOSE(CONTROL!$C$38, 0.0347, 0)</f>
        <v>15.355</v>
      </c>
      <c r="D26" s="14">
        <f>15.3125 * CHOOSE(CONTROL!$C$15, $E$9, 100%, $G$9) + CHOOSE(CONTROL!$C$38, 0.0347, 0)</f>
        <v>15.347200000000001</v>
      </c>
      <c r="E26" s="46">
        <f>15.9328 * CHOOSE(CONTROL!$C$15, $E$9, 100%, $G$9) + CHOOSE(CONTROL!$C$38, 0.0347, 0)</f>
        <v>15.967500000000001</v>
      </c>
      <c r="F26" s="45">
        <f>15.9328 * CHOOSE(CONTROL!$C$15, $E$9, 100%, $G$9) + CHOOSE(CONTROL!$C$38, 0.0256, 0)</f>
        <v>15.958400000000001</v>
      </c>
      <c r="G26" s="14">
        <f>15.3187 * CHOOSE(CONTROL!$C$15, $E$9, 100%, $G$9) + CHOOSE(CONTROL!$C$38, 0.0347, 0)</f>
        <v>15.353400000000001</v>
      </c>
      <c r="H26" s="14">
        <f>15.3187 * CHOOSE(CONTROL!$C$15, $E$9, 100%, $G$9) + CHOOSE(CONTROL!$C$38, 0.0347, 0)</f>
        <v>15.353400000000001</v>
      </c>
      <c r="I26" s="14">
        <f>15.3203 * CHOOSE(CONTROL!$C$15, $E$9, 100%, $G$9) + CHOOSE(CONTROL!$C$38, 0.0347, 0)</f>
        <v>15.355</v>
      </c>
      <c r="J26" s="44">
        <f>99.3</f>
        <v>99.3</v>
      </c>
    </row>
    <row r="27" spans="1:10" ht="15" x14ac:dyDescent="0.2">
      <c r="A27" s="13">
        <v>41730</v>
      </c>
      <c r="B27" s="14">
        <f>16.0234 * CHOOSE(CONTROL!$C$15, $E$9, 100%, $G$9) + CHOOSE(CONTROL!$C$38, 0.0256, 0)</f>
        <v>16.048999999999999</v>
      </c>
      <c r="C27" s="14">
        <f>15.2422 * CHOOSE(CONTROL!$C$15, $E$9, 100%, $G$9) + CHOOSE(CONTROL!$C$38, 0.0347, 0)</f>
        <v>15.276900000000001</v>
      </c>
      <c r="D27" s="14">
        <f>15.2344 * CHOOSE(CONTROL!$C$15, $E$9, 100%, $G$9) + CHOOSE(CONTROL!$C$38, 0.0347, 0)</f>
        <v>15.269100000000002</v>
      </c>
      <c r="E27" s="46">
        <f>15.8672 * CHOOSE(CONTROL!$C$15, $E$9, 100%, $G$9) + CHOOSE(CONTROL!$C$38, 0.0347, 0)</f>
        <v>15.901900000000001</v>
      </c>
      <c r="F27" s="45">
        <f>15.8672 * CHOOSE(CONTROL!$C$15, $E$9, 100%, $G$9) + CHOOSE(CONTROL!$C$38, 0.0256, 0)</f>
        <v>15.892800000000001</v>
      </c>
      <c r="G27" s="14">
        <f>15.2406 * CHOOSE(CONTROL!$C$15, $E$9, 100%, $G$9) + CHOOSE(CONTROL!$C$38, 0.0347, 0)</f>
        <v>15.275300000000001</v>
      </c>
      <c r="H27" s="14">
        <f>15.2406 * CHOOSE(CONTROL!$C$15, $E$9, 100%, $G$9) + CHOOSE(CONTROL!$C$38, 0.0347, 0)</f>
        <v>15.275300000000001</v>
      </c>
      <c r="I27" s="14">
        <f>15.2422 * CHOOSE(CONTROL!$C$15, $E$9, 100%, $G$9) + CHOOSE(CONTROL!$C$38, 0.0347, 0)</f>
        <v>15.276900000000001</v>
      </c>
      <c r="J27" s="44">
        <f>98.25</f>
        <v>98.25</v>
      </c>
    </row>
    <row r="28" spans="1:10" ht="15" x14ac:dyDescent="0.2">
      <c r="A28" s="13">
        <v>41760</v>
      </c>
      <c r="B28" s="14">
        <f>16.0234 * CHOOSE(CONTROL!$C$15, $E$9, 100%, $G$9) + CHOOSE(CONTROL!$C$38, 0.0278, 0)</f>
        <v>16.051199999999998</v>
      </c>
      <c r="C28" s="14">
        <f>15.2422 * CHOOSE(CONTROL!$C$15, $E$9, 100%, $G$9) + CHOOSE(CONTROL!$C$38, 0.0369, 0)</f>
        <v>15.2791</v>
      </c>
      <c r="D28" s="14">
        <f>15.2344 * CHOOSE(CONTROL!$C$15, $E$9, 100%, $G$9) + CHOOSE(CONTROL!$C$38, 0.0369, 0)</f>
        <v>15.2713</v>
      </c>
      <c r="E28" s="46">
        <f>15.8672 * CHOOSE(CONTROL!$C$15, $E$9, 100%, $G$9) + CHOOSE(CONTROL!$C$38, 0.0369, 0)</f>
        <v>15.9041</v>
      </c>
      <c r="F28" s="45">
        <f>15.8672 * CHOOSE(CONTROL!$C$15, $E$9, 100%, $G$9) + CHOOSE(CONTROL!$C$38, 0.0278, 0)</f>
        <v>15.895</v>
      </c>
      <c r="G28" s="14">
        <f>15.2406 * CHOOSE(CONTROL!$C$15, $E$9, 100%, $G$9) + CHOOSE(CONTROL!$C$38, 0.0369, 0)</f>
        <v>15.2775</v>
      </c>
      <c r="H28" s="14">
        <f>15.2406 * CHOOSE(CONTROL!$C$15, $E$9, 100%, $G$9) + CHOOSE(CONTROL!$C$38, 0.0369, 0)</f>
        <v>15.2775</v>
      </c>
      <c r="I28" s="14">
        <f>15.2422 * CHOOSE(CONTROL!$C$15, $E$9, 100%, $G$9) + CHOOSE(CONTROL!$C$38, 0.0369, 0)</f>
        <v>15.2791</v>
      </c>
      <c r="J28" s="44">
        <f>97.43</f>
        <v>97.43</v>
      </c>
    </row>
    <row r="29" spans="1:10" ht="15" x14ac:dyDescent="0.2">
      <c r="A29" s="13">
        <v>41791</v>
      </c>
      <c r="B29" s="14">
        <f>16.0234 * CHOOSE(CONTROL!$C$15, $E$9, 100%, $G$9) + CHOOSE(CONTROL!$C$38, 0.0278, 0)</f>
        <v>16.051199999999998</v>
      </c>
      <c r="C29" s="14">
        <f>15.2422 * CHOOSE(CONTROL!$C$15, $E$9, 100%, $G$9) + CHOOSE(CONTROL!$C$38, 0.0369, 0)</f>
        <v>15.2791</v>
      </c>
      <c r="D29" s="14">
        <f>15.2344 * CHOOSE(CONTROL!$C$15, $E$9, 100%, $G$9) + CHOOSE(CONTROL!$C$38, 0.0369, 0)</f>
        <v>15.2713</v>
      </c>
      <c r="E29" s="46">
        <f>15.8672 * CHOOSE(CONTROL!$C$15, $E$9, 100%, $G$9) + CHOOSE(CONTROL!$C$38, 0.0369, 0)</f>
        <v>15.9041</v>
      </c>
      <c r="F29" s="45">
        <f>15.8672 * CHOOSE(CONTROL!$C$15, $E$9, 100%, $G$9) + CHOOSE(CONTROL!$C$38, 0.0278, 0)</f>
        <v>15.895</v>
      </c>
      <c r="G29" s="14">
        <f>15.2406 * CHOOSE(CONTROL!$C$15, $E$9, 100%, $G$9) + CHOOSE(CONTROL!$C$38, 0.0369, 0)</f>
        <v>15.2775</v>
      </c>
      <c r="H29" s="14">
        <f>15.2406 * CHOOSE(CONTROL!$C$15, $E$9, 100%, $G$9) + CHOOSE(CONTROL!$C$38, 0.0369, 0)</f>
        <v>15.2775</v>
      </c>
      <c r="I29" s="14">
        <f>15.2422 * CHOOSE(CONTROL!$C$15, $E$9, 100%, $G$9) + CHOOSE(CONTROL!$C$38, 0.0369, 0)</f>
        <v>15.2791</v>
      </c>
      <c r="J29" s="44">
        <f>96.73</f>
        <v>96.73</v>
      </c>
    </row>
    <row r="30" spans="1:10" ht="15" x14ac:dyDescent="0.2">
      <c r="A30" s="13">
        <v>41821</v>
      </c>
      <c r="B30" s="14">
        <f>15.8656 * CHOOSE(CONTROL!$C$15, $E$9, 100%, $G$9) + CHOOSE(CONTROL!$C$38, 0.0278, 0)</f>
        <v>15.8934</v>
      </c>
      <c r="C30" s="14">
        <f>15.1484 * CHOOSE(CONTROL!$C$15, $E$9, 100%, $G$9) + CHOOSE(CONTROL!$C$38, 0.0369, 0)</f>
        <v>15.1853</v>
      </c>
      <c r="D30" s="14">
        <f>15.1406 * CHOOSE(CONTROL!$C$15, $E$9, 100%, $G$9) + CHOOSE(CONTROL!$C$38, 0.0369, 0)</f>
        <v>15.177499999999998</v>
      </c>
      <c r="E30" s="46">
        <f>15.7094 * CHOOSE(CONTROL!$C$15, $E$9, 100%, $G$9) + CHOOSE(CONTROL!$C$38, 0.0369, 0)</f>
        <v>15.7463</v>
      </c>
      <c r="F30" s="45">
        <f>15.7094 * CHOOSE(CONTROL!$C$15, $E$9, 100%, $G$9) + CHOOSE(CONTROL!$C$38, 0.0278, 0)</f>
        <v>15.7372</v>
      </c>
      <c r="G30" s="14">
        <f>15.1469 * CHOOSE(CONTROL!$C$15, $E$9, 100%, $G$9) + CHOOSE(CONTROL!$C$38, 0.0369, 0)</f>
        <v>15.1838</v>
      </c>
      <c r="H30" s="14">
        <f>15.1469 * CHOOSE(CONTROL!$C$15, $E$9, 100%, $G$9) + CHOOSE(CONTROL!$C$38, 0.0369, 0)</f>
        <v>15.1838</v>
      </c>
      <c r="I30" s="14">
        <f>15.1484 * CHOOSE(CONTROL!$C$15, $E$9, 100%, $G$9) + CHOOSE(CONTROL!$C$38, 0.0369, 0)</f>
        <v>15.1853</v>
      </c>
      <c r="J30" s="44">
        <f>95.98</f>
        <v>95.98</v>
      </c>
    </row>
    <row r="31" spans="1:10" ht="15" x14ac:dyDescent="0.2">
      <c r="A31" s="13">
        <v>41852</v>
      </c>
      <c r="B31" s="14">
        <f>15.8656 * CHOOSE(CONTROL!$C$15, $E$9, 100%, $G$9) + CHOOSE(CONTROL!$C$38, 0.0278, 0)</f>
        <v>15.8934</v>
      </c>
      <c r="C31" s="14">
        <f>15.1484 * CHOOSE(CONTROL!$C$15, $E$9, 100%, $G$9) + CHOOSE(CONTROL!$C$38, 0.0369, 0)</f>
        <v>15.1853</v>
      </c>
      <c r="D31" s="14">
        <f>15.1406 * CHOOSE(CONTROL!$C$15, $E$9, 100%, $G$9) + CHOOSE(CONTROL!$C$38, 0.0369, 0)</f>
        <v>15.177499999999998</v>
      </c>
      <c r="E31" s="46">
        <f>15.7094 * CHOOSE(CONTROL!$C$15, $E$9, 100%, $G$9) + CHOOSE(CONTROL!$C$38, 0.0369, 0)</f>
        <v>15.7463</v>
      </c>
      <c r="F31" s="45">
        <f>15.7094 * CHOOSE(CONTROL!$C$15, $E$9, 100%, $G$9) + CHOOSE(CONTROL!$C$38, 0.0278, 0)</f>
        <v>15.7372</v>
      </c>
      <c r="G31" s="14">
        <f>15.1469 * CHOOSE(CONTROL!$C$15, $E$9, 100%, $G$9) + CHOOSE(CONTROL!$C$38, 0.0369, 0)</f>
        <v>15.1838</v>
      </c>
      <c r="H31" s="14">
        <f>15.1469 * CHOOSE(CONTROL!$C$15, $E$9, 100%, $G$9) + CHOOSE(CONTROL!$C$38, 0.0369, 0)</f>
        <v>15.1838</v>
      </c>
      <c r="I31" s="14">
        <f>15.1484 * CHOOSE(CONTROL!$C$15, $E$9, 100%, $G$9) + CHOOSE(CONTROL!$C$38, 0.0369, 0)</f>
        <v>15.1853</v>
      </c>
      <c r="J31" s="44">
        <f>95.23</f>
        <v>95.23</v>
      </c>
    </row>
    <row r="32" spans="1:10" ht="15" x14ac:dyDescent="0.2">
      <c r="A32" s="13">
        <v>41883</v>
      </c>
      <c r="B32" s="14">
        <f>15.8656 * CHOOSE(CONTROL!$C$15, $E$9, 100%, $G$9) + CHOOSE(CONTROL!$C$38, 0.0278, 0)</f>
        <v>15.8934</v>
      </c>
      <c r="C32" s="14">
        <f>15.1484 * CHOOSE(CONTROL!$C$15, $E$9, 100%, $G$9) + CHOOSE(CONTROL!$C$38, 0.0369, 0)</f>
        <v>15.1853</v>
      </c>
      <c r="D32" s="14">
        <f>15.1406 * CHOOSE(CONTROL!$C$15, $E$9, 100%, $G$9) + CHOOSE(CONTROL!$C$38, 0.0369, 0)</f>
        <v>15.177499999999998</v>
      </c>
      <c r="E32" s="46">
        <f>15.7094 * CHOOSE(CONTROL!$C$15, $E$9, 100%, $G$9) + CHOOSE(CONTROL!$C$38, 0.0369, 0)</f>
        <v>15.7463</v>
      </c>
      <c r="F32" s="45">
        <f>15.7094 * CHOOSE(CONTROL!$C$15, $E$9, 100%, $G$9) + CHOOSE(CONTROL!$C$38, 0.0278, 0)</f>
        <v>15.7372</v>
      </c>
      <c r="G32" s="14">
        <f>15.1469 * CHOOSE(CONTROL!$C$15, $E$9, 100%, $G$9) + CHOOSE(CONTROL!$C$38, 0.0369, 0)</f>
        <v>15.1838</v>
      </c>
      <c r="H32" s="14">
        <f>15.1469 * CHOOSE(CONTROL!$C$15, $E$9, 100%, $G$9) + CHOOSE(CONTROL!$C$38, 0.0369, 0)</f>
        <v>15.1838</v>
      </c>
      <c r="I32" s="14">
        <f>15.1484 * CHOOSE(CONTROL!$C$15, $E$9, 100%, $G$9) + CHOOSE(CONTROL!$C$38, 0.0369, 0)</f>
        <v>15.1853</v>
      </c>
      <c r="J32" s="44">
        <f>94.64</f>
        <v>94.64</v>
      </c>
    </row>
    <row r="33" spans="1:10" ht="15" x14ac:dyDescent="0.2">
      <c r="A33" s="13">
        <v>41913</v>
      </c>
      <c r="B33" s="14">
        <f>15.8656 * CHOOSE(CONTROL!$C$15, $E$9, 100%, $G$9) + CHOOSE(CONTROL!$C$38, 0.0256, 0)</f>
        <v>15.891200000000001</v>
      </c>
      <c r="C33" s="14">
        <f>15.0078 * CHOOSE(CONTROL!$C$15, $E$9, 100%, $G$9) + CHOOSE(CONTROL!$C$38, 0.0347, 0)</f>
        <v>15.0425</v>
      </c>
      <c r="D33" s="14">
        <f>15 * CHOOSE(CONTROL!$C$15, $E$9, 100%, $G$9) + CHOOSE(CONTROL!$C$38, 0.0347, 0)</f>
        <v>15.034700000000001</v>
      </c>
      <c r="E33" s="46">
        <f>15.7094 * CHOOSE(CONTROL!$C$15, $E$9, 100%, $G$9) + CHOOSE(CONTROL!$C$38, 0.0347, 0)</f>
        <v>15.744100000000001</v>
      </c>
      <c r="F33" s="45">
        <f>15.7094 * CHOOSE(CONTROL!$C$15, $E$9, 100%, $G$9) + CHOOSE(CONTROL!$C$38, 0.0256, 0)</f>
        <v>15.735000000000001</v>
      </c>
      <c r="G33" s="14">
        <f>15.0062 * CHOOSE(CONTROL!$C$15, $E$9, 100%, $G$9) + CHOOSE(CONTROL!$C$38, 0.0347, 0)</f>
        <v>15.040900000000001</v>
      </c>
      <c r="H33" s="14">
        <f>15.0062 * CHOOSE(CONTROL!$C$15, $E$9, 100%, $G$9) + CHOOSE(CONTROL!$C$38, 0.0347, 0)</f>
        <v>15.040900000000001</v>
      </c>
      <c r="I33" s="14">
        <f>15.0078 * CHOOSE(CONTROL!$C$15, $E$9, 100%, $G$9) + CHOOSE(CONTROL!$C$38, 0.0347, 0)</f>
        <v>15.0425</v>
      </c>
      <c r="J33" s="44">
        <f>94.09</f>
        <v>94.09</v>
      </c>
    </row>
    <row r="34" spans="1:10" ht="15" x14ac:dyDescent="0.2">
      <c r="A34" s="13">
        <v>41944</v>
      </c>
      <c r="B34" s="14">
        <f>15.8656 * CHOOSE(CONTROL!$C$15, $E$9, 100%, $G$9) + CHOOSE(CONTROL!$C$38, 0.0256, 0)</f>
        <v>15.891200000000001</v>
      </c>
      <c r="C34" s="14">
        <f>15.0078 * CHOOSE(CONTROL!$C$15, $E$9, 100%, $G$9) + CHOOSE(CONTROL!$C$38, 0.0347, 0)</f>
        <v>15.0425</v>
      </c>
      <c r="D34" s="14">
        <f>15 * CHOOSE(CONTROL!$C$15, $E$9, 100%, $G$9) + CHOOSE(CONTROL!$C$38, 0.0347, 0)</f>
        <v>15.034700000000001</v>
      </c>
      <c r="E34" s="46">
        <f>15.7094 * CHOOSE(CONTROL!$C$15, $E$9, 100%, $G$9) + CHOOSE(CONTROL!$C$38, 0.0347, 0)</f>
        <v>15.744100000000001</v>
      </c>
      <c r="F34" s="45">
        <f>15.7094 * CHOOSE(CONTROL!$C$15, $E$9, 100%, $G$9) + CHOOSE(CONTROL!$C$38, 0.0256, 0)</f>
        <v>15.735000000000001</v>
      </c>
      <c r="G34" s="14">
        <f>15.0062 * CHOOSE(CONTROL!$C$15, $E$9, 100%, $G$9) + CHOOSE(CONTROL!$C$38, 0.0347, 0)</f>
        <v>15.040900000000001</v>
      </c>
      <c r="H34" s="14">
        <f>15.0062 * CHOOSE(CONTROL!$C$15, $E$9, 100%, $G$9) + CHOOSE(CONTROL!$C$38, 0.0347, 0)</f>
        <v>15.040900000000001</v>
      </c>
      <c r="I34" s="14">
        <f>15.0078 * CHOOSE(CONTROL!$C$15, $E$9, 100%, $G$9) + CHOOSE(CONTROL!$C$38, 0.0347, 0)</f>
        <v>15.0425</v>
      </c>
      <c r="J34" s="44">
        <f>93.63</f>
        <v>93.63</v>
      </c>
    </row>
    <row r="35" spans="1:10" ht="15" x14ac:dyDescent="0.2">
      <c r="A35" s="13">
        <v>41974</v>
      </c>
      <c r="B35" s="14">
        <f>15.8656 * CHOOSE(CONTROL!$C$15, $E$9, 100%, $G$9) + CHOOSE(CONTROL!$C$38, 0.0256, 0)</f>
        <v>15.891200000000001</v>
      </c>
      <c r="C35" s="14">
        <f>15.0078 * CHOOSE(CONTROL!$C$15, $E$9, 100%, $G$9) + CHOOSE(CONTROL!$C$38, 0.0347, 0)</f>
        <v>15.0425</v>
      </c>
      <c r="D35" s="14">
        <f>15 * CHOOSE(CONTROL!$C$15, $E$9, 100%, $G$9) + CHOOSE(CONTROL!$C$38, 0.0347, 0)</f>
        <v>15.034700000000001</v>
      </c>
      <c r="E35" s="46">
        <f>15.7094 * CHOOSE(CONTROL!$C$15, $E$9, 100%, $G$9) + CHOOSE(CONTROL!$C$38, 0.0347, 0)</f>
        <v>15.744100000000001</v>
      </c>
      <c r="F35" s="45">
        <f>15.7094 * CHOOSE(CONTROL!$C$15, $E$9, 100%, $G$9) + CHOOSE(CONTROL!$C$38, 0.0256, 0)</f>
        <v>15.735000000000001</v>
      </c>
      <c r="G35" s="14">
        <f>15.0062 * CHOOSE(CONTROL!$C$15, $E$9, 100%, $G$9) + CHOOSE(CONTROL!$C$38, 0.0347, 0)</f>
        <v>15.040900000000001</v>
      </c>
      <c r="H35" s="14">
        <f>15.0062 * CHOOSE(CONTROL!$C$15, $E$9, 100%, $G$9) + CHOOSE(CONTROL!$C$38, 0.0347, 0)</f>
        <v>15.040900000000001</v>
      </c>
      <c r="I35" s="14">
        <f>15.0078 * CHOOSE(CONTROL!$C$15, $E$9, 100%, $G$9) + CHOOSE(CONTROL!$C$38, 0.0347, 0)</f>
        <v>15.0425</v>
      </c>
      <c r="J35" s="44">
        <f>93.19</f>
        <v>93.19</v>
      </c>
    </row>
    <row r="36" spans="1:10" ht="15" x14ac:dyDescent="0.2">
      <c r="A36" s="13">
        <v>42005</v>
      </c>
      <c r="B36" s="14">
        <f>14.9141 * CHOOSE(CONTROL!$C$15, $E$9, 100%, $G$9) + CHOOSE(CONTROL!$C$38, 0.0256, 0)</f>
        <v>14.9397</v>
      </c>
      <c r="C36" s="14">
        <f>15.2766 * CHOOSE(CONTROL!$C$15, $E$9, 100%, $G$9) + CHOOSE(CONTROL!$C$38, 0.0347, 0)</f>
        <v>15.311300000000001</v>
      </c>
      <c r="D36" s="14">
        <f>15.2687 * CHOOSE(CONTROL!$C$15, $E$9, 100%, $G$9) + CHOOSE(CONTROL!$C$38, 0.0347, 0)</f>
        <v>15.303400000000002</v>
      </c>
      <c r="E36" s="46">
        <f>14.7578 * CHOOSE(CONTROL!$C$15, $E$9, 100%, $G$9) + CHOOSE(CONTROL!$C$38, 0.0347, 0)</f>
        <v>14.7925</v>
      </c>
      <c r="F36" s="45">
        <f>14.7578 * CHOOSE(CONTROL!$C$15, $E$9, 100%, $G$9) + CHOOSE(CONTROL!$C$38, 0.0256, 0)</f>
        <v>14.7834</v>
      </c>
      <c r="G36" s="14">
        <f>15.275 * CHOOSE(CONTROL!$C$15, $E$9, 100%, $G$9) + CHOOSE(CONTROL!$C$38, 0.0347, 0)</f>
        <v>15.309700000000001</v>
      </c>
      <c r="H36" s="14">
        <f>15.275 * CHOOSE(CONTROL!$C$15, $E$9, 100%, $G$9) + CHOOSE(CONTROL!$C$38, 0.0347, 0)</f>
        <v>15.309700000000001</v>
      </c>
      <c r="I36" s="14">
        <f>15.2766 * CHOOSE(CONTROL!$C$15, $E$9, 100%, $G$9) + CHOOSE(CONTROL!$C$38, 0.0347, 0)</f>
        <v>15.311300000000001</v>
      </c>
      <c r="J36" s="44">
        <f>92.62</f>
        <v>92.62</v>
      </c>
    </row>
    <row r="37" spans="1:10" ht="15" x14ac:dyDescent="0.2">
      <c r="A37" s="13">
        <v>42036</v>
      </c>
      <c r="B37" s="14">
        <f>14.9141 * CHOOSE(CONTROL!$C$15, $E$9, 100%, $G$9) + CHOOSE(CONTROL!$C$38, 0.0256, 0)</f>
        <v>14.9397</v>
      </c>
      <c r="C37" s="14">
        <f>15.2766 * CHOOSE(CONTROL!$C$15, $E$9, 100%, $G$9) + CHOOSE(CONTROL!$C$38, 0.0347, 0)</f>
        <v>15.311300000000001</v>
      </c>
      <c r="D37" s="14">
        <f>15.2687 * CHOOSE(CONTROL!$C$15, $E$9, 100%, $G$9) + CHOOSE(CONTROL!$C$38, 0.0347, 0)</f>
        <v>15.303400000000002</v>
      </c>
      <c r="E37" s="46">
        <f>14.7578 * CHOOSE(CONTROL!$C$15, $E$9, 100%, $G$9) + CHOOSE(CONTROL!$C$38, 0.0347, 0)</f>
        <v>14.7925</v>
      </c>
      <c r="F37" s="45">
        <f>14.7578 * CHOOSE(CONTROL!$C$15, $E$9, 100%, $G$9) + CHOOSE(CONTROL!$C$38, 0.0256, 0)</f>
        <v>14.7834</v>
      </c>
      <c r="G37" s="14">
        <f>15.275 * CHOOSE(CONTROL!$C$15, $E$9, 100%, $G$9) + CHOOSE(CONTROL!$C$38, 0.0347, 0)</f>
        <v>15.309700000000001</v>
      </c>
      <c r="H37" s="14">
        <f>15.275 * CHOOSE(CONTROL!$C$15, $E$9, 100%, $G$9) + CHOOSE(CONTROL!$C$38, 0.0347, 0)</f>
        <v>15.309700000000001</v>
      </c>
      <c r="I37" s="14">
        <f>15.2766 * CHOOSE(CONTROL!$C$15, $E$9, 100%, $G$9) + CHOOSE(CONTROL!$C$38, 0.0347, 0)</f>
        <v>15.311300000000001</v>
      </c>
      <c r="J37" s="44">
        <f>92.05</f>
        <v>92.05</v>
      </c>
    </row>
    <row r="38" spans="1:10" ht="15" x14ac:dyDescent="0.2">
      <c r="A38" s="13">
        <v>42064</v>
      </c>
      <c r="B38" s="14">
        <f>14.9141 * CHOOSE(CONTROL!$C$15, $E$9, 100%, $G$9) + CHOOSE(CONTROL!$C$38, 0.0256, 0)</f>
        <v>14.9397</v>
      </c>
      <c r="C38" s="14">
        <f>15.2766 * CHOOSE(CONTROL!$C$15, $E$9, 100%, $G$9) + CHOOSE(CONTROL!$C$38, 0.0347, 0)</f>
        <v>15.311300000000001</v>
      </c>
      <c r="D38" s="14">
        <f>15.2687 * CHOOSE(CONTROL!$C$15, $E$9, 100%, $G$9) + CHOOSE(CONTROL!$C$38, 0.0347, 0)</f>
        <v>15.303400000000002</v>
      </c>
      <c r="E38" s="46">
        <f>14.7578 * CHOOSE(CONTROL!$C$15, $E$9, 100%, $G$9) + CHOOSE(CONTROL!$C$38, 0.0347, 0)</f>
        <v>14.7925</v>
      </c>
      <c r="F38" s="45">
        <f>14.7578 * CHOOSE(CONTROL!$C$15, $E$9, 100%, $G$9) + CHOOSE(CONTROL!$C$38, 0.0256, 0)</f>
        <v>14.7834</v>
      </c>
      <c r="G38" s="14">
        <f>15.275 * CHOOSE(CONTROL!$C$15, $E$9, 100%, $G$9) + CHOOSE(CONTROL!$C$38, 0.0347, 0)</f>
        <v>15.309700000000001</v>
      </c>
      <c r="H38" s="14">
        <f>15.275 * CHOOSE(CONTROL!$C$15, $E$9, 100%, $G$9) + CHOOSE(CONTROL!$C$38, 0.0347, 0)</f>
        <v>15.309700000000001</v>
      </c>
      <c r="I38" s="14">
        <f>15.2766 * CHOOSE(CONTROL!$C$15, $E$9, 100%, $G$9) + CHOOSE(CONTROL!$C$38, 0.0347, 0)</f>
        <v>15.311300000000001</v>
      </c>
      <c r="J38" s="44">
        <f>91.48</f>
        <v>91.48</v>
      </c>
    </row>
    <row r="39" spans="1:10" ht="15" x14ac:dyDescent="0.2">
      <c r="A39" s="13">
        <v>42095</v>
      </c>
      <c r="B39" s="14">
        <f>14.9141 * CHOOSE(CONTROL!$C$15, $E$9, 100%, $G$9) + CHOOSE(CONTROL!$C$38, 0.0256, 0)</f>
        <v>14.9397</v>
      </c>
      <c r="C39" s="14">
        <f>15.2766 * CHOOSE(CONTROL!$C$15, $E$9, 100%, $G$9) + CHOOSE(CONTROL!$C$38, 0.0347, 0)</f>
        <v>15.311300000000001</v>
      </c>
      <c r="D39" s="14">
        <f>15.2687 * CHOOSE(CONTROL!$C$15, $E$9, 100%, $G$9) + CHOOSE(CONTROL!$C$38, 0.0347, 0)</f>
        <v>15.303400000000002</v>
      </c>
      <c r="E39" s="46">
        <f>14.7578 * CHOOSE(CONTROL!$C$15, $E$9, 100%, $G$9) + CHOOSE(CONTROL!$C$38, 0.0347, 0)</f>
        <v>14.7925</v>
      </c>
      <c r="F39" s="45">
        <f>14.7578 * CHOOSE(CONTROL!$C$15, $E$9, 100%, $G$9) + CHOOSE(CONTROL!$C$38, 0.0256, 0)</f>
        <v>14.7834</v>
      </c>
      <c r="G39" s="14">
        <f>15.275 * CHOOSE(CONTROL!$C$15, $E$9, 100%, $G$9) + CHOOSE(CONTROL!$C$38, 0.0347, 0)</f>
        <v>15.309700000000001</v>
      </c>
      <c r="H39" s="14">
        <f>15.275 * CHOOSE(CONTROL!$C$15, $E$9, 100%, $G$9) + CHOOSE(CONTROL!$C$38, 0.0347, 0)</f>
        <v>15.309700000000001</v>
      </c>
      <c r="I39" s="14">
        <f>15.2766 * CHOOSE(CONTROL!$C$15, $E$9, 100%, $G$9) + CHOOSE(CONTROL!$C$38, 0.0347, 0)</f>
        <v>15.311300000000001</v>
      </c>
      <c r="J39" s="44">
        <f>90.96</f>
        <v>90.96</v>
      </c>
    </row>
    <row r="40" spans="1:10" ht="15" x14ac:dyDescent="0.2">
      <c r="A40" s="13">
        <v>42125</v>
      </c>
      <c r="B40" s="14">
        <f>14.9141 * CHOOSE(CONTROL!$C$15, $E$9, 100%, $G$9) + CHOOSE(CONTROL!$C$38, 0.0278, 0)</f>
        <v>14.941899999999999</v>
      </c>
      <c r="C40" s="14">
        <f>15.2766 * CHOOSE(CONTROL!$C$15, $E$9, 100%, $G$9) + CHOOSE(CONTROL!$C$38, 0.0369, 0)</f>
        <v>15.313499999999999</v>
      </c>
      <c r="D40" s="14">
        <f>15.2687 * CHOOSE(CONTROL!$C$15, $E$9, 100%, $G$9) + CHOOSE(CONTROL!$C$38, 0.0369, 0)</f>
        <v>15.3056</v>
      </c>
      <c r="E40" s="46">
        <f>14.7578 * CHOOSE(CONTROL!$C$15, $E$9, 100%, $G$9) + CHOOSE(CONTROL!$C$38, 0.0369, 0)</f>
        <v>14.794699999999999</v>
      </c>
      <c r="F40" s="45">
        <f>14.7578 * CHOOSE(CONTROL!$C$15, $E$9, 100%, $G$9) + CHOOSE(CONTROL!$C$38, 0.0278, 0)</f>
        <v>14.785599999999999</v>
      </c>
      <c r="G40" s="14">
        <f>15.275 * CHOOSE(CONTROL!$C$15, $E$9, 100%, $G$9) + CHOOSE(CONTROL!$C$38, 0.0369, 0)</f>
        <v>15.3119</v>
      </c>
      <c r="H40" s="14">
        <f>15.275 * CHOOSE(CONTROL!$C$15, $E$9, 100%, $G$9) + CHOOSE(CONTROL!$C$38, 0.0369, 0)</f>
        <v>15.3119</v>
      </c>
      <c r="I40" s="14">
        <f>15.2766 * CHOOSE(CONTROL!$C$15, $E$9, 100%, $G$9) + CHOOSE(CONTROL!$C$38, 0.0369, 0)</f>
        <v>15.313499999999999</v>
      </c>
      <c r="J40" s="44">
        <f>90.55</f>
        <v>90.55</v>
      </c>
    </row>
    <row r="41" spans="1:10" ht="15" x14ac:dyDescent="0.2">
      <c r="A41" s="13">
        <v>42156</v>
      </c>
      <c r="B41" s="14">
        <f>14.9141 * CHOOSE(CONTROL!$C$15, $E$9, 100%, $G$9) + CHOOSE(CONTROL!$C$38, 0.0278, 0)</f>
        <v>14.941899999999999</v>
      </c>
      <c r="C41" s="14">
        <f>15.2766 * CHOOSE(CONTROL!$C$15, $E$9, 100%, $G$9) + CHOOSE(CONTROL!$C$38, 0.0369, 0)</f>
        <v>15.313499999999999</v>
      </c>
      <c r="D41" s="14">
        <f>15.2687 * CHOOSE(CONTROL!$C$15, $E$9, 100%, $G$9) + CHOOSE(CONTROL!$C$38, 0.0369, 0)</f>
        <v>15.3056</v>
      </c>
      <c r="E41" s="46">
        <f>14.7578 * CHOOSE(CONTROL!$C$15, $E$9, 100%, $G$9) + CHOOSE(CONTROL!$C$38, 0.0369, 0)</f>
        <v>14.794699999999999</v>
      </c>
      <c r="F41" s="45">
        <f>14.7578 * CHOOSE(CONTROL!$C$15, $E$9, 100%, $G$9) + CHOOSE(CONTROL!$C$38, 0.0278, 0)</f>
        <v>14.785599999999999</v>
      </c>
      <c r="G41" s="14">
        <f>15.275 * CHOOSE(CONTROL!$C$15, $E$9, 100%, $G$9) + CHOOSE(CONTROL!$C$38, 0.0369, 0)</f>
        <v>15.3119</v>
      </c>
      <c r="H41" s="14">
        <f>15.275 * CHOOSE(CONTROL!$C$15, $E$9, 100%, $G$9) + CHOOSE(CONTROL!$C$38, 0.0369, 0)</f>
        <v>15.3119</v>
      </c>
      <c r="I41" s="14">
        <f>15.2766 * CHOOSE(CONTROL!$C$15, $E$9, 100%, $G$9) + CHOOSE(CONTROL!$C$38, 0.0369, 0)</f>
        <v>15.313499999999999</v>
      </c>
      <c r="J41" s="44">
        <f>90.2</f>
        <v>90.2</v>
      </c>
    </row>
    <row r="42" spans="1:10" ht="15" x14ac:dyDescent="0.2">
      <c r="A42" s="13">
        <v>42186</v>
      </c>
      <c r="B42" s="14">
        <f>14.9141 * CHOOSE(CONTROL!$C$15, $E$9, 100%, $G$9) + CHOOSE(CONTROL!$C$38, 0.0278, 0)</f>
        <v>14.941899999999999</v>
      </c>
      <c r="C42" s="14">
        <f>15.2766 * CHOOSE(CONTROL!$C$15, $E$9, 100%, $G$9) + CHOOSE(CONTROL!$C$38, 0.0369, 0)</f>
        <v>15.313499999999999</v>
      </c>
      <c r="D42" s="14">
        <f>15.2687 * CHOOSE(CONTROL!$C$15, $E$9, 100%, $G$9) + CHOOSE(CONTROL!$C$38, 0.0369, 0)</f>
        <v>15.3056</v>
      </c>
      <c r="E42" s="46">
        <f>14.7578 * CHOOSE(CONTROL!$C$15, $E$9, 100%, $G$9) + CHOOSE(CONTROL!$C$38, 0.0369, 0)</f>
        <v>14.794699999999999</v>
      </c>
      <c r="F42" s="45">
        <f>14.7578 * CHOOSE(CONTROL!$C$15, $E$9, 100%, $G$9) + CHOOSE(CONTROL!$C$38, 0.0278, 0)</f>
        <v>14.785599999999999</v>
      </c>
      <c r="G42" s="14">
        <f>15.275 * CHOOSE(CONTROL!$C$15, $E$9, 100%, $G$9) + CHOOSE(CONTROL!$C$38, 0.0369, 0)</f>
        <v>15.3119</v>
      </c>
      <c r="H42" s="14">
        <f>15.275 * CHOOSE(CONTROL!$C$15, $E$9, 100%, $G$9) + CHOOSE(CONTROL!$C$38, 0.0369, 0)</f>
        <v>15.3119</v>
      </c>
      <c r="I42" s="14">
        <f>15.2766 * CHOOSE(CONTROL!$C$15, $E$9, 100%, $G$9) + CHOOSE(CONTROL!$C$38, 0.0369, 0)</f>
        <v>15.313499999999999</v>
      </c>
      <c r="J42" s="44">
        <f>89.66</f>
        <v>89.66</v>
      </c>
    </row>
    <row r="43" spans="1:10" ht="15" x14ac:dyDescent="0.2">
      <c r="A43" s="13">
        <v>42217</v>
      </c>
      <c r="B43" s="14">
        <f>14.9141 * CHOOSE(CONTROL!$C$15, $E$9, 100%, $G$9) + CHOOSE(CONTROL!$C$38, 0.0278, 0)</f>
        <v>14.941899999999999</v>
      </c>
      <c r="C43" s="14">
        <f>15.2766 * CHOOSE(CONTROL!$C$15, $E$9, 100%, $G$9) + CHOOSE(CONTROL!$C$38, 0.0369, 0)</f>
        <v>15.313499999999999</v>
      </c>
      <c r="D43" s="14">
        <f>15.2687 * CHOOSE(CONTROL!$C$15, $E$9, 100%, $G$9) + CHOOSE(CONTROL!$C$38, 0.0369, 0)</f>
        <v>15.3056</v>
      </c>
      <c r="E43" s="46">
        <f>14.7578 * CHOOSE(CONTROL!$C$15, $E$9, 100%, $G$9) + CHOOSE(CONTROL!$C$38, 0.0369, 0)</f>
        <v>14.794699999999999</v>
      </c>
      <c r="F43" s="45">
        <f>14.7578 * CHOOSE(CONTROL!$C$15, $E$9, 100%, $G$9) + CHOOSE(CONTROL!$C$38, 0.0278, 0)</f>
        <v>14.785599999999999</v>
      </c>
      <c r="G43" s="14">
        <f>15.275 * CHOOSE(CONTROL!$C$15, $E$9, 100%, $G$9) + CHOOSE(CONTROL!$C$38, 0.0369, 0)</f>
        <v>15.3119</v>
      </c>
      <c r="H43" s="14">
        <f>15.275 * CHOOSE(CONTROL!$C$15, $E$9, 100%, $G$9) + CHOOSE(CONTROL!$C$38, 0.0369, 0)</f>
        <v>15.3119</v>
      </c>
      <c r="I43" s="14">
        <f>15.2766 * CHOOSE(CONTROL!$C$15, $E$9, 100%, $G$9) + CHOOSE(CONTROL!$C$38, 0.0369, 0)</f>
        <v>15.313499999999999</v>
      </c>
      <c r="J43" s="44">
        <f>89.19</f>
        <v>89.19</v>
      </c>
    </row>
    <row r="44" spans="1:10" ht="15" x14ac:dyDescent="0.2">
      <c r="A44" s="13">
        <v>42248</v>
      </c>
      <c r="B44" s="14">
        <f>14.9141 * CHOOSE(CONTROL!$C$15, $E$9, 100%, $G$9) + CHOOSE(CONTROL!$C$38, 0.0278, 0)</f>
        <v>14.941899999999999</v>
      </c>
      <c r="C44" s="14">
        <f>15.2766 * CHOOSE(CONTROL!$C$15, $E$9, 100%, $G$9) + CHOOSE(CONTROL!$C$38, 0.0369, 0)</f>
        <v>15.313499999999999</v>
      </c>
      <c r="D44" s="14">
        <f>15.2687 * CHOOSE(CONTROL!$C$15, $E$9, 100%, $G$9) + CHOOSE(CONTROL!$C$38, 0.0369, 0)</f>
        <v>15.3056</v>
      </c>
      <c r="E44" s="46">
        <f>14.7578 * CHOOSE(CONTROL!$C$15, $E$9, 100%, $G$9) + CHOOSE(CONTROL!$C$38, 0.0369, 0)</f>
        <v>14.794699999999999</v>
      </c>
      <c r="F44" s="45">
        <f>14.7578 * CHOOSE(CONTROL!$C$15, $E$9, 100%, $G$9) + CHOOSE(CONTROL!$C$38, 0.0278, 0)</f>
        <v>14.785599999999999</v>
      </c>
      <c r="G44" s="14">
        <f>15.275 * CHOOSE(CONTROL!$C$15, $E$9, 100%, $G$9) + CHOOSE(CONTROL!$C$38, 0.0369, 0)</f>
        <v>15.3119</v>
      </c>
      <c r="H44" s="14">
        <f>15.275 * CHOOSE(CONTROL!$C$15, $E$9, 100%, $G$9) + CHOOSE(CONTROL!$C$38, 0.0369, 0)</f>
        <v>15.3119</v>
      </c>
      <c r="I44" s="14">
        <f>15.2766 * CHOOSE(CONTROL!$C$15, $E$9, 100%, $G$9) + CHOOSE(CONTROL!$C$38, 0.0369, 0)</f>
        <v>15.313499999999999</v>
      </c>
      <c r="J44" s="44">
        <f>88.76</f>
        <v>88.76</v>
      </c>
    </row>
    <row r="45" spans="1:10" ht="15" x14ac:dyDescent="0.2">
      <c r="A45" s="13">
        <v>42278</v>
      </c>
      <c r="B45" s="14">
        <f>14.9141 * CHOOSE(CONTROL!$C$15, $E$9, 100%, $G$9) + CHOOSE(CONTROL!$C$38, 0.0256, 0)</f>
        <v>14.9397</v>
      </c>
      <c r="C45" s="14">
        <f>15.2766 * CHOOSE(CONTROL!$C$15, $E$9, 100%, $G$9) + CHOOSE(CONTROL!$C$38, 0.0347, 0)</f>
        <v>15.311300000000001</v>
      </c>
      <c r="D45" s="14">
        <f>15.2687 * CHOOSE(CONTROL!$C$15, $E$9, 100%, $G$9) + CHOOSE(CONTROL!$C$38, 0.0347, 0)</f>
        <v>15.303400000000002</v>
      </c>
      <c r="E45" s="46">
        <f>14.7578 * CHOOSE(CONTROL!$C$15, $E$9, 100%, $G$9) + CHOOSE(CONTROL!$C$38, 0.0347, 0)</f>
        <v>14.7925</v>
      </c>
      <c r="F45" s="45">
        <f>14.7578 * CHOOSE(CONTROL!$C$15, $E$9, 100%, $G$9) + CHOOSE(CONTROL!$C$38, 0.0256, 0)</f>
        <v>14.7834</v>
      </c>
      <c r="G45" s="14">
        <f>15.275 * CHOOSE(CONTROL!$C$15, $E$9, 100%, $G$9) + CHOOSE(CONTROL!$C$38, 0.0347, 0)</f>
        <v>15.309700000000001</v>
      </c>
      <c r="H45" s="14">
        <f>15.275 * CHOOSE(CONTROL!$C$15, $E$9, 100%, $G$9) + CHOOSE(CONTROL!$C$38, 0.0347, 0)</f>
        <v>15.309700000000001</v>
      </c>
      <c r="I45" s="14">
        <f>15.2766 * CHOOSE(CONTROL!$C$15, $E$9, 100%, $G$9) + CHOOSE(CONTROL!$C$38, 0.0347, 0)</f>
        <v>15.311300000000001</v>
      </c>
      <c r="J45" s="44">
        <f>88.43</f>
        <v>88.43</v>
      </c>
    </row>
    <row r="46" spans="1:10" ht="15" x14ac:dyDescent="0.2">
      <c r="A46" s="13">
        <v>42309</v>
      </c>
      <c r="B46" s="14">
        <f>14.9141 * CHOOSE(CONTROL!$C$15, $E$9, 100%, $G$9) + CHOOSE(CONTROL!$C$38, 0.0256, 0)</f>
        <v>14.9397</v>
      </c>
      <c r="C46" s="14">
        <f>15.2766 * CHOOSE(CONTROL!$C$15, $E$9, 100%, $G$9) + CHOOSE(CONTROL!$C$38, 0.0347, 0)</f>
        <v>15.311300000000001</v>
      </c>
      <c r="D46" s="14">
        <f>15.2687 * CHOOSE(CONTROL!$C$15, $E$9, 100%, $G$9) + CHOOSE(CONTROL!$C$38, 0.0347, 0)</f>
        <v>15.303400000000002</v>
      </c>
      <c r="E46" s="46">
        <f>14.7578 * CHOOSE(CONTROL!$C$15, $E$9, 100%, $G$9) + CHOOSE(CONTROL!$C$38, 0.0347, 0)</f>
        <v>14.7925</v>
      </c>
      <c r="F46" s="45">
        <f>14.7578 * CHOOSE(CONTROL!$C$15, $E$9, 100%, $G$9) + CHOOSE(CONTROL!$C$38, 0.0256, 0)</f>
        <v>14.7834</v>
      </c>
      <c r="G46" s="14">
        <f>15.275 * CHOOSE(CONTROL!$C$15, $E$9, 100%, $G$9) + CHOOSE(CONTROL!$C$38, 0.0347, 0)</f>
        <v>15.309700000000001</v>
      </c>
      <c r="H46" s="14">
        <f>15.275 * CHOOSE(CONTROL!$C$15, $E$9, 100%, $G$9) + CHOOSE(CONTROL!$C$38, 0.0347, 0)</f>
        <v>15.309700000000001</v>
      </c>
      <c r="I46" s="14">
        <f>15.2766 * CHOOSE(CONTROL!$C$15, $E$9, 100%, $G$9) + CHOOSE(CONTROL!$C$38, 0.0347, 0)</f>
        <v>15.311300000000001</v>
      </c>
      <c r="J46" s="44">
        <f>88.21</f>
        <v>88.21</v>
      </c>
    </row>
    <row r="47" spans="1:10" ht="15" x14ac:dyDescent="0.2">
      <c r="A47" s="13">
        <v>42339</v>
      </c>
      <c r="B47" s="14">
        <f>14.9141 * CHOOSE(CONTROL!$C$15, $E$9, 100%, $G$9) + CHOOSE(CONTROL!$C$38, 0.0256, 0)</f>
        <v>14.9397</v>
      </c>
      <c r="C47" s="14">
        <f>15.2766 * CHOOSE(CONTROL!$C$15, $E$9, 100%, $G$9) + CHOOSE(CONTROL!$C$38, 0.0347, 0)</f>
        <v>15.311300000000001</v>
      </c>
      <c r="D47" s="14">
        <f>15.2687 * CHOOSE(CONTROL!$C$15, $E$9, 100%, $G$9) + CHOOSE(CONTROL!$C$38, 0.0347, 0)</f>
        <v>15.303400000000002</v>
      </c>
      <c r="E47" s="46">
        <f>14.7578 * CHOOSE(CONTROL!$C$15, $E$9, 100%, $G$9) + CHOOSE(CONTROL!$C$38, 0.0347, 0)</f>
        <v>14.7925</v>
      </c>
      <c r="F47" s="45">
        <f>14.7578 * CHOOSE(CONTROL!$C$15, $E$9, 100%, $G$9) + CHOOSE(CONTROL!$C$38, 0.0256, 0)</f>
        <v>14.7834</v>
      </c>
      <c r="G47" s="14">
        <f>15.275 * CHOOSE(CONTROL!$C$15, $E$9, 100%, $G$9) + CHOOSE(CONTROL!$C$38, 0.0347, 0)</f>
        <v>15.309700000000001</v>
      </c>
      <c r="H47" s="14">
        <f>15.275 * CHOOSE(CONTROL!$C$15, $E$9, 100%, $G$9) + CHOOSE(CONTROL!$C$38, 0.0347, 0)</f>
        <v>15.309700000000001</v>
      </c>
      <c r="I47" s="14">
        <f>15.2766 * CHOOSE(CONTROL!$C$15, $E$9, 100%, $G$9) + CHOOSE(CONTROL!$C$38, 0.0347, 0)</f>
        <v>15.311300000000001</v>
      </c>
      <c r="J47" s="44">
        <f>88.05</f>
        <v>88.05</v>
      </c>
    </row>
    <row r="48" spans="1:10" ht="15" x14ac:dyDescent="0.2">
      <c r="A48" s="13">
        <v>42370</v>
      </c>
      <c r="B48" s="14">
        <f>16.2903 * CHOOSE(CONTROL!$C$15, $E$9, 100%, $G$9) + CHOOSE(CONTROL!$C$38, 0.0256, 0)</f>
        <v>16.315899999999999</v>
      </c>
      <c r="C48" s="14">
        <f>16.2331 * CHOOSE(CONTROL!$C$15, $E$9, 100%, $G$9) + CHOOSE(CONTROL!$C$38, 0.0347, 0)</f>
        <v>16.267800000000001</v>
      </c>
      <c r="D48" s="14">
        <f>16.2253 * CHOOSE(CONTROL!$C$15, $E$9, 100%, $G$9) + CHOOSE(CONTROL!$C$38, 0.0347, 0)</f>
        <v>16.260000000000002</v>
      </c>
      <c r="E48" s="46">
        <f>16.1341 * CHOOSE(CONTROL!$C$15, $E$9, 100%, $G$9) + CHOOSE(CONTROL!$C$38, 0.0347, 0)</f>
        <v>16.168800000000001</v>
      </c>
      <c r="F48" s="45">
        <f>16.1341 * CHOOSE(CONTROL!$C$15, $E$9, 100%, $G$9) + CHOOSE(CONTROL!$C$38, 0.0256, 0)</f>
        <v>16.159700000000001</v>
      </c>
      <c r="G48" s="14">
        <f>16.2316 * CHOOSE(CONTROL!$C$15, $E$9, 100%, $G$9) + CHOOSE(CONTROL!$C$38, 0.0347, 0)</f>
        <v>16.266300000000001</v>
      </c>
      <c r="H48" s="14">
        <f>16.2316 * CHOOSE(CONTROL!$C$15, $E$9, 100%, $G$9) + CHOOSE(CONTROL!$C$38, 0.0347, 0)</f>
        <v>16.266300000000001</v>
      </c>
      <c r="I48" s="14">
        <f>16.2331 * CHOOSE(CONTROL!$C$15, $E$9, 100%, $G$9) + CHOOSE(CONTROL!$C$38, 0.0347, 0)</f>
        <v>16.267800000000001</v>
      </c>
      <c r="J48" s="44">
        <f>87.2616</f>
        <v>87.261600000000001</v>
      </c>
    </row>
    <row r="49" spans="1:10" ht="15" x14ac:dyDescent="0.2">
      <c r="A49" s="13">
        <v>42401</v>
      </c>
      <c r="B49" s="14">
        <f>16.5638 * CHOOSE(CONTROL!$C$15, $E$9, 100%, $G$9) + CHOOSE(CONTROL!$C$38, 0.0256, 0)</f>
        <v>16.589400000000001</v>
      </c>
      <c r="C49" s="14">
        <f>16.5068 * CHOOSE(CONTROL!$C$15, $E$9, 100%, $G$9) + CHOOSE(CONTROL!$C$38, 0.0347, 0)</f>
        <v>16.541499999999999</v>
      </c>
      <c r="D49" s="14">
        <f>16.499 * CHOOSE(CONTROL!$C$15, $E$9, 100%, $G$9) + CHOOSE(CONTROL!$C$38, 0.0347, 0)</f>
        <v>16.5337</v>
      </c>
      <c r="E49" s="46">
        <f>16.4075 * CHOOSE(CONTROL!$C$15, $E$9, 100%, $G$9) + CHOOSE(CONTROL!$C$38, 0.0347, 0)</f>
        <v>16.4422</v>
      </c>
      <c r="F49" s="45">
        <f>16.4075 * CHOOSE(CONTROL!$C$15, $E$9, 100%, $G$9) + CHOOSE(CONTROL!$C$38, 0.0256, 0)</f>
        <v>16.4331</v>
      </c>
      <c r="G49" s="14">
        <f>16.5053 * CHOOSE(CONTROL!$C$15, $E$9, 100%, $G$9) + CHOOSE(CONTROL!$C$38, 0.0347, 0)</f>
        <v>16.54</v>
      </c>
      <c r="H49" s="14">
        <f>16.5053 * CHOOSE(CONTROL!$C$15, $E$9, 100%, $G$9) + CHOOSE(CONTROL!$C$38, 0.0347, 0)</f>
        <v>16.54</v>
      </c>
      <c r="I49" s="14">
        <f>16.5068 * CHOOSE(CONTROL!$C$15, $E$9, 100%, $G$9) + CHOOSE(CONTROL!$C$38, 0.0347, 0)</f>
        <v>16.541499999999999</v>
      </c>
      <c r="J49" s="44">
        <f>87.1982</f>
        <v>87.1982</v>
      </c>
    </row>
    <row r="50" spans="1:10" ht="15" x14ac:dyDescent="0.2">
      <c r="A50" s="13">
        <v>42430</v>
      </c>
      <c r="B50" s="14">
        <f>16.0372 * CHOOSE(CONTROL!$C$15, $E$9, 100%, $G$9) + CHOOSE(CONTROL!$C$38, 0.0256, 0)</f>
        <v>16.062799999999999</v>
      </c>
      <c r="C50" s="14">
        <f>15.9804 * CHOOSE(CONTROL!$C$15, $E$9, 100%, $G$9) + CHOOSE(CONTROL!$C$38, 0.0347, 0)</f>
        <v>16.0151</v>
      </c>
      <c r="D50" s="14">
        <f>15.9726 * CHOOSE(CONTROL!$C$15, $E$9, 100%, $G$9) + CHOOSE(CONTROL!$C$38, 0.0347, 0)</f>
        <v>16.007300000000001</v>
      </c>
      <c r="E50" s="46">
        <f>15.8809 * CHOOSE(CONTROL!$C$15, $E$9, 100%, $G$9) + CHOOSE(CONTROL!$C$38, 0.0347, 0)</f>
        <v>15.915600000000001</v>
      </c>
      <c r="F50" s="45">
        <f>15.8809 * CHOOSE(CONTROL!$C$15, $E$9, 100%, $G$9) + CHOOSE(CONTROL!$C$38, 0.0256, 0)</f>
        <v>15.906500000000001</v>
      </c>
      <c r="G50" s="14">
        <f>15.9789 * CHOOSE(CONTROL!$C$15, $E$9, 100%, $G$9) + CHOOSE(CONTROL!$C$38, 0.0347, 0)</f>
        <v>16.0136</v>
      </c>
      <c r="H50" s="14">
        <f>15.9789 * CHOOSE(CONTROL!$C$15, $E$9, 100%, $G$9) + CHOOSE(CONTROL!$C$38, 0.0347, 0)</f>
        <v>16.0136</v>
      </c>
      <c r="I50" s="14">
        <f>15.9804 * CHOOSE(CONTROL!$C$15, $E$9, 100%, $G$9) + CHOOSE(CONTROL!$C$38, 0.0347, 0)</f>
        <v>16.0151</v>
      </c>
      <c r="J50" s="44">
        <f>91.9832</f>
        <v>91.983199999999997</v>
      </c>
    </row>
    <row r="51" spans="1:10" ht="15" x14ac:dyDescent="0.2">
      <c r="A51" s="13">
        <v>42461</v>
      </c>
      <c r="B51" s="14">
        <f>15.5257 * CHOOSE(CONTROL!$C$15, $E$9, 100%, $G$9) + CHOOSE(CONTROL!$C$38, 0.0256, 0)</f>
        <v>15.551300000000001</v>
      </c>
      <c r="C51" s="14">
        <f>15.4692 * CHOOSE(CONTROL!$C$15, $E$9, 100%, $G$9) + CHOOSE(CONTROL!$C$38, 0.0347, 0)</f>
        <v>15.503900000000002</v>
      </c>
      <c r="D51" s="14">
        <f>15.4613 * CHOOSE(CONTROL!$C$15, $E$9, 100%, $G$9) + CHOOSE(CONTROL!$C$38, 0.0347, 0)</f>
        <v>15.496</v>
      </c>
      <c r="E51" s="46">
        <f>15.3695 * CHOOSE(CONTROL!$C$15, $E$9, 100%, $G$9) + CHOOSE(CONTROL!$C$38, 0.0347, 0)</f>
        <v>15.404200000000001</v>
      </c>
      <c r="F51" s="45">
        <f>15.3695 * CHOOSE(CONTROL!$C$15, $E$9, 100%, $G$9) + CHOOSE(CONTROL!$C$38, 0.0256, 0)</f>
        <v>15.395100000000001</v>
      </c>
      <c r="G51" s="14">
        <f>15.4676 * CHOOSE(CONTROL!$C$15, $E$9, 100%, $G$9) + CHOOSE(CONTROL!$C$38, 0.0347, 0)</f>
        <v>15.5023</v>
      </c>
      <c r="H51" s="14">
        <f>15.4676 * CHOOSE(CONTROL!$C$15, $E$9, 100%, $G$9) + CHOOSE(CONTROL!$C$38, 0.0347, 0)</f>
        <v>15.5023</v>
      </c>
      <c r="I51" s="14">
        <f>15.4692 * CHOOSE(CONTROL!$C$15, $E$9, 100%, $G$9) + CHOOSE(CONTROL!$C$38, 0.0347, 0)</f>
        <v>15.503900000000002</v>
      </c>
      <c r="J51" s="44">
        <f>98.1569</f>
        <v>98.156899999999993</v>
      </c>
    </row>
    <row r="52" spans="1:10" ht="15" x14ac:dyDescent="0.2">
      <c r="A52" s="13">
        <v>42491</v>
      </c>
      <c r="B52" s="14">
        <f>14.9891 * CHOOSE(CONTROL!$C$15, $E$9, 100%, $G$9) + CHOOSE(CONTROL!$C$38, 0.0278, 0)</f>
        <v>15.0169</v>
      </c>
      <c r="C52" s="14">
        <f>14.9327 * CHOOSE(CONTROL!$C$15, $E$9, 100%, $G$9) + CHOOSE(CONTROL!$C$38, 0.0369, 0)</f>
        <v>14.9696</v>
      </c>
      <c r="D52" s="14">
        <f>14.9249 * CHOOSE(CONTROL!$C$15, $E$9, 100%, $G$9) + CHOOSE(CONTROL!$C$38, 0.0369, 0)</f>
        <v>14.961799999999998</v>
      </c>
      <c r="E52" s="46">
        <f>14.8328 * CHOOSE(CONTROL!$C$15, $E$9, 100%, $G$9) + CHOOSE(CONTROL!$C$38, 0.0369, 0)</f>
        <v>14.8697</v>
      </c>
      <c r="F52" s="45">
        <f>14.8328 * CHOOSE(CONTROL!$C$15, $E$9, 100%, $G$9) + CHOOSE(CONTROL!$C$38, 0.0278, 0)</f>
        <v>14.8606</v>
      </c>
      <c r="G52" s="14">
        <f>14.9312 * CHOOSE(CONTROL!$C$15, $E$9, 100%, $G$9) + CHOOSE(CONTROL!$C$38, 0.0369, 0)</f>
        <v>14.9681</v>
      </c>
      <c r="H52" s="14">
        <f>14.9312 * CHOOSE(CONTROL!$C$15, $E$9, 100%, $G$9) + CHOOSE(CONTROL!$C$38, 0.0369, 0)</f>
        <v>14.9681</v>
      </c>
      <c r="I52" s="14">
        <f>14.9327 * CHOOSE(CONTROL!$C$15, $E$9, 100%, $G$9) + CHOOSE(CONTROL!$C$38, 0.0369, 0)</f>
        <v>14.9696</v>
      </c>
      <c r="J52" s="44">
        <f>101.6599</f>
        <v>101.65989999999999</v>
      </c>
    </row>
    <row r="53" spans="1:10" ht="15" x14ac:dyDescent="0.2">
      <c r="A53" s="13">
        <v>42522</v>
      </c>
      <c r="B53" s="14">
        <f>14.6201 * CHOOSE(CONTROL!$C$15, $E$9, 100%, $G$9) + CHOOSE(CONTROL!$C$38, 0.0278, 0)</f>
        <v>14.6479</v>
      </c>
      <c r="C53" s="14">
        <f>14.564 * CHOOSE(CONTROL!$C$15, $E$9, 100%, $G$9) + CHOOSE(CONTROL!$C$38, 0.0369, 0)</f>
        <v>14.600899999999999</v>
      </c>
      <c r="D53" s="14">
        <f>14.5561 * CHOOSE(CONTROL!$C$15, $E$9, 100%, $G$9) + CHOOSE(CONTROL!$C$38, 0.0369, 0)</f>
        <v>14.593</v>
      </c>
      <c r="E53" s="46">
        <f>14.4639 * CHOOSE(CONTROL!$C$15, $E$9, 100%, $G$9) + CHOOSE(CONTROL!$C$38, 0.0369, 0)</f>
        <v>14.5008</v>
      </c>
      <c r="F53" s="45">
        <f>14.4639 * CHOOSE(CONTROL!$C$15, $E$9, 100%, $G$9) + CHOOSE(CONTROL!$C$38, 0.0278, 0)</f>
        <v>14.4917</v>
      </c>
      <c r="G53" s="14">
        <f>14.5624 * CHOOSE(CONTROL!$C$15, $E$9, 100%, $G$9) + CHOOSE(CONTROL!$C$38, 0.0369, 0)</f>
        <v>14.599299999999999</v>
      </c>
      <c r="H53" s="14">
        <f>14.5624 * CHOOSE(CONTROL!$C$15, $E$9, 100%, $G$9) + CHOOSE(CONTROL!$C$38, 0.0369, 0)</f>
        <v>14.599299999999999</v>
      </c>
      <c r="I53" s="14">
        <f>14.564 * CHOOSE(CONTROL!$C$15, $E$9, 100%, $G$9) + CHOOSE(CONTROL!$C$38, 0.0369, 0)</f>
        <v>14.600899999999999</v>
      </c>
      <c r="J53" s="44">
        <f>103.3371</f>
        <v>103.33710000000001</v>
      </c>
    </row>
    <row r="54" spans="1:10" ht="15" x14ac:dyDescent="0.2">
      <c r="A54" s="13">
        <v>42552</v>
      </c>
      <c r="B54" s="14">
        <f>14.421 * CHOOSE(CONTROL!$C$15, $E$9, 100%, $G$9) + CHOOSE(CONTROL!$C$38, 0.0278, 0)</f>
        <v>14.448799999999999</v>
      </c>
      <c r="C54" s="14">
        <f>14.3651 * CHOOSE(CONTROL!$C$15, $E$9, 100%, $G$9) + CHOOSE(CONTROL!$C$38, 0.0369, 0)</f>
        <v>14.401999999999999</v>
      </c>
      <c r="D54" s="14">
        <f>14.3573 * CHOOSE(CONTROL!$C$15, $E$9, 100%, $G$9) + CHOOSE(CONTROL!$C$38, 0.0369, 0)</f>
        <v>14.3942</v>
      </c>
      <c r="E54" s="46">
        <f>14.2648 * CHOOSE(CONTROL!$C$15, $E$9, 100%, $G$9) + CHOOSE(CONTROL!$C$38, 0.0369, 0)</f>
        <v>14.301699999999999</v>
      </c>
      <c r="F54" s="45">
        <f>14.2648 * CHOOSE(CONTROL!$C$15, $E$9, 100%, $G$9) + CHOOSE(CONTROL!$C$38, 0.0278, 0)</f>
        <v>14.292599999999998</v>
      </c>
      <c r="G54" s="14">
        <f>14.3635 * CHOOSE(CONTROL!$C$15, $E$9, 100%, $G$9) + CHOOSE(CONTROL!$C$38, 0.0369, 0)</f>
        <v>14.400399999999999</v>
      </c>
      <c r="H54" s="14">
        <f>14.3635 * CHOOSE(CONTROL!$C$15, $E$9, 100%, $G$9) + CHOOSE(CONTROL!$C$38, 0.0369, 0)</f>
        <v>14.400399999999999</v>
      </c>
      <c r="I54" s="14">
        <f>14.3651 * CHOOSE(CONTROL!$C$15, $E$9, 100%, $G$9) + CHOOSE(CONTROL!$C$38, 0.0369, 0)</f>
        <v>14.401999999999999</v>
      </c>
      <c r="J54" s="44">
        <f>103.0657</f>
        <v>103.06570000000001</v>
      </c>
    </row>
    <row r="55" spans="1:10" ht="15" x14ac:dyDescent="0.2">
      <c r="A55" s="13">
        <v>42583</v>
      </c>
      <c r="B55" s="14">
        <f>14.5622 * CHOOSE(CONTROL!$C$15, $E$9, 100%, $G$9) + CHOOSE(CONTROL!$C$38, 0.0278, 0)</f>
        <v>14.59</v>
      </c>
      <c r="C55" s="14">
        <f>14.5064 * CHOOSE(CONTROL!$C$15, $E$9, 100%, $G$9) + CHOOSE(CONTROL!$C$38, 0.0369, 0)</f>
        <v>14.543299999999999</v>
      </c>
      <c r="D55" s="14">
        <f>14.4986 * CHOOSE(CONTROL!$C$15, $E$9, 100%, $G$9) + CHOOSE(CONTROL!$C$38, 0.0369, 0)</f>
        <v>14.535499999999999</v>
      </c>
      <c r="E55" s="46">
        <f>14.4059 * CHOOSE(CONTROL!$C$15, $E$9, 100%, $G$9) + CHOOSE(CONTROL!$C$38, 0.0369, 0)</f>
        <v>14.4428</v>
      </c>
      <c r="F55" s="45">
        <f>14.4059 * CHOOSE(CONTROL!$C$15, $E$9, 100%, $G$9) + CHOOSE(CONTROL!$C$38, 0.0278, 0)</f>
        <v>14.4337</v>
      </c>
      <c r="G55" s="14">
        <f>14.5049 * CHOOSE(CONTROL!$C$15, $E$9, 100%, $G$9) + CHOOSE(CONTROL!$C$38, 0.0369, 0)</f>
        <v>14.541799999999999</v>
      </c>
      <c r="H55" s="14">
        <f>14.5049 * CHOOSE(CONTROL!$C$15, $E$9, 100%, $G$9) + CHOOSE(CONTROL!$C$38, 0.0369, 0)</f>
        <v>14.541799999999999</v>
      </c>
      <c r="I55" s="14">
        <f>14.5064 * CHOOSE(CONTROL!$C$15, $E$9, 100%, $G$9) + CHOOSE(CONTROL!$C$38, 0.0369, 0)</f>
        <v>14.543299999999999</v>
      </c>
      <c r="J55" s="44">
        <f>100.8737</f>
        <v>100.8737</v>
      </c>
    </row>
    <row r="56" spans="1:10" ht="15" x14ac:dyDescent="0.2">
      <c r="A56" s="13">
        <v>42614</v>
      </c>
      <c r="B56" s="14">
        <f>14.8977 * CHOOSE(CONTROL!$C$15, $E$9, 100%, $G$9) + CHOOSE(CONTROL!$C$38, 0.0278, 0)</f>
        <v>14.9255</v>
      </c>
      <c r="C56" s="14">
        <f>14.8422 * CHOOSE(CONTROL!$C$15, $E$9, 100%, $G$9) + CHOOSE(CONTROL!$C$38, 0.0369, 0)</f>
        <v>14.879099999999999</v>
      </c>
      <c r="D56" s="14">
        <f>14.8344 * CHOOSE(CONTROL!$C$15, $E$9, 100%, $G$9) + CHOOSE(CONTROL!$C$38, 0.0369, 0)</f>
        <v>14.8713</v>
      </c>
      <c r="E56" s="46">
        <f>14.7414 * CHOOSE(CONTROL!$C$15, $E$9, 100%, $G$9) + CHOOSE(CONTROL!$C$38, 0.0369, 0)</f>
        <v>14.7783</v>
      </c>
      <c r="F56" s="45">
        <f>14.7414 * CHOOSE(CONTROL!$C$15, $E$9, 100%, $G$9) + CHOOSE(CONTROL!$C$38, 0.0278, 0)</f>
        <v>14.7692</v>
      </c>
      <c r="G56" s="14">
        <f>14.8406 * CHOOSE(CONTROL!$C$15, $E$9, 100%, $G$9) + CHOOSE(CONTROL!$C$38, 0.0369, 0)</f>
        <v>14.8775</v>
      </c>
      <c r="H56" s="14">
        <f>14.8406 * CHOOSE(CONTROL!$C$15, $E$9, 100%, $G$9) + CHOOSE(CONTROL!$C$38, 0.0369, 0)</f>
        <v>14.8775</v>
      </c>
      <c r="I56" s="14">
        <f>14.8422 * CHOOSE(CONTROL!$C$15, $E$9, 100%, $G$9) + CHOOSE(CONTROL!$C$38, 0.0369, 0)</f>
        <v>14.879099999999999</v>
      </c>
      <c r="J56" s="44">
        <f>97.7217</f>
        <v>97.721699999999998</v>
      </c>
    </row>
    <row r="57" spans="1:10" ht="15" x14ac:dyDescent="0.2">
      <c r="A57" s="13">
        <v>42644</v>
      </c>
      <c r="B57" s="14">
        <f>15.1846 * CHOOSE(CONTROL!$C$15, $E$9, 100%, $G$9) + CHOOSE(CONTROL!$C$38, 0.0256, 0)</f>
        <v>15.2102</v>
      </c>
      <c r="C57" s="14">
        <f>15.1293 * CHOOSE(CONTROL!$C$15, $E$9, 100%, $G$9) + CHOOSE(CONTROL!$C$38, 0.0347, 0)</f>
        <v>15.164000000000001</v>
      </c>
      <c r="D57" s="14">
        <f>15.1214 * CHOOSE(CONTROL!$C$15, $E$9, 100%, $G$9) + CHOOSE(CONTROL!$C$38, 0.0347, 0)</f>
        <v>15.1561</v>
      </c>
      <c r="E57" s="46">
        <f>15.0283 * CHOOSE(CONTROL!$C$15, $E$9, 100%, $G$9) + CHOOSE(CONTROL!$C$38, 0.0347, 0)</f>
        <v>15.063000000000001</v>
      </c>
      <c r="F57" s="45">
        <f>15.0283 * CHOOSE(CONTROL!$C$15, $E$9, 100%, $G$9) + CHOOSE(CONTROL!$C$38, 0.0256, 0)</f>
        <v>15.053900000000001</v>
      </c>
      <c r="G57" s="14">
        <f>15.1277 * CHOOSE(CONTROL!$C$15, $E$9, 100%, $G$9) + CHOOSE(CONTROL!$C$38, 0.0347, 0)</f>
        <v>15.162400000000002</v>
      </c>
      <c r="H57" s="14">
        <f>15.1277 * CHOOSE(CONTROL!$C$15, $E$9, 100%, $G$9) + CHOOSE(CONTROL!$C$38, 0.0347, 0)</f>
        <v>15.162400000000002</v>
      </c>
      <c r="I57" s="14">
        <f>15.1293 * CHOOSE(CONTROL!$C$15, $E$9, 100%, $G$9) + CHOOSE(CONTROL!$C$38, 0.0347, 0)</f>
        <v>15.164000000000001</v>
      </c>
      <c r="J57" s="44">
        <f>94.5367</f>
        <v>94.536699999999996</v>
      </c>
    </row>
    <row r="58" spans="1:10" ht="15" x14ac:dyDescent="0.2">
      <c r="A58" s="13">
        <v>42675</v>
      </c>
      <c r="B58" s="14">
        <f>15.4299 * CHOOSE(CONTROL!$C$15, $E$9, 100%, $G$9) + CHOOSE(CONTROL!$C$38, 0.0256, 0)</f>
        <v>15.455500000000001</v>
      </c>
      <c r="C58" s="14">
        <f>15.3748 * CHOOSE(CONTROL!$C$15, $E$9, 100%, $G$9) + CHOOSE(CONTROL!$C$38, 0.0347, 0)</f>
        <v>15.409500000000001</v>
      </c>
      <c r="D58" s="14">
        <f>15.367 * CHOOSE(CONTROL!$C$15, $E$9, 100%, $G$9) + CHOOSE(CONTROL!$C$38, 0.0347, 0)</f>
        <v>15.401700000000002</v>
      </c>
      <c r="E58" s="46">
        <f>15.2736 * CHOOSE(CONTROL!$C$15, $E$9, 100%, $G$9) + CHOOSE(CONTROL!$C$38, 0.0347, 0)</f>
        <v>15.308300000000001</v>
      </c>
      <c r="F58" s="45">
        <f>15.2736 * CHOOSE(CONTROL!$C$15, $E$9, 100%, $G$9) + CHOOSE(CONTROL!$C$38, 0.0256, 0)</f>
        <v>15.299200000000001</v>
      </c>
      <c r="G58" s="14">
        <f>15.3732 * CHOOSE(CONTROL!$C$15, $E$9, 100%, $G$9) + CHOOSE(CONTROL!$C$38, 0.0347, 0)</f>
        <v>15.407900000000001</v>
      </c>
      <c r="H58" s="14">
        <f>15.3732 * CHOOSE(CONTROL!$C$15, $E$9, 100%, $G$9) + CHOOSE(CONTROL!$C$38, 0.0347, 0)</f>
        <v>15.407900000000001</v>
      </c>
      <c r="I58" s="14">
        <f>15.3748 * CHOOSE(CONTROL!$C$15, $E$9, 100%, $G$9) + CHOOSE(CONTROL!$C$38, 0.0347, 0)</f>
        <v>15.409500000000001</v>
      </c>
      <c r="J58" s="44">
        <f>94.0565</f>
        <v>94.0565</v>
      </c>
    </row>
    <row r="59" spans="1:10" ht="15" x14ac:dyDescent="0.2">
      <c r="A59" s="13">
        <v>42705</v>
      </c>
      <c r="B59" s="14">
        <f>16.1251 * CHOOSE(CONTROL!$C$15, $E$9, 100%, $G$9) + CHOOSE(CONTROL!$C$38, 0.0256, 0)</f>
        <v>16.150700000000001</v>
      </c>
      <c r="C59" s="14">
        <f>16.0702 * CHOOSE(CONTROL!$C$15, $E$9, 100%, $G$9) + CHOOSE(CONTROL!$C$38, 0.0347, 0)</f>
        <v>16.104900000000001</v>
      </c>
      <c r="D59" s="14">
        <f>16.0624 * CHOOSE(CONTROL!$C$15, $E$9, 100%, $G$9) + CHOOSE(CONTROL!$C$38, 0.0347, 0)</f>
        <v>16.097100000000001</v>
      </c>
      <c r="E59" s="46">
        <f>15.9689 * CHOOSE(CONTROL!$C$15, $E$9, 100%, $G$9) + CHOOSE(CONTROL!$C$38, 0.0347, 0)</f>
        <v>16.003599999999999</v>
      </c>
      <c r="F59" s="45">
        <f>15.9689 * CHOOSE(CONTROL!$C$15, $E$9, 100%, $G$9) + CHOOSE(CONTROL!$C$38, 0.0256, 0)</f>
        <v>15.9945</v>
      </c>
      <c r="G59" s="14">
        <f>16.0687 * CHOOSE(CONTROL!$C$15, $E$9, 100%, $G$9) + CHOOSE(CONTROL!$C$38, 0.0347, 0)</f>
        <v>16.103400000000001</v>
      </c>
      <c r="H59" s="14">
        <f>16.0687 * CHOOSE(CONTROL!$C$15, $E$9, 100%, $G$9) + CHOOSE(CONTROL!$C$38, 0.0347, 0)</f>
        <v>16.103400000000001</v>
      </c>
      <c r="I59" s="14">
        <f>16.0702 * CHOOSE(CONTROL!$C$15, $E$9, 100%, $G$9) + CHOOSE(CONTROL!$C$38, 0.0347, 0)</f>
        <v>16.104900000000001</v>
      </c>
      <c r="J59" s="44">
        <f>91.4533</f>
        <v>91.453299999999999</v>
      </c>
    </row>
    <row r="60" spans="1:10" ht="15" x14ac:dyDescent="0.2">
      <c r="A60" s="13">
        <v>42736</v>
      </c>
      <c r="B60" s="14">
        <f>16.3092 * CHOOSE(CONTROL!$C$15, $E$9, 100%, $G$9) + CHOOSE(CONTROL!$C$38, 0.0256, 0)</f>
        <v>16.334800000000001</v>
      </c>
      <c r="C60" s="14">
        <f>16.2516 * CHOOSE(CONTROL!$C$15, $E$9, 100%, $G$9) + CHOOSE(CONTROL!$C$38, 0.0347, 0)</f>
        <v>16.286300000000001</v>
      </c>
      <c r="D60" s="14">
        <f>16.2438 * CHOOSE(CONTROL!$C$15, $E$9, 100%, $G$9) + CHOOSE(CONTROL!$C$38, 0.0347, 0)</f>
        <v>16.278500000000001</v>
      </c>
      <c r="E60" s="46">
        <f>16.1529 * CHOOSE(CONTROL!$C$15, $E$9, 100%, $G$9) + CHOOSE(CONTROL!$C$38, 0.0347, 0)</f>
        <v>16.1876</v>
      </c>
      <c r="F60" s="45">
        <f>16.1529 * CHOOSE(CONTROL!$C$15, $E$9, 100%, $G$9) + CHOOSE(CONTROL!$C$38, 0.0256, 0)</f>
        <v>16.1785</v>
      </c>
      <c r="G60" s="14">
        <f>16.2501 * CHOOSE(CONTROL!$C$15, $E$9, 100%, $G$9) + CHOOSE(CONTROL!$C$38, 0.0347, 0)</f>
        <v>16.284800000000001</v>
      </c>
      <c r="H60" s="14">
        <f>16.2501 * CHOOSE(CONTROL!$C$15, $E$9, 100%, $G$9) + CHOOSE(CONTROL!$C$38, 0.0347, 0)</f>
        <v>16.284800000000001</v>
      </c>
      <c r="I60" s="14">
        <f>16.2516 * CHOOSE(CONTROL!$C$15, $E$9, 100%, $G$9) + CHOOSE(CONTROL!$C$38, 0.0347, 0)</f>
        <v>16.286300000000001</v>
      </c>
      <c r="J60" s="44">
        <f>87.4212</f>
        <v>87.421199999999999</v>
      </c>
    </row>
    <row r="61" spans="1:10" ht="15" x14ac:dyDescent="0.2">
      <c r="A61" s="13">
        <v>42767</v>
      </c>
      <c r="B61" s="14">
        <f>16.5887 * CHOOSE(CONTROL!$C$15, $E$9, 100%, $G$9) + CHOOSE(CONTROL!$C$38, 0.0256, 0)</f>
        <v>16.6143</v>
      </c>
      <c r="C61" s="14">
        <f>16.5314 * CHOOSE(CONTROL!$C$15, $E$9, 100%, $G$9) + CHOOSE(CONTROL!$C$38, 0.0347, 0)</f>
        <v>16.566100000000002</v>
      </c>
      <c r="D61" s="14">
        <f>16.5236 * CHOOSE(CONTROL!$C$15, $E$9, 100%, $G$9) + CHOOSE(CONTROL!$C$38, 0.0347, 0)</f>
        <v>16.558299999999999</v>
      </c>
      <c r="E61" s="46">
        <f>16.4325 * CHOOSE(CONTROL!$C$15, $E$9, 100%, $G$9) + CHOOSE(CONTROL!$C$38, 0.0347, 0)</f>
        <v>16.467200000000002</v>
      </c>
      <c r="F61" s="45">
        <f>16.4325 * CHOOSE(CONTROL!$C$15, $E$9, 100%, $G$9) + CHOOSE(CONTROL!$C$38, 0.0256, 0)</f>
        <v>16.458100000000002</v>
      </c>
      <c r="G61" s="14">
        <f>16.5298 * CHOOSE(CONTROL!$C$15, $E$9, 100%, $G$9) + CHOOSE(CONTROL!$C$38, 0.0347, 0)</f>
        <v>16.564500000000002</v>
      </c>
      <c r="H61" s="14">
        <f>16.5298 * CHOOSE(CONTROL!$C$15, $E$9, 100%, $G$9) + CHOOSE(CONTROL!$C$38, 0.0347, 0)</f>
        <v>16.564500000000002</v>
      </c>
      <c r="I61" s="14">
        <f>16.5314 * CHOOSE(CONTROL!$C$15, $E$9, 100%, $G$9) + CHOOSE(CONTROL!$C$38, 0.0347, 0)</f>
        <v>16.566100000000002</v>
      </c>
      <c r="J61" s="44">
        <f>87.3578</f>
        <v>87.357799999999997</v>
      </c>
    </row>
    <row r="62" spans="1:10" ht="15" x14ac:dyDescent="0.2">
      <c r="A62" s="13">
        <v>42795</v>
      </c>
      <c r="B62" s="14">
        <f>16.0482 * CHOOSE(CONTROL!$C$15, $E$9, 100%, $G$9) + CHOOSE(CONTROL!$C$38, 0.0256, 0)</f>
        <v>16.073800000000002</v>
      </c>
      <c r="C62" s="14">
        <f>15.991 * CHOOSE(CONTROL!$C$15, $E$9, 100%, $G$9) + CHOOSE(CONTROL!$C$38, 0.0347, 0)</f>
        <v>16.025700000000001</v>
      </c>
      <c r="D62" s="14">
        <f>15.9832 * CHOOSE(CONTROL!$C$15, $E$9, 100%, $G$9) + CHOOSE(CONTROL!$C$38, 0.0347, 0)</f>
        <v>16.017900000000001</v>
      </c>
      <c r="E62" s="46">
        <f>15.8919 * CHOOSE(CONTROL!$C$15, $E$9, 100%, $G$9) + CHOOSE(CONTROL!$C$38, 0.0347, 0)</f>
        <v>15.926600000000001</v>
      </c>
      <c r="F62" s="45">
        <f>15.8919 * CHOOSE(CONTROL!$C$15, $E$9, 100%, $G$9) + CHOOSE(CONTROL!$C$38, 0.0256, 0)</f>
        <v>15.9175</v>
      </c>
      <c r="G62" s="14">
        <f>15.9895 * CHOOSE(CONTROL!$C$15, $E$9, 100%, $G$9) + CHOOSE(CONTROL!$C$38, 0.0347, 0)</f>
        <v>16.0242</v>
      </c>
      <c r="H62" s="14">
        <f>15.9895 * CHOOSE(CONTROL!$C$15, $E$9, 100%, $G$9) + CHOOSE(CONTROL!$C$38, 0.0347, 0)</f>
        <v>16.0242</v>
      </c>
      <c r="I62" s="14">
        <f>15.991 * CHOOSE(CONTROL!$C$15, $E$9, 100%, $G$9) + CHOOSE(CONTROL!$C$38, 0.0347, 0)</f>
        <v>16.025700000000001</v>
      </c>
      <c r="J62" s="44">
        <f>92.1515</f>
        <v>92.151499999999999</v>
      </c>
    </row>
    <row r="63" spans="1:10" ht="15" x14ac:dyDescent="0.2">
      <c r="A63" s="13">
        <v>42826</v>
      </c>
      <c r="B63" s="14">
        <f>15.5232 * CHOOSE(CONTROL!$C$15, $E$9, 100%, $G$9) + CHOOSE(CONTROL!$C$38, 0.0256, 0)</f>
        <v>15.5488</v>
      </c>
      <c r="C63" s="14">
        <f>15.4662 * CHOOSE(CONTROL!$C$15, $E$9, 100%, $G$9) + CHOOSE(CONTROL!$C$38, 0.0347, 0)</f>
        <v>15.500900000000001</v>
      </c>
      <c r="D63" s="14">
        <f>15.4584 * CHOOSE(CONTROL!$C$15, $E$9, 100%, $G$9) + CHOOSE(CONTROL!$C$38, 0.0347, 0)</f>
        <v>15.4931</v>
      </c>
      <c r="E63" s="46">
        <f>15.3669 * CHOOSE(CONTROL!$C$15, $E$9, 100%, $G$9) + CHOOSE(CONTROL!$C$38, 0.0347, 0)</f>
        <v>15.4016</v>
      </c>
      <c r="F63" s="45">
        <f>15.3669 * CHOOSE(CONTROL!$C$15, $E$9, 100%, $G$9) + CHOOSE(CONTROL!$C$38, 0.0256, 0)</f>
        <v>15.3925</v>
      </c>
      <c r="G63" s="14">
        <f>15.4647 * CHOOSE(CONTROL!$C$15, $E$9, 100%, $G$9) + CHOOSE(CONTROL!$C$38, 0.0347, 0)</f>
        <v>15.499400000000001</v>
      </c>
      <c r="H63" s="14">
        <f>15.4647 * CHOOSE(CONTROL!$C$15, $E$9, 100%, $G$9) + CHOOSE(CONTROL!$C$38, 0.0347, 0)</f>
        <v>15.499400000000001</v>
      </c>
      <c r="I63" s="14">
        <f>15.4662 * CHOOSE(CONTROL!$C$15, $E$9, 100%, $G$9) + CHOOSE(CONTROL!$C$38, 0.0347, 0)</f>
        <v>15.500900000000001</v>
      </c>
      <c r="J63" s="44">
        <f>98.3365</f>
        <v>98.336500000000001</v>
      </c>
    </row>
    <row r="64" spans="1:10" ht="15" x14ac:dyDescent="0.2">
      <c r="A64" s="13">
        <v>42856</v>
      </c>
      <c r="B64" s="14">
        <f>14.9723 * CHOOSE(CONTROL!$C$15, $E$9, 100%, $G$9) + CHOOSE(CONTROL!$C$38, 0.0278, 0)</f>
        <v>15.0001</v>
      </c>
      <c r="C64" s="14">
        <f>14.9156 * CHOOSE(CONTROL!$C$15, $E$9, 100%, $G$9) + CHOOSE(CONTROL!$C$38, 0.0369, 0)</f>
        <v>14.952499999999999</v>
      </c>
      <c r="D64" s="14">
        <f>14.9078 * CHOOSE(CONTROL!$C$15, $E$9, 100%, $G$9) + CHOOSE(CONTROL!$C$38, 0.0369, 0)</f>
        <v>14.944699999999999</v>
      </c>
      <c r="E64" s="46">
        <f>14.8161 * CHOOSE(CONTROL!$C$15, $E$9, 100%, $G$9) + CHOOSE(CONTROL!$C$38, 0.0369, 0)</f>
        <v>14.853</v>
      </c>
      <c r="F64" s="45">
        <f>14.8161 * CHOOSE(CONTROL!$C$15, $E$9, 100%, $G$9) + CHOOSE(CONTROL!$C$38, 0.0278, 0)</f>
        <v>14.8439</v>
      </c>
      <c r="G64" s="14">
        <f>14.914 * CHOOSE(CONTROL!$C$15, $E$9, 100%, $G$9) + CHOOSE(CONTROL!$C$38, 0.0369, 0)</f>
        <v>14.950899999999999</v>
      </c>
      <c r="H64" s="14">
        <f>14.914 * CHOOSE(CONTROL!$C$15, $E$9, 100%, $G$9) + CHOOSE(CONTROL!$C$38, 0.0369, 0)</f>
        <v>14.950899999999999</v>
      </c>
      <c r="I64" s="14">
        <f>14.9156 * CHOOSE(CONTROL!$C$15, $E$9, 100%, $G$9) + CHOOSE(CONTROL!$C$38, 0.0369, 0)</f>
        <v>14.952499999999999</v>
      </c>
      <c r="J64" s="44">
        <f>101.8459</f>
        <v>101.8459</v>
      </c>
    </row>
    <row r="65" spans="1:10" ht="15" x14ac:dyDescent="0.2">
      <c r="A65" s="13">
        <v>42887</v>
      </c>
      <c r="B65" s="14">
        <f>14.5934 * CHOOSE(CONTROL!$C$15, $E$9, 100%, $G$9) + CHOOSE(CONTROL!$C$38, 0.0278, 0)</f>
        <v>14.6212</v>
      </c>
      <c r="C65" s="14">
        <f>14.5368 * CHOOSE(CONTROL!$C$15, $E$9, 100%, $G$9) + CHOOSE(CONTROL!$C$38, 0.0369, 0)</f>
        <v>14.573699999999999</v>
      </c>
      <c r="D65" s="14">
        <f>14.529 * CHOOSE(CONTROL!$C$15, $E$9, 100%, $G$9) + CHOOSE(CONTROL!$C$38, 0.0369, 0)</f>
        <v>14.565899999999999</v>
      </c>
      <c r="E65" s="46">
        <f>14.4371 * CHOOSE(CONTROL!$C$15, $E$9, 100%, $G$9) + CHOOSE(CONTROL!$C$38, 0.0369, 0)</f>
        <v>14.473999999999998</v>
      </c>
      <c r="F65" s="45">
        <f>14.4371 * CHOOSE(CONTROL!$C$15, $E$9, 100%, $G$9) + CHOOSE(CONTROL!$C$38, 0.0278, 0)</f>
        <v>14.464899999999998</v>
      </c>
      <c r="G65" s="14">
        <f>14.5353 * CHOOSE(CONTROL!$C$15, $E$9, 100%, $G$9) + CHOOSE(CONTROL!$C$38, 0.0369, 0)</f>
        <v>14.572199999999999</v>
      </c>
      <c r="H65" s="14">
        <f>14.5353 * CHOOSE(CONTROL!$C$15, $E$9, 100%, $G$9) + CHOOSE(CONTROL!$C$38, 0.0369, 0)</f>
        <v>14.572199999999999</v>
      </c>
      <c r="I65" s="14">
        <f>14.5368 * CHOOSE(CONTROL!$C$15, $E$9, 100%, $G$9) + CHOOSE(CONTROL!$C$38, 0.0369, 0)</f>
        <v>14.573699999999999</v>
      </c>
      <c r="J65" s="44">
        <f>103.5262</f>
        <v>103.5262</v>
      </c>
    </row>
    <row r="66" spans="1:10" ht="15" x14ac:dyDescent="0.2">
      <c r="A66" s="13">
        <v>42917</v>
      </c>
      <c r="B66" s="14">
        <f>14.3885 * CHOOSE(CONTROL!$C$15, $E$9, 100%, $G$9) + CHOOSE(CONTROL!$C$38, 0.0278, 0)</f>
        <v>14.4163</v>
      </c>
      <c r="C66" s="14">
        <f>14.3322 * CHOOSE(CONTROL!$C$15, $E$9, 100%, $G$9) + CHOOSE(CONTROL!$C$38, 0.0369, 0)</f>
        <v>14.3691</v>
      </c>
      <c r="D66" s="14">
        <f>14.3244 * CHOOSE(CONTROL!$C$15, $E$9, 100%, $G$9) + CHOOSE(CONTROL!$C$38, 0.0369, 0)</f>
        <v>14.3613</v>
      </c>
      <c r="E66" s="46">
        <f>14.2323 * CHOOSE(CONTROL!$C$15, $E$9, 100%, $G$9) + CHOOSE(CONTROL!$C$38, 0.0369, 0)</f>
        <v>14.2692</v>
      </c>
      <c r="F66" s="45">
        <f>14.2323 * CHOOSE(CONTROL!$C$15, $E$9, 100%, $G$9) + CHOOSE(CONTROL!$C$38, 0.0278, 0)</f>
        <v>14.2601</v>
      </c>
      <c r="G66" s="14">
        <f>14.3306 * CHOOSE(CONTROL!$C$15, $E$9, 100%, $G$9) + CHOOSE(CONTROL!$C$38, 0.0369, 0)</f>
        <v>14.3675</v>
      </c>
      <c r="H66" s="14">
        <f>14.3306 * CHOOSE(CONTROL!$C$15, $E$9, 100%, $G$9) + CHOOSE(CONTROL!$C$38, 0.0369, 0)</f>
        <v>14.3675</v>
      </c>
      <c r="I66" s="14">
        <f>14.3322 * CHOOSE(CONTROL!$C$15, $E$9, 100%, $G$9) + CHOOSE(CONTROL!$C$38, 0.0369, 0)</f>
        <v>14.3691</v>
      </c>
      <c r="J66" s="44">
        <f>103.2543</f>
        <v>103.2543</v>
      </c>
    </row>
    <row r="67" spans="1:10" ht="15" x14ac:dyDescent="0.2">
      <c r="A67" s="13">
        <v>42948</v>
      </c>
      <c r="B67" s="14">
        <f>14.5324 * CHOOSE(CONTROL!$C$15, $E$9, 100%, $G$9) + CHOOSE(CONTROL!$C$38, 0.0278, 0)</f>
        <v>14.5602</v>
      </c>
      <c r="C67" s="14">
        <f>14.4763 * CHOOSE(CONTROL!$C$15, $E$9, 100%, $G$9) + CHOOSE(CONTROL!$C$38, 0.0369, 0)</f>
        <v>14.513199999999999</v>
      </c>
      <c r="D67" s="14">
        <f>14.4685 * CHOOSE(CONTROL!$C$15, $E$9, 100%, $G$9) + CHOOSE(CONTROL!$C$38, 0.0369, 0)</f>
        <v>14.5054</v>
      </c>
      <c r="E67" s="46">
        <f>14.3762 * CHOOSE(CONTROL!$C$15, $E$9, 100%, $G$9) + CHOOSE(CONTROL!$C$38, 0.0369, 0)</f>
        <v>14.4131</v>
      </c>
      <c r="F67" s="45">
        <f>14.3762 * CHOOSE(CONTROL!$C$15, $E$9, 100%, $G$9) + CHOOSE(CONTROL!$C$38, 0.0278, 0)</f>
        <v>14.404</v>
      </c>
      <c r="G67" s="14">
        <f>14.4747 * CHOOSE(CONTROL!$C$15, $E$9, 100%, $G$9) + CHOOSE(CONTROL!$C$38, 0.0369, 0)</f>
        <v>14.5116</v>
      </c>
      <c r="H67" s="14">
        <f>14.4747 * CHOOSE(CONTROL!$C$15, $E$9, 100%, $G$9) + CHOOSE(CONTROL!$C$38, 0.0369, 0)</f>
        <v>14.5116</v>
      </c>
      <c r="I67" s="14">
        <f>14.4763 * CHOOSE(CONTROL!$C$15, $E$9, 100%, $G$9) + CHOOSE(CONTROL!$C$38, 0.0369, 0)</f>
        <v>14.513199999999999</v>
      </c>
      <c r="J67" s="44">
        <f>101.0583</f>
        <v>101.0583</v>
      </c>
    </row>
    <row r="68" spans="1:10" ht="15" x14ac:dyDescent="0.2">
      <c r="A68" s="13">
        <v>42979</v>
      </c>
      <c r="B68" s="14">
        <f>14.8756 * CHOOSE(CONTROL!$C$15, $E$9, 100%, $G$9) + CHOOSE(CONTROL!$C$38, 0.0278, 0)</f>
        <v>14.9034</v>
      </c>
      <c r="C68" s="14">
        <f>14.8196 * CHOOSE(CONTROL!$C$15, $E$9, 100%, $G$9) + CHOOSE(CONTROL!$C$38, 0.0369, 0)</f>
        <v>14.856499999999999</v>
      </c>
      <c r="D68" s="14">
        <f>14.8118 * CHOOSE(CONTROL!$C$15, $E$9, 100%, $G$9) + CHOOSE(CONTROL!$C$38, 0.0369, 0)</f>
        <v>14.848699999999999</v>
      </c>
      <c r="E68" s="46">
        <f>14.7193 * CHOOSE(CONTROL!$C$15, $E$9, 100%, $G$9) + CHOOSE(CONTROL!$C$38, 0.0369, 0)</f>
        <v>14.7562</v>
      </c>
      <c r="F68" s="45">
        <f>14.7193 * CHOOSE(CONTROL!$C$15, $E$9, 100%, $G$9) + CHOOSE(CONTROL!$C$38, 0.0278, 0)</f>
        <v>14.7471</v>
      </c>
      <c r="G68" s="14">
        <f>14.8181 * CHOOSE(CONTROL!$C$15, $E$9, 100%, $G$9) + CHOOSE(CONTROL!$C$38, 0.0369, 0)</f>
        <v>14.854999999999999</v>
      </c>
      <c r="H68" s="14">
        <f>14.8181 * CHOOSE(CONTROL!$C$15, $E$9, 100%, $G$9) + CHOOSE(CONTROL!$C$38, 0.0369, 0)</f>
        <v>14.854999999999999</v>
      </c>
      <c r="I68" s="14">
        <f>14.8196 * CHOOSE(CONTROL!$C$15, $E$9, 100%, $G$9) + CHOOSE(CONTROL!$C$38, 0.0369, 0)</f>
        <v>14.856499999999999</v>
      </c>
      <c r="J68" s="44">
        <f>97.9005</f>
        <v>97.900499999999994</v>
      </c>
    </row>
    <row r="69" spans="1:10" ht="15" x14ac:dyDescent="0.2">
      <c r="A69" s="13">
        <v>43009</v>
      </c>
      <c r="B69" s="14">
        <f>15.1688 * CHOOSE(CONTROL!$C$15, $E$9, 100%, $G$9) + CHOOSE(CONTROL!$C$38, 0.0256, 0)</f>
        <v>15.1944</v>
      </c>
      <c r="C69" s="14">
        <f>15.1131 * CHOOSE(CONTROL!$C$15, $E$9, 100%, $G$9) + CHOOSE(CONTROL!$C$38, 0.0347, 0)</f>
        <v>15.1478</v>
      </c>
      <c r="D69" s="14">
        <f>15.1053 * CHOOSE(CONTROL!$C$15, $E$9, 100%, $G$9) + CHOOSE(CONTROL!$C$38, 0.0347, 0)</f>
        <v>15.14</v>
      </c>
      <c r="E69" s="46">
        <f>15.0126 * CHOOSE(CONTROL!$C$15, $E$9, 100%, $G$9) + CHOOSE(CONTROL!$C$38, 0.0347, 0)</f>
        <v>15.047300000000002</v>
      </c>
      <c r="F69" s="45">
        <f>15.0126 * CHOOSE(CONTROL!$C$15, $E$9, 100%, $G$9) + CHOOSE(CONTROL!$C$38, 0.0256, 0)</f>
        <v>15.038200000000002</v>
      </c>
      <c r="G69" s="14">
        <f>15.1116 * CHOOSE(CONTROL!$C$15, $E$9, 100%, $G$9) + CHOOSE(CONTROL!$C$38, 0.0347, 0)</f>
        <v>15.1463</v>
      </c>
      <c r="H69" s="14">
        <f>15.1116 * CHOOSE(CONTROL!$C$15, $E$9, 100%, $G$9) + CHOOSE(CONTROL!$C$38, 0.0347, 0)</f>
        <v>15.1463</v>
      </c>
      <c r="I69" s="14">
        <f>15.1131 * CHOOSE(CONTROL!$C$15, $E$9, 100%, $G$9) + CHOOSE(CONTROL!$C$38, 0.0347, 0)</f>
        <v>15.1478</v>
      </c>
      <c r="J69" s="44">
        <f>94.7097</f>
        <v>94.709699999999998</v>
      </c>
    </row>
    <row r="70" spans="1:10" ht="15" x14ac:dyDescent="0.2">
      <c r="A70" s="13">
        <v>43040</v>
      </c>
      <c r="B70" s="14">
        <f>15.4195 * CHOOSE(CONTROL!$C$15, $E$9, 100%, $G$9) + CHOOSE(CONTROL!$C$38, 0.0256, 0)</f>
        <v>15.4451</v>
      </c>
      <c r="C70" s="14">
        <f>15.364 * CHOOSE(CONTROL!$C$15, $E$9, 100%, $G$9) + CHOOSE(CONTROL!$C$38, 0.0347, 0)</f>
        <v>15.398700000000002</v>
      </c>
      <c r="D70" s="14">
        <f>15.3562 * CHOOSE(CONTROL!$C$15, $E$9, 100%, $G$9) + CHOOSE(CONTROL!$C$38, 0.0347, 0)</f>
        <v>15.3909</v>
      </c>
      <c r="E70" s="46">
        <f>15.2632 * CHOOSE(CONTROL!$C$15, $E$9, 100%, $G$9) + CHOOSE(CONTROL!$C$38, 0.0347, 0)</f>
        <v>15.2979</v>
      </c>
      <c r="F70" s="45">
        <f>15.2632 * CHOOSE(CONTROL!$C$15, $E$9, 100%, $G$9) + CHOOSE(CONTROL!$C$38, 0.0256, 0)</f>
        <v>15.2888</v>
      </c>
      <c r="G70" s="14">
        <f>15.3624 * CHOOSE(CONTROL!$C$15, $E$9, 100%, $G$9) + CHOOSE(CONTROL!$C$38, 0.0347, 0)</f>
        <v>15.3971</v>
      </c>
      <c r="H70" s="14">
        <f>15.3624 * CHOOSE(CONTROL!$C$15, $E$9, 100%, $G$9) + CHOOSE(CONTROL!$C$38, 0.0347, 0)</f>
        <v>15.3971</v>
      </c>
      <c r="I70" s="14">
        <f>15.364 * CHOOSE(CONTROL!$C$15, $E$9, 100%, $G$9) + CHOOSE(CONTROL!$C$38, 0.0347, 0)</f>
        <v>15.398700000000002</v>
      </c>
      <c r="J70" s="44">
        <f>94.2286</f>
        <v>94.2286</v>
      </c>
    </row>
    <row r="71" spans="1:10" ht="15" x14ac:dyDescent="0.2">
      <c r="A71" s="13">
        <v>43070</v>
      </c>
      <c r="B71" s="14">
        <f>16.1313 * CHOOSE(CONTROL!$C$15, $E$9, 100%, $G$9) + CHOOSE(CONTROL!$C$38, 0.0256, 0)</f>
        <v>16.1569</v>
      </c>
      <c r="C71" s="14">
        <f>16.076 * CHOOSE(CONTROL!$C$15, $E$9, 100%, $G$9) + CHOOSE(CONTROL!$C$38, 0.0347, 0)</f>
        <v>16.110700000000001</v>
      </c>
      <c r="D71" s="14">
        <f>16.0682 * CHOOSE(CONTROL!$C$15, $E$9, 100%, $G$9) + CHOOSE(CONTROL!$C$38, 0.0347, 0)</f>
        <v>16.102900000000002</v>
      </c>
      <c r="E71" s="46">
        <f>15.9751 * CHOOSE(CONTROL!$C$15, $E$9, 100%, $G$9) + CHOOSE(CONTROL!$C$38, 0.0347, 0)</f>
        <v>16.009799999999998</v>
      </c>
      <c r="F71" s="45">
        <f>15.9751 * CHOOSE(CONTROL!$C$15, $E$9, 100%, $G$9) + CHOOSE(CONTROL!$C$38, 0.0256, 0)</f>
        <v>16.000699999999998</v>
      </c>
      <c r="G71" s="14">
        <f>16.0745 * CHOOSE(CONTROL!$C$15, $E$9, 100%, $G$9) + CHOOSE(CONTROL!$C$38, 0.0347, 0)</f>
        <v>16.109200000000001</v>
      </c>
      <c r="H71" s="14">
        <f>16.0745 * CHOOSE(CONTROL!$C$15, $E$9, 100%, $G$9) + CHOOSE(CONTROL!$C$38, 0.0347, 0)</f>
        <v>16.109200000000001</v>
      </c>
      <c r="I71" s="14">
        <f>16.076 * CHOOSE(CONTROL!$C$15, $E$9, 100%, $G$9) + CHOOSE(CONTROL!$C$38, 0.0347, 0)</f>
        <v>16.110700000000001</v>
      </c>
      <c r="J71" s="44">
        <f>91.6207</f>
        <v>91.620699999999999</v>
      </c>
    </row>
    <row r="72" spans="1:10" ht="15" x14ac:dyDescent="0.2">
      <c r="A72" s="13">
        <v>43101</v>
      </c>
      <c r="B72" s="14">
        <f>18.1182 * CHOOSE(CONTROL!$C$15, $E$9, 100%, $G$9) + CHOOSE(CONTROL!$C$38, 0.0256, 0)</f>
        <v>18.143800000000002</v>
      </c>
      <c r="C72" s="14">
        <f>17.6462 * CHOOSE(CONTROL!$C$15, $E$9, 100%, $G$9) + CHOOSE(CONTROL!$C$38, 0.0347, 0)</f>
        <v>17.680900000000001</v>
      </c>
      <c r="D72" s="14">
        <f>17.6384 * CHOOSE(CONTROL!$C$15, $E$9, 100%, $G$9) + CHOOSE(CONTROL!$C$38, 0.0347, 0)</f>
        <v>17.673100000000002</v>
      </c>
      <c r="E72" s="46">
        <f>17.9619 * CHOOSE(CONTROL!$C$15, $E$9, 100%, $G$9) + CHOOSE(CONTROL!$C$38, 0.0347, 0)</f>
        <v>17.996600000000001</v>
      </c>
      <c r="F72" s="45">
        <f>17.9619 * CHOOSE(CONTROL!$C$15, $E$9, 100%, $G$9) + CHOOSE(CONTROL!$C$38, 0.0256, 0)</f>
        <v>17.987500000000001</v>
      </c>
      <c r="G72" s="14">
        <f>17.6446 * CHOOSE(CONTROL!$C$15, $E$9, 100%, $G$9) + CHOOSE(CONTROL!$C$38, 0.0347, 0)</f>
        <v>17.679300000000001</v>
      </c>
      <c r="H72" s="14">
        <f>17.6446 * CHOOSE(CONTROL!$C$15, $E$9, 100%, $G$9) + CHOOSE(CONTROL!$C$38, 0.0347, 0)</f>
        <v>17.679300000000001</v>
      </c>
      <c r="I72" s="14">
        <f>17.6462 * CHOOSE(CONTROL!$C$15, $E$9, 100%, $G$9) + CHOOSE(CONTROL!$C$38, 0.0347, 0)</f>
        <v>17.680900000000001</v>
      </c>
      <c r="J72" s="44">
        <f>100.9401</f>
        <v>100.9401</v>
      </c>
    </row>
    <row r="73" spans="1:10" ht="15" x14ac:dyDescent="0.2">
      <c r="A73" s="13">
        <v>43132</v>
      </c>
      <c r="B73" s="14">
        <f>18.4076 * CHOOSE(CONTROL!$C$15, $E$9, 100%, $G$9) + CHOOSE(CONTROL!$C$38, 0.0256, 0)</f>
        <v>18.433199999999999</v>
      </c>
      <c r="C73" s="14">
        <f>17.935 * CHOOSE(CONTROL!$C$15, $E$9, 100%, $G$9) + CHOOSE(CONTROL!$C$38, 0.0347, 0)</f>
        <v>17.9697</v>
      </c>
      <c r="D73" s="14">
        <f>17.9272 * CHOOSE(CONTROL!$C$15, $E$9, 100%, $G$9) + CHOOSE(CONTROL!$C$38, 0.0347, 0)</f>
        <v>17.9619</v>
      </c>
      <c r="E73" s="46">
        <f>18.2514 * CHOOSE(CONTROL!$C$15, $E$9, 100%, $G$9) + CHOOSE(CONTROL!$C$38, 0.0347, 0)</f>
        <v>18.286100000000001</v>
      </c>
      <c r="F73" s="45">
        <f>18.2514 * CHOOSE(CONTROL!$C$15, $E$9, 100%, $G$9) + CHOOSE(CONTROL!$C$38, 0.0256, 0)</f>
        <v>18.277000000000001</v>
      </c>
      <c r="G73" s="14">
        <f>17.9334 * CHOOSE(CONTROL!$C$15, $E$9, 100%, $G$9) + CHOOSE(CONTROL!$C$38, 0.0347, 0)</f>
        <v>17.9681</v>
      </c>
      <c r="H73" s="14">
        <f>17.9334 * CHOOSE(CONTROL!$C$15, $E$9, 100%, $G$9) + CHOOSE(CONTROL!$C$38, 0.0347, 0)</f>
        <v>17.9681</v>
      </c>
      <c r="I73" s="14">
        <f>17.935 * CHOOSE(CONTROL!$C$15, $E$9, 100%, $G$9) + CHOOSE(CONTROL!$C$38, 0.0347, 0)</f>
        <v>17.9697</v>
      </c>
      <c r="J73" s="44">
        <f>100.8669</f>
        <v>100.8669</v>
      </c>
    </row>
    <row r="74" spans="1:10" ht="15" x14ac:dyDescent="0.2">
      <c r="A74" s="13">
        <v>43160</v>
      </c>
      <c r="B74" s="14">
        <f>17.8565 * CHOOSE(CONTROL!$C$15, $E$9, 100%, $G$9) + CHOOSE(CONTROL!$C$38, 0.0256, 0)</f>
        <v>17.882100000000001</v>
      </c>
      <c r="C74" s="14">
        <f>17.3832 * CHOOSE(CONTROL!$C$15, $E$9, 100%, $G$9) + CHOOSE(CONTROL!$C$38, 0.0347, 0)</f>
        <v>17.417899999999999</v>
      </c>
      <c r="D74" s="14">
        <f>17.3754 * CHOOSE(CONTROL!$C$15, $E$9, 100%, $G$9) + CHOOSE(CONTROL!$C$38, 0.0347, 0)</f>
        <v>17.4101</v>
      </c>
      <c r="E74" s="46">
        <f>17.7003 * CHOOSE(CONTROL!$C$15, $E$9, 100%, $G$9) + CHOOSE(CONTROL!$C$38, 0.0347, 0)</f>
        <v>17.734999999999999</v>
      </c>
      <c r="F74" s="45">
        <f>17.7003 * CHOOSE(CONTROL!$C$15, $E$9, 100%, $G$9) + CHOOSE(CONTROL!$C$38, 0.0256, 0)</f>
        <v>17.725899999999999</v>
      </c>
      <c r="G74" s="14">
        <f>17.3816 * CHOOSE(CONTROL!$C$15, $E$9, 100%, $G$9) + CHOOSE(CONTROL!$C$38, 0.0347, 0)</f>
        <v>17.4163</v>
      </c>
      <c r="H74" s="14">
        <f>17.3816 * CHOOSE(CONTROL!$C$15, $E$9, 100%, $G$9) + CHOOSE(CONTROL!$C$38, 0.0347, 0)</f>
        <v>17.4163</v>
      </c>
      <c r="I74" s="14">
        <f>17.3832 * CHOOSE(CONTROL!$C$15, $E$9, 100%, $G$9) + CHOOSE(CONTROL!$C$38, 0.0347, 0)</f>
        <v>17.417899999999999</v>
      </c>
      <c r="J74" s="44">
        <f>106.4019</f>
        <v>106.4019</v>
      </c>
    </row>
    <row r="75" spans="1:10" ht="15" x14ac:dyDescent="0.2">
      <c r="A75" s="13">
        <v>43191</v>
      </c>
      <c r="B75" s="14">
        <f>17.3213 * CHOOSE(CONTROL!$C$15, $E$9, 100%, $G$9) + CHOOSE(CONTROL!$C$38, 0.0256, 0)</f>
        <v>17.346900000000002</v>
      </c>
      <c r="C75" s="14">
        <f>16.8473 * CHOOSE(CONTROL!$C$15, $E$9, 100%, $G$9) + CHOOSE(CONTROL!$C$38, 0.0347, 0)</f>
        <v>16.882000000000001</v>
      </c>
      <c r="D75" s="14">
        <f>16.8395 * CHOOSE(CONTROL!$C$15, $E$9, 100%, $G$9) + CHOOSE(CONTROL!$C$38, 0.0347, 0)</f>
        <v>16.874200000000002</v>
      </c>
      <c r="E75" s="46">
        <f>17.165 * CHOOSE(CONTROL!$C$15, $E$9, 100%, $G$9) + CHOOSE(CONTROL!$C$38, 0.0347, 0)</f>
        <v>17.1997</v>
      </c>
      <c r="F75" s="45">
        <f>17.165 * CHOOSE(CONTROL!$C$15, $E$9, 100%, $G$9) + CHOOSE(CONTROL!$C$38, 0.0256, 0)</f>
        <v>17.1906</v>
      </c>
      <c r="G75" s="14">
        <f>16.8457 * CHOOSE(CONTROL!$C$15, $E$9, 100%, $G$9) + CHOOSE(CONTROL!$C$38, 0.0347, 0)</f>
        <v>16.880400000000002</v>
      </c>
      <c r="H75" s="14">
        <f>16.8457 * CHOOSE(CONTROL!$C$15, $E$9, 100%, $G$9) + CHOOSE(CONTROL!$C$38, 0.0347, 0)</f>
        <v>16.880400000000002</v>
      </c>
      <c r="I75" s="14">
        <f>16.8473 * CHOOSE(CONTROL!$C$15, $E$9, 100%, $G$9) + CHOOSE(CONTROL!$C$38, 0.0347, 0)</f>
        <v>16.882000000000001</v>
      </c>
      <c r="J75" s="44">
        <f>113.5434</f>
        <v>113.54340000000001</v>
      </c>
    </row>
    <row r="76" spans="1:10" ht="15" x14ac:dyDescent="0.2">
      <c r="A76" s="13">
        <v>43221</v>
      </c>
      <c r="B76" s="14">
        <f>16.7596 * CHOOSE(CONTROL!$C$15, $E$9, 100%, $G$9) + CHOOSE(CONTROL!$C$38, 0.0278, 0)</f>
        <v>16.787399999999998</v>
      </c>
      <c r="C76" s="14">
        <f>16.285 * CHOOSE(CONTROL!$C$15, $E$9, 100%, $G$9) + CHOOSE(CONTROL!$C$38, 0.0369, 0)</f>
        <v>16.321899999999999</v>
      </c>
      <c r="D76" s="14">
        <f>16.2772 * CHOOSE(CONTROL!$C$15, $E$9, 100%, $G$9) + CHOOSE(CONTROL!$C$38, 0.0369, 0)</f>
        <v>16.3141</v>
      </c>
      <c r="E76" s="46">
        <f>16.6034 * CHOOSE(CONTROL!$C$15, $E$9, 100%, $G$9) + CHOOSE(CONTROL!$C$38, 0.0369, 0)</f>
        <v>16.6403</v>
      </c>
      <c r="F76" s="45">
        <f>16.6034 * CHOOSE(CONTROL!$C$15, $E$9, 100%, $G$9) + CHOOSE(CONTROL!$C$38, 0.0278, 0)</f>
        <v>16.6312</v>
      </c>
      <c r="G76" s="14">
        <f>16.2834 * CHOOSE(CONTROL!$C$15, $E$9, 100%, $G$9) + CHOOSE(CONTROL!$C$38, 0.0369, 0)</f>
        <v>16.3203</v>
      </c>
      <c r="H76" s="14">
        <f>16.2834 * CHOOSE(CONTROL!$C$15, $E$9, 100%, $G$9) + CHOOSE(CONTROL!$C$38, 0.0369, 0)</f>
        <v>16.3203</v>
      </c>
      <c r="I76" s="14">
        <f>16.285 * CHOOSE(CONTROL!$C$15, $E$9, 100%, $G$9) + CHOOSE(CONTROL!$C$38, 0.0369, 0)</f>
        <v>16.321899999999999</v>
      </c>
      <c r="J76" s="44">
        <f>117.5955</f>
        <v>117.5955</v>
      </c>
    </row>
    <row r="77" spans="1:10" ht="15" x14ac:dyDescent="0.2">
      <c r="A77" s="13">
        <v>43252</v>
      </c>
      <c r="B77" s="14">
        <f>16.3741 * CHOOSE(CONTROL!$C$15, $E$9, 100%, $G$9) + CHOOSE(CONTROL!$C$38, 0.0278, 0)</f>
        <v>16.401899999999998</v>
      </c>
      <c r="C77" s="14">
        <f>15.8988 * CHOOSE(CONTROL!$C$15, $E$9, 100%, $G$9) + CHOOSE(CONTROL!$C$38, 0.0369, 0)</f>
        <v>15.935699999999999</v>
      </c>
      <c r="D77" s="14">
        <f>15.891 * CHOOSE(CONTROL!$C$15, $E$9, 100%, $G$9) + CHOOSE(CONTROL!$C$38, 0.0369, 0)</f>
        <v>15.927899999999999</v>
      </c>
      <c r="E77" s="46">
        <f>16.2179 * CHOOSE(CONTROL!$C$15, $E$9, 100%, $G$9) + CHOOSE(CONTROL!$C$38, 0.0369, 0)</f>
        <v>16.254799999999999</v>
      </c>
      <c r="F77" s="45">
        <f>16.2179 * CHOOSE(CONTROL!$C$15, $E$9, 100%, $G$9) + CHOOSE(CONTROL!$C$38, 0.0278, 0)</f>
        <v>16.245699999999999</v>
      </c>
      <c r="G77" s="14">
        <f>15.8973 * CHOOSE(CONTROL!$C$15, $E$9, 100%, $G$9) + CHOOSE(CONTROL!$C$38, 0.0369, 0)</f>
        <v>15.934199999999999</v>
      </c>
      <c r="H77" s="14">
        <f>15.8973 * CHOOSE(CONTROL!$C$15, $E$9, 100%, $G$9) + CHOOSE(CONTROL!$C$38, 0.0369, 0)</f>
        <v>15.934199999999999</v>
      </c>
      <c r="I77" s="14">
        <f>15.8988 * CHOOSE(CONTROL!$C$15, $E$9, 100%, $G$9) + CHOOSE(CONTROL!$C$38, 0.0369, 0)</f>
        <v>15.935699999999999</v>
      </c>
      <c r="J77" s="44">
        <f>119.5356</f>
        <v>119.5356</v>
      </c>
    </row>
    <row r="78" spans="1:10" ht="15" x14ac:dyDescent="0.2">
      <c r="A78" s="13">
        <v>43282</v>
      </c>
      <c r="B78" s="14">
        <f>16.1671 * CHOOSE(CONTROL!$C$15, $E$9, 100%, $G$9) + CHOOSE(CONTROL!$C$38, 0.0278, 0)</f>
        <v>16.194900000000001</v>
      </c>
      <c r="C78" s="14">
        <f>15.6912 * CHOOSE(CONTROL!$C$15, $E$9, 100%, $G$9) + CHOOSE(CONTROL!$C$38, 0.0369, 0)</f>
        <v>15.7281</v>
      </c>
      <c r="D78" s="14">
        <f>15.6834 * CHOOSE(CONTROL!$C$15, $E$9, 100%, $G$9) + CHOOSE(CONTROL!$C$38, 0.0369, 0)</f>
        <v>15.7203</v>
      </c>
      <c r="E78" s="46">
        <f>16.0109 * CHOOSE(CONTROL!$C$15, $E$9, 100%, $G$9) + CHOOSE(CONTROL!$C$38, 0.0369, 0)</f>
        <v>16.047799999999999</v>
      </c>
      <c r="F78" s="45">
        <f>16.0109 * CHOOSE(CONTROL!$C$15, $E$9, 100%, $G$9) + CHOOSE(CONTROL!$C$38, 0.0278, 0)</f>
        <v>16.038699999999999</v>
      </c>
      <c r="G78" s="14">
        <f>15.6896 * CHOOSE(CONTROL!$C$15, $E$9, 100%, $G$9) + CHOOSE(CONTROL!$C$38, 0.0369, 0)</f>
        <v>15.7265</v>
      </c>
      <c r="H78" s="14">
        <f>15.6896 * CHOOSE(CONTROL!$C$15, $E$9, 100%, $G$9) + CHOOSE(CONTROL!$C$38, 0.0369, 0)</f>
        <v>15.7265</v>
      </c>
      <c r="I78" s="14">
        <f>15.6912 * CHOOSE(CONTROL!$C$15, $E$9, 100%, $G$9) + CHOOSE(CONTROL!$C$38, 0.0369, 0)</f>
        <v>15.7281</v>
      </c>
      <c r="J78" s="44">
        <f>119.2216</f>
        <v>119.2216</v>
      </c>
    </row>
    <row r="79" spans="1:10" ht="15" x14ac:dyDescent="0.2">
      <c r="A79" s="13">
        <v>43313</v>
      </c>
      <c r="B79" s="14">
        <f>16.3176 * CHOOSE(CONTROL!$C$15, $E$9, 100%, $G$9) + CHOOSE(CONTROL!$C$38, 0.0278, 0)</f>
        <v>16.345399999999998</v>
      </c>
      <c r="C79" s="14">
        <f>15.841 * CHOOSE(CONTROL!$C$15, $E$9, 100%, $G$9) + CHOOSE(CONTROL!$C$38, 0.0369, 0)</f>
        <v>15.877899999999999</v>
      </c>
      <c r="D79" s="14">
        <f>15.8332 * CHOOSE(CONTROL!$C$15, $E$9, 100%, $G$9) + CHOOSE(CONTROL!$C$38, 0.0369, 0)</f>
        <v>15.870099999999999</v>
      </c>
      <c r="E79" s="46">
        <f>16.1613 * CHOOSE(CONTROL!$C$15, $E$9, 100%, $G$9) + CHOOSE(CONTROL!$C$38, 0.0369, 0)</f>
        <v>16.1982</v>
      </c>
      <c r="F79" s="45">
        <f>16.1613 * CHOOSE(CONTROL!$C$15, $E$9, 100%, $G$9) + CHOOSE(CONTROL!$C$38, 0.0278, 0)</f>
        <v>16.1891</v>
      </c>
      <c r="G79" s="14">
        <f>15.8394 * CHOOSE(CONTROL!$C$15, $E$9, 100%, $G$9) + CHOOSE(CONTROL!$C$38, 0.0369, 0)</f>
        <v>15.876299999999999</v>
      </c>
      <c r="H79" s="14">
        <f>15.8394 * CHOOSE(CONTROL!$C$15, $E$9, 100%, $G$9) + CHOOSE(CONTROL!$C$38, 0.0369, 0)</f>
        <v>15.876299999999999</v>
      </c>
      <c r="I79" s="14">
        <f>15.841 * CHOOSE(CONTROL!$C$15, $E$9, 100%, $G$9) + CHOOSE(CONTROL!$C$38, 0.0369, 0)</f>
        <v>15.877899999999999</v>
      </c>
      <c r="J79" s="44">
        <f>116.6861</f>
        <v>116.6861</v>
      </c>
    </row>
    <row r="80" spans="1:10" ht="15" x14ac:dyDescent="0.2">
      <c r="A80" s="13">
        <v>43344</v>
      </c>
      <c r="B80" s="14">
        <f>16.6722 * CHOOSE(CONTROL!$C$15, $E$9, 100%, $G$9) + CHOOSE(CONTROL!$C$38, 0.0278, 0)</f>
        <v>16.7</v>
      </c>
      <c r="C80" s="14">
        <f>16.195 * CHOOSE(CONTROL!$C$15, $E$9, 100%, $G$9) + CHOOSE(CONTROL!$C$38, 0.0369, 0)</f>
        <v>16.2319</v>
      </c>
      <c r="D80" s="14">
        <f>16.1872 * CHOOSE(CONTROL!$C$15, $E$9, 100%, $G$9) + CHOOSE(CONTROL!$C$38, 0.0369, 0)</f>
        <v>16.2241</v>
      </c>
      <c r="E80" s="46">
        <f>16.516 * CHOOSE(CONTROL!$C$15, $E$9, 100%, $G$9) + CHOOSE(CONTROL!$C$38, 0.0369, 0)</f>
        <v>16.552899999999998</v>
      </c>
      <c r="F80" s="45">
        <f>16.516 * CHOOSE(CONTROL!$C$15, $E$9, 100%, $G$9) + CHOOSE(CONTROL!$C$38, 0.0278, 0)</f>
        <v>16.543799999999997</v>
      </c>
      <c r="G80" s="14">
        <f>16.1934 * CHOOSE(CONTROL!$C$15, $E$9, 100%, $G$9) + CHOOSE(CONTROL!$C$38, 0.0369, 0)</f>
        <v>16.2303</v>
      </c>
      <c r="H80" s="14">
        <f>16.1934 * CHOOSE(CONTROL!$C$15, $E$9, 100%, $G$9) + CHOOSE(CONTROL!$C$38, 0.0369, 0)</f>
        <v>16.2303</v>
      </c>
      <c r="I80" s="14">
        <f>16.195 * CHOOSE(CONTROL!$C$15, $E$9, 100%, $G$9) + CHOOSE(CONTROL!$C$38, 0.0369, 0)</f>
        <v>16.2319</v>
      </c>
      <c r="J80" s="44">
        <f>113.04</f>
        <v>113.04</v>
      </c>
    </row>
    <row r="81" spans="1:10" ht="15" x14ac:dyDescent="0.2">
      <c r="A81" s="13">
        <v>43374</v>
      </c>
      <c r="B81" s="14">
        <f>16.9758 * CHOOSE(CONTROL!$C$15, $E$9, 100%, $G$9) + CHOOSE(CONTROL!$C$38, 0.0256, 0)</f>
        <v>17.0014</v>
      </c>
      <c r="C81" s="14">
        <f>16.4979 * CHOOSE(CONTROL!$C$15, $E$9, 100%, $G$9) + CHOOSE(CONTROL!$C$38, 0.0347, 0)</f>
        <v>16.532600000000002</v>
      </c>
      <c r="D81" s="14">
        <f>16.4901 * CHOOSE(CONTROL!$C$15, $E$9, 100%, $G$9) + CHOOSE(CONTROL!$C$38, 0.0347, 0)</f>
        <v>16.524800000000003</v>
      </c>
      <c r="E81" s="46">
        <f>16.8196 * CHOOSE(CONTROL!$C$15, $E$9, 100%, $G$9) + CHOOSE(CONTROL!$C$38, 0.0347, 0)</f>
        <v>16.854300000000002</v>
      </c>
      <c r="F81" s="45">
        <f>16.8196 * CHOOSE(CONTROL!$C$15, $E$9, 100%, $G$9) + CHOOSE(CONTROL!$C$38, 0.0256, 0)</f>
        <v>16.845200000000002</v>
      </c>
      <c r="G81" s="14">
        <f>16.4963 * CHOOSE(CONTROL!$C$15, $E$9, 100%, $G$9) + CHOOSE(CONTROL!$C$38, 0.0347, 0)</f>
        <v>16.531000000000002</v>
      </c>
      <c r="H81" s="14">
        <f>16.4963 * CHOOSE(CONTROL!$C$15, $E$9, 100%, $G$9) + CHOOSE(CONTROL!$C$38, 0.0347, 0)</f>
        <v>16.531000000000002</v>
      </c>
      <c r="I81" s="14">
        <f>16.4979 * CHOOSE(CONTROL!$C$15, $E$9, 100%, $G$9) + CHOOSE(CONTROL!$C$38, 0.0347, 0)</f>
        <v>16.532600000000002</v>
      </c>
      <c r="J81" s="44">
        <f>109.3557</f>
        <v>109.3557</v>
      </c>
    </row>
    <row r="82" spans="1:10" ht="15" x14ac:dyDescent="0.2">
      <c r="A82" s="13">
        <v>43405</v>
      </c>
      <c r="B82" s="14">
        <f>17.2357 * CHOOSE(CONTROL!$C$15, $E$9, 100%, $G$9) + CHOOSE(CONTROL!$C$38, 0.0256, 0)</f>
        <v>17.261300000000002</v>
      </c>
      <c r="C82" s="14">
        <f>16.7571 * CHOOSE(CONTROL!$C$15, $E$9, 100%, $G$9) + CHOOSE(CONTROL!$C$38, 0.0347, 0)</f>
        <v>16.791800000000002</v>
      </c>
      <c r="D82" s="14">
        <f>16.7493 * CHOOSE(CONTROL!$C$15, $E$9, 100%, $G$9) + CHOOSE(CONTROL!$C$38, 0.0347, 0)</f>
        <v>16.784000000000002</v>
      </c>
      <c r="E82" s="46">
        <f>17.0794 * CHOOSE(CONTROL!$C$15, $E$9, 100%, $G$9) + CHOOSE(CONTROL!$C$38, 0.0347, 0)</f>
        <v>17.114100000000001</v>
      </c>
      <c r="F82" s="45">
        <f>17.0794 * CHOOSE(CONTROL!$C$15, $E$9, 100%, $G$9) + CHOOSE(CONTROL!$C$38, 0.0256, 0)</f>
        <v>17.105</v>
      </c>
      <c r="G82" s="14">
        <f>16.7555 * CHOOSE(CONTROL!$C$15, $E$9, 100%, $G$9) + CHOOSE(CONTROL!$C$38, 0.0347, 0)</f>
        <v>16.790200000000002</v>
      </c>
      <c r="H82" s="14">
        <f>16.7555 * CHOOSE(CONTROL!$C$15, $E$9, 100%, $G$9) + CHOOSE(CONTROL!$C$38, 0.0347, 0)</f>
        <v>16.790200000000002</v>
      </c>
      <c r="I82" s="14">
        <f>16.7571 * CHOOSE(CONTROL!$C$15, $E$9, 100%, $G$9) + CHOOSE(CONTROL!$C$38, 0.0347, 0)</f>
        <v>16.791800000000002</v>
      </c>
      <c r="J82" s="44">
        <f>108.8002</f>
        <v>108.8002</v>
      </c>
    </row>
    <row r="83" spans="1:10" ht="15" x14ac:dyDescent="0.2">
      <c r="A83" s="13">
        <v>43435</v>
      </c>
      <c r="B83" s="14">
        <f>17.9683 * CHOOSE(CONTROL!$C$15, $E$9, 100%, $G$9) + CHOOSE(CONTROL!$C$38, 0.0256, 0)</f>
        <v>17.9939</v>
      </c>
      <c r="C83" s="14">
        <f>17.4891 * CHOOSE(CONTROL!$C$15, $E$9, 100%, $G$9) + CHOOSE(CONTROL!$C$38, 0.0347, 0)</f>
        <v>17.523800000000001</v>
      </c>
      <c r="D83" s="14">
        <f>17.4813 * CHOOSE(CONTROL!$C$15, $E$9, 100%, $G$9) + CHOOSE(CONTROL!$C$38, 0.0347, 0)</f>
        <v>17.516000000000002</v>
      </c>
      <c r="E83" s="46">
        <f>17.8121 * CHOOSE(CONTROL!$C$15, $E$9, 100%, $G$9) + CHOOSE(CONTROL!$C$38, 0.0347, 0)</f>
        <v>17.846800000000002</v>
      </c>
      <c r="F83" s="45">
        <f>17.8121 * CHOOSE(CONTROL!$C$15, $E$9, 100%, $G$9) + CHOOSE(CONTROL!$C$38, 0.0256, 0)</f>
        <v>17.837700000000002</v>
      </c>
      <c r="G83" s="14">
        <f>17.4875 * CHOOSE(CONTROL!$C$15, $E$9, 100%, $G$9) + CHOOSE(CONTROL!$C$38, 0.0347, 0)</f>
        <v>17.522200000000002</v>
      </c>
      <c r="H83" s="14">
        <f>17.4875 * CHOOSE(CONTROL!$C$15, $E$9, 100%, $G$9) + CHOOSE(CONTROL!$C$38, 0.0347, 0)</f>
        <v>17.522200000000002</v>
      </c>
      <c r="I83" s="14">
        <f>17.4891 * CHOOSE(CONTROL!$C$15, $E$9, 100%, $G$9) + CHOOSE(CONTROL!$C$38, 0.0347, 0)</f>
        <v>17.523800000000001</v>
      </c>
      <c r="J83" s="44">
        <f>105.789</f>
        <v>105.789</v>
      </c>
    </row>
    <row r="84" spans="1:10" ht="15" x14ac:dyDescent="0.2">
      <c r="A84" s="13">
        <v>43466</v>
      </c>
      <c r="B84" s="14">
        <f>18.5985 * CHOOSE(CONTROL!$C$15, $E$9, 100%, $G$9) + CHOOSE(CONTROL!$C$38, 0.0256, 0)</f>
        <v>18.624100000000002</v>
      </c>
      <c r="C84" s="14">
        <f>18.094 * CHOOSE(CONTROL!$C$15, $E$9, 100%, $G$9) + CHOOSE(CONTROL!$C$38, 0.0347, 0)</f>
        <v>18.128700000000002</v>
      </c>
      <c r="D84" s="14">
        <f>18.0862 * CHOOSE(CONTROL!$C$15, $E$9, 100%, $G$9) + CHOOSE(CONTROL!$C$38, 0.0347, 0)</f>
        <v>18.120900000000002</v>
      </c>
      <c r="E84" s="46">
        <f>18.4422 * CHOOSE(CONTROL!$C$15, $E$9, 100%, $G$9) + CHOOSE(CONTROL!$C$38, 0.0347, 0)</f>
        <v>18.476900000000001</v>
      </c>
      <c r="F84" s="45">
        <f>18.4422 * CHOOSE(CONTROL!$C$15, $E$9, 100%, $G$9) + CHOOSE(CONTROL!$C$38, 0.0256, 0)</f>
        <v>18.4678</v>
      </c>
      <c r="G84" s="14">
        <f>18.0925 * CHOOSE(CONTROL!$C$15, $E$9, 100%, $G$9) + CHOOSE(CONTROL!$C$38, 0.0347, 0)</f>
        <v>18.127200000000002</v>
      </c>
      <c r="H84" s="14">
        <f>18.0925 * CHOOSE(CONTROL!$C$15, $E$9, 100%, $G$9) + CHOOSE(CONTROL!$C$38, 0.0347, 0)</f>
        <v>18.127200000000002</v>
      </c>
      <c r="I84" s="14">
        <f>18.094 * CHOOSE(CONTROL!$C$15, $E$9, 100%, $G$9) + CHOOSE(CONTROL!$C$38, 0.0347, 0)</f>
        <v>18.128700000000002</v>
      </c>
      <c r="J84" s="44">
        <f>103.269</f>
        <v>103.26900000000001</v>
      </c>
    </row>
    <row r="85" spans="1:10" ht="15" x14ac:dyDescent="0.2">
      <c r="A85" s="13">
        <v>43497</v>
      </c>
      <c r="B85" s="14">
        <f>18.8952 * CHOOSE(CONTROL!$C$15, $E$9, 100%, $G$9) + CHOOSE(CONTROL!$C$38, 0.0256, 0)</f>
        <v>18.9208</v>
      </c>
      <c r="C85" s="14">
        <f>18.3901 * CHOOSE(CONTROL!$C$15, $E$9, 100%, $G$9) + CHOOSE(CONTROL!$C$38, 0.0347, 0)</f>
        <v>18.424800000000001</v>
      </c>
      <c r="D85" s="14">
        <f>18.3823 * CHOOSE(CONTROL!$C$15, $E$9, 100%, $G$9) + CHOOSE(CONTROL!$C$38, 0.0347, 0)</f>
        <v>18.417000000000002</v>
      </c>
      <c r="E85" s="46">
        <f>18.739 * CHOOSE(CONTROL!$C$15, $E$9, 100%, $G$9) + CHOOSE(CONTROL!$C$38, 0.0347, 0)</f>
        <v>18.773700000000002</v>
      </c>
      <c r="F85" s="45">
        <f>18.739 * CHOOSE(CONTROL!$C$15, $E$9, 100%, $G$9) + CHOOSE(CONTROL!$C$38, 0.0256, 0)</f>
        <v>18.764600000000002</v>
      </c>
      <c r="G85" s="14">
        <f>18.3885 * CHOOSE(CONTROL!$C$15, $E$9, 100%, $G$9) + CHOOSE(CONTROL!$C$38, 0.0347, 0)</f>
        <v>18.423200000000001</v>
      </c>
      <c r="H85" s="14">
        <f>18.3885 * CHOOSE(CONTROL!$C$15, $E$9, 100%, $G$9) + CHOOSE(CONTROL!$C$38, 0.0347, 0)</f>
        <v>18.423200000000001</v>
      </c>
      <c r="I85" s="14">
        <f>18.3901 * CHOOSE(CONTROL!$C$15, $E$9, 100%, $G$9) + CHOOSE(CONTROL!$C$38, 0.0347, 0)</f>
        <v>18.424800000000001</v>
      </c>
      <c r="J85" s="44">
        <f>103.194</f>
        <v>103.194</v>
      </c>
    </row>
    <row r="86" spans="1:10" ht="15" x14ac:dyDescent="0.2">
      <c r="A86" s="13">
        <v>43525</v>
      </c>
      <c r="B86" s="14">
        <f>18.3304 * CHOOSE(CONTROL!$C$15, $E$9, 100%, $G$9) + CHOOSE(CONTROL!$C$38, 0.0256, 0)</f>
        <v>18.356000000000002</v>
      </c>
      <c r="C86" s="14">
        <f>17.8245 * CHOOSE(CONTROL!$C$15, $E$9, 100%, $G$9) + CHOOSE(CONTROL!$C$38, 0.0347, 0)</f>
        <v>17.859200000000001</v>
      </c>
      <c r="D86" s="14">
        <f>17.8167 * CHOOSE(CONTROL!$C$15, $E$9, 100%, $G$9) + CHOOSE(CONTROL!$C$38, 0.0347, 0)</f>
        <v>17.851400000000002</v>
      </c>
      <c r="E86" s="46">
        <f>18.1742 * CHOOSE(CONTROL!$C$15, $E$9, 100%, $G$9) + CHOOSE(CONTROL!$C$38, 0.0347, 0)</f>
        <v>18.2089</v>
      </c>
      <c r="F86" s="45">
        <f>18.1742 * CHOOSE(CONTROL!$C$15, $E$9, 100%, $G$9) + CHOOSE(CONTROL!$C$38, 0.0256, 0)</f>
        <v>18.1998</v>
      </c>
      <c r="G86" s="14">
        <f>17.823 * CHOOSE(CONTROL!$C$15, $E$9, 100%, $G$9) + CHOOSE(CONTROL!$C$38, 0.0347, 0)</f>
        <v>17.857700000000001</v>
      </c>
      <c r="H86" s="14">
        <f>17.823 * CHOOSE(CONTROL!$C$15, $E$9, 100%, $G$9) + CHOOSE(CONTROL!$C$38, 0.0347, 0)</f>
        <v>17.857700000000001</v>
      </c>
      <c r="I86" s="14">
        <f>17.8245 * CHOOSE(CONTROL!$C$15, $E$9, 100%, $G$9) + CHOOSE(CONTROL!$C$38, 0.0347, 0)</f>
        <v>17.859200000000001</v>
      </c>
      <c r="J86" s="44">
        <f>108.8567</f>
        <v>108.8567</v>
      </c>
    </row>
    <row r="87" spans="1:10" ht="15" x14ac:dyDescent="0.2">
      <c r="A87" s="13">
        <v>43556</v>
      </c>
      <c r="B87" s="14">
        <f>17.7819 * CHOOSE(CONTROL!$C$15, $E$9, 100%, $G$9) + CHOOSE(CONTROL!$C$38, 0.0256, 0)</f>
        <v>17.807500000000001</v>
      </c>
      <c r="C87" s="14">
        <f>17.2753 * CHOOSE(CONTROL!$C$15, $E$9, 100%, $G$9) + CHOOSE(CONTROL!$C$38, 0.0347, 0)</f>
        <v>17.310000000000002</v>
      </c>
      <c r="D87" s="14">
        <f>17.2675 * CHOOSE(CONTROL!$C$15, $E$9, 100%, $G$9) + CHOOSE(CONTROL!$C$38, 0.0347, 0)</f>
        <v>17.302199999999999</v>
      </c>
      <c r="E87" s="46">
        <f>17.6257 * CHOOSE(CONTROL!$C$15, $E$9, 100%, $G$9) + CHOOSE(CONTROL!$C$38, 0.0347, 0)</f>
        <v>17.660399999999999</v>
      </c>
      <c r="F87" s="45">
        <f>17.6257 * CHOOSE(CONTROL!$C$15, $E$9, 100%, $G$9) + CHOOSE(CONTROL!$C$38, 0.0256, 0)</f>
        <v>17.651299999999999</v>
      </c>
      <c r="G87" s="14">
        <f>17.2737 * CHOOSE(CONTROL!$C$15, $E$9, 100%, $G$9) + CHOOSE(CONTROL!$C$38, 0.0347, 0)</f>
        <v>17.308400000000002</v>
      </c>
      <c r="H87" s="14">
        <f>17.2737 * CHOOSE(CONTROL!$C$15, $E$9, 100%, $G$9) + CHOOSE(CONTROL!$C$38, 0.0347, 0)</f>
        <v>17.308400000000002</v>
      </c>
      <c r="I87" s="14">
        <f>17.2753 * CHOOSE(CONTROL!$C$15, $E$9, 100%, $G$9) + CHOOSE(CONTROL!$C$38, 0.0347, 0)</f>
        <v>17.310000000000002</v>
      </c>
      <c r="J87" s="44">
        <f>116.163</f>
        <v>116.163</v>
      </c>
    </row>
    <row r="88" spans="1:10" ht="15" x14ac:dyDescent="0.2">
      <c r="A88" s="13">
        <v>43586</v>
      </c>
      <c r="B88" s="14">
        <f>17.2063 * CHOOSE(CONTROL!$C$15, $E$9, 100%, $G$9) + CHOOSE(CONTROL!$C$38, 0.0278, 0)</f>
        <v>17.234099999999998</v>
      </c>
      <c r="C88" s="14">
        <f>16.699 * CHOOSE(CONTROL!$C$15, $E$9, 100%, $G$9) + CHOOSE(CONTROL!$C$38, 0.0369, 0)</f>
        <v>16.735900000000001</v>
      </c>
      <c r="D88" s="14">
        <f>16.6911 * CHOOSE(CONTROL!$C$15, $E$9, 100%, $G$9) + CHOOSE(CONTROL!$C$38, 0.0369, 0)</f>
        <v>16.727999999999998</v>
      </c>
      <c r="E88" s="46">
        <f>17.05 * CHOOSE(CONTROL!$C$15, $E$9, 100%, $G$9) + CHOOSE(CONTROL!$C$38, 0.0369, 0)</f>
        <v>17.0869</v>
      </c>
      <c r="F88" s="45">
        <f>17.05 * CHOOSE(CONTROL!$C$15, $E$9, 100%, $G$9) + CHOOSE(CONTROL!$C$38, 0.0278, 0)</f>
        <v>17.0778</v>
      </c>
      <c r="G88" s="14">
        <f>16.6974 * CHOOSE(CONTROL!$C$15, $E$9, 100%, $G$9) + CHOOSE(CONTROL!$C$38, 0.0369, 0)</f>
        <v>16.734299999999998</v>
      </c>
      <c r="H88" s="14">
        <f>16.6974 * CHOOSE(CONTROL!$C$15, $E$9, 100%, $G$9) + CHOOSE(CONTROL!$C$38, 0.0369, 0)</f>
        <v>16.734299999999998</v>
      </c>
      <c r="I88" s="14">
        <f>16.699 * CHOOSE(CONTROL!$C$15, $E$9, 100%, $G$9) + CHOOSE(CONTROL!$C$38, 0.0369, 0)</f>
        <v>16.735900000000001</v>
      </c>
      <c r="J88" s="44">
        <f>120.3085</f>
        <v>120.3085</v>
      </c>
    </row>
    <row r="89" spans="1:10" ht="15" x14ac:dyDescent="0.2">
      <c r="A89" s="13">
        <v>43617</v>
      </c>
      <c r="B89" s="14">
        <f>16.8112 * CHOOSE(CONTROL!$C$15, $E$9, 100%, $G$9) + CHOOSE(CONTROL!$C$38, 0.0278, 0)</f>
        <v>16.838999999999999</v>
      </c>
      <c r="C89" s="14">
        <f>16.3032 * CHOOSE(CONTROL!$C$15, $E$9, 100%, $G$9) + CHOOSE(CONTROL!$C$38, 0.0369, 0)</f>
        <v>16.3401</v>
      </c>
      <c r="D89" s="14">
        <f>16.2954 * CHOOSE(CONTROL!$C$15, $E$9, 100%, $G$9) + CHOOSE(CONTROL!$C$38, 0.0369, 0)</f>
        <v>16.3323</v>
      </c>
      <c r="E89" s="46">
        <f>16.655 * CHOOSE(CONTROL!$C$15, $E$9, 100%, $G$9) + CHOOSE(CONTROL!$C$38, 0.0369, 0)</f>
        <v>16.6919</v>
      </c>
      <c r="F89" s="45">
        <f>16.655 * CHOOSE(CONTROL!$C$15, $E$9, 100%, $G$9) + CHOOSE(CONTROL!$C$38, 0.0278, 0)</f>
        <v>16.6828</v>
      </c>
      <c r="G89" s="14">
        <f>16.3016 * CHOOSE(CONTROL!$C$15, $E$9, 100%, $G$9) + CHOOSE(CONTROL!$C$38, 0.0369, 0)</f>
        <v>16.3385</v>
      </c>
      <c r="H89" s="14">
        <f>16.3016 * CHOOSE(CONTROL!$C$15, $E$9, 100%, $G$9) + CHOOSE(CONTROL!$C$38, 0.0369, 0)</f>
        <v>16.3385</v>
      </c>
      <c r="I89" s="14">
        <f>16.3032 * CHOOSE(CONTROL!$C$15, $E$9, 100%, $G$9) + CHOOSE(CONTROL!$C$38, 0.0369, 0)</f>
        <v>16.3401</v>
      </c>
      <c r="J89" s="44">
        <f>122.2934</f>
        <v>122.29340000000001</v>
      </c>
    </row>
    <row r="90" spans="1:10" ht="15" x14ac:dyDescent="0.2">
      <c r="A90" s="13">
        <v>43647</v>
      </c>
      <c r="B90" s="14">
        <f>16.5991 * CHOOSE(CONTROL!$C$15, $E$9, 100%, $G$9) + CHOOSE(CONTROL!$C$38, 0.0278, 0)</f>
        <v>16.626899999999999</v>
      </c>
      <c r="C90" s="14">
        <f>16.0904 * CHOOSE(CONTROL!$C$15, $E$9, 100%, $G$9) + CHOOSE(CONTROL!$C$38, 0.0369, 0)</f>
        <v>16.127299999999998</v>
      </c>
      <c r="D90" s="14">
        <f>16.0826 * CHOOSE(CONTROL!$C$15, $E$9, 100%, $G$9) + CHOOSE(CONTROL!$C$38, 0.0369, 0)</f>
        <v>16.119499999999999</v>
      </c>
      <c r="E90" s="46">
        <f>16.4429 * CHOOSE(CONTROL!$C$15, $E$9, 100%, $G$9) + CHOOSE(CONTROL!$C$38, 0.0369, 0)</f>
        <v>16.479800000000001</v>
      </c>
      <c r="F90" s="45">
        <f>16.4429 * CHOOSE(CONTROL!$C$15, $E$9, 100%, $G$9) + CHOOSE(CONTROL!$C$38, 0.0278, 0)</f>
        <v>16.470700000000001</v>
      </c>
      <c r="G90" s="14">
        <f>16.0888 * CHOOSE(CONTROL!$C$15, $E$9, 100%, $G$9) + CHOOSE(CONTROL!$C$38, 0.0369, 0)</f>
        <v>16.125699999999998</v>
      </c>
      <c r="H90" s="14">
        <f>16.0888 * CHOOSE(CONTROL!$C$15, $E$9, 100%, $G$9) + CHOOSE(CONTROL!$C$38, 0.0369, 0)</f>
        <v>16.125699999999998</v>
      </c>
      <c r="I90" s="14">
        <f>16.0904 * CHOOSE(CONTROL!$C$15, $E$9, 100%, $G$9) + CHOOSE(CONTROL!$C$38, 0.0369, 0)</f>
        <v>16.127299999999998</v>
      </c>
      <c r="J90" s="44">
        <f>121.9722</f>
        <v>121.9722</v>
      </c>
    </row>
    <row r="91" spans="1:10" ht="15" x14ac:dyDescent="0.2">
      <c r="A91" s="13">
        <v>43678</v>
      </c>
      <c r="B91" s="14">
        <f>16.7535 * CHOOSE(CONTROL!$C$15, $E$9, 100%, $G$9) + CHOOSE(CONTROL!$C$38, 0.0278, 0)</f>
        <v>16.781299999999998</v>
      </c>
      <c r="C91" s="14">
        <f>16.2439 * CHOOSE(CONTROL!$C$15, $E$9, 100%, $G$9) + CHOOSE(CONTROL!$C$38, 0.0369, 0)</f>
        <v>16.280799999999999</v>
      </c>
      <c r="D91" s="14">
        <f>16.2361 * CHOOSE(CONTROL!$C$15, $E$9, 100%, $G$9) + CHOOSE(CONTROL!$C$38, 0.0369, 0)</f>
        <v>16.273</v>
      </c>
      <c r="E91" s="46">
        <f>16.5972 * CHOOSE(CONTROL!$C$15, $E$9, 100%, $G$9) + CHOOSE(CONTROL!$C$38, 0.0369, 0)</f>
        <v>16.6341</v>
      </c>
      <c r="F91" s="45">
        <f>16.5972 * CHOOSE(CONTROL!$C$15, $E$9, 100%, $G$9) + CHOOSE(CONTROL!$C$38, 0.0278, 0)</f>
        <v>16.625</v>
      </c>
      <c r="G91" s="14">
        <f>16.2424 * CHOOSE(CONTROL!$C$15, $E$9, 100%, $G$9) + CHOOSE(CONTROL!$C$38, 0.0369, 0)</f>
        <v>16.279299999999999</v>
      </c>
      <c r="H91" s="14">
        <f>16.2424 * CHOOSE(CONTROL!$C$15, $E$9, 100%, $G$9) + CHOOSE(CONTROL!$C$38, 0.0369, 0)</f>
        <v>16.279299999999999</v>
      </c>
      <c r="I91" s="14">
        <f>16.2439 * CHOOSE(CONTROL!$C$15, $E$9, 100%, $G$9) + CHOOSE(CONTROL!$C$38, 0.0369, 0)</f>
        <v>16.280799999999999</v>
      </c>
      <c r="J91" s="44">
        <f>119.3781</f>
        <v>119.3781</v>
      </c>
    </row>
    <row r="92" spans="1:10" ht="15" x14ac:dyDescent="0.2">
      <c r="A92" s="13">
        <v>43709</v>
      </c>
      <c r="B92" s="14">
        <f>17.1171 * CHOOSE(CONTROL!$C$15, $E$9, 100%, $G$9) + CHOOSE(CONTROL!$C$38, 0.0278, 0)</f>
        <v>17.1449</v>
      </c>
      <c r="C92" s="14">
        <f>16.6068 * CHOOSE(CONTROL!$C$15, $E$9, 100%, $G$9) + CHOOSE(CONTROL!$C$38, 0.0369, 0)</f>
        <v>16.643699999999999</v>
      </c>
      <c r="D92" s="14">
        <f>16.599 * CHOOSE(CONTROL!$C$15, $E$9, 100%, $G$9) + CHOOSE(CONTROL!$C$38, 0.0369, 0)</f>
        <v>16.635899999999999</v>
      </c>
      <c r="E92" s="46">
        <f>16.9608 * CHOOSE(CONTROL!$C$15, $E$9, 100%, $G$9) + CHOOSE(CONTROL!$C$38, 0.0369, 0)</f>
        <v>16.997699999999998</v>
      </c>
      <c r="F92" s="45">
        <f>16.9608 * CHOOSE(CONTROL!$C$15, $E$9, 100%, $G$9) + CHOOSE(CONTROL!$C$38, 0.0278, 0)</f>
        <v>16.988599999999998</v>
      </c>
      <c r="G92" s="14">
        <f>16.6053 * CHOOSE(CONTROL!$C$15, $E$9, 100%, $G$9) + CHOOSE(CONTROL!$C$38, 0.0369, 0)</f>
        <v>16.642199999999999</v>
      </c>
      <c r="H92" s="14">
        <f>16.6053 * CHOOSE(CONTROL!$C$15, $E$9, 100%, $G$9) + CHOOSE(CONTROL!$C$38, 0.0369, 0)</f>
        <v>16.642199999999999</v>
      </c>
      <c r="I92" s="14">
        <f>16.6068 * CHOOSE(CONTROL!$C$15, $E$9, 100%, $G$9) + CHOOSE(CONTROL!$C$38, 0.0369, 0)</f>
        <v>16.643699999999999</v>
      </c>
      <c r="J92" s="44">
        <f>115.648</f>
        <v>115.648</v>
      </c>
    </row>
    <row r="93" spans="1:10" ht="15" x14ac:dyDescent="0.2">
      <c r="A93" s="13">
        <v>43739</v>
      </c>
      <c r="B93" s="14">
        <f>17.4283 * CHOOSE(CONTROL!$C$15, $E$9, 100%, $G$9) + CHOOSE(CONTROL!$C$38, 0.0256, 0)</f>
        <v>17.453900000000001</v>
      </c>
      <c r="C93" s="14">
        <f>16.9174 * CHOOSE(CONTROL!$C$15, $E$9, 100%, $G$9) + CHOOSE(CONTROL!$C$38, 0.0347, 0)</f>
        <v>16.952100000000002</v>
      </c>
      <c r="D93" s="14">
        <f>16.9096 * CHOOSE(CONTROL!$C$15, $E$9, 100%, $G$9) + CHOOSE(CONTROL!$C$38, 0.0347, 0)</f>
        <v>16.944300000000002</v>
      </c>
      <c r="E93" s="46">
        <f>17.2721 * CHOOSE(CONTROL!$C$15, $E$9, 100%, $G$9) + CHOOSE(CONTROL!$C$38, 0.0347, 0)</f>
        <v>17.306799999999999</v>
      </c>
      <c r="F93" s="45">
        <f>17.2721 * CHOOSE(CONTROL!$C$15, $E$9, 100%, $G$9) + CHOOSE(CONTROL!$C$38, 0.0256, 0)</f>
        <v>17.297699999999999</v>
      </c>
      <c r="G93" s="14">
        <f>16.9158 * CHOOSE(CONTROL!$C$15, $E$9, 100%, $G$9) + CHOOSE(CONTROL!$C$38, 0.0347, 0)</f>
        <v>16.950500000000002</v>
      </c>
      <c r="H93" s="14">
        <f>16.9158 * CHOOSE(CONTROL!$C$15, $E$9, 100%, $G$9) + CHOOSE(CONTROL!$C$38, 0.0347, 0)</f>
        <v>16.950500000000002</v>
      </c>
      <c r="I93" s="14">
        <f>16.9174 * CHOOSE(CONTROL!$C$15, $E$9, 100%, $G$9) + CHOOSE(CONTROL!$C$38, 0.0347, 0)</f>
        <v>16.952100000000002</v>
      </c>
      <c r="J93" s="44">
        <f>111.8787</f>
        <v>111.87869999999999</v>
      </c>
    </row>
    <row r="94" spans="1:10" ht="15" x14ac:dyDescent="0.2">
      <c r="A94" s="13">
        <v>43770</v>
      </c>
      <c r="B94" s="14">
        <f>17.6948 * CHOOSE(CONTROL!$C$15, $E$9, 100%, $G$9) + CHOOSE(CONTROL!$C$38, 0.0256, 0)</f>
        <v>17.720400000000001</v>
      </c>
      <c r="C94" s="14">
        <f>17.1831 * CHOOSE(CONTROL!$C$15, $E$9, 100%, $G$9) + CHOOSE(CONTROL!$C$38, 0.0347, 0)</f>
        <v>17.2178</v>
      </c>
      <c r="D94" s="14">
        <f>17.1753 * CHOOSE(CONTROL!$C$15, $E$9, 100%, $G$9) + CHOOSE(CONTROL!$C$38, 0.0347, 0)</f>
        <v>17.21</v>
      </c>
      <c r="E94" s="46">
        <f>17.5385 * CHOOSE(CONTROL!$C$15, $E$9, 100%, $G$9) + CHOOSE(CONTROL!$C$38, 0.0347, 0)</f>
        <v>17.5732</v>
      </c>
      <c r="F94" s="45">
        <f>17.5385 * CHOOSE(CONTROL!$C$15, $E$9, 100%, $G$9) + CHOOSE(CONTROL!$C$38, 0.0256, 0)</f>
        <v>17.5641</v>
      </c>
      <c r="G94" s="14">
        <f>17.1815 * CHOOSE(CONTROL!$C$15, $E$9, 100%, $G$9) + CHOOSE(CONTROL!$C$38, 0.0347, 0)</f>
        <v>17.216200000000001</v>
      </c>
      <c r="H94" s="14">
        <f>17.1815 * CHOOSE(CONTROL!$C$15, $E$9, 100%, $G$9) + CHOOSE(CONTROL!$C$38, 0.0347, 0)</f>
        <v>17.216200000000001</v>
      </c>
      <c r="I94" s="14">
        <f>17.1831 * CHOOSE(CONTROL!$C$15, $E$9, 100%, $G$9) + CHOOSE(CONTROL!$C$38, 0.0347, 0)</f>
        <v>17.2178</v>
      </c>
      <c r="J94" s="44">
        <f>111.3104</f>
        <v>111.3104</v>
      </c>
    </row>
    <row r="95" spans="1:10" ht="15" x14ac:dyDescent="0.2">
      <c r="A95" s="13">
        <v>43800</v>
      </c>
      <c r="B95" s="14">
        <f>18.4458 * CHOOSE(CONTROL!$C$15, $E$9, 100%, $G$9) + CHOOSE(CONTROL!$C$38, 0.0256, 0)</f>
        <v>18.471399999999999</v>
      </c>
      <c r="C95" s="14">
        <f>17.9334 * CHOOSE(CONTROL!$C$15, $E$9, 100%, $G$9) + CHOOSE(CONTROL!$C$38, 0.0347, 0)</f>
        <v>17.9681</v>
      </c>
      <c r="D95" s="14">
        <f>17.9256 * CHOOSE(CONTROL!$C$15, $E$9, 100%, $G$9) + CHOOSE(CONTROL!$C$38, 0.0347, 0)</f>
        <v>17.9603</v>
      </c>
      <c r="E95" s="46">
        <f>18.2896 * CHOOSE(CONTROL!$C$15, $E$9, 100%, $G$9) + CHOOSE(CONTROL!$C$38, 0.0347, 0)</f>
        <v>18.324300000000001</v>
      </c>
      <c r="F95" s="45">
        <f>18.2896 * CHOOSE(CONTROL!$C$15, $E$9, 100%, $G$9) + CHOOSE(CONTROL!$C$38, 0.0256, 0)</f>
        <v>18.315200000000001</v>
      </c>
      <c r="G95" s="14">
        <f>17.9319 * CHOOSE(CONTROL!$C$15, $E$9, 100%, $G$9) + CHOOSE(CONTROL!$C$38, 0.0347, 0)</f>
        <v>17.9666</v>
      </c>
      <c r="H95" s="14">
        <f>17.9319 * CHOOSE(CONTROL!$C$15, $E$9, 100%, $G$9) + CHOOSE(CONTROL!$C$38, 0.0347, 0)</f>
        <v>17.9666</v>
      </c>
      <c r="I95" s="14">
        <f>17.9334 * CHOOSE(CONTROL!$C$15, $E$9, 100%, $G$9) + CHOOSE(CONTROL!$C$38, 0.0347, 0)</f>
        <v>17.9681</v>
      </c>
      <c r="J95" s="44">
        <f>108.2297</f>
        <v>108.22969999999999</v>
      </c>
    </row>
    <row r="96" spans="1:10" ht="15" x14ac:dyDescent="0.2">
      <c r="A96" s="13">
        <v>43831</v>
      </c>
      <c r="B96" s="14">
        <f>19.1972 * CHOOSE(CONTROL!$C$15, $E$9, 100%, $G$9) + CHOOSE(CONTROL!$C$38, 0.0256, 0)</f>
        <v>19.222799999999999</v>
      </c>
      <c r="C96" s="14">
        <f>18.5412 * CHOOSE(CONTROL!$C$15, $E$9, 100%, $G$9) + CHOOSE(CONTROL!$C$38, 0.0347, 0)</f>
        <v>18.575900000000001</v>
      </c>
      <c r="D96" s="14">
        <f>18.5334 * CHOOSE(CONTROL!$C$15, $E$9, 100%, $G$9) + CHOOSE(CONTROL!$C$38, 0.0347, 0)</f>
        <v>18.568100000000001</v>
      </c>
      <c r="E96" s="46">
        <f>19.041 * CHOOSE(CONTROL!$C$15, $E$9, 100%, $G$9) + CHOOSE(CONTROL!$C$38, 0.0347, 0)</f>
        <v>19.075700000000001</v>
      </c>
      <c r="F96" s="45">
        <f>19.041 * CHOOSE(CONTROL!$C$15, $E$9, 100%, $G$9) + CHOOSE(CONTROL!$C$38, 0.0256, 0)</f>
        <v>19.066600000000001</v>
      </c>
      <c r="G96" s="14">
        <f>18.5396 * CHOOSE(CONTROL!$C$15, $E$9, 100%, $G$9) + CHOOSE(CONTROL!$C$38, 0.0347, 0)</f>
        <v>18.574300000000001</v>
      </c>
      <c r="H96" s="14">
        <f>18.5396 * CHOOSE(CONTROL!$C$15, $E$9, 100%, $G$9) + CHOOSE(CONTROL!$C$38, 0.0347, 0)</f>
        <v>18.574300000000001</v>
      </c>
      <c r="I96" s="14">
        <f>18.5412 * CHOOSE(CONTROL!$C$15, $E$9, 100%, $G$9) + CHOOSE(CONTROL!$C$38, 0.0347, 0)</f>
        <v>18.575900000000001</v>
      </c>
      <c r="J96" s="44">
        <f>105.7286</f>
        <v>105.7286</v>
      </c>
    </row>
    <row r="97" spans="1:10" ht="15" x14ac:dyDescent="0.2">
      <c r="A97" s="13">
        <v>43862</v>
      </c>
      <c r="B97" s="14">
        <f>19.5017 * CHOOSE(CONTROL!$C$15, $E$9, 100%, $G$9) + CHOOSE(CONTROL!$C$38, 0.0256, 0)</f>
        <v>19.5273</v>
      </c>
      <c r="C97" s="14">
        <f>18.8446 * CHOOSE(CONTROL!$C$15, $E$9, 100%, $G$9) + CHOOSE(CONTROL!$C$38, 0.0347, 0)</f>
        <v>18.879300000000001</v>
      </c>
      <c r="D97" s="14">
        <f>18.8368 * CHOOSE(CONTROL!$C$15, $E$9, 100%, $G$9) + CHOOSE(CONTROL!$C$38, 0.0347, 0)</f>
        <v>18.871500000000001</v>
      </c>
      <c r="E97" s="46">
        <f>19.3454 * CHOOSE(CONTROL!$C$15, $E$9, 100%, $G$9) + CHOOSE(CONTROL!$C$38, 0.0347, 0)</f>
        <v>19.380100000000002</v>
      </c>
      <c r="F97" s="45">
        <f>19.3454 * CHOOSE(CONTROL!$C$15, $E$9, 100%, $G$9) + CHOOSE(CONTROL!$C$38, 0.0256, 0)</f>
        <v>19.371000000000002</v>
      </c>
      <c r="G97" s="14">
        <f>18.8431 * CHOOSE(CONTROL!$C$15, $E$9, 100%, $G$9) + CHOOSE(CONTROL!$C$38, 0.0347, 0)</f>
        <v>18.877800000000001</v>
      </c>
      <c r="H97" s="14">
        <f>18.8431 * CHOOSE(CONTROL!$C$15, $E$9, 100%, $G$9) + CHOOSE(CONTROL!$C$38, 0.0347, 0)</f>
        <v>18.877800000000001</v>
      </c>
      <c r="I97" s="14">
        <f>18.8446 * CHOOSE(CONTROL!$C$15, $E$9, 100%, $G$9) + CHOOSE(CONTROL!$C$38, 0.0347, 0)</f>
        <v>18.879300000000001</v>
      </c>
      <c r="J97" s="44">
        <f>105.6518</f>
        <v>105.65179999999999</v>
      </c>
    </row>
    <row r="98" spans="1:10" ht="15" x14ac:dyDescent="0.2">
      <c r="A98" s="13">
        <v>43891</v>
      </c>
      <c r="B98" s="14">
        <f>18.9231 * CHOOSE(CONTROL!$C$15, $E$9, 100%, $G$9) + CHOOSE(CONTROL!$C$38, 0.0256, 0)</f>
        <v>18.948700000000002</v>
      </c>
      <c r="C98" s="14">
        <f>18.265 * CHOOSE(CONTROL!$C$15, $E$9, 100%, $G$9) + CHOOSE(CONTROL!$C$38, 0.0347, 0)</f>
        <v>18.299700000000001</v>
      </c>
      <c r="D98" s="14">
        <f>18.2572 * CHOOSE(CONTROL!$C$15, $E$9, 100%, $G$9) + CHOOSE(CONTROL!$C$38, 0.0347, 0)</f>
        <v>18.291900000000002</v>
      </c>
      <c r="E98" s="46">
        <f>18.7668 * CHOOSE(CONTROL!$C$15, $E$9, 100%, $G$9) + CHOOSE(CONTROL!$C$38, 0.0347, 0)</f>
        <v>18.801500000000001</v>
      </c>
      <c r="F98" s="45">
        <f>18.7668 * CHOOSE(CONTROL!$C$15, $E$9, 100%, $G$9) + CHOOSE(CONTROL!$C$38, 0.0256, 0)</f>
        <v>18.792400000000001</v>
      </c>
      <c r="G98" s="14">
        <f>18.2634 * CHOOSE(CONTROL!$C$15, $E$9, 100%, $G$9) + CHOOSE(CONTROL!$C$38, 0.0347, 0)</f>
        <v>18.298100000000002</v>
      </c>
      <c r="H98" s="14">
        <f>18.2634 * CHOOSE(CONTROL!$C$15, $E$9, 100%, $G$9) + CHOOSE(CONTROL!$C$38, 0.0347, 0)</f>
        <v>18.298100000000002</v>
      </c>
      <c r="I98" s="14">
        <f>18.265 * CHOOSE(CONTROL!$C$15, $E$9, 100%, $G$9) + CHOOSE(CONTROL!$C$38, 0.0347, 0)</f>
        <v>18.299700000000001</v>
      </c>
      <c r="J98" s="44">
        <f>111.4494</f>
        <v>111.4494</v>
      </c>
    </row>
    <row r="99" spans="1:10" ht="15" x14ac:dyDescent="0.2">
      <c r="A99" s="13">
        <v>43922</v>
      </c>
      <c r="B99" s="14">
        <f>18.3611 * CHOOSE(CONTROL!$C$15, $E$9, 100%, $G$9) + CHOOSE(CONTROL!$C$38, 0.0256, 0)</f>
        <v>18.386700000000001</v>
      </c>
      <c r="C99" s="14">
        <f>17.702 * CHOOSE(CONTROL!$C$15, $E$9, 100%, $G$9) + CHOOSE(CONTROL!$C$38, 0.0347, 0)</f>
        <v>17.736700000000003</v>
      </c>
      <c r="D99" s="14">
        <f>17.6942 * CHOOSE(CONTROL!$C$15, $E$9, 100%, $G$9) + CHOOSE(CONTROL!$C$38, 0.0347, 0)</f>
        <v>17.728899999999999</v>
      </c>
      <c r="E99" s="46">
        <f>18.2049 * CHOOSE(CONTROL!$C$15, $E$9, 100%, $G$9) + CHOOSE(CONTROL!$C$38, 0.0347, 0)</f>
        <v>18.239599999999999</v>
      </c>
      <c r="F99" s="45">
        <f>18.2049 * CHOOSE(CONTROL!$C$15, $E$9, 100%, $G$9) + CHOOSE(CONTROL!$C$38, 0.0256, 0)</f>
        <v>18.230499999999999</v>
      </c>
      <c r="G99" s="14">
        <f>17.7005 * CHOOSE(CONTROL!$C$15, $E$9, 100%, $G$9) + CHOOSE(CONTROL!$C$38, 0.0347, 0)</f>
        <v>17.735200000000003</v>
      </c>
      <c r="H99" s="14">
        <f>17.7005 * CHOOSE(CONTROL!$C$15, $E$9, 100%, $G$9) + CHOOSE(CONTROL!$C$38, 0.0347, 0)</f>
        <v>17.735200000000003</v>
      </c>
      <c r="I99" s="14">
        <f>17.702 * CHOOSE(CONTROL!$C$15, $E$9, 100%, $G$9) + CHOOSE(CONTROL!$C$38, 0.0347, 0)</f>
        <v>17.736700000000003</v>
      </c>
      <c r="J99" s="44">
        <f>118.9297</f>
        <v>118.9297</v>
      </c>
    </row>
    <row r="100" spans="1:10" ht="15" x14ac:dyDescent="0.2">
      <c r="A100" s="13">
        <v>43952</v>
      </c>
      <c r="B100" s="14">
        <f>17.7714 * CHOOSE(CONTROL!$C$15, $E$9, 100%, $G$9) + CHOOSE(CONTROL!$C$38, 0.0278, 0)</f>
        <v>17.799199999999999</v>
      </c>
      <c r="C100" s="14">
        <f>17.1113 * CHOOSE(CONTROL!$C$15, $E$9, 100%, $G$9) + CHOOSE(CONTROL!$C$38, 0.0369, 0)</f>
        <v>17.148199999999999</v>
      </c>
      <c r="D100" s="14">
        <f>17.1035 * CHOOSE(CONTROL!$C$15, $E$9, 100%, $G$9) + CHOOSE(CONTROL!$C$38, 0.0369, 0)</f>
        <v>17.1404</v>
      </c>
      <c r="E100" s="46">
        <f>17.6152 * CHOOSE(CONTROL!$C$15, $E$9, 100%, $G$9) + CHOOSE(CONTROL!$C$38, 0.0369, 0)</f>
        <v>17.652100000000001</v>
      </c>
      <c r="F100" s="45">
        <f>17.6152 * CHOOSE(CONTROL!$C$15, $E$9, 100%, $G$9) + CHOOSE(CONTROL!$C$38, 0.0278, 0)</f>
        <v>17.643000000000001</v>
      </c>
      <c r="G100" s="14">
        <f>17.1097 * CHOOSE(CONTROL!$C$15, $E$9, 100%, $G$9) + CHOOSE(CONTROL!$C$38, 0.0369, 0)</f>
        <v>17.146599999999999</v>
      </c>
      <c r="H100" s="14">
        <f>17.1097 * CHOOSE(CONTROL!$C$15, $E$9, 100%, $G$9) + CHOOSE(CONTROL!$C$38, 0.0369, 0)</f>
        <v>17.146599999999999</v>
      </c>
      <c r="I100" s="14">
        <f>17.1113 * CHOOSE(CONTROL!$C$15, $E$9, 100%, $G$9) + CHOOSE(CONTROL!$C$38, 0.0369, 0)</f>
        <v>17.148199999999999</v>
      </c>
      <c r="J100" s="44">
        <f>123.174</f>
        <v>123.17400000000001</v>
      </c>
    </row>
    <row r="101" spans="1:10" ht="15" x14ac:dyDescent="0.2">
      <c r="A101" s="13">
        <v>43983</v>
      </c>
      <c r="B101" s="14">
        <f>17.3668 * CHOOSE(CONTROL!$C$15, $E$9, 100%, $G$9) + CHOOSE(CONTROL!$C$38, 0.0278, 0)</f>
        <v>17.394600000000001</v>
      </c>
      <c r="C101" s="14">
        <f>16.7056 * CHOOSE(CONTROL!$C$15, $E$9, 100%, $G$9) + CHOOSE(CONTROL!$C$38, 0.0369, 0)</f>
        <v>16.7425</v>
      </c>
      <c r="D101" s="14">
        <f>16.6978 * CHOOSE(CONTROL!$C$15, $E$9, 100%, $G$9) + CHOOSE(CONTROL!$C$38, 0.0369, 0)</f>
        <v>16.7347</v>
      </c>
      <c r="E101" s="46">
        <f>17.2106 * CHOOSE(CONTROL!$C$15, $E$9, 100%, $G$9) + CHOOSE(CONTROL!$C$38, 0.0369, 0)</f>
        <v>17.247499999999999</v>
      </c>
      <c r="F101" s="45">
        <f>17.2106 * CHOOSE(CONTROL!$C$15, $E$9, 100%, $G$9) + CHOOSE(CONTROL!$C$38, 0.0278, 0)</f>
        <v>17.238399999999999</v>
      </c>
      <c r="G101" s="14">
        <f>16.7041 * CHOOSE(CONTROL!$C$15, $E$9, 100%, $G$9) + CHOOSE(CONTROL!$C$38, 0.0369, 0)</f>
        <v>16.741</v>
      </c>
      <c r="H101" s="14">
        <f>16.7041 * CHOOSE(CONTROL!$C$15, $E$9, 100%, $G$9) + CHOOSE(CONTROL!$C$38, 0.0369, 0)</f>
        <v>16.741</v>
      </c>
      <c r="I101" s="14">
        <f>16.7056 * CHOOSE(CONTROL!$C$15, $E$9, 100%, $G$9) + CHOOSE(CONTROL!$C$38, 0.0369, 0)</f>
        <v>16.7425</v>
      </c>
      <c r="J101" s="44">
        <f>125.2061</f>
        <v>125.20610000000001</v>
      </c>
    </row>
    <row r="102" spans="1:10" ht="15" x14ac:dyDescent="0.2">
      <c r="A102" s="13">
        <v>44013</v>
      </c>
      <c r="B102" s="14">
        <f>17.1497 * CHOOSE(CONTROL!$C$15, $E$9, 100%, $G$9) + CHOOSE(CONTROL!$C$38, 0.0278, 0)</f>
        <v>17.177499999999998</v>
      </c>
      <c r="C102" s="14">
        <f>16.4875 * CHOOSE(CONTROL!$C$15, $E$9, 100%, $G$9) + CHOOSE(CONTROL!$C$38, 0.0369, 0)</f>
        <v>16.5244</v>
      </c>
      <c r="D102" s="14">
        <f>16.4797 * CHOOSE(CONTROL!$C$15, $E$9, 100%, $G$9) + CHOOSE(CONTROL!$C$38, 0.0369, 0)</f>
        <v>16.5166</v>
      </c>
      <c r="E102" s="46">
        <f>16.9935 * CHOOSE(CONTROL!$C$15, $E$9, 100%, $G$9) + CHOOSE(CONTROL!$C$38, 0.0369, 0)</f>
        <v>17.0304</v>
      </c>
      <c r="F102" s="45">
        <f>16.9935 * CHOOSE(CONTROL!$C$15, $E$9, 100%, $G$9) + CHOOSE(CONTROL!$C$38, 0.0278, 0)</f>
        <v>17.0213</v>
      </c>
      <c r="G102" s="14">
        <f>16.4859 * CHOOSE(CONTROL!$C$15, $E$9, 100%, $G$9) + CHOOSE(CONTROL!$C$38, 0.0369, 0)</f>
        <v>16.5228</v>
      </c>
      <c r="H102" s="14">
        <f>16.4859 * CHOOSE(CONTROL!$C$15, $E$9, 100%, $G$9) + CHOOSE(CONTROL!$C$38, 0.0369, 0)</f>
        <v>16.5228</v>
      </c>
      <c r="I102" s="14">
        <f>16.4875 * CHOOSE(CONTROL!$C$15, $E$9, 100%, $G$9) + CHOOSE(CONTROL!$C$38, 0.0369, 0)</f>
        <v>16.5244</v>
      </c>
      <c r="J102" s="44">
        <f>124.8773</f>
        <v>124.87730000000001</v>
      </c>
    </row>
    <row r="103" spans="1:10" ht="15" x14ac:dyDescent="0.2">
      <c r="A103" s="13">
        <v>44044</v>
      </c>
      <c r="B103" s="14">
        <f>17.3082 * CHOOSE(CONTROL!$C$15, $E$9, 100%, $G$9) + CHOOSE(CONTROL!$C$38, 0.0278, 0)</f>
        <v>17.335999999999999</v>
      </c>
      <c r="C103" s="14">
        <f>16.6449 * CHOOSE(CONTROL!$C$15, $E$9, 100%, $G$9) + CHOOSE(CONTROL!$C$38, 0.0369, 0)</f>
        <v>16.681799999999999</v>
      </c>
      <c r="D103" s="14">
        <f>16.6371 * CHOOSE(CONTROL!$C$15, $E$9, 100%, $G$9) + CHOOSE(CONTROL!$C$38, 0.0369, 0)</f>
        <v>16.673999999999999</v>
      </c>
      <c r="E103" s="46">
        <f>17.152 * CHOOSE(CONTROL!$C$15, $E$9, 100%, $G$9) + CHOOSE(CONTROL!$C$38, 0.0369, 0)</f>
        <v>17.1889</v>
      </c>
      <c r="F103" s="45">
        <f>17.152 * CHOOSE(CONTROL!$C$15, $E$9, 100%, $G$9) + CHOOSE(CONTROL!$C$38, 0.0278, 0)</f>
        <v>17.1798</v>
      </c>
      <c r="G103" s="14">
        <f>16.6434 * CHOOSE(CONTROL!$C$15, $E$9, 100%, $G$9) + CHOOSE(CONTROL!$C$38, 0.0369, 0)</f>
        <v>16.680299999999999</v>
      </c>
      <c r="H103" s="14">
        <f>16.6434 * CHOOSE(CONTROL!$C$15, $E$9, 100%, $G$9) + CHOOSE(CONTROL!$C$38, 0.0369, 0)</f>
        <v>16.680299999999999</v>
      </c>
      <c r="I103" s="14">
        <f>16.6449 * CHOOSE(CONTROL!$C$15, $E$9, 100%, $G$9) + CHOOSE(CONTROL!$C$38, 0.0369, 0)</f>
        <v>16.681799999999999</v>
      </c>
      <c r="J103" s="44">
        <f>122.2214</f>
        <v>122.2214</v>
      </c>
    </row>
    <row r="104" spans="1:10" ht="15" x14ac:dyDescent="0.2">
      <c r="A104" s="13">
        <v>44075</v>
      </c>
      <c r="B104" s="14">
        <f>17.6812 * CHOOSE(CONTROL!$C$15, $E$9, 100%, $G$9) + CHOOSE(CONTROL!$C$38, 0.0278, 0)</f>
        <v>17.709</v>
      </c>
      <c r="C104" s="14">
        <f>17.0169 * CHOOSE(CONTROL!$C$15, $E$9, 100%, $G$9) + CHOOSE(CONTROL!$C$38, 0.0369, 0)</f>
        <v>17.053799999999999</v>
      </c>
      <c r="D104" s="14">
        <f>17.0091 * CHOOSE(CONTROL!$C$15, $E$9, 100%, $G$9) + CHOOSE(CONTROL!$C$38, 0.0369, 0)</f>
        <v>17.045999999999999</v>
      </c>
      <c r="E104" s="46">
        <f>17.525 * CHOOSE(CONTROL!$C$15, $E$9, 100%, $G$9) + CHOOSE(CONTROL!$C$38, 0.0369, 0)</f>
        <v>17.561899999999998</v>
      </c>
      <c r="F104" s="45">
        <f>17.525 * CHOOSE(CONTROL!$C$15, $E$9, 100%, $G$9) + CHOOSE(CONTROL!$C$38, 0.0278, 0)</f>
        <v>17.552799999999998</v>
      </c>
      <c r="G104" s="14">
        <f>17.0154 * CHOOSE(CONTROL!$C$15, $E$9, 100%, $G$9) + CHOOSE(CONTROL!$C$38, 0.0369, 0)</f>
        <v>17.052299999999999</v>
      </c>
      <c r="H104" s="14">
        <f>17.0154 * CHOOSE(CONTROL!$C$15, $E$9, 100%, $G$9) + CHOOSE(CONTROL!$C$38, 0.0369, 0)</f>
        <v>17.052299999999999</v>
      </c>
      <c r="I104" s="14">
        <f>17.0169 * CHOOSE(CONTROL!$C$15, $E$9, 100%, $G$9) + CHOOSE(CONTROL!$C$38, 0.0369, 0)</f>
        <v>17.053799999999999</v>
      </c>
      <c r="J104" s="44">
        <f>118.4024</f>
        <v>118.4024</v>
      </c>
    </row>
    <row r="105" spans="1:10" ht="15" x14ac:dyDescent="0.2">
      <c r="A105" s="13">
        <v>44105</v>
      </c>
      <c r="B105" s="14">
        <f>18.0006 * CHOOSE(CONTROL!$C$15, $E$9, 100%, $G$9) + CHOOSE(CONTROL!$C$38, 0.0256, 0)</f>
        <v>18.026199999999999</v>
      </c>
      <c r="C105" s="14">
        <f>17.3352 * CHOOSE(CONTROL!$C$15, $E$9, 100%, $G$9) + CHOOSE(CONTROL!$C$38, 0.0347, 0)</f>
        <v>17.369900000000001</v>
      </c>
      <c r="D105" s="14">
        <f>17.3274 * CHOOSE(CONTROL!$C$15, $E$9, 100%, $G$9) + CHOOSE(CONTROL!$C$38, 0.0347, 0)</f>
        <v>17.362100000000002</v>
      </c>
      <c r="E105" s="46">
        <f>17.8443 * CHOOSE(CONTROL!$C$15, $E$9, 100%, $G$9) + CHOOSE(CONTROL!$C$38, 0.0347, 0)</f>
        <v>17.879000000000001</v>
      </c>
      <c r="F105" s="45">
        <f>17.8443 * CHOOSE(CONTROL!$C$15, $E$9, 100%, $G$9) + CHOOSE(CONTROL!$C$38, 0.0256, 0)</f>
        <v>17.869900000000001</v>
      </c>
      <c r="G105" s="14">
        <f>17.3337 * CHOOSE(CONTROL!$C$15, $E$9, 100%, $G$9) + CHOOSE(CONTROL!$C$38, 0.0347, 0)</f>
        <v>17.368400000000001</v>
      </c>
      <c r="H105" s="14">
        <f>17.3337 * CHOOSE(CONTROL!$C$15, $E$9, 100%, $G$9) + CHOOSE(CONTROL!$C$38, 0.0347, 0)</f>
        <v>17.368400000000001</v>
      </c>
      <c r="I105" s="14">
        <f>17.3352 * CHOOSE(CONTROL!$C$15, $E$9, 100%, $G$9) + CHOOSE(CONTROL!$C$38, 0.0347, 0)</f>
        <v>17.369900000000001</v>
      </c>
      <c r="J105" s="44">
        <f>114.5434</f>
        <v>114.54340000000001</v>
      </c>
    </row>
    <row r="106" spans="1:10" ht="15" x14ac:dyDescent="0.2">
      <c r="A106" s="13">
        <v>44136</v>
      </c>
      <c r="B106" s="14">
        <f>18.274 * CHOOSE(CONTROL!$C$15, $E$9, 100%, $G$9) + CHOOSE(CONTROL!$C$38, 0.0256, 0)</f>
        <v>18.299600000000002</v>
      </c>
      <c r="C106" s="14">
        <f>17.6076 * CHOOSE(CONTROL!$C$15, $E$9, 100%, $G$9) + CHOOSE(CONTROL!$C$38, 0.0347, 0)</f>
        <v>17.642300000000002</v>
      </c>
      <c r="D106" s="14">
        <f>17.5998 * CHOOSE(CONTROL!$C$15, $E$9, 100%, $G$9) + CHOOSE(CONTROL!$C$38, 0.0347, 0)</f>
        <v>17.634499999999999</v>
      </c>
      <c r="E106" s="46">
        <f>18.1178 * CHOOSE(CONTROL!$C$15, $E$9, 100%, $G$9) + CHOOSE(CONTROL!$C$38, 0.0347, 0)</f>
        <v>18.1525</v>
      </c>
      <c r="F106" s="45">
        <f>18.1178 * CHOOSE(CONTROL!$C$15, $E$9, 100%, $G$9) + CHOOSE(CONTROL!$C$38, 0.0256, 0)</f>
        <v>18.1434</v>
      </c>
      <c r="G106" s="14">
        <f>17.6061 * CHOOSE(CONTROL!$C$15, $E$9, 100%, $G$9) + CHOOSE(CONTROL!$C$38, 0.0347, 0)</f>
        <v>17.640800000000002</v>
      </c>
      <c r="H106" s="14">
        <f>17.6061 * CHOOSE(CONTROL!$C$15, $E$9, 100%, $G$9) + CHOOSE(CONTROL!$C$38, 0.0347, 0)</f>
        <v>17.640800000000002</v>
      </c>
      <c r="I106" s="14">
        <f>17.6076 * CHOOSE(CONTROL!$C$15, $E$9, 100%, $G$9) + CHOOSE(CONTROL!$C$38, 0.0347, 0)</f>
        <v>17.642300000000002</v>
      </c>
      <c r="J106" s="44">
        <f>113.9615</f>
        <v>113.9615</v>
      </c>
    </row>
    <row r="107" spans="1:10" ht="15" x14ac:dyDescent="0.2">
      <c r="A107" s="13">
        <v>44166</v>
      </c>
      <c r="B107" s="14">
        <f>19.0442 * CHOOSE(CONTROL!$C$15, $E$9, 100%, $G$9) + CHOOSE(CONTROL!$C$38, 0.0256, 0)</f>
        <v>19.069800000000001</v>
      </c>
      <c r="C107" s="14">
        <f>18.3767 * CHOOSE(CONTROL!$C$15, $E$9, 100%, $G$9) + CHOOSE(CONTROL!$C$38, 0.0347, 0)</f>
        <v>18.4114</v>
      </c>
      <c r="D107" s="14">
        <f>18.3689 * CHOOSE(CONTROL!$C$15, $E$9, 100%, $G$9) + CHOOSE(CONTROL!$C$38, 0.0347, 0)</f>
        <v>18.403600000000001</v>
      </c>
      <c r="E107" s="46">
        <f>18.8879 * CHOOSE(CONTROL!$C$15, $E$9, 100%, $G$9) + CHOOSE(CONTROL!$C$38, 0.0347, 0)</f>
        <v>18.922599999999999</v>
      </c>
      <c r="F107" s="45">
        <f>18.8879 * CHOOSE(CONTROL!$C$15, $E$9, 100%, $G$9) + CHOOSE(CONTROL!$C$38, 0.0256, 0)</f>
        <v>18.913499999999999</v>
      </c>
      <c r="G107" s="14">
        <f>18.3751 * CHOOSE(CONTROL!$C$15, $E$9, 100%, $G$9) + CHOOSE(CONTROL!$C$38, 0.0347, 0)</f>
        <v>18.409800000000001</v>
      </c>
      <c r="H107" s="14">
        <f>18.3751 * CHOOSE(CONTROL!$C$15, $E$9, 100%, $G$9) + CHOOSE(CONTROL!$C$38, 0.0347, 0)</f>
        <v>18.409800000000001</v>
      </c>
      <c r="I107" s="14">
        <f>18.3767 * CHOOSE(CONTROL!$C$15, $E$9, 100%, $G$9) + CHOOSE(CONTROL!$C$38, 0.0347, 0)</f>
        <v>18.4114</v>
      </c>
      <c r="J107" s="44">
        <f>110.8074</f>
        <v>110.8074</v>
      </c>
    </row>
    <row r="108" spans="1:10" ht="15" x14ac:dyDescent="0.2">
      <c r="A108" s="13">
        <v>44197</v>
      </c>
      <c r="B108" s="14">
        <f>20.2028 * CHOOSE(CONTROL!$C$15, $E$9, 100%, $G$9) + CHOOSE(CONTROL!$C$38, 0.0256, 0)</f>
        <v>20.228400000000001</v>
      </c>
      <c r="C108" s="14">
        <f>19.3291 * CHOOSE(CONTROL!$C$15, $E$9, 100%, $G$9) + CHOOSE(CONTROL!$C$38, 0.0347, 0)</f>
        <v>19.363800000000001</v>
      </c>
      <c r="D108" s="14">
        <f>19.3213 * CHOOSE(CONTROL!$C$15, $E$9, 100%, $G$9) + CHOOSE(CONTROL!$C$38, 0.0347, 0)</f>
        <v>19.356000000000002</v>
      </c>
      <c r="E108" s="46">
        <f>20.0466 * CHOOSE(CONTROL!$C$15, $E$9, 100%, $G$9) + CHOOSE(CONTROL!$C$38, 0.0347, 0)</f>
        <v>20.081300000000002</v>
      </c>
      <c r="F108" s="45">
        <f>20.0466 * CHOOSE(CONTROL!$C$15, $E$9, 100%, $G$9) + CHOOSE(CONTROL!$C$38, 0.0256, 0)</f>
        <v>20.072200000000002</v>
      </c>
      <c r="G108" s="14">
        <f>19.3275 * CHOOSE(CONTROL!$C$15, $E$9, 100%, $G$9) + CHOOSE(CONTROL!$C$38, 0.0347, 0)</f>
        <v>19.362200000000001</v>
      </c>
      <c r="H108" s="14">
        <f>19.3275 * CHOOSE(CONTROL!$C$15, $E$9, 100%, $G$9) + CHOOSE(CONTROL!$C$38, 0.0347, 0)</f>
        <v>19.362200000000001</v>
      </c>
      <c r="I108" s="14">
        <f>19.3291 * CHOOSE(CONTROL!$C$15, $E$9, 100%, $G$9) + CHOOSE(CONTROL!$C$38, 0.0347, 0)</f>
        <v>19.363800000000001</v>
      </c>
      <c r="J108" s="44">
        <f>110.9959</f>
        <v>110.99590000000001</v>
      </c>
    </row>
    <row r="109" spans="1:10" ht="15" x14ac:dyDescent="0.2">
      <c r="A109" s="13">
        <v>44228</v>
      </c>
      <c r="B109" s="14">
        <f>20.516 * CHOOSE(CONTROL!$C$15, $E$9, 100%, $G$9) + CHOOSE(CONTROL!$C$38, 0.0256, 0)</f>
        <v>20.541599999999999</v>
      </c>
      <c r="C109" s="14">
        <f>19.6408 * CHOOSE(CONTROL!$C$15, $E$9, 100%, $G$9) + CHOOSE(CONTROL!$C$38, 0.0347, 0)</f>
        <v>19.6755</v>
      </c>
      <c r="D109" s="14">
        <f>19.633 * CHOOSE(CONTROL!$C$15, $E$9, 100%, $G$9) + CHOOSE(CONTROL!$C$38, 0.0347, 0)</f>
        <v>19.6677</v>
      </c>
      <c r="E109" s="46">
        <f>20.3598 * CHOOSE(CONTROL!$C$15, $E$9, 100%, $G$9) + CHOOSE(CONTROL!$C$38, 0.0347, 0)</f>
        <v>20.394500000000001</v>
      </c>
      <c r="F109" s="45">
        <f>20.3598 * CHOOSE(CONTROL!$C$15, $E$9, 100%, $G$9) + CHOOSE(CONTROL!$C$38, 0.0256, 0)</f>
        <v>20.385400000000001</v>
      </c>
      <c r="G109" s="14">
        <f>19.6393 * CHOOSE(CONTROL!$C$15, $E$9, 100%, $G$9) + CHOOSE(CONTROL!$C$38, 0.0347, 0)</f>
        <v>19.673999999999999</v>
      </c>
      <c r="H109" s="14">
        <f>19.6393 * CHOOSE(CONTROL!$C$15, $E$9, 100%, $G$9) + CHOOSE(CONTROL!$C$38, 0.0347, 0)</f>
        <v>19.673999999999999</v>
      </c>
      <c r="I109" s="14">
        <f>19.6408 * CHOOSE(CONTROL!$C$15, $E$9, 100%, $G$9) + CHOOSE(CONTROL!$C$38, 0.0347, 0)</f>
        <v>19.6755</v>
      </c>
      <c r="J109" s="44">
        <f>110.9153</f>
        <v>110.9153</v>
      </c>
    </row>
    <row r="110" spans="1:10" ht="15" x14ac:dyDescent="0.2">
      <c r="A110" s="13">
        <v>44256</v>
      </c>
      <c r="B110" s="14">
        <f>19.924 * CHOOSE(CONTROL!$C$15, $E$9, 100%, $G$9) + CHOOSE(CONTROL!$C$38, 0.0256, 0)</f>
        <v>19.9496</v>
      </c>
      <c r="C110" s="14">
        <f>19.0474 * CHOOSE(CONTROL!$C$15, $E$9, 100%, $G$9) + CHOOSE(CONTROL!$C$38, 0.0347, 0)</f>
        <v>19.082100000000001</v>
      </c>
      <c r="D110" s="14">
        <f>19.0395 * CHOOSE(CONTROL!$C$15, $E$9, 100%, $G$9) + CHOOSE(CONTROL!$C$38, 0.0347, 0)</f>
        <v>19.074200000000001</v>
      </c>
      <c r="E110" s="46">
        <f>19.7678 * CHOOSE(CONTROL!$C$15, $E$9, 100%, $G$9) + CHOOSE(CONTROL!$C$38, 0.0347, 0)</f>
        <v>19.802500000000002</v>
      </c>
      <c r="F110" s="45">
        <f>19.7678 * CHOOSE(CONTROL!$C$15, $E$9, 100%, $G$9) + CHOOSE(CONTROL!$C$38, 0.0256, 0)</f>
        <v>19.793400000000002</v>
      </c>
      <c r="G110" s="14">
        <f>19.0458 * CHOOSE(CONTROL!$C$15, $E$9, 100%, $G$9) + CHOOSE(CONTROL!$C$38, 0.0347, 0)</f>
        <v>19.080500000000001</v>
      </c>
      <c r="H110" s="14">
        <f>19.0458 * CHOOSE(CONTROL!$C$15, $E$9, 100%, $G$9) + CHOOSE(CONTROL!$C$38, 0.0347, 0)</f>
        <v>19.080500000000001</v>
      </c>
      <c r="I110" s="14">
        <f>19.0474 * CHOOSE(CONTROL!$C$15, $E$9, 100%, $G$9) + CHOOSE(CONTROL!$C$38, 0.0347, 0)</f>
        <v>19.082100000000001</v>
      </c>
      <c r="J110" s="44">
        <f>117.0017</f>
        <v>117.0017</v>
      </c>
    </row>
    <row r="111" spans="1:10" ht="15" x14ac:dyDescent="0.2">
      <c r="A111" s="13">
        <v>44287</v>
      </c>
      <c r="B111" s="14">
        <f>19.3492 * CHOOSE(CONTROL!$C$15, $E$9, 100%, $G$9) + CHOOSE(CONTROL!$C$38, 0.0256, 0)</f>
        <v>19.3748</v>
      </c>
      <c r="C111" s="14">
        <f>18.471 * CHOOSE(CONTROL!$C$15, $E$9, 100%, $G$9) + CHOOSE(CONTROL!$C$38, 0.0347, 0)</f>
        <v>18.505700000000001</v>
      </c>
      <c r="D111" s="14">
        <f>18.4632 * CHOOSE(CONTROL!$C$15, $E$9, 100%, $G$9) + CHOOSE(CONTROL!$C$38, 0.0347, 0)</f>
        <v>18.497900000000001</v>
      </c>
      <c r="E111" s="46">
        <f>19.193 * CHOOSE(CONTROL!$C$15, $E$9, 100%, $G$9) + CHOOSE(CONTROL!$C$38, 0.0347, 0)</f>
        <v>19.227700000000002</v>
      </c>
      <c r="F111" s="45">
        <f>19.193 * CHOOSE(CONTROL!$C$15, $E$9, 100%, $G$9) + CHOOSE(CONTROL!$C$38, 0.0256, 0)</f>
        <v>19.218600000000002</v>
      </c>
      <c r="G111" s="14">
        <f>18.4695 * CHOOSE(CONTROL!$C$15, $E$9, 100%, $G$9) + CHOOSE(CONTROL!$C$38, 0.0347, 0)</f>
        <v>18.504200000000001</v>
      </c>
      <c r="H111" s="14">
        <f>18.4695 * CHOOSE(CONTROL!$C$15, $E$9, 100%, $G$9) + CHOOSE(CONTROL!$C$38, 0.0347, 0)</f>
        <v>18.504200000000001</v>
      </c>
      <c r="I111" s="14">
        <f>18.471 * CHOOSE(CONTROL!$C$15, $E$9, 100%, $G$9) + CHOOSE(CONTROL!$C$38, 0.0347, 0)</f>
        <v>18.505700000000001</v>
      </c>
      <c r="J111" s="44">
        <f>124.8547</f>
        <v>124.85469999999999</v>
      </c>
    </row>
    <row r="112" spans="1:10" ht="15" x14ac:dyDescent="0.2">
      <c r="A112" s="13">
        <v>44317</v>
      </c>
      <c r="B112" s="14">
        <f>18.7459 * CHOOSE(CONTROL!$C$15, $E$9, 100%, $G$9) + CHOOSE(CONTROL!$C$38, 0.0278, 0)</f>
        <v>18.773699999999998</v>
      </c>
      <c r="C112" s="14">
        <f>17.8662 * CHOOSE(CONTROL!$C$15, $E$9, 100%, $G$9) + CHOOSE(CONTROL!$C$38, 0.0369, 0)</f>
        <v>17.903099999999998</v>
      </c>
      <c r="D112" s="14">
        <f>17.8584 * CHOOSE(CONTROL!$C$15, $E$9, 100%, $G$9) + CHOOSE(CONTROL!$C$38, 0.0369, 0)</f>
        <v>17.895299999999999</v>
      </c>
      <c r="E112" s="46">
        <f>18.5896 * CHOOSE(CONTROL!$C$15, $E$9, 100%, $G$9) + CHOOSE(CONTROL!$C$38, 0.0369, 0)</f>
        <v>18.6265</v>
      </c>
      <c r="F112" s="45">
        <f>18.5896 * CHOOSE(CONTROL!$C$15, $E$9, 100%, $G$9) + CHOOSE(CONTROL!$C$38, 0.0278, 0)</f>
        <v>18.6174</v>
      </c>
      <c r="G112" s="14">
        <f>17.8647 * CHOOSE(CONTROL!$C$15, $E$9, 100%, $G$9) + CHOOSE(CONTROL!$C$38, 0.0369, 0)</f>
        <v>17.901599999999998</v>
      </c>
      <c r="H112" s="14">
        <f>17.8647 * CHOOSE(CONTROL!$C$15, $E$9, 100%, $G$9) + CHOOSE(CONTROL!$C$38, 0.0369, 0)</f>
        <v>17.901599999999998</v>
      </c>
      <c r="I112" s="14">
        <f>17.8662 * CHOOSE(CONTROL!$C$15, $E$9, 100%, $G$9) + CHOOSE(CONTROL!$C$38, 0.0369, 0)</f>
        <v>17.903099999999998</v>
      </c>
      <c r="J112" s="44">
        <f>129.3104</f>
        <v>129.31039999999999</v>
      </c>
    </row>
    <row r="113" spans="1:10" ht="15" x14ac:dyDescent="0.2">
      <c r="A113" s="13">
        <v>44348</v>
      </c>
      <c r="B113" s="14">
        <f>18.3323 * CHOOSE(CONTROL!$C$15, $E$9, 100%, $G$9) + CHOOSE(CONTROL!$C$38, 0.0278, 0)</f>
        <v>18.360099999999999</v>
      </c>
      <c r="C113" s="14">
        <f>17.4511 * CHOOSE(CONTROL!$C$15, $E$9, 100%, $G$9) + CHOOSE(CONTROL!$C$38, 0.0369, 0)</f>
        <v>17.488</v>
      </c>
      <c r="D113" s="14">
        <f>17.4433 * CHOOSE(CONTROL!$C$15, $E$9, 100%, $G$9) + CHOOSE(CONTROL!$C$38, 0.0369, 0)</f>
        <v>17.4802</v>
      </c>
      <c r="E113" s="46">
        <f>18.176 * CHOOSE(CONTROL!$C$15, $E$9, 100%, $G$9) + CHOOSE(CONTROL!$C$38, 0.0369, 0)</f>
        <v>18.212899999999998</v>
      </c>
      <c r="F113" s="45">
        <f>18.176 * CHOOSE(CONTROL!$C$15, $E$9, 100%, $G$9) + CHOOSE(CONTROL!$C$38, 0.0278, 0)</f>
        <v>18.203799999999998</v>
      </c>
      <c r="G113" s="14">
        <f>17.4496 * CHOOSE(CONTROL!$C$15, $E$9, 100%, $G$9) + CHOOSE(CONTROL!$C$38, 0.0369, 0)</f>
        <v>17.486499999999999</v>
      </c>
      <c r="H113" s="14">
        <f>17.4496 * CHOOSE(CONTROL!$C$15, $E$9, 100%, $G$9) + CHOOSE(CONTROL!$C$38, 0.0369, 0)</f>
        <v>17.486499999999999</v>
      </c>
      <c r="I113" s="14">
        <f>17.4511 * CHOOSE(CONTROL!$C$15, $E$9, 100%, $G$9) + CHOOSE(CONTROL!$C$38, 0.0369, 0)</f>
        <v>17.488</v>
      </c>
      <c r="J113" s="44">
        <f>131.4438</f>
        <v>131.44380000000001</v>
      </c>
    </row>
    <row r="114" spans="1:10" ht="15" x14ac:dyDescent="0.2">
      <c r="A114" s="13">
        <v>44378</v>
      </c>
      <c r="B114" s="14">
        <f>18.1109 * CHOOSE(CONTROL!$C$15, $E$9, 100%, $G$9) + CHOOSE(CONTROL!$C$38, 0.0278, 0)</f>
        <v>18.1387</v>
      </c>
      <c r="C114" s="14">
        <f>17.2282 * CHOOSE(CONTROL!$C$15, $E$9, 100%, $G$9) + CHOOSE(CONTROL!$C$38, 0.0369, 0)</f>
        <v>17.2651</v>
      </c>
      <c r="D114" s="14">
        <f>17.2204 * CHOOSE(CONTROL!$C$15, $E$9, 100%, $G$9) + CHOOSE(CONTROL!$C$38, 0.0369, 0)</f>
        <v>17.257300000000001</v>
      </c>
      <c r="E114" s="46">
        <f>17.9546 * CHOOSE(CONTROL!$C$15, $E$9, 100%, $G$9) + CHOOSE(CONTROL!$C$38, 0.0369, 0)</f>
        <v>17.991499999999998</v>
      </c>
      <c r="F114" s="45">
        <f>17.9546 * CHOOSE(CONTROL!$C$15, $E$9, 100%, $G$9) + CHOOSE(CONTROL!$C$38, 0.0278, 0)</f>
        <v>17.982399999999998</v>
      </c>
      <c r="G114" s="14">
        <f>17.2267 * CHOOSE(CONTROL!$C$15, $E$9, 100%, $G$9) + CHOOSE(CONTROL!$C$38, 0.0369, 0)</f>
        <v>17.2636</v>
      </c>
      <c r="H114" s="14">
        <f>17.2267 * CHOOSE(CONTROL!$C$15, $E$9, 100%, $G$9) + CHOOSE(CONTROL!$C$38, 0.0369, 0)</f>
        <v>17.2636</v>
      </c>
      <c r="I114" s="14">
        <f>17.2282 * CHOOSE(CONTROL!$C$15, $E$9, 100%, $G$9) + CHOOSE(CONTROL!$C$38, 0.0369, 0)</f>
        <v>17.2651</v>
      </c>
      <c r="J114" s="44">
        <f>131.0985</f>
        <v>131.0985</v>
      </c>
    </row>
    <row r="115" spans="1:10" ht="15" x14ac:dyDescent="0.2">
      <c r="A115" s="13">
        <v>44409</v>
      </c>
      <c r="B115" s="14">
        <f>18.2744 * CHOOSE(CONTROL!$C$15, $E$9, 100%, $G$9) + CHOOSE(CONTROL!$C$38, 0.0278, 0)</f>
        <v>18.302199999999999</v>
      </c>
      <c r="C115" s="14">
        <f>17.3903 * CHOOSE(CONTROL!$C$15, $E$9, 100%, $G$9) + CHOOSE(CONTROL!$C$38, 0.0369, 0)</f>
        <v>17.427199999999999</v>
      </c>
      <c r="D115" s="14">
        <f>17.3825 * CHOOSE(CONTROL!$C$15, $E$9, 100%, $G$9) + CHOOSE(CONTROL!$C$38, 0.0369, 0)</f>
        <v>17.4194</v>
      </c>
      <c r="E115" s="46">
        <f>18.1182 * CHOOSE(CONTROL!$C$15, $E$9, 100%, $G$9) + CHOOSE(CONTROL!$C$38, 0.0369, 0)</f>
        <v>18.155100000000001</v>
      </c>
      <c r="F115" s="45">
        <f>18.1182 * CHOOSE(CONTROL!$C$15, $E$9, 100%, $G$9) + CHOOSE(CONTROL!$C$38, 0.0278, 0)</f>
        <v>18.146000000000001</v>
      </c>
      <c r="G115" s="14">
        <f>17.3888 * CHOOSE(CONTROL!$C$15, $E$9, 100%, $G$9) + CHOOSE(CONTROL!$C$38, 0.0369, 0)</f>
        <v>17.425699999999999</v>
      </c>
      <c r="H115" s="14">
        <f>17.3888 * CHOOSE(CONTROL!$C$15, $E$9, 100%, $G$9) + CHOOSE(CONTROL!$C$38, 0.0369, 0)</f>
        <v>17.425699999999999</v>
      </c>
      <c r="I115" s="14">
        <f>17.3903 * CHOOSE(CONTROL!$C$15, $E$9, 100%, $G$9) + CHOOSE(CONTROL!$C$38, 0.0369, 0)</f>
        <v>17.427199999999999</v>
      </c>
      <c r="J115" s="44">
        <f>128.3104</f>
        <v>128.31039999999999</v>
      </c>
    </row>
    <row r="116" spans="1:10" ht="15" x14ac:dyDescent="0.2">
      <c r="A116" s="13">
        <v>44440</v>
      </c>
      <c r="B116" s="14">
        <f>18.6579 * CHOOSE(CONTROL!$C$15, $E$9, 100%, $G$9) + CHOOSE(CONTROL!$C$38, 0.0278, 0)</f>
        <v>18.685700000000001</v>
      </c>
      <c r="C116" s="14">
        <f>17.7723 * CHOOSE(CONTROL!$C$15, $E$9, 100%, $G$9) + CHOOSE(CONTROL!$C$38, 0.0369, 0)</f>
        <v>17.809200000000001</v>
      </c>
      <c r="D116" s="14">
        <f>17.7645 * CHOOSE(CONTROL!$C$15, $E$9, 100%, $G$9) + CHOOSE(CONTROL!$C$38, 0.0369, 0)</f>
        <v>17.801400000000001</v>
      </c>
      <c r="E116" s="46">
        <f>18.5017 * CHOOSE(CONTROL!$C$15, $E$9, 100%, $G$9) + CHOOSE(CONTROL!$C$38, 0.0369, 0)</f>
        <v>18.538599999999999</v>
      </c>
      <c r="F116" s="45">
        <f>18.5017 * CHOOSE(CONTROL!$C$15, $E$9, 100%, $G$9) + CHOOSE(CONTROL!$C$38, 0.0278, 0)</f>
        <v>18.529499999999999</v>
      </c>
      <c r="G116" s="14">
        <f>17.7707 * CHOOSE(CONTROL!$C$15, $E$9, 100%, $G$9) + CHOOSE(CONTROL!$C$38, 0.0369, 0)</f>
        <v>17.807600000000001</v>
      </c>
      <c r="H116" s="14">
        <f>17.7707 * CHOOSE(CONTROL!$C$15, $E$9, 100%, $G$9) + CHOOSE(CONTROL!$C$38, 0.0369, 0)</f>
        <v>17.807600000000001</v>
      </c>
      <c r="I116" s="14">
        <f>17.7723 * CHOOSE(CONTROL!$C$15, $E$9, 100%, $G$9) + CHOOSE(CONTROL!$C$38, 0.0369, 0)</f>
        <v>17.809200000000001</v>
      </c>
      <c r="J116" s="44">
        <f>124.3011</f>
        <v>124.30110000000001</v>
      </c>
    </row>
    <row r="117" spans="1:10" ht="15" x14ac:dyDescent="0.2">
      <c r="A117" s="13">
        <v>44470</v>
      </c>
      <c r="B117" s="14">
        <f>18.9864 * CHOOSE(CONTROL!$C$15, $E$9, 100%, $G$9) + CHOOSE(CONTROL!$C$38, 0.0256, 0)</f>
        <v>19.012</v>
      </c>
      <c r="C117" s="14">
        <f>18.0993 * CHOOSE(CONTROL!$C$15, $E$9, 100%, $G$9) + CHOOSE(CONTROL!$C$38, 0.0347, 0)</f>
        <v>18.134</v>
      </c>
      <c r="D117" s="14">
        <f>18.0915 * CHOOSE(CONTROL!$C$15, $E$9, 100%, $G$9) + CHOOSE(CONTROL!$C$38, 0.0347, 0)</f>
        <v>18.126200000000001</v>
      </c>
      <c r="E117" s="46">
        <f>18.8301 * CHOOSE(CONTROL!$C$15, $E$9, 100%, $G$9) + CHOOSE(CONTROL!$C$38, 0.0347, 0)</f>
        <v>18.864800000000002</v>
      </c>
      <c r="F117" s="45">
        <f>18.8301 * CHOOSE(CONTROL!$C$15, $E$9, 100%, $G$9) + CHOOSE(CONTROL!$C$38, 0.0256, 0)</f>
        <v>18.855700000000002</v>
      </c>
      <c r="G117" s="14">
        <f>18.0977 * CHOOSE(CONTROL!$C$15, $E$9, 100%, $G$9) + CHOOSE(CONTROL!$C$38, 0.0347, 0)</f>
        <v>18.132400000000001</v>
      </c>
      <c r="H117" s="14">
        <f>18.0977 * CHOOSE(CONTROL!$C$15, $E$9, 100%, $G$9) + CHOOSE(CONTROL!$C$38, 0.0347, 0)</f>
        <v>18.132400000000001</v>
      </c>
      <c r="I117" s="14">
        <f>18.0993 * CHOOSE(CONTROL!$C$15, $E$9, 100%, $G$9) + CHOOSE(CONTROL!$C$38, 0.0347, 0)</f>
        <v>18.134</v>
      </c>
      <c r="J117" s="44">
        <f>120.2498</f>
        <v>120.24979999999999</v>
      </c>
    </row>
    <row r="118" spans="1:10" ht="15" x14ac:dyDescent="0.2">
      <c r="A118" s="13">
        <v>44501</v>
      </c>
      <c r="B118" s="14">
        <f>19.2678 * CHOOSE(CONTROL!$C$15, $E$9, 100%, $G$9) + CHOOSE(CONTROL!$C$38, 0.0256, 0)</f>
        <v>19.293400000000002</v>
      </c>
      <c r="C118" s="14">
        <f>18.3792 * CHOOSE(CONTROL!$C$15, $E$9, 100%, $G$9) + CHOOSE(CONTROL!$C$38, 0.0347, 0)</f>
        <v>18.413900000000002</v>
      </c>
      <c r="D118" s="14">
        <f>18.3714 * CHOOSE(CONTROL!$C$15, $E$9, 100%, $G$9) + CHOOSE(CONTROL!$C$38, 0.0347, 0)</f>
        <v>18.406100000000002</v>
      </c>
      <c r="E118" s="46">
        <f>19.1116 * CHOOSE(CONTROL!$C$15, $E$9, 100%, $G$9) + CHOOSE(CONTROL!$C$38, 0.0347, 0)</f>
        <v>19.1463</v>
      </c>
      <c r="F118" s="45">
        <f>19.1116 * CHOOSE(CONTROL!$C$15, $E$9, 100%, $G$9) + CHOOSE(CONTROL!$C$38, 0.0256, 0)</f>
        <v>19.1372</v>
      </c>
      <c r="G118" s="14">
        <f>18.3776 * CHOOSE(CONTROL!$C$15, $E$9, 100%, $G$9) + CHOOSE(CONTROL!$C$38, 0.0347, 0)</f>
        <v>18.412300000000002</v>
      </c>
      <c r="H118" s="14">
        <f>18.3776 * CHOOSE(CONTROL!$C$15, $E$9, 100%, $G$9) + CHOOSE(CONTROL!$C$38, 0.0347, 0)</f>
        <v>18.412300000000002</v>
      </c>
      <c r="I118" s="14">
        <f>18.3792 * CHOOSE(CONTROL!$C$15, $E$9, 100%, $G$9) + CHOOSE(CONTROL!$C$38, 0.0347, 0)</f>
        <v>18.413900000000002</v>
      </c>
      <c r="J118" s="44">
        <f>119.6389</f>
        <v>119.63890000000001</v>
      </c>
    </row>
    <row r="119" spans="1:10" ht="15" x14ac:dyDescent="0.2">
      <c r="A119" s="13">
        <v>44531</v>
      </c>
      <c r="B119" s="14">
        <f>20.0583 * CHOOSE(CONTROL!$C$15, $E$9, 100%, $G$9) + CHOOSE(CONTROL!$C$38, 0.0256, 0)</f>
        <v>20.0839</v>
      </c>
      <c r="C119" s="14">
        <f>19.1682 * CHOOSE(CONTROL!$C$15, $E$9, 100%, $G$9) + CHOOSE(CONTROL!$C$38, 0.0347, 0)</f>
        <v>19.2029</v>
      </c>
      <c r="D119" s="14">
        <f>19.1604 * CHOOSE(CONTROL!$C$15, $E$9, 100%, $G$9) + CHOOSE(CONTROL!$C$38, 0.0347, 0)</f>
        <v>19.1951</v>
      </c>
      <c r="E119" s="46">
        <f>19.9021 * CHOOSE(CONTROL!$C$15, $E$9, 100%, $G$9) + CHOOSE(CONTROL!$C$38, 0.0347, 0)</f>
        <v>19.936800000000002</v>
      </c>
      <c r="F119" s="45">
        <f>19.9021 * CHOOSE(CONTROL!$C$15, $E$9, 100%, $G$9) + CHOOSE(CONTROL!$C$38, 0.0256, 0)</f>
        <v>19.927700000000002</v>
      </c>
      <c r="G119" s="14">
        <f>19.1666 * CHOOSE(CONTROL!$C$15, $E$9, 100%, $G$9) + CHOOSE(CONTROL!$C$38, 0.0347, 0)</f>
        <v>19.2013</v>
      </c>
      <c r="H119" s="14">
        <f>19.1666 * CHOOSE(CONTROL!$C$15, $E$9, 100%, $G$9) + CHOOSE(CONTROL!$C$38, 0.0347, 0)</f>
        <v>19.2013</v>
      </c>
      <c r="I119" s="14">
        <f>19.1682 * CHOOSE(CONTROL!$C$15, $E$9, 100%, $G$9) + CHOOSE(CONTROL!$C$38, 0.0347, 0)</f>
        <v>19.2029</v>
      </c>
      <c r="J119" s="44">
        <f>116.3278</f>
        <v>116.3278</v>
      </c>
    </row>
    <row r="120" spans="1:10" ht="15" x14ac:dyDescent="0.2">
      <c r="A120" s="13">
        <v>44562</v>
      </c>
      <c r="B120" s="14">
        <f>21.138 * CHOOSE(CONTROL!$C$15, $E$9, 100%, $G$9) + CHOOSE(CONTROL!$C$38, 0.0256, 0)</f>
        <v>21.163600000000002</v>
      </c>
      <c r="C120" s="14">
        <f>20.1806 * CHOOSE(CONTROL!$C$15, $E$9, 100%, $G$9) + CHOOSE(CONTROL!$C$38, 0.0347, 0)</f>
        <v>20.215299999999999</v>
      </c>
      <c r="D120" s="14">
        <f>20.1728 * CHOOSE(CONTROL!$C$15, $E$9, 100%, $G$9) + CHOOSE(CONTROL!$C$38, 0.0347, 0)</f>
        <v>20.2075</v>
      </c>
      <c r="E120" s="46">
        <f>20.9817 * CHOOSE(CONTROL!$C$15, $E$9, 100%, $G$9) + CHOOSE(CONTROL!$C$38, 0.0347, 0)</f>
        <v>21.016400000000001</v>
      </c>
      <c r="F120" s="45">
        <f>20.9817 * CHOOSE(CONTROL!$C$15, $E$9, 100%, $G$9) + CHOOSE(CONTROL!$C$38, 0.0256, 0)</f>
        <v>21.007300000000001</v>
      </c>
      <c r="G120" s="14">
        <f>20.1791 * CHOOSE(CONTROL!$C$15, $E$9, 100%, $G$9) + CHOOSE(CONTROL!$C$38, 0.0347, 0)</f>
        <v>20.213799999999999</v>
      </c>
      <c r="H120" s="14">
        <f>20.1791 * CHOOSE(CONTROL!$C$15, $E$9, 100%, $G$9) + CHOOSE(CONTROL!$C$38, 0.0347, 0)</f>
        <v>20.213799999999999</v>
      </c>
      <c r="I120" s="14">
        <f>20.1806 * CHOOSE(CONTROL!$C$15, $E$9, 100%, $G$9) + CHOOSE(CONTROL!$C$38, 0.0347, 0)</f>
        <v>20.215299999999999</v>
      </c>
      <c r="J120" s="44">
        <f>116.6657</f>
        <v>116.6657</v>
      </c>
    </row>
    <row r="121" spans="1:10" ht="15" x14ac:dyDescent="0.2">
      <c r="A121" s="13">
        <v>44593</v>
      </c>
      <c r="B121" s="14">
        <f>21.46 * CHOOSE(CONTROL!$C$15, $E$9, 100%, $G$9) + CHOOSE(CONTROL!$C$38, 0.0256, 0)</f>
        <v>21.485600000000002</v>
      </c>
      <c r="C121" s="14">
        <f>20.501 * CHOOSE(CONTROL!$C$15, $E$9, 100%, $G$9) + CHOOSE(CONTROL!$C$38, 0.0347, 0)</f>
        <v>20.535700000000002</v>
      </c>
      <c r="D121" s="14">
        <f>20.4931 * CHOOSE(CONTROL!$C$15, $E$9, 100%, $G$9) + CHOOSE(CONTROL!$C$38, 0.0347, 0)</f>
        <v>20.527799999999999</v>
      </c>
      <c r="E121" s="46">
        <f>21.3037 * CHOOSE(CONTROL!$C$15, $E$9, 100%, $G$9) + CHOOSE(CONTROL!$C$38, 0.0347, 0)</f>
        <v>21.3384</v>
      </c>
      <c r="F121" s="45">
        <f>21.3037 * CHOOSE(CONTROL!$C$15, $E$9, 100%, $G$9) + CHOOSE(CONTROL!$C$38, 0.0256, 0)</f>
        <v>21.3293</v>
      </c>
      <c r="G121" s="14">
        <f>20.4994 * CHOOSE(CONTROL!$C$15, $E$9, 100%, $G$9) + CHOOSE(CONTROL!$C$38, 0.0347, 0)</f>
        <v>20.534100000000002</v>
      </c>
      <c r="H121" s="14">
        <f>20.4994 * CHOOSE(CONTROL!$C$15, $E$9, 100%, $G$9) + CHOOSE(CONTROL!$C$38, 0.0347, 0)</f>
        <v>20.534100000000002</v>
      </c>
      <c r="I121" s="14">
        <f>20.501 * CHOOSE(CONTROL!$C$15, $E$9, 100%, $G$9) + CHOOSE(CONTROL!$C$38, 0.0347, 0)</f>
        <v>20.535700000000002</v>
      </c>
      <c r="J121" s="44">
        <f>116.5811</f>
        <v>116.58110000000001</v>
      </c>
    </row>
    <row r="122" spans="1:10" ht="15" x14ac:dyDescent="0.2">
      <c r="A122" s="13">
        <v>44621</v>
      </c>
      <c r="B122" s="14">
        <f>20.8541 * CHOOSE(CONTROL!$C$15, $E$9, 100%, $G$9) + CHOOSE(CONTROL!$C$38, 0.0256, 0)</f>
        <v>20.8797</v>
      </c>
      <c r="C122" s="14">
        <f>19.8934 * CHOOSE(CONTROL!$C$15, $E$9, 100%, $G$9) + CHOOSE(CONTROL!$C$38, 0.0347, 0)</f>
        <v>19.928100000000001</v>
      </c>
      <c r="D122" s="14">
        <f>19.8856 * CHOOSE(CONTROL!$C$15, $E$9, 100%, $G$9) + CHOOSE(CONTROL!$C$38, 0.0347, 0)</f>
        <v>19.920300000000001</v>
      </c>
      <c r="E122" s="46">
        <f>20.6978 * CHOOSE(CONTROL!$C$15, $E$9, 100%, $G$9) + CHOOSE(CONTROL!$C$38, 0.0347, 0)</f>
        <v>20.732500000000002</v>
      </c>
      <c r="F122" s="45">
        <f>20.6978 * CHOOSE(CONTROL!$C$15, $E$9, 100%, $G$9) + CHOOSE(CONTROL!$C$38, 0.0256, 0)</f>
        <v>20.723400000000002</v>
      </c>
      <c r="G122" s="14">
        <f>19.8919 * CHOOSE(CONTROL!$C$15, $E$9, 100%, $G$9) + CHOOSE(CONTROL!$C$38, 0.0347, 0)</f>
        <v>19.926600000000001</v>
      </c>
      <c r="H122" s="14">
        <f>19.8919 * CHOOSE(CONTROL!$C$15, $E$9, 100%, $G$9) + CHOOSE(CONTROL!$C$38, 0.0347, 0)</f>
        <v>19.926600000000001</v>
      </c>
      <c r="I122" s="14">
        <f>19.8934 * CHOOSE(CONTROL!$C$15, $E$9, 100%, $G$9) + CHOOSE(CONTROL!$C$38, 0.0347, 0)</f>
        <v>19.928100000000001</v>
      </c>
      <c r="J122" s="44">
        <f>122.9784</f>
        <v>122.97839999999999</v>
      </c>
    </row>
    <row r="123" spans="1:10" ht="15" x14ac:dyDescent="0.2">
      <c r="A123" s="13">
        <v>44652</v>
      </c>
      <c r="B123" s="14">
        <f>20.2658 * CHOOSE(CONTROL!$C$15, $E$9, 100%, $G$9) + CHOOSE(CONTROL!$C$38, 0.0256, 0)</f>
        <v>20.291399999999999</v>
      </c>
      <c r="C123" s="14">
        <f>19.3035 * CHOOSE(CONTROL!$C$15, $E$9, 100%, $G$9) + CHOOSE(CONTROL!$C$38, 0.0347, 0)</f>
        <v>19.338200000000001</v>
      </c>
      <c r="D123" s="14">
        <f>19.2957 * CHOOSE(CONTROL!$C$15, $E$9, 100%, $G$9) + CHOOSE(CONTROL!$C$38, 0.0347, 0)</f>
        <v>19.330400000000001</v>
      </c>
      <c r="E123" s="46">
        <f>20.1096 * CHOOSE(CONTROL!$C$15, $E$9, 100%, $G$9) + CHOOSE(CONTROL!$C$38, 0.0347, 0)</f>
        <v>20.144300000000001</v>
      </c>
      <c r="F123" s="45">
        <f>20.1096 * CHOOSE(CONTROL!$C$15, $E$9, 100%, $G$9) + CHOOSE(CONTROL!$C$38, 0.0256, 0)</f>
        <v>20.135200000000001</v>
      </c>
      <c r="G123" s="14">
        <f>19.3019 * CHOOSE(CONTROL!$C$15, $E$9, 100%, $G$9) + CHOOSE(CONTROL!$C$38, 0.0347, 0)</f>
        <v>19.336600000000001</v>
      </c>
      <c r="H123" s="14">
        <f>19.3019 * CHOOSE(CONTROL!$C$15, $E$9, 100%, $G$9) + CHOOSE(CONTROL!$C$38, 0.0347, 0)</f>
        <v>19.336600000000001</v>
      </c>
      <c r="I123" s="14">
        <f>19.3035 * CHOOSE(CONTROL!$C$15, $E$9, 100%, $G$9) + CHOOSE(CONTROL!$C$38, 0.0347, 0)</f>
        <v>19.338200000000001</v>
      </c>
      <c r="J123" s="44">
        <f>131.2325</f>
        <v>131.23249999999999</v>
      </c>
    </row>
    <row r="124" spans="1:10" ht="15" x14ac:dyDescent="0.2">
      <c r="A124" s="13">
        <v>44682</v>
      </c>
      <c r="B124" s="14">
        <f>19.6483 * CHOOSE(CONTROL!$C$15, $E$9, 100%, $G$9) + CHOOSE(CONTROL!$C$38, 0.0278, 0)</f>
        <v>19.676099999999998</v>
      </c>
      <c r="C124" s="14">
        <f>18.6844 * CHOOSE(CONTROL!$C$15, $E$9, 100%, $G$9) + CHOOSE(CONTROL!$C$38, 0.0369, 0)</f>
        <v>18.721299999999999</v>
      </c>
      <c r="D124" s="14">
        <f>18.6765 * CHOOSE(CONTROL!$C$15, $E$9, 100%, $G$9) + CHOOSE(CONTROL!$C$38, 0.0369, 0)</f>
        <v>18.7134</v>
      </c>
      <c r="E124" s="46">
        <f>19.4921 * CHOOSE(CONTROL!$C$15, $E$9, 100%, $G$9) + CHOOSE(CONTROL!$C$38, 0.0369, 0)</f>
        <v>19.529</v>
      </c>
      <c r="F124" s="45">
        <f>19.4921 * CHOOSE(CONTROL!$C$15, $E$9, 100%, $G$9) + CHOOSE(CONTROL!$C$38, 0.0278, 0)</f>
        <v>19.5199</v>
      </c>
      <c r="G124" s="14">
        <f>18.6828 * CHOOSE(CONTROL!$C$15, $E$9, 100%, $G$9) + CHOOSE(CONTROL!$C$38, 0.0369, 0)</f>
        <v>18.7197</v>
      </c>
      <c r="H124" s="14">
        <f>18.6828 * CHOOSE(CONTROL!$C$15, $E$9, 100%, $G$9) + CHOOSE(CONTROL!$C$38, 0.0369, 0)</f>
        <v>18.7197</v>
      </c>
      <c r="I124" s="14">
        <f>18.6844 * CHOOSE(CONTROL!$C$15, $E$9, 100%, $G$9) + CHOOSE(CONTROL!$C$38, 0.0369, 0)</f>
        <v>18.721299999999999</v>
      </c>
      <c r="J124" s="44">
        <f>135.9158</f>
        <v>135.91579999999999</v>
      </c>
    </row>
    <row r="125" spans="1:10" ht="15" x14ac:dyDescent="0.2">
      <c r="A125" s="13">
        <v>44713</v>
      </c>
      <c r="B125" s="14">
        <f>19.2253 * CHOOSE(CONTROL!$C$15, $E$9, 100%, $G$9) + CHOOSE(CONTROL!$C$38, 0.0278, 0)</f>
        <v>19.2531</v>
      </c>
      <c r="C125" s="14">
        <f>18.2597 * CHOOSE(CONTROL!$C$15, $E$9, 100%, $G$9) + CHOOSE(CONTROL!$C$38, 0.0369, 0)</f>
        <v>18.296599999999998</v>
      </c>
      <c r="D125" s="14">
        <f>18.2518 * CHOOSE(CONTROL!$C$15, $E$9, 100%, $G$9) + CHOOSE(CONTROL!$C$38, 0.0369, 0)</f>
        <v>18.288699999999999</v>
      </c>
      <c r="E125" s="46">
        <f>19.069 * CHOOSE(CONTROL!$C$15, $E$9, 100%, $G$9) + CHOOSE(CONTROL!$C$38, 0.0369, 0)</f>
        <v>19.105899999999998</v>
      </c>
      <c r="F125" s="45">
        <f>19.069 * CHOOSE(CONTROL!$C$15, $E$9, 100%, $G$9) + CHOOSE(CONTROL!$C$38, 0.0278, 0)</f>
        <v>19.096799999999998</v>
      </c>
      <c r="G125" s="14">
        <f>18.2581 * CHOOSE(CONTROL!$C$15, $E$9, 100%, $G$9) + CHOOSE(CONTROL!$C$38, 0.0369, 0)</f>
        <v>18.294999999999998</v>
      </c>
      <c r="H125" s="14">
        <f>18.2581 * CHOOSE(CONTROL!$C$15, $E$9, 100%, $G$9) + CHOOSE(CONTROL!$C$38, 0.0369, 0)</f>
        <v>18.294999999999998</v>
      </c>
      <c r="I125" s="14">
        <f>18.2597 * CHOOSE(CONTROL!$C$15, $E$9, 100%, $G$9) + CHOOSE(CONTROL!$C$38, 0.0369, 0)</f>
        <v>18.296599999999998</v>
      </c>
      <c r="J125" s="44">
        <f>138.1582</f>
        <v>138.15819999999999</v>
      </c>
    </row>
    <row r="126" spans="1:10" ht="15" x14ac:dyDescent="0.2">
      <c r="A126" s="13">
        <v>44743</v>
      </c>
      <c r="B126" s="14">
        <f>18.9993 * CHOOSE(CONTROL!$C$15, $E$9, 100%, $G$9) + CHOOSE(CONTROL!$C$38, 0.0278, 0)</f>
        <v>19.027100000000001</v>
      </c>
      <c r="C126" s="14">
        <f>18.032 * CHOOSE(CONTROL!$C$15, $E$9, 100%, $G$9) + CHOOSE(CONTROL!$C$38, 0.0369, 0)</f>
        <v>18.068899999999999</v>
      </c>
      <c r="D126" s="14">
        <f>18.0242 * CHOOSE(CONTROL!$C$15, $E$9, 100%, $G$9) + CHOOSE(CONTROL!$C$38, 0.0369, 0)</f>
        <v>18.0611</v>
      </c>
      <c r="E126" s="46">
        <f>18.843 * CHOOSE(CONTROL!$C$15, $E$9, 100%, $G$9) + CHOOSE(CONTROL!$C$38, 0.0369, 0)</f>
        <v>18.879899999999999</v>
      </c>
      <c r="F126" s="45">
        <f>18.843 * CHOOSE(CONTROL!$C$15, $E$9, 100%, $G$9) + CHOOSE(CONTROL!$C$38, 0.0278, 0)</f>
        <v>18.870799999999999</v>
      </c>
      <c r="G126" s="14">
        <f>18.0304 * CHOOSE(CONTROL!$C$15, $E$9, 100%, $G$9) + CHOOSE(CONTROL!$C$38, 0.0369, 0)</f>
        <v>18.067299999999999</v>
      </c>
      <c r="H126" s="14">
        <f>18.0304 * CHOOSE(CONTROL!$C$15, $E$9, 100%, $G$9) + CHOOSE(CONTROL!$C$38, 0.0369, 0)</f>
        <v>18.067299999999999</v>
      </c>
      <c r="I126" s="14">
        <f>18.032 * CHOOSE(CONTROL!$C$15, $E$9, 100%, $G$9) + CHOOSE(CONTROL!$C$38, 0.0369, 0)</f>
        <v>18.068899999999999</v>
      </c>
      <c r="J126" s="44">
        <f>137.7953</f>
        <v>137.7953</v>
      </c>
    </row>
    <row r="127" spans="1:10" ht="15" x14ac:dyDescent="0.2">
      <c r="A127" s="13">
        <v>44774</v>
      </c>
      <c r="B127" s="14">
        <f>19.1679 * CHOOSE(CONTROL!$C$15, $E$9, 100%, $G$9) + CHOOSE(CONTROL!$C$38, 0.0278, 0)</f>
        <v>19.195699999999999</v>
      </c>
      <c r="C127" s="14">
        <f>18.1989 * CHOOSE(CONTROL!$C$15, $E$9, 100%, $G$9) + CHOOSE(CONTROL!$C$38, 0.0369, 0)</f>
        <v>18.235799999999998</v>
      </c>
      <c r="D127" s="14">
        <f>18.1911 * CHOOSE(CONTROL!$C$15, $E$9, 100%, $G$9) + CHOOSE(CONTROL!$C$38, 0.0369, 0)</f>
        <v>18.227999999999998</v>
      </c>
      <c r="E127" s="46">
        <f>19.0116 * CHOOSE(CONTROL!$C$15, $E$9, 100%, $G$9) + CHOOSE(CONTROL!$C$38, 0.0369, 0)</f>
        <v>19.048500000000001</v>
      </c>
      <c r="F127" s="45">
        <f>19.0116 * CHOOSE(CONTROL!$C$15, $E$9, 100%, $G$9) + CHOOSE(CONTROL!$C$38, 0.0278, 0)</f>
        <v>19.039400000000001</v>
      </c>
      <c r="G127" s="14">
        <f>18.1974 * CHOOSE(CONTROL!$C$15, $E$9, 100%, $G$9) + CHOOSE(CONTROL!$C$38, 0.0369, 0)</f>
        <v>18.234299999999998</v>
      </c>
      <c r="H127" s="14">
        <f>18.1974 * CHOOSE(CONTROL!$C$15, $E$9, 100%, $G$9) + CHOOSE(CONTROL!$C$38, 0.0369, 0)</f>
        <v>18.234299999999998</v>
      </c>
      <c r="I127" s="14">
        <f>18.1989 * CHOOSE(CONTROL!$C$15, $E$9, 100%, $G$9) + CHOOSE(CONTROL!$C$38, 0.0369, 0)</f>
        <v>18.235799999999998</v>
      </c>
      <c r="J127" s="44">
        <f>134.8647</f>
        <v>134.8647</v>
      </c>
    </row>
    <row r="128" spans="1:10" ht="15" x14ac:dyDescent="0.2">
      <c r="A128" s="13">
        <v>44805</v>
      </c>
      <c r="B128" s="14">
        <f>19.5619 * CHOOSE(CONTROL!$C$15, $E$9, 100%, $G$9) + CHOOSE(CONTROL!$C$38, 0.0278, 0)</f>
        <v>19.589700000000001</v>
      </c>
      <c r="C128" s="14">
        <f>18.5912 * CHOOSE(CONTROL!$C$15, $E$9, 100%, $G$9) + CHOOSE(CONTROL!$C$38, 0.0369, 0)</f>
        <v>18.6281</v>
      </c>
      <c r="D128" s="14">
        <f>18.5834 * CHOOSE(CONTROL!$C$15, $E$9, 100%, $G$9) + CHOOSE(CONTROL!$C$38, 0.0369, 0)</f>
        <v>18.6203</v>
      </c>
      <c r="E128" s="46">
        <f>19.4056 * CHOOSE(CONTROL!$C$15, $E$9, 100%, $G$9) + CHOOSE(CONTROL!$C$38, 0.0369, 0)</f>
        <v>19.442499999999999</v>
      </c>
      <c r="F128" s="45">
        <f>19.4056 * CHOOSE(CONTROL!$C$15, $E$9, 100%, $G$9) + CHOOSE(CONTROL!$C$38, 0.0278, 0)</f>
        <v>19.433399999999999</v>
      </c>
      <c r="G128" s="14">
        <f>18.5897 * CHOOSE(CONTROL!$C$15, $E$9, 100%, $G$9) + CHOOSE(CONTROL!$C$38, 0.0369, 0)</f>
        <v>18.6266</v>
      </c>
      <c r="H128" s="14">
        <f>18.5897 * CHOOSE(CONTROL!$C$15, $E$9, 100%, $G$9) + CHOOSE(CONTROL!$C$38, 0.0369, 0)</f>
        <v>18.6266</v>
      </c>
      <c r="I128" s="14">
        <f>18.5912 * CHOOSE(CONTROL!$C$15, $E$9, 100%, $G$9) + CHOOSE(CONTROL!$C$38, 0.0369, 0)</f>
        <v>18.6281</v>
      </c>
      <c r="J128" s="44">
        <f>130.6506</f>
        <v>130.6506</v>
      </c>
    </row>
    <row r="129" spans="1:10" ht="15" x14ac:dyDescent="0.2">
      <c r="A129" s="13">
        <v>44835</v>
      </c>
      <c r="B129" s="14">
        <f>19.8995 * CHOOSE(CONTROL!$C$15, $E$9, 100%, $G$9) + CHOOSE(CONTROL!$C$38, 0.0256, 0)</f>
        <v>19.9251</v>
      </c>
      <c r="C129" s="14">
        <f>18.9272 * CHOOSE(CONTROL!$C$15, $E$9, 100%, $G$9) + CHOOSE(CONTROL!$C$38, 0.0347, 0)</f>
        <v>18.9619</v>
      </c>
      <c r="D129" s="14">
        <f>18.9194 * CHOOSE(CONTROL!$C$15, $E$9, 100%, $G$9) + CHOOSE(CONTROL!$C$38, 0.0347, 0)</f>
        <v>18.9541</v>
      </c>
      <c r="E129" s="46">
        <f>19.7432 * CHOOSE(CONTROL!$C$15, $E$9, 100%, $G$9) + CHOOSE(CONTROL!$C$38, 0.0347, 0)</f>
        <v>19.777900000000002</v>
      </c>
      <c r="F129" s="45">
        <f>19.7432 * CHOOSE(CONTROL!$C$15, $E$9, 100%, $G$9) + CHOOSE(CONTROL!$C$38, 0.0256, 0)</f>
        <v>19.768800000000002</v>
      </c>
      <c r="G129" s="14">
        <f>18.9256 * CHOOSE(CONTROL!$C$15, $E$9, 100%, $G$9) + CHOOSE(CONTROL!$C$38, 0.0347, 0)</f>
        <v>18.9603</v>
      </c>
      <c r="H129" s="14">
        <f>18.9256 * CHOOSE(CONTROL!$C$15, $E$9, 100%, $G$9) + CHOOSE(CONTROL!$C$38, 0.0347, 0)</f>
        <v>18.9603</v>
      </c>
      <c r="I129" s="14">
        <f>18.9272 * CHOOSE(CONTROL!$C$15, $E$9, 100%, $G$9) + CHOOSE(CONTROL!$C$38, 0.0347, 0)</f>
        <v>18.9619</v>
      </c>
      <c r="J129" s="44">
        <f>126.3924</f>
        <v>126.39239999999999</v>
      </c>
    </row>
    <row r="130" spans="1:10" ht="15" x14ac:dyDescent="0.2">
      <c r="A130" s="13">
        <v>44866</v>
      </c>
      <c r="B130" s="14">
        <f>20.1889 * CHOOSE(CONTROL!$C$15, $E$9, 100%, $G$9) + CHOOSE(CONTROL!$C$38, 0.0256, 0)</f>
        <v>20.214500000000001</v>
      </c>
      <c r="C130" s="14">
        <f>19.2149 * CHOOSE(CONTROL!$C$15, $E$9, 100%, $G$9) + CHOOSE(CONTROL!$C$38, 0.0347, 0)</f>
        <v>19.249600000000001</v>
      </c>
      <c r="D130" s="14">
        <f>19.2071 * CHOOSE(CONTROL!$C$15, $E$9, 100%, $G$9) + CHOOSE(CONTROL!$C$38, 0.0347, 0)</f>
        <v>19.241800000000001</v>
      </c>
      <c r="E130" s="46">
        <f>20.0326 * CHOOSE(CONTROL!$C$15, $E$9, 100%, $G$9) + CHOOSE(CONTROL!$C$38, 0.0347, 0)</f>
        <v>20.067299999999999</v>
      </c>
      <c r="F130" s="45">
        <f>20.0326 * CHOOSE(CONTROL!$C$15, $E$9, 100%, $G$9) + CHOOSE(CONTROL!$C$38, 0.0256, 0)</f>
        <v>20.058199999999999</v>
      </c>
      <c r="G130" s="14">
        <f>19.2133 * CHOOSE(CONTROL!$C$15, $E$9, 100%, $G$9) + CHOOSE(CONTROL!$C$38, 0.0347, 0)</f>
        <v>19.248000000000001</v>
      </c>
      <c r="H130" s="14">
        <f>19.2133 * CHOOSE(CONTROL!$C$15, $E$9, 100%, $G$9) + CHOOSE(CONTROL!$C$38, 0.0347, 0)</f>
        <v>19.248000000000001</v>
      </c>
      <c r="I130" s="14">
        <f>19.2149 * CHOOSE(CONTROL!$C$15, $E$9, 100%, $G$9) + CHOOSE(CONTROL!$C$38, 0.0347, 0)</f>
        <v>19.249600000000001</v>
      </c>
      <c r="J130" s="44">
        <f>125.7503</f>
        <v>125.7503</v>
      </c>
    </row>
    <row r="131" spans="1:10" ht="15" x14ac:dyDescent="0.2">
      <c r="A131" s="13">
        <v>44896</v>
      </c>
      <c r="B131" s="14">
        <f>21.0001 * CHOOSE(CONTROL!$C$15, $E$9, 100%, $G$9) + CHOOSE(CONTROL!$C$38, 0.0256, 0)</f>
        <v>21.025700000000001</v>
      </c>
      <c r="C131" s="14">
        <f>20.0244 * CHOOSE(CONTROL!$C$15, $E$9, 100%, $G$9) + CHOOSE(CONTROL!$C$38, 0.0347, 0)</f>
        <v>20.059100000000001</v>
      </c>
      <c r="D131" s="14">
        <f>20.0166 * CHOOSE(CONTROL!$C$15, $E$9, 100%, $G$9) + CHOOSE(CONTROL!$C$38, 0.0347, 0)</f>
        <v>20.051300000000001</v>
      </c>
      <c r="E131" s="46">
        <f>20.8439 * CHOOSE(CONTROL!$C$15, $E$9, 100%, $G$9) + CHOOSE(CONTROL!$C$38, 0.0347, 0)</f>
        <v>20.878600000000002</v>
      </c>
      <c r="F131" s="45">
        <f>20.8439 * CHOOSE(CONTROL!$C$15, $E$9, 100%, $G$9) + CHOOSE(CONTROL!$C$38, 0.0256, 0)</f>
        <v>20.869500000000002</v>
      </c>
      <c r="G131" s="14">
        <f>20.0229 * CHOOSE(CONTROL!$C$15, $E$9, 100%, $G$9) + CHOOSE(CONTROL!$C$38, 0.0347, 0)</f>
        <v>20.057600000000001</v>
      </c>
      <c r="H131" s="14">
        <f>20.0229 * CHOOSE(CONTROL!$C$15, $E$9, 100%, $G$9) + CHOOSE(CONTROL!$C$38, 0.0347, 0)</f>
        <v>20.057600000000001</v>
      </c>
      <c r="I131" s="14">
        <f>20.0244 * CHOOSE(CONTROL!$C$15, $E$9, 100%, $G$9) + CHOOSE(CONTROL!$C$38, 0.0347, 0)</f>
        <v>20.059100000000001</v>
      </c>
      <c r="J131" s="44">
        <f>122.27</f>
        <v>122.27</v>
      </c>
    </row>
    <row r="132" spans="1:10" ht="15" x14ac:dyDescent="0.2">
      <c r="A132" s="13">
        <v>44927</v>
      </c>
      <c r="B132" s="14">
        <f>22.2512 * CHOOSE(CONTROL!$C$15, $E$9, 100%, $G$9) + CHOOSE(CONTROL!$C$38, 0.0256, 0)</f>
        <v>22.276800000000001</v>
      </c>
      <c r="C132" s="14">
        <f>21.1289 * CHOOSE(CONTROL!$C$15, $E$9, 100%, $G$9) + CHOOSE(CONTROL!$C$38, 0.0347, 0)</f>
        <v>21.163600000000002</v>
      </c>
      <c r="D132" s="14">
        <f>21.1211 * CHOOSE(CONTROL!$C$15, $E$9, 100%, $G$9) + CHOOSE(CONTROL!$C$38, 0.0347, 0)</f>
        <v>21.155799999999999</v>
      </c>
      <c r="E132" s="46">
        <f>22.0949 * CHOOSE(CONTROL!$C$15, $E$9, 100%, $G$9) + CHOOSE(CONTROL!$C$38, 0.0347, 0)</f>
        <v>22.1296</v>
      </c>
      <c r="F132" s="45">
        <f>22.0949 * CHOOSE(CONTROL!$C$15, $E$9, 100%, $G$9) + CHOOSE(CONTROL!$C$38, 0.0256, 0)</f>
        <v>22.1205</v>
      </c>
      <c r="G132" s="14">
        <f>21.1273 * CHOOSE(CONTROL!$C$15, $E$9, 100%, $G$9) + CHOOSE(CONTROL!$C$38, 0.0347, 0)</f>
        <v>21.162000000000003</v>
      </c>
      <c r="H132" s="14">
        <f>21.1273 * CHOOSE(CONTROL!$C$15, $E$9, 100%, $G$9) + CHOOSE(CONTROL!$C$38, 0.0347, 0)</f>
        <v>21.162000000000003</v>
      </c>
      <c r="I132" s="14">
        <f>21.1289 * CHOOSE(CONTROL!$C$15, $E$9, 100%, $G$9) + CHOOSE(CONTROL!$C$38, 0.0347, 0)</f>
        <v>21.163600000000002</v>
      </c>
      <c r="J132" s="44">
        <f>122.6189</f>
        <v>122.6189</v>
      </c>
    </row>
    <row r="133" spans="1:10" ht="15" x14ac:dyDescent="0.2">
      <c r="A133" s="13">
        <v>44958</v>
      </c>
      <c r="B133" s="14">
        <f>22.5824 * CHOOSE(CONTROL!$C$15, $E$9, 100%, $G$9) + CHOOSE(CONTROL!$C$38, 0.0256, 0)</f>
        <v>22.608000000000001</v>
      </c>
      <c r="C133" s="14">
        <f>21.4582 * CHOOSE(CONTROL!$C$15, $E$9, 100%, $G$9) + CHOOSE(CONTROL!$C$38, 0.0347, 0)</f>
        <v>21.492900000000002</v>
      </c>
      <c r="D133" s="14">
        <f>21.4504 * CHOOSE(CONTROL!$C$15, $E$9, 100%, $G$9) + CHOOSE(CONTROL!$C$38, 0.0347, 0)</f>
        <v>21.485099999999999</v>
      </c>
      <c r="E133" s="46">
        <f>22.4262 * CHOOSE(CONTROL!$C$15, $E$9, 100%, $G$9) + CHOOSE(CONTROL!$C$38, 0.0347, 0)</f>
        <v>22.460900000000002</v>
      </c>
      <c r="F133" s="45">
        <f>22.4262 * CHOOSE(CONTROL!$C$15, $E$9, 100%, $G$9) + CHOOSE(CONTROL!$C$38, 0.0256, 0)</f>
        <v>22.451800000000002</v>
      </c>
      <c r="G133" s="14">
        <f>21.4566 * CHOOSE(CONTROL!$C$15, $E$9, 100%, $G$9) + CHOOSE(CONTROL!$C$38, 0.0347, 0)</f>
        <v>21.491300000000003</v>
      </c>
      <c r="H133" s="14">
        <f>21.4566 * CHOOSE(CONTROL!$C$15, $E$9, 100%, $G$9) + CHOOSE(CONTROL!$C$38, 0.0347, 0)</f>
        <v>21.491300000000003</v>
      </c>
      <c r="I133" s="14">
        <f>21.4582 * CHOOSE(CONTROL!$C$15, $E$9, 100%, $G$9) + CHOOSE(CONTROL!$C$38, 0.0347, 0)</f>
        <v>21.492900000000002</v>
      </c>
      <c r="J133" s="44">
        <f>122.53</f>
        <v>122.53</v>
      </c>
    </row>
    <row r="134" spans="1:10" ht="15" x14ac:dyDescent="0.2">
      <c r="A134" s="13">
        <v>44986</v>
      </c>
      <c r="B134" s="14">
        <f>21.9627 * CHOOSE(CONTROL!$C$15, $E$9, 100%, $G$9) + CHOOSE(CONTROL!$C$38, 0.0256, 0)</f>
        <v>21.988300000000002</v>
      </c>
      <c r="C134" s="14">
        <f>20.8364 * CHOOSE(CONTROL!$C$15, $E$9, 100%, $G$9) + CHOOSE(CONTROL!$C$38, 0.0347, 0)</f>
        <v>20.871100000000002</v>
      </c>
      <c r="D134" s="14">
        <f>20.8286 * CHOOSE(CONTROL!$C$15, $E$9, 100%, $G$9) + CHOOSE(CONTROL!$C$38, 0.0347, 0)</f>
        <v>20.863300000000002</v>
      </c>
      <c r="E134" s="46">
        <f>21.8064 * CHOOSE(CONTROL!$C$15, $E$9, 100%, $G$9) + CHOOSE(CONTROL!$C$38, 0.0347, 0)</f>
        <v>21.841100000000001</v>
      </c>
      <c r="F134" s="45">
        <f>21.8064 * CHOOSE(CONTROL!$C$15, $E$9, 100%, $G$9) + CHOOSE(CONTROL!$C$38, 0.0256, 0)</f>
        <v>21.832000000000001</v>
      </c>
      <c r="G134" s="14">
        <f>20.8348 * CHOOSE(CONTROL!$C$15, $E$9, 100%, $G$9) + CHOOSE(CONTROL!$C$38, 0.0347, 0)</f>
        <v>20.869500000000002</v>
      </c>
      <c r="H134" s="14">
        <f>20.8348 * CHOOSE(CONTROL!$C$15, $E$9, 100%, $G$9) + CHOOSE(CONTROL!$C$38, 0.0347, 0)</f>
        <v>20.869500000000002</v>
      </c>
      <c r="I134" s="14">
        <f>20.8364 * CHOOSE(CONTROL!$C$15, $E$9, 100%, $G$9) + CHOOSE(CONTROL!$C$38, 0.0347, 0)</f>
        <v>20.871100000000002</v>
      </c>
      <c r="J134" s="44">
        <f>129.2537</f>
        <v>129.25370000000001</v>
      </c>
    </row>
    <row r="135" spans="1:10" ht="15" x14ac:dyDescent="0.2">
      <c r="A135" s="13">
        <v>45017</v>
      </c>
      <c r="B135" s="14">
        <f>21.3609 * CHOOSE(CONTROL!$C$15, $E$9, 100%, $G$9) + CHOOSE(CONTROL!$C$38, 0.0256, 0)</f>
        <v>21.386500000000002</v>
      </c>
      <c r="C135" s="14">
        <f>20.2327 * CHOOSE(CONTROL!$C$15, $E$9, 100%, $G$9) + CHOOSE(CONTROL!$C$38, 0.0347, 0)</f>
        <v>20.267400000000002</v>
      </c>
      <c r="D135" s="14">
        <f>20.2248 * CHOOSE(CONTROL!$C$15, $E$9, 100%, $G$9) + CHOOSE(CONTROL!$C$38, 0.0347, 0)</f>
        <v>20.259499999999999</v>
      </c>
      <c r="E135" s="46">
        <f>21.2047 * CHOOSE(CONTROL!$C$15, $E$9, 100%, $G$9) + CHOOSE(CONTROL!$C$38, 0.0347, 0)</f>
        <v>21.2394</v>
      </c>
      <c r="F135" s="45">
        <f>21.2047 * CHOOSE(CONTROL!$C$15, $E$9, 100%, $G$9) + CHOOSE(CONTROL!$C$38, 0.0256, 0)</f>
        <v>21.2303</v>
      </c>
      <c r="G135" s="14">
        <f>20.2311 * CHOOSE(CONTROL!$C$15, $E$9, 100%, $G$9) + CHOOSE(CONTROL!$C$38, 0.0347, 0)</f>
        <v>20.265800000000002</v>
      </c>
      <c r="H135" s="14">
        <f>20.2311 * CHOOSE(CONTROL!$C$15, $E$9, 100%, $G$9) + CHOOSE(CONTROL!$C$38, 0.0347, 0)</f>
        <v>20.265800000000002</v>
      </c>
      <c r="I135" s="14">
        <f>20.2327 * CHOOSE(CONTROL!$C$15, $E$9, 100%, $G$9) + CHOOSE(CONTROL!$C$38, 0.0347, 0)</f>
        <v>20.267400000000002</v>
      </c>
      <c r="J135" s="44">
        <f>137.929</f>
        <v>137.929</v>
      </c>
    </row>
    <row r="136" spans="1:10" ht="15" x14ac:dyDescent="0.2">
      <c r="A136" s="13">
        <v>45047</v>
      </c>
      <c r="B136" s="14">
        <f>20.7292 * CHOOSE(CONTROL!$C$15, $E$9, 100%, $G$9) + CHOOSE(CONTROL!$C$38, 0.0278, 0)</f>
        <v>20.756999999999998</v>
      </c>
      <c r="C136" s="14">
        <f>19.599 * CHOOSE(CONTROL!$C$15, $E$9, 100%, $G$9) + CHOOSE(CONTROL!$C$38, 0.0369, 0)</f>
        <v>19.635899999999999</v>
      </c>
      <c r="D136" s="14">
        <f>19.5912 * CHOOSE(CONTROL!$C$15, $E$9, 100%, $G$9) + CHOOSE(CONTROL!$C$38, 0.0369, 0)</f>
        <v>19.6281</v>
      </c>
      <c r="E136" s="46">
        <f>20.573 * CHOOSE(CONTROL!$C$15, $E$9, 100%, $G$9) + CHOOSE(CONTROL!$C$38, 0.0369, 0)</f>
        <v>20.6099</v>
      </c>
      <c r="F136" s="45">
        <f>20.573 * CHOOSE(CONTROL!$C$15, $E$9, 100%, $G$9) + CHOOSE(CONTROL!$C$38, 0.0278, 0)</f>
        <v>20.6008</v>
      </c>
      <c r="G136" s="14">
        <f>19.5974 * CHOOSE(CONTROL!$C$15, $E$9, 100%, $G$9) + CHOOSE(CONTROL!$C$38, 0.0369, 0)</f>
        <v>19.6343</v>
      </c>
      <c r="H136" s="14">
        <f>19.5974 * CHOOSE(CONTROL!$C$15, $E$9, 100%, $G$9) + CHOOSE(CONTROL!$C$38, 0.0369, 0)</f>
        <v>19.6343</v>
      </c>
      <c r="I136" s="14">
        <f>19.599 * CHOOSE(CONTROL!$C$15, $E$9, 100%, $G$9) + CHOOSE(CONTROL!$C$38, 0.0369, 0)</f>
        <v>19.635899999999999</v>
      </c>
      <c r="J136" s="44">
        <f>142.8513</f>
        <v>142.85130000000001</v>
      </c>
    </row>
    <row r="137" spans="1:10" ht="15" x14ac:dyDescent="0.2">
      <c r="A137" s="13">
        <v>45078</v>
      </c>
      <c r="B137" s="14">
        <f>20.2969 * CHOOSE(CONTROL!$C$15, $E$9, 100%, $G$9) + CHOOSE(CONTROL!$C$38, 0.0278, 0)</f>
        <v>20.3247</v>
      </c>
      <c r="C137" s="14">
        <f>19.1646 * CHOOSE(CONTROL!$C$15, $E$9, 100%, $G$9) + CHOOSE(CONTROL!$C$38, 0.0369, 0)</f>
        <v>19.201499999999999</v>
      </c>
      <c r="D137" s="14">
        <f>19.1568 * CHOOSE(CONTROL!$C$15, $E$9, 100%, $G$9) + CHOOSE(CONTROL!$C$38, 0.0369, 0)</f>
        <v>19.1937</v>
      </c>
      <c r="E137" s="46">
        <f>20.1406 * CHOOSE(CONTROL!$C$15, $E$9, 100%, $G$9) + CHOOSE(CONTROL!$C$38, 0.0369, 0)</f>
        <v>20.177499999999998</v>
      </c>
      <c r="F137" s="45">
        <f>20.1406 * CHOOSE(CONTROL!$C$15, $E$9, 100%, $G$9) + CHOOSE(CONTROL!$C$38, 0.0278, 0)</f>
        <v>20.168399999999998</v>
      </c>
      <c r="G137" s="14">
        <f>19.1631 * CHOOSE(CONTROL!$C$15, $E$9, 100%, $G$9) + CHOOSE(CONTROL!$C$38, 0.0369, 0)</f>
        <v>19.2</v>
      </c>
      <c r="H137" s="14">
        <f>19.1631 * CHOOSE(CONTROL!$C$15, $E$9, 100%, $G$9) + CHOOSE(CONTROL!$C$38, 0.0369, 0)</f>
        <v>19.2</v>
      </c>
      <c r="I137" s="14">
        <f>19.1646 * CHOOSE(CONTROL!$C$15, $E$9, 100%, $G$9) + CHOOSE(CONTROL!$C$38, 0.0369, 0)</f>
        <v>19.201499999999999</v>
      </c>
      <c r="J137" s="44">
        <f>145.2081</f>
        <v>145.2081</v>
      </c>
    </row>
    <row r="138" spans="1:10" ht="15" x14ac:dyDescent="0.2">
      <c r="A138" s="13">
        <v>45108</v>
      </c>
      <c r="B138" s="14">
        <f>20.0665 * CHOOSE(CONTROL!$C$15, $E$9, 100%, $G$9) + CHOOSE(CONTROL!$C$38, 0.0278, 0)</f>
        <v>20.0943</v>
      </c>
      <c r="C138" s="14">
        <f>18.9322 * CHOOSE(CONTROL!$C$15, $E$9, 100%, $G$9) + CHOOSE(CONTROL!$C$38, 0.0369, 0)</f>
        <v>18.969100000000001</v>
      </c>
      <c r="D138" s="14">
        <f>18.9244 * CHOOSE(CONTROL!$C$15, $E$9, 100%, $G$9) + CHOOSE(CONTROL!$C$38, 0.0369, 0)</f>
        <v>18.961299999999998</v>
      </c>
      <c r="E138" s="46">
        <f>19.9102 * CHOOSE(CONTROL!$C$15, $E$9, 100%, $G$9) + CHOOSE(CONTROL!$C$38, 0.0369, 0)</f>
        <v>19.947099999999999</v>
      </c>
      <c r="F138" s="45">
        <f>19.9102 * CHOOSE(CONTROL!$C$15, $E$9, 100%, $G$9) + CHOOSE(CONTROL!$C$38, 0.0278, 0)</f>
        <v>19.937999999999999</v>
      </c>
      <c r="G138" s="14">
        <f>18.9306 * CHOOSE(CONTROL!$C$15, $E$9, 100%, $G$9) + CHOOSE(CONTROL!$C$38, 0.0369, 0)</f>
        <v>18.967499999999998</v>
      </c>
      <c r="H138" s="14">
        <f>18.9306 * CHOOSE(CONTROL!$C$15, $E$9, 100%, $G$9) + CHOOSE(CONTROL!$C$38, 0.0369, 0)</f>
        <v>18.967499999999998</v>
      </c>
      <c r="I138" s="14">
        <f>18.9322 * CHOOSE(CONTROL!$C$15, $E$9, 100%, $G$9) + CHOOSE(CONTROL!$C$38, 0.0369, 0)</f>
        <v>18.969100000000001</v>
      </c>
      <c r="J138" s="44">
        <f>144.8267</f>
        <v>144.82669999999999</v>
      </c>
    </row>
    <row r="139" spans="1:10" ht="15" x14ac:dyDescent="0.2">
      <c r="A139" s="13">
        <v>45139</v>
      </c>
      <c r="B139" s="14">
        <f>20.2405 * CHOOSE(CONTROL!$C$15, $E$9, 100%, $G$9) + CHOOSE(CONTROL!$C$38, 0.0278, 0)</f>
        <v>20.2683</v>
      </c>
      <c r="C139" s="14">
        <f>19.1042 * CHOOSE(CONTROL!$C$15, $E$9, 100%, $G$9) + CHOOSE(CONTROL!$C$38, 0.0369, 0)</f>
        <v>19.141099999999998</v>
      </c>
      <c r="D139" s="14">
        <f>19.0964 * CHOOSE(CONTROL!$C$15, $E$9, 100%, $G$9) + CHOOSE(CONTROL!$C$38, 0.0369, 0)</f>
        <v>19.133299999999998</v>
      </c>
      <c r="E139" s="46">
        <f>20.0843 * CHOOSE(CONTROL!$C$15, $E$9, 100%, $G$9) + CHOOSE(CONTROL!$C$38, 0.0369, 0)</f>
        <v>20.121199999999998</v>
      </c>
      <c r="F139" s="45">
        <f>20.0843 * CHOOSE(CONTROL!$C$15, $E$9, 100%, $G$9) + CHOOSE(CONTROL!$C$38, 0.0278, 0)</f>
        <v>20.112099999999998</v>
      </c>
      <c r="G139" s="14">
        <f>19.1027 * CHOOSE(CONTROL!$C$15, $E$9, 100%, $G$9) + CHOOSE(CONTROL!$C$38, 0.0369, 0)</f>
        <v>19.139599999999998</v>
      </c>
      <c r="H139" s="14">
        <f>19.1027 * CHOOSE(CONTROL!$C$15, $E$9, 100%, $G$9) + CHOOSE(CONTROL!$C$38, 0.0369, 0)</f>
        <v>19.139599999999998</v>
      </c>
      <c r="I139" s="14">
        <f>19.1042 * CHOOSE(CONTROL!$C$15, $E$9, 100%, $G$9) + CHOOSE(CONTROL!$C$38, 0.0369, 0)</f>
        <v>19.141099999999998</v>
      </c>
      <c r="J139" s="44">
        <f>141.7466</f>
        <v>141.7466</v>
      </c>
    </row>
    <row r="140" spans="1:10" ht="15" x14ac:dyDescent="0.2">
      <c r="A140" s="13">
        <v>45170</v>
      </c>
      <c r="B140" s="14">
        <f>20.6456 * CHOOSE(CONTROL!$C$15, $E$9, 100%, $G$9) + CHOOSE(CONTROL!$C$38, 0.0278, 0)</f>
        <v>20.673400000000001</v>
      </c>
      <c r="C140" s="14">
        <f>19.5073 * CHOOSE(CONTROL!$C$15, $E$9, 100%, $G$9) + CHOOSE(CONTROL!$C$38, 0.0369, 0)</f>
        <v>19.5442</v>
      </c>
      <c r="D140" s="14">
        <f>19.4995 * CHOOSE(CONTROL!$C$15, $E$9, 100%, $G$9) + CHOOSE(CONTROL!$C$38, 0.0369, 0)</f>
        <v>19.5364</v>
      </c>
      <c r="E140" s="46">
        <f>20.4894 * CHOOSE(CONTROL!$C$15, $E$9, 100%, $G$9) + CHOOSE(CONTROL!$C$38, 0.0369, 0)</f>
        <v>20.526299999999999</v>
      </c>
      <c r="F140" s="45">
        <f>20.4894 * CHOOSE(CONTROL!$C$15, $E$9, 100%, $G$9) + CHOOSE(CONTROL!$C$38, 0.0278, 0)</f>
        <v>20.517199999999999</v>
      </c>
      <c r="G140" s="14">
        <f>19.5058 * CHOOSE(CONTROL!$C$15, $E$9, 100%, $G$9) + CHOOSE(CONTROL!$C$38, 0.0369, 0)</f>
        <v>19.5427</v>
      </c>
      <c r="H140" s="14">
        <f>19.5058 * CHOOSE(CONTROL!$C$15, $E$9, 100%, $G$9) + CHOOSE(CONTROL!$C$38, 0.0369, 0)</f>
        <v>19.5427</v>
      </c>
      <c r="I140" s="14">
        <f>19.5073 * CHOOSE(CONTROL!$C$15, $E$9, 100%, $G$9) + CHOOSE(CONTROL!$C$38, 0.0369, 0)</f>
        <v>19.5442</v>
      </c>
      <c r="J140" s="44">
        <f>137.3174</f>
        <v>137.31739999999999</v>
      </c>
    </row>
    <row r="141" spans="1:10" ht="15" x14ac:dyDescent="0.2">
      <c r="A141" s="13">
        <v>45200</v>
      </c>
      <c r="B141" s="14">
        <f>20.993 * CHOOSE(CONTROL!$C$15, $E$9, 100%, $G$9) + CHOOSE(CONTROL!$C$38, 0.0256, 0)</f>
        <v>21.018599999999999</v>
      </c>
      <c r="C141" s="14">
        <f>19.8526 * CHOOSE(CONTROL!$C$15, $E$9, 100%, $G$9) + CHOOSE(CONTROL!$C$38, 0.0347, 0)</f>
        <v>19.8873</v>
      </c>
      <c r="D141" s="14">
        <f>19.8448 * CHOOSE(CONTROL!$C$15, $E$9, 100%, $G$9) + CHOOSE(CONTROL!$C$38, 0.0347, 0)</f>
        <v>19.8795</v>
      </c>
      <c r="E141" s="46">
        <f>20.8367 * CHOOSE(CONTROL!$C$15, $E$9, 100%, $G$9) + CHOOSE(CONTROL!$C$38, 0.0347, 0)</f>
        <v>20.871400000000001</v>
      </c>
      <c r="F141" s="45">
        <f>20.8367 * CHOOSE(CONTROL!$C$15, $E$9, 100%, $G$9) + CHOOSE(CONTROL!$C$38, 0.0256, 0)</f>
        <v>20.862300000000001</v>
      </c>
      <c r="G141" s="14">
        <f>19.8511 * CHOOSE(CONTROL!$C$15, $E$9, 100%, $G$9) + CHOOSE(CONTROL!$C$38, 0.0347, 0)</f>
        <v>19.8858</v>
      </c>
      <c r="H141" s="14">
        <f>19.8511 * CHOOSE(CONTROL!$C$15, $E$9, 100%, $G$9) + CHOOSE(CONTROL!$C$38, 0.0347, 0)</f>
        <v>19.8858</v>
      </c>
      <c r="I141" s="14">
        <f>19.8526 * CHOOSE(CONTROL!$C$15, $E$9, 100%, $G$9) + CHOOSE(CONTROL!$C$38, 0.0347, 0)</f>
        <v>19.8873</v>
      </c>
      <c r="J141" s="44">
        <f>132.8419</f>
        <v>132.84190000000001</v>
      </c>
    </row>
    <row r="142" spans="1:10" ht="15" x14ac:dyDescent="0.2">
      <c r="A142" s="13">
        <v>45231</v>
      </c>
      <c r="B142" s="14">
        <f>21.2908 * CHOOSE(CONTROL!$C$15, $E$9, 100%, $G$9) + CHOOSE(CONTROL!$C$38, 0.0256, 0)</f>
        <v>21.316400000000002</v>
      </c>
      <c r="C142" s="14">
        <f>20.1485 * CHOOSE(CONTROL!$C$15, $E$9, 100%, $G$9) + CHOOSE(CONTROL!$C$38, 0.0347, 0)</f>
        <v>20.183199999999999</v>
      </c>
      <c r="D142" s="14">
        <f>20.1407 * CHOOSE(CONTROL!$C$15, $E$9, 100%, $G$9) + CHOOSE(CONTROL!$C$38, 0.0347, 0)</f>
        <v>20.1754</v>
      </c>
      <c r="E142" s="46">
        <f>21.1346 * CHOOSE(CONTROL!$C$15, $E$9, 100%, $G$9) + CHOOSE(CONTROL!$C$38, 0.0347, 0)</f>
        <v>21.1693</v>
      </c>
      <c r="F142" s="45">
        <f>21.1346 * CHOOSE(CONTROL!$C$15, $E$9, 100%, $G$9) + CHOOSE(CONTROL!$C$38, 0.0256, 0)</f>
        <v>21.1602</v>
      </c>
      <c r="G142" s="14">
        <f>20.1469 * CHOOSE(CONTROL!$C$15, $E$9, 100%, $G$9) + CHOOSE(CONTROL!$C$38, 0.0347, 0)</f>
        <v>20.1816</v>
      </c>
      <c r="H142" s="14">
        <f>20.1469 * CHOOSE(CONTROL!$C$15, $E$9, 100%, $G$9) + CHOOSE(CONTROL!$C$38, 0.0347, 0)</f>
        <v>20.1816</v>
      </c>
      <c r="I142" s="14">
        <f>20.1485 * CHOOSE(CONTROL!$C$15, $E$9, 100%, $G$9) + CHOOSE(CONTROL!$C$38, 0.0347, 0)</f>
        <v>20.183199999999999</v>
      </c>
      <c r="J142" s="44">
        <f>132.1671</f>
        <v>132.1671</v>
      </c>
    </row>
    <row r="143" spans="1:10" ht="15" x14ac:dyDescent="0.2">
      <c r="A143" s="13">
        <v>45261</v>
      </c>
      <c r="B143" s="14">
        <f>22.1236 * CHOOSE(CONTROL!$C$15, $E$9, 100%, $G$9) + CHOOSE(CONTROL!$C$38, 0.0256, 0)</f>
        <v>22.1492</v>
      </c>
      <c r="C143" s="14">
        <f>20.9792 * CHOOSE(CONTROL!$C$15, $E$9, 100%, $G$9) + CHOOSE(CONTROL!$C$38, 0.0347, 0)</f>
        <v>21.0139</v>
      </c>
      <c r="D143" s="14">
        <f>20.9714 * CHOOSE(CONTROL!$C$15, $E$9, 100%, $G$9) + CHOOSE(CONTROL!$C$38, 0.0347, 0)</f>
        <v>21.0061</v>
      </c>
      <c r="E143" s="46">
        <f>21.9673 * CHOOSE(CONTROL!$C$15, $E$9, 100%, $G$9) + CHOOSE(CONTROL!$C$38, 0.0347, 0)</f>
        <v>22.002000000000002</v>
      </c>
      <c r="F143" s="45">
        <f>21.9673 * CHOOSE(CONTROL!$C$15, $E$9, 100%, $G$9) + CHOOSE(CONTROL!$C$38, 0.0256, 0)</f>
        <v>21.992900000000002</v>
      </c>
      <c r="G143" s="14">
        <f>20.9776 * CHOOSE(CONTROL!$C$15, $E$9, 100%, $G$9) + CHOOSE(CONTROL!$C$38, 0.0347, 0)</f>
        <v>21.0123</v>
      </c>
      <c r="H143" s="14">
        <f>20.9776 * CHOOSE(CONTROL!$C$15, $E$9, 100%, $G$9) + CHOOSE(CONTROL!$C$38, 0.0347, 0)</f>
        <v>21.0123</v>
      </c>
      <c r="I143" s="14">
        <f>20.9792 * CHOOSE(CONTROL!$C$15, $E$9, 100%, $G$9) + CHOOSE(CONTROL!$C$38, 0.0347, 0)</f>
        <v>21.0139</v>
      </c>
      <c r="J143" s="44">
        <f>128.5092</f>
        <v>128.50919999999999</v>
      </c>
    </row>
    <row r="144" spans="1:10" ht="15" x14ac:dyDescent="0.2">
      <c r="A144" s="13">
        <v>45292</v>
      </c>
      <c r="B144" s="14">
        <f>23.4011 * CHOOSE(CONTROL!$C$15, $E$9, 100%, $G$9) + CHOOSE(CONTROL!$C$38, 0.0256, 0)</f>
        <v>23.4267</v>
      </c>
      <c r="C144" s="14">
        <f>22.1123 * CHOOSE(CONTROL!$C$15, $E$9, 100%, $G$9) + CHOOSE(CONTROL!$C$38, 0.0347, 0)</f>
        <v>22.147000000000002</v>
      </c>
      <c r="D144" s="14">
        <f>22.1045 * CHOOSE(CONTROL!$C$15, $E$9, 100%, $G$9) + CHOOSE(CONTROL!$C$38, 0.0347, 0)</f>
        <v>22.139200000000002</v>
      </c>
      <c r="E144" s="46">
        <f>23.2449 * CHOOSE(CONTROL!$C$15, $E$9, 100%, $G$9) + CHOOSE(CONTROL!$C$38, 0.0347, 0)</f>
        <v>23.279600000000002</v>
      </c>
      <c r="F144" s="45">
        <f>23.2449 * CHOOSE(CONTROL!$C$15, $E$9, 100%, $G$9) + CHOOSE(CONTROL!$C$38, 0.0256, 0)</f>
        <v>23.270500000000002</v>
      </c>
      <c r="G144" s="14">
        <f>22.1108 * CHOOSE(CONTROL!$C$15, $E$9, 100%, $G$9) + CHOOSE(CONTROL!$C$38, 0.0347, 0)</f>
        <v>22.145500000000002</v>
      </c>
      <c r="H144" s="14">
        <f>22.1108 * CHOOSE(CONTROL!$C$15, $E$9, 100%, $G$9) + CHOOSE(CONTROL!$C$38, 0.0347, 0)</f>
        <v>22.145500000000002</v>
      </c>
      <c r="I144" s="14">
        <f>22.1123 * CHOOSE(CONTROL!$C$15, $E$9, 100%, $G$9) + CHOOSE(CONTROL!$C$38, 0.0347, 0)</f>
        <v>22.147000000000002</v>
      </c>
      <c r="J144" s="44">
        <f>128.8694</f>
        <v>128.86940000000001</v>
      </c>
    </row>
    <row r="145" spans="1:10" ht="15" x14ac:dyDescent="0.2">
      <c r="A145" s="13">
        <v>45323</v>
      </c>
      <c r="B145" s="14">
        <f>23.7419 * CHOOSE(CONTROL!$C$15, $E$9, 100%, $G$9) + CHOOSE(CONTROL!$C$38, 0.0256, 0)</f>
        <v>23.767500000000002</v>
      </c>
      <c r="C145" s="14">
        <f>22.4508 * CHOOSE(CONTROL!$C$15, $E$9, 100%, $G$9) + CHOOSE(CONTROL!$C$38, 0.0347, 0)</f>
        <v>22.485500000000002</v>
      </c>
      <c r="D145" s="14">
        <f>22.443 * CHOOSE(CONTROL!$C$15, $E$9, 100%, $G$9) + CHOOSE(CONTROL!$C$38, 0.0347, 0)</f>
        <v>22.477700000000002</v>
      </c>
      <c r="E145" s="46">
        <f>23.5857 * CHOOSE(CONTROL!$C$15, $E$9, 100%, $G$9) + CHOOSE(CONTROL!$C$38, 0.0347, 0)</f>
        <v>23.6204</v>
      </c>
      <c r="F145" s="45">
        <f>23.5857 * CHOOSE(CONTROL!$C$15, $E$9, 100%, $G$9) + CHOOSE(CONTROL!$C$38, 0.0256, 0)</f>
        <v>23.6113</v>
      </c>
      <c r="G145" s="14">
        <f>22.4492 * CHOOSE(CONTROL!$C$15, $E$9, 100%, $G$9) + CHOOSE(CONTROL!$C$38, 0.0347, 0)</f>
        <v>22.483900000000002</v>
      </c>
      <c r="H145" s="14">
        <f>22.4492 * CHOOSE(CONTROL!$C$15, $E$9, 100%, $G$9) + CHOOSE(CONTROL!$C$38, 0.0347, 0)</f>
        <v>22.483900000000002</v>
      </c>
      <c r="I145" s="14">
        <f>22.4508 * CHOOSE(CONTROL!$C$15, $E$9, 100%, $G$9) + CHOOSE(CONTROL!$C$38, 0.0347, 0)</f>
        <v>22.485500000000002</v>
      </c>
      <c r="J145" s="44">
        <f>128.7759</f>
        <v>128.77590000000001</v>
      </c>
    </row>
    <row r="146" spans="1:10" ht="15" x14ac:dyDescent="0.2">
      <c r="A146" s="13">
        <v>45352</v>
      </c>
      <c r="B146" s="14">
        <f>23.1079 * CHOOSE(CONTROL!$C$15, $E$9, 100%, $G$9) + CHOOSE(CONTROL!$C$38, 0.0256, 0)</f>
        <v>23.133500000000002</v>
      </c>
      <c r="C146" s="14">
        <f>21.8144 * CHOOSE(CONTROL!$C$15, $E$9, 100%, $G$9) + CHOOSE(CONTROL!$C$38, 0.0347, 0)</f>
        <v>21.8491</v>
      </c>
      <c r="D146" s="14">
        <f>21.8066 * CHOOSE(CONTROL!$C$15, $E$9, 100%, $G$9) + CHOOSE(CONTROL!$C$38, 0.0347, 0)</f>
        <v>21.8413</v>
      </c>
      <c r="E146" s="46">
        <f>22.9517 * CHOOSE(CONTROL!$C$15, $E$9, 100%, $G$9) + CHOOSE(CONTROL!$C$38, 0.0347, 0)</f>
        <v>22.9864</v>
      </c>
      <c r="F146" s="45">
        <f>22.9517 * CHOOSE(CONTROL!$C$15, $E$9, 100%, $G$9) + CHOOSE(CONTROL!$C$38, 0.0256, 0)</f>
        <v>22.9773</v>
      </c>
      <c r="G146" s="14">
        <f>21.8129 * CHOOSE(CONTROL!$C$15, $E$9, 100%, $G$9) + CHOOSE(CONTROL!$C$38, 0.0347, 0)</f>
        <v>21.8476</v>
      </c>
      <c r="H146" s="14">
        <f>21.8129 * CHOOSE(CONTROL!$C$15, $E$9, 100%, $G$9) + CHOOSE(CONTROL!$C$38, 0.0347, 0)</f>
        <v>21.8476</v>
      </c>
      <c r="I146" s="14">
        <f>21.8144 * CHOOSE(CONTROL!$C$15, $E$9, 100%, $G$9) + CHOOSE(CONTROL!$C$38, 0.0347, 0)</f>
        <v>21.8491</v>
      </c>
      <c r="J146" s="44">
        <f>135.8424</f>
        <v>135.8424</v>
      </c>
    </row>
    <row r="147" spans="1:10" ht="15" x14ac:dyDescent="0.2">
      <c r="A147" s="13">
        <v>45383</v>
      </c>
      <c r="B147" s="14">
        <f>22.4924 * CHOOSE(CONTROL!$C$15, $E$9, 100%, $G$9) + CHOOSE(CONTROL!$C$38, 0.0256, 0)</f>
        <v>22.518000000000001</v>
      </c>
      <c r="C147" s="14">
        <f>21.1966 * CHOOSE(CONTROL!$C$15, $E$9, 100%, $G$9) + CHOOSE(CONTROL!$C$38, 0.0347, 0)</f>
        <v>21.231300000000001</v>
      </c>
      <c r="D147" s="14">
        <f>21.1888 * CHOOSE(CONTROL!$C$15, $E$9, 100%, $G$9) + CHOOSE(CONTROL!$C$38, 0.0347, 0)</f>
        <v>21.223500000000001</v>
      </c>
      <c r="E147" s="46">
        <f>22.3361 * CHOOSE(CONTROL!$C$15, $E$9, 100%, $G$9) + CHOOSE(CONTROL!$C$38, 0.0347, 0)</f>
        <v>22.370799999999999</v>
      </c>
      <c r="F147" s="45">
        <f>22.3361 * CHOOSE(CONTROL!$C$15, $E$9, 100%, $G$9) + CHOOSE(CONTROL!$C$38, 0.0256, 0)</f>
        <v>22.361699999999999</v>
      </c>
      <c r="G147" s="14">
        <f>21.195 * CHOOSE(CONTROL!$C$15, $E$9, 100%, $G$9) + CHOOSE(CONTROL!$C$38, 0.0347, 0)</f>
        <v>21.229700000000001</v>
      </c>
      <c r="H147" s="14">
        <f>21.195 * CHOOSE(CONTROL!$C$15, $E$9, 100%, $G$9) + CHOOSE(CONTROL!$C$38, 0.0347, 0)</f>
        <v>21.229700000000001</v>
      </c>
      <c r="I147" s="14">
        <f>21.1966 * CHOOSE(CONTROL!$C$15, $E$9, 100%, $G$9) + CHOOSE(CONTROL!$C$38, 0.0347, 0)</f>
        <v>21.231300000000001</v>
      </c>
      <c r="J147" s="44">
        <f>144.9599</f>
        <v>144.9599</v>
      </c>
    </row>
    <row r="148" spans="1:10" ht="15" x14ac:dyDescent="0.2">
      <c r="A148" s="13">
        <v>45413</v>
      </c>
      <c r="B148" s="14">
        <f>21.8462 * CHOOSE(CONTROL!$C$15, $E$9, 100%, $G$9) + CHOOSE(CONTROL!$C$38, 0.0278, 0)</f>
        <v>21.873999999999999</v>
      </c>
      <c r="C148" s="14">
        <f>20.548 * CHOOSE(CONTROL!$C$15, $E$9, 100%, $G$9) + CHOOSE(CONTROL!$C$38, 0.0369, 0)</f>
        <v>20.584899999999998</v>
      </c>
      <c r="D148" s="14">
        <f>20.5402 * CHOOSE(CONTROL!$C$15, $E$9, 100%, $G$9) + CHOOSE(CONTROL!$C$38, 0.0369, 0)</f>
        <v>20.577099999999998</v>
      </c>
      <c r="E148" s="46">
        <f>21.6899 * CHOOSE(CONTROL!$C$15, $E$9, 100%, $G$9) + CHOOSE(CONTROL!$C$38, 0.0369, 0)</f>
        <v>21.726800000000001</v>
      </c>
      <c r="F148" s="45">
        <f>21.6899 * CHOOSE(CONTROL!$C$15, $E$9, 100%, $G$9) + CHOOSE(CONTROL!$C$38, 0.0278, 0)</f>
        <v>21.717700000000001</v>
      </c>
      <c r="G148" s="14">
        <f>20.5465 * CHOOSE(CONTROL!$C$15, $E$9, 100%, $G$9) + CHOOSE(CONTROL!$C$38, 0.0369, 0)</f>
        <v>20.583400000000001</v>
      </c>
      <c r="H148" s="14">
        <f>20.5465 * CHOOSE(CONTROL!$C$15, $E$9, 100%, $G$9) + CHOOSE(CONTROL!$C$38, 0.0369, 0)</f>
        <v>20.583400000000001</v>
      </c>
      <c r="I148" s="14">
        <f>20.548 * CHOOSE(CONTROL!$C$15, $E$9, 100%, $G$9) + CHOOSE(CONTROL!$C$38, 0.0369, 0)</f>
        <v>20.584899999999998</v>
      </c>
      <c r="J148" s="44">
        <f>150.1331</f>
        <v>150.13310000000001</v>
      </c>
    </row>
    <row r="149" spans="1:10" ht="15" x14ac:dyDescent="0.2">
      <c r="A149" s="13">
        <v>45444</v>
      </c>
      <c r="B149" s="14">
        <f>21.4043 * CHOOSE(CONTROL!$C$15, $E$9, 100%, $G$9) + CHOOSE(CONTROL!$C$38, 0.0278, 0)</f>
        <v>21.432099999999998</v>
      </c>
      <c r="C149" s="14">
        <f>20.1038 * CHOOSE(CONTROL!$C$15, $E$9, 100%, $G$9) + CHOOSE(CONTROL!$C$38, 0.0369, 0)</f>
        <v>20.140699999999999</v>
      </c>
      <c r="D149" s="14">
        <f>20.096 * CHOOSE(CONTROL!$C$15, $E$9, 100%, $G$9) + CHOOSE(CONTROL!$C$38, 0.0369, 0)</f>
        <v>20.132899999999999</v>
      </c>
      <c r="E149" s="46">
        <f>21.248 * CHOOSE(CONTROL!$C$15, $E$9, 100%, $G$9) + CHOOSE(CONTROL!$C$38, 0.0369, 0)</f>
        <v>21.2849</v>
      </c>
      <c r="F149" s="45">
        <f>21.248 * CHOOSE(CONTROL!$C$15, $E$9, 100%, $G$9) + CHOOSE(CONTROL!$C$38, 0.0278, 0)</f>
        <v>21.2758</v>
      </c>
      <c r="G149" s="14">
        <f>20.1022 * CHOOSE(CONTROL!$C$15, $E$9, 100%, $G$9) + CHOOSE(CONTROL!$C$38, 0.0369, 0)</f>
        <v>20.139099999999999</v>
      </c>
      <c r="H149" s="14">
        <f>20.1022 * CHOOSE(CONTROL!$C$15, $E$9, 100%, $G$9) + CHOOSE(CONTROL!$C$38, 0.0369, 0)</f>
        <v>20.139099999999999</v>
      </c>
      <c r="I149" s="14">
        <f>20.1038 * CHOOSE(CONTROL!$C$15, $E$9, 100%, $G$9) + CHOOSE(CONTROL!$C$38, 0.0369, 0)</f>
        <v>20.140699999999999</v>
      </c>
      <c r="J149" s="44">
        <f>152.6101</f>
        <v>152.61009999999999</v>
      </c>
    </row>
    <row r="150" spans="1:10" ht="15" x14ac:dyDescent="0.2">
      <c r="A150" s="13">
        <v>45474</v>
      </c>
      <c r="B150" s="14">
        <f>21.1694 * CHOOSE(CONTROL!$C$15, $E$9, 100%, $G$9) + CHOOSE(CONTROL!$C$38, 0.0278, 0)</f>
        <v>21.197199999999999</v>
      </c>
      <c r="C150" s="14">
        <f>19.8665 * CHOOSE(CONTROL!$C$15, $E$9, 100%, $G$9) + CHOOSE(CONTROL!$C$38, 0.0369, 0)</f>
        <v>19.903399999999998</v>
      </c>
      <c r="D150" s="14">
        <f>19.8587 * CHOOSE(CONTROL!$C$15, $E$9, 100%, $G$9) + CHOOSE(CONTROL!$C$38, 0.0369, 0)</f>
        <v>19.895599999999998</v>
      </c>
      <c r="E150" s="46">
        <f>21.0131 * CHOOSE(CONTROL!$C$15, $E$9, 100%, $G$9) + CHOOSE(CONTROL!$C$38, 0.0369, 0)</f>
        <v>21.05</v>
      </c>
      <c r="F150" s="45">
        <f>21.0131 * CHOOSE(CONTROL!$C$15, $E$9, 100%, $G$9) + CHOOSE(CONTROL!$C$38, 0.0278, 0)</f>
        <v>21.040900000000001</v>
      </c>
      <c r="G150" s="14">
        <f>19.865 * CHOOSE(CONTROL!$C$15, $E$9, 100%, $G$9) + CHOOSE(CONTROL!$C$38, 0.0369, 0)</f>
        <v>19.901899999999998</v>
      </c>
      <c r="H150" s="14">
        <f>19.865 * CHOOSE(CONTROL!$C$15, $E$9, 100%, $G$9) + CHOOSE(CONTROL!$C$38, 0.0369, 0)</f>
        <v>19.901899999999998</v>
      </c>
      <c r="I150" s="14">
        <f>19.8665 * CHOOSE(CONTROL!$C$15, $E$9, 100%, $G$9) + CHOOSE(CONTROL!$C$38, 0.0369, 0)</f>
        <v>19.903399999999998</v>
      </c>
      <c r="J150" s="44">
        <f>152.2093</f>
        <v>152.20930000000001</v>
      </c>
    </row>
    <row r="151" spans="1:10" ht="15" x14ac:dyDescent="0.2">
      <c r="A151" s="13">
        <v>45505</v>
      </c>
      <c r="B151" s="14">
        <f>21.3491 * CHOOSE(CONTROL!$C$15, $E$9, 100%, $G$9) + CHOOSE(CONTROL!$C$38, 0.0278, 0)</f>
        <v>21.376899999999999</v>
      </c>
      <c r="C151" s="14">
        <f>20.0438 * CHOOSE(CONTROL!$C$15, $E$9, 100%, $G$9) + CHOOSE(CONTROL!$C$38, 0.0369, 0)</f>
        <v>20.0807</v>
      </c>
      <c r="D151" s="14">
        <f>20.036 * CHOOSE(CONTROL!$C$15, $E$9, 100%, $G$9) + CHOOSE(CONTROL!$C$38, 0.0369, 0)</f>
        <v>20.072900000000001</v>
      </c>
      <c r="E151" s="46">
        <f>21.1928 * CHOOSE(CONTROL!$C$15, $E$9, 100%, $G$9) + CHOOSE(CONTROL!$C$38, 0.0369, 0)</f>
        <v>21.229699999999998</v>
      </c>
      <c r="F151" s="45">
        <f>21.1928 * CHOOSE(CONTROL!$C$15, $E$9, 100%, $G$9) + CHOOSE(CONTROL!$C$38, 0.0278, 0)</f>
        <v>21.220599999999997</v>
      </c>
      <c r="G151" s="14">
        <f>20.0423 * CHOOSE(CONTROL!$C$15, $E$9, 100%, $G$9) + CHOOSE(CONTROL!$C$38, 0.0369, 0)</f>
        <v>20.0792</v>
      </c>
      <c r="H151" s="14">
        <f>20.0423 * CHOOSE(CONTROL!$C$15, $E$9, 100%, $G$9) + CHOOSE(CONTROL!$C$38, 0.0369, 0)</f>
        <v>20.0792</v>
      </c>
      <c r="I151" s="14">
        <f>20.0438 * CHOOSE(CONTROL!$C$15, $E$9, 100%, $G$9) + CHOOSE(CONTROL!$C$38, 0.0369, 0)</f>
        <v>20.0807</v>
      </c>
      <c r="J151" s="44">
        <f>148.9721</f>
        <v>148.97210000000001</v>
      </c>
    </row>
    <row r="152" spans="1:10" ht="15" x14ac:dyDescent="0.2">
      <c r="A152" s="13">
        <v>45536</v>
      </c>
      <c r="B152" s="14">
        <f>21.7656 * CHOOSE(CONTROL!$C$15, $E$9, 100%, $G$9) + CHOOSE(CONTROL!$C$38, 0.0278, 0)</f>
        <v>21.793399999999998</v>
      </c>
      <c r="C152" s="14">
        <f>20.458 * CHOOSE(CONTROL!$C$15, $E$9, 100%, $G$9) + CHOOSE(CONTROL!$C$38, 0.0369, 0)</f>
        <v>20.494899999999998</v>
      </c>
      <c r="D152" s="14">
        <f>20.4502 * CHOOSE(CONTROL!$C$15, $E$9, 100%, $G$9) + CHOOSE(CONTROL!$C$38, 0.0369, 0)</f>
        <v>20.487099999999998</v>
      </c>
      <c r="E152" s="46">
        <f>21.6093 * CHOOSE(CONTROL!$C$15, $E$9, 100%, $G$9) + CHOOSE(CONTROL!$C$38, 0.0369, 0)</f>
        <v>21.6462</v>
      </c>
      <c r="F152" s="45">
        <f>21.6093 * CHOOSE(CONTROL!$C$15, $E$9, 100%, $G$9) + CHOOSE(CONTROL!$C$38, 0.0278, 0)</f>
        <v>21.6371</v>
      </c>
      <c r="G152" s="14">
        <f>20.4564 * CHOOSE(CONTROL!$C$15, $E$9, 100%, $G$9) + CHOOSE(CONTROL!$C$38, 0.0369, 0)</f>
        <v>20.493299999999998</v>
      </c>
      <c r="H152" s="14">
        <f>20.4564 * CHOOSE(CONTROL!$C$15, $E$9, 100%, $G$9) + CHOOSE(CONTROL!$C$38, 0.0369, 0)</f>
        <v>20.493299999999998</v>
      </c>
      <c r="I152" s="14">
        <f>20.458 * CHOOSE(CONTROL!$C$15, $E$9, 100%, $G$9) + CHOOSE(CONTROL!$C$38, 0.0369, 0)</f>
        <v>20.494899999999998</v>
      </c>
      <c r="J152" s="44">
        <f>144.3172</f>
        <v>144.31720000000001</v>
      </c>
    </row>
    <row r="153" spans="1:10" ht="15" x14ac:dyDescent="0.2">
      <c r="A153" s="13">
        <v>45566</v>
      </c>
      <c r="B153" s="14">
        <f>22.1228 * CHOOSE(CONTROL!$C$15, $E$9, 100%, $G$9) + CHOOSE(CONTROL!$C$38, 0.0256, 0)</f>
        <v>22.148400000000002</v>
      </c>
      <c r="C153" s="14">
        <f>20.8129 * CHOOSE(CONTROL!$C$15, $E$9, 100%, $G$9) + CHOOSE(CONTROL!$C$38, 0.0347, 0)</f>
        <v>20.8476</v>
      </c>
      <c r="D153" s="14">
        <f>20.805 * CHOOSE(CONTROL!$C$15, $E$9, 100%, $G$9) + CHOOSE(CONTROL!$C$38, 0.0347, 0)</f>
        <v>20.839700000000001</v>
      </c>
      <c r="E153" s="46">
        <f>21.9666 * CHOOSE(CONTROL!$C$15, $E$9, 100%, $G$9) + CHOOSE(CONTROL!$C$38, 0.0347, 0)</f>
        <v>22.001300000000001</v>
      </c>
      <c r="F153" s="45">
        <f>21.9666 * CHOOSE(CONTROL!$C$15, $E$9, 100%, $G$9) + CHOOSE(CONTROL!$C$38, 0.0256, 0)</f>
        <v>21.9922</v>
      </c>
      <c r="G153" s="14">
        <f>20.8113 * CHOOSE(CONTROL!$C$15, $E$9, 100%, $G$9) + CHOOSE(CONTROL!$C$38, 0.0347, 0)</f>
        <v>20.846</v>
      </c>
      <c r="H153" s="14">
        <f>20.8113 * CHOOSE(CONTROL!$C$15, $E$9, 100%, $G$9) + CHOOSE(CONTROL!$C$38, 0.0347, 0)</f>
        <v>20.846</v>
      </c>
      <c r="I153" s="14">
        <f>20.8129 * CHOOSE(CONTROL!$C$15, $E$9, 100%, $G$9) + CHOOSE(CONTROL!$C$38, 0.0347, 0)</f>
        <v>20.8476</v>
      </c>
      <c r="J153" s="44">
        <f>139.6136</f>
        <v>139.61359999999999</v>
      </c>
    </row>
    <row r="154" spans="1:10" ht="15" x14ac:dyDescent="0.2">
      <c r="A154" s="13">
        <v>45597</v>
      </c>
      <c r="B154" s="14">
        <f>22.4294 * CHOOSE(CONTROL!$C$15, $E$9, 100%, $G$9) + CHOOSE(CONTROL!$C$38, 0.0256, 0)</f>
        <v>22.455000000000002</v>
      </c>
      <c r="C154" s="14">
        <f>21.1171 * CHOOSE(CONTROL!$C$15, $E$9, 100%, $G$9) + CHOOSE(CONTROL!$C$38, 0.0347, 0)</f>
        <v>21.151800000000001</v>
      </c>
      <c r="D154" s="14">
        <f>21.1093 * CHOOSE(CONTROL!$C$15, $E$9, 100%, $G$9) + CHOOSE(CONTROL!$C$38, 0.0347, 0)</f>
        <v>21.144000000000002</v>
      </c>
      <c r="E154" s="46">
        <f>22.2732 * CHOOSE(CONTROL!$C$15, $E$9, 100%, $G$9) + CHOOSE(CONTROL!$C$38, 0.0347, 0)</f>
        <v>22.3079</v>
      </c>
      <c r="F154" s="45">
        <f>22.2732 * CHOOSE(CONTROL!$C$15, $E$9, 100%, $G$9) + CHOOSE(CONTROL!$C$38, 0.0256, 0)</f>
        <v>22.2988</v>
      </c>
      <c r="G154" s="14">
        <f>21.1155 * CHOOSE(CONTROL!$C$15, $E$9, 100%, $G$9) + CHOOSE(CONTROL!$C$38, 0.0347, 0)</f>
        <v>21.150200000000002</v>
      </c>
      <c r="H154" s="14">
        <f>21.1155 * CHOOSE(CONTROL!$C$15, $E$9, 100%, $G$9) + CHOOSE(CONTROL!$C$38, 0.0347, 0)</f>
        <v>21.150200000000002</v>
      </c>
      <c r="I154" s="14">
        <f>21.1171 * CHOOSE(CONTROL!$C$15, $E$9, 100%, $G$9) + CHOOSE(CONTROL!$C$38, 0.0347, 0)</f>
        <v>21.151800000000001</v>
      </c>
      <c r="J154" s="44">
        <f>138.9043</f>
        <v>138.90430000000001</v>
      </c>
    </row>
    <row r="155" spans="1:10" ht="15" x14ac:dyDescent="0.2">
      <c r="A155" s="13">
        <v>45627</v>
      </c>
      <c r="B155" s="14">
        <f>23.2843 * CHOOSE(CONTROL!$C$15, $E$9, 100%, $G$9) + CHOOSE(CONTROL!$C$38, 0.0256, 0)</f>
        <v>23.309900000000003</v>
      </c>
      <c r="C155" s="14">
        <f>21.9696 * CHOOSE(CONTROL!$C$15, $E$9, 100%, $G$9) + CHOOSE(CONTROL!$C$38, 0.0347, 0)</f>
        <v>22.004300000000001</v>
      </c>
      <c r="D155" s="14">
        <f>21.9618 * CHOOSE(CONTROL!$C$15, $E$9, 100%, $G$9) + CHOOSE(CONTROL!$C$38, 0.0347, 0)</f>
        <v>21.996500000000001</v>
      </c>
      <c r="E155" s="46">
        <f>23.1281 * CHOOSE(CONTROL!$C$15, $E$9, 100%, $G$9) + CHOOSE(CONTROL!$C$38, 0.0347, 0)</f>
        <v>23.162800000000001</v>
      </c>
      <c r="F155" s="45">
        <f>23.1281 * CHOOSE(CONTROL!$C$15, $E$9, 100%, $G$9) + CHOOSE(CONTROL!$C$38, 0.0256, 0)</f>
        <v>23.153700000000001</v>
      </c>
      <c r="G155" s="14">
        <f>21.968 * CHOOSE(CONTROL!$C$15, $E$9, 100%, $G$9) + CHOOSE(CONTROL!$C$38, 0.0347, 0)</f>
        <v>22.002700000000001</v>
      </c>
      <c r="H155" s="14">
        <f>21.968 * CHOOSE(CONTROL!$C$15, $E$9, 100%, $G$9) + CHOOSE(CONTROL!$C$38, 0.0347, 0)</f>
        <v>22.002700000000001</v>
      </c>
      <c r="I155" s="14">
        <f>21.9696 * CHOOSE(CONTROL!$C$15, $E$9, 100%, $G$9) + CHOOSE(CONTROL!$C$38, 0.0347, 0)</f>
        <v>22.004300000000001</v>
      </c>
      <c r="J155" s="44">
        <f>135.0599</f>
        <v>135.0599</v>
      </c>
    </row>
    <row r="156" spans="1:10" ht="15" x14ac:dyDescent="0.2">
      <c r="A156" s="13">
        <v>45658</v>
      </c>
      <c r="B156" s="14">
        <f>24.5577 * CHOOSE(CONTROL!$C$15, $E$9, 100%, $G$9) + CHOOSE(CONTROL!$C$38, 0.0256, 0)</f>
        <v>24.583300000000001</v>
      </c>
      <c r="C156" s="14">
        <f>23.1008 * CHOOSE(CONTROL!$C$15, $E$9, 100%, $G$9) + CHOOSE(CONTROL!$C$38, 0.0347, 0)</f>
        <v>23.1355</v>
      </c>
      <c r="D156" s="14">
        <f>23.093 * CHOOSE(CONTROL!$C$15, $E$9, 100%, $G$9) + CHOOSE(CONTROL!$C$38, 0.0347, 0)</f>
        <v>23.127700000000001</v>
      </c>
      <c r="E156" s="46">
        <f>24.4015 * CHOOSE(CONTROL!$C$15, $E$9, 100%, $G$9) + CHOOSE(CONTROL!$C$38, 0.0347, 0)</f>
        <v>24.436199999999999</v>
      </c>
      <c r="F156" s="45">
        <f>24.4015 * CHOOSE(CONTROL!$C$15, $E$9, 100%, $G$9) + CHOOSE(CONTROL!$C$38, 0.0256, 0)</f>
        <v>24.427099999999999</v>
      </c>
      <c r="G156" s="14">
        <f>23.0992 * CHOOSE(CONTROL!$C$15, $E$9, 100%, $G$9) + CHOOSE(CONTROL!$C$38, 0.0347, 0)</f>
        <v>23.133900000000001</v>
      </c>
      <c r="H156" s="14">
        <f>23.0992 * CHOOSE(CONTROL!$C$15, $E$9, 100%, $G$9) + CHOOSE(CONTROL!$C$38, 0.0347, 0)</f>
        <v>23.133900000000001</v>
      </c>
      <c r="I156" s="14">
        <f>23.1008 * CHOOSE(CONTROL!$C$15, $E$9, 100%, $G$9) + CHOOSE(CONTROL!$C$38, 0.0347, 0)</f>
        <v>23.1355</v>
      </c>
      <c r="J156" s="44">
        <f>135.432</f>
        <v>135.43199999999999</v>
      </c>
    </row>
    <row r="157" spans="1:10" ht="15" x14ac:dyDescent="0.2">
      <c r="A157" s="13">
        <v>45689</v>
      </c>
      <c r="B157" s="14">
        <f>24.9082 * CHOOSE(CONTROL!$C$15, $E$9, 100%, $G$9) + CHOOSE(CONTROL!$C$38, 0.0256, 0)</f>
        <v>24.933800000000002</v>
      </c>
      <c r="C157" s="14">
        <f>23.4486 * CHOOSE(CONTROL!$C$15, $E$9, 100%, $G$9) + CHOOSE(CONTROL!$C$38, 0.0347, 0)</f>
        <v>23.4833</v>
      </c>
      <c r="D157" s="14">
        <f>23.4408 * CHOOSE(CONTROL!$C$15, $E$9, 100%, $G$9) + CHOOSE(CONTROL!$C$38, 0.0347, 0)</f>
        <v>23.4755</v>
      </c>
      <c r="E157" s="46">
        <f>24.752 * CHOOSE(CONTROL!$C$15, $E$9, 100%, $G$9) + CHOOSE(CONTROL!$C$38, 0.0347, 0)</f>
        <v>24.7867</v>
      </c>
      <c r="F157" s="45">
        <f>24.752 * CHOOSE(CONTROL!$C$15, $E$9, 100%, $G$9) + CHOOSE(CONTROL!$C$38, 0.0256, 0)</f>
        <v>24.7776</v>
      </c>
      <c r="G157" s="14">
        <f>23.447 * CHOOSE(CONTROL!$C$15, $E$9, 100%, $G$9) + CHOOSE(CONTROL!$C$38, 0.0347, 0)</f>
        <v>23.4817</v>
      </c>
      <c r="H157" s="14">
        <f>23.447 * CHOOSE(CONTROL!$C$15, $E$9, 100%, $G$9) + CHOOSE(CONTROL!$C$38, 0.0347, 0)</f>
        <v>23.4817</v>
      </c>
      <c r="I157" s="14">
        <f>23.4486 * CHOOSE(CONTROL!$C$15, $E$9, 100%, $G$9) + CHOOSE(CONTROL!$C$38, 0.0347, 0)</f>
        <v>23.4833</v>
      </c>
      <c r="J157" s="44">
        <f>135.3337</f>
        <v>135.33369999999999</v>
      </c>
    </row>
    <row r="158" spans="1:10" ht="15" x14ac:dyDescent="0.2">
      <c r="A158" s="13">
        <v>45717</v>
      </c>
      <c r="B158" s="14">
        <f>24.2596 * CHOOSE(CONTROL!$C$15, $E$9, 100%, $G$9) + CHOOSE(CONTROL!$C$38, 0.0256, 0)</f>
        <v>24.2852</v>
      </c>
      <c r="C158" s="14">
        <f>22.7973 * CHOOSE(CONTROL!$C$15, $E$9, 100%, $G$9) + CHOOSE(CONTROL!$C$38, 0.0347, 0)</f>
        <v>22.832000000000001</v>
      </c>
      <c r="D158" s="14">
        <f>22.7895 * CHOOSE(CONTROL!$C$15, $E$9, 100%, $G$9) + CHOOSE(CONTROL!$C$38, 0.0347, 0)</f>
        <v>22.824200000000001</v>
      </c>
      <c r="E158" s="46">
        <f>24.1033 * CHOOSE(CONTROL!$C$15, $E$9, 100%, $G$9) + CHOOSE(CONTROL!$C$38, 0.0347, 0)</f>
        <v>24.138000000000002</v>
      </c>
      <c r="F158" s="45">
        <f>24.1033 * CHOOSE(CONTROL!$C$15, $E$9, 100%, $G$9) + CHOOSE(CONTROL!$C$38, 0.0256, 0)</f>
        <v>24.128900000000002</v>
      </c>
      <c r="G158" s="14">
        <f>22.7957 * CHOOSE(CONTROL!$C$15, $E$9, 100%, $G$9) + CHOOSE(CONTROL!$C$38, 0.0347, 0)</f>
        <v>22.830400000000001</v>
      </c>
      <c r="H158" s="14">
        <f>22.7957 * CHOOSE(CONTROL!$C$15, $E$9, 100%, $G$9) + CHOOSE(CONTROL!$C$38, 0.0347, 0)</f>
        <v>22.830400000000001</v>
      </c>
      <c r="I158" s="14">
        <f>22.7973 * CHOOSE(CONTROL!$C$15, $E$9, 100%, $G$9) + CHOOSE(CONTROL!$C$38, 0.0347, 0)</f>
        <v>22.832000000000001</v>
      </c>
      <c r="J158" s="44">
        <f>142.7601</f>
        <v>142.76009999999999</v>
      </c>
    </row>
    <row r="159" spans="1:10" ht="15" x14ac:dyDescent="0.2">
      <c r="A159" s="13">
        <v>45748</v>
      </c>
      <c r="B159" s="14">
        <f>23.6299 * CHOOSE(CONTROL!$C$15, $E$9, 100%, $G$9) + CHOOSE(CONTROL!$C$38, 0.0256, 0)</f>
        <v>23.6555</v>
      </c>
      <c r="C159" s="14">
        <f>22.1649 * CHOOSE(CONTROL!$C$15, $E$9, 100%, $G$9) + CHOOSE(CONTROL!$C$38, 0.0347, 0)</f>
        <v>22.1996</v>
      </c>
      <c r="D159" s="14">
        <f>22.1571 * CHOOSE(CONTROL!$C$15, $E$9, 100%, $G$9) + CHOOSE(CONTROL!$C$38, 0.0347, 0)</f>
        <v>22.191800000000001</v>
      </c>
      <c r="E159" s="46">
        <f>23.4736 * CHOOSE(CONTROL!$C$15, $E$9, 100%, $G$9) + CHOOSE(CONTROL!$C$38, 0.0347, 0)</f>
        <v>23.508300000000002</v>
      </c>
      <c r="F159" s="45">
        <f>23.4736 * CHOOSE(CONTROL!$C$15, $E$9, 100%, $G$9) + CHOOSE(CONTROL!$C$38, 0.0256, 0)</f>
        <v>23.499200000000002</v>
      </c>
      <c r="G159" s="14">
        <f>22.1633 * CHOOSE(CONTROL!$C$15, $E$9, 100%, $G$9) + CHOOSE(CONTROL!$C$38, 0.0347, 0)</f>
        <v>22.198</v>
      </c>
      <c r="H159" s="14">
        <f>22.1633 * CHOOSE(CONTROL!$C$15, $E$9, 100%, $G$9) + CHOOSE(CONTROL!$C$38, 0.0347, 0)</f>
        <v>22.198</v>
      </c>
      <c r="I159" s="14">
        <f>22.1649 * CHOOSE(CONTROL!$C$15, $E$9, 100%, $G$9) + CHOOSE(CONTROL!$C$38, 0.0347, 0)</f>
        <v>22.1996</v>
      </c>
      <c r="J159" s="44">
        <f>152.3419</f>
        <v>152.34190000000001</v>
      </c>
    </row>
    <row r="160" spans="1:10" ht="15" x14ac:dyDescent="0.2">
      <c r="A160" s="13">
        <v>45778</v>
      </c>
      <c r="B160" s="14">
        <f>22.9687 * CHOOSE(CONTROL!$C$15, $E$9, 100%, $G$9) + CHOOSE(CONTROL!$C$38, 0.0278, 0)</f>
        <v>22.996499999999997</v>
      </c>
      <c r="C160" s="14">
        <f>21.501 * CHOOSE(CONTROL!$C$15, $E$9, 100%, $G$9) + CHOOSE(CONTROL!$C$38, 0.0369, 0)</f>
        <v>21.5379</v>
      </c>
      <c r="D160" s="14">
        <f>21.4932 * CHOOSE(CONTROL!$C$15, $E$9, 100%, $G$9) + CHOOSE(CONTROL!$C$38, 0.0369, 0)</f>
        <v>21.530100000000001</v>
      </c>
      <c r="E160" s="46">
        <f>22.8125 * CHOOSE(CONTROL!$C$15, $E$9, 100%, $G$9) + CHOOSE(CONTROL!$C$38, 0.0369, 0)</f>
        <v>22.849399999999999</v>
      </c>
      <c r="F160" s="45">
        <f>22.8125 * CHOOSE(CONTROL!$C$15, $E$9, 100%, $G$9) + CHOOSE(CONTROL!$C$38, 0.0278, 0)</f>
        <v>22.840299999999999</v>
      </c>
      <c r="G160" s="14">
        <f>21.4995 * CHOOSE(CONTROL!$C$15, $E$9, 100%, $G$9) + CHOOSE(CONTROL!$C$38, 0.0369, 0)</f>
        <v>21.5364</v>
      </c>
      <c r="H160" s="14">
        <f>21.4995 * CHOOSE(CONTROL!$C$15, $E$9, 100%, $G$9) + CHOOSE(CONTROL!$C$38, 0.0369, 0)</f>
        <v>21.5364</v>
      </c>
      <c r="I160" s="14">
        <f>21.501 * CHOOSE(CONTROL!$C$15, $E$9, 100%, $G$9) + CHOOSE(CONTROL!$C$38, 0.0369, 0)</f>
        <v>21.5379</v>
      </c>
      <c r="J160" s="44">
        <f>157.7785</f>
        <v>157.77850000000001</v>
      </c>
    </row>
    <row r="161" spans="1:10" ht="15" x14ac:dyDescent="0.2">
      <c r="A161" s="13">
        <v>45809</v>
      </c>
      <c r="B161" s="14">
        <f>22.517 * CHOOSE(CONTROL!$C$15, $E$9, 100%, $G$9) + CHOOSE(CONTROL!$C$38, 0.0278, 0)</f>
        <v>22.544799999999999</v>
      </c>
      <c r="C161" s="14">
        <f>21.0466 * CHOOSE(CONTROL!$C$15, $E$9, 100%, $G$9) + CHOOSE(CONTROL!$C$38, 0.0369, 0)</f>
        <v>21.083500000000001</v>
      </c>
      <c r="D161" s="14">
        <f>21.0388 * CHOOSE(CONTROL!$C$15, $E$9, 100%, $G$9) + CHOOSE(CONTROL!$C$38, 0.0369, 0)</f>
        <v>21.075699999999998</v>
      </c>
      <c r="E161" s="46">
        <f>22.3608 * CHOOSE(CONTROL!$C$15, $E$9, 100%, $G$9) + CHOOSE(CONTROL!$C$38, 0.0369, 0)</f>
        <v>22.3977</v>
      </c>
      <c r="F161" s="45">
        <f>22.3608 * CHOOSE(CONTROL!$C$15, $E$9, 100%, $G$9) + CHOOSE(CONTROL!$C$38, 0.0278, 0)</f>
        <v>22.3886</v>
      </c>
      <c r="G161" s="14">
        <f>21.045 * CHOOSE(CONTROL!$C$15, $E$9, 100%, $G$9) + CHOOSE(CONTROL!$C$38, 0.0369, 0)</f>
        <v>21.081900000000001</v>
      </c>
      <c r="H161" s="14">
        <f>21.045 * CHOOSE(CONTROL!$C$15, $E$9, 100%, $G$9) + CHOOSE(CONTROL!$C$38, 0.0369, 0)</f>
        <v>21.081900000000001</v>
      </c>
      <c r="I161" s="14">
        <f>21.0466 * CHOOSE(CONTROL!$C$15, $E$9, 100%, $G$9) + CHOOSE(CONTROL!$C$38, 0.0369, 0)</f>
        <v>21.083500000000001</v>
      </c>
      <c r="J161" s="44">
        <f>160.3816</f>
        <v>160.38159999999999</v>
      </c>
    </row>
    <row r="162" spans="1:10" ht="15" x14ac:dyDescent="0.2">
      <c r="A162" s="13">
        <v>45839</v>
      </c>
      <c r="B162" s="14">
        <f>22.2775 * CHOOSE(CONTROL!$C$15, $E$9, 100%, $G$9) + CHOOSE(CONTROL!$C$38, 0.0278, 0)</f>
        <v>22.305299999999999</v>
      </c>
      <c r="C162" s="14">
        <f>20.8044 * CHOOSE(CONTROL!$C$15, $E$9, 100%, $G$9) + CHOOSE(CONTROL!$C$38, 0.0369, 0)</f>
        <v>20.8413</v>
      </c>
      <c r="D162" s="14">
        <f>20.7965 * CHOOSE(CONTROL!$C$15, $E$9, 100%, $G$9) + CHOOSE(CONTROL!$C$38, 0.0369, 0)</f>
        <v>20.833400000000001</v>
      </c>
      <c r="E162" s="46">
        <f>22.1212 * CHOOSE(CONTROL!$C$15, $E$9, 100%, $G$9) + CHOOSE(CONTROL!$C$38, 0.0369, 0)</f>
        <v>22.158100000000001</v>
      </c>
      <c r="F162" s="45">
        <f>22.1212 * CHOOSE(CONTROL!$C$15, $E$9, 100%, $G$9) + CHOOSE(CONTROL!$C$38, 0.0278, 0)</f>
        <v>22.149000000000001</v>
      </c>
      <c r="G162" s="14">
        <f>20.8028 * CHOOSE(CONTROL!$C$15, $E$9, 100%, $G$9) + CHOOSE(CONTROL!$C$38, 0.0369, 0)</f>
        <v>20.839700000000001</v>
      </c>
      <c r="H162" s="14">
        <f>20.8028 * CHOOSE(CONTROL!$C$15, $E$9, 100%, $G$9) + CHOOSE(CONTROL!$C$38, 0.0369, 0)</f>
        <v>20.839700000000001</v>
      </c>
      <c r="I162" s="14">
        <f>20.8044 * CHOOSE(CONTROL!$C$15, $E$9, 100%, $G$9) + CHOOSE(CONTROL!$C$38, 0.0369, 0)</f>
        <v>20.8413</v>
      </c>
      <c r="J162" s="44">
        <f>159.9604</f>
        <v>159.96039999999999</v>
      </c>
    </row>
    <row r="163" spans="1:10" ht="15" x14ac:dyDescent="0.2">
      <c r="A163" s="13">
        <v>45870</v>
      </c>
      <c r="B163" s="14">
        <f>22.4629 * CHOOSE(CONTROL!$C$15, $E$9, 100%, $G$9) + CHOOSE(CONTROL!$C$38, 0.0278, 0)</f>
        <v>22.4907</v>
      </c>
      <c r="C163" s="14">
        <f>20.987 * CHOOSE(CONTROL!$C$15, $E$9, 100%, $G$9) + CHOOSE(CONTROL!$C$38, 0.0369, 0)</f>
        <v>21.023899999999998</v>
      </c>
      <c r="D163" s="14">
        <f>20.9792 * CHOOSE(CONTROL!$C$15, $E$9, 100%, $G$9) + CHOOSE(CONTROL!$C$38, 0.0369, 0)</f>
        <v>21.016099999999998</v>
      </c>
      <c r="E163" s="46">
        <f>22.3066 * CHOOSE(CONTROL!$C$15, $E$9, 100%, $G$9) + CHOOSE(CONTROL!$C$38, 0.0369, 0)</f>
        <v>22.343499999999999</v>
      </c>
      <c r="F163" s="45">
        <f>22.3066 * CHOOSE(CONTROL!$C$15, $E$9, 100%, $G$9) + CHOOSE(CONTROL!$C$38, 0.0278, 0)</f>
        <v>22.334399999999999</v>
      </c>
      <c r="G163" s="14">
        <f>20.9855 * CHOOSE(CONTROL!$C$15, $E$9, 100%, $G$9) + CHOOSE(CONTROL!$C$38, 0.0369, 0)</f>
        <v>21.022399999999998</v>
      </c>
      <c r="H163" s="14">
        <f>20.9855 * CHOOSE(CONTROL!$C$15, $E$9, 100%, $G$9) + CHOOSE(CONTROL!$C$38, 0.0369, 0)</f>
        <v>21.022399999999998</v>
      </c>
      <c r="I163" s="14">
        <f>20.987 * CHOOSE(CONTROL!$C$15, $E$9, 100%, $G$9) + CHOOSE(CONTROL!$C$38, 0.0369, 0)</f>
        <v>21.023899999999998</v>
      </c>
      <c r="J163" s="44">
        <f>156.5584</f>
        <v>156.55840000000001</v>
      </c>
    </row>
    <row r="164" spans="1:10" ht="15" x14ac:dyDescent="0.2">
      <c r="A164" s="13">
        <v>45901</v>
      </c>
      <c r="B164" s="14">
        <f>22.891 * CHOOSE(CONTROL!$C$15, $E$9, 100%, $G$9) + CHOOSE(CONTROL!$C$38, 0.0278, 0)</f>
        <v>22.918799999999997</v>
      </c>
      <c r="C164" s="14">
        <f>21.4125 * CHOOSE(CONTROL!$C$15, $E$9, 100%, $G$9) + CHOOSE(CONTROL!$C$38, 0.0369, 0)</f>
        <v>21.449400000000001</v>
      </c>
      <c r="D164" s="14">
        <f>21.4046 * CHOOSE(CONTROL!$C$15, $E$9, 100%, $G$9) + CHOOSE(CONTROL!$C$38, 0.0369, 0)</f>
        <v>21.441499999999998</v>
      </c>
      <c r="E164" s="46">
        <f>22.7347 * CHOOSE(CONTROL!$C$15, $E$9, 100%, $G$9) + CHOOSE(CONTROL!$C$38, 0.0369, 0)</f>
        <v>22.771599999999999</v>
      </c>
      <c r="F164" s="45">
        <f>22.7347 * CHOOSE(CONTROL!$C$15, $E$9, 100%, $G$9) + CHOOSE(CONTROL!$C$38, 0.0278, 0)</f>
        <v>22.762499999999999</v>
      </c>
      <c r="G164" s="14">
        <f>21.4109 * CHOOSE(CONTROL!$C$15, $E$9, 100%, $G$9) + CHOOSE(CONTROL!$C$38, 0.0369, 0)</f>
        <v>21.447800000000001</v>
      </c>
      <c r="H164" s="14">
        <f>21.4109 * CHOOSE(CONTROL!$C$15, $E$9, 100%, $G$9) + CHOOSE(CONTROL!$C$38, 0.0369, 0)</f>
        <v>21.447800000000001</v>
      </c>
      <c r="I164" s="14">
        <f>21.4125 * CHOOSE(CONTROL!$C$15, $E$9, 100%, $G$9) + CHOOSE(CONTROL!$C$38, 0.0369, 0)</f>
        <v>21.449400000000001</v>
      </c>
      <c r="J164" s="44">
        <f>151.6664</f>
        <v>151.66640000000001</v>
      </c>
    </row>
    <row r="165" spans="1:10" ht="15" x14ac:dyDescent="0.2">
      <c r="A165" s="13">
        <v>45931</v>
      </c>
      <c r="B165" s="14">
        <f>23.2584 * CHOOSE(CONTROL!$C$15, $E$9, 100%, $G$9) + CHOOSE(CONTROL!$C$38, 0.0256, 0)</f>
        <v>23.284000000000002</v>
      </c>
      <c r="C165" s="14">
        <f>21.7772 * CHOOSE(CONTROL!$C$15, $E$9, 100%, $G$9) + CHOOSE(CONTROL!$C$38, 0.0347, 0)</f>
        <v>21.811900000000001</v>
      </c>
      <c r="D165" s="14">
        <f>21.7693 * CHOOSE(CONTROL!$C$15, $E$9, 100%, $G$9) + CHOOSE(CONTROL!$C$38, 0.0347, 0)</f>
        <v>21.804000000000002</v>
      </c>
      <c r="E165" s="46">
        <f>23.1022 * CHOOSE(CONTROL!$C$15, $E$9, 100%, $G$9) + CHOOSE(CONTROL!$C$38, 0.0347, 0)</f>
        <v>23.136900000000001</v>
      </c>
      <c r="F165" s="45">
        <f>23.1022 * CHOOSE(CONTROL!$C$15, $E$9, 100%, $G$9) + CHOOSE(CONTROL!$C$38, 0.0256, 0)</f>
        <v>23.127800000000001</v>
      </c>
      <c r="G165" s="14">
        <f>21.7756 * CHOOSE(CONTROL!$C$15, $E$9, 100%, $G$9) + CHOOSE(CONTROL!$C$38, 0.0347, 0)</f>
        <v>21.810300000000002</v>
      </c>
      <c r="H165" s="14">
        <f>21.7756 * CHOOSE(CONTROL!$C$15, $E$9, 100%, $G$9) + CHOOSE(CONTROL!$C$38, 0.0347, 0)</f>
        <v>21.810300000000002</v>
      </c>
      <c r="I165" s="14">
        <f>21.7772 * CHOOSE(CONTROL!$C$15, $E$9, 100%, $G$9) + CHOOSE(CONTROL!$C$38, 0.0347, 0)</f>
        <v>21.811900000000001</v>
      </c>
      <c r="J165" s="44">
        <f>146.7233</f>
        <v>146.72329999999999</v>
      </c>
    </row>
    <row r="166" spans="1:10" ht="15" x14ac:dyDescent="0.2">
      <c r="A166" s="13">
        <v>45962</v>
      </c>
      <c r="B166" s="14">
        <f>23.5739 * CHOOSE(CONTROL!$C$15, $E$9, 100%, $G$9) + CHOOSE(CONTROL!$C$38, 0.0256, 0)</f>
        <v>23.599499999999999</v>
      </c>
      <c r="C166" s="14">
        <f>22.0899 * CHOOSE(CONTROL!$C$15, $E$9, 100%, $G$9) + CHOOSE(CONTROL!$C$38, 0.0347, 0)</f>
        <v>22.124600000000001</v>
      </c>
      <c r="D166" s="14">
        <f>22.0821 * CHOOSE(CONTROL!$C$15, $E$9, 100%, $G$9) + CHOOSE(CONTROL!$C$38, 0.0347, 0)</f>
        <v>22.116800000000001</v>
      </c>
      <c r="E166" s="46">
        <f>23.4177 * CHOOSE(CONTROL!$C$15, $E$9, 100%, $G$9) + CHOOSE(CONTROL!$C$38, 0.0347, 0)</f>
        <v>23.452400000000001</v>
      </c>
      <c r="F166" s="45">
        <f>23.4177 * CHOOSE(CONTROL!$C$15, $E$9, 100%, $G$9) + CHOOSE(CONTROL!$C$38, 0.0256, 0)</f>
        <v>23.443300000000001</v>
      </c>
      <c r="G166" s="14">
        <f>22.0884 * CHOOSE(CONTROL!$C$15, $E$9, 100%, $G$9) + CHOOSE(CONTROL!$C$38, 0.0347, 0)</f>
        <v>22.123100000000001</v>
      </c>
      <c r="H166" s="14">
        <f>22.0884 * CHOOSE(CONTROL!$C$15, $E$9, 100%, $G$9) + CHOOSE(CONTROL!$C$38, 0.0347, 0)</f>
        <v>22.123100000000001</v>
      </c>
      <c r="I166" s="14">
        <f>22.0899 * CHOOSE(CONTROL!$C$15, $E$9, 100%, $G$9) + CHOOSE(CONTROL!$C$38, 0.0347, 0)</f>
        <v>22.124600000000001</v>
      </c>
      <c r="J166" s="44">
        <f>145.9779</f>
        <v>145.97790000000001</v>
      </c>
    </row>
    <row r="167" spans="1:10" ht="15" x14ac:dyDescent="0.2">
      <c r="A167" s="13">
        <v>45992</v>
      </c>
      <c r="B167" s="14">
        <f>24.4514 * CHOOSE(CONTROL!$C$15, $E$9, 100%, $G$9) + CHOOSE(CONTROL!$C$38, 0.0256, 0)</f>
        <v>24.477</v>
      </c>
      <c r="C167" s="14">
        <f>22.9647 * CHOOSE(CONTROL!$C$15, $E$9, 100%, $G$9) + CHOOSE(CONTROL!$C$38, 0.0347, 0)</f>
        <v>22.999400000000001</v>
      </c>
      <c r="D167" s="14">
        <f>22.9569 * CHOOSE(CONTROL!$C$15, $E$9, 100%, $G$9) + CHOOSE(CONTROL!$C$38, 0.0347, 0)</f>
        <v>22.991600000000002</v>
      </c>
      <c r="E167" s="46">
        <f>24.2951 * CHOOSE(CONTROL!$C$15, $E$9, 100%, $G$9) + CHOOSE(CONTROL!$C$38, 0.0347, 0)</f>
        <v>24.329800000000002</v>
      </c>
      <c r="F167" s="45">
        <f>24.2951 * CHOOSE(CONTROL!$C$15, $E$9, 100%, $G$9) + CHOOSE(CONTROL!$C$38, 0.0256, 0)</f>
        <v>24.320700000000002</v>
      </c>
      <c r="G167" s="14">
        <f>22.9631 * CHOOSE(CONTROL!$C$15, $E$9, 100%, $G$9) + CHOOSE(CONTROL!$C$38, 0.0347, 0)</f>
        <v>22.997800000000002</v>
      </c>
      <c r="H167" s="14">
        <f>22.9631 * CHOOSE(CONTROL!$C$15, $E$9, 100%, $G$9) + CHOOSE(CONTROL!$C$38, 0.0347, 0)</f>
        <v>22.997800000000002</v>
      </c>
      <c r="I167" s="14">
        <f>22.9647 * CHOOSE(CONTROL!$C$15, $E$9, 100%, $G$9) + CHOOSE(CONTROL!$C$38, 0.0347, 0)</f>
        <v>22.999400000000001</v>
      </c>
      <c r="J167" s="44">
        <f>141.9377</f>
        <v>141.93770000000001</v>
      </c>
    </row>
    <row r="168" spans="1:10" ht="15" x14ac:dyDescent="0.2">
      <c r="A168" s="13">
        <v>46023</v>
      </c>
      <c r="B168" s="14">
        <f>25.1208 * CHOOSE(CONTROL!$C$15, $E$9, 100%, $G$9) + CHOOSE(CONTROL!$C$38, 0.0256, 0)</f>
        <v>25.1464</v>
      </c>
      <c r="C168" s="14">
        <f>23.6575 * CHOOSE(CONTROL!$C$15, $E$9, 100%, $G$9) + CHOOSE(CONTROL!$C$38, 0.0347, 0)</f>
        <v>23.6922</v>
      </c>
      <c r="D168" s="14">
        <f>23.6497 * CHOOSE(CONTROL!$C$15, $E$9, 100%, $G$9) + CHOOSE(CONTROL!$C$38, 0.0347, 0)</f>
        <v>23.6844</v>
      </c>
      <c r="E168" s="46">
        <f>24.9646 * CHOOSE(CONTROL!$C$15, $E$9, 100%, $G$9) + CHOOSE(CONTROL!$C$38, 0.0347, 0)</f>
        <v>24.999300000000002</v>
      </c>
      <c r="F168" s="45">
        <f>24.9646 * CHOOSE(CONTROL!$C$15, $E$9, 100%, $G$9) + CHOOSE(CONTROL!$C$38, 0.0256, 0)</f>
        <v>24.990200000000002</v>
      </c>
      <c r="G168" s="14">
        <f>23.656 * CHOOSE(CONTROL!$C$15, $E$9, 100%, $G$9) + CHOOSE(CONTROL!$C$38, 0.0347, 0)</f>
        <v>23.6907</v>
      </c>
      <c r="H168" s="14">
        <f>23.656 * CHOOSE(CONTROL!$C$15, $E$9, 100%, $G$9) + CHOOSE(CONTROL!$C$38, 0.0347, 0)</f>
        <v>23.6907</v>
      </c>
      <c r="I168" s="14">
        <f>23.6575 * CHOOSE(CONTROL!$C$15, $E$9, 100%, $G$9) + CHOOSE(CONTROL!$C$38, 0.0347, 0)</f>
        <v>23.6922</v>
      </c>
      <c r="J168" s="44">
        <f>138.8436</f>
        <v>138.84360000000001</v>
      </c>
    </row>
    <row r="169" spans="1:10" ht="15" x14ac:dyDescent="0.2">
      <c r="A169" s="13">
        <v>46054</v>
      </c>
      <c r="B169" s="14">
        <f>25.4801 * CHOOSE(CONTROL!$C$15, $E$9, 100%, $G$9) + CHOOSE(CONTROL!$C$38, 0.0256, 0)</f>
        <v>25.505700000000001</v>
      </c>
      <c r="C169" s="14">
        <f>24.014 * CHOOSE(CONTROL!$C$15, $E$9, 100%, $G$9) + CHOOSE(CONTROL!$C$38, 0.0347, 0)</f>
        <v>24.0487</v>
      </c>
      <c r="D169" s="14">
        <f>24.0062 * CHOOSE(CONTROL!$C$15, $E$9, 100%, $G$9) + CHOOSE(CONTROL!$C$38, 0.0347, 0)</f>
        <v>24.040900000000001</v>
      </c>
      <c r="E169" s="46">
        <f>25.3238 * CHOOSE(CONTROL!$C$15, $E$9, 100%, $G$9) + CHOOSE(CONTROL!$C$38, 0.0347, 0)</f>
        <v>25.358499999999999</v>
      </c>
      <c r="F169" s="45">
        <f>25.3238 * CHOOSE(CONTROL!$C$15, $E$9, 100%, $G$9) + CHOOSE(CONTROL!$C$38, 0.0256, 0)</f>
        <v>25.349399999999999</v>
      </c>
      <c r="G169" s="14">
        <f>24.0125 * CHOOSE(CONTROL!$C$15, $E$9, 100%, $G$9) + CHOOSE(CONTROL!$C$38, 0.0347, 0)</f>
        <v>24.0472</v>
      </c>
      <c r="H169" s="14">
        <f>24.0125 * CHOOSE(CONTROL!$C$15, $E$9, 100%, $G$9) + CHOOSE(CONTROL!$C$38, 0.0347, 0)</f>
        <v>24.0472</v>
      </c>
      <c r="I169" s="14">
        <f>24.014 * CHOOSE(CONTROL!$C$15, $E$9, 100%, $G$9) + CHOOSE(CONTROL!$C$38, 0.0347, 0)</f>
        <v>24.0487</v>
      </c>
      <c r="J169" s="44">
        <f>138.7429</f>
        <v>138.74289999999999</v>
      </c>
    </row>
    <row r="170" spans="1:10" ht="15" x14ac:dyDescent="0.2">
      <c r="A170" s="13">
        <v>46082</v>
      </c>
      <c r="B170" s="14">
        <f>24.8151 * CHOOSE(CONTROL!$C$15, $E$9, 100%, $G$9) + CHOOSE(CONTROL!$C$38, 0.0256, 0)</f>
        <v>24.840700000000002</v>
      </c>
      <c r="C170" s="14">
        <f>23.3464 * CHOOSE(CONTROL!$C$15, $E$9, 100%, $G$9) + CHOOSE(CONTROL!$C$38, 0.0347, 0)</f>
        <v>23.3811</v>
      </c>
      <c r="D170" s="14">
        <f>23.3386 * CHOOSE(CONTROL!$C$15, $E$9, 100%, $G$9) + CHOOSE(CONTROL!$C$38, 0.0347, 0)</f>
        <v>23.3733</v>
      </c>
      <c r="E170" s="46">
        <f>24.6589 * CHOOSE(CONTROL!$C$15, $E$9, 100%, $G$9) + CHOOSE(CONTROL!$C$38, 0.0347, 0)</f>
        <v>24.6936</v>
      </c>
      <c r="F170" s="45">
        <f>24.6589 * CHOOSE(CONTROL!$C$15, $E$9, 100%, $G$9) + CHOOSE(CONTROL!$C$38, 0.0256, 0)</f>
        <v>24.6845</v>
      </c>
      <c r="G170" s="14">
        <f>23.3448 * CHOOSE(CONTROL!$C$15, $E$9, 100%, $G$9) + CHOOSE(CONTROL!$C$38, 0.0347, 0)</f>
        <v>23.3795</v>
      </c>
      <c r="H170" s="14">
        <f>23.3448 * CHOOSE(CONTROL!$C$15, $E$9, 100%, $G$9) + CHOOSE(CONTROL!$C$38, 0.0347, 0)</f>
        <v>23.3795</v>
      </c>
      <c r="I170" s="14">
        <f>23.3464 * CHOOSE(CONTROL!$C$15, $E$9, 100%, $G$9) + CHOOSE(CONTROL!$C$38, 0.0347, 0)</f>
        <v>23.3811</v>
      </c>
      <c r="J170" s="44">
        <f>146.3563</f>
        <v>146.3563</v>
      </c>
    </row>
    <row r="171" spans="1:10" ht="15" x14ac:dyDescent="0.2">
      <c r="A171" s="13">
        <v>46113</v>
      </c>
      <c r="B171" s="14">
        <f>24.1696 * CHOOSE(CONTROL!$C$15, $E$9, 100%, $G$9) + CHOOSE(CONTROL!$C$38, 0.0256, 0)</f>
        <v>24.1952</v>
      </c>
      <c r="C171" s="14">
        <f>22.6982 * CHOOSE(CONTROL!$C$15, $E$9, 100%, $G$9) + CHOOSE(CONTROL!$C$38, 0.0347, 0)</f>
        <v>22.732900000000001</v>
      </c>
      <c r="D171" s="14">
        <f>22.6904 * CHOOSE(CONTROL!$C$15, $E$9, 100%, $G$9) + CHOOSE(CONTROL!$C$38, 0.0347, 0)</f>
        <v>22.725100000000001</v>
      </c>
      <c r="E171" s="46">
        <f>24.0133 * CHOOSE(CONTROL!$C$15, $E$9, 100%, $G$9) + CHOOSE(CONTROL!$C$38, 0.0347, 0)</f>
        <v>24.048000000000002</v>
      </c>
      <c r="F171" s="45">
        <f>24.0133 * CHOOSE(CONTROL!$C$15, $E$9, 100%, $G$9) + CHOOSE(CONTROL!$C$38, 0.0256, 0)</f>
        <v>24.038900000000002</v>
      </c>
      <c r="G171" s="14">
        <f>22.6966 * CHOOSE(CONTROL!$C$15, $E$9, 100%, $G$9) + CHOOSE(CONTROL!$C$38, 0.0347, 0)</f>
        <v>22.731300000000001</v>
      </c>
      <c r="H171" s="14">
        <f>22.6966 * CHOOSE(CONTROL!$C$15, $E$9, 100%, $G$9) + CHOOSE(CONTROL!$C$38, 0.0347, 0)</f>
        <v>22.731300000000001</v>
      </c>
      <c r="I171" s="14">
        <f>22.6982 * CHOOSE(CONTROL!$C$15, $E$9, 100%, $G$9) + CHOOSE(CONTROL!$C$38, 0.0347, 0)</f>
        <v>22.732900000000001</v>
      </c>
      <c r="J171" s="44">
        <f>156.1795</f>
        <v>156.17949999999999</v>
      </c>
    </row>
    <row r="172" spans="1:10" ht="15" x14ac:dyDescent="0.2">
      <c r="A172" s="13">
        <v>46143</v>
      </c>
      <c r="B172" s="14">
        <f>23.4918 * CHOOSE(CONTROL!$C$15, $E$9, 100%, $G$9) + CHOOSE(CONTROL!$C$38, 0.0278, 0)</f>
        <v>23.519600000000001</v>
      </c>
      <c r="C172" s="14">
        <f>22.0177 * CHOOSE(CONTROL!$C$15, $E$9, 100%, $G$9) + CHOOSE(CONTROL!$C$38, 0.0369, 0)</f>
        <v>22.054600000000001</v>
      </c>
      <c r="D172" s="14">
        <f>22.0099 * CHOOSE(CONTROL!$C$15, $E$9, 100%, $G$9) + CHOOSE(CONTROL!$C$38, 0.0369, 0)</f>
        <v>22.046799999999998</v>
      </c>
      <c r="E172" s="46">
        <f>23.3356 * CHOOSE(CONTROL!$C$15, $E$9, 100%, $G$9) + CHOOSE(CONTROL!$C$38, 0.0369, 0)</f>
        <v>23.372499999999999</v>
      </c>
      <c r="F172" s="45">
        <f>23.3356 * CHOOSE(CONTROL!$C$15, $E$9, 100%, $G$9) + CHOOSE(CONTROL!$C$38, 0.0278, 0)</f>
        <v>23.363399999999999</v>
      </c>
      <c r="G172" s="14">
        <f>22.0161 * CHOOSE(CONTROL!$C$15, $E$9, 100%, $G$9) + CHOOSE(CONTROL!$C$38, 0.0369, 0)</f>
        <v>22.053000000000001</v>
      </c>
      <c r="H172" s="14">
        <f>22.0161 * CHOOSE(CONTROL!$C$15, $E$9, 100%, $G$9) + CHOOSE(CONTROL!$C$38, 0.0369, 0)</f>
        <v>22.053000000000001</v>
      </c>
      <c r="I172" s="14">
        <f>22.0177 * CHOOSE(CONTROL!$C$15, $E$9, 100%, $G$9) + CHOOSE(CONTROL!$C$38, 0.0369, 0)</f>
        <v>22.054600000000001</v>
      </c>
      <c r="J172" s="44">
        <f>161.7531</f>
        <v>161.75309999999999</v>
      </c>
    </row>
    <row r="173" spans="1:10" ht="15" x14ac:dyDescent="0.2">
      <c r="A173" s="13">
        <v>46174</v>
      </c>
      <c r="B173" s="14">
        <f>23.0287 * CHOOSE(CONTROL!$C$15, $E$9, 100%, $G$9) + CHOOSE(CONTROL!$C$38, 0.0278, 0)</f>
        <v>23.0565</v>
      </c>
      <c r="C173" s="14">
        <f>21.5519 * CHOOSE(CONTROL!$C$15, $E$9, 100%, $G$9) + CHOOSE(CONTROL!$C$38, 0.0369, 0)</f>
        <v>21.588799999999999</v>
      </c>
      <c r="D173" s="14">
        <f>21.5441 * CHOOSE(CONTROL!$C$15, $E$9, 100%, $G$9) + CHOOSE(CONTROL!$C$38, 0.0369, 0)</f>
        <v>21.581</v>
      </c>
      <c r="E173" s="46">
        <f>22.8725 * CHOOSE(CONTROL!$C$15, $E$9, 100%, $G$9) + CHOOSE(CONTROL!$C$38, 0.0369, 0)</f>
        <v>22.909399999999998</v>
      </c>
      <c r="F173" s="45">
        <f>22.8725 * CHOOSE(CONTROL!$C$15, $E$9, 100%, $G$9) + CHOOSE(CONTROL!$C$38, 0.0278, 0)</f>
        <v>22.900299999999998</v>
      </c>
      <c r="G173" s="14">
        <f>21.5503 * CHOOSE(CONTROL!$C$15, $E$9, 100%, $G$9) + CHOOSE(CONTROL!$C$38, 0.0369, 0)</f>
        <v>21.587199999999999</v>
      </c>
      <c r="H173" s="14">
        <f>21.5503 * CHOOSE(CONTROL!$C$15, $E$9, 100%, $G$9) + CHOOSE(CONTROL!$C$38, 0.0369, 0)</f>
        <v>21.587199999999999</v>
      </c>
      <c r="I173" s="14">
        <f>21.5519 * CHOOSE(CONTROL!$C$15, $E$9, 100%, $G$9) + CHOOSE(CONTROL!$C$38, 0.0369, 0)</f>
        <v>21.588799999999999</v>
      </c>
      <c r="J173" s="44">
        <f>164.4217</f>
        <v>164.42169999999999</v>
      </c>
    </row>
    <row r="174" spans="1:10" ht="15" x14ac:dyDescent="0.2">
      <c r="A174" s="13">
        <v>46204</v>
      </c>
      <c r="B174" s="14">
        <f>22.7831 * CHOOSE(CONTROL!$C$15, $E$9, 100%, $G$9) + CHOOSE(CONTROL!$C$38, 0.0278, 0)</f>
        <v>22.8109</v>
      </c>
      <c r="C174" s="14">
        <f>21.3036 * CHOOSE(CONTROL!$C$15, $E$9, 100%, $G$9) + CHOOSE(CONTROL!$C$38, 0.0369, 0)</f>
        <v>21.340499999999999</v>
      </c>
      <c r="D174" s="14">
        <f>21.2958 * CHOOSE(CONTROL!$C$15, $E$9, 100%, $G$9) + CHOOSE(CONTROL!$C$38, 0.0369, 0)</f>
        <v>21.332699999999999</v>
      </c>
      <c r="E174" s="46">
        <f>22.6269 * CHOOSE(CONTROL!$C$15, $E$9, 100%, $G$9) + CHOOSE(CONTROL!$C$38, 0.0369, 0)</f>
        <v>22.663799999999998</v>
      </c>
      <c r="F174" s="45">
        <f>22.6269 * CHOOSE(CONTROL!$C$15, $E$9, 100%, $G$9) + CHOOSE(CONTROL!$C$38, 0.0278, 0)</f>
        <v>22.654699999999998</v>
      </c>
      <c r="G174" s="14">
        <f>21.302 * CHOOSE(CONTROL!$C$15, $E$9, 100%, $G$9) + CHOOSE(CONTROL!$C$38, 0.0369, 0)</f>
        <v>21.338899999999999</v>
      </c>
      <c r="H174" s="14">
        <f>21.302 * CHOOSE(CONTROL!$C$15, $E$9, 100%, $G$9) + CHOOSE(CONTROL!$C$38, 0.0369, 0)</f>
        <v>21.338899999999999</v>
      </c>
      <c r="I174" s="14">
        <f>21.3036 * CHOOSE(CONTROL!$C$15, $E$9, 100%, $G$9) + CHOOSE(CONTROL!$C$38, 0.0369, 0)</f>
        <v>21.340499999999999</v>
      </c>
      <c r="J174" s="44">
        <f>163.9899</f>
        <v>163.98990000000001</v>
      </c>
    </row>
    <row r="175" spans="1:10" ht="15" x14ac:dyDescent="0.2">
      <c r="A175" s="13">
        <v>46235</v>
      </c>
      <c r="B175" s="14">
        <f>22.9731 * CHOOSE(CONTROL!$C$15, $E$9, 100%, $G$9) + CHOOSE(CONTROL!$C$38, 0.0278, 0)</f>
        <v>23.000899999999998</v>
      </c>
      <c r="C175" s="14">
        <f>21.4908 * CHOOSE(CONTROL!$C$15, $E$9, 100%, $G$9) + CHOOSE(CONTROL!$C$38, 0.0369, 0)</f>
        <v>21.527699999999999</v>
      </c>
      <c r="D175" s="14">
        <f>21.483 * CHOOSE(CONTROL!$C$15, $E$9, 100%, $G$9) + CHOOSE(CONTROL!$C$38, 0.0369, 0)</f>
        <v>21.5199</v>
      </c>
      <c r="E175" s="46">
        <f>22.8168 * CHOOSE(CONTROL!$C$15, $E$9, 100%, $G$9) + CHOOSE(CONTROL!$C$38, 0.0369, 0)</f>
        <v>22.8537</v>
      </c>
      <c r="F175" s="45">
        <f>22.8168 * CHOOSE(CONTROL!$C$15, $E$9, 100%, $G$9) + CHOOSE(CONTROL!$C$38, 0.0278, 0)</f>
        <v>22.8446</v>
      </c>
      <c r="G175" s="14">
        <f>21.4892 * CHOOSE(CONTROL!$C$15, $E$9, 100%, $G$9) + CHOOSE(CONTROL!$C$38, 0.0369, 0)</f>
        <v>21.5261</v>
      </c>
      <c r="H175" s="14">
        <f>21.4892 * CHOOSE(CONTROL!$C$15, $E$9, 100%, $G$9) + CHOOSE(CONTROL!$C$38, 0.0369, 0)</f>
        <v>21.5261</v>
      </c>
      <c r="I175" s="14">
        <f>21.4908 * CHOOSE(CONTROL!$C$15, $E$9, 100%, $G$9) + CHOOSE(CONTROL!$C$38, 0.0369, 0)</f>
        <v>21.527699999999999</v>
      </c>
      <c r="J175" s="44">
        <f>160.5022</f>
        <v>160.50219999999999</v>
      </c>
    </row>
    <row r="176" spans="1:10" ht="15" x14ac:dyDescent="0.2">
      <c r="A176" s="13">
        <v>46266</v>
      </c>
      <c r="B176" s="14">
        <f>23.4119 * CHOOSE(CONTROL!$C$15, $E$9, 100%, $G$9) + CHOOSE(CONTROL!$C$38, 0.0278, 0)</f>
        <v>23.439699999999998</v>
      </c>
      <c r="C176" s="14">
        <f>21.9268 * CHOOSE(CONTROL!$C$15, $E$9, 100%, $G$9) + CHOOSE(CONTROL!$C$38, 0.0369, 0)</f>
        <v>21.963699999999999</v>
      </c>
      <c r="D176" s="14">
        <f>21.919 * CHOOSE(CONTROL!$C$15, $E$9, 100%, $G$9) + CHOOSE(CONTROL!$C$38, 0.0369, 0)</f>
        <v>21.9559</v>
      </c>
      <c r="E176" s="46">
        <f>23.2556 * CHOOSE(CONTROL!$C$15, $E$9, 100%, $G$9) + CHOOSE(CONTROL!$C$38, 0.0369, 0)</f>
        <v>23.2925</v>
      </c>
      <c r="F176" s="45">
        <f>23.2556 * CHOOSE(CONTROL!$C$15, $E$9, 100%, $G$9) + CHOOSE(CONTROL!$C$38, 0.0278, 0)</f>
        <v>23.2834</v>
      </c>
      <c r="G176" s="14">
        <f>21.9253 * CHOOSE(CONTROL!$C$15, $E$9, 100%, $G$9) + CHOOSE(CONTROL!$C$38, 0.0369, 0)</f>
        <v>21.962199999999999</v>
      </c>
      <c r="H176" s="14">
        <f>21.9253 * CHOOSE(CONTROL!$C$15, $E$9, 100%, $G$9) + CHOOSE(CONTROL!$C$38, 0.0369, 0)</f>
        <v>21.962199999999999</v>
      </c>
      <c r="I176" s="14">
        <f>21.9268 * CHOOSE(CONTROL!$C$15, $E$9, 100%, $G$9) + CHOOSE(CONTROL!$C$38, 0.0369, 0)</f>
        <v>21.963699999999999</v>
      </c>
      <c r="J176" s="44">
        <f>155.487</f>
        <v>155.48699999999999</v>
      </c>
    </row>
    <row r="177" spans="1:10" ht="15" x14ac:dyDescent="0.2">
      <c r="A177" s="13">
        <v>46296</v>
      </c>
      <c r="B177" s="14">
        <f>23.7884 * CHOOSE(CONTROL!$C$15, $E$9, 100%, $G$9) + CHOOSE(CONTROL!$C$38, 0.0256, 0)</f>
        <v>23.814</v>
      </c>
      <c r="C177" s="14">
        <f>22.3007 * CHOOSE(CONTROL!$C$15, $E$9, 100%, $G$9) + CHOOSE(CONTROL!$C$38, 0.0347, 0)</f>
        <v>22.3354</v>
      </c>
      <c r="D177" s="14">
        <f>22.2928 * CHOOSE(CONTROL!$C$15, $E$9, 100%, $G$9) + CHOOSE(CONTROL!$C$38, 0.0347, 0)</f>
        <v>22.327500000000001</v>
      </c>
      <c r="E177" s="46">
        <f>23.6322 * CHOOSE(CONTROL!$C$15, $E$9, 100%, $G$9) + CHOOSE(CONTROL!$C$38, 0.0347, 0)</f>
        <v>23.666900000000002</v>
      </c>
      <c r="F177" s="45">
        <f>23.6322 * CHOOSE(CONTROL!$C$15, $E$9, 100%, $G$9) + CHOOSE(CONTROL!$C$38, 0.0256, 0)</f>
        <v>23.657800000000002</v>
      </c>
      <c r="G177" s="14">
        <f>22.2991 * CHOOSE(CONTROL!$C$15, $E$9, 100%, $G$9) + CHOOSE(CONTROL!$C$38, 0.0347, 0)</f>
        <v>22.3338</v>
      </c>
      <c r="H177" s="14">
        <f>22.2991 * CHOOSE(CONTROL!$C$15, $E$9, 100%, $G$9) + CHOOSE(CONTROL!$C$38, 0.0347, 0)</f>
        <v>22.3338</v>
      </c>
      <c r="I177" s="14">
        <f>22.3007 * CHOOSE(CONTROL!$C$15, $E$9, 100%, $G$9) + CHOOSE(CONTROL!$C$38, 0.0347, 0)</f>
        <v>22.3354</v>
      </c>
      <c r="J177" s="44">
        <f>150.4193</f>
        <v>150.41929999999999</v>
      </c>
    </row>
    <row r="178" spans="1:10" ht="15" x14ac:dyDescent="0.2">
      <c r="A178" s="13">
        <v>46327</v>
      </c>
      <c r="B178" s="14">
        <f>24.1117 * CHOOSE(CONTROL!$C$15, $E$9, 100%, $G$9) + CHOOSE(CONTROL!$C$38, 0.0256, 0)</f>
        <v>24.1373</v>
      </c>
      <c r="C178" s="14">
        <f>22.6212 * CHOOSE(CONTROL!$C$15, $E$9, 100%, $G$9) + CHOOSE(CONTROL!$C$38, 0.0347, 0)</f>
        <v>22.655900000000003</v>
      </c>
      <c r="D178" s="14">
        <f>22.6134 * CHOOSE(CONTROL!$C$15, $E$9, 100%, $G$9) + CHOOSE(CONTROL!$C$38, 0.0347, 0)</f>
        <v>22.648099999999999</v>
      </c>
      <c r="E178" s="46">
        <f>23.9555 * CHOOSE(CONTROL!$C$15, $E$9, 100%, $G$9) + CHOOSE(CONTROL!$C$38, 0.0347, 0)</f>
        <v>23.990200000000002</v>
      </c>
      <c r="F178" s="45">
        <f>23.9555 * CHOOSE(CONTROL!$C$15, $E$9, 100%, $G$9) + CHOOSE(CONTROL!$C$38, 0.0256, 0)</f>
        <v>23.981100000000001</v>
      </c>
      <c r="G178" s="14">
        <f>22.6197 * CHOOSE(CONTROL!$C$15, $E$9, 100%, $G$9) + CHOOSE(CONTROL!$C$38, 0.0347, 0)</f>
        <v>22.654400000000003</v>
      </c>
      <c r="H178" s="14">
        <f>22.6197 * CHOOSE(CONTROL!$C$15, $E$9, 100%, $G$9) + CHOOSE(CONTROL!$C$38, 0.0347, 0)</f>
        <v>22.654400000000003</v>
      </c>
      <c r="I178" s="14">
        <f>22.6212 * CHOOSE(CONTROL!$C$15, $E$9, 100%, $G$9) + CHOOSE(CONTROL!$C$38, 0.0347, 0)</f>
        <v>22.655900000000003</v>
      </c>
      <c r="J178" s="44">
        <f>149.6551</f>
        <v>149.6551</v>
      </c>
    </row>
    <row r="179" spans="1:10" ht="15" x14ac:dyDescent="0.2">
      <c r="A179" s="13">
        <v>46357</v>
      </c>
      <c r="B179" s="14">
        <f>25.0111 * CHOOSE(CONTROL!$C$15, $E$9, 100%, $G$9) + CHOOSE(CONTROL!$C$38, 0.0256, 0)</f>
        <v>25.0367</v>
      </c>
      <c r="C179" s="14">
        <f>23.5178 * CHOOSE(CONTROL!$C$15, $E$9, 100%, $G$9) + CHOOSE(CONTROL!$C$38, 0.0347, 0)</f>
        <v>23.552500000000002</v>
      </c>
      <c r="D179" s="14">
        <f>23.51 * CHOOSE(CONTROL!$C$15, $E$9, 100%, $G$9) + CHOOSE(CONTROL!$C$38, 0.0347, 0)</f>
        <v>23.544700000000002</v>
      </c>
      <c r="E179" s="46">
        <f>24.8548 * CHOOSE(CONTROL!$C$15, $E$9, 100%, $G$9) + CHOOSE(CONTROL!$C$38, 0.0347, 0)</f>
        <v>24.889500000000002</v>
      </c>
      <c r="F179" s="45">
        <f>24.8548 * CHOOSE(CONTROL!$C$15, $E$9, 100%, $G$9) + CHOOSE(CONTROL!$C$38, 0.0256, 0)</f>
        <v>24.880400000000002</v>
      </c>
      <c r="G179" s="14">
        <f>23.5162 * CHOOSE(CONTROL!$C$15, $E$9, 100%, $G$9) + CHOOSE(CONTROL!$C$38, 0.0347, 0)</f>
        <v>23.550900000000002</v>
      </c>
      <c r="H179" s="14">
        <f>23.5162 * CHOOSE(CONTROL!$C$15, $E$9, 100%, $G$9) + CHOOSE(CONTROL!$C$38, 0.0347, 0)</f>
        <v>23.550900000000002</v>
      </c>
      <c r="I179" s="14">
        <f>23.5178 * CHOOSE(CONTROL!$C$15, $E$9, 100%, $G$9) + CHOOSE(CONTROL!$C$38, 0.0347, 0)</f>
        <v>23.552500000000002</v>
      </c>
      <c r="J179" s="44">
        <f>145.5132</f>
        <v>145.51320000000001</v>
      </c>
    </row>
    <row r="180" spans="1:10" ht="15" x14ac:dyDescent="0.2">
      <c r="A180" s="13">
        <v>46388</v>
      </c>
      <c r="B180" s="14">
        <f>25.7407 * CHOOSE(CONTROL!$C$15, $E$9, 100%, $G$9) + CHOOSE(CONTROL!$C$38, 0.0256, 0)</f>
        <v>25.766300000000001</v>
      </c>
      <c r="C180" s="14">
        <f>24.2709 * CHOOSE(CONTROL!$C$15, $E$9, 100%, $G$9) + CHOOSE(CONTROL!$C$38, 0.0347, 0)</f>
        <v>24.305600000000002</v>
      </c>
      <c r="D180" s="14">
        <f>24.2631 * CHOOSE(CONTROL!$C$15, $E$9, 100%, $G$9) + CHOOSE(CONTROL!$C$38, 0.0347, 0)</f>
        <v>24.297800000000002</v>
      </c>
      <c r="E180" s="46">
        <f>25.5844 * CHOOSE(CONTROL!$C$15, $E$9, 100%, $G$9) + CHOOSE(CONTROL!$C$38, 0.0347, 0)</f>
        <v>25.6191</v>
      </c>
      <c r="F180" s="45">
        <f>25.5844 * CHOOSE(CONTROL!$C$15, $E$9, 100%, $G$9) + CHOOSE(CONTROL!$C$38, 0.0256, 0)</f>
        <v>25.61</v>
      </c>
      <c r="G180" s="14">
        <f>24.2694 * CHOOSE(CONTROL!$C$15, $E$9, 100%, $G$9) + CHOOSE(CONTROL!$C$38, 0.0347, 0)</f>
        <v>24.304100000000002</v>
      </c>
      <c r="H180" s="14">
        <f>24.2694 * CHOOSE(CONTROL!$C$15, $E$9, 100%, $G$9) + CHOOSE(CONTROL!$C$38, 0.0347, 0)</f>
        <v>24.304100000000002</v>
      </c>
      <c r="I180" s="14">
        <f>24.2709 * CHOOSE(CONTROL!$C$15, $E$9, 100%, $G$9) + CHOOSE(CONTROL!$C$38, 0.0347, 0)</f>
        <v>24.305600000000002</v>
      </c>
      <c r="J180" s="44">
        <f>142.3411</f>
        <v>142.34110000000001</v>
      </c>
    </row>
    <row r="181" spans="1:10" ht="15" x14ac:dyDescent="0.2">
      <c r="A181" s="13">
        <v>46419</v>
      </c>
      <c r="B181" s="14">
        <f>26.1089 * CHOOSE(CONTROL!$C$15, $E$9, 100%, $G$9) + CHOOSE(CONTROL!$C$38, 0.0256, 0)</f>
        <v>26.134499999999999</v>
      </c>
      <c r="C181" s="14">
        <f>24.6365 * CHOOSE(CONTROL!$C$15, $E$9, 100%, $G$9) + CHOOSE(CONTROL!$C$38, 0.0347, 0)</f>
        <v>24.671200000000002</v>
      </c>
      <c r="D181" s="14">
        <f>24.6286 * CHOOSE(CONTROL!$C$15, $E$9, 100%, $G$9) + CHOOSE(CONTROL!$C$38, 0.0347, 0)</f>
        <v>24.6633</v>
      </c>
      <c r="E181" s="46">
        <f>25.9526 * CHOOSE(CONTROL!$C$15, $E$9, 100%, $G$9) + CHOOSE(CONTROL!$C$38, 0.0347, 0)</f>
        <v>25.987300000000001</v>
      </c>
      <c r="F181" s="45">
        <f>25.9526 * CHOOSE(CONTROL!$C$15, $E$9, 100%, $G$9) + CHOOSE(CONTROL!$C$38, 0.0256, 0)</f>
        <v>25.978200000000001</v>
      </c>
      <c r="G181" s="14">
        <f>24.6349 * CHOOSE(CONTROL!$C$15, $E$9, 100%, $G$9) + CHOOSE(CONTROL!$C$38, 0.0347, 0)</f>
        <v>24.669599999999999</v>
      </c>
      <c r="H181" s="14">
        <f>24.6349 * CHOOSE(CONTROL!$C$15, $E$9, 100%, $G$9) + CHOOSE(CONTROL!$C$38, 0.0347, 0)</f>
        <v>24.669599999999999</v>
      </c>
      <c r="I181" s="14">
        <f>24.6365 * CHOOSE(CONTROL!$C$15, $E$9, 100%, $G$9) + CHOOSE(CONTROL!$C$38, 0.0347, 0)</f>
        <v>24.671200000000002</v>
      </c>
      <c r="J181" s="44">
        <f>142.2378</f>
        <v>142.23779999999999</v>
      </c>
    </row>
    <row r="182" spans="1:10" ht="15" x14ac:dyDescent="0.2">
      <c r="A182" s="13">
        <v>46447</v>
      </c>
      <c r="B182" s="14">
        <f>25.4273 * CHOOSE(CONTROL!$C$15, $E$9, 100%, $G$9) + CHOOSE(CONTROL!$C$38, 0.0256, 0)</f>
        <v>25.4529</v>
      </c>
      <c r="C182" s="14">
        <f>23.9522 * CHOOSE(CONTROL!$C$15, $E$9, 100%, $G$9) + CHOOSE(CONTROL!$C$38, 0.0347, 0)</f>
        <v>23.986900000000002</v>
      </c>
      <c r="D182" s="14">
        <f>23.9444 * CHOOSE(CONTROL!$C$15, $E$9, 100%, $G$9) + CHOOSE(CONTROL!$C$38, 0.0347, 0)</f>
        <v>23.979100000000003</v>
      </c>
      <c r="E182" s="46">
        <f>25.2711 * CHOOSE(CONTROL!$C$15, $E$9, 100%, $G$9) + CHOOSE(CONTROL!$C$38, 0.0347, 0)</f>
        <v>25.305800000000001</v>
      </c>
      <c r="F182" s="45">
        <f>25.2711 * CHOOSE(CONTROL!$C$15, $E$9, 100%, $G$9) + CHOOSE(CONTROL!$C$38, 0.0256, 0)</f>
        <v>25.296700000000001</v>
      </c>
      <c r="G182" s="14">
        <f>23.9506 * CHOOSE(CONTROL!$C$15, $E$9, 100%, $G$9) + CHOOSE(CONTROL!$C$38, 0.0347, 0)</f>
        <v>23.985300000000002</v>
      </c>
      <c r="H182" s="14">
        <f>23.9506 * CHOOSE(CONTROL!$C$15, $E$9, 100%, $G$9) + CHOOSE(CONTROL!$C$38, 0.0347, 0)</f>
        <v>23.985300000000002</v>
      </c>
      <c r="I182" s="14">
        <f>23.9522 * CHOOSE(CONTROL!$C$15, $E$9, 100%, $G$9) + CHOOSE(CONTROL!$C$38, 0.0347, 0)</f>
        <v>23.986900000000002</v>
      </c>
      <c r="J182" s="44">
        <f>150.043</f>
        <v>150.04300000000001</v>
      </c>
    </row>
    <row r="183" spans="1:10" ht="15" x14ac:dyDescent="0.2">
      <c r="A183" s="13">
        <v>46478</v>
      </c>
      <c r="B183" s="14">
        <f>24.7657 * CHOOSE(CONTROL!$C$15, $E$9, 100%, $G$9) + CHOOSE(CONTROL!$C$38, 0.0256, 0)</f>
        <v>24.7913</v>
      </c>
      <c r="C183" s="14">
        <f>23.2878 * CHOOSE(CONTROL!$C$15, $E$9, 100%, $G$9) + CHOOSE(CONTROL!$C$38, 0.0347, 0)</f>
        <v>23.322500000000002</v>
      </c>
      <c r="D183" s="14">
        <f>23.28 * CHOOSE(CONTROL!$C$15, $E$9, 100%, $G$9) + CHOOSE(CONTROL!$C$38, 0.0347, 0)</f>
        <v>23.314700000000002</v>
      </c>
      <c r="E183" s="46">
        <f>24.6094 * CHOOSE(CONTROL!$C$15, $E$9, 100%, $G$9) + CHOOSE(CONTROL!$C$38, 0.0347, 0)</f>
        <v>24.644100000000002</v>
      </c>
      <c r="F183" s="45">
        <f>24.6094 * CHOOSE(CONTROL!$C$15, $E$9, 100%, $G$9) + CHOOSE(CONTROL!$C$38, 0.0256, 0)</f>
        <v>24.635000000000002</v>
      </c>
      <c r="G183" s="14">
        <f>23.2863 * CHOOSE(CONTROL!$C$15, $E$9, 100%, $G$9) + CHOOSE(CONTROL!$C$38, 0.0347, 0)</f>
        <v>23.321000000000002</v>
      </c>
      <c r="H183" s="14">
        <f>23.2863 * CHOOSE(CONTROL!$C$15, $E$9, 100%, $G$9) + CHOOSE(CONTROL!$C$38, 0.0347, 0)</f>
        <v>23.321000000000002</v>
      </c>
      <c r="I183" s="14">
        <f>23.2878 * CHOOSE(CONTROL!$C$15, $E$9, 100%, $G$9) + CHOOSE(CONTROL!$C$38, 0.0347, 0)</f>
        <v>23.322500000000002</v>
      </c>
      <c r="J183" s="44">
        <f>160.1136</f>
        <v>160.11359999999999</v>
      </c>
    </row>
    <row r="184" spans="1:10" ht="15" x14ac:dyDescent="0.2">
      <c r="A184" s="13">
        <v>46508</v>
      </c>
      <c r="B184" s="14">
        <f>24.071 * CHOOSE(CONTROL!$C$15, $E$9, 100%, $G$9) + CHOOSE(CONTROL!$C$38, 0.0278, 0)</f>
        <v>24.098800000000001</v>
      </c>
      <c r="C184" s="14">
        <f>22.5904 * CHOOSE(CONTROL!$C$15, $E$9, 100%, $G$9) + CHOOSE(CONTROL!$C$38, 0.0369, 0)</f>
        <v>22.627299999999998</v>
      </c>
      <c r="D184" s="14">
        <f>22.5826 * CHOOSE(CONTROL!$C$15, $E$9, 100%, $G$9) + CHOOSE(CONTROL!$C$38, 0.0369, 0)</f>
        <v>22.619499999999999</v>
      </c>
      <c r="E184" s="46">
        <f>23.9148 * CHOOSE(CONTROL!$C$15, $E$9, 100%, $G$9) + CHOOSE(CONTROL!$C$38, 0.0369, 0)</f>
        <v>23.951699999999999</v>
      </c>
      <c r="F184" s="45">
        <f>23.9148 * CHOOSE(CONTROL!$C$15, $E$9, 100%, $G$9) + CHOOSE(CONTROL!$C$38, 0.0278, 0)</f>
        <v>23.942599999999999</v>
      </c>
      <c r="G184" s="14">
        <f>22.5889 * CHOOSE(CONTROL!$C$15, $E$9, 100%, $G$9) + CHOOSE(CONTROL!$C$38, 0.0369, 0)</f>
        <v>22.625799999999998</v>
      </c>
      <c r="H184" s="14">
        <f>22.5889 * CHOOSE(CONTROL!$C$15, $E$9, 100%, $G$9) + CHOOSE(CONTROL!$C$38, 0.0369, 0)</f>
        <v>22.625799999999998</v>
      </c>
      <c r="I184" s="14">
        <f>22.5904 * CHOOSE(CONTROL!$C$15, $E$9, 100%, $G$9) + CHOOSE(CONTROL!$C$38, 0.0369, 0)</f>
        <v>22.627299999999998</v>
      </c>
      <c r="J184" s="44">
        <f>165.8276</f>
        <v>165.82759999999999</v>
      </c>
    </row>
    <row r="185" spans="1:10" ht="15" x14ac:dyDescent="0.2">
      <c r="A185" s="13">
        <v>46539</v>
      </c>
      <c r="B185" s="14">
        <f>23.5964 * CHOOSE(CONTROL!$C$15, $E$9, 100%, $G$9) + CHOOSE(CONTROL!$C$38, 0.0278, 0)</f>
        <v>23.624199999999998</v>
      </c>
      <c r="C185" s="14">
        <f>22.113 * CHOOSE(CONTROL!$C$15, $E$9, 100%, $G$9) + CHOOSE(CONTROL!$C$38, 0.0369, 0)</f>
        <v>22.149899999999999</v>
      </c>
      <c r="D185" s="14">
        <f>22.1052 * CHOOSE(CONTROL!$C$15, $E$9, 100%, $G$9) + CHOOSE(CONTROL!$C$38, 0.0369, 0)</f>
        <v>22.142099999999999</v>
      </c>
      <c r="E185" s="46">
        <f>23.4401 * CHOOSE(CONTROL!$C$15, $E$9, 100%, $G$9) + CHOOSE(CONTROL!$C$38, 0.0369, 0)</f>
        <v>23.477</v>
      </c>
      <c r="F185" s="45">
        <f>23.4401 * CHOOSE(CONTROL!$C$15, $E$9, 100%, $G$9) + CHOOSE(CONTROL!$C$38, 0.0278, 0)</f>
        <v>23.4679</v>
      </c>
      <c r="G185" s="14">
        <f>22.1115 * CHOOSE(CONTROL!$C$15, $E$9, 100%, $G$9) + CHOOSE(CONTROL!$C$38, 0.0369, 0)</f>
        <v>22.148399999999999</v>
      </c>
      <c r="H185" s="14">
        <f>22.1115 * CHOOSE(CONTROL!$C$15, $E$9, 100%, $G$9) + CHOOSE(CONTROL!$C$38, 0.0369, 0)</f>
        <v>22.148399999999999</v>
      </c>
      <c r="I185" s="14">
        <f>22.113 * CHOOSE(CONTROL!$C$15, $E$9, 100%, $G$9) + CHOOSE(CONTROL!$C$38, 0.0369, 0)</f>
        <v>22.149899999999999</v>
      </c>
      <c r="J185" s="44">
        <f>168.5635</f>
        <v>168.5635</v>
      </c>
    </row>
    <row r="186" spans="1:10" ht="15" x14ac:dyDescent="0.2">
      <c r="A186" s="13">
        <v>46569</v>
      </c>
      <c r="B186" s="14">
        <f>23.3446 * CHOOSE(CONTROL!$C$15, $E$9, 100%, $G$9) + CHOOSE(CONTROL!$C$38, 0.0278, 0)</f>
        <v>23.372399999999999</v>
      </c>
      <c r="C186" s="14">
        <f>21.8586 * CHOOSE(CONTROL!$C$15, $E$9, 100%, $G$9) + CHOOSE(CONTROL!$C$38, 0.0369, 0)</f>
        <v>21.895499999999998</v>
      </c>
      <c r="D186" s="14">
        <f>21.8508 * CHOOSE(CONTROL!$C$15, $E$9, 100%, $G$9) + CHOOSE(CONTROL!$C$38, 0.0369, 0)</f>
        <v>21.887699999999999</v>
      </c>
      <c r="E186" s="46">
        <f>23.1884 * CHOOSE(CONTROL!$C$15, $E$9, 100%, $G$9) + CHOOSE(CONTROL!$C$38, 0.0369, 0)</f>
        <v>23.225300000000001</v>
      </c>
      <c r="F186" s="45">
        <f>23.1884 * CHOOSE(CONTROL!$C$15, $E$9, 100%, $G$9) + CHOOSE(CONTROL!$C$38, 0.0278, 0)</f>
        <v>23.216200000000001</v>
      </c>
      <c r="G186" s="14">
        <f>21.857 * CHOOSE(CONTROL!$C$15, $E$9, 100%, $G$9) + CHOOSE(CONTROL!$C$38, 0.0369, 0)</f>
        <v>21.893899999999999</v>
      </c>
      <c r="H186" s="14">
        <f>21.857 * CHOOSE(CONTROL!$C$15, $E$9, 100%, $G$9) + CHOOSE(CONTROL!$C$38, 0.0369, 0)</f>
        <v>21.893899999999999</v>
      </c>
      <c r="I186" s="14">
        <f>21.8586 * CHOOSE(CONTROL!$C$15, $E$9, 100%, $G$9) + CHOOSE(CONTROL!$C$38, 0.0369, 0)</f>
        <v>21.895499999999998</v>
      </c>
      <c r="J186" s="44">
        <f>168.1208</f>
        <v>168.1208</v>
      </c>
    </row>
    <row r="187" spans="1:10" ht="15" x14ac:dyDescent="0.2">
      <c r="A187" s="13">
        <v>46600</v>
      </c>
      <c r="B187" s="14">
        <f>23.5393 * CHOOSE(CONTROL!$C$15, $E$9, 100%, $G$9) + CHOOSE(CONTROL!$C$38, 0.0278, 0)</f>
        <v>23.5671</v>
      </c>
      <c r="C187" s="14">
        <f>22.0506 * CHOOSE(CONTROL!$C$15, $E$9, 100%, $G$9) + CHOOSE(CONTROL!$C$38, 0.0369, 0)</f>
        <v>22.087499999999999</v>
      </c>
      <c r="D187" s="14">
        <f>22.0427 * CHOOSE(CONTROL!$C$15, $E$9, 100%, $G$9) + CHOOSE(CONTROL!$C$38, 0.0369, 0)</f>
        <v>22.079599999999999</v>
      </c>
      <c r="E187" s="46">
        <f>23.3831 * CHOOSE(CONTROL!$C$15, $E$9, 100%, $G$9) + CHOOSE(CONTROL!$C$38, 0.0369, 0)</f>
        <v>23.419999999999998</v>
      </c>
      <c r="F187" s="45">
        <f>23.3831 * CHOOSE(CONTROL!$C$15, $E$9, 100%, $G$9) + CHOOSE(CONTROL!$C$38, 0.0278, 0)</f>
        <v>23.410899999999998</v>
      </c>
      <c r="G187" s="14">
        <f>22.049 * CHOOSE(CONTROL!$C$15, $E$9, 100%, $G$9) + CHOOSE(CONTROL!$C$38, 0.0369, 0)</f>
        <v>22.085899999999999</v>
      </c>
      <c r="H187" s="14">
        <f>22.049 * CHOOSE(CONTROL!$C$15, $E$9, 100%, $G$9) + CHOOSE(CONTROL!$C$38, 0.0369, 0)</f>
        <v>22.085899999999999</v>
      </c>
      <c r="I187" s="14">
        <f>22.0506 * CHOOSE(CONTROL!$C$15, $E$9, 100%, $G$9) + CHOOSE(CONTROL!$C$38, 0.0369, 0)</f>
        <v>22.087499999999999</v>
      </c>
      <c r="J187" s="44">
        <f>164.5452</f>
        <v>164.54519999999999</v>
      </c>
    </row>
    <row r="188" spans="1:10" ht="15" x14ac:dyDescent="0.2">
      <c r="A188" s="13">
        <v>46631</v>
      </c>
      <c r="B188" s="14">
        <f>23.9891 * CHOOSE(CONTROL!$C$15, $E$9, 100%, $G$9) + CHOOSE(CONTROL!$C$38, 0.0278, 0)</f>
        <v>24.0169</v>
      </c>
      <c r="C188" s="14">
        <f>22.4976 * CHOOSE(CONTROL!$C$15, $E$9, 100%, $G$9) + CHOOSE(CONTROL!$C$38, 0.0369, 0)</f>
        <v>22.534499999999998</v>
      </c>
      <c r="D188" s="14">
        <f>22.4898 * CHOOSE(CONTROL!$C$15, $E$9, 100%, $G$9) + CHOOSE(CONTROL!$C$38, 0.0369, 0)</f>
        <v>22.526699999999998</v>
      </c>
      <c r="E188" s="46">
        <f>23.8329 * CHOOSE(CONTROL!$C$15, $E$9, 100%, $G$9) + CHOOSE(CONTROL!$C$38, 0.0369, 0)</f>
        <v>23.869799999999998</v>
      </c>
      <c r="F188" s="45">
        <f>23.8329 * CHOOSE(CONTROL!$C$15, $E$9, 100%, $G$9) + CHOOSE(CONTROL!$C$38, 0.0278, 0)</f>
        <v>23.860699999999998</v>
      </c>
      <c r="G188" s="14">
        <f>22.496 * CHOOSE(CONTROL!$C$15, $E$9, 100%, $G$9) + CHOOSE(CONTROL!$C$38, 0.0369, 0)</f>
        <v>22.532899999999998</v>
      </c>
      <c r="H188" s="14">
        <f>22.496 * CHOOSE(CONTROL!$C$15, $E$9, 100%, $G$9) + CHOOSE(CONTROL!$C$38, 0.0369, 0)</f>
        <v>22.532899999999998</v>
      </c>
      <c r="I188" s="14">
        <f>22.4976 * CHOOSE(CONTROL!$C$15, $E$9, 100%, $G$9) + CHOOSE(CONTROL!$C$38, 0.0369, 0)</f>
        <v>22.534499999999998</v>
      </c>
      <c r="J188" s="44">
        <f>159.4037</f>
        <v>159.40369999999999</v>
      </c>
    </row>
    <row r="189" spans="1:10" ht="15" x14ac:dyDescent="0.2">
      <c r="A189" s="13">
        <v>46661</v>
      </c>
      <c r="B189" s="14">
        <f>24.3751 * CHOOSE(CONTROL!$C$15, $E$9, 100%, $G$9) + CHOOSE(CONTROL!$C$38, 0.0256, 0)</f>
        <v>24.400700000000001</v>
      </c>
      <c r="C189" s="14">
        <f>22.8808 * CHOOSE(CONTROL!$C$15, $E$9, 100%, $G$9) + CHOOSE(CONTROL!$C$38, 0.0347, 0)</f>
        <v>22.915500000000002</v>
      </c>
      <c r="D189" s="14">
        <f>22.873 * CHOOSE(CONTROL!$C$15, $E$9, 100%, $G$9) + CHOOSE(CONTROL!$C$38, 0.0347, 0)</f>
        <v>22.907700000000002</v>
      </c>
      <c r="E189" s="46">
        <f>24.2188 * CHOOSE(CONTROL!$C$15, $E$9, 100%, $G$9) + CHOOSE(CONTROL!$C$38, 0.0347, 0)</f>
        <v>24.253500000000003</v>
      </c>
      <c r="F189" s="45">
        <f>24.2188 * CHOOSE(CONTROL!$C$15, $E$9, 100%, $G$9) + CHOOSE(CONTROL!$C$38, 0.0256, 0)</f>
        <v>24.244400000000002</v>
      </c>
      <c r="G189" s="14">
        <f>22.8792 * CHOOSE(CONTROL!$C$15, $E$9, 100%, $G$9) + CHOOSE(CONTROL!$C$38, 0.0347, 0)</f>
        <v>22.913900000000002</v>
      </c>
      <c r="H189" s="14">
        <f>22.8792 * CHOOSE(CONTROL!$C$15, $E$9, 100%, $G$9) + CHOOSE(CONTROL!$C$38, 0.0347, 0)</f>
        <v>22.913900000000002</v>
      </c>
      <c r="I189" s="14">
        <f>22.8808 * CHOOSE(CONTROL!$C$15, $E$9, 100%, $G$9) + CHOOSE(CONTROL!$C$38, 0.0347, 0)</f>
        <v>22.915500000000002</v>
      </c>
      <c r="J189" s="44">
        <f>154.2083</f>
        <v>154.20830000000001</v>
      </c>
    </row>
    <row r="190" spans="1:10" ht="15" x14ac:dyDescent="0.2">
      <c r="A190" s="13">
        <v>46692</v>
      </c>
      <c r="B190" s="14">
        <f>24.7065 * CHOOSE(CONTROL!$C$15, $E$9, 100%, $G$9) + CHOOSE(CONTROL!$C$38, 0.0256, 0)</f>
        <v>24.732099999999999</v>
      </c>
      <c r="C190" s="14">
        <f>23.2094 * CHOOSE(CONTROL!$C$15, $E$9, 100%, $G$9) + CHOOSE(CONTROL!$C$38, 0.0347, 0)</f>
        <v>23.2441</v>
      </c>
      <c r="D190" s="14">
        <f>23.2016 * CHOOSE(CONTROL!$C$15, $E$9, 100%, $G$9) + CHOOSE(CONTROL!$C$38, 0.0347, 0)</f>
        <v>23.2363</v>
      </c>
      <c r="E190" s="46">
        <f>24.5502 * CHOOSE(CONTROL!$C$15, $E$9, 100%, $G$9) + CHOOSE(CONTROL!$C$38, 0.0347, 0)</f>
        <v>24.584900000000001</v>
      </c>
      <c r="F190" s="45">
        <f>24.5502 * CHOOSE(CONTROL!$C$15, $E$9, 100%, $G$9) + CHOOSE(CONTROL!$C$38, 0.0256, 0)</f>
        <v>24.575800000000001</v>
      </c>
      <c r="G190" s="14">
        <f>23.2079 * CHOOSE(CONTROL!$C$15, $E$9, 100%, $G$9) + CHOOSE(CONTROL!$C$38, 0.0347, 0)</f>
        <v>23.242599999999999</v>
      </c>
      <c r="H190" s="14">
        <f>23.2079 * CHOOSE(CONTROL!$C$15, $E$9, 100%, $G$9) + CHOOSE(CONTROL!$C$38, 0.0347, 0)</f>
        <v>23.242599999999999</v>
      </c>
      <c r="I190" s="14">
        <f>23.2094 * CHOOSE(CONTROL!$C$15, $E$9, 100%, $G$9) + CHOOSE(CONTROL!$C$38, 0.0347, 0)</f>
        <v>23.2441</v>
      </c>
      <c r="J190" s="44">
        <f>153.4249</f>
        <v>153.42490000000001</v>
      </c>
    </row>
    <row r="191" spans="1:10" ht="15" x14ac:dyDescent="0.2">
      <c r="A191" s="13">
        <v>46722</v>
      </c>
      <c r="B191" s="14">
        <f>25.6283 * CHOOSE(CONTROL!$C$15, $E$9, 100%, $G$9) + CHOOSE(CONTROL!$C$38, 0.0256, 0)</f>
        <v>25.6539</v>
      </c>
      <c r="C191" s="14">
        <f>24.1285 * CHOOSE(CONTROL!$C$15, $E$9, 100%, $G$9) + CHOOSE(CONTROL!$C$38, 0.0347, 0)</f>
        <v>24.1632</v>
      </c>
      <c r="D191" s="14">
        <f>24.1207 * CHOOSE(CONTROL!$C$15, $E$9, 100%, $G$9) + CHOOSE(CONTROL!$C$38, 0.0347, 0)</f>
        <v>24.1554</v>
      </c>
      <c r="E191" s="46">
        <f>25.4721 * CHOOSE(CONTROL!$C$15, $E$9, 100%, $G$9) + CHOOSE(CONTROL!$C$38, 0.0347, 0)</f>
        <v>25.506800000000002</v>
      </c>
      <c r="F191" s="45">
        <f>25.4721 * CHOOSE(CONTROL!$C$15, $E$9, 100%, $G$9) + CHOOSE(CONTROL!$C$38, 0.0256, 0)</f>
        <v>25.497700000000002</v>
      </c>
      <c r="G191" s="14">
        <f>24.127 * CHOOSE(CONTROL!$C$15, $E$9, 100%, $G$9) + CHOOSE(CONTROL!$C$38, 0.0347, 0)</f>
        <v>24.1617</v>
      </c>
      <c r="H191" s="14">
        <f>24.127 * CHOOSE(CONTROL!$C$15, $E$9, 100%, $G$9) + CHOOSE(CONTROL!$C$38, 0.0347, 0)</f>
        <v>24.1617</v>
      </c>
      <c r="I191" s="14">
        <f>24.1285 * CHOOSE(CONTROL!$C$15, $E$9, 100%, $G$9) + CHOOSE(CONTROL!$C$38, 0.0347, 0)</f>
        <v>24.1632</v>
      </c>
      <c r="J191" s="44">
        <f>149.1787</f>
        <v>149.17869999999999</v>
      </c>
    </row>
    <row r="192" spans="1:10" ht="15" x14ac:dyDescent="0.2">
      <c r="A192" s="13">
        <v>46753</v>
      </c>
      <c r="B192" s="14">
        <f>26.311 * CHOOSE(CONTROL!$C$15, $E$9, 100%, $G$9) + CHOOSE(CONTROL!$C$38, 0.0256, 0)</f>
        <v>26.336600000000001</v>
      </c>
      <c r="C192" s="14">
        <f>24.8349 * CHOOSE(CONTROL!$C$15, $E$9, 100%, $G$9) + CHOOSE(CONTROL!$C$38, 0.0347, 0)</f>
        <v>24.869600000000002</v>
      </c>
      <c r="D192" s="14">
        <f>24.827 * CHOOSE(CONTROL!$C$15, $E$9, 100%, $G$9) + CHOOSE(CONTROL!$C$38, 0.0347, 0)</f>
        <v>24.861700000000003</v>
      </c>
      <c r="E192" s="46">
        <f>26.1548 * CHOOSE(CONTROL!$C$15, $E$9, 100%, $G$9) + CHOOSE(CONTROL!$C$38, 0.0347, 0)</f>
        <v>26.189500000000002</v>
      </c>
      <c r="F192" s="45">
        <f>26.1548 * CHOOSE(CONTROL!$C$15, $E$9, 100%, $G$9) + CHOOSE(CONTROL!$C$38, 0.0256, 0)</f>
        <v>26.180400000000002</v>
      </c>
      <c r="G192" s="14">
        <f>24.8333 * CHOOSE(CONTROL!$C$15, $E$9, 100%, $G$9) + CHOOSE(CONTROL!$C$38, 0.0347, 0)</f>
        <v>24.868000000000002</v>
      </c>
      <c r="H192" s="14">
        <f>24.8333 * CHOOSE(CONTROL!$C$15, $E$9, 100%, $G$9) + CHOOSE(CONTROL!$C$38, 0.0347, 0)</f>
        <v>24.868000000000002</v>
      </c>
      <c r="I192" s="14">
        <f>24.8349 * CHOOSE(CONTROL!$C$15, $E$9, 100%, $G$9) + CHOOSE(CONTROL!$C$38, 0.0347, 0)</f>
        <v>24.869600000000002</v>
      </c>
      <c r="J192" s="44">
        <f>145.9265</f>
        <v>145.9265</v>
      </c>
    </row>
    <row r="193" spans="1:10" ht="15" x14ac:dyDescent="0.2">
      <c r="A193" s="13">
        <v>46784</v>
      </c>
      <c r="B193" s="14">
        <f>26.6883 * CHOOSE(CONTROL!$C$15, $E$9, 100%, $G$9) + CHOOSE(CONTROL!$C$38, 0.0256, 0)</f>
        <v>26.713900000000002</v>
      </c>
      <c r="C193" s="14">
        <f>25.2094 * CHOOSE(CONTROL!$C$15, $E$9, 100%, $G$9) + CHOOSE(CONTROL!$C$38, 0.0347, 0)</f>
        <v>25.2441</v>
      </c>
      <c r="D193" s="14">
        <f>25.2016 * CHOOSE(CONTROL!$C$15, $E$9, 100%, $G$9) + CHOOSE(CONTROL!$C$38, 0.0347, 0)</f>
        <v>25.2363</v>
      </c>
      <c r="E193" s="46">
        <f>26.5321 * CHOOSE(CONTROL!$C$15, $E$9, 100%, $G$9) + CHOOSE(CONTROL!$C$38, 0.0347, 0)</f>
        <v>26.566800000000001</v>
      </c>
      <c r="F193" s="45">
        <f>26.5321 * CHOOSE(CONTROL!$C$15, $E$9, 100%, $G$9) + CHOOSE(CONTROL!$C$38, 0.0256, 0)</f>
        <v>26.557700000000001</v>
      </c>
      <c r="G193" s="14">
        <f>25.2079 * CHOOSE(CONTROL!$C$15, $E$9, 100%, $G$9) + CHOOSE(CONTROL!$C$38, 0.0347, 0)</f>
        <v>25.242599999999999</v>
      </c>
      <c r="H193" s="14">
        <f>25.2079 * CHOOSE(CONTROL!$C$15, $E$9, 100%, $G$9) + CHOOSE(CONTROL!$C$38, 0.0347, 0)</f>
        <v>25.242599999999999</v>
      </c>
      <c r="I193" s="14">
        <f>25.2094 * CHOOSE(CONTROL!$C$15, $E$9, 100%, $G$9) + CHOOSE(CONTROL!$C$38, 0.0347, 0)</f>
        <v>25.2441</v>
      </c>
      <c r="J193" s="44">
        <f>145.8207</f>
        <v>145.82069999999999</v>
      </c>
    </row>
    <row r="194" spans="1:10" ht="15" x14ac:dyDescent="0.2">
      <c r="A194" s="13">
        <v>46813</v>
      </c>
      <c r="B194" s="14">
        <f>25.9896 * CHOOSE(CONTROL!$C$15, $E$9, 100%, $G$9) + CHOOSE(CONTROL!$C$38, 0.0256, 0)</f>
        <v>26.0152</v>
      </c>
      <c r="C194" s="14">
        <f>24.508 * CHOOSE(CONTROL!$C$15, $E$9, 100%, $G$9) + CHOOSE(CONTROL!$C$38, 0.0347, 0)</f>
        <v>24.5427</v>
      </c>
      <c r="D194" s="14">
        <f>24.5002 * CHOOSE(CONTROL!$C$15, $E$9, 100%, $G$9) + CHOOSE(CONTROL!$C$38, 0.0347, 0)</f>
        <v>24.5349</v>
      </c>
      <c r="E194" s="46">
        <f>25.8334 * CHOOSE(CONTROL!$C$15, $E$9, 100%, $G$9) + CHOOSE(CONTROL!$C$38, 0.0347, 0)</f>
        <v>25.868100000000002</v>
      </c>
      <c r="F194" s="45">
        <f>25.8334 * CHOOSE(CONTROL!$C$15, $E$9, 100%, $G$9) + CHOOSE(CONTROL!$C$38, 0.0256, 0)</f>
        <v>25.859000000000002</v>
      </c>
      <c r="G194" s="14">
        <f>24.5064 * CHOOSE(CONTROL!$C$15, $E$9, 100%, $G$9) + CHOOSE(CONTROL!$C$38, 0.0347, 0)</f>
        <v>24.5411</v>
      </c>
      <c r="H194" s="14">
        <f>24.5064 * CHOOSE(CONTROL!$C$15, $E$9, 100%, $G$9) + CHOOSE(CONTROL!$C$38, 0.0347, 0)</f>
        <v>24.5411</v>
      </c>
      <c r="I194" s="14">
        <f>24.508 * CHOOSE(CONTROL!$C$15, $E$9, 100%, $G$9) + CHOOSE(CONTROL!$C$38, 0.0347, 0)</f>
        <v>24.5427</v>
      </c>
      <c r="J194" s="44">
        <f>153.8224</f>
        <v>153.82239999999999</v>
      </c>
    </row>
    <row r="195" spans="1:10" ht="15" x14ac:dyDescent="0.2">
      <c r="A195" s="13">
        <v>46844</v>
      </c>
      <c r="B195" s="14">
        <f>25.3113 * CHOOSE(CONTROL!$C$15, $E$9, 100%, $G$9) + CHOOSE(CONTROL!$C$38, 0.0256, 0)</f>
        <v>25.3369</v>
      </c>
      <c r="C195" s="14">
        <f>23.827 * CHOOSE(CONTROL!$C$15, $E$9, 100%, $G$9) + CHOOSE(CONTROL!$C$38, 0.0347, 0)</f>
        <v>23.861700000000003</v>
      </c>
      <c r="D195" s="14">
        <f>23.8191 * CHOOSE(CONTROL!$C$15, $E$9, 100%, $G$9) + CHOOSE(CONTROL!$C$38, 0.0347, 0)</f>
        <v>23.8538</v>
      </c>
      <c r="E195" s="46">
        <f>25.155 * CHOOSE(CONTROL!$C$15, $E$9, 100%, $G$9) + CHOOSE(CONTROL!$C$38, 0.0347, 0)</f>
        <v>25.189700000000002</v>
      </c>
      <c r="F195" s="45">
        <f>25.155 * CHOOSE(CONTROL!$C$15, $E$9, 100%, $G$9) + CHOOSE(CONTROL!$C$38, 0.0256, 0)</f>
        <v>25.180600000000002</v>
      </c>
      <c r="G195" s="14">
        <f>23.8254 * CHOOSE(CONTROL!$C$15, $E$9, 100%, $G$9) + CHOOSE(CONTROL!$C$38, 0.0347, 0)</f>
        <v>23.860099999999999</v>
      </c>
      <c r="H195" s="14">
        <f>23.8254 * CHOOSE(CONTROL!$C$15, $E$9, 100%, $G$9) + CHOOSE(CONTROL!$C$38, 0.0347, 0)</f>
        <v>23.860099999999999</v>
      </c>
      <c r="I195" s="14">
        <f>23.827 * CHOOSE(CONTROL!$C$15, $E$9, 100%, $G$9) + CHOOSE(CONTROL!$C$38, 0.0347, 0)</f>
        <v>23.861700000000003</v>
      </c>
      <c r="J195" s="44">
        <f>164.1468</f>
        <v>164.14680000000001</v>
      </c>
    </row>
    <row r="196" spans="1:10" ht="15" x14ac:dyDescent="0.2">
      <c r="A196" s="13">
        <v>46874</v>
      </c>
      <c r="B196" s="14">
        <f>24.5991 * CHOOSE(CONTROL!$C$15, $E$9, 100%, $G$9) + CHOOSE(CONTROL!$C$38, 0.0278, 0)</f>
        <v>24.626899999999999</v>
      </c>
      <c r="C196" s="14">
        <f>23.1121 * CHOOSE(CONTROL!$C$15, $E$9, 100%, $G$9) + CHOOSE(CONTROL!$C$38, 0.0369, 0)</f>
        <v>23.149000000000001</v>
      </c>
      <c r="D196" s="14">
        <f>23.1042 * CHOOSE(CONTROL!$C$15, $E$9, 100%, $G$9) + CHOOSE(CONTROL!$C$38, 0.0369, 0)</f>
        <v>23.141099999999998</v>
      </c>
      <c r="E196" s="46">
        <f>24.4429 * CHOOSE(CONTROL!$C$15, $E$9, 100%, $G$9) + CHOOSE(CONTROL!$C$38, 0.0369, 0)</f>
        <v>24.479800000000001</v>
      </c>
      <c r="F196" s="45">
        <f>24.4429 * CHOOSE(CONTROL!$C$15, $E$9, 100%, $G$9) + CHOOSE(CONTROL!$C$38, 0.0278, 0)</f>
        <v>24.470700000000001</v>
      </c>
      <c r="G196" s="14">
        <f>23.1105 * CHOOSE(CONTROL!$C$15, $E$9, 100%, $G$9) + CHOOSE(CONTROL!$C$38, 0.0369, 0)</f>
        <v>23.147399999999998</v>
      </c>
      <c r="H196" s="14">
        <f>23.1105 * CHOOSE(CONTROL!$C$15, $E$9, 100%, $G$9) + CHOOSE(CONTROL!$C$38, 0.0369, 0)</f>
        <v>23.147399999999998</v>
      </c>
      <c r="I196" s="14">
        <f>23.1121 * CHOOSE(CONTROL!$C$15, $E$9, 100%, $G$9) + CHOOSE(CONTROL!$C$38, 0.0369, 0)</f>
        <v>23.149000000000001</v>
      </c>
      <c r="J196" s="44">
        <f>170.0047</f>
        <v>170.00470000000001</v>
      </c>
    </row>
    <row r="197" spans="1:10" ht="15" x14ac:dyDescent="0.2">
      <c r="A197" s="13">
        <v>46905</v>
      </c>
      <c r="B197" s="14">
        <f>24.1125 * CHOOSE(CONTROL!$C$15, $E$9, 100%, $G$9) + CHOOSE(CONTROL!$C$38, 0.0278, 0)</f>
        <v>24.1403</v>
      </c>
      <c r="C197" s="14">
        <f>22.6227 * CHOOSE(CONTROL!$C$15, $E$9, 100%, $G$9) + CHOOSE(CONTROL!$C$38, 0.0369, 0)</f>
        <v>22.659599999999998</v>
      </c>
      <c r="D197" s="14">
        <f>22.6149 * CHOOSE(CONTROL!$C$15, $E$9, 100%, $G$9) + CHOOSE(CONTROL!$C$38, 0.0369, 0)</f>
        <v>22.651799999999998</v>
      </c>
      <c r="E197" s="46">
        <f>23.9562 * CHOOSE(CONTROL!$C$15, $E$9, 100%, $G$9) + CHOOSE(CONTROL!$C$38, 0.0369, 0)</f>
        <v>23.993099999999998</v>
      </c>
      <c r="F197" s="45">
        <f>23.9562 * CHOOSE(CONTROL!$C$15, $E$9, 100%, $G$9) + CHOOSE(CONTROL!$C$38, 0.0278, 0)</f>
        <v>23.983999999999998</v>
      </c>
      <c r="G197" s="14">
        <f>22.6211 * CHOOSE(CONTROL!$C$15, $E$9, 100%, $G$9) + CHOOSE(CONTROL!$C$38, 0.0369, 0)</f>
        <v>22.657999999999998</v>
      </c>
      <c r="H197" s="14">
        <f>22.6211 * CHOOSE(CONTROL!$C$15, $E$9, 100%, $G$9) + CHOOSE(CONTROL!$C$38, 0.0369, 0)</f>
        <v>22.657999999999998</v>
      </c>
      <c r="I197" s="14">
        <f>22.6227 * CHOOSE(CONTROL!$C$15, $E$9, 100%, $G$9) + CHOOSE(CONTROL!$C$38, 0.0369, 0)</f>
        <v>22.659599999999998</v>
      </c>
      <c r="J197" s="44">
        <f>172.8095</f>
        <v>172.80950000000001</v>
      </c>
    </row>
    <row r="198" spans="1:10" ht="15" x14ac:dyDescent="0.2">
      <c r="A198" s="13">
        <v>46935</v>
      </c>
      <c r="B198" s="14">
        <f>23.8544 * CHOOSE(CONTROL!$C$15, $E$9, 100%, $G$9) + CHOOSE(CONTROL!$C$38, 0.0278, 0)</f>
        <v>23.882199999999997</v>
      </c>
      <c r="C198" s="14">
        <f>22.3618 * CHOOSE(CONTROL!$C$15, $E$9, 100%, $G$9) + CHOOSE(CONTROL!$C$38, 0.0369, 0)</f>
        <v>22.398699999999998</v>
      </c>
      <c r="D198" s="14">
        <f>22.354 * CHOOSE(CONTROL!$C$15, $E$9, 100%, $G$9) + CHOOSE(CONTROL!$C$38, 0.0369, 0)</f>
        <v>22.390899999999998</v>
      </c>
      <c r="E198" s="46">
        <f>23.6981 * CHOOSE(CONTROL!$C$15, $E$9, 100%, $G$9) + CHOOSE(CONTROL!$C$38, 0.0369, 0)</f>
        <v>23.734999999999999</v>
      </c>
      <c r="F198" s="45">
        <f>23.6981 * CHOOSE(CONTROL!$C$15, $E$9, 100%, $G$9) + CHOOSE(CONTROL!$C$38, 0.0278, 0)</f>
        <v>23.725899999999999</v>
      </c>
      <c r="G198" s="14">
        <f>22.3602 * CHOOSE(CONTROL!$C$15, $E$9, 100%, $G$9) + CHOOSE(CONTROL!$C$38, 0.0369, 0)</f>
        <v>22.397099999999998</v>
      </c>
      <c r="H198" s="14">
        <f>22.3602 * CHOOSE(CONTROL!$C$15, $E$9, 100%, $G$9) + CHOOSE(CONTROL!$C$38, 0.0369, 0)</f>
        <v>22.397099999999998</v>
      </c>
      <c r="I198" s="14">
        <f>22.3618 * CHOOSE(CONTROL!$C$15, $E$9, 100%, $G$9) + CHOOSE(CONTROL!$C$38, 0.0369, 0)</f>
        <v>22.398699999999998</v>
      </c>
      <c r="J198" s="44">
        <f>172.3556</f>
        <v>172.35560000000001</v>
      </c>
    </row>
    <row r="199" spans="1:10" ht="15" x14ac:dyDescent="0.2">
      <c r="A199" s="13">
        <v>46966</v>
      </c>
      <c r="B199" s="14">
        <f>24.0538 * CHOOSE(CONTROL!$C$15, $E$9, 100%, $G$9) + CHOOSE(CONTROL!$C$38, 0.0278, 0)</f>
        <v>24.081599999999998</v>
      </c>
      <c r="C199" s="14">
        <f>22.5585 * CHOOSE(CONTROL!$C$15, $E$9, 100%, $G$9) + CHOOSE(CONTROL!$C$38, 0.0369, 0)</f>
        <v>22.595399999999998</v>
      </c>
      <c r="D199" s="14">
        <f>22.5507 * CHOOSE(CONTROL!$C$15, $E$9, 100%, $G$9) + CHOOSE(CONTROL!$C$38, 0.0369, 0)</f>
        <v>22.587599999999998</v>
      </c>
      <c r="E199" s="46">
        <f>23.8976 * CHOOSE(CONTROL!$C$15, $E$9, 100%, $G$9) + CHOOSE(CONTROL!$C$38, 0.0369, 0)</f>
        <v>23.9345</v>
      </c>
      <c r="F199" s="45">
        <f>23.8976 * CHOOSE(CONTROL!$C$15, $E$9, 100%, $G$9) + CHOOSE(CONTROL!$C$38, 0.0278, 0)</f>
        <v>23.9254</v>
      </c>
      <c r="G199" s="14">
        <f>22.5569 * CHOOSE(CONTROL!$C$15, $E$9, 100%, $G$9) + CHOOSE(CONTROL!$C$38, 0.0369, 0)</f>
        <v>22.593799999999998</v>
      </c>
      <c r="H199" s="14">
        <f>22.5569 * CHOOSE(CONTROL!$C$15, $E$9, 100%, $G$9) + CHOOSE(CONTROL!$C$38, 0.0369, 0)</f>
        <v>22.593799999999998</v>
      </c>
      <c r="I199" s="14">
        <f>22.5585 * CHOOSE(CONTROL!$C$15, $E$9, 100%, $G$9) + CHOOSE(CONTROL!$C$38, 0.0369, 0)</f>
        <v>22.595399999999998</v>
      </c>
      <c r="J199" s="44">
        <f>168.69</f>
        <v>168.69</v>
      </c>
    </row>
    <row r="200" spans="1:10" ht="15" x14ac:dyDescent="0.2">
      <c r="A200" s="13">
        <v>46997</v>
      </c>
      <c r="B200" s="14">
        <f>24.5147 * CHOOSE(CONTROL!$C$15, $E$9, 100%, $G$9) + CHOOSE(CONTROL!$C$38, 0.0278, 0)</f>
        <v>24.5425</v>
      </c>
      <c r="C200" s="14">
        <f>23.0166 * CHOOSE(CONTROL!$C$15, $E$9, 100%, $G$9) + CHOOSE(CONTROL!$C$38, 0.0369, 0)</f>
        <v>23.0535</v>
      </c>
      <c r="D200" s="14">
        <f>23.0088 * CHOOSE(CONTROL!$C$15, $E$9, 100%, $G$9) + CHOOSE(CONTROL!$C$38, 0.0369, 0)</f>
        <v>23.0457</v>
      </c>
      <c r="E200" s="46">
        <f>24.3584 * CHOOSE(CONTROL!$C$15, $E$9, 100%, $G$9) + CHOOSE(CONTROL!$C$38, 0.0369, 0)</f>
        <v>24.395299999999999</v>
      </c>
      <c r="F200" s="45">
        <f>24.3584 * CHOOSE(CONTROL!$C$15, $E$9, 100%, $G$9) + CHOOSE(CONTROL!$C$38, 0.0278, 0)</f>
        <v>24.386199999999999</v>
      </c>
      <c r="G200" s="14">
        <f>23.0151 * CHOOSE(CONTROL!$C$15, $E$9, 100%, $G$9) + CHOOSE(CONTROL!$C$38, 0.0369, 0)</f>
        <v>23.052</v>
      </c>
      <c r="H200" s="14">
        <f>23.0151 * CHOOSE(CONTROL!$C$15, $E$9, 100%, $G$9) + CHOOSE(CONTROL!$C$38, 0.0369, 0)</f>
        <v>23.052</v>
      </c>
      <c r="I200" s="14">
        <f>23.0166 * CHOOSE(CONTROL!$C$15, $E$9, 100%, $G$9) + CHOOSE(CONTROL!$C$38, 0.0369, 0)</f>
        <v>23.0535</v>
      </c>
      <c r="J200" s="44">
        <f>163.419</f>
        <v>163.41900000000001</v>
      </c>
    </row>
    <row r="201" spans="1:10" ht="15" x14ac:dyDescent="0.2">
      <c r="A201" s="13">
        <v>47027</v>
      </c>
      <c r="B201" s="14">
        <f>24.9102 * CHOOSE(CONTROL!$C$15, $E$9, 100%, $G$9) + CHOOSE(CONTROL!$C$38, 0.0256, 0)</f>
        <v>24.9358</v>
      </c>
      <c r="C201" s="14">
        <f>23.4094 * CHOOSE(CONTROL!$C$15, $E$9, 100%, $G$9) + CHOOSE(CONTROL!$C$38, 0.0347, 0)</f>
        <v>23.444100000000002</v>
      </c>
      <c r="D201" s="14">
        <f>23.4015 * CHOOSE(CONTROL!$C$15, $E$9, 100%, $G$9) + CHOOSE(CONTROL!$C$38, 0.0347, 0)</f>
        <v>23.436199999999999</v>
      </c>
      <c r="E201" s="46">
        <f>24.7539 * CHOOSE(CONTROL!$C$15, $E$9, 100%, $G$9) + CHOOSE(CONTROL!$C$38, 0.0347, 0)</f>
        <v>24.788600000000002</v>
      </c>
      <c r="F201" s="45">
        <f>24.7539 * CHOOSE(CONTROL!$C$15, $E$9, 100%, $G$9) + CHOOSE(CONTROL!$C$38, 0.0256, 0)</f>
        <v>24.779500000000002</v>
      </c>
      <c r="G201" s="14">
        <f>23.4078 * CHOOSE(CONTROL!$C$15, $E$9, 100%, $G$9) + CHOOSE(CONTROL!$C$38, 0.0347, 0)</f>
        <v>23.442500000000003</v>
      </c>
      <c r="H201" s="14">
        <f>23.4078 * CHOOSE(CONTROL!$C$15, $E$9, 100%, $G$9) + CHOOSE(CONTROL!$C$38, 0.0347, 0)</f>
        <v>23.442500000000003</v>
      </c>
      <c r="I201" s="14">
        <f>23.4094 * CHOOSE(CONTROL!$C$15, $E$9, 100%, $G$9) + CHOOSE(CONTROL!$C$38, 0.0347, 0)</f>
        <v>23.444100000000002</v>
      </c>
      <c r="J201" s="44">
        <f>158.0927</f>
        <v>158.09270000000001</v>
      </c>
    </row>
    <row r="202" spans="1:10" ht="15" x14ac:dyDescent="0.2">
      <c r="A202" s="13">
        <v>47058</v>
      </c>
      <c r="B202" s="14">
        <f>25.2498 * CHOOSE(CONTROL!$C$15, $E$9, 100%, $G$9) + CHOOSE(CONTROL!$C$38, 0.0256, 0)</f>
        <v>25.275400000000001</v>
      </c>
      <c r="C202" s="14">
        <f>23.7462 * CHOOSE(CONTROL!$C$15, $E$9, 100%, $G$9) + CHOOSE(CONTROL!$C$38, 0.0347, 0)</f>
        <v>23.780900000000003</v>
      </c>
      <c r="D202" s="14">
        <f>23.7383 * CHOOSE(CONTROL!$C$15, $E$9, 100%, $G$9) + CHOOSE(CONTROL!$C$38, 0.0347, 0)</f>
        <v>23.773</v>
      </c>
      <c r="E202" s="46">
        <f>25.0935 * CHOOSE(CONTROL!$C$15, $E$9, 100%, $G$9) + CHOOSE(CONTROL!$C$38, 0.0347, 0)</f>
        <v>25.1282</v>
      </c>
      <c r="F202" s="45">
        <f>25.0935 * CHOOSE(CONTROL!$C$15, $E$9, 100%, $G$9) + CHOOSE(CONTROL!$C$38, 0.0256, 0)</f>
        <v>25.1191</v>
      </c>
      <c r="G202" s="14">
        <f>23.7446 * CHOOSE(CONTROL!$C$15, $E$9, 100%, $G$9) + CHOOSE(CONTROL!$C$38, 0.0347, 0)</f>
        <v>23.779299999999999</v>
      </c>
      <c r="H202" s="14">
        <f>23.7446 * CHOOSE(CONTROL!$C$15, $E$9, 100%, $G$9) + CHOOSE(CONTROL!$C$38, 0.0347, 0)</f>
        <v>23.779299999999999</v>
      </c>
      <c r="I202" s="14">
        <f>23.7462 * CHOOSE(CONTROL!$C$15, $E$9, 100%, $G$9) + CHOOSE(CONTROL!$C$38, 0.0347, 0)</f>
        <v>23.780900000000003</v>
      </c>
      <c r="J202" s="44">
        <f>157.2896</f>
        <v>157.28960000000001</v>
      </c>
    </row>
    <row r="203" spans="1:10" ht="15" x14ac:dyDescent="0.2">
      <c r="A203" s="13">
        <v>47088</v>
      </c>
      <c r="B203" s="14">
        <f>26.1945 * CHOOSE(CONTROL!$C$15, $E$9, 100%, $G$9) + CHOOSE(CONTROL!$C$38, 0.0256, 0)</f>
        <v>26.220100000000002</v>
      </c>
      <c r="C203" s="14">
        <f>24.6881 * CHOOSE(CONTROL!$C$15, $E$9, 100%, $G$9) + CHOOSE(CONTROL!$C$38, 0.0347, 0)</f>
        <v>24.722799999999999</v>
      </c>
      <c r="D203" s="14">
        <f>24.6803 * CHOOSE(CONTROL!$C$15, $E$9, 100%, $G$9) + CHOOSE(CONTROL!$C$38, 0.0347, 0)</f>
        <v>24.715</v>
      </c>
      <c r="E203" s="46">
        <f>26.0383 * CHOOSE(CONTROL!$C$15, $E$9, 100%, $G$9) + CHOOSE(CONTROL!$C$38, 0.0347, 0)</f>
        <v>26.073</v>
      </c>
      <c r="F203" s="45">
        <f>26.0383 * CHOOSE(CONTROL!$C$15, $E$9, 100%, $G$9) + CHOOSE(CONTROL!$C$38, 0.0256, 0)</f>
        <v>26.0639</v>
      </c>
      <c r="G203" s="14">
        <f>24.6866 * CHOOSE(CONTROL!$C$15, $E$9, 100%, $G$9) + CHOOSE(CONTROL!$C$38, 0.0347, 0)</f>
        <v>24.721299999999999</v>
      </c>
      <c r="H203" s="14">
        <f>24.6866 * CHOOSE(CONTROL!$C$15, $E$9, 100%, $G$9) + CHOOSE(CONTROL!$C$38, 0.0347, 0)</f>
        <v>24.721299999999999</v>
      </c>
      <c r="I203" s="14">
        <f>24.6881 * CHOOSE(CONTROL!$C$15, $E$9, 100%, $G$9) + CHOOSE(CONTROL!$C$38, 0.0347, 0)</f>
        <v>24.722799999999999</v>
      </c>
      <c r="J203" s="44">
        <f>152.9364</f>
        <v>152.93639999999999</v>
      </c>
    </row>
    <row r="204" spans="1:10" ht="15" x14ac:dyDescent="0.2">
      <c r="A204" s="13">
        <v>47119</v>
      </c>
      <c r="B204" s="14">
        <f>26.964 * CHOOSE(CONTROL!$C$15, $E$9, 100%, $G$9) + CHOOSE(CONTROL!$C$38, 0.0256, 0)</f>
        <v>26.989599999999999</v>
      </c>
      <c r="C204" s="14">
        <f>25.4813 * CHOOSE(CONTROL!$C$15, $E$9, 100%, $G$9) + CHOOSE(CONTROL!$C$38, 0.0347, 0)</f>
        <v>25.516000000000002</v>
      </c>
      <c r="D204" s="14">
        <f>25.4735 * CHOOSE(CONTROL!$C$15, $E$9, 100%, $G$9) + CHOOSE(CONTROL!$C$38, 0.0347, 0)</f>
        <v>25.508200000000002</v>
      </c>
      <c r="E204" s="46">
        <f>26.8077 * CHOOSE(CONTROL!$C$15, $E$9, 100%, $G$9) + CHOOSE(CONTROL!$C$38, 0.0347, 0)</f>
        <v>26.842400000000001</v>
      </c>
      <c r="F204" s="45">
        <f>26.8077 * CHOOSE(CONTROL!$C$15, $E$9, 100%, $G$9) + CHOOSE(CONTROL!$C$38, 0.0256, 0)</f>
        <v>26.833300000000001</v>
      </c>
      <c r="G204" s="14">
        <f>25.4798 * CHOOSE(CONTROL!$C$15, $E$9, 100%, $G$9) + CHOOSE(CONTROL!$C$38, 0.0347, 0)</f>
        <v>25.514500000000002</v>
      </c>
      <c r="H204" s="14">
        <f>25.4798 * CHOOSE(CONTROL!$C$15, $E$9, 100%, $G$9) + CHOOSE(CONTROL!$C$38, 0.0347, 0)</f>
        <v>25.514500000000002</v>
      </c>
      <c r="I204" s="14">
        <f>25.4813 * CHOOSE(CONTROL!$C$15, $E$9, 100%, $G$9) + CHOOSE(CONTROL!$C$38, 0.0347, 0)</f>
        <v>25.516000000000002</v>
      </c>
      <c r="J204" s="44">
        <f>149.6023</f>
        <v>149.60230000000001</v>
      </c>
    </row>
    <row r="205" spans="1:10" ht="15" x14ac:dyDescent="0.2">
      <c r="A205" s="13">
        <v>47150</v>
      </c>
      <c r="B205" s="14">
        <f>27.3507 * CHOOSE(CONTROL!$C$15, $E$9, 100%, $G$9) + CHOOSE(CONTROL!$C$38, 0.0256, 0)</f>
        <v>27.376300000000001</v>
      </c>
      <c r="C205" s="14">
        <f>25.8653 * CHOOSE(CONTROL!$C$15, $E$9, 100%, $G$9) + CHOOSE(CONTROL!$C$38, 0.0347, 0)</f>
        <v>25.900000000000002</v>
      </c>
      <c r="D205" s="14">
        <f>25.8575 * CHOOSE(CONTROL!$C$15, $E$9, 100%, $G$9) + CHOOSE(CONTROL!$C$38, 0.0347, 0)</f>
        <v>25.892200000000003</v>
      </c>
      <c r="E205" s="46">
        <f>27.1945 * CHOOSE(CONTROL!$C$15, $E$9, 100%, $G$9) + CHOOSE(CONTROL!$C$38, 0.0347, 0)</f>
        <v>27.229200000000002</v>
      </c>
      <c r="F205" s="45">
        <f>27.1945 * CHOOSE(CONTROL!$C$15, $E$9, 100%, $G$9) + CHOOSE(CONTROL!$C$38, 0.0256, 0)</f>
        <v>27.220100000000002</v>
      </c>
      <c r="G205" s="14">
        <f>25.8638 * CHOOSE(CONTROL!$C$15, $E$9, 100%, $G$9) + CHOOSE(CONTROL!$C$38, 0.0347, 0)</f>
        <v>25.898500000000002</v>
      </c>
      <c r="H205" s="14">
        <f>25.8638 * CHOOSE(CONTROL!$C$15, $E$9, 100%, $G$9) + CHOOSE(CONTROL!$C$38, 0.0347, 0)</f>
        <v>25.898500000000002</v>
      </c>
      <c r="I205" s="14">
        <f>25.8653 * CHOOSE(CONTROL!$C$15, $E$9, 100%, $G$9) + CHOOSE(CONTROL!$C$38, 0.0347, 0)</f>
        <v>25.900000000000002</v>
      </c>
      <c r="J205" s="44">
        <f>149.4937</f>
        <v>149.49369999999999</v>
      </c>
    </row>
    <row r="206" spans="1:10" ht="15" x14ac:dyDescent="0.2">
      <c r="A206" s="13">
        <v>47178</v>
      </c>
      <c r="B206" s="14">
        <f>26.6346 * CHOOSE(CONTROL!$C$15, $E$9, 100%, $G$9) + CHOOSE(CONTROL!$C$38, 0.0256, 0)</f>
        <v>26.6602</v>
      </c>
      <c r="C206" s="14">
        <f>25.1465 * CHOOSE(CONTROL!$C$15, $E$9, 100%, $G$9) + CHOOSE(CONTROL!$C$38, 0.0347, 0)</f>
        <v>25.1812</v>
      </c>
      <c r="D206" s="14">
        <f>25.1386 * CHOOSE(CONTROL!$C$15, $E$9, 100%, $G$9) + CHOOSE(CONTROL!$C$38, 0.0347, 0)</f>
        <v>25.173300000000001</v>
      </c>
      <c r="E206" s="46">
        <f>26.4783 * CHOOSE(CONTROL!$C$15, $E$9, 100%, $G$9) + CHOOSE(CONTROL!$C$38, 0.0347, 0)</f>
        <v>26.513000000000002</v>
      </c>
      <c r="F206" s="45">
        <f>26.4783 * CHOOSE(CONTROL!$C$15, $E$9, 100%, $G$9) + CHOOSE(CONTROL!$C$38, 0.0256, 0)</f>
        <v>26.503900000000002</v>
      </c>
      <c r="G206" s="14">
        <f>25.1449 * CHOOSE(CONTROL!$C$15, $E$9, 100%, $G$9) + CHOOSE(CONTROL!$C$38, 0.0347, 0)</f>
        <v>25.179600000000001</v>
      </c>
      <c r="H206" s="14">
        <f>25.1449 * CHOOSE(CONTROL!$C$15, $E$9, 100%, $G$9) + CHOOSE(CONTROL!$C$38, 0.0347, 0)</f>
        <v>25.179600000000001</v>
      </c>
      <c r="I206" s="14">
        <f>25.1465 * CHOOSE(CONTROL!$C$15, $E$9, 100%, $G$9) + CHOOSE(CONTROL!$C$38, 0.0347, 0)</f>
        <v>25.1812</v>
      </c>
      <c r="J206" s="44">
        <f>157.6971</f>
        <v>157.69710000000001</v>
      </c>
    </row>
    <row r="207" spans="1:10" ht="15" x14ac:dyDescent="0.2">
      <c r="A207" s="13">
        <v>47209</v>
      </c>
      <c r="B207" s="14">
        <f>25.9393 * CHOOSE(CONTROL!$C$15, $E$9, 100%, $G$9) + CHOOSE(CONTROL!$C$38, 0.0256, 0)</f>
        <v>25.9649</v>
      </c>
      <c r="C207" s="14">
        <f>24.4485 * CHOOSE(CONTROL!$C$15, $E$9, 100%, $G$9) + CHOOSE(CONTROL!$C$38, 0.0347, 0)</f>
        <v>24.4832</v>
      </c>
      <c r="D207" s="14">
        <f>24.4407 * CHOOSE(CONTROL!$C$15, $E$9, 100%, $G$9) + CHOOSE(CONTROL!$C$38, 0.0347, 0)</f>
        <v>24.4754</v>
      </c>
      <c r="E207" s="46">
        <f>25.7831 * CHOOSE(CONTROL!$C$15, $E$9, 100%, $G$9) + CHOOSE(CONTROL!$C$38, 0.0347, 0)</f>
        <v>25.817800000000002</v>
      </c>
      <c r="F207" s="45">
        <f>25.7831 * CHOOSE(CONTROL!$C$15, $E$9, 100%, $G$9) + CHOOSE(CONTROL!$C$38, 0.0256, 0)</f>
        <v>25.808700000000002</v>
      </c>
      <c r="G207" s="14">
        <f>24.4469 * CHOOSE(CONTROL!$C$15, $E$9, 100%, $G$9) + CHOOSE(CONTROL!$C$38, 0.0347, 0)</f>
        <v>24.4816</v>
      </c>
      <c r="H207" s="14">
        <f>24.4469 * CHOOSE(CONTROL!$C$15, $E$9, 100%, $G$9) + CHOOSE(CONTROL!$C$38, 0.0347, 0)</f>
        <v>24.4816</v>
      </c>
      <c r="I207" s="14">
        <f>24.4485 * CHOOSE(CONTROL!$C$15, $E$9, 100%, $G$9) + CHOOSE(CONTROL!$C$38, 0.0347, 0)</f>
        <v>24.4832</v>
      </c>
      <c r="J207" s="44">
        <f>168.2814</f>
        <v>168.28139999999999</v>
      </c>
    </row>
    <row r="208" spans="1:10" ht="15" x14ac:dyDescent="0.2">
      <c r="A208" s="13">
        <v>47239</v>
      </c>
      <c r="B208" s="14">
        <f>25.2094 * CHOOSE(CONTROL!$C$15, $E$9, 100%, $G$9) + CHOOSE(CONTROL!$C$38, 0.0278, 0)</f>
        <v>25.237199999999998</v>
      </c>
      <c r="C208" s="14">
        <f>23.7158 * CHOOSE(CONTROL!$C$15, $E$9, 100%, $G$9) + CHOOSE(CONTROL!$C$38, 0.0369, 0)</f>
        <v>23.752700000000001</v>
      </c>
      <c r="D208" s="14">
        <f>23.708 * CHOOSE(CONTROL!$C$15, $E$9, 100%, $G$9) + CHOOSE(CONTROL!$C$38, 0.0369, 0)</f>
        <v>23.744899999999998</v>
      </c>
      <c r="E208" s="46">
        <f>25.0531 * CHOOSE(CONTROL!$C$15, $E$9, 100%, $G$9) + CHOOSE(CONTROL!$C$38, 0.0369, 0)</f>
        <v>25.09</v>
      </c>
      <c r="F208" s="45">
        <f>25.0531 * CHOOSE(CONTROL!$C$15, $E$9, 100%, $G$9) + CHOOSE(CONTROL!$C$38, 0.0278, 0)</f>
        <v>25.0809</v>
      </c>
      <c r="G208" s="14">
        <f>23.7142 * CHOOSE(CONTROL!$C$15, $E$9, 100%, $G$9) + CHOOSE(CONTROL!$C$38, 0.0369, 0)</f>
        <v>23.751100000000001</v>
      </c>
      <c r="H208" s="14">
        <f>23.7142 * CHOOSE(CONTROL!$C$15, $E$9, 100%, $G$9) + CHOOSE(CONTROL!$C$38, 0.0369, 0)</f>
        <v>23.751100000000001</v>
      </c>
      <c r="I208" s="14">
        <f>23.7158 * CHOOSE(CONTROL!$C$15, $E$9, 100%, $G$9) + CHOOSE(CONTROL!$C$38, 0.0369, 0)</f>
        <v>23.752700000000001</v>
      </c>
      <c r="J208" s="44">
        <f>174.2869</f>
        <v>174.2869</v>
      </c>
    </row>
    <row r="209" spans="1:10" ht="15" x14ac:dyDescent="0.2">
      <c r="A209" s="13">
        <v>47270</v>
      </c>
      <c r="B209" s="14">
        <f>24.7106 * CHOOSE(CONTROL!$C$15, $E$9, 100%, $G$9) + CHOOSE(CONTROL!$C$38, 0.0278, 0)</f>
        <v>24.738399999999999</v>
      </c>
      <c r="C209" s="14">
        <f>23.2142 * CHOOSE(CONTROL!$C$15, $E$9, 100%, $G$9) + CHOOSE(CONTROL!$C$38, 0.0369, 0)</f>
        <v>23.251100000000001</v>
      </c>
      <c r="D209" s="14">
        <f>23.2064 * CHOOSE(CONTROL!$C$15, $E$9, 100%, $G$9) + CHOOSE(CONTROL!$C$38, 0.0369, 0)</f>
        <v>23.243299999999998</v>
      </c>
      <c r="E209" s="46">
        <f>24.5543 * CHOOSE(CONTROL!$C$15, $E$9, 100%, $G$9) + CHOOSE(CONTROL!$C$38, 0.0369, 0)</f>
        <v>24.591200000000001</v>
      </c>
      <c r="F209" s="45">
        <f>24.5543 * CHOOSE(CONTROL!$C$15, $E$9, 100%, $G$9) + CHOOSE(CONTROL!$C$38, 0.0278, 0)</f>
        <v>24.582100000000001</v>
      </c>
      <c r="G209" s="14">
        <f>23.2127 * CHOOSE(CONTROL!$C$15, $E$9, 100%, $G$9) + CHOOSE(CONTROL!$C$38, 0.0369, 0)</f>
        <v>23.249600000000001</v>
      </c>
      <c r="H209" s="14">
        <f>23.2127 * CHOOSE(CONTROL!$C$15, $E$9, 100%, $G$9) + CHOOSE(CONTROL!$C$38, 0.0369, 0)</f>
        <v>23.249600000000001</v>
      </c>
      <c r="I209" s="14">
        <f>23.2142 * CHOOSE(CONTROL!$C$15, $E$9, 100%, $G$9) + CHOOSE(CONTROL!$C$38, 0.0369, 0)</f>
        <v>23.251100000000001</v>
      </c>
      <c r="J209" s="44">
        <f>177.1624</f>
        <v>177.16239999999999</v>
      </c>
    </row>
    <row r="210" spans="1:10" ht="15" x14ac:dyDescent="0.2">
      <c r="A210" s="13">
        <v>47300</v>
      </c>
      <c r="B210" s="14">
        <f>24.446 * CHOOSE(CONTROL!$C$15, $E$9, 100%, $G$9) + CHOOSE(CONTROL!$C$38, 0.0278, 0)</f>
        <v>24.473800000000001</v>
      </c>
      <c r="C210" s="14">
        <f>22.9469 * CHOOSE(CONTROL!$C$15, $E$9, 100%, $G$9) + CHOOSE(CONTROL!$C$38, 0.0369, 0)</f>
        <v>22.983799999999999</v>
      </c>
      <c r="D210" s="14">
        <f>22.9391 * CHOOSE(CONTROL!$C$15, $E$9, 100%, $G$9) + CHOOSE(CONTROL!$C$38, 0.0369, 0)</f>
        <v>22.975999999999999</v>
      </c>
      <c r="E210" s="46">
        <f>24.2898 * CHOOSE(CONTROL!$C$15, $E$9, 100%, $G$9) + CHOOSE(CONTROL!$C$38, 0.0369, 0)</f>
        <v>24.326699999999999</v>
      </c>
      <c r="F210" s="45">
        <f>24.2898 * CHOOSE(CONTROL!$C$15, $E$9, 100%, $G$9) + CHOOSE(CONTROL!$C$38, 0.0278, 0)</f>
        <v>24.317599999999999</v>
      </c>
      <c r="G210" s="14">
        <f>22.9453 * CHOOSE(CONTROL!$C$15, $E$9, 100%, $G$9) + CHOOSE(CONTROL!$C$38, 0.0369, 0)</f>
        <v>22.982199999999999</v>
      </c>
      <c r="H210" s="14">
        <f>22.9453 * CHOOSE(CONTROL!$C$15, $E$9, 100%, $G$9) + CHOOSE(CONTROL!$C$38, 0.0369, 0)</f>
        <v>22.982199999999999</v>
      </c>
      <c r="I210" s="14">
        <f>22.9469 * CHOOSE(CONTROL!$C$15, $E$9, 100%, $G$9) + CHOOSE(CONTROL!$C$38, 0.0369, 0)</f>
        <v>22.983799999999999</v>
      </c>
      <c r="J210" s="44">
        <f>176.697</f>
        <v>176.697</v>
      </c>
    </row>
    <row r="211" spans="1:10" ht="15" x14ac:dyDescent="0.2">
      <c r="A211" s="13">
        <v>47331</v>
      </c>
      <c r="B211" s="14">
        <f>24.6505 * CHOOSE(CONTROL!$C$15, $E$9, 100%, $G$9) + CHOOSE(CONTROL!$C$38, 0.0278, 0)</f>
        <v>24.6783</v>
      </c>
      <c r="C211" s="14">
        <f>23.1486 * CHOOSE(CONTROL!$C$15, $E$9, 100%, $G$9) + CHOOSE(CONTROL!$C$38, 0.0369, 0)</f>
        <v>23.185499999999998</v>
      </c>
      <c r="D211" s="14">
        <f>23.1408 * CHOOSE(CONTROL!$C$15, $E$9, 100%, $G$9) + CHOOSE(CONTROL!$C$38, 0.0369, 0)</f>
        <v>23.177699999999998</v>
      </c>
      <c r="E211" s="46">
        <f>24.4942 * CHOOSE(CONTROL!$C$15, $E$9, 100%, $G$9) + CHOOSE(CONTROL!$C$38, 0.0369, 0)</f>
        <v>24.531099999999999</v>
      </c>
      <c r="F211" s="45">
        <f>24.4942 * CHOOSE(CONTROL!$C$15, $E$9, 100%, $G$9) + CHOOSE(CONTROL!$C$38, 0.0278, 0)</f>
        <v>24.521999999999998</v>
      </c>
      <c r="G211" s="14">
        <f>23.147 * CHOOSE(CONTROL!$C$15, $E$9, 100%, $G$9) + CHOOSE(CONTROL!$C$38, 0.0369, 0)</f>
        <v>23.183899999999998</v>
      </c>
      <c r="H211" s="14">
        <f>23.147 * CHOOSE(CONTROL!$C$15, $E$9, 100%, $G$9) + CHOOSE(CONTROL!$C$38, 0.0369, 0)</f>
        <v>23.183899999999998</v>
      </c>
      <c r="I211" s="14">
        <f>23.1486 * CHOOSE(CONTROL!$C$15, $E$9, 100%, $G$9) + CHOOSE(CONTROL!$C$38, 0.0369, 0)</f>
        <v>23.185499999999998</v>
      </c>
      <c r="J211" s="44">
        <f>172.9391</f>
        <v>172.9391</v>
      </c>
    </row>
    <row r="212" spans="1:10" ht="15" x14ac:dyDescent="0.2">
      <c r="A212" s="13">
        <v>47362</v>
      </c>
      <c r="B212" s="14">
        <f>25.1229 * CHOOSE(CONTROL!$C$15, $E$9, 100%, $G$9) + CHOOSE(CONTROL!$C$38, 0.0278, 0)</f>
        <v>25.150700000000001</v>
      </c>
      <c r="C212" s="14">
        <f>23.6183 * CHOOSE(CONTROL!$C$15, $E$9, 100%, $G$9) + CHOOSE(CONTROL!$C$38, 0.0369, 0)</f>
        <v>23.655200000000001</v>
      </c>
      <c r="D212" s="14">
        <f>23.6104 * CHOOSE(CONTROL!$C$15, $E$9, 100%, $G$9) + CHOOSE(CONTROL!$C$38, 0.0369, 0)</f>
        <v>23.647299999999998</v>
      </c>
      <c r="E212" s="46">
        <f>24.9667 * CHOOSE(CONTROL!$C$15, $E$9, 100%, $G$9) + CHOOSE(CONTROL!$C$38, 0.0369, 0)</f>
        <v>25.003599999999999</v>
      </c>
      <c r="F212" s="45">
        <f>24.9667 * CHOOSE(CONTROL!$C$15, $E$9, 100%, $G$9) + CHOOSE(CONTROL!$C$38, 0.0278, 0)</f>
        <v>24.994499999999999</v>
      </c>
      <c r="G212" s="14">
        <f>23.6167 * CHOOSE(CONTROL!$C$15, $E$9, 100%, $G$9) + CHOOSE(CONTROL!$C$38, 0.0369, 0)</f>
        <v>23.653600000000001</v>
      </c>
      <c r="H212" s="14">
        <f>23.6167 * CHOOSE(CONTROL!$C$15, $E$9, 100%, $G$9) + CHOOSE(CONTROL!$C$38, 0.0369, 0)</f>
        <v>23.653600000000001</v>
      </c>
      <c r="I212" s="14">
        <f>23.6183 * CHOOSE(CONTROL!$C$15, $E$9, 100%, $G$9) + CHOOSE(CONTROL!$C$38, 0.0369, 0)</f>
        <v>23.655200000000001</v>
      </c>
      <c r="J212" s="44">
        <f>167.5353</f>
        <v>167.53530000000001</v>
      </c>
    </row>
    <row r="213" spans="1:10" ht="15" x14ac:dyDescent="0.2">
      <c r="A213" s="13">
        <v>47392</v>
      </c>
      <c r="B213" s="14">
        <f>25.5283 * CHOOSE(CONTROL!$C$15, $E$9, 100%, $G$9) + CHOOSE(CONTROL!$C$38, 0.0256, 0)</f>
        <v>25.553900000000002</v>
      </c>
      <c r="C213" s="14">
        <f>24.0209 * CHOOSE(CONTROL!$C$15, $E$9, 100%, $G$9) + CHOOSE(CONTROL!$C$38, 0.0347, 0)</f>
        <v>24.055600000000002</v>
      </c>
      <c r="D213" s="14">
        <f>24.0131 * CHOOSE(CONTROL!$C$15, $E$9, 100%, $G$9) + CHOOSE(CONTROL!$C$38, 0.0347, 0)</f>
        <v>24.047800000000002</v>
      </c>
      <c r="E213" s="46">
        <f>25.3721 * CHOOSE(CONTROL!$C$15, $E$9, 100%, $G$9) + CHOOSE(CONTROL!$C$38, 0.0347, 0)</f>
        <v>25.4068</v>
      </c>
      <c r="F213" s="45">
        <f>25.3721 * CHOOSE(CONTROL!$C$15, $E$9, 100%, $G$9) + CHOOSE(CONTROL!$C$38, 0.0256, 0)</f>
        <v>25.3977</v>
      </c>
      <c r="G213" s="14">
        <f>24.0193 * CHOOSE(CONTROL!$C$15, $E$9, 100%, $G$9) + CHOOSE(CONTROL!$C$38, 0.0347, 0)</f>
        <v>24.054000000000002</v>
      </c>
      <c r="H213" s="14">
        <f>24.0193 * CHOOSE(CONTROL!$C$15, $E$9, 100%, $G$9) + CHOOSE(CONTROL!$C$38, 0.0347, 0)</f>
        <v>24.054000000000002</v>
      </c>
      <c r="I213" s="14">
        <f>24.0209 * CHOOSE(CONTROL!$C$15, $E$9, 100%, $G$9) + CHOOSE(CONTROL!$C$38, 0.0347, 0)</f>
        <v>24.055600000000002</v>
      </c>
      <c r="J213" s="44">
        <f>162.0749</f>
        <v>162.07490000000001</v>
      </c>
    </row>
    <row r="214" spans="1:10" ht="15" x14ac:dyDescent="0.2">
      <c r="A214" s="13">
        <v>47423</v>
      </c>
      <c r="B214" s="14">
        <f>25.8764 * CHOOSE(CONTROL!$C$15, $E$9, 100%, $G$9) + CHOOSE(CONTROL!$C$38, 0.0256, 0)</f>
        <v>25.902000000000001</v>
      </c>
      <c r="C214" s="14">
        <f>24.3662 * CHOOSE(CONTROL!$C$15, $E$9, 100%, $G$9) + CHOOSE(CONTROL!$C$38, 0.0347, 0)</f>
        <v>24.4009</v>
      </c>
      <c r="D214" s="14">
        <f>24.3584 * CHOOSE(CONTROL!$C$15, $E$9, 100%, $G$9) + CHOOSE(CONTROL!$C$38, 0.0347, 0)</f>
        <v>24.3931</v>
      </c>
      <c r="E214" s="46">
        <f>25.7202 * CHOOSE(CONTROL!$C$15, $E$9, 100%, $G$9) + CHOOSE(CONTROL!$C$38, 0.0347, 0)</f>
        <v>25.754899999999999</v>
      </c>
      <c r="F214" s="45">
        <f>25.7202 * CHOOSE(CONTROL!$C$15, $E$9, 100%, $G$9) + CHOOSE(CONTROL!$C$38, 0.0256, 0)</f>
        <v>25.745799999999999</v>
      </c>
      <c r="G214" s="14">
        <f>24.3646 * CHOOSE(CONTROL!$C$15, $E$9, 100%, $G$9) + CHOOSE(CONTROL!$C$38, 0.0347, 0)</f>
        <v>24.3993</v>
      </c>
      <c r="H214" s="14">
        <f>24.3646 * CHOOSE(CONTROL!$C$15, $E$9, 100%, $G$9) + CHOOSE(CONTROL!$C$38, 0.0347, 0)</f>
        <v>24.3993</v>
      </c>
      <c r="I214" s="14">
        <f>24.3662 * CHOOSE(CONTROL!$C$15, $E$9, 100%, $G$9) + CHOOSE(CONTROL!$C$38, 0.0347, 0)</f>
        <v>24.4009</v>
      </c>
      <c r="J214" s="44">
        <f>161.2516</f>
        <v>161.2516</v>
      </c>
    </row>
    <row r="215" spans="1:10" ht="15" x14ac:dyDescent="0.2">
      <c r="A215" s="13">
        <v>47453</v>
      </c>
      <c r="B215" s="14">
        <f>26.8448 * CHOOSE(CONTROL!$C$15, $E$9, 100%, $G$9) + CHOOSE(CONTROL!$C$38, 0.0256, 0)</f>
        <v>26.8704</v>
      </c>
      <c r="C215" s="14">
        <f>25.3318 * CHOOSE(CONTROL!$C$15, $E$9, 100%, $G$9) + CHOOSE(CONTROL!$C$38, 0.0347, 0)</f>
        <v>25.366500000000002</v>
      </c>
      <c r="D215" s="14">
        <f>25.324 * CHOOSE(CONTROL!$C$15, $E$9, 100%, $G$9) + CHOOSE(CONTROL!$C$38, 0.0347, 0)</f>
        <v>25.358700000000002</v>
      </c>
      <c r="E215" s="46">
        <f>26.6886 * CHOOSE(CONTROL!$C$15, $E$9, 100%, $G$9) + CHOOSE(CONTROL!$C$38, 0.0347, 0)</f>
        <v>26.723300000000002</v>
      </c>
      <c r="F215" s="45">
        <f>26.6886 * CHOOSE(CONTROL!$C$15, $E$9, 100%, $G$9) + CHOOSE(CONTROL!$C$38, 0.0256, 0)</f>
        <v>26.714200000000002</v>
      </c>
      <c r="G215" s="14">
        <f>25.3302 * CHOOSE(CONTROL!$C$15, $E$9, 100%, $G$9) + CHOOSE(CONTROL!$C$38, 0.0347, 0)</f>
        <v>25.364900000000002</v>
      </c>
      <c r="H215" s="14">
        <f>25.3302 * CHOOSE(CONTROL!$C$15, $E$9, 100%, $G$9) + CHOOSE(CONTROL!$C$38, 0.0347, 0)</f>
        <v>25.364900000000002</v>
      </c>
      <c r="I215" s="14">
        <f>25.3318 * CHOOSE(CONTROL!$C$15, $E$9, 100%, $G$9) + CHOOSE(CONTROL!$C$38, 0.0347, 0)</f>
        <v>25.366500000000002</v>
      </c>
      <c r="J215" s="44">
        <f>156.7887</f>
        <v>156.78870000000001</v>
      </c>
    </row>
    <row r="216" spans="1:10" ht="15" x14ac:dyDescent="0.2">
      <c r="A216" s="13">
        <v>47484</v>
      </c>
      <c r="B216" s="14">
        <f>27.5843 * CHOOSE(CONTROL!$C$15, $E$9, 100%, $G$9) + CHOOSE(CONTROL!$C$38, 0.0256, 0)</f>
        <v>27.6099</v>
      </c>
      <c r="C216" s="14">
        <f>26.0952 * CHOOSE(CONTROL!$C$15, $E$9, 100%, $G$9) + CHOOSE(CONTROL!$C$38, 0.0347, 0)</f>
        <v>26.129899999999999</v>
      </c>
      <c r="D216" s="14">
        <f>26.0874 * CHOOSE(CONTROL!$C$15, $E$9, 100%, $G$9) + CHOOSE(CONTROL!$C$38, 0.0347, 0)</f>
        <v>26.1221</v>
      </c>
      <c r="E216" s="46">
        <f>27.4281 * CHOOSE(CONTROL!$C$15, $E$9, 100%, $G$9) + CHOOSE(CONTROL!$C$38, 0.0347, 0)</f>
        <v>27.462800000000001</v>
      </c>
      <c r="F216" s="45">
        <f>27.4281 * CHOOSE(CONTROL!$C$15, $E$9, 100%, $G$9) + CHOOSE(CONTROL!$C$38, 0.0256, 0)</f>
        <v>27.453700000000001</v>
      </c>
      <c r="G216" s="14">
        <f>26.0936 * CHOOSE(CONTROL!$C$15, $E$9, 100%, $G$9) + CHOOSE(CONTROL!$C$38, 0.0347, 0)</f>
        <v>26.128299999999999</v>
      </c>
      <c r="H216" s="14">
        <f>26.0936 * CHOOSE(CONTROL!$C$15, $E$9, 100%, $G$9) + CHOOSE(CONTROL!$C$38, 0.0347, 0)</f>
        <v>26.128299999999999</v>
      </c>
      <c r="I216" s="14">
        <f>26.0952 * CHOOSE(CONTROL!$C$15, $E$9, 100%, $G$9) + CHOOSE(CONTROL!$C$38, 0.0347, 0)</f>
        <v>26.129899999999999</v>
      </c>
      <c r="J216" s="44">
        <f>153.3705</f>
        <v>153.37049999999999</v>
      </c>
    </row>
    <row r="217" spans="1:10" ht="15" x14ac:dyDescent="0.2">
      <c r="A217" s="13">
        <v>47515</v>
      </c>
      <c r="B217" s="14">
        <f>27.9807 * CHOOSE(CONTROL!$C$15, $E$9, 100%, $G$9) + CHOOSE(CONTROL!$C$38, 0.0256, 0)</f>
        <v>28.0063</v>
      </c>
      <c r="C217" s="14">
        <f>26.4888 * CHOOSE(CONTROL!$C$15, $E$9, 100%, $G$9) + CHOOSE(CONTROL!$C$38, 0.0347, 0)</f>
        <v>26.523500000000002</v>
      </c>
      <c r="D217" s="14">
        <f>26.481 * CHOOSE(CONTROL!$C$15, $E$9, 100%, $G$9) + CHOOSE(CONTROL!$C$38, 0.0347, 0)</f>
        <v>26.515700000000002</v>
      </c>
      <c r="E217" s="46">
        <f>27.8244 * CHOOSE(CONTROL!$C$15, $E$9, 100%, $G$9) + CHOOSE(CONTROL!$C$38, 0.0347, 0)</f>
        <v>27.859100000000002</v>
      </c>
      <c r="F217" s="45">
        <f>27.8244 * CHOOSE(CONTROL!$C$15, $E$9, 100%, $G$9) + CHOOSE(CONTROL!$C$38, 0.0256, 0)</f>
        <v>27.85</v>
      </c>
      <c r="G217" s="14">
        <f>26.4872 * CHOOSE(CONTROL!$C$15, $E$9, 100%, $G$9) + CHOOSE(CONTROL!$C$38, 0.0347, 0)</f>
        <v>26.521900000000002</v>
      </c>
      <c r="H217" s="14">
        <f>26.4872 * CHOOSE(CONTROL!$C$15, $E$9, 100%, $G$9) + CHOOSE(CONTROL!$C$38, 0.0347, 0)</f>
        <v>26.521900000000002</v>
      </c>
      <c r="I217" s="14">
        <f>26.4888 * CHOOSE(CONTROL!$C$15, $E$9, 100%, $G$9) + CHOOSE(CONTROL!$C$38, 0.0347, 0)</f>
        <v>26.523500000000002</v>
      </c>
      <c r="J217" s="44">
        <f>153.2592</f>
        <v>153.25919999999999</v>
      </c>
    </row>
    <row r="218" spans="1:10" ht="15" x14ac:dyDescent="0.2">
      <c r="A218" s="13">
        <v>47543</v>
      </c>
      <c r="B218" s="14">
        <f>27.2465 * CHOOSE(CONTROL!$C$15, $E$9, 100%, $G$9) + CHOOSE(CONTROL!$C$38, 0.0256, 0)</f>
        <v>27.272100000000002</v>
      </c>
      <c r="C218" s="14">
        <f>25.7519 * CHOOSE(CONTROL!$C$15, $E$9, 100%, $G$9) + CHOOSE(CONTROL!$C$38, 0.0347, 0)</f>
        <v>25.7866</v>
      </c>
      <c r="D218" s="14">
        <f>25.7441 * CHOOSE(CONTROL!$C$15, $E$9, 100%, $G$9) + CHOOSE(CONTROL!$C$38, 0.0347, 0)</f>
        <v>25.7788</v>
      </c>
      <c r="E218" s="46">
        <f>27.0903 * CHOOSE(CONTROL!$C$15, $E$9, 100%, $G$9) + CHOOSE(CONTROL!$C$38, 0.0347, 0)</f>
        <v>27.125</v>
      </c>
      <c r="F218" s="45">
        <f>27.0903 * CHOOSE(CONTROL!$C$15, $E$9, 100%, $G$9) + CHOOSE(CONTROL!$C$38, 0.0256, 0)</f>
        <v>27.1159</v>
      </c>
      <c r="G218" s="14">
        <f>25.7503 * CHOOSE(CONTROL!$C$15, $E$9, 100%, $G$9) + CHOOSE(CONTROL!$C$38, 0.0347, 0)</f>
        <v>25.785</v>
      </c>
      <c r="H218" s="14">
        <f>25.7503 * CHOOSE(CONTROL!$C$15, $E$9, 100%, $G$9) + CHOOSE(CONTROL!$C$38, 0.0347, 0)</f>
        <v>25.785</v>
      </c>
      <c r="I218" s="14">
        <f>25.7519 * CHOOSE(CONTROL!$C$15, $E$9, 100%, $G$9) + CHOOSE(CONTROL!$C$38, 0.0347, 0)</f>
        <v>25.7866</v>
      </c>
      <c r="J218" s="44">
        <f>161.6692</f>
        <v>161.66919999999999</v>
      </c>
    </row>
    <row r="219" spans="1:10" ht="15" x14ac:dyDescent="0.2">
      <c r="A219" s="13">
        <v>47574</v>
      </c>
      <c r="B219" s="14">
        <f>26.5338 * CHOOSE(CONTROL!$C$15, $E$9, 100%, $G$9) + CHOOSE(CONTROL!$C$38, 0.0256, 0)</f>
        <v>26.5594</v>
      </c>
      <c r="C219" s="14">
        <f>25.0364 * CHOOSE(CONTROL!$C$15, $E$9, 100%, $G$9) + CHOOSE(CONTROL!$C$38, 0.0347, 0)</f>
        <v>25.071100000000001</v>
      </c>
      <c r="D219" s="14">
        <f>25.0286 * CHOOSE(CONTROL!$C$15, $E$9, 100%, $G$9) + CHOOSE(CONTROL!$C$38, 0.0347, 0)</f>
        <v>25.063300000000002</v>
      </c>
      <c r="E219" s="46">
        <f>26.3776 * CHOOSE(CONTROL!$C$15, $E$9, 100%, $G$9) + CHOOSE(CONTROL!$C$38, 0.0347, 0)</f>
        <v>26.412300000000002</v>
      </c>
      <c r="F219" s="45">
        <f>26.3776 * CHOOSE(CONTROL!$C$15, $E$9, 100%, $G$9) + CHOOSE(CONTROL!$C$38, 0.0256, 0)</f>
        <v>26.403200000000002</v>
      </c>
      <c r="G219" s="14">
        <f>25.0349 * CHOOSE(CONTROL!$C$15, $E$9, 100%, $G$9) + CHOOSE(CONTROL!$C$38, 0.0347, 0)</f>
        <v>25.069600000000001</v>
      </c>
      <c r="H219" s="14">
        <f>25.0349 * CHOOSE(CONTROL!$C$15, $E$9, 100%, $G$9) + CHOOSE(CONTROL!$C$38, 0.0347, 0)</f>
        <v>25.069600000000001</v>
      </c>
      <c r="I219" s="14">
        <f>25.0364 * CHOOSE(CONTROL!$C$15, $E$9, 100%, $G$9) + CHOOSE(CONTROL!$C$38, 0.0347, 0)</f>
        <v>25.071100000000001</v>
      </c>
      <c r="J219" s="44">
        <f>172.5201</f>
        <v>172.52010000000001</v>
      </c>
    </row>
    <row r="220" spans="1:10" ht="15" x14ac:dyDescent="0.2">
      <c r="A220" s="13">
        <v>47604</v>
      </c>
      <c r="B220" s="14">
        <f>25.7856 * CHOOSE(CONTROL!$C$15, $E$9, 100%, $G$9) + CHOOSE(CONTROL!$C$38, 0.0278, 0)</f>
        <v>25.813399999999998</v>
      </c>
      <c r="C220" s="14">
        <f>24.2854 * CHOOSE(CONTROL!$C$15, $E$9, 100%, $G$9) + CHOOSE(CONTROL!$C$38, 0.0369, 0)</f>
        <v>24.322299999999998</v>
      </c>
      <c r="D220" s="14">
        <f>24.2776 * CHOOSE(CONTROL!$C$15, $E$9, 100%, $G$9) + CHOOSE(CONTROL!$C$38, 0.0369, 0)</f>
        <v>24.314499999999999</v>
      </c>
      <c r="E220" s="46">
        <f>25.6293 * CHOOSE(CONTROL!$C$15, $E$9, 100%, $G$9) + CHOOSE(CONTROL!$C$38, 0.0369, 0)</f>
        <v>25.6662</v>
      </c>
      <c r="F220" s="45">
        <f>25.6293 * CHOOSE(CONTROL!$C$15, $E$9, 100%, $G$9) + CHOOSE(CONTROL!$C$38, 0.0278, 0)</f>
        <v>25.6571</v>
      </c>
      <c r="G220" s="14">
        <f>24.2838 * CHOOSE(CONTROL!$C$15, $E$9, 100%, $G$9) + CHOOSE(CONTROL!$C$38, 0.0369, 0)</f>
        <v>24.320699999999999</v>
      </c>
      <c r="H220" s="14">
        <f>24.2838 * CHOOSE(CONTROL!$C$15, $E$9, 100%, $G$9) + CHOOSE(CONTROL!$C$38, 0.0369, 0)</f>
        <v>24.320699999999999</v>
      </c>
      <c r="I220" s="14">
        <f>24.2854 * CHOOSE(CONTROL!$C$15, $E$9, 100%, $G$9) + CHOOSE(CONTROL!$C$38, 0.0369, 0)</f>
        <v>24.322299999999998</v>
      </c>
      <c r="J220" s="44">
        <f>178.6769</f>
        <v>178.67689999999999</v>
      </c>
    </row>
    <row r="221" spans="1:10" ht="15" x14ac:dyDescent="0.2">
      <c r="A221" s="13">
        <v>47635</v>
      </c>
      <c r="B221" s="14">
        <f>25.2742 * CHOOSE(CONTROL!$C$15, $E$9, 100%, $G$9) + CHOOSE(CONTROL!$C$38, 0.0278, 0)</f>
        <v>25.302</v>
      </c>
      <c r="C221" s="14">
        <f>23.7713 * CHOOSE(CONTROL!$C$15, $E$9, 100%, $G$9) + CHOOSE(CONTROL!$C$38, 0.0369, 0)</f>
        <v>23.808199999999999</v>
      </c>
      <c r="D221" s="14">
        <f>23.7635 * CHOOSE(CONTROL!$C$15, $E$9, 100%, $G$9) + CHOOSE(CONTROL!$C$38, 0.0369, 0)</f>
        <v>23.8004</v>
      </c>
      <c r="E221" s="46">
        <f>25.118 * CHOOSE(CONTROL!$C$15, $E$9, 100%, $G$9) + CHOOSE(CONTROL!$C$38, 0.0369, 0)</f>
        <v>25.154899999999998</v>
      </c>
      <c r="F221" s="45">
        <f>25.118 * CHOOSE(CONTROL!$C$15, $E$9, 100%, $G$9) + CHOOSE(CONTROL!$C$38, 0.0278, 0)</f>
        <v>25.145799999999998</v>
      </c>
      <c r="G221" s="14">
        <f>23.7697 * CHOOSE(CONTROL!$C$15, $E$9, 100%, $G$9) + CHOOSE(CONTROL!$C$38, 0.0369, 0)</f>
        <v>23.8066</v>
      </c>
      <c r="H221" s="14">
        <f>23.7697 * CHOOSE(CONTROL!$C$15, $E$9, 100%, $G$9) + CHOOSE(CONTROL!$C$38, 0.0369, 0)</f>
        <v>23.8066</v>
      </c>
      <c r="I221" s="14">
        <f>23.7713 * CHOOSE(CONTROL!$C$15, $E$9, 100%, $G$9) + CHOOSE(CONTROL!$C$38, 0.0369, 0)</f>
        <v>23.808199999999999</v>
      </c>
      <c r="J221" s="44">
        <f>181.6248</f>
        <v>181.62479999999999</v>
      </c>
    </row>
    <row r="222" spans="1:10" ht="15" x14ac:dyDescent="0.2">
      <c r="A222" s="13">
        <v>47665</v>
      </c>
      <c r="B222" s="14">
        <f>25.003 * CHOOSE(CONTROL!$C$15, $E$9, 100%, $G$9) + CHOOSE(CONTROL!$C$38, 0.0278, 0)</f>
        <v>25.030799999999999</v>
      </c>
      <c r="C222" s="14">
        <f>23.4973 * CHOOSE(CONTROL!$C$15, $E$9, 100%, $G$9) + CHOOSE(CONTROL!$C$38, 0.0369, 0)</f>
        <v>23.534199999999998</v>
      </c>
      <c r="D222" s="14">
        <f>23.4894 * CHOOSE(CONTROL!$C$15, $E$9, 100%, $G$9) + CHOOSE(CONTROL!$C$38, 0.0369, 0)</f>
        <v>23.526299999999999</v>
      </c>
      <c r="E222" s="46">
        <f>24.8467 * CHOOSE(CONTROL!$C$15, $E$9, 100%, $G$9) + CHOOSE(CONTROL!$C$38, 0.0369, 0)</f>
        <v>24.883599999999998</v>
      </c>
      <c r="F222" s="45">
        <f>24.8467 * CHOOSE(CONTROL!$C$15, $E$9, 100%, $G$9) + CHOOSE(CONTROL!$C$38, 0.0278, 0)</f>
        <v>24.874499999999998</v>
      </c>
      <c r="G222" s="14">
        <f>23.4957 * CHOOSE(CONTROL!$C$15, $E$9, 100%, $G$9) + CHOOSE(CONTROL!$C$38, 0.0369, 0)</f>
        <v>23.532599999999999</v>
      </c>
      <c r="H222" s="14">
        <f>23.4957 * CHOOSE(CONTROL!$C$15, $E$9, 100%, $G$9) + CHOOSE(CONTROL!$C$38, 0.0369, 0)</f>
        <v>23.532599999999999</v>
      </c>
      <c r="I222" s="14">
        <f>23.4973 * CHOOSE(CONTROL!$C$15, $E$9, 100%, $G$9) + CHOOSE(CONTROL!$C$38, 0.0369, 0)</f>
        <v>23.534199999999998</v>
      </c>
      <c r="J222" s="44">
        <f>181.1477</f>
        <v>181.14769999999999</v>
      </c>
    </row>
    <row r="223" spans="1:10" ht="15" x14ac:dyDescent="0.2">
      <c r="A223" s="13">
        <v>47696</v>
      </c>
      <c r="B223" s="14">
        <f>25.1619 * CHOOSE(CONTROL!$C$15, $E$9, 100%, $G$9) + CHOOSE(CONTROL!$C$38, 0.0278, 0)</f>
        <v>25.189699999999998</v>
      </c>
      <c r="C223" s="14">
        <f>23.6562 * CHOOSE(CONTROL!$C$15, $E$9, 100%, $G$9) + CHOOSE(CONTROL!$C$38, 0.0369, 0)</f>
        <v>23.693099999999998</v>
      </c>
      <c r="D223" s="14">
        <f>23.6484 * CHOOSE(CONTROL!$C$15, $E$9, 100%, $G$9) + CHOOSE(CONTROL!$C$38, 0.0369, 0)</f>
        <v>23.685299999999998</v>
      </c>
      <c r="E223" s="46">
        <f>25.0056 * CHOOSE(CONTROL!$C$15, $E$9, 100%, $G$9) + CHOOSE(CONTROL!$C$38, 0.0369, 0)</f>
        <v>25.0425</v>
      </c>
      <c r="F223" s="45">
        <f>25.0056 * CHOOSE(CONTROL!$C$15, $E$9, 100%, $G$9) + CHOOSE(CONTROL!$C$38, 0.0278, 0)</f>
        <v>25.0334</v>
      </c>
      <c r="G223" s="14">
        <f>23.6546 * CHOOSE(CONTROL!$C$15, $E$9, 100%, $G$9) + CHOOSE(CONTROL!$C$38, 0.0369, 0)</f>
        <v>23.691499999999998</v>
      </c>
      <c r="H223" s="14">
        <f>23.6546 * CHOOSE(CONTROL!$C$15, $E$9, 100%, $G$9) + CHOOSE(CONTROL!$C$38, 0.0369, 0)</f>
        <v>23.691499999999998</v>
      </c>
      <c r="I223" s="14">
        <f>23.6562 * CHOOSE(CONTROL!$C$15, $E$9, 100%, $G$9) + CHOOSE(CONTROL!$C$38, 0.0369, 0)</f>
        <v>23.693099999999998</v>
      </c>
      <c r="J223" s="44">
        <f>176.9307</f>
        <v>176.9307</v>
      </c>
    </row>
    <row r="224" spans="1:10" ht="15" x14ac:dyDescent="0.2">
      <c r="A224" s="13">
        <v>47727</v>
      </c>
      <c r="B224" s="14">
        <f>25.5936 * CHOOSE(CONTROL!$C$15, $E$9, 100%, $G$9) + CHOOSE(CONTROL!$C$38, 0.0278, 0)</f>
        <v>25.621399999999998</v>
      </c>
      <c r="C224" s="14">
        <f>24.0879 * CHOOSE(CONTROL!$C$15, $E$9, 100%, $G$9) + CHOOSE(CONTROL!$C$38, 0.0369, 0)</f>
        <v>24.1248</v>
      </c>
      <c r="D224" s="14">
        <f>24.0801 * CHOOSE(CONTROL!$C$15, $E$9, 100%, $G$9) + CHOOSE(CONTROL!$C$38, 0.0369, 0)</f>
        <v>24.117000000000001</v>
      </c>
      <c r="E224" s="46">
        <f>25.4374 * CHOOSE(CONTROL!$C$15, $E$9, 100%, $G$9) + CHOOSE(CONTROL!$C$38, 0.0369, 0)</f>
        <v>25.474299999999999</v>
      </c>
      <c r="F224" s="45">
        <f>25.4374 * CHOOSE(CONTROL!$C$15, $E$9, 100%, $G$9) + CHOOSE(CONTROL!$C$38, 0.0278, 0)</f>
        <v>25.465199999999999</v>
      </c>
      <c r="G224" s="14">
        <f>24.0863 * CHOOSE(CONTROL!$C$15, $E$9, 100%, $G$9) + CHOOSE(CONTROL!$C$38, 0.0369, 0)</f>
        <v>24.123200000000001</v>
      </c>
      <c r="H224" s="14">
        <f>24.0863 * CHOOSE(CONTROL!$C$15, $E$9, 100%, $G$9) + CHOOSE(CONTROL!$C$38, 0.0369, 0)</f>
        <v>24.123200000000001</v>
      </c>
      <c r="I224" s="14">
        <f>24.0879 * CHOOSE(CONTROL!$C$15, $E$9, 100%, $G$9) + CHOOSE(CONTROL!$C$38, 0.0369, 0)</f>
        <v>24.1248</v>
      </c>
      <c r="J224" s="44">
        <f>171.0498</f>
        <v>171.0498</v>
      </c>
    </row>
    <row r="225" spans="1:10" ht="15" x14ac:dyDescent="0.2">
      <c r="A225" s="13">
        <v>47757</v>
      </c>
      <c r="B225" s="14">
        <f>25.9552 * CHOOSE(CONTROL!$C$15, $E$9, 100%, $G$9) + CHOOSE(CONTROL!$C$38, 0.0256, 0)</f>
        <v>25.980800000000002</v>
      </c>
      <c r="C225" s="14">
        <f>24.4495 * CHOOSE(CONTROL!$C$15, $E$9, 100%, $G$9) + CHOOSE(CONTROL!$C$38, 0.0347, 0)</f>
        <v>24.484200000000001</v>
      </c>
      <c r="D225" s="14">
        <f>24.4417 * CHOOSE(CONTROL!$C$15, $E$9, 100%, $G$9) + CHOOSE(CONTROL!$C$38, 0.0347, 0)</f>
        <v>24.476400000000002</v>
      </c>
      <c r="E225" s="46">
        <f>25.7989 * CHOOSE(CONTROL!$C$15, $E$9, 100%, $G$9) + CHOOSE(CONTROL!$C$38, 0.0347, 0)</f>
        <v>25.833600000000001</v>
      </c>
      <c r="F225" s="45">
        <f>25.7989 * CHOOSE(CONTROL!$C$15, $E$9, 100%, $G$9) + CHOOSE(CONTROL!$C$38, 0.0256, 0)</f>
        <v>25.8245</v>
      </c>
      <c r="G225" s="14">
        <f>24.4479 * CHOOSE(CONTROL!$C$15, $E$9, 100%, $G$9) + CHOOSE(CONTROL!$C$38, 0.0347, 0)</f>
        <v>24.482600000000001</v>
      </c>
      <c r="H225" s="14">
        <f>24.4479 * CHOOSE(CONTROL!$C$15, $E$9, 100%, $G$9) + CHOOSE(CONTROL!$C$38, 0.0347, 0)</f>
        <v>24.482600000000001</v>
      </c>
      <c r="I225" s="14">
        <f>24.4495 * CHOOSE(CONTROL!$C$15, $E$9, 100%, $G$9) + CHOOSE(CONTROL!$C$38, 0.0347, 0)</f>
        <v>24.484200000000001</v>
      </c>
      <c r="J225" s="44">
        <f>165.1347</f>
        <v>165.13470000000001</v>
      </c>
    </row>
    <row r="226" spans="1:10" ht="15" x14ac:dyDescent="0.2">
      <c r="A226" s="13">
        <v>47788</v>
      </c>
      <c r="B226" s="14">
        <f>26.2569 * CHOOSE(CONTROL!$C$15, $E$9, 100%, $G$9) + CHOOSE(CONTROL!$C$38, 0.0256, 0)</f>
        <v>26.282500000000002</v>
      </c>
      <c r="C226" s="14">
        <f>24.7512 * CHOOSE(CONTROL!$C$15, $E$9, 100%, $G$9) + CHOOSE(CONTROL!$C$38, 0.0347, 0)</f>
        <v>24.785900000000002</v>
      </c>
      <c r="D226" s="14">
        <f>24.7434 * CHOOSE(CONTROL!$C$15, $E$9, 100%, $G$9) + CHOOSE(CONTROL!$C$38, 0.0347, 0)</f>
        <v>24.778100000000002</v>
      </c>
      <c r="E226" s="46">
        <f>26.1006 * CHOOSE(CONTROL!$C$15, $E$9, 100%, $G$9) + CHOOSE(CONTROL!$C$38, 0.0347, 0)</f>
        <v>26.135300000000001</v>
      </c>
      <c r="F226" s="45">
        <f>26.1006 * CHOOSE(CONTROL!$C$15, $E$9, 100%, $G$9) + CHOOSE(CONTROL!$C$38, 0.0256, 0)</f>
        <v>26.126200000000001</v>
      </c>
      <c r="G226" s="14">
        <f>24.7496 * CHOOSE(CONTROL!$C$15, $E$9, 100%, $G$9) + CHOOSE(CONTROL!$C$38, 0.0347, 0)</f>
        <v>24.784300000000002</v>
      </c>
      <c r="H226" s="14">
        <f>24.7496 * CHOOSE(CONTROL!$C$15, $E$9, 100%, $G$9) + CHOOSE(CONTROL!$C$38, 0.0347, 0)</f>
        <v>24.784300000000002</v>
      </c>
      <c r="I226" s="14">
        <f>24.7512 * CHOOSE(CONTROL!$C$15, $E$9, 100%, $G$9) + CHOOSE(CONTROL!$C$38, 0.0347, 0)</f>
        <v>24.785900000000002</v>
      </c>
      <c r="J226" s="44">
        <f>163.9581</f>
        <v>163.9581</v>
      </c>
    </row>
    <row r="227" spans="1:10" ht="15" x14ac:dyDescent="0.2">
      <c r="A227" s="13">
        <v>47818</v>
      </c>
      <c r="B227" s="14">
        <f>27.1865 * CHOOSE(CONTROL!$C$15, $E$9, 100%, $G$9) + CHOOSE(CONTROL!$C$38, 0.0256, 0)</f>
        <v>27.2121</v>
      </c>
      <c r="C227" s="14">
        <f>25.6808 * CHOOSE(CONTROL!$C$15, $E$9, 100%, $G$9) + CHOOSE(CONTROL!$C$38, 0.0347, 0)</f>
        <v>25.715500000000002</v>
      </c>
      <c r="D227" s="14">
        <f>25.673 * CHOOSE(CONTROL!$C$15, $E$9, 100%, $G$9) + CHOOSE(CONTROL!$C$38, 0.0347, 0)</f>
        <v>25.707699999999999</v>
      </c>
      <c r="E227" s="46">
        <f>27.0303 * CHOOSE(CONTROL!$C$15, $E$9, 100%, $G$9) + CHOOSE(CONTROL!$C$38, 0.0347, 0)</f>
        <v>27.065000000000001</v>
      </c>
      <c r="F227" s="45">
        <f>27.0303 * CHOOSE(CONTROL!$C$15, $E$9, 100%, $G$9) + CHOOSE(CONTROL!$C$38, 0.0256, 0)</f>
        <v>27.055900000000001</v>
      </c>
      <c r="G227" s="14">
        <f>25.6793 * CHOOSE(CONTROL!$C$15, $E$9, 100%, $G$9) + CHOOSE(CONTROL!$C$38, 0.0347, 0)</f>
        <v>25.714000000000002</v>
      </c>
      <c r="H227" s="14">
        <f>25.6793 * CHOOSE(CONTROL!$C$15, $E$9, 100%, $G$9) + CHOOSE(CONTROL!$C$38, 0.0347, 0)</f>
        <v>25.714000000000002</v>
      </c>
      <c r="I227" s="14">
        <f>25.6808 * CHOOSE(CONTROL!$C$15, $E$9, 100%, $G$9) + CHOOSE(CONTROL!$C$38, 0.0347, 0)</f>
        <v>25.715500000000002</v>
      </c>
      <c r="J227" s="44">
        <f>159.0926</f>
        <v>159.0926</v>
      </c>
    </row>
    <row r="228" spans="1:10" ht="15" x14ac:dyDescent="0.2">
      <c r="A228" s="13">
        <v>47849</v>
      </c>
      <c r="B228" s="14">
        <f>28.3524 * CHOOSE(CONTROL!$C$15, $E$9, 100%, $G$9) + CHOOSE(CONTROL!$C$38, 0.0256, 0)</f>
        <v>28.378</v>
      </c>
      <c r="C228" s="14">
        <f>26.824 * CHOOSE(CONTROL!$C$15, $E$9, 100%, $G$9) + CHOOSE(CONTROL!$C$38, 0.0347, 0)</f>
        <v>26.858700000000002</v>
      </c>
      <c r="D228" s="14">
        <f>26.8162 * CHOOSE(CONTROL!$C$15, $E$9, 100%, $G$9) + CHOOSE(CONTROL!$C$38, 0.0347, 0)</f>
        <v>26.850899999999999</v>
      </c>
      <c r="E228" s="46">
        <f>28.1961 * CHOOSE(CONTROL!$C$15, $E$9, 100%, $G$9) + CHOOSE(CONTROL!$C$38, 0.0347, 0)</f>
        <v>28.230800000000002</v>
      </c>
      <c r="F228" s="45">
        <f>28.1961 * CHOOSE(CONTROL!$C$15, $E$9, 100%, $G$9) + CHOOSE(CONTROL!$C$38, 0.0256, 0)</f>
        <v>28.221700000000002</v>
      </c>
      <c r="G228" s="14">
        <f>26.8224 * CHOOSE(CONTROL!$C$15, $E$9, 100%, $G$9) + CHOOSE(CONTROL!$C$38, 0.0347, 0)</f>
        <v>26.857099999999999</v>
      </c>
      <c r="H228" s="14">
        <f>26.8224 * CHOOSE(CONTROL!$C$15, $E$9, 100%, $G$9) + CHOOSE(CONTROL!$C$38, 0.0347, 0)</f>
        <v>26.857099999999999</v>
      </c>
      <c r="I228" s="14">
        <f>26.824 * CHOOSE(CONTROL!$C$15, $E$9, 100%, $G$9) + CHOOSE(CONTROL!$C$38, 0.0347, 0)</f>
        <v>26.858700000000002</v>
      </c>
      <c r="J228" s="44">
        <f>158.9778</f>
        <v>158.9778</v>
      </c>
    </row>
    <row r="229" spans="1:10" ht="15" x14ac:dyDescent="0.2">
      <c r="A229" s="13">
        <v>47880</v>
      </c>
      <c r="B229" s="14">
        <f>28.6967 * CHOOSE(CONTROL!$C$15, $E$9, 100%, $G$9) + CHOOSE(CONTROL!$C$38, 0.0256, 0)</f>
        <v>28.722300000000001</v>
      </c>
      <c r="C229" s="14">
        <f>27.1683 * CHOOSE(CONTROL!$C$15, $E$9, 100%, $G$9) + CHOOSE(CONTROL!$C$38, 0.0347, 0)</f>
        <v>27.202999999999999</v>
      </c>
      <c r="D229" s="14">
        <f>27.1605 * CHOOSE(CONTROL!$C$15, $E$9, 100%, $G$9) + CHOOSE(CONTROL!$C$38, 0.0347, 0)</f>
        <v>27.1952</v>
      </c>
      <c r="E229" s="46">
        <f>28.5404 * CHOOSE(CONTROL!$C$15, $E$9, 100%, $G$9) + CHOOSE(CONTROL!$C$38, 0.0347, 0)</f>
        <v>28.575100000000003</v>
      </c>
      <c r="F229" s="45">
        <f>28.5404 * CHOOSE(CONTROL!$C$15, $E$9, 100%, $G$9) + CHOOSE(CONTROL!$C$38, 0.0256, 0)</f>
        <v>28.566000000000003</v>
      </c>
      <c r="G229" s="14">
        <f>27.1667 * CHOOSE(CONTROL!$C$15, $E$9, 100%, $G$9) + CHOOSE(CONTROL!$C$38, 0.0347, 0)</f>
        <v>27.2014</v>
      </c>
      <c r="H229" s="14">
        <f>27.1667 * CHOOSE(CONTROL!$C$15, $E$9, 100%, $G$9) + CHOOSE(CONTROL!$C$38, 0.0347, 0)</f>
        <v>27.2014</v>
      </c>
      <c r="I229" s="14">
        <f>27.1683 * CHOOSE(CONTROL!$C$15, $E$9, 100%, $G$9) + CHOOSE(CONTROL!$C$38, 0.0347, 0)</f>
        <v>27.202999999999999</v>
      </c>
      <c r="J229" s="44">
        <f>158.5359</f>
        <v>158.5359</v>
      </c>
    </row>
    <row r="230" spans="1:10" ht="15" x14ac:dyDescent="0.2">
      <c r="A230" s="13">
        <v>47908</v>
      </c>
      <c r="B230" s="14">
        <f>27.8996 * CHOOSE(CONTROL!$C$15, $E$9, 100%, $G$9) + CHOOSE(CONTROL!$C$38, 0.0256, 0)</f>
        <v>27.9252</v>
      </c>
      <c r="C230" s="14">
        <f>26.3713 * CHOOSE(CONTROL!$C$15, $E$9, 100%, $G$9) + CHOOSE(CONTROL!$C$38, 0.0347, 0)</f>
        <v>26.406000000000002</v>
      </c>
      <c r="D230" s="14">
        <f>26.3635 * CHOOSE(CONTROL!$C$15, $E$9, 100%, $G$9) + CHOOSE(CONTROL!$C$38, 0.0347, 0)</f>
        <v>26.398199999999999</v>
      </c>
      <c r="E230" s="46">
        <f>27.7434 * CHOOSE(CONTROL!$C$15, $E$9, 100%, $G$9) + CHOOSE(CONTROL!$C$38, 0.0347, 0)</f>
        <v>27.778100000000002</v>
      </c>
      <c r="F230" s="45">
        <f>27.7434 * CHOOSE(CONTROL!$C$15, $E$9, 100%, $G$9) + CHOOSE(CONTROL!$C$38, 0.0256, 0)</f>
        <v>27.769000000000002</v>
      </c>
      <c r="G230" s="14">
        <f>26.3697 * CHOOSE(CONTROL!$C$15, $E$9, 100%, $G$9) + CHOOSE(CONTROL!$C$38, 0.0347, 0)</f>
        <v>26.404400000000003</v>
      </c>
      <c r="H230" s="14">
        <f>26.3697 * CHOOSE(CONTROL!$C$15, $E$9, 100%, $G$9) + CHOOSE(CONTROL!$C$38, 0.0347, 0)</f>
        <v>26.404400000000003</v>
      </c>
      <c r="I230" s="14">
        <f>26.3713 * CHOOSE(CONTROL!$C$15, $E$9, 100%, $G$9) + CHOOSE(CONTROL!$C$38, 0.0347, 0)</f>
        <v>26.406000000000002</v>
      </c>
      <c r="J230" s="44">
        <f>166.8916</f>
        <v>166.89160000000001</v>
      </c>
    </row>
    <row r="231" spans="1:10" ht="15" x14ac:dyDescent="0.2">
      <c r="A231" s="13">
        <v>47939</v>
      </c>
      <c r="B231" s="14">
        <f>27.1273 * CHOOSE(CONTROL!$C$15, $E$9, 100%, $G$9) + CHOOSE(CONTROL!$C$38, 0.0256, 0)</f>
        <v>27.152900000000002</v>
      </c>
      <c r="C231" s="14">
        <f>25.599 * CHOOSE(CONTROL!$C$15, $E$9, 100%, $G$9) + CHOOSE(CONTROL!$C$38, 0.0347, 0)</f>
        <v>25.633700000000001</v>
      </c>
      <c r="D231" s="14">
        <f>25.5911 * CHOOSE(CONTROL!$C$15, $E$9, 100%, $G$9) + CHOOSE(CONTROL!$C$38, 0.0347, 0)</f>
        <v>25.625800000000002</v>
      </c>
      <c r="E231" s="46">
        <f>26.9711 * CHOOSE(CONTROL!$C$15, $E$9, 100%, $G$9) + CHOOSE(CONTROL!$C$38, 0.0347, 0)</f>
        <v>27.005800000000001</v>
      </c>
      <c r="F231" s="45">
        <f>26.9711 * CHOOSE(CONTROL!$C$15, $E$9, 100%, $G$9) + CHOOSE(CONTROL!$C$38, 0.0256, 0)</f>
        <v>26.996700000000001</v>
      </c>
      <c r="G231" s="14">
        <f>25.5974 * CHOOSE(CONTROL!$C$15, $E$9, 100%, $G$9) + CHOOSE(CONTROL!$C$38, 0.0347, 0)</f>
        <v>25.632100000000001</v>
      </c>
      <c r="H231" s="14">
        <f>25.5974 * CHOOSE(CONTROL!$C$15, $E$9, 100%, $G$9) + CHOOSE(CONTROL!$C$38, 0.0347, 0)</f>
        <v>25.632100000000001</v>
      </c>
      <c r="I231" s="14">
        <f>25.599 * CHOOSE(CONTROL!$C$15, $E$9, 100%, $G$9) + CHOOSE(CONTROL!$C$38, 0.0347, 0)</f>
        <v>25.633700000000001</v>
      </c>
      <c r="J231" s="44">
        <f>177.727</f>
        <v>177.727</v>
      </c>
    </row>
    <row r="232" spans="1:10" ht="15" x14ac:dyDescent="0.2">
      <c r="A232" s="13">
        <v>47969</v>
      </c>
      <c r="B232" s="14">
        <f>26.3224 * CHOOSE(CONTROL!$C$15, $E$9, 100%, $G$9) + CHOOSE(CONTROL!$C$38, 0.0278, 0)</f>
        <v>26.350199999999997</v>
      </c>
      <c r="C232" s="14">
        <f>24.794 * CHOOSE(CONTROL!$C$15, $E$9, 100%, $G$9) + CHOOSE(CONTROL!$C$38, 0.0369, 0)</f>
        <v>24.8309</v>
      </c>
      <c r="D232" s="14">
        <f>24.7862 * CHOOSE(CONTROL!$C$15, $E$9, 100%, $G$9) + CHOOSE(CONTROL!$C$38, 0.0369, 0)</f>
        <v>24.8231</v>
      </c>
      <c r="E232" s="46">
        <f>26.1661 * CHOOSE(CONTROL!$C$15, $E$9, 100%, $G$9) + CHOOSE(CONTROL!$C$38, 0.0369, 0)</f>
        <v>26.202999999999999</v>
      </c>
      <c r="F232" s="45">
        <f>26.1661 * CHOOSE(CONTROL!$C$15, $E$9, 100%, $G$9) + CHOOSE(CONTROL!$C$38, 0.0278, 0)</f>
        <v>26.193899999999999</v>
      </c>
      <c r="G232" s="14">
        <f>24.7924 * CHOOSE(CONTROL!$C$15, $E$9, 100%, $G$9) + CHOOSE(CONTROL!$C$38, 0.0369, 0)</f>
        <v>24.8293</v>
      </c>
      <c r="H232" s="14">
        <f>24.7924 * CHOOSE(CONTROL!$C$15, $E$9, 100%, $G$9) + CHOOSE(CONTROL!$C$38, 0.0369, 0)</f>
        <v>24.8293</v>
      </c>
      <c r="I232" s="14">
        <f>24.794 * CHOOSE(CONTROL!$C$15, $E$9, 100%, $G$9) + CHOOSE(CONTROL!$C$38, 0.0369, 0)</f>
        <v>24.8309</v>
      </c>
      <c r="J232" s="44">
        <f>183.6912</f>
        <v>183.69120000000001</v>
      </c>
    </row>
    <row r="233" spans="1:10" ht="15" x14ac:dyDescent="0.2">
      <c r="A233" s="13">
        <v>48000</v>
      </c>
      <c r="B233" s="14">
        <f>25.758 * CHOOSE(CONTROL!$C$15, $E$9, 100%, $G$9) + CHOOSE(CONTROL!$C$38, 0.0278, 0)</f>
        <v>25.785799999999998</v>
      </c>
      <c r="C233" s="14">
        <f>24.2297 * CHOOSE(CONTROL!$C$15, $E$9, 100%, $G$9) + CHOOSE(CONTROL!$C$38, 0.0369, 0)</f>
        <v>24.2666</v>
      </c>
      <c r="D233" s="14">
        <f>24.2218 * CHOOSE(CONTROL!$C$15, $E$9, 100%, $G$9) + CHOOSE(CONTROL!$C$38, 0.0369, 0)</f>
        <v>24.258700000000001</v>
      </c>
      <c r="E233" s="46">
        <f>25.6018 * CHOOSE(CONTROL!$C$15, $E$9, 100%, $G$9) + CHOOSE(CONTROL!$C$38, 0.0369, 0)</f>
        <v>25.6387</v>
      </c>
      <c r="F233" s="45">
        <f>25.6018 * CHOOSE(CONTROL!$C$15, $E$9, 100%, $G$9) + CHOOSE(CONTROL!$C$38, 0.0278, 0)</f>
        <v>25.6296</v>
      </c>
      <c r="G233" s="14">
        <f>24.2281 * CHOOSE(CONTROL!$C$15, $E$9, 100%, $G$9) + CHOOSE(CONTROL!$C$38, 0.0369, 0)</f>
        <v>24.265000000000001</v>
      </c>
      <c r="H233" s="14">
        <f>24.2281 * CHOOSE(CONTROL!$C$15, $E$9, 100%, $G$9) + CHOOSE(CONTROL!$C$38, 0.0369, 0)</f>
        <v>24.265000000000001</v>
      </c>
      <c r="I233" s="14">
        <f>24.2297 * CHOOSE(CONTROL!$C$15, $E$9, 100%, $G$9) + CHOOSE(CONTROL!$C$38, 0.0369, 0)</f>
        <v>24.2666</v>
      </c>
      <c r="J233" s="44">
        <f>186.338</f>
        <v>186.33799999999999</v>
      </c>
    </row>
    <row r="234" spans="1:10" ht="15" x14ac:dyDescent="0.2">
      <c r="A234" s="13">
        <v>48030</v>
      </c>
      <c r="B234" s="14">
        <f>25.436 * CHOOSE(CONTROL!$C$15, $E$9, 100%, $G$9) + CHOOSE(CONTROL!$C$38, 0.0278, 0)</f>
        <v>25.463799999999999</v>
      </c>
      <c r="C234" s="14">
        <f>23.9076 * CHOOSE(CONTROL!$C$15, $E$9, 100%, $G$9) + CHOOSE(CONTROL!$C$38, 0.0369, 0)</f>
        <v>23.944499999999998</v>
      </c>
      <c r="D234" s="14">
        <f>23.8998 * CHOOSE(CONTROL!$C$15, $E$9, 100%, $G$9) + CHOOSE(CONTROL!$C$38, 0.0369, 0)</f>
        <v>23.936699999999998</v>
      </c>
      <c r="E234" s="46">
        <f>25.2797 * CHOOSE(CONTROL!$C$15, $E$9, 100%, $G$9) + CHOOSE(CONTROL!$C$38, 0.0369, 0)</f>
        <v>25.316599999999998</v>
      </c>
      <c r="F234" s="45">
        <f>25.2797 * CHOOSE(CONTROL!$C$15, $E$9, 100%, $G$9) + CHOOSE(CONTROL!$C$38, 0.0278, 0)</f>
        <v>25.307499999999997</v>
      </c>
      <c r="G234" s="14">
        <f>23.906 * CHOOSE(CONTROL!$C$15, $E$9, 100%, $G$9) + CHOOSE(CONTROL!$C$38, 0.0369, 0)</f>
        <v>23.942899999999998</v>
      </c>
      <c r="H234" s="14">
        <f>23.906 * CHOOSE(CONTROL!$C$15, $E$9, 100%, $G$9) + CHOOSE(CONTROL!$C$38, 0.0369, 0)</f>
        <v>23.942899999999998</v>
      </c>
      <c r="I234" s="14">
        <f>23.9076 * CHOOSE(CONTROL!$C$15, $E$9, 100%, $G$9) + CHOOSE(CONTROL!$C$38, 0.0369, 0)</f>
        <v>23.944499999999998</v>
      </c>
      <c r="J234" s="44">
        <f>185.4666</f>
        <v>185.4666</v>
      </c>
    </row>
    <row r="235" spans="1:10" ht="15" x14ac:dyDescent="0.2">
      <c r="A235" s="13">
        <v>48061</v>
      </c>
      <c r="B235" s="14">
        <f>25.5949 * CHOOSE(CONTROL!$C$15, $E$9, 100%, $G$9) + CHOOSE(CONTROL!$C$38, 0.0278, 0)</f>
        <v>25.622699999999998</v>
      </c>
      <c r="C235" s="14">
        <f>24.0666 * CHOOSE(CONTROL!$C$15, $E$9, 100%, $G$9) + CHOOSE(CONTROL!$C$38, 0.0369, 0)</f>
        <v>24.1035</v>
      </c>
      <c r="D235" s="14">
        <f>24.0587 * CHOOSE(CONTROL!$C$15, $E$9, 100%, $G$9) + CHOOSE(CONTROL!$C$38, 0.0369, 0)</f>
        <v>24.095600000000001</v>
      </c>
      <c r="E235" s="46">
        <f>25.4387 * CHOOSE(CONTROL!$C$15, $E$9, 100%, $G$9) + CHOOSE(CONTROL!$C$38, 0.0369, 0)</f>
        <v>25.4756</v>
      </c>
      <c r="F235" s="45">
        <f>25.4387 * CHOOSE(CONTROL!$C$15, $E$9, 100%, $G$9) + CHOOSE(CONTROL!$C$38, 0.0278, 0)</f>
        <v>25.4665</v>
      </c>
      <c r="G235" s="14">
        <f>24.065 * CHOOSE(CONTROL!$C$15, $E$9, 100%, $G$9) + CHOOSE(CONTROL!$C$38, 0.0369, 0)</f>
        <v>24.101900000000001</v>
      </c>
      <c r="H235" s="14">
        <f>24.065 * CHOOSE(CONTROL!$C$15, $E$9, 100%, $G$9) + CHOOSE(CONTROL!$C$38, 0.0369, 0)</f>
        <v>24.101900000000001</v>
      </c>
      <c r="I235" s="14">
        <f>24.0666 * CHOOSE(CONTROL!$C$15, $E$9, 100%, $G$9) + CHOOSE(CONTROL!$C$38, 0.0369, 0)</f>
        <v>24.1035</v>
      </c>
      <c r="J235" s="44">
        <f>181.149</f>
        <v>181.149</v>
      </c>
    </row>
    <row r="236" spans="1:10" ht="15" x14ac:dyDescent="0.2">
      <c r="A236" s="13">
        <v>48092</v>
      </c>
      <c r="B236" s="14">
        <f>26.0266 * CHOOSE(CONTROL!$C$15, $E$9, 100%, $G$9) + CHOOSE(CONTROL!$C$38, 0.0278, 0)</f>
        <v>26.054399999999998</v>
      </c>
      <c r="C236" s="14">
        <f>24.4983 * CHOOSE(CONTROL!$C$15, $E$9, 100%, $G$9) + CHOOSE(CONTROL!$C$38, 0.0369, 0)</f>
        <v>24.5352</v>
      </c>
      <c r="D236" s="14">
        <f>24.4904 * CHOOSE(CONTROL!$C$15, $E$9, 100%, $G$9) + CHOOSE(CONTROL!$C$38, 0.0369, 0)</f>
        <v>24.5273</v>
      </c>
      <c r="E236" s="46">
        <f>25.8704 * CHOOSE(CONTROL!$C$15, $E$9, 100%, $G$9) + CHOOSE(CONTROL!$C$38, 0.0369, 0)</f>
        <v>25.907299999999999</v>
      </c>
      <c r="F236" s="45">
        <f>25.8704 * CHOOSE(CONTROL!$C$15, $E$9, 100%, $G$9) + CHOOSE(CONTROL!$C$38, 0.0278, 0)</f>
        <v>25.898199999999999</v>
      </c>
      <c r="G236" s="14">
        <f>24.4967 * CHOOSE(CONTROL!$C$15, $E$9, 100%, $G$9) + CHOOSE(CONTROL!$C$38, 0.0369, 0)</f>
        <v>24.5336</v>
      </c>
      <c r="H236" s="14">
        <f>24.4967 * CHOOSE(CONTROL!$C$15, $E$9, 100%, $G$9) + CHOOSE(CONTROL!$C$38, 0.0369, 0)</f>
        <v>24.5336</v>
      </c>
      <c r="I236" s="14">
        <f>24.4983 * CHOOSE(CONTROL!$C$15, $E$9, 100%, $G$9) + CHOOSE(CONTROL!$C$38, 0.0369, 0)</f>
        <v>24.5352</v>
      </c>
      <c r="J236" s="44">
        <f>175.1279</f>
        <v>175.12790000000001</v>
      </c>
    </row>
    <row r="237" spans="1:10" ht="15" x14ac:dyDescent="0.2">
      <c r="A237" s="13">
        <v>48122</v>
      </c>
      <c r="B237" s="14">
        <f>26.3882 * CHOOSE(CONTROL!$C$15, $E$9, 100%, $G$9) + CHOOSE(CONTROL!$C$38, 0.0256, 0)</f>
        <v>26.413800000000002</v>
      </c>
      <c r="C237" s="14">
        <f>24.8598 * CHOOSE(CONTROL!$C$15, $E$9, 100%, $G$9) + CHOOSE(CONTROL!$C$38, 0.0347, 0)</f>
        <v>24.894500000000001</v>
      </c>
      <c r="D237" s="14">
        <f>24.852 * CHOOSE(CONTROL!$C$15, $E$9, 100%, $G$9) + CHOOSE(CONTROL!$C$38, 0.0347, 0)</f>
        <v>24.886700000000001</v>
      </c>
      <c r="E237" s="46">
        <f>26.2319 * CHOOSE(CONTROL!$C$15, $E$9, 100%, $G$9) + CHOOSE(CONTROL!$C$38, 0.0347, 0)</f>
        <v>26.2666</v>
      </c>
      <c r="F237" s="45">
        <f>26.2319 * CHOOSE(CONTROL!$C$15, $E$9, 100%, $G$9) + CHOOSE(CONTROL!$C$38, 0.0256, 0)</f>
        <v>26.2575</v>
      </c>
      <c r="G237" s="14">
        <f>24.8583 * CHOOSE(CONTROL!$C$15, $E$9, 100%, $G$9) + CHOOSE(CONTROL!$C$38, 0.0347, 0)</f>
        <v>24.893000000000001</v>
      </c>
      <c r="H237" s="14">
        <f>24.8583 * CHOOSE(CONTROL!$C$15, $E$9, 100%, $G$9) + CHOOSE(CONTROL!$C$38, 0.0347, 0)</f>
        <v>24.893000000000001</v>
      </c>
      <c r="I237" s="14">
        <f>24.8598 * CHOOSE(CONTROL!$C$15, $E$9, 100%, $G$9) + CHOOSE(CONTROL!$C$38, 0.0347, 0)</f>
        <v>24.894500000000001</v>
      </c>
      <c r="J237" s="44">
        <f>169.0718</f>
        <v>169.0718</v>
      </c>
    </row>
    <row r="238" spans="1:10" ht="15" x14ac:dyDescent="0.2">
      <c r="A238" s="13">
        <v>48153</v>
      </c>
      <c r="B238" s="14">
        <f>26.6899 * CHOOSE(CONTROL!$C$15, $E$9, 100%, $G$9) + CHOOSE(CONTROL!$C$38, 0.0256, 0)</f>
        <v>26.715500000000002</v>
      </c>
      <c r="C238" s="14">
        <f>25.1615 * CHOOSE(CONTROL!$C$15, $E$9, 100%, $G$9) + CHOOSE(CONTROL!$C$38, 0.0347, 0)</f>
        <v>25.196200000000001</v>
      </c>
      <c r="D238" s="14">
        <f>25.1537 * CHOOSE(CONTROL!$C$15, $E$9, 100%, $G$9) + CHOOSE(CONTROL!$C$38, 0.0347, 0)</f>
        <v>25.188400000000001</v>
      </c>
      <c r="E238" s="46">
        <f>26.5336 * CHOOSE(CONTROL!$C$15, $E$9, 100%, $G$9) + CHOOSE(CONTROL!$C$38, 0.0347, 0)</f>
        <v>26.568300000000001</v>
      </c>
      <c r="F238" s="45">
        <f>26.5336 * CHOOSE(CONTROL!$C$15, $E$9, 100%, $G$9) + CHOOSE(CONTROL!$C$38, 0.0256, 0)</f>
        <v>26.559200000000001</v>
      </c>
      <c r="G238" s="14">
        <f>25.16 * CHOOSE(CONTROL!$C$15, $E$9, 100%, $G$9) + CHOOSE(CONTROL!$C$38, 0.0347, 0)</f>
        <v>25.194700000000001</v>
      </c>
      <c r="H238" s="14">
        <f>25.16 * CHOOSE(CONTROL!$C$15, $E$9, 100%, $G$9) + CHOOSE(CONTROL!$C$38, 0.0347, 0)</f>
        <v>25.194700000000001</v>
      </c>
      <c r="I238" s="14">
        <f>25.1615 * CHOOSE(CONTROL!$C$15, $E$9, 100%, $G$9) + CHOOSE(CONTROL!$C$38, 0.0347, 0)</f>
        <v>25.196200000000001</v>
      </c>
      <c r="J238" s="44">
        <f>167.8671</f>
        <v>167.86709999999999</v>
      </c>
    </row>
    <row r="239" spans="1:10" ht="15" x14ac:dyDescent="0.2">
      <c r="A239" s="13">
        <v>48183</v>
      </c>
      <c r="B239" s="14">
        <f>27.6196 * CHOOSE(CONTROL!$C$15, $E$9, 100%, $G$9) + CHOOSE(CONTROL!$C$38, 0.0256, 0)</f>
        <v>27.645199999999999</v>
      </c>
      <c r="C239" s="14">
        <f>26.0912 * CHOOSE(CONTROL!$C$15, $E$9, 100%, $G$9) + CHOOSE(CONTROL!$C$38, 0.0347, 0)</f>
        <v>26.125900000000001</v>
      </c>
      <c r="D239" s="14">
        <f>26.0834 * CHOOSE(CONTROL!$C$15, $E$9, 100%, $G$9) + CHOOSE(CONTROL!$C$38, 0.0347, 0)</f>
        <v>26.118100000000002</v>
      </c>
      <c r="E239" s="46">
        <f>27.4633 * CHOOSE(CONTROL!$C$15, $E$9, 100%, $G$9) + CHOOSE(CONTROL!$C$38, 0.0347, 0)</f>
        <v>27.498000000000001</v>
      </c>
      <c r="F239" s="45">
        <f>27.4633 * CHOOSE(CONTROL!$C$15, $E$9, 100%, $G$9) + CHOOSE(CONTROL!$C$38, 0.0256, 0)</f>
        <v>27.488900000000001</v>
      </c>
      <c r="G239" s="14">
        <f>26.0896 * CHOOSE(CONTROL!$C$15, $E$9, 100%, $G$9) + CHOOSE(CONTROL!$C$38, 0.0347, 0)</f>
        <v>26.124300000000002</v>
      </c>
      <c r="H239" s="14">
        <f>26.0896 * CHOOSE(CONTROL!$C$15, $E$9, 100%, $G$9) + CHOOSE(CONTROL!$C$38, 0.0347, 0)</f>
        <v>26.124300000000002</v>
      </c>
      <c r="I239" s="14">
        <f>26.0912 * CHOOSE(CONTROL!$C$15, $E$9, 100%, $G$9) + CHOOSE(CONTROL!$C$38, 0.0347, 0)</f>
        <v>26.125900000000001</v>
      </c>
      <c r="J239" s="44">
        <f>162.8856</f>
        <v>162.88560000000001</v>
      </c>
    </row>
    <row r="240" spans="1:10" ht="15" x14ac:dyDescent="0.2">
      <c r="A240" s="13">
        <v>48214</v>
      </c>
      <c r="B240" s="14">
        <f>28.7927 * CHOOSE(CONTROL!$C$15, $E$9, 100%, $G$9) + CHOOSE(CONTROL!$C$38, 0.0256, 0)</f>
        <v>28.818300000000001</v>
      </c>
      <c r="C240" s="14">
        <f>27.2412 * CHOOSE(CONTROL!$C$15, $E$9, 100%, $G$9) + CHOOSE(CONTROL!$C$38, 0.0347, 0)</f>
        <v>27.2759</v>
      </c>
      <c r="D240" s="14">
        <f>27.2334 * CHOOSE(CONTROL!$C$15, $E$9, 100%, $G$9) + CHOOSE(CONTROL!$C$38, 0.0347, 0)</f>
        <v>27.2681</v>
      </c>
      <c r="E240" s="46">
        <f>28.6364 * CHOOSE(CONTROL!$C$15, $E$9, 100%, $G$9) + CHOOSE(CONTROL!$C$38, 0.0347, 0)</f>
        <v>28.671099999999999</v>
      </c>
      <c r="F240" s="45">
        <f>28.6364 * CHOOSE(CONTROL!$C$15, $E$9, 100%, $G$9) + CHOOSE(CONTROL!$C$38, 0.0256, 0)</f>
        <v>28.661999999999999</v>
      </c>
      <c r="G240" s="14">
        <f>27.2397 * CHOOSE(CONTROL!$C$15, $E$9, 100%, $G$9) + CHOOSE(CONTROL!$C$38, 0.0347, 0)</f>
        <v>27.2744</v>
      </c>
      <c r="H240" s="14">
        <f>27.2397 * CHOOSE(CONTROL!$C$15, $E$9, 100%, $G$9) + CHOOSE(CONTROL!$C$38, 0.0347, 0)</f>
        <v>27.2744</v>
      </c>
      <c r="I240" s="14">
        <f>27.2412 * CHOOSE(CONTROL!$C$15, $E$9, 100%, $G$9) + CHOOSE(CONTROL!$C$38, 0.0347, 0)</f>
        <v>27.2759</v>
      </c>
      <c r="J240" s="44">
        <f>162.6756</f>
        <v>162.6756</v>
      </c>
    </row>
    <row r="241" spans="1:10" ht="15" x14ac:dyDescent="0.2">
      <c r="A241" s="13">
        <v>48245</v>
      </c>
      <c r="B241" s="14">
        <f>29.137 * CHOOSE(CONTROL!$C$15, $E$9, 100%, $G$9) + CHOOSE(CONTROL!$C$38, 0.0256, 0)</f>
        <v>29.162600000000001</v>
      </c>
      <c r="C241" s="14">
        <f>27.5856 * CHOOSE(CONTROL!$C$15, $E$9, 100%, $G$9) + CHOOSE(CONTROL!$C$38, 0.0347, 0)</f>
        <v>27.6203</v>
      </c>
      <c r="D241" s="14">
        <f>27.5777 * CHOOSE(CONTROL!$C$15, $E$9, 100%, $G$9) + CHOOSE(CONTROL!$C$38, 0.0347, 0)</f>
        <v>27.612400000000001</v>
      </c>
      <c r="E241" s="46">
        <f>28.9807 * CHOOSE(CONTROL!$C$15, $E$9, 100%, $G$9) + CHOOSE(CONTROL!$C$38, 0.0347, 0)</f>
        <v>29.0154</v>
      </c>
      <c r="F241" s="45">
        <f>28.9807 * CHOOSE(CONTROL!$C$15, $E$9, 100%, $G$9) + CHOOSE(CONTROL!$C$38, 0.0256, 0)</f>
        <v>29.0063</v>
      </c>
      <c r="G241" s="14">
        <f>27.584 * CHOOSE(CONTROL!$C$15, $E$9, 100%, $G$9) + CHOOSE(CONTROL!$C$38, 0.0347, 0)</f>
        <v>27.6187</v>
      </c>
      <c r="H241" s="14">
        <f>27.584 * CHOOSE(CONTROL!$C$15, $E$9, 100%, $G$9) + CHOOSE(CONTROL!$C$38, 0.0347, 0)</f>
        <v>27.6187</v>
      </c>
      <c r="I241" s="14">
        <f>27.5856 * CHOOSE(CONTROL!$C$15, $E$9, 100%, $G$9) + CHOOSE(CONTROL!$C$38, 0.0347, 0)</f>
        <v>27.6203</v>
      </c>
      <c r="J241" s="44">
        <f>162.2234</f>
        <v>162.2234</v>
      </c>
    </row>
    <row r="242" spans="1:10" ht="15" x14ac:dyDescent="0.2">
      <c r="A242" s="13">
        <v>48274</v>
      </c>
      <c r="B242" s="14">
        <f>28.3399 * CHOOSE(CONTROL!$C$15, $E$9, 100%, $G$9) + CHOOSE(CONTROL!$C$38, 0.0256, 0)</f>
        <v>28.365500000000001</v>
      </c>
      <c r="C242" s="14">
        <f>26.7885 * CHOOSE(CONTROL!$C$15, $E$9, 100%, $G$9) + CHOOSE(CONTROL!$C$38, 0.0347, 0)</f>
        <v>26.8232</v>
      </c>
      <c r="D242" s="14">
        <f>26.7807 * CHOOSE(CONTROL!$C$15, $E$9, 100%, $G$9) + CHOOSE(CONTROL!$C$38, 0.0347, 0)</f>
        <v>26.8154</v>
      </c>
      <c r="E242" s="46">
        <f>28.1837 * CHOOSE(CONTROL!$C$15, $E$9, 100%, $G$9) + CHOOSE(CONTROL!$C$38, 0.0347, 0)</f>
        <v>28.218400000000003</v>
      </c>
      <c r="F242" s="45">
        <f>28.1837 * CHOOSE(CONTROL!$C$15, $E$9, 100%, $G$9) + CHOOSE(CONTROL!$C$38, 0.0256, 0)</f>
        <v>28.209300000000002</v>
      </c>
      <c r="G242" s="14">
        <f>26.787 * CHOOSE(CONTROL!$C$15, $E$9, 100%, $G$9) + CHOOSE(CONTROL!$C$38, 0.0347, 0)</f>
        <v>26.8217</v>
      </c>
      <c r="H242" s="14">
        <f>26.787 * CHOOSE(CONTROL!$C$15, $E$9, 100%, $G$9) + CHOOSE(CONTROL!$C$38, 0.0347, 0)</f>
        <v>26.8217</v>
      </c>
      <c r="I242" s="14">
        <f>26.7885 * CHOOSE(CONTROL!$C$15, $E$9, 100%, $G$9) + CHOOSE(CONTROL!$C$38, 0.0347, 0)</f>
        <v>26.8232</v>
      </c>
      <c r="J242" s="44">
        <f>170.7735</f>
        <v>170.77350000000001</v>
      </c>
    </row>
    <row r="243" spans="1:10" ht="15" x14ac:dyDescent="0.2">
      <c r="A243" s="13">
        <v>48305</v>
      </c>
      <c r="B243" s="14">
        <f>27.5676 * CHOOSE(CONTROL!$C$15, $E$9, 100%, $G$9) + CHOOSE(CONTROL!$C$38, 0.0256, 0)</f>
        <v>27.5932</v>
      </c>
      <c r="C243" s="14">
        <f>26.0162 * CHOOSE(CONTROL!$C$15, $E$9, 100%, $G$9) + CHOOSE(CONTROL!$C$38, 0.0347, 0)</f>
        <v>26.050900000000002</v>
      </c>
      <c r="D243" s="14">
        <f>26.0084 * CHOOSE(CONTROL!$C$15, $E$9, 100%, $G$9) + CHOOSE(CONTROL!$C$38, 0.0347, 0)</f>
        <v>26.043100000000003</v>
      </c>
      <c r="E243" s="46">
        <f>27.4114 * CHOOSE(CONTROL!$C$15, $E$9, 100%, $G$9) + CHOOSE(CONTROL!$C$38, 0.0347, 0)</f>
        <v>27.446100000000001</v>
      </c>
      <c r="F243" s="45">
        <f>27.4114 * CHOOSE(CONTROL!$C$15, $E$9, 100%, $G$9) + CHOOSE(CONTROL!$C$38, 0.0256, 0)</f>
        <v>27.437000000000001</v>
      </c>
      <c r="G243" s="14">
        <f>26.0146 * CHOOSE(CONTROL!$C$15, $E$9, 100%, $G$9) + CHOOSE(CONTROL!$C$38, 0.0347, 0)</f>
        <v>26.049300000000002</v>
      </c>
      <c r="H243" s="14">
        <f>26.0146 * CHOOSE(CONTROL!$C$15, $E$9, 100%, $G$9) + CHOOSE(CONTROL!$C$38, 0.0347, 0)</f>
        <v>26.049300000000002</v>
      </c>
      <c r="I243" s="14">
        <f>26.0162 * CHOOSE(CONTROL!$C$15, $E$9, 100%, $G$9) + CHOOSE(CONTROL!$C$38, 0.0347, 0)</f>
        <v>26.050900000000002</v>
      </c>
      <c r="J243" s="44">
        <f>181.861</f>
        <v>181.86099999999999</v>
      </c>
    </row>
    <row r="244" spans="1:10" ht="15" x14ac:dyDescent="0.2">
      <c r="A244" s="13">
        <v>48335</v>
      </c>
      <c r="B244" s="14">
        <f>26.7627 * CHOOSE(CONTROL!$C$15, $E$9, 100%, $G$9) + CHOOSE(CONTROL!$C$38, 0.0278, 0)</f>
        <v>26.790499999999998</v>
      </c>
      <c r="C244" s="14">
        <f>25.2112 * CHOOSE(CONTROL!$C$15, $E$9, 100%, $G$9) + CHOOSE(CONTROL!$C$38, 0.0369, 0)</f>
        <v>25.248100000000001</v>
      </c>
      <c r="D244" s="14">
        <f>25.2034 * CHOOSE(CONTROL!$C$15, $E$9, 100%, $G$9) + CHOOSE(CONTROL!$C$38, 0.0369, 0)</f>
        <v>25.240299999999998</v>
      </c>
      <c r="E244" s="46">
        <f>26.6064 * CHOOSE(CONTROL!$C$15, $E$9, 100%, $G$9) + CHOOSE(CONTROL!$C$38, 0.0369, 0)</f>
        <v>26.6433</v>
      </c>
      <c r="F244" s="45">
        <f>26.6064 * CHOOSE(CONTROL!$C$15, $E$9, 100%, $G$9) + CHOOSE(CONTROL!$C$38, 0.0278, 0)</f>
        <v>26.6342</v>
      </c>
      <c r="G244" s="14">
        <f>25.2097 * CHOOSE(CONTROL!$C$15, $E$9, 100%, $G$9) + CHOOSE(CONTROL!$C$38, 0.0369, 0)</f>
        <v>25.246600000000001</v>
      </c>
      <c r="H244" s="14">
        <f>25.2097 * CHOOSE(CONTROL!$C$15, $E$9, 100%, $G$9) + CHOOSE(CONTROL!$C$38, 0.0369, 0)</f>
        <v>25.246600000000001</v>
      </c>
      <c r="I244" s="14">
        <f>25.2112 * CHOOSE(CONTROL!$C$15, $E$9, 100%, $G$9) + CHOOSE(CONTROL!$C$38, 0.0369, 0)</f>
        <v>25.248100000000001</v>
      </c>
      <c r="J244" s="44">
        <f>187.9639</f>
        <v>187.9639</v>
      </c>
    </row>
    <row r="245" spans="1:10" ht="15" x14ac:dyDescent="0.2">
      <c r="A245" s="13">
        <v>48366</v>
      </c>
      <c r="B245" s="14">
        <f>26.1983 * CHOOSE(CONTROL!$C$15, $E$9, 100%, $G$9) + CHOOSE(CONTROL!$C$38, 0.0278, 0)</f>
        <v>26.226099999999999</v>
      </c>
      <c r="C245" s="14">
        <f>24.6469 * CHOOSE(CONTROL!$C$15, $E$9, 100%, $G$9) + CHOOSE(CONTROL!$C$38, 0.0369, 0)</f>
        <v>24.683799999999998</v>
      </c>
      <c r="D245" s="14">
        <f>24.6391 * CHOOSE(CONTROL!$C$15, $E$9, 100%, $G$9) + CHOOSE(CONTROL!$C$38, 0.0369, 0)</f>
        <v>24.675999999999998</v>
      </c>
      <c r="E245" s="46">
        <f>26.0421 * CHOOSE(CONTROL!$C$15, $E$9, 100%, $G$9) + CHOOSE(CONTROL!$C$38, 0.0369, 0)</f>
        <v>26.079000000000001</v>
      </c>
      <c r="F245" s="45">
        <f>26.0421 * CHOOSE(CONTROL!$C$15, $E$9, 100%, $G$9) + CHOOSE(CONTROL!$C$38, 0.0278, 0)</f>
        <v>26.069900000000001</v>
      </c>
      <c r="G245" s="14">
        <f>24.6453 * CHOOSE(CONTROL!$C$15, $E$9, 100%, $G$9) + CHOOSE(CONTROL!$C$38, 0.0369, 0)</f>
        <v>24.682199999999998</v>
      </c>
      <c r="H245" s="14">
        <f>24.6453 * CHOOSE(CONTROL!$C$15, $E$9, 100%, $G$9) + CHOOSE(CONTROL!$C$38, 0.0369, 0)</f>
        <v>24.682199999999998</v>
      </c>
      <c r="I245" s="14">
        <f>24.6469 * CHOOSE(CONTROL!$C$15, $E$9, 100%, $G$9) + CHOOSE(CONTROL!$C$38, 0.0369, 0)</f>
        <v>24.683799999999998</v>
      </c>
      <c r="J245" s="44">
        <f>190.6722</f>
        <v>190.6722</v>
      </c>
    </row>
    <row r="246" spans="1:10" ht="15" x14ac:dyDescent="0.2">
      <c r="A246" s="13">
        <v>48396</v>
      </c>
      <c r="B246" s="14">
        <f>25.8763 * CHOOSE(CONTROL!$C$15, $E$9, 100%, $G$9) + CHOOSE(CONTROL!$C$38, 0.0278, 0)</f>
        <v>25.9041</v>
      </c>
      <c r="C246" s="14">
        <f>24.3249 * CHOOSE(CONTROL!$C$15, $E$9, 100%, $G$9) + CHOOSE(CONTROL!$C$38, 0.0369, 0)</f>
        <v>24.361799999999999</v>
      </c>
      <c r="D246" s="14">
        <f>24.317 * CHOOSE(CONTROL!$C$15, $E$9, 100%, $G$9) + CHOOSE(CONTROL!$C$38, 0.0369, 0)</f>
        <v>24.353899999999999</v>
      </c>
      <c r="E246" s="46">
        <f>25.72 * CHOOSE(CONTROL!$C$15, $E$9, 100%, $G$9) + CHOOSE(CONTROL!$C$38, 0.0369, 0)</f>
        <v>25.756899999999998</v>
      </c>
      <c r="F246" s="45">
        <f>25.72 * CHOOSE(CONTROL!$C$15, $E$9, 100%, $G$9) + CHOOSE(CONTROL!$C$38, 0.0278, 0)</f>
        <v>25.747799999999998</v>
      </c>
      <c r="G246" s="14">
        <f>24.3233 * CHOOSE(CONTROL!$C$15, $E$9, 100%, $G$9) + CHOOSE(CONTROL!$C$38, 0.0369, 0)</f>
        <v>24.360199999999999</v>
      </c>
      <c r="H246" s="14">
        <f>24.3233 * CHOOSE(CONTROL!$C$15, $E$9, 100%, $G$9) + CHOOSE(CONTROL!$C$38, 0.0369, 0)</f>
        <v>24.360199999999999</v>
      </c>
      <c r="I246" s="14">
        <f>24.3249 * CHOOSE(CONTROL!$C$15, $E$9, 100%, $G$9) + CHOOSE(CONTROL!$C$38, 0.0369, 0)</f>
        <v>24.361799999999999</v>
      </c>
      <c r="J246" s="44">
        <f>189.7805</f>
        <v>189.78049999999999</v>
      </c>
    </row>
    <row r="247" spans="1:10" ht="15" x14ac:dyDescent="0.2">
      <c r="A247" s="13">
        <v>48427</v>
      </c>
      <c r="B247" s="14">
        <f>26.0352 * CHOOSE(CONTROL!$C$15, $E$9, 100%, $G$9) + CHOOSE(CONTROL!$C$38, 0.0278, 0)</f>
        <v>26.062999999999999</v>
      </c>
      <c r="C247" s="14">
        <f>24.4838 * CHOOSE(CONTROL!$C$15, $E$9, 100%, $G$9) + CHOOSE(CONTROL!$C$38, 0.0369, 0)</f>
        <v>24.520699999999998</v>
      </c>
      <c r="D247" s="14">
        <f>24.476 * CHOOSE(CONTROL!$C$15, $E$9, 100%, $G$9) + CHOOSE(CONTROL!$C$38, 0.0369, 0)</f>
        <v>24.512899999999998</v>
      </c>
      <c r="E247" s="46">
        <f>25.879 * CHOOSE(CONTROL!$C$15, $E$9, 100%, $G$9) + CHOOSE(CONTROL!$C$38, 0.0369, 0)</f>
        <v>25.915900000000001</v>
      </c>
      <c r="F247" s="45">
        <f>25.879 * CHOOSE(CONTROL!$C$15, $E$9, 100%, $G$9) + CHOOSE(CONTROL!$C$38, 0.0278, 0)</f>
        <v>25.9068</v>
      </c>
      <c r="G247" s="14">
        <f>24.4822 * CHOOSE(CONTROL!$C$15, $E$9, 100%, $G$9) + CHOOSE(CONTROL!$C$38, 0.0369, 0)</f>
        <v>24.519099999999998</v>
      </c>
      <c r="H247" s="14">
        <f>24.4822 * CHOOSE(CONTROL!$C$15, $E$9, 100%, $G$9) + CHOOSE(CONTROL!$C$38, 0.0369, 0)</f>
        <v>24.519099999999998</v>
      </c>
      <c r="I247" s="14">
        <f>24.4838 * CHOOSE(CONTROL!$C$15, $E$9, 100%, $G$9) + CHOOSE(CONTROL!$C$38, 0.0369, 0)</f>
        <v>24.520699999999998</v>
      </c>
      <c r="J247" s="44">
        <f>185.3625</f>
        <v>185.36250000000001</v>
      </c>
    </row>
    <row r="248" spans="1:10" ht="15" x14ac:dyDescent="0.2">
      <c r="A248" s="13">
        <v>48458</v>
      </c>
      <c r="B248" s="14">
        <f>26.4669 * CHOOSE(CONTROL!$C$15, $E$9, 100%, $G$9) + CHOOSE(CONTROL!$C$38, 0.0278, 0)</f>
        <v>26.494699999999998</v>
      </c>
      <c r="C248" s="14">
        <f>24.9155 * CHOOSE(CONTROL!$C$15, $E$9, 100%, $G$9) + CHOOSE(CONTROL!$C$38, 0.0369, 0)</f>
        <v>24.952400000000001</v>
      </c>
      <c r="D248" s="14">
        <f>24.9077 * CHOOSE(CONTROL!$C$15, $E$9, 100%, $G$9) + CHOOSE(CONTROL!$C$38, 0.0369, 0)</f>
        <v>24.944599999999998</v>
      </c>
      <c r="E248" s="46">
        <f>26.3107 * CHOOSE(CONTROL!$C$15, $E$9, 100%, $G$9) + CHOOSE(CONTROL!$C$38, 0.0369, 0)</f>
        <v>26.3476</v>
      </c>
      <c r="F248" s="45">
        <f>26.3107 * CHOOSE(CONTROL!$C$15, $E$9, 100%, $G$9) + CHOOSE(CONTROL!$C$38, 0.0278, 0)</f>
        <v>26.3385</v>
      </c>
      <c r="G248" s="14">
        <f>24.9139 * CHOOSE(CONTROL!$C$15, $E$9, 100%, $G$9) + CHOOSE(CONTROL!$C$38, 0.0369, 0)</f>
        <v>24.950800000000001</v>
      </c>
      <c r="H248" s="14">
        <f>24.9139 * CHOOSE(CONTROL!$C$15, $E$9, 100%, $G$9) + CHOOSE(CONTROL!$C$38, 0.0369, 0)</f>
        <v>24.950800000000001</v>
      </c>
      <c r="I248" s="14">
        <f>24.9155 * CHOOSE(CONTROL!$C$15, $E$9, 100%, $G$9) + CHOOSE(CONTROL!$C$38, 0.0369, 0)</f>
        <v>24.952400000000001</v>
      </c>
      <c r="J248" s="44">
        <f>179.2014</f>
        <v>179.20140000000001</v>
      </c>
    </row>
    <row r="249" spans="1:10" ht="15" x14ac:dyDescent="0.2">
      <c r="A249" s="13">
        <v>48488</v>
      </c>
      <c r="B249" s="14">
        <f>26.8285 * CHOOSE(CONTROL!$C$15, $E$9, 100%, $G$9) + CHOOSE(CONTROL!$C$38, 0.0256, 0)</f>
        <v>26.854099999999999</v>
      </c>
      <c r="C249" s="14">
        <f>25.2771 * CHOOSE(CONTROL!$C$15, $E$9, 100%, $G$9) + CHOOSE(CONTROL!$C$38, 0.0347, 0)</f>
        <v>25.311800000000002</v>
      </c>
      <c r="D249" s="14">
        <f>25.2693 * CHOOSE(CONTROL!$C$15, $E$9, 100%, $G$9) + CHOOSE(CONTROL!$C$38, 0.0347, 0)</f>
        <v>25.304000000000002</v>
      </c>
      <c r="E249" s="46">
        <f>26.6722 * CHOOSE(CONTROL!$C$15, $E$9, 100%, $G$9) + CHOOSE(CONTROL!$C$38, 0.0347, 0)</f>
        <v>26.706900000000001</v>
      </c>
      <c r="F249" s="45">
        <f>26.6722 * CHOOSE(CONTROL!$C$15, $E$9, 100%, $G$9) + CHOOSE(CONTROL!$C$38, 0.0256, 0)</f>
        <v>26.697800000000001</v>
      </c>
      <c r="G249" s="14">
        <f>25.2755 * CHOOSE(CONTROL!$C$15, $E$9, 100%, $G$9) + CHOOSE(CONTROL!$C$38, 0.0347, 0)</f>
        <v>25.310200000000002</v>
      </c>
      <c r="H249" s="14">
        <f>25.2755 * CHOOSE(CONTROL!$C$15, $E$9, 100%, $G$9) + CHOOSE(CONTROL!$C$38, 0.0347, 0)</f>
        <v>25.310200000000002</v>
      </c>
      <c r="I249" s="14">
        <f>25.2771 * CHOOSE(CONTROL!$C$15, $E$9, 100%, $G$9) + CHOOSE(CONTROL!$C$38, 0.0347, 0)</f>
        <v>25.311800000000002</v>
      </c>
      <c r="J249" s="44">
        <f>173.0044</f>
        <v>173.0044</v>
      </c>
    </row>
    <row r="250" spans="1:10" ht="15" x14ac:dyDescent="0.2">
      <c r="A250" s="13">
        <v>48519</v>
      </c>
      <c r="B250" s="14">
        <f>27.1302 * CHOOSE(CONTROL!$C$15, $E$9, 100%, $G$9) + CHOOSE(CONTROL!$C$38, 0.0256, 0)</f>
        <v>27.155799999999999</v>
      </c>
      <c r="C250" s="14">
        <f>25.5788 * CHOOSE(CONTROL!$C$15, $E$9, 100%, $G$9) + CHOOSE(CONTROL!$C$38, 0.0347, 0)</f>
        <v>25.613500000000002</v>
      </c>
      <c r="D250" s="14">
        <f>25.571 * CHOOSE(CONTROL!$C$15, $E$9, 100%, $G$9) + CHOOSE(CONTROL!$C$38, 0.0347, 0)</f>
        <v>25.605700000000002</v>
      </c>
      <c r="E250" s="46">
        <f>26.9739 * CHOOSE(CONTROL!$C$15, $E$9, 100%, $G$9) + CHOOSE(CONTROL!$C$38, 0.0347, 0)</f>
        <v>27.008600000000001</v>
      </c>
      <c r="F250" s="45">
        <f>26.9739 * CHOOSE(CONTROL!$C$15, $E$9, 100%, $G$9) + CHOOSE(CONTROL!$C$38, 0.0256, 0)</f>
        <v>26.999500000000001</v>
      </c>
      <c r="G250" s="14">
        <f>25.5772 * CHOOSE(CONTROL!$C$15, $E$9, 100%, $G$9) + CHOOSE(CONTROL!$C$38, 0.0347, 0)</f>
        <v>25.611900000000002</v>
      </c>
      <c r="H250" s="14">
        <f>25.5772 * CHOOSE(CONTROL!$C$15, $E$9, 100%, $G$9) + CHOOSE(CONTROL!$C$38, 0.0347, 0)</f>
        <v>25.611900000000002</v>
      </c>
      <c r="I250" s="14">
        <f>25.5788 * CHOOSE(CONTROL!$C$15, $E$9, 100%, $G$9) + CHOOSE(CONTROL!$C$38, 0.0347, 0)</f>
        <v>25.613500000000002</v>
      </c>
      <c r="J250" s="44">
        <f>171.7717</f>
        <v>171.77170000000001</v>
      </c>
    </row>
    <row r="251" spans="1:10" ht="15" x14ac:dyDescent="0.2">
      <c r="A251" s="13">
        <v>48549</v>
      </c>
      <c r="B251" s="14">
        <f>28.0599 * CHOOSE(CONTROL!$C$15, $E$9, 100%, $G$9) + CHOOSE(CONTROL!$C$38, 0.0256, 0)</f>
        <v>28.0855</v>
      </c>
      <c r="C251" s="14">
        <f>26.5084 * CHOOSE(CONTROL!$C$15, $E$9, 100%, $G$9) + CHOOSE(CONTROL!$C$38, 0.0347, 0)</f>
        <v>26.543100000000003</v>
      </c>
      <c r="D251" s="14">
        <f>26.5006 * CHOOSE(CONTROL!$C$15, $E$9, 100%, $G$9) + CHOOSE(CONTROL!$C$38, 0.0347, 0)</f>
        <v>26.535299999999999</v>
      </c>
      <c r="E251" s="46">
        <f>27.9036 * CHOOSE(CONTROL!$C$15, $E$9, 100%, $G$9) + CHOOSE(CONTROL!$C$38, 0.0347, 0)</f>
        <v>27.938300000000002</v>
      </c>
      <c r="F251" s="45">
        <f>27.9036 * CHOOSE(CONTROL!$C$15, $E$9, 100%, $G$9) + CHOOSE(CONTROL!$C$38, 0.0256, 0)</f>
        <v>27.929200000000002</v>
      </c>
      <c r="G251" s="14">
        <f>26.5069 * CHOOSE(CONTROL!$C$15, $E$9, 100%, $G$9) + CHOOSE(CONTROL!$C$38, 0.0347, 0)</f>
        <v>26.541600000000003</v>
      </c>
      <c r="H251" s="14">
        <f>26.5069 * CHOOSE(CONTROL!$C$15, $E$9, 100%, $G$9) + CHOOSE(CONTROL!$C$38, 0.0347, 0)</f>
        <v>26.541600000000003</v>
      </c>
      <c r="I251" s="14">
        <f>26.5084 * CHOOSE(CONTROL!$C$15, $E$9, 100%, $G$9) + CHOOSE(CONTROL!$C$38, 0.0347, 0)</f>
        <v>26.543100000000003</v>
      </c>
      <c r="J251" s="44">
        <f>166.6744</f>
        <v>166.67439999999999</v>
      </c>
    </row>
    <row r="252" spans="1:10" ht="15" x14ac:dyDescent="0.2">
      <c r="A252" s="13">
        <v>48580</v>
      </c>
      <c r="B252" s="14">
        <f>29.2404 * CHOOSE(CONTROL!$C$15, $E$9, 100%, $G$9) + CHOOSE(CONTROL!$C$38, 0.0256, 0)</f>
        <v>29.266000000000002</v>
      </c>
      <c r="C252" s="14">
        <f>27.6655 * CHOOSE(CONTROL!$C$15, $E$9, 100%, $G$9) + CHOOSE(CONTROL!$C$38, 0.0347, 0)</f>
        <v>27.700200000000002</v>
      </c>
      <c r="D252" s="14">
        <f>27.6577 * CHOOSE(CONTROL!$C$15, $E$9, 100%, $G$9) + CHOOSE(CONTROL!$C$38, 0.0347, 0)</f>
        <v>27.692399999999999</v>
      </c>
      <c r="E252" s="46">
        <f>29.0841 * CHOOSE(CONTROL!$C$15, $E$9, 100%, $G$9) + CHOOSE(CONTROL!$C$38, 0.0347, 0)</f>
        <v>29.1188</v>
      </c>
      <c r="F252" s="45">
        <f>29.0841 * CHOOSE(CONTROL!$C$15, $E$9, 100%, $G$9) + CHOOSE(CONTROL!$C$38, 0.0256, 0)</f>
        <v>29.1097</v>
      </c>
      <c r="G252" s="14">
        <f>27.6639 * CHOOSE(CONTROL!$C$15, $E$9, 100%, $G$9) + CHOOSE(CONTROL!$C$38, 0.0347, 0)</f>
        <v>27.698600000000003</v>
      </c>
      <c r="H252" s="14">
        <f>27.6639 * CHOOSE(CONTROL!$C$15, $E$9, 100%, $G$9) + CHOOSE(CONTROL!$C$38, 0.0347, 0)</f>
        <v>27.698600000000003</v>
      </c>
      <c r="I252" s="14">
        <f>27.6655 * CHOOSE(CONTROL!$C$15, $E$9, 100%, $G$9) + CHOOSE(CONTROL!$C$38, 0.0347, 0)</f>
        <v>27.700200000000002</v>
      </c>
      <c r="J252" s="44">
        <f>166.4594</f>
        <v>166.45939999999999</v>
      </c>
    </row>
    <row r="253" spans="1:10" ht="15" x14ac:dyDescent="0.2">
      <c r="A253" s="13">
        <v>48611</v>
      </c>
      <c r="B253" s="14">
        <f>29.5847 * CHOOSE(CONTROL!$C$15, $E$9, 100%, $G$9) + CHOOSE(CONTROL!$C$38, 0.0256, 0)</f>
        <v>29.610300000000002</v>
      </c>
      <c r="C253" s="14">
        <f>28.0098 * CHOOSE(CONTROL!$C$15, $E$9, 100%, $G$9) + CHOOSE(CONTROL!$C$38, 0.0347, 0)</f>
        <v>28.044499999999999</v>
      </c>
      <c r="D253" s="14">
        <f>28.002 * CHOOSE(CONTROL!$C$15, $E$9, 100%, $G$9) + CHOOSE(CONTROL!$C$38, 0.0347, 0)</f>
        <v>28.0367</v>
      </c>
      <c r="E253" s="46">
        <f>29.4284 * CHOOSE(CONTROL!$C$15, $E$9, 100%, $G$9) + CHOOSE(CONTROL!$C$38, 0.0347, 0)</f>
        <v>29.463100000000001</v>
      </c>
      <c r="F253" s="45">
        <f>29.4284 * CHOOSE(CONTROL!$C$15, $E$9, 100%, $G$9) + CHOOSE(CONTROL!$C$38, 0.0256, 0)</f>
        <v>29.454000000000001</v>
      </c>
      <c r="G253" s="14">
        <f>28.0083 * CHOOSE(CONTROL!$C$15, $E$9, 100%, $G$9) + CHOOSE(CONTROL!$C$38, 0.0347, 0)</f>
        <v>28.042999999999999</v>
      </c>
      <c r="H253" s="14">
        <f>28.0083 * CHOOSE(CONTROL!$C$15, $E$9, 100%, $G$9) + CHOOSE(CONTROL!$C$38, 0.0347, 0)</f>
        <v>28.042999999999999</v>
      </c>
      <c r="I253" s="14">
        <f>28.0098 * CHOOSE(CONTROL!$C$15, $E$9, 100%, $G$9) + CHOOSE(CONTROL!$C$38, 0.0347, 0)</f>
        <v>28.044499999999999</v>
      </c>
      <c r="J253" s="44">
        <f>165.9967</f>
        <v>165.9967</v>
      </c>
    </row>
    <row r="254" spans="1:10" ht="15" x14ac:dyDescent="0.2">
      <c r="A254" s="13">
        <v>48639</v>
      </c>
      <c r="B254" s="14">
        <f>28.7876 * CHOOSE(CONTROL!$C$15, $E$9, 100%, $G$9) + CHOOSE(CONTROL!$C$38, 0.0256, 0)</f>
        <v>28.813200000000002</v>
      </c>
      <c r="C254" s="14">
        <f>27.2128 * CHOOSE(CONTROL!$C$15, $E$9, 100%, $G$9) + CHOOSE(CONTROL!$C$38, 0.0347, 0)</f>
        <v>27.247500000000002</v>
      </c>
      <c r="D254" s="14">
        <f>27.205 * CHOOSE(CONTROL!$C$15, $E$9, 100%, $G$9) + CHOOSE(CONTROL!$C$38, 0.0347, 0)</f>
        <v>27.239699999999999</v>
      </c>
      <c r="E254" s="46">
        <f>28.6314 * CHOOSE(CONTROL!$C$15, $E$9, 100%, $G$9) + CHOOSE(CONTROL!$C$38, 0.0347, 0)</f>
        <v>28.6661</v>
      </c>
      <c r="F254" s="45">
        <f>28.6314 * CHOOSE(CONTROL!$C$15, $E$9, 100%, $G$9) + CHOOSE(CONTROL!$C$38, 0.0256, 0)</f>
        <v>28.657</v>
      </c>
      <c r="G254" s="14">
        <f>27.2112 * CHOOSE(CONTROL!$C$15, $E$9, 100%, $G$9) + CHOOSE(CONTROL!$C$38, 0.0347, 0)</f>
        <v>27.245900000000002</v>
      </c>
      <c r="H254" s="14">
        <f>27.2112 * CHOOSE(CONTROL!$C$15, $E$9, 100%, $G$9) + CHOOSE(CONTROL!$C$38, 0.0347, 0)</f>
        <v>27.245900000000002</v>
      </c>
      <c r="I254" s="14">
        <f>27.2128 * CHOOSE(CONTROL!$C$15, $E$9, 100%, $G$9) + CHOOSE(CONTROL!$C$38, 0.0347, 0)</f>
        <v>27.247500000000002</v>
      </c>
      <c r="J254" s="44">
        <f>174.7457</f>
        <v>174.7457</v>
      </c>
    </row>
    <row r="255" spans="1:10" ht="15" x14ac:dyDescent="0.2">
      <c r="A255" s="13">
        <v>48670</v>
      </c>
      <c r="B255" s="14">
        <f>28.0153 * CHOOSE(CONTROL!$C$15, $E$9, 100%, $G$9) + CHOOSE(CONTROL!$C$38, 0.0256, 0)</f>
        <v>28.040900000000001</v>
      </c>
      <c r="C255" s="14">
        <f>26.4405 * CHOOSE(CONTROL!$C$15, $E$9, 100%, $G$9) + CHOOSE(CONTROL!$C$38, 0.0347, 0)</f>
        <v>26.475200000000001</v>
      </c>
      <c r="D255" s="14">
        <f>26.4327 * CHOOSE(CONTROL!$C$15, $E$9, 100%, $G$9) + CHOOSE(CONTROL!$C$38, 0.0347, 0)</f>
        <v>26.467400000000001</v>
      </c>
      <c r="E255" s="46">
        <f>27.8591 * CHOOSE(CONTROL!$C$15, $E$9, 100%, $G$9) + CHOOSE(CONTROL!$C$38, 0.0347, 0)</f>
        <v>27.893800000000002</v>
      </c>
      <c r="F255" s="45">
        <f>27.8591 * CHOOSE(CONTROL!$C$15, $E$9, 100%, $G$9) + CHOOSE(CONTROL!$C$38, 0.0256, 0)</f>
        <v>27.884700000000002</v>
      </c>
      <c r="G255" s="14">
        <f>26.4389 * CHOOSE(CONTROL!$C$15, $E$9, 100%, $G$9) + CHOOSE(CONTROL!$C$38, 0.0347, 0)</f>
        <v>26.473600000000001</v>
      </c>
      <c r="H255" s="14">
        <f>26.4389 * CHOOSE(CONTROL!$C$15, $E$9, 100%, $G$9) + CHOOSE(CONTROL!$C$38, 0.0347, 0)</f>
        <v>26.473600000000001</v>
      </c>
      <c r="I255" s="14">
        <f>26.4405 * CHOOSE(CONTROL!$C$15, $E$9, 100%, $G$9) + CHOOSE(CONTROL!$C$38, 0.0347, 0)</f>
        <v>26.475200000000001</v>
      </c>
      <c r="J255" s="44">
        <f>186.0911</f>
        <v>186.09110000000001</v>
      </c>
    </row>
    <row r="256" spans="1:10" ht="15" x14ac:dyDescent="0.2">
      <c r="A256" s="13">
        <v>48700</v>
      </c>
      <c r="B256" s="14">
        <f>27.2104 * CHOOSE(CONTROL!$C$15, $E$9, 100%, $G$9) + CHOOSE(CONTROL!$C$38, 0.0278, 0)</f>
        <v>27.238199999999999</v>
      </c>
      <c r="C256" s="14">
        <f>25.6355 * CHOOSE(CONTROL!$C$15, $E$9, 100%, $G$9) + CHOOSE(CONTROL!$C$38, 0.0369, 0)</f>
        <v>25.6724</v>
      </c>
      <c r="D256" s="14">
        <f>25.6277 * CHOOSE(CONTROL!$C$15, $E$9, 100%, $G$9) + CHOOSE(CONTROL!$C$38, 0.0369, 0)</f>
        <v>25.6646</v>
      </c>
      <c r="E256" s="46">
        <f>27.0541 * CHOOSE(CONTROL!$C$15, $E$9, 100%, $G$9) + CHOOSE(CONTROL!$C$38, 0.0369, 0)</f>
        <v>27.090999999999998</v>
      </c>
      <c r="F256" s="45">
        <f>27.0541 * CHOOSE(CONTROL!$C$15, $E$9, 100%, $G$9) + CHOOSE(CONTROL!$C$38, 0.0278, 0)</f>
        <v>27.081899999999997</v>
      </c>
      <c r="G256" s="14">
        <f>25.6339 * CHOOSE(CONTROL!$C$15, $E$9, 100%, $G$9) + CHOOSE(CONTROL!$C$38, 0.0369, 0)</f>
        <v>25.6708</v>
      </c>
      <c r="H256" s="14">
        <f>25.6339 * CHOOSE(CONTROL!$C$15, $E$9, 100%, $G$9) + CHOOSE(CONTROL!$C$38, 0.0369, 0)</f>
        <v>25.6708</v>
      </c>
      <c r="I256" s="14">
        <f>25.6355 * CHOOSE(CONTROL!$C$15, $E$9, 100%, $G$9) + CHOOSE(CONTROL!$C$38, 0.0369, 0)</f>
        <v>25.6724</v>
      </c>
      <c r="J256" s="44">
        <f>192.3359</f>
        <v>192.33590000000001</v>
      </c>
    </row>
    <row r="257" spans="1:10" ht="15" x14ac:dyDescent="0.2">
      <c r="A257" s="13">
        <v>48731</v>
      </c>
      <c r="B257" s="14">
        <f>26.646 * CHOOSE(CONTROL!$C$15, $E$9, 100%, $G$9) + CHOOSE(CONTROL!$C$38, 0.0278, 0)</f>
        <v>26.6738</v>
      </c>
      <c r="C257" s="14">
        <f>25.0712 * CHOOSE(CONTROL!$C$15, $E$9, 100%, $G$9) + CHOOSE(CONTROL!$C$38, 0.0369, 0)</f>
        <v>25.1081</v>
      </c>
      <c r="D257" s="14">
        <f>25.0634 * CHOOSE(CONTROL!$C$15, $E$9, 100%, $G$9) + CHOOSE(CONTROL!$C$38, 0.0369, 0)</f>
        <v>25.100300000000001</v>
      </c>
      <c r="E257" s="46">
        <f>26.4898 * CHOOSE(CONTROL!$C$15, $E$9, 100%, $G$9) + CHOOSE(CONTROL!$C$38, 0.0369, 0)</f>
        <v>26.526699999999998</v>
      </c>
      <c r="F257" s="45">
        <f>26.4898 * CHOOSE(CONTROL!$C$15, $E$9, 100%, $G$9) + CHOOSE(CONTROL!$C$38, 0.0278, 0)</f>
        <v>26.517599999999998</v>
      </c>
      <c r="G257" s="14">
        <f>25.0696 * CHOOSE(CONTROL!$C$15, $E$9, 100%, $G$9) + CHOOSE(CONTROL!$C$38, 0.0369, 0)</f>
        <v>25.1065</v>
      </c>
      <c r="H257" s="14">
        <f>25.0696 * CHOOSE(CONTROL!$C$15, $E$9, 100%, $G$9) + CHOOSE(CONTROL!$C$38, 0.0369, 0)</f>
        <v>25.1065</v>
      </c>
      <c r="I257" s="14">
        <f>25.0712 * CHOOSE(CONTROL!$C$15, $E$9, 100%, $G$9) + CHOOSE(CONTROL!$C$38, 0.0369, 0)</f>
        <v>25.1081</v>
      </c>
      <c r="J257" s="44">
        <f>195.1073</f>
        <v>195.10730000000001</v>
      </c>
    </row>
    <row r="258" spans="1:10" ht="15" x14ac:dyDescent="0.2">
      <c r="A258" s="13">
        <v>48761</v>
      </c>
      <c r="B258" s="14">
        <f>26.324 * CHOOSE(CONTROL!$C$15, $E$9, 100%, $G$9) + CHOOSE(CONTROL!$C$38, 0.0278, 0)</f>
        <v>26.351800000000001</v>
      </c>
      <c r="C258" s="14">
        <f>24.7491 * CHOOSE(CONTROL!$C$15, $E$9, 100%, $G$9) + CHOOSE(CONTROL!$C$38, 0.0369, 0)</f>
        <v>24.785999999999998</v>
      </c>
      <c r="D258" s="14">
        <f>24.7413 * CHOOSE(CONTROL!$C$15, $E$9, 100%, $G$9) + CHOOSE(CONTROL!$C$38, 0.0369, 0)</f>
        <v>24.778199999999998</v>
      </c>
      <c r="E258" s="46">
        <f>26.1677 * CHOOSE(CONTROL!$C$15, $E$9, 100%, $G$9) + CHOOSE(CONTROL!$C$38, 0.0369, 0)</f>
        <v>26.204599999999999</v>
      </c>
      <c r="F258" s="45">
        <f>26.1677 * CHOOSE(CONTROL!$C$15, $E$9, 100%, $G$9) + CHOOSE(CONTROL!$C$38, 0.0278, 0)</f>
        <v>26.195499999999999</v>
      </c>
      <c r="G258" s="14">
        <f>24.7476 * CHOOSE(CONTROL!$C$15, $E$9, 100%, $G$9) + CHOOSE(CONTROL!$C$38, 0.0369, 0)</f>
        <v>24.784499999999998</v>
      </c>
      <c r="H258" s="14">
        <f>24.7476 * CHOOSE(CONTROL!$C$15, $E$9, 100%, $G$9) + CHOOSE(CONTROL!$C$38, 0.0369, 0)</f>
        <v>24.784499999999998</v>
      </c>
      <c r="I258" s="14">
        <f>24.7491 * CHOOSE(CONTROL!$C$15, $E$9, 100%, $G$9) + CHOOSE(CONTROL!$C$38, 0.0369, 0)</f>
        <v>24.785999999999998</v>
      </c>
      <c r="J258" s="44">
        <f>194.1948</f>
        <v>194.19479999999999</v>
      </c>
    </row>
    <row r="259" spans="1:10" ht="15" x14ac:dyDescent="0.2">
      <c r="A259" s="13">
        <v>48792</v>
      </c>
      <c r="B259" s="14">
        <f>26.4829 * CHOOSE(CONTROL!$C$15, $E$9, 100%, $G$9) + CHOOSE(CONTROL!$C$38, 0.0278, 0)</f>
        <v>26.5107</v>
      </c>
      <c r="C259" s="14">
        <f>24.9081 * CHOOSE(CONTROL!$C$15, $E$9, 100%, $G$9) + CHOOSE(CONTROL!$C$38, 0.0369, 0)</f>
        <v>24.945</v>
      </c>
      <c r="D259" s="14">
        <f>24.9002 * CHOOSE(CONTROL!$C$15, $E$9, 100%, $G$9) + CHOOSE(CONTROL!$C$38, 0.0369, 0)</f>
        <v>24.937100000000001</v>
      </c>
      <c r="E259" s="46">
        <f>26.3267 * CHOOSE(CONTROL!$C$15, $E$9, 100%, $G$9) + CHOOSE(CONTROL!$C$38, 0.0369, 0)</f>
        <v>26.363599999999998</v>
      </c>
      <c r="F259" s="45">
        <f>26.3267 * CHOOSE(CONTROL!$C$15, $E$9, 100%, $G$9) + CHOOSE(CONTROL!$C$38, 0.0278, 0)</f>
        <v>26.354499999999998</v>
      </c>
      <c r="G259" s="14">
        <f>24.9065 * CHOOSE(CONTROL!$C$15, $E$9, 100%, $G$9) + CHOOSE(CONTROL!$C$38, 0.0369, 0)</f>
        <v>24.9434</v>
      </c>
      <c r="H259" s="14">
        <f>24.9065 * CHOOSE(CONTROL!$C$15, $E$9, 100%, $G$9) + CHOOSE(CONTROL!$C$38, 0.0369, 0)</f>
        <v>24.9434</v>
      </c>
      <c r="I259" s="14">
        <f>24.9081 * CHOOSE(CONTROL!$C$15, $E$9, 100%, $G$9) + CHOOSE(CONTROL!$C$38, 0.0369, 0)</f>
        <v>24.945</v>
      </c>
      <c r="J259" s="44">
        <f>189.674</f>
        <v>189.67400000000001</v>
      </c>
    </row>
    <row r="260" spans="1:10" ht="15" x14ac:dyDescent="0.2">
      <c r="A260" s="13">
        <v>48823</v>
      </c>
      <c r="B260" s="14">
        <f>26.9146 * CHOOSE(CONTROL!$C$15, $E$9, 100%, $G$9) + CHOOSE(CONTROL!$C$38, 0.0278, 0)</f>
        <v>26.942399999999999</v>
      </c>
      <c r="C260" s="14">
        <f>25.3398 * CHOOSE(CONTROL!$C$15, $E$9, 100%, $G$9) + CHOOSE(CONTROL!$C$38, 0.0369, 0)</f>
        <v>25.3767</v>
      </c>
      <c r="D260" s="14">
        <f>25.332 * CHOOSE(CONTROL!$C$15, $E$9, 100%, $G$9) + CHOOSE(CONTROL!$C$38, 0.0369, 0)</f>
        <v>25.3689</v>
      </c>
      <c r="E260" s="46">
        <f>26.7584 * CHOOSE(CONTROL!$C$15, $E$9, 100%, $G$9) + CHOOSE(CONTROL!$C$38, 0.0369, 0)</f>
        <v>26.795300000000001</v>
      </c>
      <c r="F260" s="45">
        <f>26.7584 * CHOOSE(CONTROL!$C$15, $E$9, 100%, $G$9) + CHOOSE(CONTROL!$C$38, 0.0278, 0)</f>
        <v>26.786200000000001</v>
      </c>
      <c r="G260" s="14">
        <f>25.3382 * CHOOSE(CONTROL!$C$15, $E$9, 100%, $G$9) + CHOOSE(CONTROL!$C$38, 0.0369, 0)</f>
        <v>25.3751</v>
      </c>
      <c r="H260" s="14">
        <f>25.3382 * CHOOSE(CONTROL!$C$15, $E$9, 100%, $G$9) + CHOOSE(CONTROL!$C$38, 0.0369, 0)</f>
        <v>25.3751</v>
      </c>
      <c r="I260" s="14">
        <f>25.3398 * CHOOSE(CONTROL!$C$15, $E$9, 100%, $G$9) + CHOOSE(CONTROL!$C$38, 0.0369, 0)</f>
        <v>25.3767</v>
      </c>
      <c r="J260" s="44">
        <f>183.3696</f>
        <v>183.36959999999999</v>
      </c>
    </row>
    <row r="261" spans="1:10" ht="15" x14ac:dyDescent="0.2">
      <c r="A261" s="13">
        <v>48853</v>
      </c>
      <c r="B261" s="14">
        <f>27.2762 * CHOOSE(CONTROL!$C$15, $E$9, 100%, $G$9) + CHOOSE(CONTROL!$C$38, 0.0256, 0)</f>
        <v>27.3018</v>
      </c>
      <c r="C261" s="14">
        <f>25.7013 * CHOOSE(CONTROL!$C$15, $E$9, 100%, $G$9) + CHOOSE(CONTROL!$C$38, 0.0347, 0)</f>
        <v>25.736000000000001</v>
      </c>
      <c r="D261" s="14">
        <f>25.6935 * CHOOSE(CONTROL!$C$15, $E$9, 100%, $G$9) + CHOOSE(CONTROL!$C$38, 0.0347, 0)</f>
        <v>25.728200000000001</v>
      </c>
      <c r="E261" s="46">
        <f>27.1199 * CHOOSE(CONTROL!$C$15, $E$9, 100%, $G$9) + CHOOSE(CONTROL!$C$38, 0.0347, 0)</f>
        <v>27.154600000000002</v>
      </c>
      <c r="F261" s="45">
        <f>27.1199 * CHOOSE(CONTROL!$C$15, $E$9, 100%, $G$9) + CHOOSE(CONTROL!$C$38, 0.0256, 0)</f>
        <v>27.145500000000002</v>
      </c>
      <c r="G261" s="14">
        <f>25.6998 * CHOOSE(CONTROL!$C$15, $E$9, 100%, $G$9) + CHOOSE(CONTROL!$C$38, 0.0347, 0)</f>
        <v>25.734500000000001</v>
      </c>
      <c r="H261" s="14">
        <f>25.6998 * CHOOSE(CONTROL!$C$15, $E$9, 100%, $G$9) + CHOOSE(CONTROL!$C$38, 0.0347, 0)</f>
        <v>25.734500000000001</v>
      </c>
      <c r="I261" s="14">
        <f>25.7013 * CHOOSE(CONTROL!$C$15, $E$9, 100%, $G$9) + CHOOSE(CONTROL!$C$38, 0.0347, 0)</f>
        <v>25.736000000000001</v>
      </c>
      <c r="J261" s="44">
        <f>177.0285</f>
        <v>177.02850000000001</v>
      </c>
    </row>
    <row r="262" spans="1:10" ht="15" x14ac:dyDescent="0.2">
      <c r="A262" s="13">
        <v>48884</v>
      </c>
      <c r="B262" s="14">
        <f>27.5779 * CHOOSE(CONTROL!$C$15, $E$9, 100%, $G$9) + CHOOSE(CONTROL!$C$38, 0.0256, 0)</f>
        <v>27.6035</v>
      </c>
      <c r="C262" s="14">
        <f>26.003 * CHOOSE(CONTROL!$C$15, $E$9, 100%, $G$9) + CHOOSE(CONTROL!$C$38, 0.0347, 0)</f>
        <v>26.037700000000001</v>
      </c>
      <c r="D262" s="14">
        <f>25.9952 * CHOOSE(CONTROL!$C$15, $E$9, 100%, $G$9) + CHOOSE(CONTROL!$C$38, 0.0347, 0)</f>
        <v>26.029900000000001</v>
      </c>
      <c r="E262" s="46">
        <f>27.4216 * CHOOSE(CONTROL!$C$15, $E$9, 100%, $G$9) + CHOOSE(CONTROL!$C$38, 0.0347, 0)</f>
        <v>27.456300000000002</v>
      </c>
      <c r="F262" s="45">
        <f>27.4216 * CHOOSE(CONTROL!$C$15, $E$9, 100%, $G$9) + CHOOSE(CONTROL!$C$38, 0.0256, 0)</f>
        <v>27.447200000000002</v>
      </c>
      <c r="G262" s="14">
        <f>26.0015 * CHOOSE(CONTROL!$C$15, $E$9, 100%, $G$9) + CHOOSE(CONTROL!$C$38, 0.0347, 0)</f>
        <v>26.036200000000001</v>
      </c>
      <c r="H262" s="14">
        <f>26.0015 * CHOOSE(CONTROL!$C$15, $E$9, 100%, $G$9) + CHOOSE(CONTROL!$C$38, 0.0347, 0)</f>
        <v>26.036200000000001</v>
      </c>
      <c r="I262" s="14">
        <f>26.003 * CHOOSE(CONTROL!$C$15, $E$9, 100%, $G$9) + CHOOSE(CONTROL!$C$38, 0.0347, 0)</f>
        <v>26.037700000000001</v>
      </c>
      <c r="J262" s="44">
        <f>175.7671</f>
        <v>175.7671</v>
      </c>
    </row>
    <row r="263" spans="1:10" ht="15" x14ac:dyDescent="0.2">
      <c r="A263" s="13">
        <v>48914</v>
      </c>
      <c r="B263" s="14">
        <f>28.5076 * CHOOSE(CONTROL!$C$15, $E$9, 100%, $G$9) + CHOOSE(CONTROL!$C$38, 0.0256, 0)</f>
        <v>28.533200000000001</v>
      </c>
      <c r="C263" s="14">
        <f>26.9327 * CHOOSE(CONTROL!$C$15, $E$9, 100%, $G$9) + CHOOSE(CONTROL!$C$38, 0.0347, 0)</f>
        <v>26.967400000000001</v>
      </c>
      <c r="D263" s="14">
        <f>26.9249 * CHOOSE(CONTROL!$C$15, $E$9, 100%, $G$9) + CHOOSE(CONTROL!$C$38, 0.0347, 0)</f>
        <v>26.959600000000002</v>
      </c>
      <c r="E263" s="46">
        <f>28.3513 * CHOOSE(CONTROL!$C$15, $E$9, 100%, $G$9) + CHOOSE(CONTROL!$C$38, 0.0347, 0)</f>
        <v>28.385999999999999</v>
      </c>
      <c r="F263" s="45">
        <f>28.3513 * CHOOSE(CONTROL!$C$15, $E$9, 100%, $G$9) + CHOOSE(CONTROL!$C$38, 0.0256, 0)</f>
        <v>28.376899999999999</v>
      </c>
      <c r="G263" s="14">
        <f>26.9311 * CHOOSE(CONTROL!$C$15, $E$9, 100%, $G$9) + CHOOSE(CONTROL!$C$38, 0.0347, 0)</f>
        <v>26.965800000000002</v>
      </c>
      <c r="H263" s="14">
        <f>26.9311 * CHOOSE(CONTROL!$C$15, $E$9, 100%, $G$9) + CHOOSE(CONTROL!$C$38, 0.0347, 0)</f>
        <v>26.965800000000002</v>
      </c>
      <c r="I263" s="14">
        <f>26.9327 * CHOOSE(CONTROL!$C$15, $E$9, 100%, $G$9) + CHOOSE(CONTROL!$C$38, 0.0347, 0)</f>
        <v>26.967400000000001</v>
      </c>
      <c r="J263" s="44">
        <f>170.5512</f>
        <v>170.55119999999999</v>
      </c>
    </row>
    <row r="264" spans="1:10" ht="15" x14ac:dyDescent="0.2">
      <c r="A264" s="13">
        <v>48945</v>
      </c>
      <c r="B264" s="14">
        <f>29.6956 * CHOOSE(CONTROL!$C$15, $E$9, 100%, $G$9) + CHOOSE(CONTROL!$C$38, 0.0256, 0)</f>
        <v>29.7212</v>
      </c>
      <c r="C264" s="14">
        <f>28.0969 * CHOOSE(CONTROL!$C$15, $E$9, 100%, $G$9) + CHOOSE(CONTROL!$C$38, 0.0347, 0)</f>
        <v>28.131600000000002</v>
      </c>
      <c r="D264" s="14">
        <f>28.0891 * CHOOSE(CONTROL!$C$15, $E$9, 100%, $G$9) + CHOOSE(CONTROL!$C$38, 0.0347, 0)</f>
        <v>28.123799999999999</v>
      </c>
      <c r="E264" s="46">
        <f>29.5393 * CHOOSE(CONTROL!$C$15, $E$9, 100%, $G$9) + CHOOSE(CONTROL!$C$38, 0.0347, 0)</f>
        <v>29.574000000000002</v>
      </c>
      <c r="F264" s="45">
        <f>29.5393 * CHOOSE(CONTROL!$C$15, $E$9, 100%, $G$9) + CHOOSE(CONTROL!$C$38, 0.0256, 0)</f>
        <v>29.564900000000002</v>
      </c>
      <c r="G264" s="14">
        <f>28.0953 * CHOOSE(CONTROL!$C$15, $E$9, 100%, $G$9) + CHOOSE(CONTROL!$C$38, 0.0347, 0)</f>
        <v>28.130000000000003</v>
      </c>
      <c r="H264" s="14">
        <f>28.0953 * CHOOSE(CONTROL!$C$15, $E$9, 100%, $G$9) + CHOOSE(CONTROL!$C$38, 0.0347, 0)</f>
        <v>28.130000000000003</v>
      </c>
      <c r="I264" s="14">
        <f>28.0969 * CHOOSE(CONTROL!$C$15, $E$9, 100%, $G$9) + CHOOSE(CONTROL!$C$38, 0.0347, 0)</f>
        <v>28.131600000000002</v>
      </c>
      <c r="J264" s="44">
        <f>170.3313</f>
        <v>170.3313</v>
      </c>
    </row>
    <row r="265" spans="1:10" ht="15" x14ac:dyDescent="0.2">
      <c r="A265" s="13">
        <v>48976</v>
      </c>
      <c r="B265" s="14">
        <f>30.0399 * CHOOSE(CONTROL!$C$15, $E$9, 100%, $G$9) + CHOOSE(CONTROL!$C$38, 0.0256, 0)</f>
        <v>30.0655</v>
      </c>
      <c r="C265" s="14">
        <f>28.4412 * CHOOSE(CONTROL!$C$15, $E$9, 100%, $G$9) + CHOOSE(CONTROL!$C$38, 0.0347, 0)</f>
        <v>28.475899999999999</v>
      </c>
      <c r="D265" s="14">
        <f>28.4334 * CHOOSE(CONTROL!$C$15, $E$9, 100%, $G$9) + CHOOSE(CONTROL!$C$38, 0.0347, 0)</f>
        <v>28.4681</v>
      </c>
      <c r="E265" s="46">
        <f>29.8836 * CHOOSE(CONTROL!$C$15, $E$9, 100%, $G$9) + CHOOSE(CONTROL!$C$38, 0.0347, 0)</f>
        <v>29.918300000000002</v>
      </c>
      <c r="F265" s="45">
        <f>29.8836 * CHOOSE(CONTROL!$C$15, $E$9, 100%, $G$9) + CHOOSE(CONTROL!$C$38, 0.0256, 0)</f>
        <v>29.909200000000002</v>
      </c>
      <c r="G265" s="14">
        <f>28.4396 * CHOOSE(CONTROL!$C$15, $E$9, 100%, $G$9) + CHOOSE(CONTROL!$C$38, 0.0347, 0)</f>
        <v>28.474299999999999</v>
      </c>
      <c r="H265" s="14">
        <f>28.4396 * CHOOSE(CONTROL!$C$15, $E$9, 100%, $G$9) + CHOOSE(CONTROL!$C$38, 0.0347, 0)</f>
        <v>28.474299999999999</v>
      </c>
      <c r="I265" s="14">
        <f>28.4412 * CHOOSE(CONTROL!$C$15, $E$9, 100%, $G$9) + CHOOSE(CONTROL!$C$38, 0.0347, 0)</f>
        <v>28.475899999999999</v>
      </c>
      <c r="J265" s="44">
        <f>169.8578</f>
        <v>169.8578</v>
      </c>
    </row>
    <row r="266" spans="1:10" ht="15" x14ac:dyDescent="0.2">
      <c r="A266" s="13">
        <v>49004</v>
      </c>
      <c r="B266" s="14">
        <f>29.2429 * CHOOSE(CONTROL!$C$15, $E$9, 100%, $G$9) + CHOOSE(CONTROL!$C$38, 0.0256, 0)</f>
        <v>29.2685</v>
      </c>
      <c r="C266" s="14">
        <f>27.6442 * CHOOSE(CONTROL!$C$15, $E$9, 100%, $G$9) + CHOOSE(CONTROL!$C$38, 0.0347, 0)</f>
        <v>27.678900000000002</v>
      </c>
      <c r="D266" s="14">
        <f>27.6364 * CHOOSE(CONTROL!$C$15, $E$9, 100%, $G$9) + CHOOSE(CONTROL!$C$38, 0.0347, 0)</f>
        <v>27.671099999999999</v>
      </c>
      <c r="E266" s="46">
        <f>29.0866 * CHOOSE(CONTROL!$C$15, $E$9, 100%, $G$9) + CHOOSE(CONTROL!$C$38, 0.0347, 0)</f>
        <v>29.121300000000002</v>
      </c>
      <c r="F266" s="45">
        <f>29.0866 * CHOOSE(CONTROL!$C$15, $E$9, 100%, $G$9) + CHOOSE(CONTROL!$C$38, 0.0256, 0)</f>
        <v>29.112200000000001</v>
      </c>
      <c r="G266" s="14">
        <f>27.6426 * CHOOSE(CONTROL!$C$15, $E$9, 100%, $G$9) + CHOOSE(CONTROL!$C$38, 0.0347, 0)</f>
        <v>27.677300000000002</v>
      </c>
      <c r="H266" s="14">
        <f>27.6426 * CHOOSE(CONTROL!$C$15, $E$9, 100%, $G$9) + CHOOSE(CONTROL!$C$38, 0.0347, 0)</f>
        <v>27.677300000000002</v>
      </c>
      <c r="I266" s="14">
        <f>27.6442 * CHOOSE(CONTROL!$C$15, $E$9, 100%, $G$9) + CHOOSE(CONTROL!$C$38, 0.0347, 0)</f>
        <v>27.678900000000002</v>
      </c>
      <c r="J266" s="44">
        <f>178.8103</f>
        <v>178.81030000000001</v>
      </c>
    </row>
    <row r="267" spans="1:10" ht="15" x14ac:dyDescent="0.2">
      <c r="A267" s="13">
        <v>49035</v>
      </c>
      <c r="B267" s="14">
        <f>28.4705 * CHOOSE(CONTROL!$C$15, $E$9, 100%, $G$9) + CHOOSE(CONTROL!$C$38, 0.0256, 0)</f>
        <v>28.496100000000002</v>
      </c>
      <c r="C267" s="14">
        <f>26.8719 * CHOOSE(CONTROL!$C$15, $E$9, 100%, $G$9) + CHOOSE(CONTROL!$C$38, 0.0347, 0)</f>
        <v>26.906600000000001</v>
      </c>
      <c r="D267" s="14">
        <f>26.864 * CHOOSE(CONTROL!$C$15, $E$9, 100%, $G$9) + CHOOSE(CONTROL!$C$38, 0.0347, 0)</f>
        <v>26.898700000000002</v>
      </c>
      <c r="E267" s="46">
        <f>28.3143 * CHOOSE(CONTROL!$C$15, $E$9, 100%, $G$9) + CHOOSE(CONTROL!$C$38, 0.0347, 0)</f>
        <v>28.349</v>
      </c>
      <c r="F267" s="45">
        <f>28.3143 * CHOOSE(CONTROL!$C$15, $E$9, 100%, $G$9) + CHOOSE(CONTROL!$C$38, 0.0256, 0)</f>
        <v>28.3399</v>
      </c>
      <c r="G267" s="14">
        <f>26.8703 * CHOOSE(CONTROL!$C$15, $E$9, 100%, $G$9) + CHOOSE(CONTROL!$C$38, 0.0347, 0)</f>
        <v>26.905000000000001</v>
      </c>
      <c r="H267" s="14">
        <f>26.8703 * CHOOSE(CONTROL!$C$15, $E$9, 100%, $G$9) + CHOOSE(CONTROL!$C$38, 0.0347, 0)</f>
        <v>26.905000000000001</v>
      </c>
      <c r="I267" s="14">
        <f>26.8719 * CHOOSE(CONTROL!$C$15, $E$9, 100%, $G$9) + CHOOSE(CONTROL!$C$38, 0.0347, 0)</f>
        <v>26.906600000000001</v>
      </c>
      <c r="J267" s="44">
        <f>190.4195</f>
        <v>190.4195</v>
      </c>
    </row>
    <row r="268" spans="1:10" ht="15" x14ac:dyDescent="0.2">
      <c r="A268" s="13">
        <v>49065</v>
      </c>
      <c r="B268" s="14">
        <f>27.6656 * CHOOSE(CONTROL!$C$15, $E$9, 100%, $G$9) + CHOOSE(CONTROL!$C$38, 0.0278, 0)</f>
        <v>27.6934</v>
      </c>
      <c r="C268" s="14">
        <f>26.0669 * CHOOSE(CONTROL!$C$15, $E$9, 100%, $G$9) + CHOOSE(CONTROL!$C$38, 0.0369, 0)</f>
        <v>26.1038</v>
      </c>
      <c r="D268" s="14">
        <f>26.0591 * CHOOSE(CONTROL!$C$15, $E$9, 100%, $G$9) + CHOOSE(CONTROL!$C$38, 0.0369, 0)</f>
        <v>26.096</v>
      </c>
      <c r="E268" s="46">
        <f>27.5093 * CHOOSE(CONTROL!$C$15, $E$9, 100%, $G$9) + CHOOSE(CONTROL!$C$38, 0.0369, 0)</f>
        <v>27.546199999999999</v>
      </c>
      <c r="F268" s="45">
        <f>27.5093 * CHOOSE(CONTROL!$C$15, $E$9, 100%, $G$9) + CHOOSE(CONTROL!$C$38, 0.0278, 0)</f>
        <v>27.537099999999999</v>
      </c>
      <c r="G268" s="14">
        <f>26.0653 * CHOOSE(CONTROL!$C$15, $E$9, 100%, $G$9) + CHOOSE(CONTROL!$C$38, 0.0369, 0)</f>
        <v>26.1022</v>
      </c>
      <c r="H268" s="14">
        <f>26.0653 * CHOOSE(CONTROL!$C$15, $E$9, 100%, $G$9) + CHOOSE(CONTROL!$C$38, 0.0369, 0)</f>
        <v>26.1022</v>
      </c>
      <c r="I268" s="14">
        <f>26.0669 * CHOOSE(CONTROL!$C$15, $E$9, 100%, $G$9) + CHOOSE(CONTROL!$C$38, 0.0369, 0)</f>
        <v>26.1038</v>
      </c>
      <c r="J268" s="44">
        <f>196.8096</f>
        <v>196.80959999999999</v>
      </c>
    </row>
    <row r="269" spans="1:10" ht="15" x14ac:dyDescent="0.2">
      <c r="A269" s="13">
        <v>49096</v>
      </c>
      <c r="B269" s="14">
        <f>27.1012 * CHOOSE(CONTROL!$C$15, $E$9, 100%, $G$9) + CHOOSE(CONTROL!$C$38, 0.0278, 0)</f>
        <v>27.128999999999998</v>
      </c>
      <c r="C269" s="14">
        <f>25.5026 * CHOOSE(CONTROL!$C$15, $E$9, 100%, $G$9) + CHOOSE(CONTROL!$C$38, 0.0369, 0)</f>
        <v>25.5395</v>
      </c>
      <c r="D269" s="14">
        <f>25.4947 * CHOOSE(CONTROL!$C$15, $E$9, 100%, $G$9) + CHOOSE(CONTROL!$C$38, 0.0369, 0)</f>
        <v>25.531600000000001</v>
      </c>
      <c r="E269" s="46">
        <f>26.945 * CHOOSE(CONTROL!$C$15, $E$9, 100%, $G$9) + CHOOSE(CONTROL!$C$38, 0.0369, 0)</f>
        <v>26.9819</v>
      </c>
      <c r="F269" s="45">
        <f>26.945 * CHOOSE(CONTROL!$C$15, $E$9, 100%, $G$9) + CHOOSE(CONTROL!$C$38, 0.0278, 0)</f>
        <v>26.972799999999999</v>
      </c>
      <c r="G269" s="14">
        <f>25.501 * CHOOSE(CONTROL!$C$15, $E$9, 100%, $G$9) + CHOOSE(CONTROL!$C$38, 0.0369, 0)</f>
        <v>25.5379</v>
      </c>
      <c r="H269" s="14">
        <f>25.501 * CHOOSE(CONTROL!$C$15, $E$9, 100%, $G$9) + CHOOSE(CONTROL!$C$38, 0.0369, 0)</f>
        <v>25.5379</v>
      </c>
      <c r="I269" s="14">
        <f>25.5026 * CHOOSE(CONTROL!$C$15, $E$9, 100%, $G$9) + CHOOSE(CONTROL!$C$38, 0.0369, 0)</f>
        <v>25.5395</v>
      </c>
      <c r="J269" s="44">
        <f>199.6455</f>
        <v>199.6455</v>
      </c>
    </row>
    <row r="270" spans="1:10" ht="15" x14ac:dyDescent="0.2">
      <c r="A270" s="13">
        <v>49126</v>
      </c>
      <c r="B270" s="14">
        <f>26.7792 * CHOOSE(CONTROL!$C$15, $E$9, 100%, $G$9) + CHOOSE(CONTROL!$C$38, 0.0278, 0)</f>
        <v>26.806999999999999</v>
      </c>
      <c r="C270" s="14">
        <f>25.1805 * CHOOSE(CONTROL!$C$15, $E$9, 100%, $G$9) + CHOOSE(CONTROL!$C$38, 0.0369, 0)</f>
        <v>25.217399999999998</v>
      </c>
      <c r="D270" s="14">
        <f>25.1727 * CHOOSE(CONTROL!$C$15, $E$9, 100%, $G$9) + CHOOSE(CONTROL!$C$38, 0.0369, 0)</f>
        <v>25.209599999999998</v>
      </c>
      <c r="E270" s="46">
        <f>26.6229 * CHOOSE(CONTROL!$C$15, $E$9, 100%, $G$9) + CHOOSE(CONTROL!$C$38, 0.0369, 0)</f>
        <v>26.659800000000001</v>
      </c>
      <c r="F270" s="45">
        <f>26.6229 * CHOOSE(CONTROL!$C$15, $E$9, 100%, $G$9) + CHOOSE(CONTROL!$C$38, 0.0278, 0)</f>
        <v>26.650700000000001</v>
      </c>
      <c r="G270" s="14">
        <f>25.1789 * CHOOSE(CONTROL!$C$15, $E$9, 100%, $G$9) + CHOOSE(CONTROL!$C$38, 0.0369, 0)</f>
        <v>25.215799999999998</v>
      </c>
      <c r="H270" s="14">
        <f>25.1789 * CHOOSE(CONTROL!$C$15, $E$9, 100%, $G$9) + CHOOSE(CONTROL!$C$38, 0.0369, 0)</f>
        <v>25.215799999999998</v>
      </c>
      <c r="I270" s="14">
        <f>25.1805 * CHOOSE(CONTROL!$C$15, $E$9, 100%, $G$9) + CHOOSE(CONTROL!$C$38, 0.0369, 0)</f>
        <v>25.217399999999998</v>
      </c>
      <c r="J270" s="44">
        <f>198.7118</f>
        <v>198.71180000000001</v>
      </c>
    </row>
    <row r="271" spans="1:10" ht="15" x14ac:dyDescent="0.2">
      <c r="A271" s="13">
        <v>49157</v>
      </c>
      <c r="B271" s="14">
        <f>26.9381 * CHOOSE(CONTROL!$C$15, $E$9, 100%, $G$9) + CHOOSE(CONTROL!$C$38, 0.0278, 0)</f>
        <v>26.965899999999998</v>
      </c>
      <c r="C271" s="14">
        <f>25.3394 * CHOOSE(CONTROL!$C$15, $E$9, 100%, $G$9) + CHOOSE(CONTROL!$C$38, 0.0369, 0)</f>
        <v>25.376300000000001</v>
      </c>
      <c r="D271" s="14">
        <f>25.3316 * CHOOSE(CONTROL!$C$15, $E$9, 100%, $G$9) + CHOOSE(CONTROL!$C$38, 0.0369, 0)</f>
        <v>25.368500000000001</v>
      </c>
      <c r="E271" s="46">
        <f>26.7819 * CHOOSE(CONTROL!$C$15, $E$9, 100%, $G$9) + CHOOSE(CONTROL!$C$38, 0.0369, 0)</f>
        <v>26.8188</v>
      </c>
      <c r="F271" s="45">
        <f>26.7819 * CHOOSE(CONTROL!$C$15, $E$9, 100%, $G$9) + CHOOSE(CONTROL!$C$38, 0.0278, 0)</f>
        <v>26.809699999999999</v>
      </c>
      <c r="G271" s="14">
        <f>25.3379 * CHOOSE(CONTROL!$C$15, $E$9, 100%, $G$9) + CHOOSE(CONTROL!$C$38, 0.0369, 0)</f>
        <v>25.3748</v>
      </c>
      <c r="H271" s="14">
        <f>25.3379 * CHOOSE(CONTROL!$C$15, $E$9, 100%, $G$9) + CHOOSE(CONTROL!$C$38, 0.0369, 0)</f>
        <v>25.3748</v>
      </c>
      <c r="I271" s="14">
        <f>25.3394 * CHOOSE(CONTROL!$C$15, $E$9, 100%, $G$9) + CHOOSE(CONTROL!$C$38, 0.0369, 0)</f>
        <v>25.376300000000001</v>
      </c>
      <c r="J271" s="44">
        <f>194.0858</f>
        <v>194.08580000000001</v>
      </c>
    </row>
    <row r="272" spans="1:10" ht="15" x14ac:dyDescent="0.2">
      <c r="A272" s="13">
        <v>49188</v>
      </c>
      <c r="B272" s="14">
        <f>27.3698 * CHOOSE(CONTROL!$C$15, $E$9, 100%, $G$9) + CHOOSE(CONTROL!$C$38, 0.0278, 0)</f>
        <v>27.397600000000001</v>
      </c>
      <c r="C272" s="14">
        <f>25.7712 * CHOOSE(CONTROL!$C$15, $E$9, 100%, $G$9) + CHOOSE(CONTROL!$C$38, 0.0369, 0)</f>
        <v>25.8081</v>
      </c>
      <c r="D272" s="14">
        <f>25.7633 * CHOOSE(CONTROL!$C$15, $E$9, 100%, $G$9) + CHOOSE(CONTROL!$C$38, 0.0369, 0)</f>
        <v>25.8002</v>
      </c>
      <c r="E272" s="46">
        <f>27.2136 * CHOOSE(CONTROL!$C$15, $E$9, 100%, $G$9) + CHOOSE(CONTROL!$C$38, 0.0369, 0)</f>
        <v>27.250499999999999</v>
      </c>
      <c r="F272" s="45">
        <f>27.2136 * CHOOSE(CONTROL!$C$15, $E$9, 100%, $G$9) + CHOOSE(CONTROL!$C$38, 0.0278, 0)</f>
        <v>27.241399999999999</v>
      </c>
      <c r="G272" s="14">
        <f>25.7696 * CHOOSE(CONTROL!$C$15, $E$9, 100%, $G$9) + CHOOSE(CONTROL!$C$38, 0.0369, 0)</f>
        <v>25.8065</v>
      </c>
      <c r="H272" s="14">
        <f>25.7696 * CHOOSE(CONTROL!$C$15, $E$9, 100%, $G$9) + CHOOSE(CONTROL!$C$38, 0.0369, 0)</f>
        <v>25.8065</v>
      </c>
      <c r="I272" s="14">
        <f>25.7712 * CHOOSE(CONTROL!$C$15, $E$9, 100%, $G$9) + CHOOSE(CONTROL!$C$38, 0.0369, 0)</f>
        <v>25.8081</v>
      </c>
      <c r="J272" s="44">
        <f>187.6348</f>
        <v>187.63480000000001</v>
      </c>
    </row>
    <row r="273" spans="1:10" ht="15" x14ac:dyDescent="0.2">
      <c r="A273" s="13">
        <v>49218</v>
      </c>
      <c r="B273" s="14">
        <f>27.7314 * CHOOSE(CONTROL!$C$15, $E$9, 100%, $G$9) + CHOOSE(CONTROL!$C$38, 0.0256, 0)</f>
        <v>27.757000000000001</v>
      </c>
      <c r="C273" s="14">
        <f>26.1327 * CHOOSE(CONTROL!$C$15, $E$9, 100%, $G$9) + CHOOSE(CONTROL!$C$38, 0.0347, 0)</f>
        <v>26.167400000000001</v>
      </c>
      <c r="D273" s="14">
        <f>26.1249 * CHOOSE(CONTROL!$C$15, $E$9, 100%, $G$9) + CHOOSE(CONTROL!$C$38, 0.0347, 0)</f>
        <v>26.159600000000001</v>
      </c>
      <c r="E273" s="46">
        <f>27.5752 * CHOOSE(CONTROL!$C$15, $E$9, 100%, $G$9) + CHOOSE(CONTROL!$C$38, 0.0347, 0)</f>
        <v>27.6099</v>
      </c>
      <c r="F273" s="45">
        <f>27.5752 * CHOOSE(CONTROL!$C$15, $E$9, 100%, $G$9) + CHOOSE(CONTROL!$C$38, 0.0256, 0)</f>
        <v>27.6008</v>
      </c>
      <c r="G273" s="14">
        <f>26.1312 * CHOOSE(CONTROL!$C$15, $E$9, 100%, $G$9) + CHOOSE(CONTROL!$C$38, 0.0347, 0)</f>
        <v>26.165900000000001</v>
      </c>
      <c r="H273" s="14">
        <f>26.1312 * CHOOSE(CONTROL!$C$15, $E$9, 100%, $G$9) + CHOOSE(CONTROL!$C$38, 0.0347, 0)</f>
        <v>26.165900000000001</v>
      </c>
      <c r="I273" s="14">
        <f>26.1327 * CHOOSE(CONTROL!$C$15, $E$9, 100%, $G$9) + CHOOSE(CONTROL!$C$38, 0.0347, 0)</f>
        <v>26.167400000000001</v>
      </c>
      <c r="J273" s="44">
        <f>181.1462</f>
        <v>181.14619999999999</v>
      </c>
    </row>
    <row r="274" spans="1:10" ht="15" x14ac:dyDescent="0.2">
      <c r="A274" s="13">
        <v>49249</v>
      </c>
      <c r="B274" s="14">
        <f>28.0331 * CHOOSE(CONTROL!$C$15, $E$9, 100%, $G$9) + CHOOSE(CONTROL!$C$38, 0.0256, 0)</f>
        <v>28.058700000000002</v>
      </c>
      <c r="C274" s="14">
        <f>26.4344 * CHOOSE(CONTROL!$C$15, $E$9, 100%, $G$9) + CHOOSE(CONTROL!$C$38, 0.0347, 0)</f>
        <v>26.469100000000001</v>
      </c>
      <c r="D274" s="14">
        <f>26.4266 * CHOOSE(CONTROL!$C$15, $E$9, 100%, $G$9) + CHOOSE(CONTROL!$C$38, 0.0347, 0)</f>
        <v>26.461300000000001</v>
      </c>
      <c r="E274" s="46">
        <f>27.8769 * CHOOSE(CONTROL!$C$15, $E$9, 100%, $G$9) + CHOOSE(CONTROL!$C$38, 0.0347, 0)</f>
        <v>27.9116</v>
      </c>
      <c r="F274" s="45">
        <f>27.8769 * CHOOSE(CONTROL!$C$15, $E$9, 100%, $G$9) + CHOOSE(CONTROL!$C$38, 0.0256, 0)</f>
        <v>27.9025</v>
      </c>
      <c r="G274" s="14">
        <f>26.4329 * CHOOSE(CONTROL!$C$15, $E$9, 100%, $G$9) + CHOOSE(CONTROL!$C$38, 0.0347, 0)</f>
        <v>26.467600000000001</v>
      </c>
      <c r="H274" s="14">
        <f>26.4329 * CHOOSE(CONTROL!$C$15, $E$9, 100%, $G$9) + CHOOSE(CONTROL!$C$38, 0.0347, 0)</f>
        <v>26.467600000000001</v>
      </c>
      <c r="I274" s="14">
        <f>26.4344 * CHOOSE(CONTROL!$C$15, $E$9, 100%, $G$9) + CHOOSE(CONTROL!$C$38, 0.0347, 0)</f>
        <v>26.469100000000001</v>
      </c>
      <c r="J274" s="44">
        <f>179.8554</f>
        <v>179.8554</v>
      </c>
    </row>
    <row r="275" spans="1:10" ht="15" x14ac:dyDescent="0.2">
      <c r="A275" s="13">
        <v>49279</v>
      </c>
      <c r="B275" s="14">
        <f>28.9628 * CHOOSE(CONTROL!$C$15, $E$9, 100%, $G$9) + CHOOSE(CONTROL!$C$38, 0.0256, 0)</f>
        <v>28.988400000000002</v>
      </c>
      <c r="C275" s="14">
        <f>27.3641 * CHOOSE(CONTROL!$C$15, $E$9, 100%, $G$9) + CHOOSE(CONTROL!$C$38, 0.0347, 0)</f>
        <v>27.398800000000001</v>
      </c>
      <c r="D275" s="14">
        <f>27.3563 * CHOOSE(CONTROL!$C$15, $E$9, 100%, $G$9) + CHOOSE(CONTROL!$C$38, 0.0347, 0)</f>
        <v>27.391000000000002</v>
      </c>
      <c r="E275" s="46">
        <f>28.8065 * CHOOSE(CONTROL!$C$15, $E$9, 100%, $G$9) + CHOOSE(CONTROL!$C$38, 0.0347, 0)</f>
        <v>28.841200000000001</v>
      </c>
      <c r="F275" s="45">
        <f>28.8065 * CHOOSE(CONTROL!$C$15, $E$9, 100%, $G$9) + CHOOSE(CONTROL!$C$38, 0.0256, 0)</f>
        <v>28.832100000000001</v>
      </c>
      <c r="G275" s="14">
        <f>27.3625 * CHOOSE(CONTROL!$C$15, $E$9, 100%, $G$9) + CHOOSE(CONTROL!$C$38, 0.0347, 0)</f>
        <v>27.397200000000002</v>
      </c>
      <c r="H275" s="14">
        <f>27.3625 * CHOOSE(CONTROL!$C$15, $E$9, 100%, $G$9) + CHOOSE(CONTROL!$C$38, 0.0347, 0)</f>
        <v>27.397200000000002</v>
      </c>
      <c r="I275" s="14">
        <f>27.3641 * CHOOSE(CONTROL!$C$15, $E$9, 100%, $G$9) + CHOOSE(CONTROL!$C$38, 0.0347, 0)</f>
        <v>27.398800000000001</v>
      </c>
      <c r="J275" s="44">
        <f>174.5182</f>
        <v>174.51820000000001</v>
      </c>
    </row>
    <row r="276" spans="1:10" ht="15" x14ac:dyDescent="0.2">
      <c r="A276" s="13">
        <v>49310</v>
      </c>
      <c r="B276" s="14">
        <f>30.1584 * CHOOSE(CONTROL!$C$15, $E$9, 100%, $G$9) + CHOOSE(CONTROL!$C$38, 0.0256, 0)</f>
        <v>30.184000000000001</v>
      </c>
      <c r="C276" s="14">
        <f>28.5355 * CHOOSE(CONTROL!$C$15, $E$9, 100%, $G$9) + CHOOSE(CONTROL!$C$38, 0.0347, 0)</f>
        <v>28.5702</v>
      </c>
      <c r="D276" s="14">
        <f>28.5277 * CHOOSE(CONTROL!$C$15, $E$9, 100%, $G$9) + CHOOSE(CONTROL!$C$38, 0.0347, 0)</f>
        <v>28.5624</v>
      </c>
      <c r="E276" s="46">
        <f>30.0022 * CHOOSE(CONTROL!$C$15, $E$9, 100%, $G$9) + CHOOSE(CONTROL!$C$38, 0.0347, 0)</f>
        <v>30.036899999999999</v>
      </c>
      <c r="F276" s="45">
        <f>30.0022 * CHOOSE(CONTROL!$C$15, $E$9, 100%, $G$9) + CHOOSE(CONTROL!$C$38, 0.0256, 0)</f>
        <v>30.027799999999999</v>
      </c>
      <c r="G276" s="14">
        <f>28.534 * CHOOSE(CONTROL!$C$15, $E$9, 100%, $G$9) + CHOOSE(CONTROL!$C$38, 0.0347, 0)</f>
        <v>28.5687</v>
      </c>
      <c r="H276" s="14">
        <f>28.534 * CHOOSE(CONTROL!$C$15, $E$9, 100%, $G$9) + CHOOSE(CONTROL!$C$38, 0.0347, 0)</f>
        <v>28.5687</v>
      </c>
      <c r="I276" s="14">
        <f>28.5355 * CHOOSE(CONTROL!$C$15, $E$9, 100%, $G$9) + CHOOSE(CONTROL!$C$38, 0.0347, 0)</f>
        <v>28.5702</v>
      </c>
      <c r="J276" s="44">
        <f>174.2932</f>
        <v>174.29320000000001</v>
      </c>
    </row>
    <row r="277" spans="1:10" ht="15" x14ac:dyDescent="0.2">
      <c r="A277" s="13">
        <v>49341</v>
      </c>
      <c r="B277" s="14">
        <f>30.5028 * CHOOSE(CONTROL!$C$15, $E$9, 100%, $G$9) + CHOOSE(CONTROL!$C$38, 0.0256, 0)</f>
        <v>30.528400000000001</v>
      </c>
      <c r="C277" s="14">
        <f>28.8798 * CHOOSE(CONTROL!$C$15, $E$9, 100%, $G$9) + CHOOSE(CONTROL!$C$38, 0.0347, 0)</f>
        <v>28.9145</v>
      </c>
      <c r="D277" s="14">
        <f>28.872 * CHOOSE(CONTROL!$C$15, $E$9, 100%, $G$9) + CHOOSE(CONTROL!$C$38, 0.0347, 0)</f>
        <v>28.906700000000001</v>
      </c>
      <c r="E277" s="46">
        <f>30.3465 * CHOOSE(CONTROL!$C$15, $E$9, 100%, $G$9) + CHOOSE(CONTROL!$C$38, 0.0347, 0)</f>
        <v>30.3812</v>
      </c>
      <c r="F277" s="45">
        <f>30.3465 * CHOOSE(CONTROL!$C$15, $E$9, 100%, $G$9) + CHOOSE(CONTROL!$C$38, 0.0256, 0)</f>
        <v>30.3721</v>
      </c>
      <c r="G277" s="14">
        <f>28.8783 * CHOOSE(CONTROL!$C$15, $E$9, 100%, $G$9) + CHOOSE(CONTROL!$C$38, 0.0347, 0)</f>
        <v>28.913</v>
      </c>
      <c r="H277" s="14">
        <f>28.8783 * CHOOSE(CONTROL!$C$15, $E$9, 100%, $G$9) + CHOOSE(CONTROL!$C$38, 0.0347, 0)</f>
        <v>28.913</v>
      </c>
      <c r="I277" s="14">
        <f>28.8798 * CHOOSE(CONTROL!$C$15, $E$9, 100%, $G$9) + CHOOSE(CONTROL!$C$38, 0.0347, 0)</f>
        <v>28.9145</v>
      </c>
      <c r="J277" s="44">
        <f>173.8087</f>
        <v>173.80869999999999</v>
      </c>
    </row>
    <row r="278" spans="1:10" ht="15" x14ac:dyDescent="0.2">
      <c r="A278" s="13">
        <v>49369</v>
      </c>
      <c r="B278" s="14">
        <f>29.7057 * CHOOSE(CONTROL!$C$15, $E$9, 100%, $G$9) + CHOOSE(CONTROL!$C$38, 0.0256, 0)</f>
        <v>29.731300000000001</v>
      </c>
      <c r="C278" s="14">
        <f>28.0828 * CHOOSE(CONTROL!$C$15, $E$9, 100%, $G$9) + CHOOSE(CONTROL!$C$38, 0.0347, 0)</f>
        <v>28.1175</v>
      </c>
      <c r="D278" s="14">
        <f>28.075 * CHOOSE(CONTROL!$C$15, $E$9, 100%, $G$9) + CHOOSE(CONTROL!$C$38, 0.0347, 0)</f>
        <v>28.1097</v>
      </c>
      <c r="E278" s="46">
        <f>29.5495 * CHOOSE(CONTROL!$C$15, $E$9, 100%, $G$9) + CHOOSE(CONTROL!$C$38, 0.0347, 0)</f>
        <v>29.584199999999999</v>
      </c>
      <c r="F278" s="45">
        <f>29.5495 * CHOOSE(CONTROL!$C$15, $E$9, 100%, $G$9) + CHOOSE(CONTROL!$C$38, 0.0256, 0)</f>
        <v>29.575099999999999</v>
      </c>
      <c r="G278" s="14">
        <f>28.0812 * CHOOSE(CONTROL!$C$15, $E$9, 100%, $G$9) + CHOOSE(CONTROL!$C$38, 0.0347, 0)</f>
        <v>28.1159</v>
      </c>
      <c r="H278" s="14">
        <f>28.0812 * CHOOSE(CONTROL!$C$15, $E$9, 100%, $G$9) + CHOOSE(CONTROL!$C$38, 0.0347, 0)</f>
        <v>28.1159</v>
      </c>
      <c r="I278" s="14">
        <f>28.0828 * CHOOSE(CONTROL!$C$15, $E$9, 100%, $G$9) + CHOOSE(CONTROL!$C$38, 0.0347, 0)</f>
        <v>28.1175</v>
      </c>
      <c r="J278" s="44">
        <f>182.9694</f>
        <v>182.96940000000001</v>
      </c>
    </row>
    <row r="279" spans="1:10" ht="15" x14ac:dyDescent="0.2">
      <c r="A279" s="13">
        <v>49400</v>
      </c>
      <c r="B279" s="14">
        <f>28.9334 * CHOOSE(CONTROL!$C$15, $E$9, 100%, $G$9) + CHOOSE(CONTROL!$C$38, 0.0256, 0)</f>
        <v>28.959</v>
      </c>
      <c r="C279" s="14">
        <f>27.3105 * CHOOSE(CONTROL!$C$15, $E$9, 100%, $G$9) + CHOOSE(CONTROL!$C$38, 0.0347, 0)</f>
        <v>27.345200000000002</v>
      </c>
      <c r="D279" s="14">
        <f>27.3027 * CHOOSE(CONTROL!$C$15, $E$9, 100%, $G$9) + CHOOSE(CONTROL!$C$38, 0.0347, 0)</f>
        <v>27.337400000000002</v>
      </c>
      <c r="E279" s="46">
        <f>28.7772 * CHOOSE(CONTROL!$C$15, $E$9, 100%, $G$9) + CHOOSE(CONTROL!$C$38, 0.0347, 0)</f>
        <v>28.811900000000001</v>
      </c>
      <c r="F279" s="45">
        <f>28.7772 * CHOOSE(CONTROL!$C$15, $E$9, 100%, $G$9) + CHOOSE(CONTROL!$C$38, 0.0256, 0)</f>
        <v>28.802800000000001</v>
      </c>
      <c r="G279" s="14">
        <f>27.3089 * CHOOSE(CONTROL!$C$15, $E$9, 100%, $G$9) + CHOOSE(CONTROL!$C$38, 0.0347, 0)</f>
        <v>27.343600000000002</v>
      </c>
      <c r="H279" s="14">
        <f>27.3089 * CHOOSE(CONTROL!$C$15, $E$9, 100%, $G$9) + CHOOSE(CONTROL!$C$38, 0.0347, 0)</f>
        <v>27.343600000000002</v>
      </c>
      <c r="I279" s="14">
        <f>27.3105 * CHOOSE(CONTROL!$C$15, $E$9, 100%, $G$9) + CHOOSE(CONTROL!$C$38, 0.0347, 0)</f>
        <v>27.345200000000002</v>
      </c>
      <c r="J279" s="44">
        <f>194.8487</f>
        <v>194.84870000000001</v>
      </c>
    </row>
    <row r="280" spans="1:10" ht="15" x14ac:dyDescent="0.2">
      <c r="A280" s="13">
        <v>49430</v>
      </c>
      <c r="B280" s="14">
        <f>28.1285 * CHOOSE(CONTROL!$C$15, $E$9, 100%, $G$9) + CHOOSE(CONTROL!$C$38, 0.0278, 0)</f>
        <v>28.156299999999998</v>
      </c>
      <c r="C280" s="14">
        <f>26.5055 * CHOOSE(CONTROL!$C$15, $E$9, 100%, $G$9) + CHOOSE(CONTROL!$C$38, 0.0369, 0)</f>
        <v>26.542400000000001</v>
      </c>
      <c r="D280" s="14">
        <f>26.4977 * CHOOSE(CONTROL!$C$15, $E$9, 100%, $G$9) + CHOOSE(CONTROL!$C$38, 0.0369, 0)</f>
        <v>26.534599999999998</v>
      </c>
      <c r="E280" s="46">
        <f>27.9722 * CHOOSE(CONTROL!$C$15, $E$9, 100%, $G$9) + CHOOSE(CONTROL!$C$38, 0.0369, 0)</f>
        <v>28.0091</v>
      </c>
      <c r="F280" s="45">
        <f>27.9722 * CHOOSE(CONTROL!$C$15, $E$9, 100%, $G$9) + CHOOSE(CONTROL!$C$38, 0.0278, 0)</f>
        <v>28</v>
      </c>
      <c r="G280" s="14">
        <f>26.504 * CHOOSE(CONTROL!$C$15, $E$9, 100%, $G$9) + CHOOSE(CONTROL!$C$38, 0.0369, 0)</f>
        <v>26.540900000000001</v>
      </c>
      <c r="H280" s="14">
        <f>26.504 * CHOOSE(CONTROL!$C$15, $E$9, 100%, $G$9) + CHOOSE(CONTROL!$C$38, 0.0369, 0)</f>
        <v>26.540900000000001</v>
      </c>
      <c r="I280" s="14">
        <f>26.5055 * CHOOSE(CONTROL!$C$15, $E$9, 100%, $G$9) + CHOOSE(CONTROL!$C$38, 0.0369, 0)</f>
        <v>26.542400000000001</v>
      </c>
      <c r="J280" s="44">
        <f>201.3874</f>
        <v>201.38740000000001</v>
      </c>
    </row>
    <row r="281" spans="1:10" ht="15" x14ac:dyDescent="0.2">
      <c r="A281" s="34">
        <v>49461</v>
      </c>
      <c r="B281" s="14">
        <f>27.5641 * CHOOSE(CONTROL!$C$15, $E$9, 100%, $G$9) + CHOOSE(CONTROL!$C$38, 0.0278, 0)</f>
        <v>27.591899999999999</v>
      </c>
      <c r="C281" s="14">
        <f>25.9412 * CHOOSE(CONTROL!$C$15, $E$9, 100%, $G$9) + CHOOSE(CONTROL!$C$38, 0.0369, 0)</f>
        <v>25.978099999999998</v>
      </c>
      <c r="D281" s="14">
        <f>25.9334 * CHOOSE(CONTROL!$C$15, $E$9, 100%, $G$9) + CHOOSE(CONTROL!$C$38, 0.0369, 0)</f>
        <v>25.970299999999998</v>
      </c>
      <c r="E281" s="46">
        <f>27.4079 * CHOOSE(CONTROL!$C$15, $E$9, 100%, $G$9) + CHOOSE(CONTROL!$C$38, 0.0369, 0)</f>
        <v>27.444800000000001</v>
      </c>
      <c r="F281" s="45">
        <f>27.4079 * CHOOSE(CONTROL!$C$15, $E$9, 100%, $G$9) + CHOOSE(CONTROL!$C$38, 0.0278, 0)</f>
        <v>27.435700000000001</v>
      </c>
      <c r="G281" s="14">
        <f>25.9396 * CHOOSE(CONTROL!$C$15, $E$9, 100%, $G$9) + CHOOSE(CONTROL!$C$38, 0.0369, 0)</f>
        <v>25.976499999999998</v>
      </c>
      <c r="H281" s="14">
        <f>25.9396 * CHOOSE(CONTROL!$C$15, $E$9, 100%, $G$9) + CHOOSE(CONTROL!$C$38, 0.0369, 0)</f>
        <v>25.976499999999998</v>
      </c>
      <c r="I281" s="14">
        <f>25.9412 * CHOOSE(CONTROL!$C$15, $E$9, 100%, $G$9) + CHOOSE(CONTROL!$C$38, 0.0369, 0)</f>
        <v>25.978099999999998</v>
      </c>
      <c r="J281" s="44">
        <f>204.2892</f>
        <v>204.28919999999999</v>
      </c>
    </row>
    <row r="282" spans="1:10" ht="15" x14ac:dyDescent="0.2">
      <c r="A282" s="34">
        <v>49491</v>
      </c>
      <c r="B282" s="14">
        <f>27.2421 * CHOOSE(CONTROL!$C$15, $E$9, 100%, $G$9) + CHOOSE(CONTROL!$C$38, 0.0278, 0)</f>
        <v>27.2699</v>
      </c>
      <c r="C282" s="14">
        <f>25.6191 * CHOOSE(CONTROL!$C$15, $E$9, 100%, $G$9) + CHOOSE(CONTROL!$C$38, 0.0369, 0)</f>
        <v>25.655999999999999</v>
      </c>
      <c r="D282" s="14">
        <f>25.6113 * CHOOSE(CONTROL!$C$15, $E$9, 100%, $G$9) + CHOOSE(CONTROL!$C$38, 0.0369, 0)</f>
        <v>25.648199999999999</v>
      </c>
      <c r="E282" s="46">
        <f>27.0858 * CHOOSE(CONTROL!$C$15, $E$9, 100%, $G$9) + CHOOSE(CONTROL!$C$38, 0.0369, 0)</f>
        <v>27.122699999999998</v>
      </c>
      <c r="F282" s="45">
        <f>27.0858 * CHOOSE(CONTROL!$C$15, $E$9, 100%, $G$9) + CHOOSE(CONTROL!$C$38, 0.0278, 0)</f>
        <v>27.113599999999998</v>
      </c>
      <c r="G282" s="14">
        <f>25.6176 * CHOOSE(CONTROL!$C$15, $E$9, 100%, $G$9) + CHOOSE(CONTROL!$C$38, 0.0369, 0)</f>
        <v>25.654499999999999</v>
      </c>
      <c r="H282" s="14">
        <f>25.6176 * CHOOSE(CONTROL!$C$15, $E$9, 100%, $G$9) + CHOOSE(CONTROL!$C$38, 0.0369, 0)</f>
        <v>25.654499999999999</v>
      </c>
      <c r="I282" s="14">
        <f>25.6191 * CHOOSE(CONTROL!$C$15, $E$9, 100%, $G$9) + CHOOSE(CONTROL!$C$38, 0.0369, 0)</f>
        <v>25.655999999999999</v>
      </c>
      <c r="J282" s="44">
        <f>203.3338</f>
        <v>203.3338</v>
      </c>
    </row>
    <row r="283" spans="1:10" ht="15" x14ac:dyDescent="0.2">
      <c r="A283" s="34">
        <v>49522</v>
      </c>
      <c r="B283" s="14">
        <f>27.401 * CHOOSE(CONTROL!$C$15, $E$9, 100%, $G$9) + CHOOSE(CONTROL!$C$38, 0.0278, 0)</f>
        <v>27.428799999999999</v>
      </c>
      <c r="C283" s="14">
        <f>25.7781 * CHOOSE(CONTROL!$C$15, $E$9, 100%, $G$9) + CHOOSE(CONTROL!$C$38, 0.0369, 0)</f>
        <v>25.814999999999998</v>
      </c>
      <c r="D283" s="14">
        <f>25.7703 * CHOOSE(CONTROL!$C$15, $E$9, 100%, $G$9) + CHOOSE(CONTROL!$C$38, 0.0369, 0)</f>
        <v>25.807199999999998</v>
      </c>
      <c r="E283" s="46">
        <f>27.2448 * CHOOSE(CONTROL!$C$15, $E$9, 100%, $G$9) + CHOOSE(CONTROL!$C$38, 0.0369, 0)</f>
        <v>27.281700000000001</v>
      </c>
      <c r="F283" s="45">
        <f>27.2448 * CHOOSE(CONTROL!$C$15, $E$9, 100%, $G$9) + CHOOSE(CONTROL!$C$38, 0.0278, 0)</f>
        <v>27.272600000000001</v>
      </c>
      <c r="G283" s="14">
        <f>25.7765 * CHOOSE(CONTROL!$C$15, $E$9, 100%, $G$9) + CHOOSE(CONTROL!$C$38, 0.0369, 0)</f>
        <v>25.813399999999998</v>
      </c>
      <c r="H283" s="14">
        <f>25.7765 * CHOOSE(CONTROL!$C$15, $E$9, 100%, $G$9) + CHOOSE(CONTROL!$C$38, 0.0369, 0)</f>
        <v>25.813399999999998</v>
      </c>
      <c r="I283" s="14">
        <f>25.7781 * CHOOSE(CONTROL!$C$15, $E$9, 100%, $G$9) + CHOOSE(CONTROL!$C$38, 0.0369, 0)</f>
        <v>25.814999999999998</v>
      </c>
      <c r="J283" s="44">
        <f>198.6003</f>
        <v>198.6003</v>
      </c>
    </row>
    <row r="284" spans="1:10" ht="15" x14ac:dyDescent="0.2">
      <c r="A284" s="34">
        <v>49553</v>
      </c>
      <c r="B284" s="14">
        <f>27.8327 * CHOOSE(CONTROL!$C$15, $E$9, 100%, $G$9) + CHOOSE(CONTROL!$C$38, 0.0278, 0)</f>
        <v>27.860499999999998</v>
      </c>
      <c r="C284" s="14">
        <f>26.2098 * CHOOSE(CONTROL!$C$15, $E$9, 100%, $G$9) + CHOOSE(CONTROL!$C$38, 0.0369, 0)</f>
        <v>26.246700000000001</v>
      </c>
      <c r="D284" s="14">
        <f>26.202 * CHOOSE(CONTROL!$C$15, $E$9, 100%, $G$9) + CHOOSE(CONTROL!$C$38, 0.0369, 0)</f>
        <v>26.238900000000001</v>
      </c>
      <c r="E284" s="46">
        <f>27.6765 * CHOOSE(CONTROL!$C$15, $E$9, 100%, $G$9) + CHOOSE(CONTROL!$C$38, 0.0369, 0)</f>
        <v>27.7134</v>
      </c>
      <c r="F284" s="45">
        <f>27.6765 * CHOOSE(CONTROL!$C$15, $E$9, 100%, $G$9) + CHOOSE(CONTROL!$C$38, 0.0278, 0)</f>
        <v>27.7043</v>
      </c>
      <c r="G284" s="14">
        <f>26.2082 * CHOOSE(CONTROL!$C$15, $E$9, 100%, $G$9) + CHOOSE(CONTROL!$C$38, 0.0369, 0)</f>
        <v>26.245100000000001</v>
      </c>
      <c r="H284" s="14">
        <f>26.2082 * CHOOSE(CONTROL!$C$15, $E$9, 100%, $G$9) + CHOOSE(CONTROL!$C$38, 0.0369, 0)</f>
        <v>26.245100000000001</v>
      </c>
      <c r="I284" s="14">
        <f>26.2098 * CHOOSE(CONTROL!$C$15, $E$9, 100%, $G$9) + CHOOSE(CONTROL!$C$38, 0.0369, 0)</f>
        <v>26.246700000000001</v>
      </c>
      <c r="J284" s="44">
        <f>191.9991</f>
        <v>191.9991</v>
      </c>
    </row>
    <row r="285" spans="1:10" ht="15" x14ac:dyDescent="0.2">
      <c r="A285" s="34">
        <v>49583</v>
      </c>
      <c r="B285" s="14">
        <f>28.1943 * CHOOSE(CONTROL!$C$15, $E$9, 100%, $G$9) + CHOOSE(CONTROL!$C$38, 0.0256, 0)</f>
        <v>28.219899999999999</v>
      </c>
      <c r="C285" s="14">
        <f>26.5714 * CHOOSE(CONTROL!$C$15, $E$9, 100%, $G$9) + CHOOSE(CONTROL!$C$38, 0.0347, 0)</f>
        <v>26.606100000000001</v>
      </c>
      <c r="D285" s="14">
        <f>26.5635 * CHOOSE(CONTROL!$C$15, $E$9, 100%, $G$9) + CHOOSE(CONTROL!$C$38, 0.0347, 0)</f>
        <v>26.598200000000002</v>
      </c>
      <c r="E285" s="46">
        <f>28.038 * CHOOSE(CONTROL!$C$15, $E$9, 100%, $G$9) + CHOOSE(CONTROL!$C$38, 0.0347, 0)</f>
        <v>28.072700000000001</v>
      </c>
      <c r="F285" s="45">
        <f>28.038 * CHOOSE(CONTROL!$C$15, $E$9, 100%, $G$9) + CHOOSE(CONTROL!$C$38, 0.0256, 0)</f>
        <v>28.063600000000001</v>
      </c>
      <c r="G285" s="14">
        <f>26.5698 * CHOOSE(CONTROL!$C$15, $E$9, 100%, $G$9) + CHOOSE(CONTROL!$C$38, 0.0347, 0)</f>
        <v>26.604500000000002</v>
      </c>
      <c r="H285" s="14">
        <f>26.5698 * CHOOSE(CONTROL!$C$15, $E$9, 100%, $G$9) + CHOOSE(CONTROL!$C$38, 0.0347, 0)</f>
        <v>26.604500000000002</v>
      </c>
      <c r="I285" s="14">
        <f>26.5714 * CHOOSE(CONTROL!$C$15, $E$9, 100%, $G$9) + CHOOSE(CONTROL!$C$38, 0.0347, 0)</f>
        <v>26.606100000000001</v>
      </c>
      <c r="J285" s="44">
        <f>185.3596</f>
        <v>185.3596</v>
      </c>
    </row>
    <row r="286" spans="1:10" ht="15" x14ac:dyDescent="0.2">
      <c r="A286" s="34">
        <v>49614</v>
      </c>
      <c r="B286" s="14">
        <f>28.496 * CHOOSE(CONTROL!$C$15, $E$9, 100%, $G$9) + CHOOSE(CONTROL!$C$38, 0.0256, 0)</f>
        <v>28.521599999999999</v>
      </c>
      <c r="C286" s="14">
        <f>26.8731 * CHOOSE(CONTROL!$C$15, $E$9, 100%, $G$9) + CHOOSE(CONTROL!$C$38, 0.0347, 0)</f>
        <v>26.907800000000002</v>
      </c>
      <c r="D286" s="14">
        <f>26.8652 * CHOOSE(CONTROL!$C$15, $E$9, 100%, $G$9) + CHOOSE(CONTROL!$C$38, 0.0347, 0)</f>
        <v>26.899900000000002</v>
      </c>
      <c r="E286" s="46">
        <f>28.3397 * CHOOSE(CONTROL!$C$15, $E$9, 100%, $G$9) + CHOOSE(CONTROL!$C$38, 0.0347, 0)</f>
        <v>28.374400000000001</v>
      </c>
      <c r="F286" s="45">
        <f>28.3397 * CHOOSE(CONTROL!$C$15, $E$9, 100%, $G$9) + CHOOSE(CONTROL!$C$38, 0.0256, 0)</f>
        <v>28.365300000000001</v>
      </c>
      <c r="G286" s="14">
        <f>26.8715 * CHOOSE(CONTROL!$C$15, $E$9, 100%, $G$9) + CHOOSE(CONTROL!$C$38, 0.0347, 0)</f>
        <v>26.906200000000002</v>
      </c>
      <c r="H286" s="14">
        <f>26.8715 * CHOOSE(CONTROL!$C$15, $E$9, 100%, $G$9) + CHOOSE(CONTROL!$C$38, 0.0347, 0)</f>
        <v>26.906200000000002</v>
      </c>
      <c r="I286" s="14">
        <f>26.8731 * CHOOSE(CONTROL!$C$15, $E$9, 100%, $G$9) + CHOOSE(CONTROL!$C$38, 0.0347, 0)</f>
        <v>26.907800000000002</v>
      </c>
      <c r="J286" s="44">
        <f>184.0389</f>
        <v>184.03890000000001</v>
      </c>
    </row>
    <row r="287" spans="1:10" ht="15" x14ac:dyDescent="0.2">
      <c r="A287" s="34">
        <v>49644</v>
      </c>
      <c r="B287" s="14">
        <f>29.4256 * CHOOSE(CONTROL!$C$15, $E$9, 100%, $G$9) + CHOOSE(CONTROL!$C$38, 0.0256, 0)</f>
        <v>29.4512</v>
      </c>
      <c r="C287" s="14">
        <f>27.8027 * CHOOSE(CONTROL!$C$15, $E$9, 100%, $G$9) + CHOOSE(CONTROL!$C$38, 0.0347, 0)</f>
        <v>27.837400000000002</v>
      </c>
      <c r="D287" s="14">
        <f>27.7949 * CHOOSE(CONTROL!$C$15, $E$9, 100%, $G$9) + CHOOSE(CONTROL!$C$38, 0.0347, 0)</f>
        <v>27.829599999999999</v>
      </c>
      <c r="E287" s="46">
        <f>29.2694 * CHOOSE(CONTROL!$C$15, $E$9, 100%, $G$9) + CHOOSE(CONTROL!$C$38, 0.0347, 0)</f>
        <v>29.304100000000002</v>
      </c>
      <c r="F287" s="45">
        <f>29.2694 * CHOOSE(CONTROL!$C$15, $E$9, 100%, $G$9) + CHOOSE(CONTROL!$C$38, 0.0256, 0)</f>
        <v>29.295000000000002</v>
      </c>
      <c r="G287" s="14">
        <f>27.8012 * CHOOSE(CONTROL!$C$15, $E$9, 100%, $G$9) + CHOOSE(CONTROL!$C$38, 0.0347, 0)</f>
        <v>27.835900000000002</v>
      </c>
      <c r="H287" s="14">
        <f>27.8012 * CHOOSE(CONTROL!$C$15, $E$9, 100%, $G$9) + CHOOSE(CONTROL!$C$38, 0.0347, 0)</f>
        <v>27.835900000000002</v>
      </c>
      <c r="I287" s="14">
        <f>27.8027 * CHOOSE(CONTROL!$C$15, $E$9, 100%, $G$9) + CHOOSE(CONTROL!$C$38, 0.0347, 0)</f>
        <v>27.837400000000002</v>
      </c>
      <c r="J287" s="44">
        <f>178.5775</f>
        <v>178.57749999999999</v>
      </c>
    </row>
    <row r="288" spans="1:10" ht="15" x14ac:dyDescent="0.2">
      <c r="A288" s="34">
        <v>49675</v>
      </c>
      <c r="B288" s="14">
        <f>30.6291 * CHOOSE(CONTROL!$C$15, $E$9, 100%, $G$9) + CHOOSE(CONTROL!$C$38, 0.0256, 0)</f>
        <v>30.654700000000002</v>
      </c>
      <c r="C288" s="14">
        <f>28.9815 * CHOOSE(CONTROL!$C$15, $E$9, 100%, $G$9) + CHOOSE(CONTROL!$C$38, 0.0347, 0)</f>
        <v>29.016200000000001</v>
      </c>
      <c r="D288" s="14">
        <f>28.9737 * CHOOSE(CONTROL!$C$15, $E$9, 100%, $G$9) + CHOOSE(CONTROL!$C$38, 0.0347, 0)</f>
        <v>29.008400000000002</v>
      </c>
      <c r="E288" s="46">
        <f>30.4728 * CHOOSE(CONTROL!$C$15, $E$9, 100%, $G$9) + CHOOSE(CONTROL!$C$38, 0.0347, 0)</f>
        <v>30.5075</v>
      </c>
      <c r="F288" s="45">
        <f>30.4728 * CHOOSE(CONTROL!$C$15, $E$9, 100%, $G$9) + CHOOSE(CONTROL!$C$38, 0.0256, 0)</f>
        <v>30.4984</v>
      </c>
      <c r="G288" s="14">
        <f>28.98 * CHOOSE(CONTROL!$C$15, $E$9, 100%, $G$9) + CHOOSE(CONTROL!$C$38, 0.0347, 0)</f>
        <v>29.014700000000001</v>
      </c>
      <c r="H288" s="14">
        <f>28.98 * CHOOSE(CONTROL!$C$15, $E$9, 100%, $G$9) + CHOOSE(CONTROL!$C$38, 0.0347, 0)</f>
        <v>29.014700000000001</v>
      </c>
      <c r="I288" s="14">
        <f>28.9815 * CHOOSE(CONTROL!$C$15, $E$9, 100%, $G$9) + CHOOSE(CONTROL!$C$38, 0.0347, 0)</f>
        <v>29.016200000000001</v>
      </c>
      <c r="J288" s="44">
        <f>178.3472</f>
        <v>178.34719999999999</v>
      </c>
    </row>
    <row r="289" spans="1:10" ht="15" x14ac:dyDescent="0.2">
      <c r="A289" s="34">
        <v>49706</v>
      </c>
      <c r="B289" s="14">
        <f>30.9734 * CHOOSE(CONTROL!$C$15, $E$9, 100%, $G$9) + CHOOSE(CONTROL!$C$38, 0.0256, 0)</f>
        <v>30.999000000000002</v>
      </c>
      <c r="C289" s="14">
        <f>29.3258 * CHOOSE(CONTROL!$C$15, $E$9, 100%, $G$9) + CHOOSE(CONTROL!$C$38, 0.0347, 0)</f>
        <v>29.360500000000002</v>
      </c>
      <c r="D289" s="14">
        <f>29.318 * CHOOSE(CONTROL!$C$15, $E$9, 100%, $G$9) + CHOOSE(CONTROL!$C$38, 0.0347, 0)</f>
        <v>29.352700000000002</v>
      </c>
      <c r="E289" s="46">
        <f>30.8172 * CHOOSE(CONTROL!$C$15, $E$9, 100%, $G$9) + CHOOSE(CONTROL!$C$38, 0.0347, 0)</f>
        <v>30.851900000000001</v>
      </c>
      <c r="F289" s="45">
        <f>30.8172 * CHOOSE(CONTROL!$C$15, $E$9, 100%, $G$9) + CHOOSE(CONTROL!$C$38, 0.0256, 0)</f>
        <v>30.8428</v>
      </c>
      <c r="G289" s="14">
        <f>29.3243 * CHOOSE(CONTROL!$C$15, $E$9, 100%, $G$9) + CHOOSE(CONTROL!$C$38, 0.0347, 0)</f>
        <v>29.359000000000002</v>
      </c>
      <c r="H289" s="14">
        <f>29.3243 * CHOOSE(CONTROL!$C$15, $E$9, 100%, $G$9) + CHOOSE(CONTROL!$C$38, 0.0347, 0)</f>
        <v>29.359000000000002</v>
      </c>
      <c r="I289" s="14">
        <f>29.3258 * CHOOSE(CONTROL!$C$15, $E$9, 100%, $G$9) + CHOOSE(CONTROL!$C$38, 0.0347, 0)</f>
        <v>29.360500000000002</v>
      </c>
      <c r="J289" s="44">
        <f>177.8515</f>
        <v>177.85149999999999</v>
      </c>
    </row>
    <row r="290" spans="1:10" ht="15" x14ac:dyDescent="0.2">
      <c r="A290" s="34">
        <v>49735</v>
      </c>
      <c r="B290" s="14">
        <f>30.1764 * CHOOSE(CONTROL!$C$15, $E$9, 100%, $G$9) + CHOOSE(CONTROL!$C$38, 0.0256, 0)</f>
        <v>30.202000000000002</v>
      </c>
      <c r="C290" s="14">
        <f>28.5288 * CHOOSE(CONTROL!$C$15, $E$9, 100%, $G$9) + CHOOSE(CONTROL!$C$38, 0.0347, 0)</f>
        <v>28.563500000000001</v>
      </c>
      <c r="D290" s="14">
        <f>28.521 * CHOOSE(CONTROL!$C$15, $E$9, 100%, $G$9) + CHOOSE(CONTROL!$C$38, 0.0347, 0)</f>
        <v>28.555700000000002</v>
      </c>
      <c r="E290" s="46">
        <f>30.0201 * CHOOSE(CONTROL!$C$15, $E$9, 100%, $G$9) + CHOOSE(CONTROL!$C$38, 0.0347, 0)</f>
        <v>30.0548</v>
      </c>
      <c r="F290" s="45">
        <f>30.0201 * CHOOSE(CONTROL!$C$15, $E$9, 100%, $G$9) + CHOOSE(CONTROL!$C$38, 0.0256, 0)</f>
        <v>30.0457</v>
      </c>
      <c r="G290" s="14">
        <f>28.5272 * CHOOSE(CONTROL!$C$15, $E$9, 100%, $G$9) + CHOOSE(CONTROL!$C$38, 0.0347, 0)</f>
        <v>28.561900000000001</v>
      </c>
      <c r="H290" s="14">
        <f>28.5272 * CHOOSE(CONTROL!$C$15, $E$9, 100%, $G$9) + CHOOSE(CONTROL!$C$38, 0.0347, 0)</f>
        <v>28.561900000000001</v>
      </c>
      <c r="I290" s="14">
        <f>28.5288 * CHOOSE(CONTROL!$C$15, $E$9, 100%, $G$9) + CHOOSE(CONTROL!$C$38, 0.0347, 0)</f>
        <v>28.563500000000001</v>
      </c>
      <c r="J290" s="44">
        <f>187.2253</f>
        <v>187.2253</v>
      </c>
    </row>
    <row r="291" spans="1:10" ht="15" x14ac:dyDescent="0.2">
      <c r="A291" s="34">
        <v>49766</v>
      </c>
      <c r="B291" s="14">
        <f>29.4041 * CHOOSE(CONTROL!$C$15, $E$9, 100%, $G$9) + CHOOSE(CONTROL!$C$38, 0.0256, 0)</f>
        <v>29.4297</v>
      </c>
      <c r="C291" s="14">
        <f>27.7565 * CHOOSE(CONTROL!$C$15, $E$9, 100%, $G$9) + CHOOSE(CONTROL!$C$38, 0.0347, 0)</f>
        <v>27.7912</v>
      </c>
      <c r="D291" s="14">
        <f>27.7487 * CHOOSE(CONTROL!$C$15, $E$9, 100%, $G$9) + CHOOSE(CONTROL!$C$38, 0.0347, 0)</f>
        <v>27.7834</v>
      </c>
      <c r="E291" s="46">
        <f>29.2478 * CHOOSE(CONTROL!$C$15, $E$9, 100%, $G$9) + CHOOSE(CONTROL!$C$38, 0.0347, 0)</f>
        <v>29.282500000000002</v>
      </c>
      <c r="F291" s="45">
        <f>29.2478 * CHOOSE(CONTROL!$C$15, $E$9, 100%, $G$9) + CHOOSE(CONTROL!$C$38, 0.0256, 0)</f>
        <v>29.273400000000002</v>
      </c>
      <c r="G291" s="14">
        <f>27.7549 * CHOOSE(CONTROL!$C$15, $E$9, 100%, $G$9) + CHOOSE(CONTROL!$C$38, 0.0347, 0)</f>
        <v>27.7896</v>
      </c>
      <c r="H291" s="14">
        <f>27.7549 * CHOOSE(CONTROL!$C$15, $E$9, 100%, $G$9) + CHOOSE(CONTROL!$C$38, 0.0347, 0)</f>
        <v>27.7896</v>
      </c>
      <c r="I291" s="14">
        <f>27.7565 * CHOOSE(CONTROL!$C$15, $E$9, 100%, $G$9) + CHOOSE(CONTROL!$C$38, 0.0347, 0)</f>
        <v>27.7912</v>
      </c>
      <c r="J291" s="44">
        <f>199.3809</f>
        <v>199.3809</v>
      </c>
    </row>
    <row r="292" spans="1:10" ht="15" x14ac:dyDescent="0.2">
      <c r="A292" s="34">
        <v>49796</v>
      </c>
      <c r="B292" s="14">
        <f>28.5991 * CHOOSE(CONTROL!$C$15, $E$9, 100%, $G$9) + CHOOSE(CONTROL!$C$38, 0.0278, 0)</f>
        <v>28.626899999999999</v>
      </c>
      <c r="C292" s="14">
        <f>26.9515 * CHOOSE(CONTROL!$C$15, $E$9, 100%, $G$9) + CHOOSE(CONTROL!$C$38, 0.0369, 0)</f>
        <v>26.988399999999999</v>
      </c>
      <c r="D292" s="14">
        <f>26.9437 * CHOOSE(CONTROL!$C$15, $E$9, 100%, $G$9) + CHOOSE(CONTROL!$C$38, 0.0369, 0)</f>
        <v>26.980599999999999</v>
      </c>
      <c r="E292" s="46">
        <f>28.4428 * CHOOSE(CONTROL!$C$15, $E$9, 100%, $G$9) + CHOOSE(CONTROL!$C$38, 0.0369, 0)</f>
        <v>28.479699999999998</v>
      </c>
      <c r="F292" s="45">
        <f>28.4428 * CHOOSE(CONTROL!$C$15, $E$9, 100%, $G$9) + CHOOSE(CONTROL!$C$38, 0.0278, 0)</f>
        <v>28.470599999999997</v>
      </c>
      <c r="G292" s="14">
        <f>26.95 * CHOOSE(CONTROL!$C$15, $E$9, 100%, $G$9) + CHOOSE(CONTROL!$C$38, 0.0369, 0)</f>
        <v>26.986899999999999</v>
      </c>
      <c r="H292" s="14">
        <f>26.95 * CHOOSE(CONTROL!$C$15, $E$9, 100%, $G$9) + CHOOSE(CONTROL!$C$38, 0.0369, 0)</f>
        <v>26.986899999999999</v>
      </c>
      <c r="I292" s="14">
        <f>26.9515 * CHOOSE(CONTROL!$C$15, $E$9, 100%, $G$9) + CHOOSE(CONTROL!$C$38, 0.0369, 0)</f>
        <v>26.988399999999999</v>
      </c>
      <c r="J292" s="44">
        <f>206.0717</f>
        <v>206.07169999999999</v>
      </c>
    </row>
    <row r="293" spans="1:10" ht="15" x14ac:dyDescent="0.2">
      <c r="A293" s="34">
        <v>49827</v>
      </c>
      <c r="B293" s="14">
        <f>28.0348 * CHOOSE(CONTROL!$C$15, $E$9, 100%, $G$9) + CHOOSE(CONTROL!$C$38, 0.0278, 0)</f>
        <v>28.0626</v>
      </c>
      <c r="C293" s="14">
        <f>26.3872 * CHOOSE(CONTROL!$C$15, $E$9, 100%, $G$9) + CHOOSE(CONTROL!$C$38, 0.0369, 0)</f>
        <v>26.424099999999999</v>
      </c>
      <c r="D293" s="14">
        <f>26.3794 * CHOOSE(CONTROL!$C$15, $E$9, 100%, $G$9) + CHOOSE(CONTROL!$C$38, 0.0369, 0)</f>
        <v>26.4163</v>
      </c>
      <c r="E293" s="46">
        <f>27.8785 * CHOOSE(CONTROL!$C$15, $E$9, 100%, $G$9) + CHOOSE(CONTROL!$C$38, 0.0369, 0)</f>
        <v>27.915399999999998</v>
      </c>
      <c r="F293" s="45">
        <f>27.8785 * CHOOSE(CONTROL!$C$15, $E$9, 100%, $G$9) + CHOOSE(CONTROL!$C$38, 0.0278, 0)</f>
        <v>27.906299999999998</v>
      </c>
      <c r="G293" s="14">
        <f>26.3856 * CHOOSE(CONTROL!$C$15, $E$9, 100%, $G$9) + CHOOSE(CONTROL!$C$38, 0.0369, 0)</f>
        <v>26.422499999999999</v>
      </c>
      <c r="H293" s="14">
        <f>26.3856 * CHOOSE(CONTROL!$C$15, $E$9, 100%, $G$9) + CHOOSE(CONTROL!$C$38, 0.0369, 0)</f>
        <v>26.422499999999999</v>
      </c>
      <c r="I293" s="14">
        <f>26.3872 * CHOOSE(CONTROL!$C$15, $E$9, 100%, $G$9) + CHOOSE(CONTROL!$C$38, 0.0369, 0)</f>
        <v>26.424099999999999</v>
      </c>
      <c r="J293" s="44">
        <f>209.041</f>
        <v>209.041</v>
      </c>
    </row>
    <row r="294" spans="1:10" ht="15" x14ac:dyDescent="0.2">
      <c r="A294" s="34">
        <v>49857</v>
      </c>
      <c r="B294" s="14">
        <f>27.7127 * CHOOSE(CONTROL!$C$15, $E$9, 100%, $G$9) + CHOOSE(CONTROL!$C$38, 0.0278, 0)</f>
        <v>27.740500000000001</v>
      </c>
      <c r="C294" s="14">
        <f>26.0651 * CHOOSE(CONTROL!$C$15, $E$9, 100%, $G$9) + CHOOSE(CONTROL!$C$38, 0.0369, 0)</f>
        <v>26.102</v>
      </c>
      <c r="D294" s="14">
        <f>26.0573 * CHOOSE(CONTROL!$C$15, $E$9, 100%, $G$9) + CHOOSE(CONTROL!$C$38, 0.0369, 0)</f>
        <v>26.094200000000001</v>
      </c>
      <c r="E294" s="46">
        <f>27.5565 * CHOOSE(CONTROL!$C$15, $E$9, 100%, $G$9) + CHOOSE(CONTROL!$C$38, 0.0369, 0)</f>
        <v>27.593399999999999</v>
      </c>
      <c r="F294" s="45">
        <f>27.5565 * CHOOSE(CONTROL!$C$15, $E$9, 100%, $G$9) + CHOOSE(CONTROL!$C$38, 0.0278, 0)</f>
        <v>27.584299999999999</v>
      </c>
      <c r="G294" s="14">
        <f>26.0636 * CHOOSE(CONTROL!$C$15, $E$9, 100%, $G$9) + CHOOSE(CONTROL!$C$38, 0.0369, 0)</f>
        <v>26.1005</v>
      </c>
      <c r="H294" s="14">
        <f>26.0636 * CHOOSE(CONTROL!$C$15, $E$9, 100%, $G$9) + CHOOSE(CONTROL!$C$38, 0.0369, 0)</f>
        <v>26.1005</v>
      </c>
      <c r="I294" s="14">
        <f>26.0651 * CHOOSE(CONTROL!$C$15, $E$9, 100%, $G$9) + CHOOSE(CONTROL!$C$38, 0.0369, 0)</f>
        <v>26.102</v>
      </c>
      <c r="J294" s="44">
        <f>208.0634</f>
        <v>208.0634</v>
      </c>
    </row>
    <row r="295" spans="1:10" ht="15" x14ac:dyDescent="0.2">
      <c r="A295" s="34">
        <v>49888</v>
      </c>
      <c r="B295" s="14">
        <f>27.8716 * CHOOSE(CONTROL!$C$15, $E$9, 100%, $G$9) + CHOOSE(CONTROL!$C$38, 0.0278, 0)</f>
        <v>27.8994</v>
      </c>
      <c r="C295" s="14">
        <f>26.2241 * CHOOSE(CONTROL!$C$15, $E$9, 100%, $G$9) + CHOOSE(CONTROL!$C$38, 0.0369, 0)</f>
        <v>26.260999999999999</v>
      </c>
      <c r="D295" s="14">
        <f>26.2163 * CHOOSE(CONTROL!$C$15, $E$9, 100%, $G$9) + CHOOSE(CONTROL!$C$38, 0.0369, 0)</f>
        <v>26.2532</v>
      </c>
      <c r="E295" s="46">
        <f>27.7154 * CHOOSE(CONTROL!$C$15, $E$9, 100%, $G$9) + CHOOSE(CONTROL!$C$38, 0.0369, 0)</f>
        <v>27.752299999999998</v>
      </c>
      <c r="F295" s="45">
        <f>27.7154 * CHOOSE(CONTROL!$C$15, $E$9, 100%, $G$9) + CHOOSE(CONTROL!$C$38, 0.0278, 0)</f>
        <v>27.743199999999998</v>
      </c>
      <c r="G295" s="14">
        <f>26.2225 * CHOOSE(CONTROL!$C$15, $E$9, 100%, $G$9) + CHOOSE(CONTROL!$C$38, 0.0369, 0)</f>
        <v>26.259399999999999</v>
      </c>
      <c r="H295" s="14">
        <f>26.2225 * CHOOSE(CONTROL!$C$15, $E$9, 100%, $G$9) + CHOOSE(CONTROL!$C$38, 0.0369, 0)</f>
        <v>26.259399999999999</v>
      </c>
      <c r="I295" s="14">
        <f>26.2241 * CHOOSE(CONTROL!$C$15, $E$9, 100%, $G$9) + CHOOSE(CONTROL!$C$38, 0.0369, 0)</f>
        <v>26.260999999999999</v>
      </c>
      <c r="J295" s="44">
        <f>203.2197</f>
        <v>203.21969999999999</v>
      </c>
    </row>
    <row r="296" spans="1:10" ht="15" x14ac:dyDescent="0.2">
      <c r="A296" s="34">
        <v>49919</v>
      </c>
      <c r="B296" s="14">
        <f>28.3034 * CHOOSE(CONTROL!$C$15, $E$9, 100%, $G$9) + CHOOSE(CONTROL!$C$38, 0.0278, 0)</f>
        <v>28.331199999999999</v>
      </c>
      <c r="C296" s="14">
        <f>26.6558 * CHOOSE(CONTROL!$C$15, $E$9, 100%, $G$9) + CHOOSE(CONTROL!$C$38, 0.0369, 0)</f>
        <v>26.692699999999999</v>
      </c>
      <c r="D296" s="14">
        <f>26.648 * CHOOSE(CONTROL!$C$15, $E$9, 100%, $G$9) + CHOOSE(CONTROL!$C$38, 0.0369, 0)</f>
        <v>26.684899999999999</v>
      </c>
      <c r="E296" s="46">
        <f>28.1471 * CHOOSE(CONTROL!$C$15, $E$9, 100%, $G$9) + CHOOSE(CONTROL!$C$38, 0.0369, 0)</f>
        <v>28.183999999999997</v>
      </c>
      <c r="F296" s="45">
        <f>28.1471 * CHOOSE(CONTROL!$C$15, $E$9, 100%, $G$9) + CHOOSE(CONTROL!$C$38, 0.0278, 0)</f>
        <v>28.174899999999997</v>
      </c>
      <c r="G296" s="14">
        <f>26.6542 * CHOOSE(CONTROL!$C$15, $E$9, 100%, $G$9) + CHOOSE(CONTROL!$C$38, 0.0369, 0)</f>
        <v>26.691099999999999</v>
      </c>
      <c r="H296" s="14">
        <f>26.6542 * CHOOSE(CONTROL!$C$15, $E$9, 100%, $G$9) + CHOOSE(CONTROL!$C$38, 0.0369, 0)</f>
        <v>26.691099999999999</v>
      </c>
      <c r="I296" s="14">
        <f>26.6558 * CHOOSE(CONTROL!$C$15, $E$9, 100%, $G$9) + CHOOSE(CONTROL!$C$38, 0.0369, 0)</f>
        <v>26.692699999999999</v>
      </c>
      <c r="J296" s="44">
        <f>196.465</f>
        <v>196.465</v>
      </c>
    </row>
    <row r="297" spans="1:10" ht="15" x14ac:dyDescent="0.2">
      <c r="A297" s="34">
        <v>49949</v>
      </c>
      <c r="B297" s="14">
        <f>28.6649 * CHOOSE(CONTROL!$C$15, $E$9, 100%, $G$9) + CHOOSE(CONTROL!$C$38, 0.0256, 0)</f>
        <v>28.6905</v>
      </c>
      <c r="C297" s="14">
        <f>27.0174 * CHOOSE(CONTROL!$C$15, $E$9, 100%, $G$9) + CHOOSE(CONTROL!$C$38, 0.0347, 0)</f>
        <v>27.052099999999999</v>
      </c>
      <c r="D297" s="14">
        <f>27.0095 * CHOOSE(CONTROL!$C$15, $E$9, 100%, $G$9) + CHOOSE(CONTROL!$C$38, 0.0347, 0)</f>
        <v>27.0442</v>
      </c>
      <c r="E297" s="46">
        <f>28.5087 * CHOOSE(CONTROL!$C$15, $E$9, 100%, $G$9) + CHOOSE(CONTROL!$C$38, 0.0347, 0)</f>
        <v>28.543400000000002</v>
      </c>
      <c r="F297" s="45">
        <f>28.5087 * CHOOSE(CONTROL!$C$15, $E$9, 100%, $G$9) + CHOOSE(CONTROL!$C$38, 0.0256, 0)</f>
        <v>28.534300000000002</v>
      </c>
      <c r="G297" s="14">
        <f>27.0158 * CHOOSE(CONTROL!$C$15, $E$9, 100%, $G$9) + CHOOSE(CONTROL!$C$38, 0.0347, 0)</f>
        <v>27.0505</v>
      </c>
      <c r="H297" s="14">
        <f>27.0158 * CHOOSE(CONTROL!$C$15, $E$9, 100%, $G$9) + CHOOSE(CONTROL!$C$38, 0.0347, 0)</f>
        <v>27.0505</v>
      </c>
      <c r="I297" s="14">
        <f>27.0174 * CHOOSE(CONTROL!$C$15, $E$9, 100%, $G$9) + CHOOSE(CONTROL!$C$38, 0.0347, 0)</f>
        <v>27.052099999999999</v>
      </c>
      <c r="J297" s="44">
        <f>189.6711</f>
        <v>189.6711</v>
      </c>
    </row>
    <row r="298" spans="1:10" ht="15" x14ac:dyDescent="0.2">
      <c r="A298" s="34">
        <v>49980</v>
      </c>
      <c r="B298" s="14">
        <f>28.9666 * CHOOSE(CONTROL!$C$15, $E$9, 100%, $G$9) + CHOOSE(CONTROL!$C$38, 0.0256, 0)</f>
        <v>28.9922</v>
      </c>
      <c r="C298" s="14">
        <f>27.3191 * CHOOSE(CONTROL!$C$15, $E$9, 100%, $G$9) + CHOOSE(CONTROL!$C$38, 0.0347, 0)</f>
        <v>27.3538</v>
      </c>
      <c r="D298" s="14">
        <f>27.3112 * CHOOSE(CONTROL!$C$15, $E$9, 100%, $G$9) + CHOOSE(CONTROL!$C$38, 0.0347, 0)</f>
        <v>27.3459</v>
      </c>
      <c r="E298" s="46">
        <f>28.8104 * CHOOSE(CONTROL!$C$15, $E$9, 100%, $G$9) + CHOOSE(CONTROL!$C$38, 0.0347, 0)</f>
        <v>28.845100000000002</v>
      </c>
      <c r="F298" s="45">
        <f>28.8104 * CHOOSE(CONTROL!$C$15, $E$9, 100%, $G$9) + CHOOSE(CONTROL!$C$38, 0.0256, 0)</f>
        <v>28.836000000000002</v>
      </c>
      <c r="G298" s="14">
        <f>27.3175 * CHOOSE(CONTROL!$C$15, $E$9, 100%, $G$9) + CHOOSE(CONTROL!$C$38, 0.0347, 0)</f>
        <v>27.3522</v>
      </c>
      <c r="H298" s="14">
        <f>27.3175 * CHOOSE(CONTROL!$C$15, $E$9, 100%, $G$9) + CHOOSE(CONTROL!$C$38, 0.0347, 0)</f>
        <v>27.3522</v>
      </c>
      <c r="I298" s="14">
        <f>27.3191 * CHOOSE(CONTROL!$C$15, $E$9, 100%, $G$9) + CHOOSE(CONTROL!$C$38, 0.0347, 0)</f>
        <v>27.3538</v>
      </c>
      <c r="J298" s="44">
        <f>188.3196</f>
        <v>188.31960000000001</v>
      </c>
    </row>
    <row r="299" spans="1:10" ht="15" x14ac:dyDescent="0.2">
      <c r="A299" s="34">
        <v>50010</v>
      </c>
      <c r="B299" s="14">
        <f>29.8963 * CHOOSE(CONTROL!$C$15, $E$9, 100%, $G$9) + CHOOSE(CONTROL!$C$38, 0.0256, 0)</f>
        <v>29.921900000000001</v>
      </c>
      <c r="C299" s="14">
        <f>28.2487 * CHOOSE(CONTROL!$C$15, $E$9, 100%, $G$9) + CHOOSE(CONTROL!$C$38, 0.0347, 0)</f>
        <v>28.2834</v>
      </c>
      <c r="D299" s="14">
        <f>28.2409 * CHOOSE(CONTROL!$C$15, $E$9, 100%, $G$9) + CHOOSE(CONTROL!$C$38, 0.0347, 0)</f>
        <v>28.275600000000001</v>
      </c>
      <c r="E299" s="46">
        <f>29.74 * CHOOSE(CONTROL!$C$15, $E$9, 100%, $G$9) + CHOOSE(CONTROL!$C$38, 0.0347, 0)</f>
        <v>29.774699999999999</v>
      </c>
      <c r="F299" s="45">
        <f>29.74 * CHOOSE(CONTROL!$C$15, $E$9, 100%, $G$9) + CHOOSE(CONTROL!$C$38, 0.0256, 0)</f>
        <v>29.765599999999999</v>
      </c>
      <c r="G299" s="14">
        <f>28.2472 * CHOOSE(CONTROL!$C$15, $E$9, 100%, $G$9) + CHOOSE(CONTROL!$C$38, 0.0347, 0)</f>
        <v>28.2819</v>
      </c>
      <c r="H299" s="14">
        <f>28.2472 * CHOOSE(CONTROL!$C$15, $E$9, 100%, $G$9) + CHOOSE(CONTROL!$C$38, 0.0347, 0)</f>
        <v>28.2819</v>
      </c>
      <c r="I299" s="14">
        <f>28.2487 * CHOOSE(CONTROL!$C$15, $E$9, 100%, $G$9) + CHOOSE(CONTROL!$C$38, 0.0347, 0)</f>
        <v>28.2834</v>
      </c>
      <c r="J299" s="44">
        <f>182.7312</f>
        <v>182.7312</v>
      </c>
    </row>
    <row r="300" spans="1:10" ht="15" x14ac:dyDescent="0.2">
      <c r="A300" s="34">
        <v>50041</v>
      </c>
      <c r="B300" s="14">
        <f>31.1076 * CHOOSE(CONTROL!$C$15, $E$9, 100%, $G$9) + CHOOSE(CONTROL!$C$38, 0.0256, 0)</f>
        <v>31.133200000000002</v>
      </c>
      <c r="C300" s="14">
        <f>29.435 * CHOOSE(CONTROL!$C$15, $E$9, 100%, $G$9) + CHOOSE(CONTROL!$C$38, 0.0347, 0)</f>
        <v>29.4697</v>
      </c>
      <c r="D300" s="14">
        <f>29.4272 * CHOOSE(CONTROL!$C$15, $E$9, 100%, $G$9) + CHOOSE(CONTROL!$C$38, 0.0347, 0)</f>
        <v>29.4619</v>
      </c>
      <c r="E300" s="46">
        <f>30.9514 * CHOOSE(CONTROL!$C$15, $E$9, 100%, $G$9) + CHOOSE(CONTROL!$C$38, 0.0347, 0)</f>
        <v>30.9861</v>
      </c>
      <c r="F300" s="45">
        <f>30.9514 * CHOOSE(CONTROL!$C$15, $E$9, 100%, $G$9) + CHOOSE(CONTROL!$C$38, 0.0256, 0)</f>
        <v>30.977</v>
      </c>
      <c r="G300" s="14">
        <f>29.4335 * CHOOSE(CONTROL!$C$15, $E$9, 100%, $G$9) + CHOOSE(CONTROL!$C$38, 0.0347, 0)</f>
        <v>29.4682</v>
      </c>
      <c r="H300" s="14">
        <f>29.4335 * CHOOSE(CONTROL!$C$15, $E$9, 100%, $G$9) + CHOOSE(CONTROL!$C$38, 0.0347, 0)</f>
        <v>29.4682</v>
      </c>
      <c r="I300" s="14">
        <f>29.435 * CHOOSE(CONTROL!$C$15, $E$9, 100%, $G$9) + CHOOSE(CONTROL!$C$38, 0.0347, 0)</f>
        <v>29.4697</v>
      </c>
      <c r="J300" s="44">
        <f>182.4956</f>
        <v>182.4956</v>
      </c>
    </row>
    <row r="301" spans="1:10" ht="15" x14ac:dyDescent="0.2">
      <c r="A301" s="34">
        <v>50072</v>
      </c>
      <c r="B301" s="14">
        <f>31.452 * CHOOSE(CONTROL!$C$15, $E$9, 100%, $G$9) + CHOOSE(CONTROL!$C$38, 0.0256, 0)</f>
        <v>31.477600000000002</v>
      </c>
      <c r="C301" s="14">
        <f>29.7793 * CHOOSE(CONTROL!$C$15, $E$9, 100%, $G$9) + CHOOSE(CONTROL!$C$38, 0.0347, 0)</f>
        <v>29.814</v>
      </c>
      <c r="D301" s="14">
        <f>29.7715 * CHOOSE(CONTROL!$C$15, $E$9, 100%, $G$9) + CHOOSE(CONTROL!$C$38, 0.0347, 0)</f>
        <v>29.8062</v>
      </c>
      <c r="E301" s="46">
        <f>31.2957 * CHOOSE(CONTROL!$C$15, $E$9, 100%, $G$9) + CHOOSE(CONTROL!$C$38, 0.0347, 0)</f>
        <v>31.330400000000001</v>
      </c>
      <c r="F301" s="45">
        <f>31.2957 * CHOOSE(CONTROL!$C$15, $E$9, 100%, $G$9) + CHOOSE(CONTROL!$C$38, 0.0256, 0)</f>
        <v>31.321300000000001</v>
      </c>
      <c r="G301" s="14">
        <f>29.7778 * CHOOSE(CONTROL!$C$15, $E$9, 100%, $G$9) + CHOOSE(CONTROL!$C$38, 0.0347, 0)</f>
        <v>29.8125</v>
      </c>
      <c r="H301" s="14">
        <f>29.7778 * CHOOSE(CONTROL!$C$15, $E$9, 100%, $G$9) + CHOOSE(CONTROL!$C$38, 0.0347, 0)</f>
        <v>29.8125</v>
      </c>
      <c r="I301" s="14">
        <f>29.7793 * CHOOSE(CONTROL!$C$15, $E$9, 100%, $G$9) + CHOOSE(CONTROL!$C$38, 0.0347, 0)</f>
        <v>29.814</v>
      </c>
      <c r="J301" s="44">
        <f>181.9883</f>
        <v>181.98830000000001</v>
      </c>
    </row>
    <row r="302" spans="1:10" ht="15" x14ac:dyDescent="0.2">
      <c r="A302" s="34">
        <v>50100</v>
      </c>
      <c r="B302" s="14">
        <f>30.6549 * CHOOSE(CONTROL!$C$15, $E$9, 100%, $G$9) + CHOOSE(CONTROL!$C$38, 0.0256, 0)</f>
        <v>30.680500000000002</v>
      </c>
      <c r="C302" s="14">
        <f>28.9823 * CHOOSE(CONTROL!$C$15, $E$9, 100%, $G$9) + CHOOSE(CONTROL!$C$38, 0.0347, 0)</f>
        <v>29.016999999999999</v>
      </c>
      <c r="D302" s="14">
        <f>28.9745 * CHOOSE(CONTROL!$C$15, $E$9, 100%, $G$9) + CHOOSE(CONTROL!$C$38, 0.0347, 0)</f>
        <v>29.0092</v>
      </c>
      <c r="E302" s="46">
        <f>30.4987 * CHOOSE(CONTROL!$C$15, $E$9, 100%, $G$9) + CHOOSE(CONTROL!$C$38, 0.0347, 0)</f>
        <v>30.5334</v>
      </c>
      <c r="F302" s="45">
        <f>30.4987 * CHOOSE(CONTROL!$C$15, $E$9, 100%, $G$9) + CHOOSE(CONTROL!$C$38, 0.0256, 0)</f>
        <v>30.5243</v>
      </c>
      <c r="G302" s="14">
        <f>28.9807 * CHOOSE(CONTROL!$C$15, $E$9, 100%, $G$9) + CHOOSE(CONTROL!$C$38, 0.0347, 0)</f>
        <v>29.0154</v>
      </c>
      <c r="H302" s="14">
        <f>28.9807 * CHOOSE(CONTROL!$C$15, $E$9, 100%, $G$9) + CHOOSE(CONTROL!$C$38, 0.0347, 0)</f>
        <v>29.0154</v>
      </c>
      <c r="I302" s="14">
        <f>28.9823 * CHOOSE(CONTROL!$C$15, $E$9, 100%, $G$9) + CHOOSE(CONTROL!$C$38, 0.0347, 0)</f>
        <v>29.016999999999999</v>
      </c>
      <c r="J302" s="44">
        <f>191.5802</f>
        <v>191.58019999999999</v>
      </c>
    </row>
    <row r="303" spans="1:10" ht="15" x14ac:dyDescent="0.2">
      <c r="A303" s="34">
        <v>50131</v>
      </c>
      <c r="B303" s="14">
        <f>29.8826 * CHOOSE(CONTROL!$C$15, $E$9, 100%, $G$9) + CHOOSE(CONTROL!$C$38, 0.0256, 0)</f>
        <v>29.908200000000001</v>
      </c>
      <c r="C303" s="14">
        <f>28.21 * CHOOSE(CONTROL!$C$15, $E$9, 100%, $G$9) + CHOOSE(CONTROL!$C$38, 0.0347, 0)</f>
        <v>28.244700000000002</v>
      </c>
      <c r="D303" s="14">
        <f>28.2022 * CHOOSE(CONTROL!$C$15, $E$9, 100%, $G$9) + CHOOSE(CONTROL!$C$38, 0.0347, 0)</f>
        <v>28.236900000000002</v>
      </c>
      <c r="E303" s="46">
        <f>29.7264 * CHOOSE(CONTROL!$C$15, $E$9, 100%, $G$9) + CHOOSE(CONTROL!$C$38, 0.0347, 0)</f>
        <v>29.761100000000003</v>
      </c>
      <c r="F303" s="45">
        <f>29.7264 * CHOOSE(CONTROL!$C$15, $E$9, 100%, $G$9) + CHOOSE(CONTROL!$C$38, 0.0256, 0)</f>
        <v>29.752000000000002</v>
      </c>
      <c r="G303" s="14">
        <f>28.2084 * CHOOSE(CONTROL!$C$15, $E$9, 100%, $G$9) + CHOOSE(CONTROL!$C$38, 0.0347, 0)</f>
        <v>28.243100000000002</v>
      </c>
      <c r="H303" s="14">
        <f>28.2084 * CHOOSE(CONTROL!$C$15, $E$9, 100%, $G$9) + CHOOSE(CONTROL!$C$38, 0.0347, 0)</f>
        <v>28.243100000000002</v>
      </c>
      <c r="I303" s="14">
        <f>28.21 * CHOOSE(CONTROL!$C$15, $E$9, 100%, $G$9) + CHOOSE(CONTROL!$C$38, 0.0347, 0)</f>
        <v>28.244700000000002</v>
      </c>
      <c r="J303" s="44">
        <f>204.0185</f>
        <v>204.01849999999999</v>
      </c>
    </row>
    <row r="304" spans="1:10" ht="15" x14ac:dyDescent="0.2">
      <c r="A304" s="34">
        <v>50161</v>
      </c>
      <c r="B304" s="14">
        <f>29.0776 * CHOOSE(CONTROL!$C$15, $E$9, 100%, $G$9) + CHOOSE(CONTROL!$C$38, 0.0278, 0)</f>
        <v>29.105399999999999</v>
      </c>
      <c r="C304" s="14">
        <f>27.405 * CHOOSE(CONTROL!$C$15, $E$9, 100%, $G$9) + CHOOSE(CONTROL!$C$38, 0.0369, 0)</f>
        <v>27.4419</v>
      </c>
      <c r="D304" s="14">
        <f>27.3972 * CHOOSE(CONTROL!$C$15, $E$9, 100%, $G$9) + CHOOSE(CONTROL!$C$38, 0.0369, 0)</f>
        <v>27.434100000000001</v>
      </c>
      <c r="E304" s="46">
        <f>28.9214 * CHOOSE(CONTROL!$C$15, $E$9, 100%, $G$9) + CHOOSE(CONTROL!$C$38, 0.0369, 0)</f>
        <v>28.958299999999998</v>
      </c>
      <c r="F304" s="45">
        <f>28.9214 * CHOOSE(CONTROL!$C$15, $E$9, 100%, $G$9) + CHOOSE(CONTROL!$C$38, 0.0278, 0)</f>
        <v>28.949199999999998</v>
      </c>
      <c r="G304" s="14">
        <f>27.4035 * CHOOSE(CONTROL!$C$15, $E$9, 100%, $G$9) + CHOOSE(CONTROL!$C$38, 0.0369, 0)</f>
        <v>27.4404</v>
      </c>
      <c r="H304" s="14">
        <f>27.4035 * CHOOSE(CONTROL!$C$15, $E$9, 100%, $G$9) + CHOOSE(CONTROL!$C$38, 0.0369, 0)</f>
        <v>27.4404</v>
      </c>
      <c r="I304" s="14">
        <f>27.405 * CHOOSE(CONTROL!$C$15, $E$9, 100%, $G$9) + CHOOSE(CONTROL!$C$38, 0.0369, 0)</f>
        <v>27.4419</v>
      </c>
      <c r="J304" s="44">
        <f>210.8649</f>
        <v>210.86490000000001</v>
      </c>
    </row>
    <row r="305" spans="1:10" ht="15" x14ac:dyDescent="0.2">
      <c r="A305" s="34">
        <v>50192</v>
      </c>
      <c r="B305" s="14">
        <f>28.5133 * CHOOSE(CONTROL!$C$15, $E$9, 100%, $G$9) + CHOOSE(CONTROL!$C$38, 0.0278, 0)</f>
        <v>28.5411</v>
      </c>
      <c r="C305" s="14">
        <f>26.8407 * CHOOSE(CONTROL!$C$15, $E$9, 100%, $G$9) + CHOOSE(CONTROL!$C$38, 0.0369, 0)</f>
        <v>26.877599999999997</v>
      </c>
      <c r="D305" s="14">
        <f>26.8329 * CHOOSE(CONTROL!$C$15, $E$9, 100%, $G$9) + CHOOSE(CONTROL!$C$38, 0.0369, 0)</f>
        <v>26.869799999999998</v>
      </c>
      <c r="E305" s="46">
        <f>28.3571 * CHOOSE(CONTROL!$C$15, $E$9, 100%, $G$9) + CHOOSE(CONTROL!$C$38, 0.0369, 0)</f>
        <v>28.393999999999998</v>
      </c>
      <c r="F305" s="45">
        <f>28.3571 * CHOOSE(CONTROL!$C$15, $E$9, 100%, $G$9) + CHOOSE(CONTROL!$C$38, 0.0278, 0)</f>
        <v>28.384899999999998</v>
      </c>
      <c r="G305" s="14">
        <f>26.8391 * CHOOSE(CONTROL!$C$15, $E$9, 100%, $G$9) + CHOOSE(CONTROL!$C$38, 0.0369, 0)</f>
        <v>26.875999999999998</v>
      </c>
      <c r="H305" s="14">
        <f>26.8391 * CHOOSE(CONTROL!$C$15, $E$9, 100%, $G$9) + CHOOSE(CONTROL!$C$38, 0.0369, 0)</f>
        <v>26.875999999999998</v>
      </c>
      <c r="I305" s="14">
        <f>26.8407 * CHOOSE(CONTROL!$C$15, $E$9, 100%, $G$9) + CHOOSE(CONTROL!$C$38, 0.0369, 0)</f>
        <v>26.877599999999997</v>
      </c>
      <c r="J305" s="44">
        <f>213.9033</f>
        <v>213.9033</v>
      </c>
    </row>
    <row r="306" spans="1:10" ht="15" x14ac:dyDescent="0.2">
      <c r="A306" s="34">
        <v>50222</v>
      </c>
      <c r="B306" s="14">
        <f>28.1913 * CHOOSE(CONTROL!$C$15, $E$9, 100%, $G$9) + CHOOSE(CONTROL!$C$38, 0.0278, 0)</f>
        <v>28.219099999999997</v>
      </c>
      <c r="C306" s="14">
        <f>26.5186 * CHOOSE(CONTROL!$C$15, $E$9, 100%, $G$9) + CHOOSE(CONTROL!$C$38, 0.0369, 0)</f>
        <v>26.555499999999999</v>
      </c>
      <c r="D306" s="14">
        <f>26.5108 * CHOOSE(CONTROL!$C$15, $E$9, 100%, $G$9) + CHOOSE(CONTROL!$C$38, 0.0369, 0)</f>
        <v>26.547699999999999</v>
      </c>
      <c r="E306" s="46">
        <f>28.035 * CHOOSE(CONTROL!$C$15, $E$9, 100%, $G$9) + CHOOSE(CONTROL!$C$38, 0.0369, 0)</f>
        <v>28.071899999999999</v>
      </c>
      <c r="F306" s="45">
        <f>28.035 * CHOOSE(CONTROL!$C$15, $E$9, 100%, $G$9) + CHOOSE(CONTROL!$C$38, 0.0278, 0)</f>
        <v>28.062799999999999</v>
      </c>
      <c r="G306" s="14">
        <f>26.5171 * CHOOSE(CONTROL!$C$15, $E$9, 100%, $G$9) + CHOOSE(CONTROL!$C$38, 0.0369, 0)</f>
        <v>26.553999999999998</v>
      </c>
      <c r="H306" s="14">
        <f>26.5171 * CHOOSE(CONTROL!$C$15, $E$9, 100%, $G$9) + CHOOSE(CONTROL!$C$38, 0.0369, 0)</f>
        <v>26.553999999999998</v>
      </c>
      <c r="I306" s="14">
        <f>26.5186 * CHOOSE(CONTROL!$C$15, $E$9, 100%, $G$9) + CHOOSE(CONTROL!$C$38, 0.0369, 0)</f>
        <v>26.555499999999999</v>
      </c>
      <c r="J306" s="44">
        <f>212.9029</f>
        <v>212.90289999999999</v>
      </c>
    </row>
    <row r="307" spans="1:10" ht="15" x14ac:dyDescent="0.2">
      <c r="A307" s="34">
        <v>50253</v>
      </c>
      <c r="B307" s="14">
        <f>28.3502 * CHOOSE(CONTROL!$C$15, $E$9, 100%, $G$9) + CHOOSE(CONTROL!$C$38, 0.0278, 0)</f>
        <v>28.378</v>
      </c>
      <c r="C307" s="14">
        <f>26.6776 * CHOOSE(CONTROL!$C$15, $E$9, 100%, $G$9) + CHOOSE(CONTROL!$C$38, 0.0369, 0)</f>
        <v>26.714500000000001</v>
      </c>
      <c r="D307" s="14">
        <f>26.6698 * CHOOSE(CONTROL!$C$15, $E$9, 100%, $G$9) + CHOOSE(CONTROL!$C$38, 0.0369, 0)</f>
        <v>26.706699999999998</v>
      </c>
      <c r="E307" s="46">
        <f>28.1939 * CHOOSE(CONTROL!$C$15, $E$9, 100%, $G$9) + CHOOSE(CONTROL!$C$38, 0.0369, 0)</f>
        <v>28.230799999999999</v>
      </c>
      <c r="F307" s="45">
        <f>28.1939 * CHOOSE(CONTROL!$C$15, $E$9, 100%, $G$9) + CHOOSE(CONTROL!$C$38, 0.0278, 0)</f>
        <v>28.221699999999998</v>
      </c>
      <c r="G307" s="14">
        <f>26.676 * CHOOSE(CONTROL!$C$15, $E$9, 100%, $G$9) + CHOOSE(CONTROL!$C$38, 0.0369, 0)</f>
        <v>26.712899999999998</v>
      </c>
      <c r="H307" s="14">
        <f>26.676 * CHOOSE(CONTROL!$C$15, $E$9, 100%, $G$9) + CHOOSE(CONTROL!$C$38, 0.0369, 0)</f>
        <v>26.712899999999998</v>
      </c>
      <c r="I307" s="14">
        <f>26.6776 * CHOOSE(CONTROL!$C$15, $E$9, 100%, $G$9) + CHOOSE(CONTROL!$C$38, 0.0369, 0)</f>
        <v>26.714500000000001</v>
      </c>
      <c r="J307" s="44">
        <f>207.9466</f>
        <v>207.94659999999999</v>
      </c>
    </row>
    <row r="308" spans="1:10" ht="15" x14ac:dyDescent="0.2">
      <c r="A308" s="34">
        <v>50284</v>
      </c>
      <c r="B308" s="14">
        <f>28.7819 * CHOOSE(CONTROL!$C$15, $E$9, 100%, $G$9) + CHOOSE(CONTROL!$C$38, 0.0278, 0)</f>
        <v>28.809699999999999</v>
      </c>
      <c r="C308" s="14">
        <f>27.1093 * CHOOSE(CONTROL!$C$15, $E$9, 100%, $G$9) + CHOOSE(CONTROL!$C$38, 0.0369, 0)</f>
        <v>27.1462</v>
      </c>
      <c r="D308" s="14">
        <f>27.1015 * CHOOSE(CONTROL!$C$15, $E$9, 100%, $G$9) + CHOOSE(CONTROL!$C$38, 0.0369, 0)</f>
        <v>27.138400000000001</v>
      </c>
      <c r="E308" s="46">
        <f>28.6257 * CHOOSE(CONTROL!$C$15, $E$9, 100%, $G$9) + CHOOSE(CONTROL!$C$38, 0.0369, 0)</f>
        <v>28.662599999999998</v>
      </c>
      <c r="F308" s="45">
        <f>28.6257 * CHOOSE(CONTROL!$C$15, $E$9, 100%, $G$9) + CHOOSE(CONTROL!$C$38, 0.0278, 0)</f>
        <v>28.653499999999998</v>
      </c>
      <c r="G308" s="14">
        <f>27.1077 * CHOOSE(CONTROL!$C$15, $E$9, 100%, $G$9) + CHOOSE(CONTROL!$C$38, 0.0369, 0)</f>
        <v>27.144600000000001</v>
      </c>
      <c r="H308" s="14">
        <f>27.1077 * CHOOSE(CONTROL!$C$15, $E$9, 100%, $G$9) + CHOOSE(CONTROL!$C$38, 0.0369, 0)</f>
        <v>27.144600000000001</v>
      </c>
      <c r="I308" s="14">
        <f>27.1093 * CHOOSE(CONTROL!$C$15, $E$9, 100%, $G$9) + CHOOSE(CONTROL!$C$38, 0.0369, 0)</f>
        <v>27.1462</v>
      </c>
      <c r="J308" s="44">
        <f>201.0348</f>
        <v>201.03479999999999</v>
      </c>
    </row>
    <row r="309" spans="1:10" ht="15" x14ac:dyDescent="0.2">
      <c r="A309" s="34">
        <v>50314</v>
      </c>
      <c r="B309" s="14">
        <f>29.1435 * CHOOSE(CONTROL!$C$15, $E$9, 100%, $G$9) + CHOOSE(CONTROL!$C$38, 0.0256, 0)</f>
        <v>29.1691</v>
      </c>
      <c r="C309" s="14">
        <f>27.4709 * CHOOSE(CONTROL!$C$15, $E$9, 100%, $G$9) + CHOOSE(CONTROL!$C$38, 0.0347, 0)</f>
        <v>27.505600000000001</v>
      </c>
      <c r="D309" s="14">
        <f>27.463 * CHOOSE(CONTROL!$C$15, $E$9, 100%, $G$9) + CHOOSE(CONTROL!$C$38, 0.0347, 0)</f>
        <v>27.497700000000002</v>
      </c>
      <c r="E309" s="46">
        <f>28.9872 * CHOOSE(CONTROL!$C$15, $E$9, 100%, $G$9) + CHOOSE(CONTROL!$C$38, 0.0347, 0)</f>
        <v>29.021900000000002</v>
      </c>
      <c r="F309" s="45">
        <f>28.9872 * CHOOSE(CONTROL!$C$15, $E$9, 100%, $G$9) + CHOOSE(CONTROL!$C$38, 0.0256, 0)</f>
        <v>29.012800000000002</v>
      </c>
      <c r="G309" s="14">
        <f>27.4693 * CHOOSE(CONTROL!$C$15, $E$9, 100%, $G$9) + CHOOSE(CONTROL!$C$38, 0.0347, 0)</f>
        <v>27.504000000000001</v>
      </c>
      <c r="H309" s="14">
        <f>27.4693 * CHOOSE(CONTROL!$C$15, $E$9, 100%, $G$9) + CHOOSE(CONTROL!$C$38, 0.0347, 0)</f>
        <v>27.504000000000001</v>
      </c>
      <c r="I309" s="14">
        <f>27.4709 * CHOOSE(CONTROL!$C$15, $E$9, 100%, $G$9) + CHOOSE(CONTROL!$C$38, 0.0347, 0)</f>
        <v>27.505600000000001</v>
      </c>
      <c r="J309" s="44">
        <f>194.0828</f>
        <v>194.08279999999999</v>
      </c>
    </row>
    <row r="310" spans="1:10" ht="15" x14ac:dyDescent="0.2">
      <c r="A310" s="34">
        <v>50345</v>
      </c>
      <c r="B310" s="14">
        <f>29.4452 * CHOOSE(CONTROL!$C$15, $E$9, 100%, $G$9) + CHOOSE(CONTROL!$C$38, 0.0256, 0)</f>
        <v>29.470800000000001</v>
      </c>
      <c r="C310" s="14">
        <f>27.7726 * CHOOSE(CONTROL!$C$15, $E$9, 100%, $G$9) + CHOOSE(CONTROL!$C$38, 0.0347, 0)</f>
        <v>27.807300000000001</v>
      </c>
      <c r="D310" s="14">
        <f>27.7647 * CHOOSE(CONTROL!$C$15, $E$9, 100%, $G$9) + CHOOSE(CONTROL!$C$38, 0.0347, 0)</f>
        <v>27.799400000000002</v>
      </c>
      <c r="E310" s="46">
        <f>29.2889 * CHOOSE(CONTROL!$C$15, $E$9, 100%, $G$9) + CHOOSE(CONTROL!$C$38, 0.0347, 0)</f>
        <v>29.323600000000003</v>
      </c>
      <c r="F310" s="45">
        <f>29.2889 * CHOOSE(CONTROL!$C$15, $E$9, 100%, $G$9) + CHOOSE(CONTROL!$C$38, 0.0256, 0)</f>
        <v>29.314500000000002</v>
      </c>
      <c r="G310" s="14">
        <f>27.771 * CHOOSE(CONTROL!$C$15, $E$9, 100%, $G$9) + CHOOSE(CONTROL!$C$38, 0.0347, 0)</f>
        <v>27.805700000000002</v>
      </c>
      <c r="H310" s="14">
        <f>27.771 * CHOOSE(CONTROL!$C$15, $E$9, 100%, $G$9) + CHOOSE(CONTROL!$C$38, 0.0347, 0)</f>
        <v>27.805700000000002</v>
      </c>
      <c r="I310" s="14">
        <f>27.7726 * CHOOSE(CONTROL!$C$15, $E$9, 100%, $G$9) + CHOOSE(CONTROL!$C$38, 0.0347, 0)</f>
        <v>27.807300000000001</v>
      </c>
      <c r="J310" s="44">
        <f>192.6999</f>
        <v>192.69990000000001</v>
      </c>
    </row>
    <row r="311" spans="1:10" ht="15" x14ac:dyDescent="0.2">
      <c r="A311" s="34">
        <v>50375</v>
      </c>
      <c r="B311" s="14">
        <f>30.3748 * CHOOSE(CONTROL!$C$15, $E$9, 100%, $G$9) + CHOOSE(CONTROL!$C$38, 0.0256, 0)</f>
        <v>30.400400000000001</v>
      </c>
      <c r="C311" s="14">
        <f>28.7022 * CHOOSE(CONTROL!$C$15, $E$9, 100%, $G$9) + CHOOSE(CONTROL!$C$38, 0.0347, 0)</f>
        <v>28.736900000000002</v>
      </c>
      <c r="D311" s="14">
        <f>28.6944 * CHOOSE(CONTROL!$C$15, $E$9, 100%, $G$9) + CHOOSE(CONTROL!$C$38, 0.0347, 0)</f>
        <v>28.729100000000003</v>
      </c>
      <c r="E311" s="46">
        <f>30.2186 * CHOOSE(CONTROL!$C$15, $E$9, 100%, $G$9) + CHOOSE(CONTROL!$C$38, 0.0347, 0)</f>
        <v>30.253299999999999</v>
      </c>
      <c r="F311" s="45">
        <f>30.2186 * CHOOSE(CONTROL!$C$15, $E$9, 100%, $G$9) + CHOOSE(CONTROL!$C$38, 0.0256, 0)</f>
        <v>30.244199999999999</v>
      </c>
      <c r="G311" s="14">
        <f>28.7007 * CHOOSE(CONTROL!$C$15, $E$9, 100%, $G$9) + CHOOSE(CONTROL!$C$38, 0.0347, 0)</f>
        <v>28.735400000000002</v>
      </c>
      <c r="H311" s="14">
        <f>28.7007 * CHOOSE(CONTROL!$C$15, $E$9, 100%, $G$9) + CHOOSE(CONTROL!$C$38, 0.0347, 0)</f>
        <v>28.735400000000002</v>
      </c>
      <c r="I311" s="14">
        <f>28.7022 * CHOOSE(CONTROL!$C$15, $E$9, 100%, $G$9) + CHOOSE(CONTROL!$C$38, 0.0347, 0)</f>
        <v>28.736900000000002</v>
      </c>
      <c r="J311" s="44">
        <f>186.9816</f>
        <v>186.98159999999999</v>
      </c>
    </row>
    <row r="312" spans="1:10" ht="15.75" x14ac:dyDescent="0.25">
      <c r="A312" s="33">
        <v>50436</v>
      </c>
      <c r="B312" s="14">
        <f>31.5942 * CHOOSE(CONTROL!$C$15, $E$9, 100%, $G$9) + CHOOSE(CONTROL!$C$38, 0.0256, 0)</f>
        <v>31.619800000000001</v>
      </c>
      <c r="C312" s="14">
        <f>29.8961 * CHOOSE(CONTROL!$C$15, $E$9, 100%, $G$9) + CHOOSE(CONTROL!$C$38, 0.0347, 0)</f>
        <v>29.930800000000001</v>
      </c>
      <c r="D312" s="14">
        <f>29.8883 * CHOOSE(CONTROL!$C$15, $E$9, 100%, $G$9) + CHOOSE(CONTROL!$C$38, 0.0347, 0)</f>
        <v>29.923000000000002</v>
      </c>
      <c r="E312" s="46">
        <f>31.438 * CHOOSE(CONTROL!$C$15, $E$9, 100%, $G$9) + CHOOSE(CONTROL!$C$38, 0.0347, 0)</f>
        <v>31.4727</v>
      </c>
      <c r="F312" s="45">
        <f>31.438 * CHOOSE(CONTROL!$C$15, $E$9, 100%, $G$9) + CHOOSE(CONTROL!$C$38, 0.0256, 0)</f>
        <v>31.4636</v>
      </c>
      <c r="G312" s="14">
        <f>29.8946 * CHOOSE(CONTROL!$C$15, $E$9, 100%, $G$9) + CHOOSE(CONTROL!$C$38, 0.0347, 0)</f>
        <v>29.929300000000001</v>
      </c>
      <c r="H312" s="14">
        <f>29.8946 * CHOOSE(CONTROL!$C$15, $E$9, 100%, $G$9) + CHOOSE(CONTROL!$C$38, 0.0347, 0)</f>
        <v>29.929300000000001</v>
      </c>
      <c r="I312" s="14">
        <f>29.8961 * CHOOSE(CONTROL!$C$15, $E$9, 100%, $G$9) + CHOOSE(CONTROL!$C$38, 0.0347, 0)</f>
        <v>29.930800000000001</v>
      </c>
      <c r="J312" s="44">
        <f>186.7404</f>
        <v>186.74039999999999</v>
      </c>
    </row>
    <row r="313" spans="1:10" ht="15.75" x14ac:dyDescent="0.25">
      <c r="A313" s="33">
        <v>50464</v>
      </c>
      <c r="B313" s="14">
        <f>31.9385 * CHOOSE(CONTROL!$C$15, $E$9, 100%, $G$9) + CHOOSE(CONTROL!$C$38, 0.0256, 0)</f>
        <v>31.964100000000002</v>
      </c>
      <c r="C313" s="14">
        <f>30.2404 * CHOOSE(CONTROL!$C$15, $E$9, 100%, $G$9) + CHOOSE(CONTROL!$C$38, 0.0347, 0)</f>
        <v>30.275100000000002</v>
      </c>
      <c r="D313" s="14">
        <f>30.2326 * CHOOSE(CONTROL!$C$15, $E$9, 100%, $G$9) + CHOOSE(CONTROL!$C$38, 0.0347, 0)</f>
        <v>30.267300000000002</v>
      </c>
      <c r="E313" s="46">
        <f>31.7823 * CHOOSE(CONTROL!$C$15, $E$9, 100%, $G$9) + CHOOSE(CONTROL!$C$38, 0.0347, 0)</f>
        <v>31.817</v>
      </c>
      <c r="F313" s="45">
        <f>31.7823 * CHOOSE(CONTROL!$C$15, $E$9, 100%, $G$9) + CHOOSE(CONTROL!$C$38, 0.0256, 0)</f>
        <v>31.8079</v>
      </c>
      <c r="G313" s="14">
        <f>30.2389 * CHOOSE(CONTROL!$C$15, $E$9, 100%, $G$9) + CHOOSE(CONTROL!$C$38, 0.0347, 0)</f>
        <v>30.273600000000002</v>
      </c>
      <c r="H313" s="14">
        <f>30.2389 * CHOOSE(CONTROL!$C$15, $E$9, 100%, $G$9) + CHOOSE(CONTROL!$C$38, 0.0347, 0)</f>
        <v>30.273600000000002</v>
      </c>
      <c r="I313" s="14">
        <f>30.2404 * CHOOSE(CONTROL!$C$15, $E$9, 100%, $G$9) + CHOOSE(CONTROL!$C$38, 0.0347, 0)</f>
        <v>30.275100000000002</v>
      </c>
      <c r="J313" s="44">
        <f>186.2214</f>
        <v>186.22139999999999</v>
      </c>
    </row>
    <row r="314" spans="1:10" ht="15.75" x14ac:dyDescent="0.25">
      <c r="A314" s="33">
        <v>50495</v>
      </c>
      <c r="B314" s="14">
        <f>31.1415 * CHOOSE(CONTROL!$C$15, $E$9, 100%, $G$9) + CHOOSE(CONTROL!$C$38, 0.0256, 0)</f>
        <v>31.167100000000001</v>
      </c>
      <c r="C314" s="14">
        <f>29.4434 * CHOOSE(CONTROL!$C$15, $E$9, 100%, $G$9) + CHOOSE(CONTROL!$C$38, 0.0347, 0)</f>
        <v>29.478100000000001</v>
      </c>
      <c r="D314" s="14">
        <f>29.4356 * CHOOSE(CONTROL!$C$15, $E$9, 100%, $G$9) + CHOOSE(CONTROL!$C$38, 0.0347, 0)</f>
        <v>29.470300000000002</v>
      </c>
      <c r="E314" s="46">
        <f>30.9853 * CHOOSE(CONTROL!$C$15, $E$9, 100%, $G$9) + CHOOSE(CONTROL!$C$38, 0.0347, 0)</f>
        <v>31.02</v>
      </c>
      <c r="F314" s="45">
        <f>30.9853 * CHOOSE(CONTROL!$C$15, $E$9, 100%, $G$9) + CHOOSE(CONTROL!$C$38, 0.0256, 0)</f>
        <v>31.010899999999999</v>
      </c>
      <c r="G314" s="14">
        <f>29.4419 * CHOOSE(CONTROL!$C$15, $E$9, 100%, $G$9) + CHOOSE(CONTROL!$C$38, 0.0347, 0)</f>
        <v>29.476600000000001</v>
      </c>
      <c r="H314" s="14">
        <f>29.4419 * CHOOSE(CONTROL!$C$15, $E$9, 100%, $G$9) + CHOOSE(CONTROL!$C$38, 0.0347, 0)</f>
        <v>29.476600000000001</v>
      </c>
      <c r="I314" s="14">
        <f>29.4434 * CHOOSE(CONTROL!$C$15, $E$9, 100%, $G$9) + CHOOSE(CONTROL!$C$38, 0.0347, 0)</f>
        <v>29.478100000000001</v>
      </c>
      <c r="J314" s="44">
        <f>196.0363</f>
        <v>196.03630000000001</v>
      </c>
    </row>
    <row r="315" spans="1:10" ht="15.75" x14ac:dyDescent="0.25">
      <c r="A315" s="33">
        <v>50525</v>
      </c>
      <c r="B315" s="14">
        <f>30.3692 * CHOOSE(CONTROL!$C$15, $E$9, 100%, $G$9) + CHOOSE(CONTROL!$C$38, 0.0256, 0)</f>
        <v>30.3948</v>
      </c>
      <c r="C315" s="14">
        <f>28.6711 * CHOOSE(CONTROL!$C$15, $E$9, 100%, $G$9) + CHOOSE(CONTROL!$C$38, 0.0347, 0)</f>
        <v>28.7058</v>
      </c>
      <c r="D315" s="14">
        <f>28.6633 * CHOOSE(CONTROL!$C$15, $E$9, 100%, $G$9) + CHOOSE(CONTROL!$C$38, 0.0347, 0)</f>
        <v>28.698</v>
      </c>
      <c r="E315" s="46">
        <f>30.2129 * CHOOSE(CONTROL!$C$15, $E$9, 100%, $G$9) + CHOOSE(CONTROL!$C$38, 0.0347, 0)</f>
        <v>30.247600000000002</v>
      </c>
      <c r="F315" s="45">
        <f>30.2129 * CHOOSE(CONTROL!$C$15, $E$9, 100%, $G$9) + CHOOSE(CONTROL!$C$38, 0.0256, 0)</f>
        <v>30.238500000000002</v>
      </c>
      <c r="G315" s="14">
        <f>28.6695 * CHOOSE(CONTROL!$C$15, $E$9, 100%, $G$9) + CHOOSE(CONTROL!$C$38, 0.0347, 0)</f>
        <v>28.7042</v>
      </c>
      <c r="H315" s="14">
        <f>28.6695 * CHOOSE(CONTROL!$C$15, $E$9, 100%, $G$9) + CHOOSE(CONTROL!$C$38, 0.0347, 0)</f>
        <v>28.7042</v>
      </c>
      <c r="I315" s="14">
        <f>28.6711 * CHOOSE(CONTROL!$C$15, $E$9, 100%, $G$9) + CHOOSE(CONTROL!$C$38, 0.0347, 0)</f>
        <v>28.7058</v>
      </c>
      <c r="J315" s="44">
        <f>208.7639</f>
        <v>208.76390000000001</v>
      </c>
    </row>
    <row r="316" spans="1:10" ht="15.75" x14ac:dyDescent="0.25">
      <c r="A316" s="33">
        <v>50556</v>
      </c>
      <c r="B316" s="14">
        <f>29.5642 * CHOOSE(CONTROL!$C$15, $E$9, 100%, $G$9) + CHOOSE(CONTROL!$C$38, 0.0278, 0)</f>
        <v>29.591999999999999</v>
      </c>
      <c r="C316" s="14">
        <f>27.8661 * CHOOSE(CONTROL!$C$15, $E$9, 100%, $G$9) + CHOOSE(CONTROL!$C$38, 0.0369, 0)</f>
        <v>27.902999999999999</v>
      </c>
      <c r="D316" s="14">
        <f>27.8583 * CHOOSE(CONTROL!$C$15, $E$9, 100%, $G$9) + CHOOSE(CONTROL!$C$38, 0.0369, 0)</f>
        <v>27.895199999999999</v>
      </c>
      <c r="E316" s="46">
        <f>29.408 * CHOOSE(CONTROL!$C$15, $E$9, 100%, $G$9) + CHOOSE(CONTROL!$C$38, 0.0369, 0)</f>
        <v>29.444900000000001</v>
      </c>
      <c r="F316" s="45">
        <f>29.408 * CHOOSE(CONTROL!$C$15, $E$9, 100%, $G$9) + CHOOSE(CONTROL!$C$38, 0.0278, 0)</f>
        <v>29.4358</v>
      </c>
      <c r="G316" s="14">
        <f>27.8646 * CHOOSE(CONTROL!$C$15, $E$9, 100%, $G$9) + CHOOSE(CONTROL!$C$38, 0.0369, 0)</f>
        <v>27.901499999999999</v>
      </c>
      <c r="H316" s="14">
        <f>27.8646 * CHOOSE(CONTROL!$C$15, $E$9, 100%, $G$9) + CHOOSE(CONTROL!$C$38, 0.0369, 0)</f>
        <v>27.901499999999999</v>
      </c>
      <c r="I316" s="14">
        <f>27.8661 * CHOOSE(CONTROL!$C$15, $E$9, 100%, $G$9) + CHOOSE(CONTROL!$C$38, 0.0369, 0)</f>
        <v>27.902999999999999</v>
      </c>
      <c r="J316" s="44">
        <f>215.7696</f>
        <v>215.7696</v>
      </c>
    </row>
    <row r="317" spans="1:10" ht="15.75" x14ac:dyDescent="0.25">
      <c r="A317" s="33">
        <v>50586</v>
      </c>
      <c r="B317" s="14">
        <f>28.9999 * CHOOSE(CONTROL!$C$15, $E$9, 100%, $G$9) + CHOOSE(CONTROL!$C$38, 0.0278, 0)</f>
        <v>29.027699999999999</v>
      </c>
      <c r="C317" s="14">
        <f>27.3018 * CHOOSE(CONTROL!$C$15, $E$9, 100%, $G$9) + CHOOSE(CONTROL!$C$38, 0.0369, 0)</f>
        <v>27.338699999999999</v>
      </c>
      <c r="D317" s="14">
        <f>27.294 * CHOOSE(CONTROL!$C$15, $E$9, 100%, $G$9) + CHOOSE(CONTROL!$C$38, 0.0369, 0)</f>
        <v>27.3309</v>
      </c>
      <c r="E317" s="46">
        <f>28.8436 * CHOOSE(CONTROL!$C$15, $E$9, 100%, $G$9) + CHOOSE(CONTROL!$C$38, 0.0369, 0)</f>
        <v>28.880499999999998</v>
      </c>
      <c r="F317" s="45">
        <f>28.8436 * CHOOSE(CONTROL!$C$15, $E$9, 100%, $G$9) + CHOOSE(CONTROL!$C$38, 0.0278, 0)</f>
        <v>28.871399999999998</v>
      </c>
      <c r="G317" s="14">
        <f>27.3002 * CHOOSE(CONTROL!$C$15, $E$9, 100%, $G$9) + CHOOSE(CONTROL!$C$38, 0.0369, 0)</f>
        <v>27.3371</v>
      </c>
      <c r="H317" s="14">
        <f>27.3002 * CHOOSE(CONTROL!$C$15, $E$9, 100%, $G$9) + CHOOSE(CONTROL!$C$38, 0.0369, 0)</f>
        <v>27.3371</v>
      </c>
      <c r="I317" s="14">
        <f>27.3018 * CHOOSE(CONTROL!$C$15, $E$9, 100%, $G$9) + CHOOSE(CONTROL!$C$38, 0.0369, 0)</f>
        <v>27.338699999999999</v>
      </c>
      <c r="J317" s="44">
        <f>218.8787</f>
        <v>218.87870000000001</v>
      </c>
    </row>
    <row r="318" spans="1:10" ht="15.75" x14ac:dyDescent="0.25">
      <c r="A318" s="33">
        <v>50617</v>
      </c>
      <c r="B318" s="14">
        <f>28.6778 * CHOOSE(CONTROL!$C$15, $E$9, 100%, $G$9) + CHOOSE(CONTROL!$C$38, 0.0278, 0)</f>
        <v>28.7056</v>
      </c>
      <c r="C318" s="14">
        <f>26.9797 * CHOOSE(CONTROL!$C$15, $E$9, 100%, $G$9) + CHOOSE(CONTROL!$C$38, 0.0369, 0)</f>
        <v>27.0166</v>
      </c>
      <c r="D318" s="14">
        <f>26.9719 * CHOOSE(CONTROL!$C$15, $E$9, 100%, $G$9) + CHOOSE(CONTROL!$C$38, 0.0369, 0)</f>
        <v>27.008800000000001</v>
      </c>
      <c r="E318" s="46">
        <f>28.5216 * CHOOSE(CONTROL!$C$15, $E$9, 100%, $G$9) + CHOOSE(CONTROL!$C$38, 0.0369, 0)</f>
        <v>28.558499999999999</v>
      </c>
      <c r="F318" s="45">
        <f>28.5216 * CHOOSE(CONTROL!$C$15, $E$9, 100%, $G$9) + CHOOSE(CONTROL!$C$38, 0.0278, 0)</f>
        <v>28.549399999999999</v>
      </c>
      <c r="G318" s="14">
        <f>26.9782 * CHOOSE(CONTROL!$C$15, $E$9, 100%, $G$9) + CHOOSE(CONTROL!$C$38, 0.0369, 0)</f>
        <v>27.0151</v>
      </c>
      <c r="H318" s="14">
        <f>26.9782 * CHOOSE(CONTROL!$C$15, $E$9, 100%, $G$9) + CHOOSE(CONTROL!$C$38, 0.0369, 0)</f>
        <v>27.0151</v>
      </c>
      <c r="I318" s="14">
        <f>26.9797 * CHOOSE(CONTROL!$C$15, $E$9, 100%, $G$9) + CHOOSE(CONTROL!$C$38, 0.0369, 0)</f>
        <v>27.0166</v>
      </c>
      <c r="J318" s="44">
        <f>217.855</f>
        <v>217.85499999999999</v>
      </c>
    </row>
    <row r="319" spans="1:10" ht="15.75" x14ac:dyDescent="0.25">
      <c r="A319" s="33">
        <v>50648</v>
      </c>
      <c r="B319" s="14">
        <f>28.8368 * CHOOSE(CONTROL!$C$15, $E$9, 100%, $G$9) + CHOOSE(CONTROL!$C$38, 0.0278, 0)</f>
        <v>28.864599999999999</v>
      </c>
      <c r="C319" s="14">
        <f>27.1387 * CHOOSE(CONTROL!$C$15, $E$9, 100%, $G$9) + CHOOSE(CONTROL!$C$38, 0.0369, 0)</f>
        <v>27.175599999999999</v>
      </c>
      <c r="D319" s="14">
        <f>27.1309 * CHOOSE(CONTROL!$C$15, $E$9, 100%, $G$9) + CHOOSE(CONTROL!$C$38, 0.0369, 0)</f>
        <v>27.1678</v>
      </c>
      <c r="E319" s="46">
        <f>28.6805 * CHOOSE(CONTROL!$C$15, $E$9, 100%, $G$9) + CHOOSE(CONTROL!$C$38, 0.0369, 0)</f>
        <v>28.717399999999998</v>
      </c>
      <c r="F319" s="45">
        <f>28.6805 * CHOOSE(CONTROL!$C$15, $E$9, 100%, $G$9) + CHOOSE(CONTROL!$C$38, 0.0278, 0)</f>
        <v>28.708299999999998</v>
      </c>
      <c r="G319" s="14">
        <f>27.1371 * CHOOSE(CONTROL!$C$15, $E$9, 100%, $G$9) + CHOOSE(CONTROL!$C$38, 0.0369, 0)</f>
        <v>27.173999999999999</v>
      </c>
      <c r="H319" s="14">
        <f>27.1371 * CHOOSE(CONTROL!$C$15, $E$9, 100%, $G$9) + CHOOSE(CONTROL!$C$38, 0.0369, 0)</f>
        <v>27.173999999999999</v>
      </c>
      <c r="I319" s="14">
        <f>27.1387 * CHOOSE(CONTROL!$C$15, $E$9, 100%, $G$9) + CHOOSE(CONTROL!$C$38, 0.0369, 0)</f>
        <v>27.175599999999999</v>
      </c>
      <c r="J319" s="44">
        <f>212.7835</f>
        <v>212.7835</v>
      </c>
    </row>
    <row r="320" spans="1:10" ht="15.75" x14ac:dyDescent="0.25">
      <c r="A320" s="33">
        <v>50678</v>
      </c>
      <c r="B320" s="14">
        <f>29.2685 * CHOOSE(CONTROL!$C$15, $E$9, 100%, $G$9) + CHOOSE(CONTROL!$C$38, 0.0278, 0)</f>
        <v>29.296299999999999</v>
      </c>
      <c r="C320" s="14">
        <f>27.5704 * CHOOSE(CONTROL!$C$15, $E$9, 100%, $G$9) + CHOOSE(CONTROL!$C$38, 0.0369, 0)</f>
        <v>27.607299999999999</v>
      </c>
      <c r="D320" s="14">
        <f>27.5626 * CHOOSE(CONTROL!$C$15, $E$9, 100%, $G$9) + CHOOSE(CONTROL!$C$38, 0.0369, 0)</f>
        <v>27.599499999999999</v>
      </c>
      <c r="E320" s="46">
        <f>29.1122 * CHOOSE(CONTROL!$C$15, $E$9, 100%, $G$9) + CHOOSE(CONTROL!$C$38, 0.0369, 0)</f>
        <v>29.149100000000001</v>
      </c>
      <c r="F320" s="45">
        <f>29.1122 * CHOOSE(CONTROL!$C$15, $E$9, 100%, $G$9) + CHOOSE(CONTROL!$C$38, 0.0278, 0)</f>
        <v>29.14</v>
      </c>
      <c r="G320" s="14">
        <f>27.5688 * CHOOSE(CONTROL!$C$15, $E$9, 100%, $G$9) + CHOOSE(CONTROL!$C$38, 0.0369, 0)</f>
        <v>27.605699999999999</v>
      </c>
      <c r="H320" s="14">
        <f>27.5688 * CHOOSE(CONTROL!$C$15, $E$9, 100%, $G$9) + CHOOSE(CONTROL!$C$38, 0.0369, 0)</f>
        <v>27.605699999999999</v>
      </c>
      <c r="I320" s="14">
        <f>27.5704 * CHOOSE(CONTROL!$C$15, $E$9, 100%, $G$9) + CHOOSE(CONTROL!$C$38, 0.0369, 0)</f>
        <v>27.607299999999999</v>
      </c>
      <c r="J320" s="44">
        <f>205.7109</f>
        <v>205.71090000000001</v>
      </c>
    </row>
    <row r="321" spans="1:10" ht="15.75" x14ac:dyDescent="0.25">
      <c r="A321" s="33">
        <v>50709</v>
      </c>
      <c r="B321" s="14">
        <f>29.6301 * CHOOSE(CONTROL!$C$15, $E$9, 100%, $G$9) + CHOOSE(CONTROL!$C$38, 0.0256, 0)</f>
        <v>29.6557</v>
      </c>
      <c r="C321" s="14">
        <f>27.932 * CHOOSE(CONTROL!$C$15, $E$9, 100%, $G$9) + CHOOSE(CONTROL!$C$38, 0.0347, 0)</f>
        <v>27.966699999999999</v>
      </c>
      <c r="D321" s="14">
        <f>27.9242 * CHOOSE(CONTROL!$C$15, $E$9, 100%, $G$9) + CHOOSE(CONTROL!$C$38, 0.0347, 0)</f>
        <v>27.9589</v>
      </c>
      <c r="E321" s="46">
        <f>29.4738 * CHOOSE(CONTROL!$C$15, $E$9, 100%, $G$9) + CHOOSE(CONTROL!$C$38, 0.0347, 0)</f>
        <v>29.508500000000002</v>
      </c>
      <c r="F321" s="45">
        <f>29.4738 * CHOOSE(CONTROL!$C$15, $E$9, 100%, $G$9) + CHOOSE(CONTROL!$C$38, 0.0256, 0)</f>
        <v>29.499400000000001</v>
      </c>
      <c r="G321" s="14">
        <f>27.9304 * CHOOSE(CONTROL!$C$15, $E$9, 100%, $G$9) + CHOOSE(CONTROL!$C$38, 0.0347, 0)</f>
        <v>27.9651</v>
      </c>
      <c r="H321" s="14">
        <f>27.9304 * CHOOSE(CONTROL!$C$15, $E$9, 100%, $G$9) + CHOOSE(CONTROL!$C$38, 0.0347, 0)</f>
        <v>27.9651</v>
      </c>
      <c r="I321" s="14">
        <f>27.932 * CHOOSE(CONTROL!$C$15, $E$9, 100%, $G$9) + CHOOSE(CONTROL!$C$38, 0.0347, 0)</f>
        <v>27.966699999999999</v>
      </c>
      <c r="J321" s="44">
        <f>198.5972</f>
        <v>198.59719999999999</v>
      </c>
    </row>
    <row r="322" spans="1:10" ht="15.75" x14ac:dyDescent="0.25">
      <c r="A322" s="33">
        <v>50739</v>
      </c>
      <c r="B322" s="14">
        <f>29.9318 * CHOOSE(CONTROL!$C$15, $E$9, 100%, $G$9) + CHOOSE(CONTROL!$C$38, 0.0256, 0)</f>
        <v>29.9574</v>
      </c>
      <c r="C322" s="14">
        <f>28.2337 * CHOOSE(CONTROL!$C$15, $E$9, 100%, $G$9) + CHOOSE(CONTROL!$C$38, 0.0347, 0)</f>
        <v>28.2684</v>
      </c>
      <c r="D322" s="14">
        <f>28.2259 * CHOOSE(CONTROL!$C$15, $E$9, 100%, $G$9) + CHOOSE(CONTROL!$C$38, 0.0347, 0)</f>
        <v>28.2606</v>
      </c>
      <c r="E322" s="46">
        <f>29.7755 * CHOOSE(CONTROL!$C$15, $E$9, 100%, $G$9) + CHOOSE(CONTROL!$C$38, 0.0347, 0)</f>
        <v>29.810200000000002</v>
      </c>
      <c r="F322" s="45">
        <f>29.7755 * CHOOSE(CONTROL!$C$15, $E$9, 100%, $G$9) + CHOOSE(CONTROL!$C$38, 0.0256, 0)</f>
        <v>29.801100000000002</v>
      </c>
      <c r="G322" s="14">
        <f>28.2321 * CHOOSE(CONTROL!$C$15, $E$9, 100%, $G$9) + CHOOSE(CONTROL!$C$38, 0.0347, 0)</f>
        <v>28.2668</v>
      </c>
      <c r="H322" s="14">
        <f>28.2321 * CHOOSE(CONTROL!$C$15, $E$9, 100%, $G$9) + CHOOSE(CONTROL!$C$38, 0.0347, 0)</f>
        <v>28.2668</v>
      </c>
      <c r="I322" s="14">
        <f>28.2337 * CHOOSE(CONTROL!$C$15, $E$9, 100%, $G$9) + CHOOSE(CONTROL!$C$38, 0.0347, 0)</f>
        <v>28.2684</v>
      </c>
      <c r="J322" s="44">
        <f>197.1821</f>
        <v>197.18209999999999</v>
      </c>
    </row>
    <row r="323" spans="1:10" ht="15.75" x14ac:dyDescent="0.25">
      <c r="A323" s="33">
        <v>50770</v>
      </c>
      <c r="B323" s="14">
        <f>30.8614 * CHOOSE(CONTROL!$C$15, $E$9, 100%, $G$9) + CHOOSE(CONTROL!$C$38, 0.0256, 0)</f>
        <v>30.887</v>
      </c>
      <c r="C323" s="14">
        <f>29.1633 * CHOOSE(CONTROL!$C$15, $E$9, 100%, $G$9) + CHOOSE(CONTROL!$C$38, 0.0347, 0)</f>
        <v>29.198</v>
      </c>
      <c r="D323" s="14">
        <f>29.1555 * CHOOSE(CONTROL!$C$15, $E$9, 100%, $G$9) + CHOOSE(CONTROL!$C$38, 0.0347, 0)</f>
        <v>29.190200000000001</v>
      </c>
      <c r="E323" s="46">
        <f>30.7052 * CHOOSE(CONTROL!$C$15, $E$9, 100%, $G$9) + CHOOSE(CONTROL!$C$38, 0.0347, 0)</f>
        <v>30.739900000000002</v>
      </c>
      <c r="F323" s="45">
        <f>30.7052 * CHOOSE(CONTROL!$C$15, $E$9, 100%, $G$9) + CHOOSE(CONTROL!$C$38, 0.0256, 0)</f>
        <v>30.730800000000002</v>
      </c>
      <c r="G323" s="14">
        <f>29.1618 * CHOOSE(CONTROL!$C$15, $E$9, 100%, $G$9) + CHOOSE(CONTROL!$C$38, 0.0347, 0)</f>
        <v>29.1965</v>
      </c>
      <c r="H323" s="14">
        <f>29.1618 * CHOOSE(CONTROL!$C$15, $E$9, 100%, $G$9) + CHOOSE(CONTROL!$C$38, 0.0347, 0)</f>
        <v>29.1965</v>
      </c>
      <c r="I323" s="14">
        <f>29.1633 * CHOOSE(CONTROL!$C$15, $E$9, 100%, $G$9) + CHOOSE(CONTROL!$C$38, 0.0347, 0)</f>
        <v>29.198</v>
      </c>
      <c r="J323" s="44">
        <f>191.3308</f>
        <v>191.33080000000001</v>
      </c>
    </row>
    <row r="324" spans="1:10" ht="15.75" x14ac:dyDescent="0.25">
      <c r="A324" s="33">
        <v>50801</v>
      </c>
      <c r="B324" s="14">
        <f>32.089 * CHOOSE(CONTROL!$C$15, $E$9, 100%, $G$9) + CHOOSE(CONTROL!$C$38, 0.0256, 0)</f>
        <v>32.114599999999996</v>
      </c>
      <c r="C324" s="14">
        <f>30.365 * CHOOSE(CONTROL!$C$15, $E$9, 100%, $G$9) + CHOOSE(CONTROL!$C$38, 0.0347, 0)</f>
        <v>30.399699999999999</v>
      </c>
      <c r="D324" s="14">
        <f>30.3572 * CHOOSE(CONTROL!$C$15, $E$9, 100%, $G$9) + CHOOSE(CONTROL!$C$38, 0.0347, 0)</f>
        <v>30.3919</v>
      </c>
      <c r="E324" s="46">
        <f>31.9327 * CHOOSE(CONTROL!$C$15, $E$9, 100%, $G$9) + CHOOSE(CONTROL!$C$38, 0.0347, 0)</f>
        <v>31.967400000000001</v>
      </c>
      <c r="F324" s="45">
        <f>31.9327 * CHOOSE(CONTROL!$C$15, $E$9, 100%, $G$9) + CHOOSE(CONTROL!$C$38, 0.0256, 0)</f>
        <v>31.958300000000001</v>
      </c>
      <c r="G324" s="14">
        <f>30.3634 * CHOOSE(CONTROL!$C$15, $E$9, 100%, $G$9) + CHOOSE(CONTROL!$C$38, 0.0347, 0)</f>
        <v>30.398099999999999</v>
      </c>
      <c r="H324" s="14">
        <f>30.3634 * CHOOSE(CONTROL!$C$15, $E$9, 100%, $G$9) + CHOOSE(CONTROL!$C$38, 0.0347, 0)</f>
        <v>30.398099999999999</v>
      </c>
      <c r="I324" s="14">
        <f>30.365 * CHOOSE(CONTROL!$C$15, $E$9, 100%, $G$9) + CHOOSE(CONTROL!$C$38, 0.0347, 0)</f>
        <v>30.399699999999999</v>
      </c>
      <c r="J324" s="44">
        <f>191.084</f>
        <v>191.084</v>
      </c>
    </row>
    <row r="325" spans="1:10" ht="15.75" x14ac:dyDescent="0.25">
      <c r="A325" s="33">
        <v>50829</v>
      </c>
      <c r="B325" s="14">
        <f>32.4333 * CHOOSE(CONTROL!$C$15, $E$9, 100%, $G$9) + CHOOSE(CONTROL!$C$38, 0.0256, 0)</f>
        <v>32.4589</v>
      </c>
      <c r="C325" s="14">
        <f>30.7093 * CHOOSE(CONTROL!$C$15, $E$9, 100%, $G$9) + CHOOSE(CONTROL!$C$38, 0.0347, 0)</f>
        <v>30.744</v>
      </c>
      <c r="D325" s="14">
        <f>30.7015 * CHOOSE(CONTROL!$C$15, $E$9, 100%, $G$9) + CHOOSE(CONTROL!$C$38, 0.0347, 0)</f>
        <v>30.7362</v>
      </c>
      <c r="E325" s="46">
        <f>32.2771 * CHOOSE(CONTROL!$C$15, $E$9, 100%, $G$9) + CHOOSE(CONTROL!$C$38, 0.0347, 0)</f>
        <v>32.311799999999998</v>
      </c>
      <c r="F325" s="45">
        <f>32.2771 * CHOOSE(CONTROL!$C$15, $E$9, 100%, $G$9) + CHOOSE(CONTROL!$C$38, 0.0256, 0)</f>
        <v>32.302699999999994</v>
      </c>
      <c r="G325" s="14">
        <f>30.7077 * CHOOSE(CONTROL!$C$15, $E$9, 100%, $G$9) + CHOOSE(CONTROL!$C$38, 0.0347, 0)</f>
        <v>30.7424</v>
      </c>
      <c r="H325" s="14">
        <f>30.7077 * CHOOSE(CONTROL!$C$15, $E$9, 100%, $G$9) + CHOOSE(CONTROL!$C$38, 0.0347, 0)</f>
        <v>30.7424</v>
      </c>
      <c r="I325" s="14">
        <f>30.7093 * CHOOSE(CONTROL!$C$15, $E$9, 100%, $G$9) + CHOOSE(CONTROL!$C$38, 0.0347, 0)</f>
        <v>30.744</v>
      </c>
      <c r="J325" s="44">
        <f>190.5529</f>
        <v>190.55289999999999</v>
      </c>
    </row>
    <row r="326" spans="1:10" ht="15.75" x14ac:dyDescent="0.25">
      <c r="A326" s="33">
        <v>50860</v>
      </c>
      <c r="B326" s="14">
        <f>31.6363 * CHOOSE(CONTROL!$C$15, $E$9, 100%, $G$9) + CHOOSE(CONTROL!$C$38, 0.0256, 0)</f>
        <v>31.661899999999999</v>
      </c>
      <c r="C326" s="14">
        <f>29.9123 * CHOOSE(CONTROL!$C$15, $E$9, 100%, $G$9) + CHOOSE(CONTROL!$C$38, 0.0347, 0)</f>
        <v>29.946999999999999</v>
      </c>
      <c r="D326" s="14">
        <f>29.9045 * CHOOSE(CONTROL!$C$15, $E$9, 100%, $G$9) + CHOOSE(CONTROL!$C$38, 0.0347, 0)</f>
        <v>29.9392</v>
      </c>
      <c r="E326" s="46">
        <f>31.48 * CHOOSE(CONTROL!$C$15, $E$9, 100%, $G$9) + CHOOSE(CONTROL!$C$38, 0.0347, 0)</f>
        <v>31.514700000000001</v>
      </c>
      <c r="F326" s="45">
        <f>31.48 * CHOOSE(CONTROL!$C$15, $E$9, 100%, $G$9) + CHOOSE(CONTROL!$C$38, 0.0256, 0)</f>
        <v>31.505600000000001</v>
      </c>
      <c r="G326" s="14">
        <f>29.9107 * CHOOSE(CONTROL!$C$15, $E$9, 100%, $G$9) + CHOOSE(CONTROL!$C$38, 0.0347, 0)</f>
        <v>29.945399999999999</v>
      </c>
      <c r="H326" s="14">
        <f>29.9107 * CHOOSE(CONTROL!$C$15, $E$9, 100%, $G$9) + CHOOSE(CONTROL!$C$38, 0.0347, 0)</f>
        <v>29.945399999999999</v>
      </c>
      <c r="I326" s="14">
        <f>29.9123 * CHOOSE(CONTROL!$C$15, $E$9, 100%, $G$9) + CHOOSE(CONTROL!$C$38, 0.0347, 0)</f>
        <v>29.946999999999999</v>
      </c>
      <c r="J326" s="44">
        <f>200.5961</f>
        <v>200.59610000000001</v>
      </c>
    </row>
    <row r="327" spans="1:10" ht="15.75" x14ac:dyDescent="0.25">
      <c r="A327" s="33">
        <v>50890</v>
      </c>
      <c r="B327" s="14">
        <f>30.864 * CHOOSE(CONTROL!$C$15, $E$9, 100%, $G$9) + CHOOSE(CONTROL!$C$38, 0.0256, 0)</f>
        <v>30.889600000000002</v>
      </c>
      <c r="C327" s="14">
        <f>29.14 * CHOOSE(CONTROL!$C$15, $E$9, 100%, $G$9) + CHOOSE(CONTROL!$C$38, 0.0347, 0)</f>
        <v>29.174700000000001</v>
      </c>
      <c r="D327" s="14">
        <f>29.1321 * CHOOSE(CONTROL!$C$15, $E$9, 100%, $G$9) + CHOOSE(CONTROL!$C$38, 0.0347, 0)</f>
        <v>29.166800000000002</v>
      </c>
      <c r="E327" s="46">
        <f>30.7077 * CHOOSE(CONTROL!$C$15, $E$9, 100%, $G$9) + CHOOSE(CONTROL!$C$38, 0.0347, 0)</f>
        <v>30.7424</v>
      </c>
      <c r="F327" s="45">
        <f>30.7077 * CHOOSE(CONTROL!$C$15, $E$9, 100%, $G$9) + CHOOSE(CONTROL!$C$38, 0.0256, 0)</f>
        <v>30.7333</v>
      </c>
      <c r="G327" s="14">
        <f>29.1384 * CHOOSE(CONTROL!$C$15, $E$9, 100%, $G$9) + CHOOSE(CONTROL!$C$38, 0.0347, 0)</f>
        <v>29.173100000000002</v>
      </c>
      <c r="H327" s="14">
        <f>29.1384 * CHOOSE(CONTROL!$C$15, $E$9, 100%, $G$9) + CHOOSE(CONTROL!$C$38, 0.0347, 0)</f>
        <v>29.173100000000002</v>
      </c>
      <c r="I327" s="14">
        <f>29.14 * CHOOSE(CONTROL!$C$15, $E$9, 100%, $G$9) + CHOOSE(CONTROL!$C$38, 0.0347, 0)</f>
        <v>29.174700000000001</v>
      </c>
      <c r="J327" s="44">
        <f>213.6198</f>
        <v>213.6198</v>
      </c>
    </row>
    <row r="328" spans="1:10" ht="15.75" x14ac:dyDescent="0.25">
      <c r="A328" s="33">
        <v>50921</v>
      </c>
      <c r="B328" s="14">
        <f>30.059 * CHOOSE(CONTROL!$C$15, $E$9, 100%, $G$9) + CHOOSE(CONTROL!$C$38, 0.0278, 0)</f>
        <v>30.0868</v>
      </c>
      <c r="C328" s="14">
        <f>28.335 * CHOOSE(CONTROL!$C$15, $E$9, 100%, $G$9) + CHOOSE(CONTROL!$C$38, 0.0369, 0)</f>
        <v>28.3719</v>
      </c>
      <c r="D328" s="14">
        <f>28.3272 * CHOOSE(CONTROL!$C$15, $E$9, 100%, $G$9) + CHOOSE(CONTROL!$C$38, 0.0369, 0)</f>
        <v>28.364100000000001</v>
      </c>
      <c r="E328" s="46">
        <f>29.9027 * CHOOSE(CONTROL!$C$15, $E$9, 100%, $G$9) + CHOOSE(CONTROL!$C$38, 0.0369, 0)</f>
        <v>29.939599999999999</v>
      </c>
      <c r="F328" s="45">
        <f>29.9027 * CHOOSE(CONTROL!$C$15, $E$9, 100%, $G$9) + CHOOSE(CONTROL!$C$38, 0.0278, 0)</f>
        <v>29.930499999999999</v>
      </c>
      <c r="G328" s="14">
        <f>28.3334 * CHOOSE(CONTROL!$C$15, $E$9, 100%, $G$9) + CHOOSE(CONTROL!$C$38, 0.0369, 0)</f>
        <v>28.3703</v>
      </c>
      <c r="H328" s="14">
        <f>28.3334 * CHOOSE(CONTROL!$C$15, $E$9, 100%, $G$9) + CHOOSE(CONTROL!$C$38, 0.0369, 0)</f>
        <v>28.3703</v>
      </c>
      <c r="I328" s="14">
        <f>28.335 * CHOOSE(CONTROL!$C$15, $E$9, 100%, $G$9) + CHOOSE(CONTROL!$C$38, 0.0369, 0)</f>
        <v>28.3719</v>
      </c>
      <c r="J328" s="44">
        <f>220.7885</f>
        <v>220.7885</v>
      </c>
    </row>
    <row r="329" spans="1:10" ht="15.75" x14ac:dyDescent="0.25">
      <c r="A329" s="33">
        <v>50951</v>
      </c>
      <c r="B329" s="14">
        <f>29.4947 * CHOOSE(CONTROL!$C$15, $E$9, 100%, $G$9) + CHOOSE(CONTROL!$C$38, 0.0278, 0)</f>
        <v>29.522500000000001</v>
      </c>
      <c r="C329" s="14">
        <f>27.7707 * CHOOSE(CONTROL!$C$15, $E$9, 100%, $G$9) + CHOOSE(CONTROL!$C$38, 0.0369, 0)</f>
        <v>27.807600000000001</v>
      </c>
      <c r="D329" s="14">
        <f>27.7629 * CHOOSE(CONTROL!$C$15, $E$9, 100%, $G$9) + CHOOSE(CONTROL!$C$38, 0.0369, 0)</f>
        <v>27.799799999999998</v>
      </c>
      <c r="E329" s="46">
        <f>29.3384 * CHOOSE(CONTROL!$C$15, $E$9, 100%, $G$9) + CHOOSE(CONTROL!$C$38, 0.0369, 0)</f>
        <v>29.375299999999999</v>
      </c>
      <c r="F329" s="45">
        <f>29.3384 * CHOOSE(CONTROL!$C$15, $E$9, 100%, $G$9) + CHOOSE(CONTROL!$C$38, 0.0278, 0)</f>
        <v>29.366199999999999</v>
      </c>
      <c r="G329" s="14">
        <f>27.7691 * CHOOSE(CONTROL!$C$15, $E$9, 100%, $G$9) + CHOOSE(CONTROL!$C$38, 0.0369, 0)</f>
        <v>27.806000000000001</v>
      </c>
      <c r="H329" s="14">
        <f>27.7691 * CHOOSE(CONTROL!$C$15, $E$9, 100%, $G$9) + CHOOSE(CONTROL!$C$38, 0.0369, 0)</f>
        <v>27.806000000000001</v>
      </c>
      <c r="I329" s="14">
        <f>27.7707 * CHOOSE(CONTROL!$C$15, $E$9, 100%, $G$9) + CHOOSE(CONTROL!$C$38, 0.0369, 0)</f>
        <v>27.807600000000001</v>
      </c>
      <c r="J329" s="44">
        <f>223.9698</f>
        <v>223.96979999999999</v>
      </c>
    </row>
    <row r="330" spans="1:10" ht="15.75" x14ac:dyDescent="0.25">
      <c r="A330" s="33">
        <v>50982</v>
      </c>
      <c r="B330" s="14">
        <f>29.1726 * CHOOSE(CONTROL!$C$15, $E$9, 100%, $G$9) + CHOOSE(CONTROL!$C$38, 0.0278, 0)</f>
        <v>29.200399999999998</v>
      </c>
      <c r="C330" s="14">
        <f>27.4486 * CHOOSE(CONTROL!$C$15, $E$9, 100%, $G$9) + CHOOSE(CONTROL!$C$38, 0.0369, 0)</f>
        <v>27.485499999999998</v>
      </c>
      <c r="D330" s="14">
        <f>27.4408 * CHOOSE(CONTROL!$C$15, $E$9, 100%, $G$9) + CHOOSE(CONTROL!$C$38, 0.0369, 0)</f>
        <v>27.477699999999999</v>
      </c>
      <c r="E330" s="46">
        <f>29.0164 * CHOOSE(CONTROL!$C$15, $E$9, 100%, $G$9) + CHOOSE(CONTROL!$C$38, 0.0369, 0)</f>
        <v>29.0533</v>
      </c>
      <c r="F330" s="45">
        <f>29.0164 * CHOOSE(CONTROL!$C$15, $E$9, 100%, $G$9) + CHOOSE(CONTROL!$C$38, 0.0278, 0)</f>
        <v>29.0442</v>
      </c>
      <c r="G330" s="14">
        <f>27.447 * CHOOSE(CONTROL!$C$15, $E$9, 100%, $G$9) + CHOOSE(CONTROL!$C$38, 0.0369, 0)</f>
        <v>27.483899999999998</v>
      </c>
      <c r="H330" s="14">
        <f>27.447 * CHOOSE(CONTROL!$C$15, $E$9, 100%, $G$9) + CHOOSE(CONTROL!$C$38, 0.0369, 0)</f>
        <v>27.483899999999998</v>
      </c>
      <c r="I330" s="14">
        <f>27.4486 * CHOOSE(CONTROL!$C$15, $E$9, 100%, $G$9) + CHOOSE(CONTROL!$C$38, 0.0369, 0)</f>
        <v>27.485499999999998</v>
      </c>
      <c r="J330" s="44">
        <f>222.9223</f>
        <v>222.92230000000001</v>
      </c>
    </row>
    <row r="331" spans="1:10" ht="15.75" x14ac:dyDescent="0.25">
      <c r="A331" s="33">
        <v>51013</v>
      </c>
      <c r="B331" s="14">
        <f>29.3316 * CHOOSE(CONTROL!$C$15, $E$9, 100%, $G$9) + CHOOSE(CONTROL!$C$38, 0.0278, 0)</f>
        <v>29.359400000000001</v>
      </c>
      <c r="C331" s="14">
        <f>27.6076 * CHOOSE(CONTROL!$C$15, $E$9, 100%, $G$9) + CHOOSE(CONTROL!$C$38, 0.0369, 0)</f>
        <v>27.644500000000001</v>
      </c>
      <c r="D331" s="14">
        <f>27.5997 * CHOOSE(CONTROL!$C$15, $E$9, 100%, $G$9) + CHOOSE(CONTROL!$C$38, 0.0369, 0)</f>
        <v>27.636599999999998</v>
      </c>
      <c r="E331" s="46">
        <f>29.1753 * CHOOSE(CONTROL!$C$15, $E$9, 100%, $G$9) + CHOOSE(CONTROL!$C$38, 0.0369, 0)</f>
        <v>29.212199999999999</v>
      </c>
      <c r="F331" s="45">
        <f>29.1753 * CHOOSE(CONTROL!$C$15, $E$9, 100%, $G$9) + CHOOSE(CONTROL!$C$38, 0.0278, 0)</f>
        <v>29.203099999999999</v>
      </c>
      <c r="G331" s="14">
        <f>27.606 * CHOOSE(CONTROL!$C$15, $E$9, 100%, $G$9) + CHOOSE(CONTROL!$C$38, 0.0369, 0)</f>
        <v>27.642900000000001</v>
      </c>
      <c r="H331" s="14">
        <f>27.606 * CHOOSE(CONTROL!$C$15, $E$9, 100%, $G$9) + CHOOSE(CONTROL!$C$38, 0.0369, 0)</f>
        <v>27.642900000000001</v>
      </c>
      <c r="I331" s="14">
        <f>27.6076 * CHOOSE(CONTROL!$C$15, $E$9, 100%, $G$9) + CHOOSE(CONTROL!$C$38, 0.0369, 0)</f>
        <v>27.644500000000001</v>
      </c>
      <c r="J331" s="44">
        <f>217.7328</f>
        <v>217.7328</v>
      </c>
    </row>
    <row r="332" spans="1:10" ht="15.75" x14ac:dyDescent="0.25">
      <c r="A332" s="33">
        <v>51043</v>
      </c>
      <c r="B332" s="14">
        <f>29.7633 * CHOOSE(CONTROL!$C$15, $E$9, 100%, $G$9) + CHOOSE(CONTROL!$C$38, 0.0278, 0)</f>
        <v>29.7911</v>
      </c>
      <c r="C332" s="14">
        <f>28.0393 * CHOOSE(CONTROL!$C$15, $E$9, 100%, $G$9) + CHOOSE(CONTROL!$C$38, 0.0369, 0)</f>
        <v>28.0762</v>
      </c>
      <c r="D332" s="14">
        <f>28.0315 * CHOOSE(CONTROL!$C$15, $E$9, 100%, $G$9) + CHOOSE(CONTROL!$C$38, 0.0369, 0)</f>
        <v>28.0684</v>
      </c>
      <c r="E332" s="46">
        <f>29.607 * CHOOSE(CONTROL!$C$15, $E$9, 100%, $G$9) + CHOOSE(CONTROL!$C$38, 0.0369, 0)</f>
        <v>29.643899999999999</v>
      </c>
      <c r="F332" s="45">
        <f>29.607 * CHOOSE(CONTROL!$C$15, $E$9, 100%, $G$9) + CHOOSE(CONTROL!$C$38, 0.0278, 0)</f>
        <v>29.634799999999998</v>
      </c>
      <c r="G332" s="14">
        <f>28.0377 * CHOOSE(CONTROL!$C$15, $E$9, 100%, $G$9) + CHOOSE(CONTROL!$C$38, 0.0369, 0)</f>
        <v>28.0746</v>
      </c>
      <c r="H332" s="14">
        <f>28.0377 * CHOOSE(CONTROL!$C$15, $E$9, 100%, $G$9) + CHOOSE(CONTROL!$C$38, 0.0369, 0)</f>
        <v>28.0746</v>
      </c>
      <c r="I332" s="14">
        <f>28.0393 * CHOOSE(CONTROL!$C$15, $E$9, 100%, $G$9) + CHOOSE(CONTROL!$C$38, 0.0369, 0)</f>
        <v>28.0762</v>
      </c>
      <c r="J332" s="44">
        <f>210.4957</f>
        <v>210.4957</v>
      </c>
    </row>
    <row r="333" spans="1:10" ht="15.75" x14ac:dyDescent="0.25">
      <c r="A333" s="33">
        <v>51074</v>
      </c>
      <c r="B333" s="14">
        <f>30.1248 * CHOOSE(CONTROL!$C$15, $E$9, 100%, $G$9) + CHOOSE(CONTROL!$C$38, 0.0256, 0)</f>
        <v>30.150400000000001</v>
      </c>
      <c r="C333" s="14">
        <f>28.4008 * CHOOSE(CONTROL!$C$15, $E$9, 100%, $G$9) + CHOOSE(CONTROL!$C$38, 0.0347, 0)</f>
        <v>28.435500000000001</v>
      </c>
      <c r="D333" s="14">
        <f>28.393 * CHOOSE(CONTROL!$C$15, $E$9, 100%, $G$9) + CHOOSE(CONTROL!$C$38, 0.0347, 0)</f>
        <v>28.427700000000002</v>
      </c>
      <c r="E333" s="46">
        <f>29.9686 * CHOOSE(CONTROL!$C$15, $E$9, 100%, $G$9) + CHOOSE(CONTROL!$C$38, 0.0347, 0)</f>
        <v>30.003299999999999</v>
      </c>
      <c r="F333" s="45">
        <f>29.9686 * CHOOSE(CONTROL!$C$15, $E$9, 100%, $G$9) + CHOOSE(CONTROL!$C$38, 0.0256, 0)</f>
        <v>29.994199999999999</v>
      </c>
      <c r="G333" s="14">
        <f>28.3993 * CHOOSE(CONTROL!$C$15, $E$9, 100%, $G$9) + CHOOSE(CONTROL!$C$38, 0.0347, 0)</f>
        <v>28.434000000000001</v>
      </c>
      <c r="H333" s="14">
        <f>28.3993 * CHOOSE(CONTROL!$C$15, $E$9, 100%, $G$9) + CHOOSE(CONTROL!$C$38, 0.0347, 0)</f>
        <v>28.434000000000001</v>
      </c>
      <c r="I333" s="14">
        <f>28.4008 * CHOOSE(CONTROL!$C$15, $E$9, 100%, $G$9) + CHOOSE(CONTROL!$C$38, 0.0347, 0)</f>
        <v>28.435500000000001</v>
      </c>
      <c r="J333" s="44">
        <f>203.2166</f>
        <v>203.2166</v>
      </c>
    </row>
    <row r="334" spans="1:10" ht="15.75" x14ac:dyDescent="0.25">
      <c r="A334" s="33">
        <v>51104</v>
      </c>
      <c r="B334" s="14">
        <f>30.4265 * CHOOSE(CONTROL!$C$15, $E$9, 100%, $G$9) + CHOOSE(CONTROL!$C$38, 0.0256, 0)</f>
        <v>30.452100000000002</v>
      </c>
      <c r="C334" s="14">
        <f>28.7025 * CHOOSE(CONTROL!$C$15, $E$9, 100%, $G$9) + CHOOSE(CONTROL!$C$38, 0.0347, 0)</f>
        <v>28.737200000000001</v>
      </c>
      <c r="D334" s="14">
        <f>28.6947 * CHOOSE(CONTROL!$C$15, $E$9, 100%, $G$9) + CHOOSE(CONTROL!$C$38, 0.0347, 0)</f>
        <v>28.729400000000002</v>
      </c>
      <c r="E334" s="46">
        <f>30.2703 * CHOOSE(CONTROL!$C$15, $E$9, 100%, $G$9) + CHOOSE(CONTROL!$C$38, 0.0347, 0)</f>
        <v>30.305</v>
      </c>
      <c r="F334" s="45">
        <f>30.2703 * CHOOSE(CONTROL!$C$15, $E$9, 100%, $G$9) + CHOOSE(CONTROL!$C$38, 0.0256, 0)</f>
        <v>30.2959</v>
      </c>
      <c r="G334" s="14">
        <f>28.701 * CHOOSE(CONTROL!$C$15, $E$9, 100%, $G$9) + CHOOSE(CONTROL!$C$38, 0.0347, 0)</f>
        <v>28.735700000000001</v>
      </c>
      <c r="H334" s="14">
        <f>28.701 * CHOOSE(CONTROL!$C$15, $E$9, 100%, $G$9) + CHOOSE(CONTROL!$C$38, 0.0347, 0)</f>
        <v>28.735700000000001</v>
      </c>
      <c r="I334" s="14">
        <f>28.7025 * CHOOSE(CONTROL!$C$15, $E$9, 100%, $G$9) + CHOOSE(CONTROL!$C$38, 0.0347, 0)</f>
        <v>28.737200000000001</v>
      </c>
      <c r="J334" s="44">
        <f>201.7686</f>
        <v>201.76859999999999</v>
      </c>
    </row>
    <row r="335" spans="1:10" ht="15.75" x14ac:dyDescent="0.25">
      <c r="A335" s="33">
        <v>51135</v>
      </c>
      <c r="B335" s="14">
        <f>31.3562 * CHOOSE(CONTROL!$C$15, $E$9, 100%, $G$9) + CHOOSE(CONTROL!$C$38, 0.0256, 0)</f>
        <v>31.381800000000002</v>
      </c>
      <c r="C335" s="14">
        <f>29.6322 * CHOOSE(CONTROL!$C$15, $E$9, 100%, $G$9) + CHOOSE(CONTROL!$C$38, 0.0347, 0)</f>
        <v>29.666900000000002</v>
      </c>
      <c r="D335" s="14">
        <f>29.6244 * CHOOSE(CONTROL!$C$15, $E$9, 100%, $G$9) + CHOOSE(CONTROL!$C$38, 0.0347, 0)</f>
        <v>29.659100000000002</v>
      </c>
      <c r="E335" s="46">
        <f>31.1999 * CHOOSE(CONTROL!$C$15, $E$9, 100%, $G$9) + CHOOSE(CONTROL!$C$38, 0.0347, 0)</f>
        <v>31.2346</v>
      </c>
      <c r="F335" s="45">
        <f>31.1999 * CHOOSE(CONTROL!$C$15, $E$9, 100%, $G$9) + CHOOSE(CONTROL!$C$38, 0.0256, 0)</f>
        <v>31.2255</v>
      </c>
      <c r="G335" s="14">
        <f>29.6306 * CHOOSE(CONTROL!$C$15, $E$9, 100%, $G$9) + CHOOSE(CONTROL!$C$38, 0.0347, 0)</f>
        <v>29.665300000000002</v>
      </c>
      <c r="H335" s="14">
        <f>29.6306 * CHOOSE(CONTROL!$C$15, $E$9, 100%, $G$9) + CHOOSE(CONTROL!$C$38, 0.0347, 0)</f>
        <v>29.665300000000002</v>
      </c>
      <c r="I335" s="14">
        <f>29.6322 * CHOOSE(CONTROL!$C$15, $E$9, 100%, $G$9) + CHOOSE(CONTROL!$C$38, 0.0347, 0)</f>
        <v>29.666900000000002</v>
      </c>
      <c r="J335" s="44">
        <f>195.7811</f>
        <v>195.78110000000001</v>
      </c>
    </row>
    <row r="336" spans="1:10" ht="15.75" x14ac:dyDescent="0.25">
      <c r="A336" s="33">
        <v>51166</v>
      </c>
      <c r="B336" s="14">
        <f>32.5921 * CHOOSE(CONTROL!$C$15, $E$9, 100%, $G$9) + CHOOSE(CONTROL!$C$38, 0.0256, 0)</f>
        <v>32.617699999999999</v>
      </c>
      <c r="C336" s="14">
        <f>30.8417 * CHOOSE(CONTROL!$C$15, $E$9, 100%, $G$9) + CHOOSE(CONTROL!$C$38, 0.0347, 0)</f>
        <v>30.8764</v>
      </c>
      <c r="D336" s="14">
        <f>30.8339 * CHOOSE(CONTROL!$C$15, $E$9, 100%, $G$9) + CHOOSE(CONTROL!$C$38, 0.0347, 0)</f>
        <v>30.868600000000001</v>
      </c>
      <c r="E336" s="46">
        <f>32.4358 * CHOOSE(CONTROL!$C$15, $E$9, 100%, $G$9) + CHOOSE(CONTROL!$C$38, 0.0347, 0)</f>
        <v>32.470500000000001</v>
      </c>
      <c r="F336" s="45">
        <f>32.4358 * CHOOSE(CONTROL!$C$15, $E$9, 100%, $G$9) + CHOOSE(CONTROL!$C$38, 0.0256, 0)</f>
        <v>32.461399999999998</v>
      </c>
      <c r="G336" s="14">
        <f>30.8402 * CHOOSE(CONTROL!$C$15, $E$9, 100%, $G$9) + CHOOSE(CONTROL!$C$38, 0.0347, 0)</f>
        <v>30.8749</v>
      </c>
      <c r="H336" s="14">
        <f>30.8402 * CHOOSE(CONTROL!$C$15, $E$9, 100%, $G$9) + CHOOSE(CONTROL!$C$38, 0.0347, 0)</f>
        <v>30.8749</v>
      </c>
      <c r="I336" s="14">
        <f>30.8417 * CHOOSE(CONTROL!$C$15, $E$9, 100%, $G$9) + CHOOSE(CONTROL!$C$38, 0.0347, 0)</f>
        <v>30.8764</v>
      </c>
      <c r="J336" s="44">
        <f>195.5286</f>
        <v>195.52860000000001</v>
      </c>
    </row>
    <row r="337" spans="1:10" ht="15.75" x14ac:dyDescent="0.25">
      <c r="A337" s="33">
        <v>51194</v>
      </c>
      <c r="B337" s="14">
        <f>32.9364 * CHOOSE(CONTROL!$C$15, $E$9, 100%, $G$9) + CHOOSE(CONTROL!$C$38, 0.0256, 0)</f>
        <v>32.961999999999996</v>
      </c>
      <c r="C337" s="14">
        <f>31.186 * CHOOSE(CONTROL!$C$15, $E$9, 100%, $G$9) + CHOOSE(CONTROL!$C$38, 0.0347, 0)</f>
        <v>31.220700000000001</v>
      </c>
      <c r="D337" s="14">
        <f>31.1782 * CHOOSE(CONTROL!$C$15, $E$9, 100%, $G$9) + CHOOSE(CONTROL!$C$38, 0.0347, 0)</f>
        <v>31.212900000000001</v>
      </c>
      <c r="E337" s="46">
        <f>32.7801 * CHOOSE(CONTROL!$C$15, $E$9, 100%, $G$9) + CHOOSE(CONTROL!$C$38, 0.0347, 0)</f>
        <v>32.814799999999998</v>
      </c>
      <c r="F337" s="45">
        <f>32.7801 * CHOOSE(CONTROL!$C$15, $E$9, 100%, $G$9) + CHOOSE(CONTROL!$C$38, 0.0256, 0)</f>
        <v>32.805699999999995</v>
      </c>
      <c r="G337" s="14">
        <f>31.1845 * CHOOSE(CONTROL!$C$15, $E$9, 100%, $G$9) + CHOOSE(CONTROL!$C$38, 0.0347, 0)</f>
        <v>31.219200000000001</v>
      </c>
      <c r="H337" s="14">
        <f>31.1845 * CHOOSE(CONTROL!$C$15, $E$9, 100%, $G$9) + CHOOSE(CONTROL!$C$38, 0.0347, 0)</f>
        <v>31.219200000000001</v>
      </c>
      <c r="I337" s="14">
        <f>31.186 * CHOOSE(CONTROL!$C$15, $E$9, 100%, $G$9) + CHOOSE(CONTROL!$C$38, 0.0347, 0)</f>
        <v>31.220700000000001</v>
      </c>
      <c r="J337" s="44">
        <f>194.9851</f>
        <v>194.98509999999999</v>
      </c>
    </row>
    <row r="338" spans="1:10" ht="15.75" x14ac:dyDescent="0.25">
      <c r="A338" s="33">
        <v>51226</v>
      </c>
      <c r="B338" s="14">
        <f>32.1393 * CHOOSE(CONTROL!$C$15, $E$9, 100%, $G$9) + CHOOSE(CONTROL!$C$38, 0.0256, 0)</f>
        <v>32.164899999999996</v>
      </c>
      <c r="C338" s="14">
        <f>30.389 * CHOOSE(CONTROL!$C$15, $E$9, 100%, $G$9) + CHOOSE(CONTROL!$C$38, 0.0347, 0)</f>
        <v>30.4237</v>
      </c>
      <c r="D338" s="14">
        <f>30.3812 * CHOOSE(CONTROL!$C$15, $E$9, 100%, $G$9) + CHOOSE(CONTROL!$C$38, 0.0347, 0)</f>
        <v>30.415900000000001</v>
      </c>
      <c r="E338" s="46">
        <f>31.9831 * CHOOSE(CONTROL!$C$15, $E$9, 100%, $G$9) + CHOOSE(CONTROL!$C$38, 0.0347, 0)</f>
        <v>32.017800000000001</v>
      </c>
      <c r="F338" s="45">
        <f>31.9831 * CHOOSE(CONTROL!$C$15, $E$9, 100%, $G$9) + CHOOSE(CONTROL!$C$38, 0.0256, 0)</f>
        <v>32.008699999999997</v>
      </c>
      <c r="G338" s="14">
        <f>30.3874 * CHOOSE(CONTROL!$C$15, $E$9, 100%, $G$9) + CHOOSE(CONTROL!$C$38, 0.0347, 0)</f>
        <v>30.4221</v>
      </c>
      <c r="H338" s="14">
        <f>30.3874 * CHOOSE(CONTROL!$C$15, $E$9, 100%, $G$9) + CHOOSE(CONTROL!$C$38, 0.0347, 0)</f>
        <v>30.4221</v>
      </c>
      <c r="I338" s="14">
        <f>30.389 * CHOOSE(CONTROL!$C$15, $E$9, 100%, $G$9) + CHOOSE(CONTROL!$C$38, 0.0347, 0)</f>
        <v>30.4237</v>
      </c>
      <c r="J338" s="44">
        <f>205.262</f>
        <v>205.262</v>
      </c>
    </row>
    <row r="339" spans="1:10" ht="15.75" x14ac:dyDescent="0.25">
      <c r="A339" s="33">
        <v>51256</v>
      </c>
      <c r="B339" s="14">
        <f>31.367 * CHOOSE(CONTROL!$C$15, $E$9, 100%, $G$9) + CHOOSE(CONTROL!$C$38, 0.0256, 0)</f>
        <v>31.392600000000002</v>
      </c>
      <c r="C339" s="14">
        <f>29.6167 * CHOOSE(CONTROL!$C$15, $E$9, 100%, $G$9) + CHOOSE(CONTROL!$C$38, 0.0347, 0)</f>
        <v>29.651400000000002</v>
      </c>
      <c r="D339" s="14">
        <f>29.6089 * CHOOSE(CONTROL!$C$15, $E$9, 100%, $G$9) + CHOOSE(CONTROL!$C$38, 0.0347, 0)</f>
        <v>29.643599999999999</v>
      </c>
      <c r="E339" s="46">
        <f>31.2108 * CHOOSE(CONTROL!$C$15, $E$9, 100%, $G$9) + CHOOSE(CONTROL!$C$38, 0.0347, 0)</f>
        <v>31.2455</v>
      </c>
      <c r="F339" s="45">
        <f>31.2108 * CHOOSE(CONTROL!$C$15, $E$9, 100%, $G$9) + CHOOSE(CONTROL!$C$38, 0.0256, 0)</f>
        <v>31.2364</v>
      </c>
      <c r="G339" s="14">
        <f>29.6151 * CHOOSE(CONTROL!$C$15, $E$9, 100%, $G$9) + CHOOSE(CONTROL!$C$38, 0.0347, 0)</f>
        <v>29.649800000000003</v>
      </c>
      <c r="H339" s="14">
        <f>29.6151 * CHOOSE(CONTROL!$C$15, $E$9, 100%, $G$9) + CHOOSE(CONTROL!$C$38, 0.0347, 0)</f>
        <v>29.649800000000003</v>
      </c>
      <c r="I339" s="14">
        <f>29.6167 * CHOOSE(CONTROL!$C$15, $E$9, 100%, $G$9) + CHOOSE(CONTROL!$C$38, 0.0347, 0)</f>
        <v>29.651400000000002</v>
      </c>
      <c r="J339" s="44">
        <f>218.5886</f>
        <v>218.58860000000001</v>
      </c>
    </row>
    <row r="340" spans="1:10" ht="15.75" x14ac:dyDescent="0.25">
      <c r="A340" s="33">
        <v>51287</v>
      </c>
      <c r="B340" s="14">
        <f>30.5621 * CHOOSE(CONTROL!$C$15, $E$9, 100%, $G$9) + CHOOSE(CONTROL!$C$38, 0.0278, 0)</f>
        <v>30.5899</v>
      </c>
      <c r="C340" s="14">
        <f>28.8117 * CHOOSE(CONTROL!$C$15, $E$9, 100%, $G$9) + CHOOSE(CONTROL!$C$38, 0.0369, 0)</f>
        <v>28.848599999999998</v>
      </c>
      <c r="D340" s="14">
        <f>28.8039 * CHOOSE(CONTROL!$C$15, $E$9, 100%, $G$9) + CHOOSE(CONTROL!$C$38, 0.0369, 0)</f>
        <v>28.840799999999998</v>
      </c>
      <c r="E340" s="46">
        <f>30.4058 * CHOOSE(CONTROL!$C$15, $E$9, 100%, $G$9) + CHOOSE(CONTROL!$C$38, 0.0369, 0)</f>
        <v>30.442699999999999</v>
      </c>
      <c r="F340" s="45">
        <f>30.4058 * CHOOSE(CONTROL!$C$15, $E$9, 100%, $G$9) + CHOOSE(CONTROL!$C$38, 0.0278, 0)</f>
        <v>30.433599999999998</v>
      </c>
      <c r="G340" s="14">
        <f>28.8102 * CHOOSE(CONTROL!$C$15, $E$9, 100%, $G$9) + CHOOSE(CONTROL!$C$38, 0.0369, 0)</f>
        <v>28.847099999999998</v>
      </c>
      <c r="H340" s="14">
        <f>28.8102 * CHOOSE(CONTROL!$C$15, $E$9, 100%, $G$9) + CHOOSE(CONTROL!$C$38, 0.0369, 0)</f>
        <v>28.847099999999998</v>
      </c>
      <c r="I340" s="14">
        <f>28.8117 * CHOOSE(CONTROL!$C$15, $E$9, 100%, $G$9) + CHOOSE(CONTROL!$C$38, 0.0369, 0)</f>
        <v>28.848599999999998</v>
      </c>
      <c r="J340" s="44">
        <f>225.924</f>
        <v>225.92400000000001</v>
      </c>
    </row>
    <row r="341" spans="1:10" ht="15.75" x14ac:dyDescent="0.25">
      <c r="A341" s="33">
        <v>51317</v>
      </c>
      <c r="B341" s="14">
        <f>29.9977 * CHOOSE(CONTROL!$C$15, $E$9, 100%, $G$9) + CHOOSE(CONTROL!$C$38, 0.0278, 0)</f>
        <v>30.025499999999997</v>
      </c>
      <c r="C341" s="14">
        <f>28.2474 * CHOOSE(CONTROL!$C$15, $E$9, 100%, $G$9) + CHOOSE(CONTROL!$C$38, 0.0369, 0)</f>
        <v>28.284299999999998</v>
      </c>
      <c r="D341" s="14">
        <f>28.2396 * CHOOSE(CONTROL!$C$15, $E$9, 100%, $G$9) + CHOOSE(CONTROL!$C$38, 0.0369, 0)</f>
        <v>28.276499999999999</v>
      </c>
      <c r="E341" s="46">
        <f>29.8415 * CHOOSE(CONTROL!$C$15, $E$9, 100%, $G$9) + CHOOSE(CONTROL!$C$38, 0.0369, 0)</f>
        <v>29.878399999999999</v>
      </c>
      <c r="F341" s="45">
        <f>29.8415 * CHOOSE(CONTROL!$C$15, $E$9, 100%, $G$9) + CHOOSE(CONTROL!$C$38, 0.0278, 0)</f>
        <v>29.869299999999999</v>
      </c>
      <c r="G341" s="14">
        <f>28.2458 * CHOOSE(CONTROL!$C$15, $E$9, 100%, $G$9) + CHOOSE(CONTROL!$C$38, 0.0369, 0)</f>
        <v>28.282699999999998</v>
      </c>
      <c r="H341" s="14">
        <f>28.2458 * CHOOSE(CONTROL!$C$15, $E$9, 100%, $G$9) + CHOOSE(CONTROL!$C$38, 0.0369, 0)</f>
        <v>28.282699999999998</v>
      </c>
      <c r="I341" s="14">
        <f>28.2474 * CHOOSE(CONTROL!$C$15, $E$9, 100%, $G$9) + CHOOSE(CONTROL!$C$38, 0.0369, 0)</f>
        <v>28.284299999999998</v>
      </c>
      <c r="J341" s="44">
        <f>229.1793</f>
        <v>229.17930000000001</v>
      </c>
    </row>
    <row r="342" spans="1:10" ht="15.75" x14ac:dyDescent="0.25">
      <c r="A342" s="33">
        <v>51348</v>
      </c>
      <c r="B342" s="14">
        <f>29.6757 * CHOOSE(CONTROL!$C$15, $E$9, 100%, $G$9) + CHOOSE(CONTROL!$C$38, 0.0278, 0)</f>
        <v>29.703499999999998</v>
      </c>
      <c r="C342" s="14">
        <f>27.9253 * CHOOSE(CONTROL!$C$15, $E$9, 100%, $G$9) + CHOOSE(CONTROL!$C$38, 0.0369, 0)</f>
        <v>27.962199999999999</v>
      </c>
      <c r="D342" s="14">
        <f>27.9175 * CHOOSE(CONTROL!$C$15, $E$9, 100%, $G$9) + CHOOSE(CONTROL!$C$38, 0.0369, 0)</f>
        <v>27.9544</v>
      </c>
      <c r="E342" s="46">
        <f>29.5194 * CHOOSE(CONTROL!$C$15, $E$9, 100%, $G$9) + CHOOSE(CONTROL!$C$38, 0.0369, 0)</f>
        <v>29.5563</v>
      </c>
      <c r="F342" s="45">
        <f>29.5194 * CHOOSE(CONTROL!$C$15, $E$9, 100%, $G$9) + CHOOSE(CONTROL!$C$38, 0.0278, 0)</f>
        <v>29.5472</v>
      </c>
      <c r="G342" s="14">
        <f>27.9238 * CHOOSE(CONTROL!$C$15, $E$9, 100%, $G$9) + CHOOSE(CONTROL!$C$38, 0.0369, 0)</f>
        <v>27.960699999999999</v>
      </c>
      <c r="H342" s="14">
        <f>27.9238 * CHOOSE(CONTROL!$C$15, $E$9, 100%, $G$9) + CHOOSE(CONTROL!$C$38, 0.0369, 0)</f>
        <v>27.960699999999999</v>
      </c>
      <c r="I342" s="14">
        <f>27.9253 * CHOOSE(CONTROL!$C$15, $E$9, 100%, $G$9) + CHOOSE(CONTROL!$C$38, 0.0369, 0)</f>
        <v>27.962199999999999</v>
      </c>
      <c r="J342" s="44">
        <f>228.1075</f>
        <v>228.10749999999999</v>
      </c>
    </row>
    <row r="343" spans="1:10" ht="15.75" x14ac:dyDescent="0.25">
      <c r="A343" s="33">
        <v>51379</v>
      </c>
      <c r="B343" s="14">
        <f>29.8346 * CHOOSE(CONTROL!$C$15, $E$9, 100%, $G$9) + CHOOSE(CONTROL!$C$38, 0.0278, 0)</f>
        <v>29.862399999999997</v>
      </c>
      <c r="C343" s="14">
        <f>28.0843 * CHOOSE(CONTROL!$C$15, $E$9, 100%, $G$9) + CHOOSE(CONTROL!$C$38, 0.0369, 0)</f>
        <v>28.121199999999998</v>
      </c>
      <c r="D343" s="14">
        <f>28.0765 * CHOOSE(CONTROL!$C$15, $E$9, 100%, $G$9) + CHOOSE(CONTROL!$C$38, 0.0369, 0)</f>
        <v>28.113399999999999</v>
      </c>
      <c r="E343" s="46">
        <f>29.6784 * CHOOSE(CONTROL!$C$15, $E$9, 100%, $G$9) + CHOOSE(CONTROL!$C$38, 0.0369, 0)</f>
        <v>29.715299999999999</v>
      </c>
      <c r="F343" s="45">
        <f>29.6784 * CHOOSE(CONTROL!$C$15, $E$9, 100%, $G$9) + CHOOSE(CONTROL!$C$38, 0.0278, 0)</f>
        <v>29.706199999999999</v>
      </c>
      <c r="G343" s="14">
        <f>28.0827 * CHOOSE(CONTROL!$C$15, $E$9, 100%, $G$9) + CHOOSE(CONTROL!$C$38, 0.0369, 0)</f>
        <v>28.119599999999998</v>
      </c>
      <c r="H343" s="14">
        <f>28.0827 * CHOOSE(CONTROL!$C$15, $E$9, 100%, $G$9) + CHOOSE(CONTROL!$C$38, 0.0369, 0)</f>
        <v>28.119599999999998</v>
      </c>
      <c r="I343" s="14">
        <f>28.0843 * CHOOSE(CONTROL!$C$15, $E$9, 100%, $G$9) + CHOOSE(CONTROL!$C$38, 0.0369, 0)</f>
        <v>28.121199999999998</v>
      </c>
      <c r="J343" s="44">
        <f>222.7973</f>
        <v>222.79730000000001</v>
      </c>
    </row>
    <row r="344" spans="1:10" ht="15.75" x14ac:dyDescent="0.25">
      <c r="A344" s="33">
        <v>51409</v>
      </c>
      <c r="B344" s="14">
        <f>30.2663 * CHOOSE(CONTROL!$C$15, $E$9, 100%, $G$9) + CHOOSE(CONTROL!$C$38, 0.0278, 0)</f>
        <v>30.2941</v>
      </c>
      <c r="C344" s="14">
        <f>28.516 * CHOOSE(CONTROL!$C$15, $E$9, 100%, $G$9) + CHOOSE(CONTROL!$C$38, 0.0369, 0)</f>
        <v>28.552899999999998</v>
      </c>
      <c r="D344" s="14">
        <f>28.5082 * CHOOSE(CONTROL!$C$15, $E$9, 100%, $G$9) + CHOOSE(CONTROL!$C$38, 0.0369, 0)</f>
        <v>28.545099999999998</v>
      </c>
      <c r="E344" s="46">
        <f>30.1101 * CHOOSE(CONTROL!$C$15, $E$9, 100%, $G$9) + CHOOSE(CONTROL!$C$38, 0.0369, 0)</f>
        <v>30.146999999999998</v>
      </c>
      <c r="F344" s="45">
        <f>30.1101 * CHOOSE(CONTROL!$C$15, $E$9, 100%, $G$9) + CHOOSE(CONTROL!$C$38, 0.0278, 0)</f>
        <v>30.137899999999998</v>
      </c>
      <c r="G344" s="14">
        <f>28.5144 * CHOOSE(CONTROL!$C$15, $E$9, 100%, $G$9) + CHOOSE(CONTROL!$C$38, 0.0369, 0)</f>
        <v>28.551299999999998</v>
      </c>
      <c r="H344" s="14">
        <f>28.5144 * CHOOSE(CONTROL!$C$15, $E$9, 100%, $G$9) + CHOOSE(CONTROL!$C$38, 0.0369, 0)</f>
        <v>28.551299999999998</v>
      </c>
      <c r="I344" s="14">
        <f>28.516 * CHOOSE(CONTROL!$C$15, $E$9, 100%, $G$9) + CHOOSE(CONTROL!$C$38, 0.0369, 0)</f>
        <v>28.552899999999998</v>
      </c>
      <c r="J344" s="44">
        <f>215.3919</f>
        <v>215.39189999999999</v>
      </c>
    </row>
    <row r="345" spans="1:10" ht="15.75" x14ac:dyDescent="0.25">
      <c r="A345" s="33">
        <v>51440</v>
      </c>
      <c r="B345" s="14">
        <f>30.6279 * CHOOSE(CONTROL!$C$15, $E$9, 100%, $G$9) + CHOOSE(CONTROL!$C$38, 0.0256, 0)</f>
        <v>30.653500000000001</v>
      </c>
      <c r="C345" s="14">
        <f>28.8776 * CHOOSE(CONTROL!$C$15, $E$9, 100%, $G$9) + CHOOSE(CONTROL!$C$38, 0.0347, 0)</f>
        <v>28.912300000000002</v>
      </c>
      <c r="D345" s="14">
        <f>28.8698 * CHOOSE(CONTROL!$C$15, $E$9, 100%, $G$9) + CHOOSE(CONTROL!$C$38, 0.0347, 0)</f>
        <v>28.904500000000002</v>
      </c>
      <c r="E345" s="46">
        <f>30.4716 * CHOOSE(CONTROL!$C$15, $E$9, 100%, $G$9) + CHOOSE(CONTROL!$C$38, 0.0347, 0)</f>
        <v>30.5063</v>
      </c>
      <c r="F345" s="45">
        <f>30.4716 * CHOOSE(CONTROL!$C$15, $E$9, 100%, $G$9) + CHOOSE(CONTROL!$C$38, 0.0256, 0)</f>
        <v>30.497199999999999</v>
      </c>
      <c r="G345" s="14">
        <f>28.876 * CHOOSE(CONTROL!$C$15, $E$9, 100%, $G$9) + CHOOSE(CONTROL!$C$38, 0.0347, 0)</f>
        <v>28.910700000000002</v>
      </c>
      <c r="H345" s="14">
        <f>28.876 * CHOOSE(CONTROL!$C$15, $E$9, 100%, $G$9) + CHOOSE(CONTROL!$C$38, 0.0347, 0)</f>
        <v>28.910700000000002</v>
      </c>
      <c r="I345" s="14">
        <f>28.8776 * CHOOSE(CONTROL!$C$15, $E$9, 100%, $G$9) + CHOOSE(CONTROL!$C$38, 0.0347, 0)</f>
        <v>28.912300000000002</v>
      </c>
      <c r="J345" s="44">
        <f>207.9434</f>
        <v>207.9434</v>
      </c>
    </row>
    <row r="346" spans="1:10" ht="15.75" x14ac:dyDescent="0.25">
      <c r="A346" s="33">
        <v>51470</v>
      </c>
      <c r="B346" s="14">
        <f>30.9296 * CHOOSE(CONTROL!$C$15, $E$9, 100%, $G$9) + CHOOSE(CONTROL!$C$38, 0.0256, 0)</f>
        <v>30.955200000000001</v>
      </c>
      <c r="C346" s="14">
        <f>29.1793 * CHOOSE(CONTROL!$C$15, $E$9, 100%, $G$9) + CHOOSE(CONTROL!$C$38, 0.0347, 0)</f>
        <v>29.214000000000002</v>
      </c>
      <c r="D346" s="14">
        <f>29.1715 * CHOOSE(CONTROL!$C$15, $E$9, 100%, $G$9) + CHOOSE(CONTROL!$C$38, 0.0347, 0)</f>
        <v>29.206200000000003</v>
      </c>
      <c r="E346" s="46">
        <f>30.7734 * CHOOSE(CONTROL!$C$15, $E$9, 100%, $G$9) + CHOOSE(CONTROL!$C$38, 0.0347, 0)</f>
        <v>30.8081</v>
      </c>
      <c r="F346" s="45">
        <f>30.7734 * CHOOSE(CONTROL!$C$15, $E$9, 100%, $G$9) + CHOOSE(CONTROL!$C$38, 0.0256, 0)</f>
        <v>30.798999999999999</v>
      </c>
      <c r="G346" s="14">
        <f>29.1777 * CHOOSE(CONTROL!$C$15, $E$9, 100%, $G$9) + CHOOSE(CONTROL!$C$38, 0.0347, 0)</f>
        <v>29.212400000000002</v>
      </c>
      <c r="H346" s="14">
        <f>29.1777 * CHOOSE(CONTROL!$C$15, $E$9, 100%, $G$9) + CHOOSE(CONTROL!$C$38, 0.0347, 0)</f>
        <v>29.212400000000002</v>
      </c>
      <c r="I346" s="14">
        <f>29.1793 * CHOOSE(CONTROL!$C$15, $E$9, 100%, $G$9) + CHOOSE(CONTROL!$C$38, 0.0347, 0)</f>
        <v>29.214000000000002</v>
      </c>
      <c r="J346" s="44">
        <f>206.4617</f>
        <v>206.46170000000001</v>
      </c>
    </row>
    <row r="347" spans="1:10" ht="15.75" x14ac:dyDescent="0.25">
      <c r="A347" s="33">
        <v>51501</v>
      </c>
      <c r="B347" s="14">
        <f>31.8593 * CHOOSE(CONTROL!$C$15, $E$9, 100%, $G$9) + CHOOSE(CONTROL!$C$38, 0.0256, 0)</f>
        <v>31.884900000000002</v>
      </c>
      <c r="C347" s="14">
        <f>30.1089 * CHOOSE(CONTROL!$C$15, $E$9, 100%, $G$9) + CHOOSE(CONTROL!$C$38, 0.0347, 0)</f>
        <v>30.143599999999999</v>
      </c>
      <c r="D347" s="14">
        <f>30.1011 * CHOOSE(CONTROL!$C$15, $E$9, 100%, $G$9) + CHOOSE(CONTROL!$C$38, 0.0347, 0)</f>
        <v>30.1358</v>
      </c>
      <c r="E347" s="46">
        <f>31.703 * CHOOSE(CONTROL!$C$15, $E$9, 100%, $G$9) + CHOOSE(CONTROL!$C$38, 0.0347, 0)</f>
        <v>31.7377</v>
      </c>
      <c r="F347" s="45">
        <f>31.703 * CHOOSE(CONTROL!$C$15, $E$9, 100%, $G$9) + CHOOSE(CONTROL!$C$38, 0.0256, 0)</f>
        <v>31.7286</v>
      </c>
      <c r="G347" s="14">
        <f>30.1074 * CHOOSE(CONTROL!$C$15, $E$9, 100%, $G$9) + CHOOSE(CONTROL!$C$38, 0.0347, 0)</f>
        <v>30.142099999999999</v>
      </c>
      <c r="H347" s="14">
        <f>30.1074 * CHOOSE(CONTROL!$C$15, $E$9, 100%, $G$9) + CHOOSE(CONTROL!$C$38, 0.0347, 0)</f>
        <v>30.142099999999999</v>
      </c>
      <c r="I347" s="14">
        <f>30.1089 * CHOOSE(CONTROL!$C$15, $E$9, 100%, $G$9) + CHOOSE(CONTROL!$C$38, 0.0347, 0)</f>
        <v>30.143599999999999</v>
      </c>
      <c r="J347" s="44">
        <f>200.335</f>
        <v>200.33500000000001</v>
      </c>
    </row>
    <row r="348" spans="1:10" ht="15.75" x14ac:dyDescent="0.25">
      <c r="A348" s="33">
        <v>51532</v>
      </c>
      <c r="B348" s="14">
        <f>33.1036 * CHOOSE(CONTROL!$C$15, $E$9, 100%, $G$9) + CHOOSE(CONTROL!$C$38, 0.0256, 0)</f>
        <v>33.129199999999997</v>
      </c>
      <c r="C348" s="14">
        <f>31.3265 * CHOOSE(CONTROL!$C$15, $E$9, 100%, $G$9) + CHOOSE(CONTROL!$C$38, 0.0347, 0)</f>
        <v>31.3612</v>
      </c>
      <c r="D348" s="14">
        <f>31.3187 * CHOOSE(CONTROL!$C$15, $E$9, 100%, $G$9) + CHOOSE(CONTROL!$C$38, 0.0347, 0)</f>
        <v>31.353400000000001</v>
      </c>
      <c r="E348" s="46">
        <f>32.9473 * CHOOSE(CONTROL!$C$15, $E$9, 100%, $G$9) + CHOOSE(CONTROL!$C$38, 0.0347, 0)</f>
        <v>32.981999999999999</v>
      </c>
      <c r="F348" s="45">
        <f>32.9473 * CHOOSE(CONTROL!$C$15, $E$9, 100%, $G$9) + CHOOSE(CONTROL!$C$38, 0.0256, 0)</f>
        <v>32.972899999999996</v>
      </c>
      <c r="G348" s="14">
        <f>31.3249 * CHOOSE(CONTROL!$C$15, $E$9, 100%, $G$9) + CHOOSE(CONTROL!$C$38, 0.0347, 0)</f>
        <v>31.3596</v>
      </c>
      <c r="H348" s="14">
        <f>31.3249 * CHOOSE(CONTROL!$C$15, $E$9, 100%, $G$9) + CHOOSE(CONTROL!$C$38, 0.0347, 0)</f>
        <v>31.3596</v>
      </c>
      <c r="I348" s="14">
        <f>31.3265 * CHOOSE(CONTROL!$C$15, $E$9, 100%, $G$9) + CHOOSE(CONTROL!$C$38, 0.0347, 0)</f>
        <v>31.3612</v>
      </c>
      <c r="J348" s="44">
        <f>200.0766</f>
        <v>200.07660000000001</v>
      </c>
    </row>
    <row r="349" spans="1:10" ht="15.75" x14ac:dyDescent="0.25">
      <c r="A349" s="33">
        <v>51560</v>
      </c>
      <c r="B349" s="14">
        <f>33.4479 * CHOOSE(CONTROL!$C$15, $E$9, 100%, $G$9) + CHOOSE(CONTROL!$C$38, 0.0256, 0)</f>
        <v>33.473499999999994</v>
      </c>
      <c r="C349" s="14">
        <f>31.6708 * CHOOSE(CONTROL!$C$15, $E$9, 100%, $G$9) + CHOOSE(CONTROL!$C$38, 0.0347, 0)</f>
        <v>31.705500000000001</v>
      </c>
      <c r="D349" s="14">
        <f>31.663 * CHOOSE(CONTROL!$C$15, $E$9, 100%, $G$9) + CHOOSE(CONTROL!$C$38, 0.0347, 0)</f>
        <v>31.697700000000001</v>
      </c>
      <c r="E349" s="46">
        <f>33.2917 * CHOOSE(CONTROL!$C$15, $E$9, 100%, $G$9) + CHOOSE(CONTROL!$C$38, 0.0347, 0)</f>
        <v>33.3264</v>
      </c>
      <c r="F349" s="45">
        <f>33.2917 * CHOOSE(CONTROL!$C$15, $E$9, 100%, $G$9) + CHOOSE(CONTROL!$C$38, 0.0256, 0)</f>
        <v>33.317299999999996</v>
      </c>
      <c r="G349" s="14">
        <f>31.6692 * CHOOSE(CONTROL!$C$15, $E$9, 100%, $G$9) + CHOOSE(CONTROL!$C$38, 0.0347, 0)</f>
        <v>31.703900000000001</v>
      </c>
      <c r="H349" s="14">
        <f>31.6692 * CHOOSE(CONTROL!$C$15, $E$9, 100%, $G$9) + CHOOSE(CONTROL!$C$38, 0.0347, 0)</f>
        <v>31.703900000000001</v>
      </c>
      <c r="I349" s="14">
        <f>31.6708 * CHOOSE(CONTROL!$C$15, $E$9, 100%, $G$9) + CHOOSE(CONTROL!$C$38, 0.0347, 0)</f>
        <v>31.705500000000001</v>
      </c>
      <c r="J349" s="44">
        <f>199.5205</f>
        <v>199.5205</v>
      </c>
    </row>
    <row r="350" spans="1:10" ht="15.75" x14ac:dyDescent="0.25">
      <c r="A350" s="33">
        <v>51591</v>
      </c>
      <c r="B350" s="14">
        <f>32.6509 * CHOOSE(CONTROL!$C$15, $E$9, 100%, $G$9) + CHOOSE(CONTROL!$C$38, 0.0256, 0)</f>
        <v>32.676499999999997</v>
      </c>
      <c r="C350" s="14">
        <f>30.8738 * CHOOSE(CONTROL!$C$15, $E$9, 100%, $G$9) + CHOOSE(CONTROL!$C$38, 0.0347, 0)</f>
        <v>30.9085</v>
      </c>
      <c r="D350" s="14">
        <f>30.8659 * CHOOSE(CONTROL!$C$15, $E$9, 100%, $G$9) + CHOOSE(CONTROL!$C$38, 0.0347, 0)</f>
        <v>30.900600000000001</v>
      </c>
      <c r="E350" s="46">
        <f>32.4946 * CHOOSE(CONTROL!$C$15, $E$9, 100%, $G$9) + CHOOSE(CONTROL!$C$38, 0.0347, 0)</f>
        <v>32.529299999999999</v>
      </c>
      <c r="F350" s="45">
        <f>32.4946 * CHOOSE(CONTROL!$C$15, $E$9, 100%, $G$9) + CHOOSE(CONTROL!$C$38, 0.0256, 0)</f>
        <v>32.520199999999996</v>
      </c>
      <c r="G350" s="14">
        <f>30.8722 * CHOOSE(CONTROL!$C$15, $E$9, 100%, $G$9) + CHOOSE(CONTROL!$C$38, 0.0347, 0)</f>
        <v>30.9069</v>
      </c>
      <c r="H350" s="14">
        <f>30.8722 * CHOOSE(CONTROL!$C$15, $E$9, 100%, $G$9) + CHOOSE(CONTROL!$C$38, 0.0347, 0)</f>
        <v>30.9069</v>
      </c>
      <c r="I350" s="14">
        <f>30.8738 * CHOOSE(CONTROL!$C$15, $E$9, 100%, $G$9) + CHOOSE(CONTROL!$C$38, 0.0347, 0)</f>
        <v>30.9085</v>
      </c>
      <c r="J350" s="44">
        <f>210.0364</f>
        <v>210.03639999999999</v>
      </c>
    </row>
    <row r="351" spans="1:10" ht="15.75" x14ac:dyDescent="0.25">
      <c r="A351" s="33">
        <v>51621</v>
      </c>
      <c r="B351" s="14">
        <f>31.8786 * CHOOSE(CONTROL!$C$15, $E$9, 100%, $G$9) + CHOOSE(CONTROL!$C$38, 0.0256, 0)</f>
        <v>31.904199999999999</v>
      </c>
      <c r="C351" s="14">
        <f>30.1014 * CHOOSE(CONTROL!$C$15, $E$9, 100%, $G$9) + CHOOSE(CONTROL!$C$38, 0.0347, 0)</f>
        <v>30.136100000000003</v>
      </c>
      <c r="D351" s="14">
        <f>30.0936 * CHOOSE(CONTROL!$C$15, $E$9, 100%, $G$9) + CHOOSE(CONTROL!$C$38, 0.0347, 0)</f>
        <v>30.128299999999999</v>
      </c>
      <c r="E351" s="46">
        <f>31.7223 * CHOOSE(CONTROL!$C$15, $E$9, 100%, $G$9) + CHOOSE(CONTROL!$C$38, 0.0347, 0)</f>
        <v>31.757000000000001</v>
      </c>
      <c r="F351" s="45">
        <f>31.7223 * CHOOSE(CONTROL!$C$15, $E$9, 100%, $G$9) + CHOOSE(CONTROL!$C$38, 0.0256, 0)</f>
        <v>31.747900000000001</v>
      </c>
      <c r="G351" s="14">
        <f>30.0999 * CHOOSE(CONTROL!$C$15, $E$9, 100%, $G$9) + CHOOSE(CONTROL!$C$38, 0.0347, 0)</f>
        <v>30.134600000000002</v>
      </c>
      <c r="H351" s="14">
        <f>30.0999 * CHOOSE(CONTROL!$C$15, $E$9, 100%, $G$9) + CHOOSE(CONTROL!$C$38, 0.0347, 0)</f>
        <v>30.134600000000002</v>
      </c>
      <c r="I351" s="14">
        <f>30.1014 * CHOOSE(CONTROL!$C$15, $E$9, 100%, $G$9) + CHOOSE(CONTROL!$C$38, 0.0347, 0)</f>
        <v>30.136100000000003</v>
      </c>
      <c r="J351" s="44">
        <f>223.673</f>
        <v>223.673</v>
      </c>
    </row>
    <row r="352" spans="1:10" ht="15.75" x14ac:dyDescent="0.25">
      <c r="A352" s="33">
        <v>51652</v>
      </c>
      <c r="B352" s="14">
        <f>31.0736 * CHOOSE(CONTROL!$C$15, $E$9, 100%, $G$9) + CHOOSE(CONTROL!$C$38, 0.0278, 0)</f>
        <v>31.101399999999998</v>
      </c>
      <c r="C352" s="14">
        <f>29.2965 * CHOOSE(CONTROL!$C$15, $E$9, 100%, $G$9) + CHOOSE(CONTROL!$C$38, 0.0369, 0)</f>
        <v>29.333400000000001</v>
      </c>
      <c r="D352" s="14">
        <f>29.2887 * CHOOSE(CONTROL!$C$15, $E$9, 100%, $G$9) + CHOOSE(CONTROL!$C$38, 0.0369, 0)</f>
        <v>29.325599999999998</v>
      </c>
      <c r="E352" s="46">
        <f>30.9173 * CHOOSE(CONTROL!$C$15, $E$9, 100%, $G$9) + CHOOSE(CONTROL!$C$38, 0.0369, 0)</f>
        <v>30.9542</v>
      </c>
      <c r="F352" s="45">
        <f>30.9173 * CHOOSE(CONTROL!$C$15, $E$9, 100%, $G$9) + CHOOSE(CONTROL!$C$38, 0.0278, 0)</f>
        <v>30.9451</v>
      </c>
      <c r="G352" s="14">
        <f>29.2949 * CHOOSE(CONTROL!$C$15, $E$9, 100%, $G$9) + CHOOSE(CONTROL!$C$38, 0.0369, 0)</f>
        <v>29.331799999999998</v>
      </c>
      <c r="H352" s="14">
        <f>29.2949 * CHOOSE(CONTROL!$C$15, $E$9, 100%, $G$9) + CHOOSE(CONTROL!$C$38, 0.0369, 0)</f>
        <v>29.331799999999998</v>
      </c>
      <c r="I352" s="14">
        <f>29.2965 * CHOOSE(CONTROL!$C$15, $E$9, 100%, $G$9) + CHOOSE(CONTROL!$C$38, 0.0369, 0)</f>
        <v>29.333400000000001</v>
      </c>
      <c r="J352" s="44">
        <f>231.179</f>
        <v>231.179</v>
      </c>
    </row>
    <row r="353" spans="1:10" ht="15.75" x14ac:dyDescent="0.25">
      <c r="A353" s="33">
        <v>51682</v>
      </c>
      <c r="B353" s="14">
        <f>30.5093 * CHOOSE(CONTROL!$C$15, $E$9, 100%, $G$9) + CHOOSE(CONTROL!$C$38, 0.0278, 0)</f>
        <v>30.537099999999999</v>
      </c>
      <c r="C353" s="14">
        <f>28.7321 * CHOOSE(CONTROL!$C$15, $E$9, 100%, $G$9) + CHOOSE(CONTROL!$C$38, 0.0369, 0)</f>
        <v>28.768999999999998</v>
      </c>
      <c r="D353" s="14">
        <f>28.7243 * CHOOSE(CONTROL!$C$15, $E$9, 100%, $G$9) + CHOOSE(CONTROL!$C$38, 0.0369, 0)</f>
        <v>28.761199999999999</v>
      </c>
      <c r="E353" s="46">
        <f>30.353 * CHOOSE(CONTROL!$C$15, $E$9, 100%, $G$9) + CHOOSE(CONTROL!$C$38, 0.0369, 0)</f>
        <v>30.389900000000001</v>
      </c>
      <c r="F353" s="45">
        <f>30.353 * CHOOSE(CONTROL!$C$15, $E$9, 100%, $G$9) + CHOOSE(CONTROL!$C$38, 0.0278, 0)</f>
        <v>30.380800000000001</v>
      </c>
      <c r="G353" s="14">
        <f>28.7306 * CHOOSE(CONTROL!$C$15, $E$9, 100%, $G$9) + CHOOSE(CONTROL!$C$38, 0.0369, 0)</f>
        <v>28.767499999999998</v>
      </c>
      <c r="H353" s="14">
        <f>28.7306 * CHOOSE(CONTROL!$C$15, $E$9, 100%, $G$9) + CHOOSE(CONTROL!$C$38, 0.0369, 0)</f>
        <v>28.767499999999998</v>
      </c>
      <c r="I353" s="14">
        <f>28.7321 * CHOOSE(CONTROL!$C$15, $E$9, 100%, $G$9) + CHOOSE(CONTROL!$C$38, 0.0369, 0)</f>
        <v>28.768999999999998</v>
      </c>
      <c r="J353" s="44">
        <f>234.51</f>
        <v>234.51</v>
      </c>
    </row>
    <row r="354" spans="1:10" ht="15.75" x14ac:dyDescent="0.25">
      <c r="A354" s="33">
        <v>51713</v>
      </c>
      <c r="B354" s="14">
        <f>30.1872 * CHOOSE(CONTROL!$C$15, $E$9, 100%, $G$9) + CHOOSE(CONTROL!$C$38, 0.0278, 0)</f>
        <v>30.215</v>
      </c>
      <c r="C354" s="14">
        <f>28.4101 * CHOOSE(CONTROL!$C$15, $E$9, 100%, $G$9) + CHOOSE(CONTROL!$C$38, 0.0369, 0)</f>
        <v>28.446999999999999</v>
      </c>
      <c r="D354" s="14">
        <f>28.4023 * CHOOSE(CONTROL!$C$15, $E$9, 100%, $G$9) + CHOOSE(CONTROL!$C$38, 0.0369, 0)</f>
        <v>28.4392</v>
      </c>
      <c r="E354" s="46">
        <f>30.031 * CHOOSE(CONTROL!$C$15, $E$9, 100%, $G$9) + CHOOSE(CONTROL!$C$38, 0.0369, 0)</f>
        <v>30.067899999999998</v>
      </c>
      <c r="F354" s="45">
        <f>30.031 * CHOOSE(CONTROL!$C$15, $E$9, 100%, $G$9) + CHOOSE(CONTROL!$C$38, 0.0278, 0)</f>
        <v>30.058799999999998</v>
      </c>
      <c r="G354" s="14">
        <f>28.4085 * CHOOSE(CONTROL!$C$15, $E$9, 100%, $G$9) + CHOOSE(CONTROL!$C$38, 0.0369, 0)</f>
        <v>28.445399999999999</v>
      </c>
      <c r="H354" s="14">
        <f>28.4085 * CHOOSE(CONTROL!$C$15, $E$9, 100%, $G$9) + CHOOSE(CONTROL!$C$38, 0.0369, 0)</f>
        <v>28.445399999999999</v>
      </c>
      <c r="I354" s="14">
        <f>28.4101 * CHOOSE(CONTROL!$C$15, $E$9, 100%, $G$9) + CHOOSE(CONTROL!$C$38, 0.0369, 0)</f>
        <v>28.446999999999999</v>
      </c>
      <c r="J354" s="44">
        <f>233.4133</f>
        <v>233.41329999999999</v>
      </c>
    </row>
    <row r="355" spans="1:10" ht="15.75" x14ac:dyDescent="0.25">
      <c r="A355" s="33">
        <v>51744</v>
      </c>
      <c r="B355" s="14">
        <f>30.3462 * CHOOSE(CONTROL!$C$15, $E$9, 100%, $G$9) + CHOOSE(CONTROL!$C$38, 0.0278, 0)</f>
        <v>30.373999999999999</v>
      </c>
      <c r="C355" s="14">
        <f>28.569 * CHOOSE(CONTROL!$C$15, $E$9, 100%, $G$9) + CHOOSE(CONTROL!$C$38, 0.0369, 0)</f>
        <v>28.605899999999998</v>
      </c>
      <c r="D355" s="14">
        <f>28.5612 * CHOOSE(CONTROL!$C$15, $E$9, 100%, $G$9) + CHOOSE(CONTROL!$C$38, 0.0369, 0)</f>
        <v>28.598099999999999</v>
      </c>
      <c r="E355" s="46">
        <f>30.1899 * CHOOSE(CONTROL!$C$15, $E$9, 100%, $G$9) + CHOOSE(CONTROL!$C$38, 0.0369, 0)</f>
        <v>30.226800000000001</v>
      </c>
      <c r="F355" s="45">
        <f>30.1899 * CHOOSE(CONTROL!$C$15, $E$9, 100%, $G$9) + CHOOSE(CONTROL!$C$38, 0.0278, 0)</f>
        <v>30.217700000000001</v>
      </c>
      <c r="G355" s="14">
        <f>28.5675 * CHOOSE(CONTROL!$C$15, $E$9, 100%, $G$9) + CHOOSE(CONTROL!$C$38, 0.0369, 0)</f>
        <v>28.604399999999998</v>
      </c>
      <c r="H355" s="14">
        <f>28.5675 * CHOOSE(CONTROL!$C$15, $E$9, 100%, $G$9) + CHOOSE(CONTROL!$C$38, 0.0369, 0)</f>
        <v>28.604399999999998</v>
      </c>
      <c r="I355" s="14">
        <f>28.569 * CHOOSE(CONTROL!$C$15, $E$9, 100%, $G$9) + CHOOSE(CONTROL!$C$38, 0.0369, 0)</f>
        <v>28.605899999999998</v>
      </c>
      <c r="J355" s="44">
        <f>227.9795</f>
        <v>227.9795</v>
      </c>
    </row>
    <row r="356" spans="1:10" ht="15.75" x14ac:dyDescent="0.25">
      <c r="A356" s="33">
        <v>51774</v>
      </c>
      <c r="B356" s="14">
        <f>30.7779 * CHOOSE(CONTROL!$C$15, $E$9, 100%, $G$9) + CHOOSE(CONTROL!$C$38, 0.0278, 0)</f>
        <v>30.805699999999998</v>
      </c>
      <c r="C356" s="14">
        <f>29.0007 * CHOOSE(CONTROL!$C$15, $E$9, 100%, $G$9) + CHOOSE(CONTROL!$C$38, 0.0369, 0)</f>
        <v>29.037599999999998</v>
      </c>
      <c r="D356" s="14">
        <f>28.9929 * CHOOSE(CONTROL!$C$15, $E$9, 100%, $G$9) + CHOOSE(CONTROL!$C$38, 0.0369, 0)</f>
        <v>29.029799999999998</v>
      </c>
      <c r="E356" s="46">
        <f>30.6216 * CHOOSE(CONTROL!$C$15, $E$9, 100%, $G$9) + CHOOSE(CONTROL!$C$38, 0.0369, 0)</f>
        <v>30.6585</v>
      </c>
      <c r="F356" s="45">
        <f>30.6216 * CHOOSE(CONTROL!$C$15, $E$9, 100%, $G$9) + CHOOSE(CONTROL!$C$38, 0.0278, 0)</f>
        <v>30.6494</v>
      </c>
      <c r="G356" s="14">
        <f>28.9992 * CHOOSE(CONTROL!$C$15, $E$9, 100%, $G$9) + CHOOSE(CONTROL!$C$38, 0.0369, 0)</f>
        <v>29.036099999999998</v>
      </c>
      <c r="H356" s="14">
        <f>28.9992 * CHOOSE(CONTROL!$C$15, $E$9, 100%, $G$9) + CHOOSE(CONTROL!$C$38, 0.0369, 0)</f>
        <v>29.036099999999998</v>
      </c>
      <c r="I356" s="14">
        <f>29.0007 * CHOOSE(CONTROL!$C$15, $E$9, 100%, $G$9) + CHOOSE(CONTROL!$C$38, 0.0369, 0)</f>
        <v>29.037599999999998</v>
      </c>
      <c r="J356" s="44">
        <f>220.4019</f>
        <v>220.40190000000001</v>
      </c>
    </row>
    <row r="357" spans="1:10" ht="15.75" x14ac:dyDescent="0.25">
      <c r="A357" s="33">
        <v>51805</v>
      </c>
      <c r="B357" s="14">
        <f>31.1394 * CHOOSE(CONTROL!$C$15, $E$9, 100%, $G$9) + CHOOSE(CONTROL!$C$38, 0.0256, 0)</f>
        <v>31.164999999999999</v>
      </c>
      <c r="C357" s="14">
        <f>29.3623 * CHOOSE(CONTROL!$C$15, $E$9, 100%, $G$9) + CHOOSE(CONTROL!$C$38, 0.0347, 0)</f>
        <v>29.397000000000002</v>
      </c>
      <c r="D357" s="14">
        <f>29.3545 * CHOOSE(CONTROL!$C$15, $E$9, 100%, $G$9) + CHOOSE(CONTROL!$C$38, 0.0347, 0)</f>
        <v>29.389200000000002</v>
      </c>
      <c r="E357" s="46">
        <f>30.9832 * CHOOSE(CONTROL!$C$15, $E$9, 100%, $G$9) + CHOOSE(CONTROL!$C$38, 0.0347, 0)</f>
        <v>31.017900000000001</v>
      </c>
      <c r="F357" s="45">
        <f>30.9832 * CHOOSE(CONTROL!$C$15, $E$9, 100%, $G$9) + CHOOSE(CONTROL!$C$38, 0.0256, 0)</f>
        <v>31.008800000000001</v>
      </c>
      <c r="G357" s="14">
        <f>29.3607 * CHOOSE(CONTROL!$C$15, $E$9, 100%, $G$9) + CHOOSE(CONTROL!$C$38, 0.0347, 0)</f>
        <v>29.395400000000002</v>
      </c>
      <c r="H357" s="14">
        <f>29.3607 * CHOOSE(CONTROL!$C$15, $E$9, 100%, $G$9) + CHOOSE(CONTROL!$C$38, 0.0347, 0)</f>
        <v>29.395400000000002</v>
      </c>
      <c r="I357" s="14">
        <f>29.3623 * CHOOSE(CONTROL!$C$15, $E$9, 100%, $G$9) + CHOOSE(CONTROL!$C$38, 0.0347, 0)</f>
        <v>29.397000000000002</v>
      </c>
      <c r="J357" s="44">
        <f>212.7802</f>
        <v>212.78020000000001</v>
      </c>
    </row>
    <row r="358" spans="1:10" ht="15.75" x14ac:dyDescent="0.25">
      <c r="A358" s="33">
        <v>51835</v>
      </c>
      <c r="B358" s="14">
        <f>31.4411 * CHOOSE(CONTROL!$C$15, $E$9, 100%, $G$9) + CHOOSE(CONTROL!$C$38, 0.0256, 0)</f>
        <v>31.466699999999999</v>
      </c>
      <c r="C358" s="14">
        <f>29.664 * CHOOSE(CONTROL!$C$15, $E$9, 100%, $G$9) + CHOOSE(CONTROL!$C$38, 0.0347, 0)</f>
        <v>29.698700000000002</v>
      </c>
      <c r="D358" s="14">
        <f>29.6562 * CHOOSE(CONTROL!$C$15, $E$9, 100%, $G$9) + CHOOSE(CONTROL!$C$38, 0.0347, 0)</f>
        <v>29.690899999999999</v>
      </c>
      <c r="E358" s="46">
        <f>31.2849 * CHOOSE(CONTROL!$C$15, $E$9, 100%, $G$9) + CHOOSE(CONTROL!$C$38, 0.0347, 0)</f>
        <v>31.319600000000001</v>
      </c>
      <c r="F358" s="45">
        <f>31.2849 * CHOOSE(CONTROL!$C$15, $E$9, 100%, $G$9) + CHOOSE(CONTROL!$C$38, 0.0256, 0)</f>
        <v>31.310500000000001</v>
      </c>
      <c r="G358" s="14">
        <f>29.6625 * CHOOSE(CONTROL!$C$15, $E$9, 100%, $G$9) + CHOOSE(CONTROL!$C$38, 0.0347, 0)</f>
        <v>29.697200000000002</v>
      </c>
      <c r="H358" s="14">
        <f>29.6625 * CHOOSE(CONTROL!$C$15, $E$9, 100%, $G$9) + CHOOSE(CONTROL!$C$38, 0.0347, 0)</f>
        <v>29.697200000000002</v>
      </c>
      <c r="I358" s="14">
        <f>29.664 * CHOOSE(CONTROL!$C$15, $E$9, 100%, $G$9) + CHOOSE(CONTROL!$C$38, 0.0347, 0)</f>
        <v>29.698700000000002</v>
      </c>
      <c r="J358" s="44">
        <f>211.264</f>
        <v>211.26400000000001</v>
      </c>
    </row>
    <row r="359" spans="1:10" ht="15.75" x14ac:dyDescent="0.25">
      <c r="A359" s="33">
        <v>51866</v>
      </c>
      <c r="B359" s="14">
        <f>32.3708 * CHOOSE(CONTROL!$C$15, $E$9, 100%, $G$9) + CHOOSE(CONTROL!$C$38, 0.0256, 0)</f>
        <v>32.3964</v>
      </c>
      <c r="C359" s="14">
        <f>30.5937 * CHOOSE(CONTROL!$C$15, $E$9, 100%, $G$9) + CHOOSE(CONTROL!$C$38, 0.0347, 0)</f>
        <v>30.628399999999999</v>
      </c>
      <c r="D359" s="14">
        <f>30.5859 * CHOOSE(CONTROL!$C$15, $E$9, 100%, $G$9) + CHOOSE(CONTROL!$C$38, 0.0347, 0)</f>
        <v>30.6206</v>
      </c>
      <c r="E359" s="46">
        <f>32.2145 * CHOOSE(CONTROL!$C$15, $E$9, 100%, $G$9) + CHOOSE(CONTROL!$C$38, 0.0347, 0)</f>
        <v>32.249200000000002</v>
      </c>
      <c r="F359" s="45">
        <f>32.2145 * CHOOSE(CONTROL!$C$15, $E$9, 100%, $G$9) + CHOOSE(CONTROL!$C$38, 0.0256, 0)</f>
        <v>32.240099999999998</v>
      </c>
      <c r="G359" s="14">
        <f>30.5921 * CHOOSE(CONTROL!$C$15, $E$9, 100%, $G$9) + CHOOSE(CONTROL!$C$38, 0.0347, 0)</f>
        <v>30.626799999999999</v>
      </c>
      <c r="H359" s="14">
        <f>30.5921 * CHOOSE(CONTROL!$C$15, $E$9, 100%, $G$9) + CHOOSE(CONTROL!$C$38, 0.0347, 0)</f>
        <v>30.626799999999999</v>
      </c>
      <c r="I359" s="14">
        <f>30.5937 * CHOOSE(CONTROL!$C$15, $E$9, 100%, $G$9) + CHOOSE(CONTROL!$C$38, 0.0347, 0)</f>
        <v>30.628399999999999</v>
      </c>
      <c r="J359" s="44">
        <f>204.9948</f>
        <v>204.9948</v>
      </c>
    </row>
    <row r="360" spans="1:10" ht="15.75" x14ac:dyDescent="0.25">
      <c r="A360" s="33">
        <v>51897</v>
      </c>
      <c r="B360" s="14">
        <f>33.6237 * CHOOSE(CONTROL!$C$15, $E$9, 100%, $G$9) + CHOOSE(CONTROL!$C$38, 0.0256, 0)</f>
        <v>33.649299999999997</v>
      </c>
      <c r="C360" s="14">
        <f>31.8194 * CHOOSE(CONTROL!$C$15, $E$9, 100%, $G$9) + CHOOSE(CONTROL!$C$38, 0.0347, 0)</f>
        <v>31.854100000000003</v>
      </c>
      <c r="D360" s="14">
        <f>31.8116 * CHOOSE(CONTROL!$C$15, $E$9, 100%, $G$9) + CHOOSE(CONTROL!$C$38, 0.0347, 0)</f>
        <v>31.846299999999999</v>
      </c>
      <c r="E360" s="46">
        <f>33.4675 * CHOOSE(CONTROL!$C$15, $E$9, 100%, $G$9) + CHOOSE(CONTROL!$C$38, 0.0347, 0)</f>
        <v>33.502200000000002</v>
      </c>
      <c r="F360" s="45">
        <f>33.4675 * CHOOSE(CONTROL!$C$15, $E$9, 100%, $G$9) + CHOOSE(CONTROL!$C$38, 0.0256, 0)</f>
        <v>33.493099999999998</v>
      </c>
      <c r="G360" s="14">
        <f>31.8178 * CHOOSE(CONTROL!$C$15, $E$9, 100%, $G$9) + CHOOSE(CONTROL!$C$38, 0.0347, 0)</f>
        <v>31.852499999999999</v>
      </c>
      <c r="H360" s="14">
        <f>31.8178 * CHOOSE(CONTROL!$C$15, $E$9, 100%, $G$9) + CHOOSE(CONTROL!$C$38, 0.0347, 0)</f>
        <v>31.852499999999999</v>
      </c>
      <c r="I360" s="14">
        <f>31.8194 * CHOOSE(CONTROL!$C$15, $E$9, 100%, $G$9) + CHOOSE(CONTROL!$C$38, 0.0347, 0)</f>
        <v>31.854100000000003</v>
      </c>
      <c r="J360" s="44">
        <f>204.7304</f>
        <v>204.7304</v>
      </c>
    </row>
    <row r="361" spans="1:10" ht="15.75" x14ac:dyDescent="0.25">
      <c r="A361" s="33">
        <v>51925</v>
      </c>
      <c r="B361" s="14">
        <f>33.968 * CHOOSE(CONTROL!$C$15, $E$9, 100%, $G$9) + CHOOSE(CONTROL!$C$38, 0.0256, 0)</f>
        <v>33.993600000000001</v>
      </c>
      <c r="C361" s="14">
        <f>32.1637 * CHOOSE(CONTROL!$C$15, $E$9, 100%, $G$9) + CHOOSE(CONTROL!$C$38, 0.0347, 0)</f>
        <v>32.198399999999999</v>
      </c>
      <c r="D361" s="14">
        <f>32.1559 * CHOOSE(CONTROL!$C$15, $E$9, 100%, $G$9) + CHOOSE(CONTROL!$C$38, 0.0347, 0)</f>
        <v>32.190600000000003</v>
      </c>
      <c r="E361" s="46">
        <f>33.8118 * CHOOSE(CONTROL!$C$15, $E$9, 100%, $G$9) + CHOOSE(CONTROL!$C$38, 0.0347, 0)</f>
        <v>33.846499999999999</v>
      </c>
      <c r="F361" s="45">
        <f>33.8118 * CHOOSE(CONTROL!$C$15, $E$9, 100%, $G$9) + CHOOSE(CONTROL!$C$38, 0.0256, 0)</f>
        <v>33.837399999999995</v>
      </c>
      <c r="G361" s="14">
        <f>32.1621 * CHOOSE(CONTROL!$C$15, $E$9, 100%, $G$9) + CHOOSE(CONTROL!$C$38, 0.0347, 0)</f>
        <v>32.196800000000003</v>
      </c>
      <c r="H361" s="14">
        <f>32.1621 * CHOOSE(CONTROL!$C$15, $E$9, 100%, $G$9) + CHOOSE(CONTROL!$C$38, 0.0347, 0)</f>
        <v>32.196800000000003</v>
      </c>
      <c r="I361" s="14">
        <f>32.1637 * CHOOSE(CONTROL!$C$15, $E$9, 100%, $G$9) + CHOOSE(CONTROL!$C$38, 0.0347, 0)</f>
        <v>32.198399999999999</v>
      </c>
      <c r="J361" s="44">
        <f>204.1613</f>
        <v>204.16130000000001</v>
      </c>
    </row>
    <row r="362" spans="1:10" ht="15.75" x14ac:dyDescent="0.25">
      <c r="A362" s="33">
        <v>51956</v>
      </c>
      <c r="B362" s="14">
        <f>33.171 * CHOOSE(CONTROL!$C$15, $E$9, 100%, $G$9) + CHOOSE(CONTROL!$C$38, 0.0256, 0)</f>
        <v>33.196599999999997</v>
      </c>
      <c r="C362" s="14">
        <f>31.3666 * CHOOSE(CONTROL!$C$15, $E$9, 100%, $G$9) + CHOOSE(CONTROL!$C$38, 0.0347, 0)</f>
        <v>31.401299999999999</v>
      </c>
      <c r="D362" s="14">
        <f>31.3588 * CHOOSE(CONTROL!$C$15, $E$9, 100%, $G$9) + CHOOSE(CONTROL!$C$38, 0.0347, 0)</f>
        <v>31.3935</v>
      </c>
      <c r="E362" s="46">
        <f>33.0147 * CHOOSE(CONTROL!$C$15, $E$9, 100%, $G$9) + CHOOSE(CONTROL!$C$38, 0.0347, 0)</f>
        <v>33.049399999999999</v>
      </c>
      <c r="F362" s="45">
        <f>33.0147 * CHOOSE(CONTROL!$C$15, $E$9, 100%, $G$9) + CHOOSE(CONTROL!$C$38, 0.0256, 0)</f>
        <v>33.040299999999995</v>
      </c>
      <c r="G362" s="14">
        <f>31.3651 * CHOOSE(CONTROL!$C$15, $E$9, 100%, $G$9) + CHOOSE(CONTROL!$C$38, 0.0347, 0)</f>
        <v>31.399800000000003</v>
      </c>
      <c r="H362" s="14">
        <f>31.3651 * CHOOSE(CONTROL!$C$15, $E$9, 100%, $G$9) + CHOOSE(CONTROL!$C$38, 0.0347, 0)</f>
        <v>31.399800000000003</v>
      </c>
      <c r="I362" s="14">
        <f>31.3666 * CHOOSE(CONTROL!$C$15, $E$9, 100%, $G$9) + CHOOSE(CONTROL!$C$38, 0.0347, 0)</f>
        <v>31.401299999999999</v>
      </c>
      <c r="J362" s="44">
        <f>214.9218</f>
        <v>214.92179999999999</v>
      </c>
    </row>
    <row r="363" spans="1:10" ht="15.75" x14ac:dyDescent="0.25">
      <c r="A363" s="33">
        <v>51986</v>
      </c>
      <c r="B363" s="14">
        <f>32.3987 * CHOOSE(CONTROL!$C$15, $E$9, 100%, $G$9) + CHOOSE(CONTROL!$C$38, 0.0256, 0)</f>
        <v>32.424299999999995</v>
      </c>
      <c r="C363" s="14">
        <f>30.5943 * CHOOSE(CONTROL!$C$15, $E$9, 100%, $G$9) + CHOOSE(CONTROL!$C$38, 0.0347, 0)</f>
        <v>30.629000000000001</v>
      </c>
      <c r="D363" s="14">
        <f>30.5865 * CHOOSE(CONTROL!$C$15, $E$9, 100%, $G$9) + CHOOSE(CONTROL!$C$38, 0.0347, 0)</f>
        <v>30.621200000000002</v>
      </c>
      <c r="E363" s="46">
        <f>32.2424 * CHOOSE(CONTROL!$C$15, $E$9, 100%, $G$9) + CHOOSE(CONTROL!$C$38, 0.0347, 0)</f>
        <v>32.277100000000004</v>
      </c>
      <c r="F363" s="45">
        <f>32.2424 * CHOOSE(CONTROL!$C$15, $E$9, 100%, $G$9) + CHOOSE(CONTROL!$C$38, 0.0256, 0)</f>
        <v>32.268000000000001</v>
      </c>
      <c r="G363" s="14">
        <f>30.5928 * CHOOSE(CONTROL!$C$15, $E$9, 100%, $G$9) + CHOOSE(CONTROL!$C$38, 0.0347, 0)</f>
        <v>30.627500000000001</v>
      </c>
      <c r="H363" s="14">
        <f>30.5928 * CHOOSE(CONTROL!$C$15, $E$9, 100%, $G$9) + CHOOSE(CONTROL!$C$38, 0.0347, 0)</f>
        <v>30.627500000000001</v>
      </c>
      <c r="I363" s="14">
        <f>30.5943 * CHOOSE(CONTROL!$C$15, $E$9, 100%, $G$9) + CHOOSE(CONTROL!$C$38, 0.0347, 0)</f>
        <v>30.629000000000001</v>
      </c>
      <c r="J363" s="44">
        <f>228.8756</f>
        <v>228.87559999999999</v>
      </c>
    </row>
    <row r="364" spans="1:10" ht="15.75" x14ac:dyDescent="0.25">
      <c r="A364" s="33">
        <v>52017</v>
      </c>
      <c r="B364" s="14">
        <f>31.5937 * CHOOSE(CONTROL!$C$15, $E$9, 100%, $G$9) + CHOOSE(CONTROL!$C$38, 0.0278, 0)</f>
        <v>31.621499999999997</v>
      </c>
      <c r="C364" s="14">
        <f>29.7894 * CHOOSE(CONTROL!$C$15, $E$9, 100%, $G$9) + CHOOSE(CONTROL!$C$38, 0.0369, 0)</f>
        <v>29.8263</v>
      </c>
      <c r="D364" s="14">
        <f>29.7816 * CHOOSE(CONTROL!$C$15, $E$9, 100%, $G$9) + CHOOSE(CONTROL!$C$38, 0.0369, 0)</f>
        <v>29.8185</v>
      </c>
      <c r="E364" s="46">
        <f>31.4375 * CHOOSE(CONTROL!$C$15, $E$9, 100%, $G$9) + CHOOSE(CONTROL!$C$38, 0.0369, 0)</f>
        <v>31.474399999999999</v>
      </c>
      <c r="F364" s="45">
        <f>31.4375 * CHOOSE(CONTROL!$C$15, $E$9, 100%, $G$9) + CHOOSE(CONTROL!$C$38, 0.0278, 0)</f>
        <v>31.465299999999999</v>
      </c>
      <c r="G364" s="14">
        <f>29.7878 * CHOOSE(CONTROL!$C$15, $E$9, 100%, $G$9) + CHOOSE(CONTROL!$C$38, 0.0369, 0)</f>
        <v>29.8247</v>
      </c>
      <c r="H364" s="14">
        <f>29.7878 * CHOOSE(CONTROL!$C$15, $E$9, 100%, $G$9) + CHOOSE(CONTROL!$C$38, 0.0369, 0)</f>
        <v>29.8247</v>
      </c>
      <c r="I364" s="14">
        <f>29.7894 * CHOOSE(CONTROL!$C$15, $E$9, 100%, $G$9) + CHOOSE(CONTROL!$C$38, 0.0369, 0)</f>
        <v>29.8263</v>
      </c>
      <c r="J364" s="44">
        <f>236.5562</f>
        <v>236.55619999999999</v>
      </c>
    </row>
    <row r="365" spans="1:10" ht="15.75" x14ac:dyDescent="0.25">
      <c r="A365" s="33">
        <v>52047</v>
      </c>
      <c r="B365" s="14">
        <f>31.0294 * CHOOSE(CONTROL!$C$15, $E$9, 100%, $G$9) + CHOOSE(CONTROL!$C$38, 0.0278, 0)</f>
        <v>31.057199999999998</v>
      </c>
      <c r="C365" s="14">
        <f>29.225 * CHOOSE(CONTROL!$C$15, $E$9, 100%, $G$9) + CHOOSE(CONTROL!$C$38, 0.0369, 0)</f>
        <v>29.261900000000001</v>
      </c>
      <c r="D365" s="14">
        <f>29.2172 * CHOOSE(CONTROL!$C$15, $E$9, 100%, $G$9) + CHOOSE(CONTROL!$C$38, 0.0369, 0)</f>
        <v>29.254099999999998</v>
      </c>
      <c r="E365" s="46">
        <f>30.8731 * CHOOSE(CONTROL!$C$15, $E$9, 100%, $G$9) + CHOOSE(CONTROL!$C$38, 0.0369, 0)</f>
        <v>30.91</v>
      </c>
      <c r="F365" s="45">
        <f>30.8731 * CHOOSE(CONTROL!$C$15, $E$9, 100%, $G$9) + CHOOSE(CONTROL!$C$38, 0.0278, 0)</f>
        <v>30.9009</v>
      </c>
      <c r="G365" s="14">
        <f>29.2235 * CHOOSE(CONTROL!$C$15, $E$9, 100%, $G$9) + CHOOSE(CONTROL!$C$38, 0.0369, 0)</f>
        <v>29.260400000000001</v>
      </c>
      <c r="H365" s="14">
        <f>29.2235 * CHOOSE(CONTROL!$C$15, $E$9, 100%, $G$9) + CHOOSE(CONTROL!$C$38, 0.0369, 0)</f>
        <v>29.260400000000001</v>
      </c>
      <c r="I365" s="14">
        <f>29.225 * CHOOSE(CONTROL!$C$15, $E$9, 100%, $G$9) + CHOOSE(CONTROL!$C$38, 0.0369, 0)</f>
        <v>29.261900000000001</v>
      </c>
      <c r="J365" s="44">
        <f>239.9647</f>
        <v>239.96469999999999</v>
      </c>
    </row>
    <row r="366" spans="1:10" ht="15.75" x14ac:dyDescent="0.25">
      <c r="A366" s="33">
        <v>52078</v>
      </c>
      <c r="B366" s="14">
        <f>30.7073 * CHOOSE(CONTROL!$C$15, $E$9, 100%, $G$9) + CHOOSE(CONTROL!$C$38, 0.0278, 0)</f>
        <v>30.735099999999999</v>
      </c>
      <c r="C366" s="14">
        <f>28.903 * CHOOSE(CONTROL!$C$15, $E$9, 100%, $G$9) + CHOOSE(CONTROL!$C$38, 0.0369, 0)</f>
        <v>28.939899999999998</v>
      </c>
      <c r="D366" s="14">
        <f>28.8952 * CHOOSE(CONTROL!$C$15, $E$9, 100%, $G$9) + CHOOSE(CONTROL!$C$38, 0.0369, 0)</f>
        <v>28.932099999999998</v>
      </c>
      <c r="E366" s="46">
        <f>30.5511 * CHOOSE(CONTROL!$C$15, $E$9, 100%, $G$9) + CHOOSE(CONTROL!$C$38, 0.0369, 0)</f>
        <v>30.588000000000001</v>
      </c>
      <c r="F366" s="45">
        <f>30.5511 * CHOOSE(CONTROL!$C$15, $E$9, 100%, $G$9) + CHOOSE(CONTROL!$C$38, 0.0278, 0)</f>
        <v>30.578900000000001</v>
      </c>
      <c r="G366" s="14">
        <f>28.9014 * CHOOSE(CONTROL!$C$15, $E$9, 100%, $G$9) + CHOOSE(CONTROL!$C$38, 0.0369, 0)</f>
        <v>28.938299999999998</v>
      </c>
      <c r="H366" s="14">
        <f>28.9014 * CHOOSE(CONTROL!$C$15, $E$9, 100%, $G$9) + CHOOSE(CONTROL!$C$38, 0.0369, 0)</f>
        <v>28.938299999999998</v>
      </c>
      <c r="I366" s="14">
        <f>28.903 * CHOOSE(CONTROL!$C$15, $E$9, 100%, $G$9) + CHOOSE(CONTROL!$C$38, 0.0369, 0)</f>
        <v>28.939899999999998</v>
      </c>
      <c r="J366" s="44">
        <f>238.8425</f>
        <v>238.8425</v>
      </c>
    </row>
    <row r="367" spans="1:10" ht="15.75" x14ac:dyDescent="0.25">
      <c r="A367" s="33">
        <v>52109</v>
      </c>
      <c r="B367" s="14">
        <f>30.8663 * CHOOSE(CONTROL!$C$15, $E$9, 100%, $G$9) + CHOOSE(CONTROL!$C$38, 0.0278, 0)</f>
        <v>30.894099999999998</v>
      </c>
      <c r="C367" s="14">
        <f>29.0619 * CHOOSE(CONTROL!$C$15, $E$9, 100%, $G$9) + CHOOSE(CONTROL!$C$38, 0.0369, 0)</f>
        <v>29.098800000000001</v>
      </c>
      <c r="D367" s="14">
        <f>29.0541 * CHOOSE(CONTROL!$C$15, $E$9, 100%, $G$9) + CHOOSE(CONTROL!$C$38, 0.0369, 0)</f>
        <v>29.090999999999998</v>
      </c>
      <c r="E367" s="46">
        <f>30.71 * CHOOSE(CONTROL!$C$15, $E$9, 100%, $G$9) + CHOOSE(CONTROL!$C$38, 0.0369, 0)</f>
        <v>30.7469</v>
      </c>
      <c r="F367" s="45">
        <f>30.71 * CHOOSE(CONTROL!$C$15, $E$9, 100%, $G$9) + CHOOSE(CONTROL!$C$38, 0.0278, 0)</f>
        <v>30.7378</v>
      </c>
      <c r="G367" s="14">
        <f>29.0604 * CHOOSE(CONTROL!$C$15, $E$9, 100%, $G$9) + CHOOSE(CONTROL!$C$38, 0.0369, 0)</f>
        <v>29.097300000000001</v>
      </c>
      <c r="H367" s="14">
        <f>29.0604 * CHOOSE(CONTROL!$C$15, $E$9, 100%, $G$9) + CHOOSE(CONTROL!$C$38, 0.0369, 0)</f>
        <v>29.097300000000001</v>
      </c>
      <c r="I367" s="14">
        <f>29.0619 * CHOOSE(CONTROL!$C$15, $E$9, 100%, $G$9) + CHOOSE(CONTROL!$C$38, 0.0369, 0)</f>
        <v>29.098800000000001</v>
      </c>
      <c r="J367" s="44">
        <f>233.2823</f>
        <v>233.28229999999999</v>
      </c>
    </row>
    <row r="368" spans="1:10" ht="15.75" x14ac:dyDescent="0.25">
      <c r="A368" s="33">
        <v>52139</v>
      </c>
      <c r="B368" s="14">
        <f>31.298 * CHOOSE(CONTROL!$C$15, $E$9, 100%, $G$9) + CHOOSE(CONTROL!$C$38, 0.0278, 0)</f>
        <v>31.325799999999997</v>
      </c>
      <c r="C368" s="14">
        <f>29.4936 * CHOOSE(CONTROL!$C$15, $E$9, 100%, $G$9) + CHOOSE(CONTROL!$C$38, 0.0369, 0)</f>
        <v>29.5305</v>
      </c>
      <c r="D368" s="14">
        <f>29.4858 * CHOOSE(CONTROL!$C$15, $E$9, 100%, $G$9) + CHOOSE(CONTROL!$C$38, 0.0369, 0)</f>
        <v>29.5227</v>
      </c>
      <c r="E368" s="46">
        <f>31.1417 * CHOOSE(CONTROL!$C$15, $E$9, 100%, $G$9) + CHOOSE(CONTROL!$C$38, 0.0369, 0)</f>
        <v>31.178599999999999</v>
      </c>
      <c r="F368" s="45">
        <f>31.1417 * CHOOSE(CONTROL!$C$15, $E$9, 100%, $G$9) + CHOOSE(CONTROL!$C$38, 0.0278, 0)</f>
        <v>31.169499999999999</v>
      </c>
      <c r="G368" s="14">
        <f>29.4921 * CHOOSE(CONTROL!$C$15, $E$9, 100%, $G$9) + CHOOSE(CONTROL!$C$38, 0.0369, 0)</f>
        <v>29.529</v>
      </c>
      <c r="H368" s="14">
        <f>29.4921 * CHOOSE(CONTROL!$C$15, $E$9, 100%, $G$9) + CHOOSE(CONTROL!$C$38, 0.0369, 0)</f>
        <v>29.529</v>
      </c>
      <c r="I368" s="14">
        <f>29.4936 * CHOOSE(CONTROL!$C$15, $E$9, 100%, $G$9) + CHOOSE(CONTROL!$C$38, 0.0369, 0)</f>
        <v>29.5305</v>
      </c>
      <c r="J368" s="44">
        <f>225.5284</f>
        <v>225.5284</v>
      </c>
    </row>
    <row r="369" spans="1:10" ht="15.75" x14ac:dyDescent="0.25">
      <c r="A369" s="33">
        <v>52170</v>
      </c>
      <c r="B369" s="14">
        <f>31.6595 * CHOOSE(CONTROL!$C$15, $E$9, 100%, $G$9) + CHOOSE(CONTROL!$C$38, 0.0256, 0)</f>
        <v>31.685100000000002</v>
      </c>
      <c r="C369" s="14">
        <f>29.8552 * CHOOSE(CONTROL!$C$15, $E$9, 100%, $G$9) + CHOOSE(CONTROL!$C$38, 0.0347, 0)</f>
        <v>29.889900000000001</v>
      </c>
      <c r="D369" s="14">
        <f>29.8474 * CHOOSE(CONTROL!$C$15, $E$9, 100%, $G$9) + CHOOSE(CONTROL!$C$38, 0.0347, 0)</f>
        <v>29.882100000000001</v>
      </c>
      <c r="E369" s="46">
        <f>31.5033 * CHOOSE(CONTROL!$C$15, $E$9, 100%, $G$9) + CHOOSE(CONTROL!$C$38, 0.0347, 0)</f>
        <v>31.538</v>
      </c>
      <c r="F369" s="45">
        <f>31.5033 * CHOOSE(CONTROL!$C$15, $E$9, 100%, $G$9) + CHOOSE(CONTROL!$C$38, 0.0256, 0)</f>
        <v>31.5289</v>
      </c>
      <c r="G369" s="14">
        <f>29.8536 * CHOOSE(CONTROL!$C$15, $E$9, 100%, $G$9) + CHOOSE(CONTROL!$C$38, 0.0347, 0)</f>
        <v>29.888300000000001</v>
      </c>
      <c r="H369" s="14">
        <f>29.8536 * CHOOSE(CONTROL!$C$15, $E$9, 100%, $G$9) + CHOOSE(CONTROL!$C$38, 0.0347, 0)</f>
        <v>29.888300000000001</v>
      </c>
      <c r="I369" s="14">
        <f>29.8552 * CHOOSE(CONTROL!$C$15, $E$9, 100%, $G$9) + CHOOSE(CONTROL!$C$38, 0.0347, 0)</f>
        <v>29.889900000000001</v>
      </c>
      <c r="J369" s="44">
        <f>217.7294</f>
        <v>217.7294</v>
      </c>
    </row>
    <row r="370" spans="1:10" ht="15.75" x14ac:dyDescent="0.25">
      <c r="A370" s="33">
        <v>52200</v>
      </c>
      <c r="B370" s="14">
        <f>31.9612 * CHOOSE(CONTROL!$C$15, $E$9, 100%, $G$9) + CHOOSE(CONTROL!$C$38, 0.0256, 0)</f>
        <v>31.986800000000002</v>
      </c>
      <c r="C370" s="14">
        <f>30.1569 * CHOOSE(CONTROL!$C$15, $E$9, 100%, $G$9) + CHOOSE(CONTROL!$C$38, 0.0347, 0)</f>
        <v>30.191600000000001</v>
      </c>
      <c r="D370" s="14">
        <f>30.1491 * CHOOSE(CONTROL!$C$15, $E$9, 100%, $G$9) + CHOOSE(CONTROL!$C$38, 0.0347, 0)</f>
        <v>30.183800000000002</v>
      </c>
      <c r="E370" s="46">
        <f>31.805 * CHOOSE(CONTROL!$C$15, $E$9, 100%, $G$9) + CHOOSE(CONTROL!$C$38, 0.0347, 0)</f>
        <v>31.839700000000001</v>
      </c>
      <c r="F370" s="45">
        <f>31.805 * CHOOSE(CONTROL!$C$15, $E$9, 100%, $G$9) + CHOOSE(CONTROL!$C$38, 0.0256, 0)</f>
        <v>31.8306</v>
      </c>
      <c r="G370" s="14">
        <f>30.1553 * CHOOSE(CONTROL!$C$15, $E$9, 100%, $G$9) + CHOOSE(CONTROL!$C$38, 0.0347, 0)</f>
        <v>30.19</v>
      </c>
      <c r="H370" s="14">
        <f>30.1553 * CHOOSE(CONTROL!$C$15, $E$9, 100%, $G$9) + CHOOSE(CONTROL!$C$38, 0.0347, 0)</f>
        <v>30.19</v>
      </c>
      <c r="I370" s="14">
        <f>30.1569 * CHOOSE(CONTROL!$C$15, $E$9, 100%, $G$9) + CHOOSE(CONTROL!$C$38, 0.0347, 0)</f>
        <v>30.191600000000001</v>
      </c>
      <c r="J370" s="44">
        <f>216.178</f>
        <v>216.178</v>
      </c>
    </row>
    <row r="371" spans="1:10" ht="15.75" x14ac:dyDescent="0.25">
      <c r="A371" s="33">
        <v>52231</v>
      </c>
      <c r="B371" s="14">
        <f>32.8909 * CHOOSE(CONTROL!$C$15, $E$9, 100%, $G$9) + CHOOSE(CONTROL!$C$38, 0.0256, 0)</f>
        <v>32.916499999999999</v>
      </c>
      <c r="C371" s="14">
        <f>31.0866 * CHOOSE(CONTROL!$C$15, $E$9, 100%, $G$9) + CHOOSE(CONTROL!$C$38, 0.0347, 0)</f>
        <v>31.121300000000002</v>
      </c>
      <c r="D371" s="14">
        <f>31.0788 * CHOOSE(CONTROL!$C$15, $E$9, 100%, $G$9) + CHOOSE(CONTROL!$C$38, 0.0347, 0)</f>
        <v>31.113500000000002</v>
      </c>
      <c r="E371" s="46">
        <f>32.7347 * CHOOSE(CONTROL!$C$15, $E$9, 100%, $G$9) + CHOOSE(CONTROL!$C$38, 0.0347, 0)</f>
        <v>32.769399999999997</v>
      </c>
      <c r="F371" s="45">
        <f>32.7347 * CHOOSE(CONTROL!$C$15, $E$9, 100%, $G$9) + CHOOSE(CONTROL!$C$38, 0.0256, 0)</f>
        <v>32.760299999999994</v>
      </c>
      <c r="G371" s="14">
        <f>31.085 * CHOOSE(CONTROL!$C$15, $E$9, 100%, $G$9) + CHOOSE(CONTROL!$C$38, 0.0347, 0)</f>
        <v>31.119700000000002</v>
      </c>
      <c r="H371" s="14">
        <f>31.085 * CHOOSE(CONTROL!$C$15, $E$9, 100%, $G$9) + CHOOSE(CONTROL!$C$38, 0.0347, 0)</f>
        <v>31.119700000000002</v>
      </c>
      <c r="I371" s="14">
        <f>31.0866 * CHOOSE(CONTROL!$C$15, $E$9, 100%, $G$9) + CHOOSE(CONTROL!$C$38, 0.0347, 0)</f>
        <v>31.121300000000002</v>
      </c>
      <c r="J371" s="44">
        <f>209.7629</f>
        <v>209.7629</v>
      </c>
    </row>
    <row r="372" spans="1:10" ht="15.75" x14ac:dyDescent="0.25">
      <c r="A372" s="33">
        <v>52262</v>
      </c>
      <c r="B372" s="14">
        <f>34.1526 * CHOOSE(CONTROL!$C$15, $E$9, 100%, $G$9) + CHOOSE(CONTROL!$C$38, 0.0256, 0)</f>
        <v>34.178199999999997</v>
      </c>
      <c r="C372" s="14">
        <f>32.3205 * CHOOSE(CONTROL!$C$15, $E$9, 100%, $G$9) + CHOOSE(CONTROL!$C$38, 0.0347, 0)</f>
        <v>32.355200000000004</v>
      </c>
      <c r="D372" s="14">
        <f>32.3127 * CHOOSE(CONTROL!$C$15, $E$9, 100%, $G$9) + CHOOSE(CONTROL!$C$38, 0.0347, 0)</f>
        <v>32.3474</v>
      </c>
      <c r="E372" s="46">
        <f>33.9963 * CHOOSE(CONTROL!$C$15, $E$9, 100%, $G$9) + CHOOSE(CONTROL!$C$38, 0.0347, 0)</f>
        <v>34.030999999999999</v>
      </c>
      <c r="F372" s="45">
        <f>33.9963 * CHOOSE(CONTROL!$C$15, $E$9, 100%, $G$9) + CHOOSE(CONTROL!$C$38, 0.0256, 0)</f>
        <v>34.021899999999995</v>
      </c>
      <c r="G372" s="14">
        <f>32.319 * CHOOSE(CONTROL!$C$15, $E$9, 100%, $G$9) + CHOOSE(CONTROL!$C$38, 0.0347, 0)</f>
        <v>32.353700000000003</v>
      </c>
      <c r="H372" s="14">
        <f>32.319 * CHOOSE(CONTROL!$C$15, $E$9, 100%, $G$9) + CHOOSE(CONTROL!$C$38, 0.0347, 0)</f>
        <v>32.353700000000003</v>
      </c>
      <c r="I372" s="14">
        <f>32.3205 * CHOOSE(CONTROL!$C$15, $E$9, 100%, $G$9) + CHOOSE(CONTROL!$C$38, 0.0347, 0)</f>
        <v>32.355200000000004</v>
      </c>
      <c r="J372" s="44">
        <f>209.4924</f>
        <v>209.4924</v>
      </c>
    </row>
    <row r="373" spans="1:10" ht="15.75" x14ac:dyDescent="0.25">
      <c r="A373" s="33">
        <v>52290</v>
      </c>
      <c r="B373" s="14">
        <f>34.4969 * CHOOSE(CONTROL!$C$15, $E$9, 100%, $G$9) + CHOOSE(CONTROL!$C$38, 0.0256, 0)</f>
        <v>34.522499999999994</v>
      </c>
      <c r="C373" s="14">
        <f>32.6649 * CHOOSE(CONTROL!$C$15, $E$9, 100%, $G$9) + CHOOSE(CONTROL!$C$38, 0.0347, 0)</f>
        <v>32.699600000000004</v>
      </c>
      <c r="D373" s="14">
        <f>32.657 * CHOOSE(CONTROL!$C$15, $E$9, 100%, $G$9) + CHOOSE(CONTROL!$C$38, 0.0347, 0)</f>
        <v>32.691699999999997</v>
      </c>
      <c r="E373" s="46">
        <f>34.3406 * CHOOSE(CONTROL!$C$15, $E$9, 100%, $G$9) + CHOOSE(CONTROL!$C$38, 0.0347, 0)</f>
        <v>34.375300000000003</v>
      </c>
      <c r="F373" s="45">
        <f>34.3406 * CHOOSE(CONTROL!$C$15, $E$9, 100%, $G$9) + CHOOSE(CONTROL!$C$38, 0.0256, 0)</f>
        <v>34.366199999999999</v>
      </c>
      <c r="G373" s="14">
        <f>32.6633 * CHOOSE(CONTROL!$C$15, $E$9, 100%, $G$9) + CHOOSE(CONTROL!$C$38, 0.0347, 0)</f>
        <v>32.698</v>
      </c>
      <c r="H373" s="14">
        <f>32.6633 * CHOOSE(CONTROL!$C$15, $E$9, 100%, $G$9) + CHOOSE(CONTROL!$C$38, 0.0347, 0)</f>
        <v>32.698</v>
      </c>
      <c r="I373" s="14">
        <f>32.6649 * CHOOSE(CONTROL!$C$15, $E$9, 100%, $G$9) + CHOOSE(CONTROL!$C$38, 0.0347, 0)</f>
        <v>32.699600000000004</v>
      </c>
      <c r="J373" s="44">
        <f>208.9101</f>
        <v>208.9101</v>
      </c>
    </row>
    <row r="374" spans="1:10" ht="15.75" x14ac:dyDescent="0.25">
      <c r="A374" s="33">
        <v>52321</v>
      </c>
      <c r="B374" s="14">
        <f>33.6999 * CHOOSE(CONTROL!$C$15, $E$9, 100%, $G$9) + CHOOSE(CONTROL!$C$38, 0.0256, 0)</f>
        <v>33.725499999999997</v>
      </c>
      <c r="C374" s="14">
        <f>31.8678 * CHOOSE(CONTROL!$C$15, $E$9, 100%, $G$9) + CHOOSE(CONTROL!$C$38, 0.0347, 0)</f>
        <v>31.9025</v>
      </c>
      <c r="D374" s="14">
        <f>31.86 * CHOOSE(CONTROL!$C$15, $E$9, 100%, $G$9) + CHOOSE(CONTROL!$C$38, 0.0347, 0)</f>
        <v>31.8947</v>
      </c>
      <c r="E374" s="46">
        <f>33.5436 * CHOOSE(CONTROL!$C$15, $E$9, 100%, $G$9) + CHOOSE(CONTROL!$C$38, 0.0347, 0)</f>
        <v>33.578299999999999</v>
      </c>
      <c r="F374" s="45">
        <f>33.5436 * CHOOSE(CONTROL!$C$15, $E$9, 100%, $G$9) + CHOOSE(CONTROL!$C$38, 0.0256, 0)</f>
        <v>33.569199999999995</v>
      </c>
      <c r="G374" s="14">
        <f>31.8663 * CHOOSE(CONTROL!$C$15, $E$9, 100%, $G$9) + CHOOSE(CONTROL!$C$38, 0.0347, 0)</f>
        <v>31.901</v>
      </c>
      <c r="H374" s="14">
        <f>31.8663 * CHOOSE(CONTROL!$C$15, $E$9, 100%, $G$9) + CHOOSE(CONTROL!$C$38, 0.0347, 0)</f>
        <v>31.901</v>
      </c>
      <c r="I374" s="14">
        <f>31.8678 * CHOOSE(CONTROL!$C$15, $E$9, 100%, $G$9) + CHOOSE(CONTROL!$C$38, 0.0347, 0)</f>
        <v>31.9025</v>
      </c>
      <c r="J374" s="44">
        <f>219.9209</f>
        <v>219.92089999999999</v>
      </c>
    </row>
    <row r="375" spans="1:10" ht="15.75" x14ac:dyDescent="0.25">
      <c r="A375" s="33">
        <v>52351</v>
      </c>
      <c r="B375" s="14">
        <f>32.9275 * CHOOSE(CONTROL!$C$15, $E$9, 100%, $G$9) + CHOOSE(CONTROL!$C$38, 0.0256, 0)</f>
        <v>32.953099999999999</v>
      </c>
      <c r="C375" s="14">
        <f>31.0955 * CHOOSE(CONTROL!$C$15, $E$9, 100%, $G$9) + CHOOSE(CONTROL!$C$38, 0.0347, 0)</f>
        <v>31.130200000000002</v>
      </c>
      <c r="D375" s="14">
        <f>31.0877 * CHOOSE(CONTROL!$C$15, $E$9, 100%, $G$9) + CHOOSE(CONTROL!$C$38, 0.0347, 0)</f>
        <v>31.122400000000003</v>
      </c>
      <c r="E375" s="46">
        <f>32.7713 * CHOOSE(CONTROL!$C$15, $E$9, 100%, $G$9) + CHOOSE(CONTROL!$C$38, 0.0347, 0)</f>
        <v>32.805999999999997</v>
      </c>
      <c r="F375" s="45">
        <f>32.7713 * CHOOSE(CONTROL!$C$15, $E$9, 100%, $G$9) + CHOOSE(CONTROL!$C$38, 0.0256, 0)</f>
        <v>32.796899999999994</v>
      </c>
      <c r="G375" s="14">
        <f>31.0939 * CHOOSE(CONTROL!$C$15, $E$9, 100%, $G$9) + CHOOSE(CONTROL!$C$38, 0.0347, 0)</f>
        <v>31.128600000000002</v>
      </c>
      <c r="H375" s="14">
        <f>31.0939 * CHOOSE(CONTROL!$C$15, $E$9, 100%, $G$9) + CHOOSE(CONTROL!$C$38, 0.0347, 0)</f>
        <v>31.128600000000002</v>
      </c>
      <c r="I375" s="14">
        <f>31.0955 * CHOOSE(CONTROL!$C$15, $E$9, 100%, $G$9) + CHOOSE(CONTROL!$C$38, 0.0347, 0)</f>
        <v>31.130200000000002</v>
      </c>
      <c r="J375" s="44">
        <f>234.1992</f>
        <v>234.19919999999999</v>
      </c>
    </row>
    <row r="376" spans="1:10" ht="15.75" x14ac:dyDescent="0.25">
      <c r="A376" s="33">
        <v>52382</v>
      </c>
      <c r="B376" s="14">
        <f>32.1226 * CHOOSE(CONTROL!$C$15, $E$9, 100%, $G$9) + CHOOSE(CONTROL!$C$38, 0.0278, 0)</f>
        <v>32.150399999999998</v>
      </c>
      <c r="C376" s="14">
        <f>30.2905 * CHOOSE(CONTROL!$C$15, $E$9, 100%, $G$9) + CHOOSE(CONTROL!$C$38, 0.0369, 0)</f>
        <v>30.327400000000001</v>
      </c>
      <c r="D376" s="14">
        <f>30.2827 * CHOOSE(CONTROL!$C$15, $E$9, 100%, $G$9) + CHOOSE(CONTROL!$C$38, 0.0369, 0)</f>
        <v>30.319599999999998</v>
      </c>
      <c r="E376" s="46">
        <f>31.9663 * CHOOSE(CONTROL!$C$15, $E$9, 100%, $G$9) + CHOOSE(CONTROL!$C$38, 0.0369, 0)</f>
        <v>32.0032</v>
      </c>
      <c r="F376" s="45">
        <f>31.9663 * CHOOSE(CONTROL!$C$15, $E$9, 100%, $G$9) + CHOOSE(CONTROL!$C$38, 0.0278, 0)</f>
        <v>31.9941</v>
      </c>
      <c r="G376" s="14">
        <f>30.289 * CHOOSE(CONTROL!$C$15, $E$9, 100%, $G$9) + CHOOSE(CONTROL!$C$38, 0.0369, 0)</f>
        <v>30.325900000000001</v>
      </c>
      <c r="H376" s="14">
        <f>30.289 * CHOOSE(CONTROL!$C$15, $E$9, 100%, $G$9) + CHOOSE(CONTROL!$C$38, 0.0369, 0)</f>
        <v>30.325900000000001</v>
      </c>
      <c r="I376" s="14">
        <f>30.2905 * CHOOSE(CONTROL!$C$15, $E$9, 100%, $G$9) + CHOOSE(CONTROL!$C$38, 0.0369, 0)</f>
        <v>30.327400000000001</v>
      </c>
      <c r="J376" s="44">
        <f>242.0585</f>
        <v>242.05850000000001</v>
      </c>
    </row>
    <row r="377" spans="1:10" ht="15.75" x14ac:dyDescent="0.25">
      <c r="A377" s="33">
        <v>52412</v>
      </c>
      <c r="B377" s="14">
        <f>31.5582 * CHOOSE(CONTROL!$C$15, $E$9, 100%, $G$9) + CHOOSE(CONTROL!$C$38, 0.0278, 0)</f>
        <v>31.585999999999999</v>
      </c>
      <c r="C377" s="14">
        <f>29.7262 * CHOOSE(CONTROL!$C$15, $E$9, 100%, $G$9) + CHOOSE(CONTROL!$C$38, 0.0369, 0)</f>
        <v>29.763099999999998</v>
      </c>
      <c r="D377" s="14">
        <f>29.7184 * CHOOSE(CONTROL!$C$15, $E$9, 100%, $G$9) + CHOOSE(CONTROL!$C$38, 0.0369, 0)</f>
        <v>29.755299999999998</v>
      </c>
      <c r="E377" s="46">
        <f>31.402 * CHOOSE(CONTROL!$C$15, $E$9, 100%, $G$9) + CHOOSE(CONTROL!$C$38, 0.0369, 0)</f>
        <v>31.4389</v>
      </c>
      <c r="F377" s="45">
        <f>31.402 * CHOOSE(CONTROL!$C$15, $E$9, 100%, $G$9) + CHOOSE(CONTROL!$C$38, 0.0278, 0)</f>
        <v>31.4298</v>
      </c>
      <c r="G377" s="14">
        <f>29.7246 * CHOOSE(CONTROL!$C$15, $E$9, 100%, $G$9) + CHOOSE(CONTROL!$C$38, 0.0369, 0)</f>
        <v>29.761499999999998</v>
      </c>
      <c r="H377" s="14">
        <f>29.7246 * CHOOSE(CONTROL!$C$15, $E$9, 100%, $G$9) + CHOOSE(CONTROL!$C$38, 0.0369, 0)</f>
        <v>29.761499999999998</v>
      </c>
      <c r="I377" s="14">
        <f>29.7262 * CHOOSE(CONTROL!$C$15, $E$9, 100%, $G$9) + CHOOSE(CONTROL!$C$38, 0.0369, 0)</f>
        <v>29.763099999999998</v>
      </c>
      <c r="J377" s="44">
        <f>245.5463</f>
        <v>245.5463</v>
      </c>
    </row>
    <row r="378" spans="1:10" ht="15.75" x14ac:dyDescent="0.25">
      <c r="A378" s="33">
        <v>52443</v>
      </c>
      <c r="B378" s="14">
        <f>31.2362 * CHOOSE(CONTROL!$C$15, $E$9, 100%, $G$9) + CHOOSE(CONTROL!$C$38, 0.0278, 0)</f>
        <v>31.263999999999999</v>
      </c>
      <c r="C378" s="14">
        <f>29.4042 * CHOOSE(CONTROL!$C$15, $E$9, 100%, $G$9) + CHOOSE(CONTROL!$C$38, 0.0369, 0)</f>
        <v>29.441099999999999</v>
      </c>
      <c r="D378" s="14">
        <f>29.3963 * CHOOSE(CONTROL!$C$15, $E$9, 100%, $G$9) + CHOOSE(CONTROL!$C$38, 0.0369, 0)</f>
        <v>29.433199999999999</v>
      </c>
      <c r="E378" s="46">
        <f>31.0799 * CHOOSE(CONTROL!$C$15, $E$9, 100%, $G$9) + CHOOSE(CONTROL!$C$38, 0.0369, 0)</f>
        <v>31.116799999999998</v>
      </c>
      <c r="F378" s="45">
        <f>31.0799 * CHOOSE(CONTROL!$C$15, $E$9, 100%, $G$9) + CHOOSE(CONTROL!$C$38, 0.0278, 0)</f>
        <v>31.107699999999998</v>
      </c>
      <c r="G378" s="14">
        <f>29.4026 * CHOOSE(CONTROL!$C$15, $E$9, 100%, $G$9) + CHOOSE(CONTROL!$C$38, 0.0369, 0)</f>
        <v>29.439499999999999</v>
      </c>
      <c r="H378" s="14">
        <f>29.4026 * CHOOSE(CONTROL!$C$15, $E$9, 100%, $G$9) + CHOOSE(CONTROL!$C$38, 0.0369, 0)</f>
        <v>29.439499999999999</v>
      </c>
      <c r="I378" s="14">
        <f>29.4042 * CHOOSE(CONTROL!$C$15, $E$9, 100%, $G$9) + CHOOSE(CONTROL!$C$38, 0.0369, 0)</f>
        <v>29.441099999999999</v>
      </c>
      <c r="J378" s="44">
        <f>244.398</f>
        <v>244.398</v>
      </c>
    </row>
    <row r="379" spans="1:10" ht="15.75" x14ac:dyDescent="0.25">
      <c r="A379" s="33">
        <v>52474</v>
      </c>
      <c r="B379" s="14">
        <f>31.3951 * CHOOSE(CONTROL!$C$15, $E$9, 100%, $G$9) + CHOOSE(CONTROL!$C$38, 0.0278, 0)</f>
        <v>31.422899999999998</v>
      </c>
      <c r="C379" s="14">
        <f>29.5631 * CHOOSE(CONTROL!$C$15, $E$9, 100%, $G$9) + CHOOSE(CONTROL!$C$38, 0.0369, 0)</f>
        <v>29.599999999999998</v>
      </c>
      <c r="D379" s="14">
        <f>29.5553 * CHOOSE(CONTROL!$C$15, $E$9, 100%, $G$9) + CHOOSE(CONTROL!$C$38, 0.0369, 0)</f>
        <v>29.592199999999998</v>
      </c>
      <c r="E379" s="46">
        <f>31.2389 * CHOOSE(CONTROL!$C$15, $E$9, 100%, $G$9) + CHOOSE(CONTROL!$C$38, 0.0369, 0)</f>
        <v>31.2758</v>
      </c>
      <c r="F379" s="45">
        <f>31.2389 * CHOOSE(CONTROL!$C$15, $E$9, 100%, $G$9) + CHOOSE(CONTROL!$C$38, 0.0278, 0)</f>
        <v>31.2667</v>
      </c>
      <c r="G379" s="14">
        <f>29.5615 * CHOOSE(CONTROL!$C$15, $E$9, 100%, $G$9) + CHOOSE(CONTROL!$C$38, 0.0369, 0)</f>
        <v>29.598399999999998</v>
      </c>
      <c r="H379" s="14">
        <f>29.5615 * CHOOSE(CONTROL!$C$15, $E$9, 100%, $G$9) + CHOOSE(CONTROL!$C$38, 0.0369, 0)</f>
        <v>29.598399999999998</v>
      </c>
      <c r="I379" s="14">
        <f>29.5631 * CHOOSE(CONTROL!$C$15, $E$9, 100%, $G$9) + CHOOSE(CONTROL!$C$38, 0.0369, 0)</f>
        <v>29.599999999999998</v>
      </c>
      <c r="J379" s="44">
        <f>238.7085</f>
        <v>238.70849999999999</v>
      </c>
    </row>
    <row r="380" spans="1:10" ht="15.75" x14ac:dyDescent="0.25">
      <c r="A380" s="33">
        <v>52504</v>
      </c>
      <c r="B380" s="14">
        <f>31.8268 * CHOOSE(CONTROL!$C$15, $E$9, 100%, $G$9) + CHOOSE(CONTROL!$C$38, 0.0278, 0)</f>
        <v>31.854599999999998</v>
      </c>
      <c r="C380" s="14">
        <f>29.9948 * CHOOSE(CONTROL!$C$15, $E$9, 100%, $G$9) + CHOOSE(CONTROL!$C$38, 0.0369, 0)</f>
        <v>30.031700000000001</v>
      </c>
      <c r="D380" s="14">
        <f>29.987 * CHOOSE(CONTROL!$C$15, $E$9, 100%, $G$9) + CHOOSE(CONTROL!$C$38, 0.0369, 0)</f>
        <v>30.023899999999998</v>
      </c>
      <c r="E380" s="46">
        <f>31.6706 * CHOOSE(CONTROL!$C$15, $E$9, 100%, $G$9) + CHOOSE(CONTROL!$C$38, 0.0369, 0)</f>
        <v>31.7075</v>
      </c>
      <c r="F380" s="45">
        <f>31.6706 * CHOOSE(CONTROL!$C$15, $E$9, 100%, $G$9) + CHOOSE(CONTROL!$C$38, 0.0278, 0)</f>
        <v>31.698399999999999</v>
      </c>
      <c r="G380" s="14">
        <f>29.9932 * CHOOSE(CONTROL!$C$15, $E$9, 100%, $G$9) + CHOOSE(CONTROL!$C$38, 0.0369, 0)</f>
        <v>30.030100000000001</v>
      </c>
      <c r="H380" s="14">
        <f>29.9932 * CHOOSE(CONTROL!$C$15, $E$9, 100%, $G$9) + CHOOSE(CONTROL!$C$38, 0.0369, 0)</f>
        <v>30.030100000000001</v>
      </c>
      <c r="I380" s="14">
        <f>29.9948 * CHOOSE(CONTROL!$C$15, $E$9, 100%, $G$9) + CHOOSE(CONTROL!$C$38, 0.0369, 0)</f>
        <v>30.031700000000001</v>
      </c>
      <c r="J380" s="44">
        <f>230.7742</f>
        <v>230.77420000000001</v>
      </c>
    </row>
    <row r="381" spans="1:10" ht="15.75" x14ac:dyDescent="0.25">
      <c r="A381" s="33">
        <v>52535</v>
      </c>
      <c r="B381" s="14">
        <f>32.1884 * CHOOSE(CONTROL!$C$15, $E$9, 100%, $G$9) + CHOOSE(CONTROL!$C$38, 0.0256, 0)</f>
        <v>32.213999999999999</v>
      </c>
      <c r="C381" s="14">
        <f>30.3564 * CHOOSE(CONTROL!$C$15, $E$9, 100%, $G$9) + CHOOSE(CONTROL!$C$38, 0.0347, 0)</f>
        <v>30.391100000000002</v>
      </c>
      <c r="D381" s="14">
        <f>30.3486 * CHOOSE(CONTROL!$C$15, $E$9, 100%, $G$9) + CHOOSE(CONTROL!$C$38, 0.0347, 0)</f>
        <v>30.383300000000002</v>
      </c>
      <c r="E381" s="46">
        <f>32.0322 * CHOOSE(CONTROL!$C$15, $E$9, 100%, $G$9) + CHOOSE(CONTROL!$C$38, 0.0347, 0)</f>
        <v>32.066900000000004</v>
      </c>
      <c r="F381" s="45">
        <f>32.0322 * CHOOSE(CONTROL!$C$15, $E$9, 100%, $G$9) + CHOOSE(CONTROL!$C$38, 0.0256, 0)</f>
        <v>32.0578</v>
      </c>
      <c r="G381" s="14">
        <f>30.3548 * CHOOSE(CONTROL!$C$15, $E$9, 100%, $G$9) + CHOOSE(CONTROL!$C$38, 0.0347, 0)</f>
        <v>30.389500000000002</v>
      </c>
      <c r="H381" s="14">
        <f>30.3548 * CHOOSE(CONTROL!$C$15, $E$9, 100%, $G$9) + CHOOSE(CONTROL!$C$38, 0.0347, 0)</f>
        <v>30.389500000000002</v>
      </c>
      <c r="I381" s="14">
        <f>30.3564 * CHOOSE(CONTROL!$C$15, $E$9, 100%, $G$9) + CHOOSE(CONTROL!$C$38, 0.0347, 0)</f>
        <v>30.391100000000002</v>
      </c>
      <c r="J381" s="44">
        <f>222.7938</f>
        <v>222.7938</v>
      </c>
    </row>
    <row r="382" spans="1:10" ht="15.75" x14ac:dyDescent="0.25">
      <c r="A382" s="33">
        <v>52565</v>
      </c>
      <c r="B382" s="14">
        <f>32.4901 * CHOOSE(CONTROL!$C$15, $E$9, 100%, $G$9) + CHOOSE(CONTROL!$C$38, 0.0256, 0)</f>
        <v>32.515699999999995</v>
      </c>
      <c r="C382" s="14">
        <f>30.6581 * CHOOSE(CONTROL!$C$15, $E$9, 100%, $G$9) + CHOOSE(CONTROL!$C$38, 0.0347, 0)</f>
        <v>30.692800000000002</v>
      </c>
      <c r="D382" s="14">
        <f>30.6503 * CHOOSE(CONTROL!$C$15, $E$9, 100%, $G$9) + CHOOSE(CONTROL!$C$38, 0.0347, 0)</f>
        <v>30.685000000000002</v>
      </c>
      <c r="E382" s="46">
        <f>32.3339 * CHOOSE(CONTROL!$C$15, $E$9, 100%, $G$9) + CHOOSE(CONTROL!$C$38, 0.0347, 0)</f>
        <v>32.368600000000001</v>
      </c>
      <c r="F382" s="45">
        <f>32.3339 * CHOOSE(CONTROL!$C$15, $E$9, 100%, $G$9) + CHOOSE(CONTROL!$C$38, 0.0256, 0)</f>
        <v>32.359499999999997</v>
      </c>
      <c r="G382" s="14">
        <f>30.6565 * CHOOSE(CONTROL!$C$15, $E$9, 100%, $G$9) + CHOOSE(CONTROL!$C$38, 0.0347, 0)</f>
        <v>30.691200000000002</v>
      </c>
      <c r="H382" s="14">
        <f>30.6565 * CHOOSE(CONTROL!$C$15, $E$9, 100%, $G$9) + CHOOSE(CONTROL!$C$38, 0.0347, 0)</f>
        <v>30.691200000000002</v>
      </c>
      <c r="I382" s="14">
        <f>30.6581 * CHOOSE(CONTROL!$C$15, $E$9, 100%, $G$9) + CHOOSE(CONTROL!$C$38, 0.0347, 0)</f>
        <v>30.692800000000002</v>
      </c>
      <c r="J382" s="44">
        <f>221.2063</f>
        <v>221.2063</v>
      </c>
    </row>
    <row r="383" spans="1:10" ht="15.75" x14ac:dyDescent="0.25">
      <c r="A383" s="33">
        <v>52596</v>
      </c>
      <c r="B383" s="14">
        <f>33.4198 * CHOOSE(CONTROL!$C$15, $E$9, 100%, $G$9) + CHOOSE(CONTROL!$C$38, 0.0256, 0)</f>
        <v>33.445399999999999</v>
      </c>
      <c r="C383" s="14">
        <f>31.5877 * CHOOSE(CONTROL!$C$15, $E$9, 100%, $G$9) + CHOOSE(CONTROL!$C$38, 0.0347, 0)</f>
        <v>31.622400000000003</v>
      </c>
      <c r="D383" s="14">
        <f>31.5799 * CHOOSE(CONTROL!$C$15, $E$9, 100%, $G$9) + CHOOSE(CONTROL!$C$38, 0.0347, 0)</f>
        <v>31.614599999999999</v>
      </c>
      <c r="E383" s="46">
        <f>33.2635 * CHOOSE(CONTROL!$C$15, $E$9, 100%, $G$9) + CHOOSE(CONTROL!$C$38, 0.0347, 0)</f>
        <v>33.298200000000001</v>
      </c>
      <c r="F383" s="45">
        <f>33.2635 * CHOOSE(CONTROL!$C$15, $E$9, 100%, $G$9) + CHOOSE(CONTROL!$C$38, 0.0256, 0)</f>
        <v>33.289099999999998</v>
      </c>
      <c r="G383" s="14">
        <f>31.5862 * CHOOSE(CONTROL!$C$15, $E$9, 100%, $G$9) + CHOOSE(CONTROL!$C$38, 0.0347, 0)</f>
        <v>31.620900000000002</v>
      </c>
      <c r="H383" s="14">
        <f>31.5862 * CHOOSE(CONTROL!$C$15, $E$9, 100%, $G$9) + CHOOSE(CONTROL!$C$38, 0.0347, 0)</f>
        <v>31.620900000000002</v>
      </c>
      <c r="I383" s="14">
        <f>31.5877 * CHOOSE(CONTROL!$C$15, $E$9, 100%, $G$9) + CHOOSE(CONTROL!$C$38, 0.0347, 0)</f>
        <v>31.622400000000003</v>
      </c>
      <c r="J383" s="44">
        <f>214.642</f>
        <v>214.642</v>
      </c>
    </row>
    <row r="384" spans="1:10" ht="15.75" x14ac:dyDescent="0.25">
      <c r="A384" s="33">
        <v>52627</v>
      </c>
      <c r="B384" s="14">
        <f>34.6903 * CHOOSE(CONTROL!$C$15, $E$9, 100%, $G$9) + CHOOSE(CONTROL!$C$38, 0.0256, 0)</f>
        <v>34.715899999999998</v>
      </c>
      <c r="C384" s="14">
        <f>32.8301 * CHOOSE(CONTROL!$C$15, $E$9, 100%, $G$9) + CHOOSE(CONTROL!$C$38, 0.0347, 0)</f>
        <v>32.864800000000002</v>
      </c>
      <c r="D384" s="14">
        <f>32.8223 * CHOOSE(CONTROL!$C$15, $E$9, 100%, $G$9) + CHOOSE(CONTROL!$C$38, 0.0347, 0)</f>
        <v>32.856999999999999</v>
      </c>
      <c r="E384" s="46">
        <f>34.5341 * CHOOSE(CONTROL!$C$15, $E$9, 100%, $G$9) + CHOOSE(CONTROL!$C$38, 0.0347, 0)</f>
        <v>34.568800000000003</v>
      </c>
      <c r="F384" s="45">
        <f>34.5341 * CHOOSE(CONTROL!$C$15, $E$9, 100%, $G$9) + CHOOSE(CONTROL!$C$38, 0.0256, 0)</f>
        <v>34.559699999999999</v>
      </c>
      <c r="G384" s="14">
        <f>32.8286 * CHOOSE(CONTROL!$C$15, $E$9, 100%, $G$9) + CHOOSE(CONTROL!$C$38, 0.0347, 0)</f>
        <v>32.863300000000002</v>
      </c>
      <c r="H384" s="14">
        <f>32.8286 * CHOOSE(CONTROL!$C$15, $E$9, 100%, $G$9) + CHOOSE(CONTROL!$C$38, 0.0347, 0)</f>
        <v>32.863300000000002</v>
      </c>
      <c r="I384" s="14">
        <f>32.8301 * CHOOSE(CONTROL!$C$15, $E$9, 100%, $G$9) + CHOOSE(CONTROL!$C$38, 0.0347, 0)</f>
        <v>32.864800000000002</v>
      </c>
      <c r="J384" s="44">
        <f>214.3652</f>
        <v>214.36519999999999</v>
      </c>
    </row>
    <row r="385" spans="1:10" ht="15.75" x14ac:dyDescent="0.25">
      <c r="A385" s="33">
        <v>52655</v>
      </c>
      <c r="B385" s="14">
        <f>35.0346 * CHOOSE(CONTROL!$C$15, $E$9, 100%, $G$9) + CHOOSE(CONTROL!$C$38, 0.0256, 0)</f>
        <v>35.060199999999995</v>
      </c>
      <c r="C385" s="14">
        <f>33.1744 * CHOOSE(CONTROL!$C$15, $E$9, 100%, $G$9) + CHOOSE(CONTROL!$C$38, 0.0347, 0)</f>
        <v>33.209099999999999</v>
      </c>
      <c r="D385" s="14">
        <f>33.1666 * CHOOSE(CONTROL!$C$15, $E$9, 100%, $G$9) + CHOOSE(CONTROL!$C$38, 0.0347, 0)</f>
        <v>33.201300000000003</v>
      </c>
      <c r="E385" s="46">
        <f>34.8784 * CHOOSE(CONTROL!$C$15, $E$9, 100%, $G$9) + CHOOSE(CONTROL!$C$38, 0.0347, 0)</f>
        <v>34.9131</v>
      </c>
      <c r="F385" s="45">
        <f>34.8784 * CHOOSE(CONTROL!$C$15, $E$9, 100%, $G$9) + CHOOSE(CONTROL!$C$38, 0.0256, 0)</f>
        <v>34.903999999999996</v>
      </c>
      <c r="G385" s="14">
        <f>33.1729 * CHOOSE(CONTROL!$C$15, $E$9, 100%, $G$9) + CHOOSE(CONTROL!$C$38, 0.0347, 0)</f>
        <v>33.207599999999999</v>
      </c>
      <c r="H385" s="14">
        <f>33.1729 * CHOOSE(CONTROL!$C$15, $E$9, 100%, $G$9) + CHOOSE(CONTROL!$C$38, 0.0347, 0)</f>
        <v>33.207599999999999</v>
      </c>
      <c r="I385" s="14">
        <f>33.1744 * CHOOSE(CONTROL!$C$15, $E$9, 100%, $G$9) + CHOOSE(CONTROL!$C$38, 0.0347, 0)</f>
        <v>33.209099999999999</v>
      </c>
      <c r="J385" s="44">
        <f>213.7694</f>
        <v>213.76939999999999</v>
      </c>
    </row>
    <row r="386" spans="1:10" ht="15.75" x14ac:dyDescent="0.25">
      <c r="A386" s="33">
        <v>52687</v>
      </c>
      <c r="B386" s="14">
        <f>34.2376 * CHOOSE(CONTROL!$C$15, $E$9, 100%, $G$9) + CHOOSE(CONTROL!$C$38, 0.0256, 0)</f>
        <v>34.263199999999998</v>
      </c>
      <c r="C386" s="14">
        <f>32.3774 * CHOOSE(CONTROL!$C$15, $E$9, 100%, $G$9) + CHOOSE(CONTROL!$C$38, 0.0347, 0)</f>
        <v>32.412100000000002</v>
      </c>
      <c r="D386" s="14">
        <f>32.3696 * CHOOSE(CONTROL!$C$15, $E$9, 100%, $G$9) + CHOOSE(CONTROL!$C$38, 0.0347, 0)</f>
        <v>32.404299999999999</v>
      </c>
      <c r="E386" s="46">
        <f>34.0813 * CHOOSE(CONTROL!$C$15, $E$9, 100%, $G$9) + CHOOSE(CONTROL!$C$38, 0.0347, 0)</f>
        <v>34.116</v>
      </c>
      <c r="F386" s="45">
        <f>34.0813 * CHOOSE(CONTROL!$C$15, $E$9, 100%, $G$9) + CHOOSE(CONTROL!$C$38, 0.0256, 0)</f>
        <v>34.106899999999996</v>
      </c>
      <c r="G386" s="14">
        <f>32.3758 * CHOOSE(CONTROL!$C$15, $E$9, 100%, $G$9) + CHOOSE(CONTROL!$C$38, 0.0347, 0)</f>
        <v>32.410499999999999</v>
      </c>
      <c r="H386" s="14">
        <f>32.3758 * CHOOSE(CONTROL!$C$15, $E$9, 100%, $G$9) + CHOOSE(CONTROL!$C$38, 0.0347, 0)</f>
        <v>32.410499999999999</v>
      </c>
      <c r="I386" s="14">
        <f>32.3774 * CHOOSE(CONTROL!$C$15, $E$9, 100%, $G$9) + CHOOSE(CONTROL!$C$38, 0.0347, 0)</f>
        <v>32.412100000000002</v>
      </c>
      <c r="J386" s="44">
        <f>225.0363</f>
        <v>225.03630000000001</v>
      </c>
    </row>
    <row r="387" spans="1:10" ht="15.75" x14ac:dyDescent="0.25">
      <c r="A387" s="33">
        <v>52717</v>
      </c>
      <c r="B387" s="14">
        <f>33.4653 * CHOOSE(CONTROL!$C$15, $E$9, 100%, $G$9) + CHOOSE(CONTROL!$C$38, 0.0256, 0)</f>
        <v>33.490899999999996</v>
      </c>
      <c r="C387" s="14">
        <f>31.6051 * CHOOSE(CONTROL!$C$15, $E$9, 100%, $G$9) + CHOOSE(CONTROL!$C$38, 0.0347, 0)</f>
        <v>31.639800000000001</v>
      </c>
      <c r="D387" s="14">
        <f>31.5973 * CHOOSE(CONTROL!$C$15, $E$9, 100%, $G$9) + CHOOSE(CONTROL!$C$38, 0.0347, 0)</f>
        <v>31.632000000000001</v>
      </c>
      <c r="E387" s="46">
        <f>33.309 * CHOOSE(CONTROL!$C$15, $E$9, 100%, $G$9) + CHOOSE(CONTROL!$C$38, 0.0347, 0)</f>
        <v>33.343699999999998</v>
      </c>
      <c r="F387" s="45">
        <f>33.309 * CHOOSE(CONTROL!$C$15, $E$9, 100%, $G$9) + CHOOSE(CONTROL!$C$38, 0.0256, 0)</f>
        <v>33.334599999999995</v>
      </c>
      <c r="G387" s="14">
        <f>31.6035 * CHOOSE(CONTROL!$C$15, $E$9, 100%, $G$9) + CHOOSE(CONTROL!$C$38, 0.0347, 0)</f>
        <v>31.638200000000001</v>
      </c>
      <c r="H387" s="14">
        <f>31.6035 * CHOOSE(CONTROL!$C$15, $E$9, 100%, $G$9) + CHOOSE(CONTROL!$C$38, 0.0347, 0)</f>
        <v>31.638200000000001</v>
      </c>
      <c r="I387" s="14">
        <f>31.6051 * CHOOSE(CONTROL!$C$15, $E$9, 100%, $G$9) + CHOOSE(CONTROL!$C$38, 0.0347, 0)</f>
        <v>31.639800000000001</v>
      </c>
      <c r="J387" s="44">
        <f>239.6467</f>
        <v>239.64670000000001</v>
      </c>
    </row>
    <row r="388" spans="1:10" ht="15.75" x14ac:dyDescent="0.25">
      <c r="A388" s="33">
        <v>52748</v>
      </c>
      <c r="B388" s="14">
        <f>32.6603 * CHOOSE(CONTROL!$C$15, $E$9, 100%, $G$9) + CHOOSE(CONTROL!$C$38, 0.0278, 0)</f>
        <v>32.688099999999999</v>
      </c>
      <c r="C388" s="14">
        <f>30.8001 * CHOOSE(CONTROL!$C$15, $E$9, 100%, $G$9) + CHOOSE(CONTROL!$C$38, 0.0369, 0)</f>
        <v>30.837</v>
      </c>
      <c r="D388" s="14">
        <f>30.7923 * CHOOSE(CONTROL!$C$15, $E$9, 100%, $G$9) + CHOOSE(CONTROL!$C$38, 0.0369, 0)</f>
        <v>30.8292</v>
      </c>
      <c r="E388" s="46">
        <f>32.5041 * CHOOSE(CONTROL!$C$15, $E$9, 100%, $G$9) + CHOOSE(CONTROL!$C$38, 0.0369, 0)</f>
        <v>32.541000000000004</v>
      </c>
      <c r="F388" s="45">
        <f>32.5041 * CHOOSE(CONTROL!$C$15, $E$9, 100%, $G$9) + CHOOSE(CONTROL!$C$38, 0.0278, 0)</f>
        <v>32.5319</v>
      </c>
      <c r="G388" s="14">
        <f>30.7986 * CHOOSE(CONTROL!$C$15, $E$9, 100%, $G$9) + CHOOSE(CONTROL!$C$38, 0.0369, 0)</f>
        <v>30.8355</v>
      </c>
      <c r="H388" s="14">
        <f>30.7986 * CHOOSE(CONTROL!$C$15, $E$9, 100%, $G$9) + CHOOSE(CONTROL!$C$38, 0.0369, 0)</f>
        <v>30.8355</v>
      </c>
      <c r="I388" s="14">
        <f>30.8001 * CHOOSE(CONTROL!$C$15, $E$9, 100%, $G$9) + CHOOSE(CONTROL!$C$38, 0.0369, 0)</f>
        <v>30.837</v>
      </c>
      <c r="J388" s="44">
        <f>247.6888</f>
        <v>247.68879999999999</v>
      </c>
    </row>
    <row r="389" spans="1:10" ht="15.75" x14ac:dyDescent="0.25">
      <c r="A389" s="33">
        <v>52778</v>
      </c>
      <c r="B389" s="14">
        <f>32.096 * CHOOSE(CONTROL!$C$15, $E$9, 100%, $G$9) + CHOOSE(CONTROL!$C$38, 0.0278, 0)</f>
        <v>32.123799999999996</v>
      </c>
      <c r="C389" s="14">
        <f>30.2358 * CHOOSE(CONTROL!$C$15, $E$9, 100%, $G$9) + CHOOSE(CONTROL!$C$38, 0.0369, 0)</f>
        <v>30.2727</v>
      </c>
      <c r="D389" s="14">
        <f>30.228 * CHOOSE(CONTROL!$C$15, $E$9, 100%, $G$9) + CHOOSE(CONTROL!$C$38, 0.0369, 0)</f>
        <v>30.264900000000001</v>
      </c>
      <c r="E389" s="46">
        <f>31.9397 * CHOOSE(CONTROL!$C$15, $E$9, 100%, $G$9) + CHOOSE(CONTROL!$C$38, 0.0369, 0)</f>
        <v>31.976599999999998</v>
      </c>
      <c r="F389" s="45">
        <f>31.9397 * CHOOSE(CONTROL!$C$15, $E$9, 100%, $G$9) + CHOOSE(CONTROL!$C$38, 0.0278, 0)</f>
        <v>31.967499999999998</v>
      </c>
      <c r="G389" s="14">
        <f>30.2342 * CHOOSE(CONTROL!$C$15, $E$9, 100%, $G$9) + CHOOSE(CONTROL!$C$38, 0.0369, 0)</f>
        <v>30.271100000000001</v>
      </c>
      <c r="H389" s="14">
        <f>30.2342 * CHOOSE(CONTROL!$C$15, $E$9, 100%, $G$9) + CHOOSE(CONTROL!$C$38, 0.0369, 0)</f>
        <v>30.271100000000001</v>
      </c>
      <c r="I389" s="14">
        <f>30.2358 * CHOOSE(CONTROL!$C$15, $E$9, 100%, $G$9) + CHOOSE(CONTROL!$C$38, 0.0369, 0)</f>
        <v>30.2727</v>
      </c>
      <c r="J389" s="44">
        <f>251.2577</f>
        <v>251.2577</v>
      </c>
    </row>
    <row r="390" spans="1:10" ht="15.75" x14ac:dyDescent="0.25">
      <c r="A390" s="33">
        <v>52809</v>
      </c>
      <c r="B390" s="14">
        <f>31.7739 * CHOOSE(CONTROL!$C$15, $E$9, 100%, $G$9) + CHOOSE(CONTROL!$C$38, 0.0278, 0)</f>
        <v>31.8017</v>
      </c>
      <c r="C390" s="14">
        <f>29.9137 * CHOOSE(CONTROL!$C$15, $E$9, 100%, $G$9) + CHOOSE(CONTROL!$C$38, 0.0369, 0)</f>
        <v>29.950599999999998</v>
      </c>
      <c r="D390" s="14">
        <f>29.9059 * CHOOSE(CONTROL!$C$15, $E$9, 100%, $G$9) + CHOOSE(CONTROL!$C$38, 0.0369, 0)</f>
        <v>29.942799999999998</v>
      </c>
      <c r="E390" s="46">
        <f>31.6177 * CHOOSE(CONTROL!$C$15, $E$9, 100%, $G$9) + CHOOSE(CONTROL!$C$38, 0.0369, 0)</f>
        <v>31.654599999999999</v>
      </c>
      <c r="F390" s="45">
        <f>31.6177 * CHOOSE(CONTROL!$C$15, $E$9, 100%, $G$9) + CHOOSE(CONTROL!$C$38, 0.0278, 0)</f>
        <v>31.645499999999998</v>
      </c>
      <c r="G390" s="14">
        <f>29.9122 * CHOOSE(CONTROL!$C$15, $E$9, 100%, $G$9) + CHOOSE(CONTROL!$C$38, 0.0369, 0)</f>
        <v>29.949099999999998</v>
      </c>
      <c r="H390" s="14">
        <f>29.9122 * CHOOSE(CONTROL!$C$15, $E$9, 100%, $G$9) + CHOOSE(CONTROL!$C$38, 0.0369, 0)</f>
        <v>29.949099999999998</v>
      </c>
      <c r="I390" s="14">
        <f>29.9137 * CHOOSE(CONTROL!$C$15, $E$9, 100%, $G$9) + CHOOSE(CONTROL!$C$38, 0.0369, 0)</f>
        <v>29.950599999999998</v>
      </c>
      <c r="J390" s="44">
        <f>250.0827</f>
        <v>250.08269999999999</v>
      </c>
    </row>
    <row r="391" spans="1:10" ht="15.75" x14ac:dyDescent="0.25">
      <c r="A391" s="33">
        <v>52840</v>
      </c>
      <c r="B391" s="14">
        <f>31.9329 * CHOOSE(CONTROL!$C$15, $E$9, 100%, $G$9) + CHOOSE(CONTROL!$C$38, 0.0278, 0)</f>
        <v>31.960699999999999</v>
      </c>
      <c r="C391" s="14">
        <f>30.0727 * CHOOSE(CONTROL!$C$15, $E$9, 100%, $G$9) + CHOOSE(CONTROL!$C$38, 0.0369, 0)</f>
        <v>30.1096</v>
      </c>
      <c r="D391" s="14">
        <f>30.0649 * CHOOSE(CONTROL!$C$15, $E$9, 100%, $G$9) + CHOOSE(CONTROL!$C$38, 0.0369, 0)</f>
        <v>30.101800000000001</v>
      </c>
      <c r="E391" s="46">
        <f>31.7766 * CHOOSE(CONTROL!$C$15, $E$9, 100%, $G$9) + CHOOSE(CONTROL!$C$38, 0.0369, 0)</f>
        <v>31.813499999999998</v>
      </c>
      <c r="F391" s="45">
        <f>31.7766 * CHOOSE(CONTROL!$C$15, $E$9, 100%, $G$9) + CHOOSE(CONTROL!$C$38, 0.0278, 0)</f>
        <v>31.804399999999998</v>
      </c>
      <c r="G391" s="14">
        <f>30.0711 * CHOOSE(CONTROL!$C$15, $E$9, 100%, $G$9) + CHOOSE(CONTROL!$C$38, 0.0369, 0)</f>
        <v>30.108000000000001</v>
      </c>
      <c r="H391" s="14">
        <f>30.0711 * CHOOSE(CONTROL!$C$15, $E$9, 100%, $G$9) + CHOOSE(CONTROL!$C$38, 0.0369, 0)</f>
        <v>30.108000000000001</v>
      </c>
      <c r="I391" s="14">
        <f>30.0727 * CHOOSE(CONTROL!$C$15, $E$9, 100%, $G$9) + CHOOSE(CONTROL!$C$38, 0.0369, 0)</f>
        <v>30.1096</v>
      </c>
      <c r="J391" s="44">
        <f>244.2608</f>
        <v>244.26079999999999</v>
      </c>
    </row>
    <row r="392" spans="1:10" ht="15.75" x14ac:dyDescent="0.25">
      <c r="A392" s="33">
        <v>52870</v>
      </c>
      <c r="B392" s="14">
        <f>32.3646 * CHOOSE(CONTROL!$C$15, $E$9, 100%, $G$9) + CHOOSE(CONTROL!$C$38, 0.0278, 0)</f>
        <v>32.392400000000002</v>
      </c>
      <c r="C392" s="14">
        <f>30.5044 * CHOOSE(CONTROL!$C$15, $E$9, 100%, $G$9) + CHOOSE(CONTROL!$C$38, 0.0369, 0)</f>
        <v>30.5413</v>
      </c>
      <c r="D392" s="14">
        <f>30.4966 * CHOOSE(CONTROL!$C$15, $E$9, 100%, $G$9) + CHOOSE(CONTROL!$C$38, 0.0369, 0)</f>
        <v>30.5335</v>
      </c>
      <c r="E392" s="46">
        <f>32.2083 * CHOOSE(CONTROL!$C$15, $E$9, 100%, $G$9) + CHOOSE(CONTROL!$C$38, 0.0369, 0)</f>
        <v>32.245200000000004</v>
      </c>
      <c r="F392" s="45">
        <f>32.2083 * CHOOSE(CONTROL!$C$15, $E$9, 100%, $G$9) + CHOOSE(CONTROL!$C$38, 0.0278, 0)</f>
        <v>32.2361</v>
      </c>
      <c r="G392" s="14">
        <f>30.5028 * CHOOSE(CONTROL!$C$15, $E$9, 100%, $G$9) + CHOOSE(CONTROL!$C$38, 0.0369, 0)</f>
        <v>30.5397</v>
      </c>
      <c r="H392" s="14">
        <f>30.5028 * CHOOSE(CONTROL!$C$15, $E$9, 100%, $G$9) + CHOOSE(CONTROL!$C$38, 0.0369, 0)</f>
        <v>30.5397</v>
      </c>
      <c r="I392" s="14">
        <f>30.5044 * CHOOSE(CONTROL!$C$15, $E$9, 100%, $G$9) + CHOOSE(CONTROL!$C$38, 0.0369, 0)</f>
        <v>30.5413</v>
      </c>
      <c r="J392" s="44">
        <f>236.142</f>
        <v>236.142</v>
      </c>
    </row>
    <row r="393" spans="1:10" ht="15.75" x14ac:dyDescent="0.25">
      <c r="A393" s="33">
        <v>52901</v>
      </c>
      <c r="B393" s="14">
        <f>32.7261 * CHOOSE(CONTROL!$C$15, $E$9, 100%, $G$9) + CHOOSE(CONTROL!$C$38, 0.0256, 0)</f>
        <v>32.7517</v>
      </c>
      <c r="C393" s="14">
        <f>30.866 * CHOOSE(CONTROL!$C$15, $E$9, 100%, $G$9) + CHOOSE(CONTROL!$C$38, 0.0347, 0)</f>
        <v>30.900700000000001</v>
      </c>
      <c r="D393" s="14">
        <f>30.8582 * CHOOSE(CONTROL!$C$15, $E$9, 100%, $G$9) + CHOOSE(CONTROL!$C$38, 0.0347, 0)</f>
        <v>30.892900000000001</v>
      </c>
      <c r="E393" s="46">
        <f>32.5699 * CHOOSE(CONTROL!$C$15, $E$9, 100%, $G$9) + CHOOSE(CONTROL!$C$38, 0.0347, 0)</f>
        <v>32.604599999999998</v>
      </c>
      <c r="F393" s="45">
        <f>32.5699 * CHOOSE(CONTROL!$C$15, $E$9, 100%, $G$9) + CHOOSE(CONTROL!$C$38, 0.0256, 0)</f>
        <v>32.595499999999994</v>
      </c>
      <c r="G393" s="14">
        <f>30.8644 * CHOOSE(CONTROL!$C$15, $E$9, 100%, $G$9) + CHOOSE(CONTROL!$C$38, 0.0347, 0)</f>
        <v>30.899100000000001</v>
      </c>
      <c r="H393" s="14">
        <f>30.8644 * CHOOSE(CONTROL!$C$15, $E$9, 100%, $G$9) + CHOOSE(CONTROL!$C$38, 0.0347, 0)</f>
        <v>30.899100000000001</v>
      </c>
      <c r="I393" s="14">
        <f>30.866 * CHOOSE(CONTROL!$C$15, $E$9, 100%, $G$9) + CHOOSE(CONTROL!$C$38, 0.0347, 0)</f>
        <v>30.900700000000001</v>
      </c>
      <c r="J393" s="44">
        <f>227.976</f>
        <v>227.976</v>
      </c>
    </row>
    <row r="394" spans="1:10" ht="15.75" x14ac:dyDescent="0.25">
      <c r="A394" s="33">
        <v>52931</v>
      </c>
      <c r="B394" s="14">
        <f>33.0279 * CHOOSE(CONTROL!$C$15, $E$9, 100%, $G$9) + CHOOSE(CONTROL!$C$38, 0.0256, 0)</f>
        <v>33.0535</v>
      </c>
      <c r="C394" s="14">
        <f>31.1677 * CHOOSE(CONTROL!$C$15, $E$9, 100%, $G$9) + CHOOSE(CONTROL!$C$38, 0.0347, 0)</f>
        <v>31.202400000000001</v>
      </c>
      <c r="D394" s="14">
        <f>31.1599 * CHOOSE(CONTROL!$C$15, $E$9, 100%, $G$9) + CHOOSE(CONTROL!$C$38, 0.0347, 0)</f>
        <v>31.194600000000001</v>
      </c>
      <c r="E394" s="46">
        <f>32.8716 * CHOOSE(CONTROL!$C$15, $E$9, 100%, $G$9) + CHOOSE(CONTROL!$C$38, 0.0347, 0)</f>
        <v>32.906300000000002</v>
      </c>
      <c r="F394" s="45">
        <f>32.8716 * CHOOSE(CONTROL!$C$15, $E$9, 100%, $G$9) + CHOOSE(CONTROL!$C$38, 0.0256, 0)</f>
        <v>32.897199999999998</v>
      </c>
      <c r="G394" s="14">
        <f>31.1661 * CHOOSE(CONTROL!$C$15, $E$9, 100%, $G$9) + CHOOSE(CONTROL!$C$38, 0.0347, 0)</f>
        <v>31.200800000000001</v>
      </c>
      <c r="H394" s="14">
        <f>31.1661 * CHOOSE(CONTROL!$C$15, $E$9, 100%, $G$9) + CHOOSE(CONTROL!$C$38, 0.0347, 0)</f>
        <v>31.200800000000001</v>
      </c>
      <c r="I394" s="14">
        <f>31.1677 * CHOOSE(CONTROL!$C$15, $E$9, 100%, $G$9) + CHOOSE(CONTROL!$C$38, 0.0347, 0)</f>
        <v>31.202400000000001</v>
      </c>
      <c r="J394" s="44">
        <f>226.3516</f>
        <v>226.35159999999999</v>
      </c>
    </row>
    <row r="395" spans="1:10" ht="15.75" x14ac:dyDescent="0.25">
      <c r="A395" s="33">
        <v>52962</v>
      </c>
      <c r="B395" s="14">
        <f>33.9575 * CHOOSE(CONTROL!$C$15, $E$9, 100%, $G$9) + CHOOSE(CONTROL!$C$38, 0.0256, 0)</f>
        <v>33.9831</v>
      </c>
      <c r="C395" s="14">
        <f>32.0973 * CHOOSE(CONTROL!$C$15, $E$9, 100%, $G$9) + CHOOSE(CONTROL!$C$38, 0.0347, 0)</f>
        <v>32.131999999999998</v>
      </c>
      <c r="D395" s="14">
        <f>32.0895 * CHOOSE(CONTROL!$C$15, $E$9, 100%, $G$9) + CHOOSE(CONTROL!$C$38, 0.0347, 0)</f>
        <v>32.124200000000002</v>
      </c>
      <c r="E395" s="46">
        <f>33.8013 * CHOOSE(CONTROL!$C$15, $E$9, 100%, $G$9) + CHOOSE(CONTROL!$C$38, 0.0347, 0)</f>
        <v>33.835999999999999</v>
      </c>
      <c r="F395" s="45">
        <f>33.8013 * CHOOSE(CONTROL!$C$15, $E$9, 100%, $G$9) + CHOOSE(CONTROL!$C$38, 0.0256, 0)</f>
        <v>33.826899999999995</v>
      </c>
      <c r="G395" s="14">
        <f>32.0958 * CHOOSE(CONTROL!$C$15, $E$9, 100%, $G$9) + CHOOSE(CONTROL!$C$38, 0.0347, 0)</f>
        <v>32.130499999999998</v>
      </c>
      <c r="H395" s="14">
        <f>32.0958 * CHOOSE(CONTROL!$C$15, $E$9, 100%, $G$9) + CHOOSE(CONTROL!$C$38, 0.0347, 0)</f>
        <v>32.130499999999998</v>
      </c>
      <c r="I395" s="14">
        <f>32.0973 * CHOOSE(CONTROL!$C$15, $E$9, 100%, $G$9) + CHOOSE(CONTROL!$C$38, 0.0347, 0)</f>
        <v>32.131999999999998</v>
      </c>
      <c r="J395" s="44">
        <f>219.6346</f>
        <v>219.63460000000001</v>
      </c>
    </row>
    <row r="396" spans="1:10" ht="15.75" x14ac:dyDescent="0.25">
      <c r="A396" s="33">
        <v>52993</v>
      </c>
      <c r="B396" s="14">
        <f>35.2371 * CHOOSE(CONTROL!$C$15, $E$9, 100%, $G$9) + CHOOSE(CONTROL!$C$38, 0.0256, 0)</f>
        <v>35.262699999999995</v>
      </c>
      <c r="C396" s="14">
        <f>33.3483 * CHOOSE(CONTROL!$C$15, $E$9, 100%, $G$9) + CHOOSE(CONTROL!$C$38, 0.0347, 0)</f>
        <v>33.383000000000003</v>
      </c>
      <c r="D396" s="14">
        <f>33.3405 * CHOOSE(CONTROL!$C$15, $E$9, 100%, $G$9) + CHOOSE(CONTROL!$C$38, 0.0347, 0)</f>
        <v>33.3752</v>
      </c>
      <c r="E396" s="46">
        <f>35.0808 * CHOOSE(CONTROL!$C$15, $E$9, 100%, $G$9) + CHOOSE(CONTROL!$C$38, 0.0347, 0)</f>
        <v>35.115500000000004</v>
      </c>
      <c r="F396" s="45">
        <f>35.0808 * CHOOSE(CONTROL!$C$15, $E$9, 100%, $G$9) + CHOOSE(CONTROL!$C$38, 0.0256, 0)</f>
        <v>35.106400000000001</v>
      </c>
      <c r="G396" s="14">
        <f>33.3467 * CHOOSE(CONTROL!$C$15, $E$9, 100%, $G$9) + CHOOSE(CONTROL!$C$38, 0.0347, 0)</f>
        <v>33.381399999999999</v>
      </c>
      <c r="H396" s="14">
        <f>33.3467 * CHOOSE(CONTROL!$C$15, $E$9, 100%, $G$9) + CHOOSE(CONTROL!$C$38, 0.0347, 0)</f>
        <v>33.381399999999999</v>
      </c>
      <c r="I396" s="14">
        <f>33.3483 * CHOOSE(CONTROL!$C$15, $E$9, 100%, $G$9) + CHOOSE(CONTROL!$C$38, 0.0347, 0)</f>
        <v>33.383000000000003</v>
      </c>
      <c r="J396" s="44">
        <f>219.3514</f>
        <v>219.35140000000001</v>
      </c>
    </row>
    <row r="397" spans="1:10" ht="15.75" x14ac:dyDescent="0.25">
      <c r="A397" s="33">
        <v>53021</v>
      </c>
      <c r="B397" s="14">
        <f>35.5814 * CHOOSE(CONTROL!$C$15, $E$9, 100%, $G$9) + CHOOSE(CONTROL!$C$38, 0.0256, 0)</f>
        <v>35.606999999999999</v>
      </c>
      <c r="C397" s="14">
        <f>33.6926 * CHOOSE(CONTROL!$C$15, $E$9, 100%, $G$9) + CHOOSE(CONTROL!$C$38, 0.0347, 0)</f>
        <v>33.7273</v>
      </c>
      <c r="D397" s="14">
        <f>33.6848 * CHOOSE(CONTROL!$C$15, $E$9, 100%, $G$9) + CHOOSE(CONTROL!$C$38, 0.0347, 0)</f>
        <v>33.719500000000004</v>
      </c>
      <c r="E397" s="46">
        <f>35.4252 * CHOOSE(CONTROL!$C$15, $E$9, 100%, $G$9) + CHOOSE(CONTROL!$C$38, 0.0347, 0)</f>
        <v>35.459899999999998</v>
      </c>
      <c r="F397" s="45">
        <f>35.4252 * CHOOSE(CONTROL!$C$15, $E$9, 100%, $G$9) + CHOOSE(CONTROL!$C$38, 0.0256, 0)</f>
        <v>35.450799999999994</v>
      </c>
      <c r="G397" s="14">
        <f>33.691 * CHOOSE(CONTROL!$C$15, $E$9, 100%, $G$9) + CHOOSE(CONTROL!$C$38, 0.0347, 0)</f>
        <v>33.725700000000003</v>
      </c>
      <c r="H397" s="14">
        <f>33.691 * CHOOSE(CONTROL!$C$15, $E$9, 100%, $G$9) + CHOOSE(CONTROL!$C$38, 0.0347, 0)</f>
        <v>33.725700000000003</v>
      </c>
      <c r="I397" s="14">
        <f>33.6926 * CHOOSE(CONTROL!$C$15, $E$9, 100%, $G$9) + CHOOSE(CONTROL!$C$38, 0.0347, 0)</f>
        <v>33.7273</v>
      </c>
      <c r="J397" s="44">
        <f>218.7417</f>
        <v>218.74170000000001</v>
      </c>
    </row>
    <row r="398" spans="1:10" ht="15.75" x14ac:dyDescent="0.25">
      <c r="A398" s="33">
        <v>53052</v>
      </c>
      <c r="B398" s="14">
        <f>34.7844 * CHOOSE(CONTROL!$C$15, $E$9, 100%, $G$9) + CHOOSE(CONTROL!$C$38, 0.0256, 0)</f>
        <v>34.809999999999995</v>
      </c>
      <c r="C398" s="14">
        <f>32.8956 * CHOOSE(CONTROL!$C$15, $E$9, 100%, $G$9) + CHOOSE(CONTROL!$C$38, 0.0347, 0)</f>
        <v>32.930300000000003</v>
      </c>
      <c r="D398" s="14">
        <f>32.8877 * CHOOSE(CONTROL!$C$15, $E$9, 100%, $G$9) + CHOOSE(CONTROL!$C$38, 0.0347, 0)</f>
        <v>32.922400000000003</v>
      </c>
      <c r="E398" s="46">
        <f>34.6281 * CHOOSE(CONTROL!$C$15, $E$9, 100%, $G$9) + CHOOSE(CONTROL!$C$38, 0.0347, 0)</f>
        <v>34.662800000000004</v>
      </c>
      <c r="F398" s="45">
        <f>34.6281 * CHOOSE(CONTROL!$C$15, $E$9, 100%, $G$9) + CHOOSE(CONTROL!$C$38, 0.0256, 0)</f>
        <v>34.653700000000001</v>
      </c>
      <c r="G398" s="14">
        <f>32.894 * CHOOSE(CONTROL!$C$15, $E$9, 100%, $G$9) + CHOOSE(CONTROL!$C$38, 0.0347, 0)</f>
        <v>32.928699999999999</v>
      </c>
      <c r="H398" s="14">
        <f>32.894 * CHOOSE(CONTROL!$C$15, $E$9, 100%, $G$9) + CHOOSE(CONTROL!$C$38, 0.0347, 0)</f>
        <v>32.928699999999999</v>
      </c>
      <c r="I398" s="14">
        <f>32.8956 * CHOOSE(CONTROL!$C$15, $E$9, 100%, $G$9) + CHOOSE(CONTROL!$C$38, 0.0347, 0)</f>
        <v>32.930300000000003</v>
      </c>
      <c r="J398" s="44">
        <f>230.2706</f>
        <v>230.2706</v>
      </c>
    </row>
    <row r="399" spans="1:10" ht="15.75" x14ac:dyDescent="0.25">
      <c r="A399" s="33">
        <v>53082</v>
      </c>
      <c r="B399" s="14">
        <f>34.0121 * CHOOSE(CONTROL!$C$15, $E$9, 100%, $G$9) + CHOOSE(CONTROL!$C$38, 0.0256, 0)</f>
        <v>34.037699999999994</v>
      </c>
      <c r="C399" s="14">
        <f>32.1232 * CHOOSE(CONTROL!$C$15, $E$9, 100%, $G$9) + CHOOSE(CONTROL!$C$38, 0.0347, 0)</f>
        <v>32.157899999999998</v>
      </c>
      <c r="D399" s="14">
        <f>32.1154 * CHOOSE(CONTROL!$C$15, $E$9, 100%, $G$9) + CHOOSE(CONTROL!$C$38, 0.0347, 0)</f>
        <v>32.150100000000002</v>
      </c>
      <c r="E399" s="46">
        <f>33.8558 * CHOOSE(CONTROL!$C$15, $E$9, 100%, $G$9) + CHOOSE(CONTROL!$C$38, 0.0347, 0)</f>
        <v>33.890500000000003</v>
      </c>
      <c r="F399" s="45">
        <f>33.8558 * CHOOSE(CONTROL!$C$15, $E$9, 100%, $G$9) + CHOOSE(CONTROL!$C$38, 0.0256, 0)</f>
        <v>33.881399999999999</v>
      </c>
      <c r="G399" s="14">
        <f>32.1217 * CHOOSE(CONTROL!$C$15, $E$9, 100%, $G$9) + CHOOSE(CONTROL!$C$38, 0.0347, 0)</f>
        <v>32.156399999999998</v>
      </c>
      <c r="H399" s="14">
        <f>32.1217 * CHOOSE(CONTROL!$C$15, $E$9, 100%, $G$9) + CHOOSE(CONTROL!$C$38, 0.0347, 0)</f>
        <v>32.156399999999998</v>
      </c>
      <c r="I399" s="14">
        <f>32.1232 * CHOOSE(CONTROL!$C$15, $E$9, 100%, $G$9) + CHOOSE(CONTROL!$C$38, 0.0347, 0)</f>
        <v>32.157899999999998</v>
      </c>
      <c r="J399" s="44">
        <f>245.2209</f>
        <v>245.2209</v>
      </c>
    </row>
    <row r="400" spans="1:10" ht="15.75" x14ac:dyDescent="0.25">
      <c r="A400" s="33">
        <v>53113</v>
      </c>
      <c r="B400" s="14">
        <f>33.2071 * CHOOSE(CONTROL!$C$15, $E$9, 100%, $G$9) + CHOOSE(CONTROL!$C$38, 0.0278, 0)</f>
        <v>33.234899999999996</v>
      </c>
      <c r="C400" s="14">
        <f>31.3183 * CHOOSE(CONTROL!$C$15, $E$9, 100%, $G$9) + CHOOSE(CONTROL!$C$38, 0.0369, 0)</f>
        <v>31.3552</v>
      </c>
      <c r="D400" s="14">
        <f>31.3105 * CHOOSE(CONTROL!$C$15, $E$9, 100%, $G$9) + CHOOSE(CONTROL!$C$38, 0.0369, 0)</f>
        <v>31.3474</v>
      </c>
      <c r="E400" s="46">
        <f>33.0508 * CHOOSE(CONTROL!$C$15, $E$9, 100%, $G$9) + CHOOSE(CONTROL!$C$38, 0.0369, 0)</f>
        <v>33.087700000000005</v>
      </c>
      <c r="F400" s="45">
        <f>33.0508 * CHOOSE(CONTROL!$C$15, $E$9, 100%, $G$9) + CHOOSE(CONTROL!$C$38, 0.0278, 0)</f>
        <v>33.078600000000002</v>
      </c>
      <c r="G400" s="14">
        <f>31.3167 * CHOOSE(CONTROL!$C$15, $E$9, 100%, $G$9) + CHOOSE(CONTROL!$C$38, 0.0369, 0)</f>
        <v>31.3536</v>
      </c>
      <c r="H400" s="14">
        <f>31.3167 * CHOOSE(CONTROL!$C$15, $E$9, 100%, $G$9) + CHOOSE(CONTROL!$C$38, 0.0369, 0)</f>
        <v>31.3536</v>
      </c>
      <c r="I400" s="14">
        <f>31.3183 * CHOOSE(CONTROL!$C$15, $E$9, 100%, $G$9) + CHOOSE(CONTROL!$C$38, 0.0369, 0)</f>
        <v>31.3552</v>
      </c>
      <c r="J400" s="44">
        <f>253.45</f>
        <v>253.45</v>
      </c>
    </row>
    <row r="401" spans="1:10" ht="15.75" x14ac:dyDescent="0.25">
      <c r="A401" s="33">
        <v>53143</v>
      </c>
      <c r="B401" s="14">
        <f>32.6428 * CHOOSE(CONTROL!$C$15, $E$9, 100%, $G$9) + CHOOSE(CONTROL!$C$38, 0.0278, 0)</f>
        <v>32.6706</v>
      </c>
      <c r="C401" s="14">
        <f>30.754 * CHOOSE(CONTROL!$C$15, $E$9, 100%, $G$9) + CHOOSE(CONTROL!$C$38, 0.0369, 0)</f>
        <v>30.790900000000001</v>
      </c>
      <c r="D401" s="14">
        <f>30.7461 * CHOOSE(CONTROL!$C$15, $E$9, 100%, $G$9) + CHOOSE(CONTROL!$C$38, 0.0369, 0)</f>
        <v>30.782999999999998</v>
      </c>
      <c r="E401" s="46">
        <f>32.4865 * CHOOSE(CONTROL!$C$15, $E$9, 100%, $G$9) + CHOOSE(CONTROL!$C$38, 0.0369, 0)</f>
        <v>32.523400000000002</v>
      </c>
      <c r="F401" s="45">
        <f>32.4865 * CHOOSE(CONTROL!$C$15, $E$9, 100%, $G$9) + CHOOSE(CONTROL!$C$38, 0.0278, 0)</f>
        <v>32.514299999999999</v>
      </c>
      <c r="G401" s="14">
        <f>30.7524 * CHOOSE(CONTROL!$C$15, $E$9, 100%, $G$9) + CHOOSE(CONTROL!$C$38, 0.0369, 0)</f>
        <v>30.789300000000001</v>
      </c>
      <c r="H401" s="14">
        <f>30.7524 * CHOOSE(CONTROL!$C$15, $E$9, 100%, $G$9) + CHOOSE(CONTROL!$C$38, 0.0369, 0)</f>
        <v>30.789300000000001</v>
      </c>
      <c r="I401" s="14">
        <f>30.754 * CHOOSE(CONTROL!$C$15, $E$9, 100%, $G$9) + CHOOSE(CONTROL!$C$38, 0.0369, 0)</f>
        <v>30.790900000000001</v>
      </c>
      <c r="J401" s="44">
        <f>257.102</f>
        <v>257.10199999999998</v>
      </c>
    </row>
    <row r="402" spans="1:10" ht="15.75" x14ac:dyDescent="0.25">
      <c r="A402" s="33">
        <v>53174</v>
      </c>
      <c r="B402" s="14">
        <f>32.3207 * CHOOSE(CONTROL!$C$15, $E$9, 100%, $G$9) + CHOOSE(CONTROL!$C$38, 0.0278, 0)</f>
        <v>32.348500000000001</v>
      </c>
      <c r="C402" s="14">
        <f>30.4319 * CHOOSE(CONTROL!$C$15, $E$9, 100%, $G$9) + CHOOSE(CONTROL!$C$38, 0.0369, 0)</f>
        <v>30.468799999999998</v>
      </c>
      <c r="D402" s="14">
        <f>30.4241 * CHOOSE(CONTROL!$C$15, $E$9, 100%, $G$9) + CHOOSE(CONTROL!$C$38, 0.0369, 0)</f>
        <v>30.460999999999999</v>
      </c>
      <c r="E402" s="46">
        <f>32.1645 * CHOOSE(CONTROL!$C$15, $E$9, 100%, $G$9) + CHOOSE(CONTROL!$C$38, 0.0369, 0)</f>
        <v>32.2014</v>
      </c>
      <c r="F402" s="45">
        <f>32.1645 * CHOOSE(CONTROL!$C$15, $E$9, 100%, $G$9) + CHOOSE(CONTROL!$C$38, 0.0278, 0)</f>
        <v>32.192299999999996</v>
      </c>
      <c r="G402" s="14">
        <f>30.4303 * CHOOSE(CONTROL!$C$15, $E$9, 100%, $G$9) + CHOOSE(CONTROL!$C$38, 0.0369, 0)</f>
        <v>30.467199999999998</v>
      </c>
      <c r="H402" s="14">
        <f>30.4303 * CHOOSE(CONTROL!$C$15, $E$9, 100%, $G$9) + CHOOSE(CONTROL!$C$38, 0.0369, 0)</f>
        <v>30.467199999999998</v>
      </c>
      <c r="I402" s="14">
        <f>30.4319 * CHOOSE(CONTROL!$C$15, $E$9, 100%, $G$9) + CHOOSE(CONTROL!$C$38, 0.0369, 0)</f>
        <v>30.468799999999998</v>
      </c>
      <c r="J402" s="44">
        <f>255.8996</f>
        <v>255.89959999999999</v>
      </c>
    </row>
    <row r="403" spans="1:10" ht="15.75" x14ac:dyDescent="0.25">
      <c r="A403" s="33">
        <v>53205</v>
      </c>
      <c r="B403" s="14">
        <f>32.4797 * CHOOSE(CONTROL!$C$15, $E$9, 100%, $G$9) + CHOOSE(CONTROL!$C$38, 0.0278, 0)</f>
        <v>32.5075</v>
      </c>
      <c r="C403" s="14">
        <f>30.5908 * CHOOSE(CONTROL!$C$15, $E$9, 100%, $G$9) + CHOOSE(CONTROL!$C$38, 0.0369, 0)</f>
        <v>30.627700000000001</v>
      </c>
      <c r="D403" s="14">
        <f>30.583 * CHOOSE(CONTROL!$C$15, $E$9, 100%, $G$9) + CHOOSE(CONTROL!$C$38, 0.0369, 0)</f>
        <v>30.619899999999998</v>
      </c>
      <c r="E403" s="46">
        <f>32.3234 * CHOOSE(CONTROL!$C$15, $E$9, 100%, $G$9) + CHOOSE(CONTROL!$C$38, 0.0369, 0)</f>
        <v>32.360300000000002</v>
      </c>
      <c r="F403" s="45">
        <f>32.3234 * CHOOSE(CONTROL!$C$15, $E$9, 100%, $G$9) + CHOOSE(CONTROL!$C$38, 0.0278, 0)</f>
        <v>32.351199999999999</v>
      </c>
      <c r="G403" s="14">
        <f>30.5893 * CHOOSE(CONTROL!$C$15, $E$9, 100%, $G$9) + CHOOSE(CONTROL!$C$38, 0.0369, 0)</f>
        <v>30.626200000000001</v>
      </c>
      <c r="H403" s="14">
        <f>30.5893 * CHOOSE(CONTROL!$C$15, $E$9, 100%, $G$9) + CHOOSE(CONTROL!$C$38, 0.0369, 0)</f>
        <v>30.626200000000001</v>
      </c>
      <c r="I403" s="14">
        <f>30.5908 * CHOOSE(CONTROL!$C$15, $E$9, 100%, $G$9) + CHOOSE(CONTROL!$C$38, 0.0369, 0)</f>
        <v>30.627700000000001</v>
      </c>
      <c r="J403" s="44">
        <f>249.9423</f>
        <v>249.94229999999999</v>
      </c>
    </row>
    <row r="404" spans="1:10" ht="15.75" x14ac:dyDescent="0.25">
      <c r="A404" s="33">
        <v>53235</v>
      </c>
      <c r="B404" s="14">
        <f>32.9114 * CHOOSE(CONTROL!$C$15, $E$9, 100%, $G$9) + CHOOSE(CONTROL!$C$38, 0.0278, 0)</f>
        <v>32.9392</v>
      </c>
      <c r="C404" s="14">
        <f>31.0225 * CHOOSE(CONTROL!$C$15, $E$9, 100%, $G$9) + CHOOSE(CONTROL!$C$38, 0.0369, 0)</f>
        <v>31.0594</v>
      </c>
      <c r="D404" s="14">
        <f>31.0147 * CHOOSE(CONTROL!$C$15, $E$9, 100%, $G$9) + CHOOSE(CONTROL!$C$38, 0.0369, 0)</f>
        <v>31.051600000000001</v>
      </c>
      <c r="E404" s="46">
        <f>32.7551 * CHOOSE(CONTROL!$C$15, $E$9, 100%, $G$9) + CHOOSE(CONTROL!$C$38, 0.0369, 0)</f>
        <v>32.792000000000002</v>
      </c>
      <c r="F404" s="45">
        <f>32.7551 * CHOOSE(CONTROL!$C$15, $E$9, 100%, $G$9) + CHOOSE(CONTROL!$C$38, 0.0278, 0)</f>
        <v>32.782899999999998</v>
      </c>
      <c r="G404" s="14">
        <f>31.021 * CHOOSE(CONTROL!$C$15, $E$9, 100%, $G$9) + CHOOSE(CONTROL!$C$38, 0.0369, 0)</f>
        <v>31.0579</v>
      </c>
      <c r="H404" s="14">
        <f>31.021 * CHOOSE(CONTROL!$C$15, $E$9, 100%, $G$9) + CHOOSE(CONTROL!$C$38, 0.0369, 0)</f>
        <v>31.0579</v>
      </c>
      <c r="I404" s="14">
        <f>31.0225 * CHOOSE(CONTROL!$C$15, $E$9, 100%, $G$9) + CHOOSE(CONTROL!$C$38, 0.0369, 0)</f>
        <v>31.0594</v>
      </c>
      <c r="J404" s="44">
        <f>241.6347</f>
        <v>241.63470000000001</v>
      </c>
    </row>
    <row r="405" spans="1:10" ht="15.75" x14ac:dyDescent="0.25">
      <c r="A405" s="33">
        <v>53266</v>
      </c>
      <c r="B405" s="14">
        <f>33.2729 * CHOOSE(CONTROL!$C$15, $E$9, 100%, $G$9) + CHOOSE(CONTROL!$C$38, 0.0256, 0)</f>
        <v>33.298499999999997</v>
      </c>
      <c r="C405" s="14">
        <f>31.3841 * CHOOSE(CONTROL!$C$15, $E$9, 100%, $G$9) + CHOOSE(CONTROL!$C$38, 0.0347, 0)</f>
        <v>31.418800000000001</v>
      </c>
      <c r="D405" s="14">
        <f>31.3763 * CHOOSE(CONTROL!$C$15, $E$9, 100%, $G$9) + CHOOSE(CONTROL!$C$38, 0.0347, 0)</f>
        <v>31.411000000000001</v>
      </c>
      <c r="E405" s="46">
        <f>33.1167 * CHOOSE(CONTROL!$C$15, $E$9, 100%, $G$9) + CHOOSE(CONTROL!$C$38, 0.0347, 0)</f>
        <v>33.151400000000002</v>
      </c>
      <c r="F405" s="45">
        <f>33.1167 * CHOOSE(CONTROL!$C$15, $E$9, 100%, $G$9) + CHOOSE(CONTROL!$C$38, 0.0256, 0)</f>
        <v>33.142299999999999</v>
      </c>
      <c r="G405" s="14">
        <f>31.3826 * CHOOSE(CONTROL!$C$15, $E$9, 100%, $G$9) + CHOOSE(CONTROL!$C$38, 0.0347, 0)</f>
        <v>31.417300000000001</v>
      </c>
      <c r="H405" s="14">
        <f>31.3826 * CHOOSE(CONTROL!$C$15, $E$9, 100%, $G$9) + CHOOSE(CONTROL!$C$38, 0.0347, 0)</f>
        <v>31.417300000000001</v>
      </c>
      <c r="I405" s="14">
        <f>31.3841 * CHOOSE(CONTROL!$C$15, $E$9, 100%, $G$9) + CHOOSE(CONTROL!$C$38, 0.0347, 0)</f>
        <v>31.418800000000001</v>
      </c>
      <c r="J405" s="44">
        <f>233.2787</f>
        <v>233.27869999999999</v>
      </c>
    </row>
    <row r="406" spans="1:10" ht="15.75" x14ac:dyDescent="0.25">
      <c r="A406" s="33">
        <v>53296</v>
      </c>
      <c r="B406" s="14">
        <f>33.5746 * CHOOSE(CONTROL!$C$15, $E$9, 100%, $G$9) + CHOOSE(CONTROL!$C$38, 0.0256, 0)</f>
        <v>33.600199999999994</v>
      </c>
      <c r="C406" s="14">
        <f>31.6858 * CHOOSE(CONTROL!$C$15, $E$9, 100%, $G$9) + CHOOSE(CONTROL!$C$38, 0.0347, 0)</f>
        <v>31.720500000000001</v>
      </c>
      <c r="D406" s="14">
        <f>31.678 * CHOOSE(CONTROL!$C$15, $E$9, 100%, $G$9) + CHOOSE(CONTROL!$C$38, 0.0347, 0)</f>
        <v>31.712700000000002</v>
      </c>
      <c r="E406" s="46">
        <f>33.4184 * CHOOSE(CONTROL!$C$15, $E$9, 100%, $G$9) + CHOOSE(CONTROL!$C$38, 0.0347, 0)</f>
        <v>33.453099999999999</v>
      </c>
      <c r="F406" s="45">
        <f>33.4184 * CHOOSE(CONTROL!$C$15, $E$9, 100%, $G$9) + CHOOSE(CONTROL!$C$38, 0.0256, 0)</f>
        <v>33.443999999999996</v>
      </c>
      <c r="G406" s="14">
        <f>31.6843 * CHOOSE(CONTROL!$C$15, $E$9, 100%, $G$9) + CHOOSE(CONTROL!$C$38, 0.0347, 0)</f>
        <v>31.719000000000001</v>
      </c>
      <c r="H406" s="14">
        <f>31.6843 * CHOOSE(CONTROL!$C$15, $E$9, 100%, $G$9) + CHOOSE(CONTROL!$C$38, 0.0347, 0)</f>
        <v>31.719000000000001</v>
      </c>
      <c r="I406" s="14">
        <f>31.6858 * CHOOSE(CONTROL!$C$15, $E$9, 100%, $G$9) + CHOOSE(CONTROL!$C$38, 0.0347, 0)</f>
        <v>31.720500000000001</v>
      </c>
      <c r="J406" s="44">
        <f>231.6165</f>
        <v>231.6165</v>
      </c>
    </row>
    <row r="407" spans="1:10" ht="15.75" x14ac:dyDescent="0.25">
      <c r="A407" s="33">
        <v>53327</v>
      </c>
      <c r="B407" s="14">
        <f>34.5043 * CHOOSE(CONTROL!$C$15, $E$9, 100%, $G$9) + CHOOSE(CONTROL!$C$38, 0.0256, 0)</f>
        <v>34.529899999999998</v>
      </c>
      <c r="C407" s="14">
        <f>32.6155 * CHOOSE(CONTROL!$C$15, $E$9, 100%, $G$9) + CHOOSE(CONTROL!$C$38, 0.0347, 0)</f>
        <v>32.650199999999998</v>
      </c>
      <c r="D407" s="14">
        <f>32.6077 * CHOOSE(CONTROL!$C$15, $E$9, 100%, $G$9) + CHOOSE(CONTROL!$C$38, 0.0347, 0)</f>
        <v>32.642400000000002</v>
      </c>
      <c r="E407" s="46">
        <f>34.348 * CHOOSE(CONTROL!$C$15, $E$9, 100%, $G$9) + CHOOSE(CONTROL!$C$38, 0.0347, 0)</f>
        <v>34.3827</v>
      </c>
      <c r="F407" s="45">
        <f>34.348 * CHOOSE(CONTROL!$C$15, $E$9, 100%, $G$9) + CHOOSE(CONTROL!$C$38, 0.0256, 0)</f>
        <v>34.373599999999996</v>
      </c>
      <c r="G407" s="14">
        <f>32.6139 * CHOOSE(CONTROL!$C$15, $E$9, 100%, $G$9) + CHOOSE(CONTROL!$C$38, 0.0347, 0)</f>
        <v>32.648600000000002</v>
      </c>
      <c r="H407" s="14">
        <f>32.6139 * CHOOSE(CONTROL!$C$15, $E$9, 100%, $G$9) + CHOOSE(CONTROL!$C$38, 0.0347, 0)</f>
        <v>32.648600000000002</v>
      </c>
      <c r="I407" s="14">
        <f>32.6155 * CHOOSE(CONTROL!$C$15, $E$9, 100%, $G$9) + CHOOSE(CONTROL!$C$38, 0.0347, 0)</f>
        <v>32.650199999999998</v>
      </c>
      <c r="J407" s="44">
        <f>224.7433</f>
        <v>224.7433</v>
      </c>
    </row>
    <row r="408" spans="1:10" ht="15.75" x14ac:dyDescent="0.25">
      <c r="A408" s="33">
        <v>53358</v>
      </c>
      <c r="B408" s="14">
        <f>35.7931 * CHOOSE(CONTROL!$C$15, $E$9, 100%, $G$9) + CHOOSE(CONTROL!$C$38, 0.0256, 0)</f>
        <v>35.8187</v>
      </c>
      <c r="C408" s="14">
        <f>33.8751 * CHOOSE(CONTROL!$C$15, $E$9, 100%, $G$9) + CHOOSE(CONTROL!$C$38, 0.0347, 0)</f>
        <v>33.909800000000004</v>
      </c>
      <c r="D408" s="14">
        <f>33.8673 * CHOOSE(CONTROL!$C$15, $E$9, 100%, $G$9) + CHOOSE(CONTROL!$C$38, 0.0347, 0)</f>
        <v>33.902000000000001</v>
      </c>
      <c r="E408" s="46">
        <f>35.6368 * CHOOSE(CONTROL!$C$15, $E$9, 100%, $G$9) + CHOOSE(CONTROL!$C$38, 0.0347, 0)</f>
        <v>35.671500000000002</v>
      </c>
      <c r="F408" s="45">
        <f>35.6368 * CHOOSE(CONTROL!$C$15, $E$9, 100%, $G$9) + CHOOSE(CONTROL!$C$38, 0.0256, 0)</f>
        <v>35.662399999999998</v>
      </c>
      <c r="G408" s="14">
        <f>33.8736 * CHOOSE(CONTROL!$C$15, $E$9, 100%, $G$9) + CHOOSE(CONTROL!$C$38, 0.0347, 0)</f>
        <v>33.908300000000004</v>
      </c>
      <c r="H408" s="14">
        <f>33.8736 * CHOOSE(CONTROL!$C$15, $E$9, 100%, $G$9) + CHOOSE(CONTROL!$C$38, 0.0347, 0)</f>
        <v>33.908300000000004</v>
      </c>
      <c r="I408" s="14">
        <f>33.8751 * CHOOSE(CONTROL!$C$15, $E$9, 100%, $G$9) + CHOOSE(CONTROL!$C$38, 0.0347, 0)</f>
        <v>33.909800000000004</v>
      </c>
      <c r="J408" s="44">
        <f>224.4535</f>
        <v>224.45349999999999</v>
      </c>
    </row>
    <row r="409" spans="1:10" ht="15.75" x14ac:dyDescent="0.25">
      <c r="A409" s="33">
        <v>53386</v>
      </c>
      <c r="B409" s="14">
        <f>36.1374 * CHOOSE(CONTROL!$C$15, $E$9, 100%, $G$9) + CHOOSE(CONTROL!$C$38, 0.0256, 0)</f>
        <v>36.162999999999997</v>
      </c>
      <c r="C409" s="14">
        <f>34.2195 * CHOOSE(CONTROL!$C$15, $E$9, 100%, $G$9) + CHOOSE(CONTROL!$C$38, 0.0347, 0)</f>
        <v>34.254199999999997</v>
      </c>
      <c r="D409" s="14">
        <f>34.2116 * CHOOSE(CONTROL!$C$15, $E$9, 100%, $G$9) + CHOOSE(CONTROL!$C$38, 0.0347, 0)</f>
        <v>34.246299999999998</v>
      </c>
      <c r="E409" s="46">
        <f>35.9811 * CHOOSE(CONTROL!$C$15, $E$9, 100%, $G$9) + CHOOSE(CONTROL!$C$38, 0.0347, 0)</f>
        <v>36.015799999999999</v>
      </c>
      <c r="F409" s="45">
        <f>35.9811 * CHOOSE(CONTROL!$C$15, $E$9, 100%, $G$9) + CHOOSE(CONTROL!$C$38, 0.0256, 0)</f>
        <v>36.006699999999995</v>
      </c>
      <c r="G409" s="14">
        <f>34.2179 * CHOOSE(CONTROL!$C$15, $E$9, 100%, $G$9) + CHOOSE(CONTROL!$C$38, 0.0347, 0)</f>
        <v>34.252600000000001</v>
      </c>
      <c r="H409" s="14">
        <f>34.2179 * CHOOSE(CONTROL!$C$15, $E$9, 100%, $G$9) + CHOOSE(CONTROL!$C$38, 0.0347, 0)</f>
        <v>34.252600000000001</v>
      </c>
      <c r="I409" s="14">
        <f>34.2195 * CHOOSE(CONTROL!$C$15, $E$9, 100%, $G$9) + CHOOSE(CONTROL!$C$38, 0.0347, 0)</f>
        <v>34.254199999999997</v>
      </c>
      <c r="J409" s="44">
        <f>223.8296</f>
        <v>223.8296</v>
      </c>
    </row>
    <row r="410" spans="1:10" ht="15.75" x14ac:dyDescent="0.25">
      <c r="A410" s="33">
        <v>53417</v>
      </c>
      <c r="B410" s="14">
        <f>35.3403 * CHOOSE(CONTROL!$C$15, $E$9, 100%, $G$9) + CHOOSE(CONTROL!$C$38, 0.0256, 0)</f>
        <v>35.365899999999996</v>
      </c>
      <c r="C410" s="14">
        <f>33.4224 * CHOOSE(CONTROL!$C$15, $E$9, 100%, $G$9) + CHOOSE(CONTROL!$C$38, 0.0347, 0)</f>
        <v>33.457100000000004</v>
      </c>
      <c r="D410" s="14">
        <f>33.4146 * CHOOSE(CONTROL!$C$15, $E$9, 100%, $G$9) + CHOOSE(CONTROL!$C$38, 0.0347, 0)</f>
        <v>33.449300000000001</v>
      </c>
      <c r="E410" s="46">
        <f>35.1841 * CHOOSE(CONTROL!$C$15, $E$9, 100%, $G$9) + CHOOSE(CONTROL!$C$38, 0.0347, 0)</f>
        <v>35.218800000000002</v>
      </c>
      <c r="F410" s="45">
        <f>35.1841 * CHOOSE(CONTROL!$C$15, $E$9, 100%, $G$9) + CHOOSE(CONTROL!$C$38, 0.0256, 0)</f>
        <v>35.209699999999998</v>
      </c>
      <c r="G410" s="14">
        <f>33.4209 * CHOOSE(CONTROL!$C$15, $E$9, 100%, $G$9) + CHOOSE(CONTROL!$C$38, 0.0347, 0)</f>
        <v>33.455600000000004</v>
      </c>
      <c r="H410" s="14">
        <f>33.4209 * CHOOSE(CONTROL!$C$15, $E$9, 100%, $G$9) + CHOOSE(CONTROL!$C$38, 0.0347, 0)</f>
        <v>33.455600000000004</v>
      </c>
      <c r="I410" s="14">
        <f>33.4224 * CHOOSE(CONTROL!$C$15, $E$9, 100%, $G$9) + CHOOSE(CONTROL!$C$38, 0.0347, 0)</f>
        <v>33.457100000000004</v>
      </c>
      <c r="J410" s="44">
        <f>235.6267</f>
        <v>235.6267</v>
      </c>
    </row>
    <row r="411" spans="1:10" ht="15.75" x14ac:dyDescent="0.25">
      <c r="A411" s="33">
        <v>53447</v>
      </c>
      <c r="B411" s="14">
        <f>34.568 * CHOOSE(CONTROL!$C$15, $E$9, 100%, $G$9) + CHOOSE(CONTROL!$C$38, 0.0256, 0)</f>
        <v>34.593599999999995</v>
      </c>
      <c r="C411" s="14">
        <f>32.6501 * CHOOSE(CONTROL!$C$15, $E$9, 100%, $G$9) + CHOOSE(CONTROL!$C$38, 0.0347, 0)</f>
        <v>32.684800000000003</v>
      </c>
      <c r="D411" s="14">
        <f>32.6423 * CHOOSE(CONTROL!$C$15, $E$9, 100%, $G$9) + CHOOSE(CONTROL!$C$38, 0.0347, 0)</f>
        <v>32.677</v>
      </c>
      <c r="E411" s="46">
        <f>34.4118 * CHOOSE(CONTROL!$C$15, $E$9, 100%, $G$9) + CHOOSE(CONTROL!$C$38, 0.0347, 0)</f>
        <v>34.4465</v>
      </c>
      <c r="F411" s="45">
        <f>34.4118 * CHOOSE(CONTROL!$C$15, $E$9, 100%, $G$9) + CHOOSE(CONTROL!$C$38, 0.0256, 0)</f>
        <v>34.437399999999997</v>
      </c>
      <c r="G411" s="14">
        <f>32.6485 * CHOOSE(CONTROL!$C$15, $E$9, 100%, $G$9) + CHOOSE(CONTROL!$C$38, 0.0347, 0)</f>
        <v>32.683199999999999</v>
      </c>
      <c r="H411" s="14">
        <f>32.6485 * CHOOSE(CONTROL!$C$15, $E$9, 100%, $G$9) + CHOOSE(CONTROL!$C$38, 0.0347, 0)</f>
        <v>32.683199999999999</v>
      </c>
      <c r="I411" s="14">
        <f>32.6501 * CHOOSE(CONTROL!$C$15, $E$9, 100%, $G$9) + CHOOSE(CONTROL!$C$38, 0.0347, 0)</f>
        <v>32.684800000000003</v>
      </c>
      <c r="J411" s="44">
        <f>250.9247</f>
        <v>250.9247</v>
      </c>
    </row>
    <row r="412" spans="1:10" ht="15.75" x14ac:dyDescent="0.25">
      <c r="A412" s="33">
        <v>53478</v>
      </c>
      <c r="B412" s="14">
        <f>33.7631 * CHOOSE(CONTROL!$C$15, $E$9, 100%, $G$9) + CHOOSE(CONTROL!$C$38, 0.0278, 0)</f>
        <v>33.790900000000001</v>
      </c>
      <c r="C412" s="14">
        <f>31.8451 * CHOOSE(CONTROL!$C$15, $E$9, 100%, $G$9) + CHOOSE(CONTROL!$C$38, 0.0369, 0)</f>
        <v>31.881999999999998</v>
      </c>
      <c r="D412" s="14">
        <f>31.8373 * CHOOSE(CONTROL!$C$15, $E$9, 100%, $G$9) + CHOOSE(CONTROL!$C$38, 0.0369, 0)</f>
        <v>31.874199999999998</v>
      </c>
      <c r="E412" s="46">
        <f>33.6068 * CHOOSE(CONTROL!$C$15, $E$9, 100%, $G$9) + CHOOSE(CONTROL!$C$38, 0.0369, 0)</f>
        <v>33.643700000000003</v>
      </c>
      <c r="F412" s="45">
        <f>33.6068 * CHOOSE(CONTROL!$C$15, $E$9, 100%, $G$9) + CHOOSE(CONTROL!$C$38, 0.0278, 0)</f>
        <v>33.634599999999999</v>
      </c>
      <c r="G412" s="14">
        <f>31.8436 * CHOOSE(CONTROL!$C$15, $E$9, 100%, $G$9) + CHOOSE(CONTROL!$C$38, 0.0369, 0)</f>
        <v>31.880499999999998</v>
      </c>
      <c r="H412" s="14">
        <f>31.8436 * CHOOSE(CONTROL!$C$15, $E$9, 100%, $G$9) + CHOOSE(CONTROL!$C$38, 0.0369, 0)</f>
        <v>31.880499999999998</v>
      </c>
      <c r="I412" s="14">
        <f>31.8451 * CHOOSE(CONTROL!$C$15, $E$9, 100%, $G$9) + CHOOSE(CONTROL!$C$38, 0.0369, 0)</f>
        <v>31.881999999999998</v>
      </c>
      <c r="J412" s="44">
        <f>259.3453</f>
        <v>259.34530000000001</v>
      </c>
    </row>
    <row r="413" spans="1:10" ht="15.75" x14ac:dyDescent="0.25">
      <c r="A413" s="33">
        <v>53508</v>
      </c>
      <c r="B413" s="14">
        <f>33.1987 * CHOOSE(CONTROL!$C$15, $E$9, 100%, $G$9) + CHOOSE(CONTROL!$C$38, 0.0278, 0)</f>
        <v>33.226500000000001</v>
      </c>
      <c r="C413" s="14">
        <f>31.2808 * CHOOSE(CONTROL!$C$15, $E$9, 100%, $G$9) + CHOOSE(CONTROL!$C$38, 0.0369, 0)</f>
        <v>31.317699999999999</v>
      </c>
      <c r="D413" s="14">
        <f>31.273 * CHOOSE(CONTROL!$C$15, $E$9, 100%, $G$9) + CHOOSE(CONTROL!$C$38, 0.0369, 0)</f>
        <v>31.309899999999999</v>
      </c>
      <c r="E413" s="46">
        <f>33.0425 * CHOOSE(CONTROL!$C$15, $E$9, 100%, $G$9) + CHOOSE(CONTROL!$C$38, 0.0369, 0)</f>
        <v>33.0794</v>
      </c>
      <c r="F413" s="45">
        <f>33.0425 * CHOOSE(CONTROL!$C$15, $E$9, 100%, $G$9) + CHOOSE(CONTROL!$C$38, 0.0278, 0)</f>
        <v>33.070299999999996</v>
      </c>
      <c r="G413" s="14">
        <f>31.2792 * CHOOSE(CONTROL!$C$15, $E$9, 100%, $G$9) + CHOOSE(CONTROL!$C$38, 0.0369, 0)</f>
        <v>31.316099999999999</v>
      </c>
      <c r="H413" s="14">
        <f>31.2792 * CHOOSE(CONTROL!$C$15, $E$9, 100%, $G$9) + CHOOSE(CONTROL!$C$38, 0.0369, 0)</f>
        <v>31.316099999999999</v>
      </c>
      <c r="I413" s="14">
        <f>31.2808 * CHOOSE(CONTROL!$C$15, $E$9, 100%, $G$9) + CHOOSE(CONTROL!$C$38, 0.0369, 0)</f>
        <v>31.317699999999999</v>
      </c>
      <c r="J413" s="44">
        <f>263.0822</f>
        <v>263.0822</v>
      </c>
    </row>
    <row r="414" spans="1:10" ht="15.75" x14ac:dyDescent="0.25">
      <c r="A414" s="33">
        <v>53539</v>
      </c>
      <c r="B414" s="14">
        <f>32.8767 * CHOOSE(CONTROL!$C$15, $E$9, 100%, $G$9) + CHOOSE(CONTROL!$C$38, 0.0278, 0)</f>
        <v>32.904499999999999</v>
      </c>
      <c r="C414" s="14">
        <f>30.9588 * CHOOSE(CONTROL!$C$15, $E$9, 100%, $G$9) + CHOOSE(CONTROL!$C$38, 0.0369, 0)</f>
        <v>30.995699999999999</v>
      </c>
      <c r="D414" s="14">
        <f>30.9509 * CHOOSE(CONTROL!$C$15, $E$9, 100%, $G$9) + CHOOSE(CONTROL!$C$38, 0.0369, 0)</f>
        <v>30.9878</v>
      </c>
      <c r="E414" s="46">
        <f>32.7204 * CHOOSE(CONTROL!$C$15, $E$9, 100%, $G$9) + CHOOSE(CONTROL!$C$38, 0.0369, 0)</f>
        <v>32.757300000000001</v>
      </c>
      <c r="F414" s="45">
        <f>32.7204 * CHOOSE(CONTROL!$C$15, $E$9, 100%, $G$9) + CHOOSE(CONTROL!$C$38, 0.0278, 0)</f>
        <v>32.748199999999997</v>
      </c>
      <c r="G414" s="14">
        <f>30.9572 * CHOOSE(CONTROL!$C$15, $E$9, 100%, $G$9) + CHOOSE(CONTROL!$C$38, 0.0369, 0)</f>
        <v>30.9941</v>
      </c>
      <c r="H414" s="14">
        <f>30.9572 * CHOOSE(CONTROL!$C$15, $E$9, 100%, $G$9) + CHOOSE(CONTROL!$C$38, 0.0369, 0)</f>
        <v>30.9941</v>
      </c>
      <c r="I414" s="14">
        <f>30.9588 * CHOOSE(CONTROL!$C$15, $E$9, 100%, $G$9) + CHOOSE(CONTROL!$C$38, 0.0369, 0)</f>
        <v>30.995699999999999</v>
      </c>
      <c r="J414" s="44">
        <f>261.8518</f>
        <v>261.85180000000003</v>
      </c>
    </row>
    <row r="415" spans="1:10" ht="15.75" x14ac:dyDescent="0.25">
      <c r="A415" s="33">
        <v>53570</v>
      </c>
      <c r="B415" s="14">
        <f>33.0356 * CHOOSE(CONTROL!$C$15, $E$9, 100%, $G$9) + CHOOSE(CONTROL!$C$38, 0.0278, 0)</f>
        <v>33.063400000000001</v>
      </c>
      <c r="C415" s="14">
        <f>31.1177 * CHOOSE(CONTROL!$C$15, $E$9, 100%, $G$9) + CHOOSE(CONTROL!$C$38, 0.0369, 0)</f>
        <v>31.154599999999999</v>
      </c>
      <c r="D415" s="14">
        <f>31.1099 * CHOOSE(CONTROL!$C$15, $E$9, 100%, $G$9) + CHOOSE(CONTROL!$C$38, 0.0369, 0)</f>
        <v>31.146799999999999</v>
      </c>
      <c r="E415" s="46">
        <f>32.8794 * CHOOSE(CONTROL!$C$15, $E$9, 100%, $G$9) + CHOOSE(CONTROL!$C$38, 0.0369, 0)</f>
        <v>32.9163</v>
      </c>
      <c r="F415" s="45">
        <f>32.8794 * CHOOSE(CONTROL!$C$15, $E$9, 100%, $G$9) + CHOOSE(CONTROL!$C$38, 0.0278, 0)</f>
        <v>32.907199999999996</v>
      </c>
      <c r="G415" s="14">
        <f>31.1161 * CHOOSE(CONTROL!$C$15, $E$9, 100%, $G$9) + CHOOSE(CONTROL!$C$38, 0.0369, 0)</f>
        <v>31.152999999999999</v>
      </c>
      <c r="H415" s="14">
        <f>31.1161 * CHOOSE(CONTROL!$C$15, $E$9, 100%, $G$9) + CHOOSE(CONTROL!$C$38, 0.0369, 0)</f>
        <v>31.152999999999999</v>
      </c>
      <c r="I415" s="14">
        <f>31.1177 * CHOOSE(CONTROL!$C$15, $E$9, 100%, $G$9) + CHOOSE(CONTROL!$C$38, 0.0369, 0)</f>
        <v>31.154599999999999</v>
      </c>
      <c r="J415" s="44">
        <f>255.756</f>
        <v>255.756</v>
      </c>
    </row>
    <row r="416" spans="1:10" ht="15.75" x14ac:dyDescent="0.25">
      <c r="A416" s="33">
        <v>53600</v>
      </c>
      <c r="B416" s="14">
        <f>33.4673 * CHOOSE(CONTROL!$C$15, $E$9, 100%, $G$9) + CHOOSE(CONTROL!$C$38, 0.0278, 0)</f>
        <v>33.495100000000001</v>
      </c>
      <c r="C416" s="14">
        <f>31.5494 * CHOOSE(CONTROL!$C$15, $E$9, 100%, $G$9) + CHOOSE(CONTROL!$C$38, 0.0369, 0)</f>
        <v>31.586299999999998</v>
      </c>
      <c r="D416" s="14">
        <f>31.5416 * CHOOSE(CONTROL!$C$15, $E$9, 100%, $G$9) + CHOOSE(CONTROL!$C$38, 0.0369, 0)</f>
        <v>31.578499999999998</v>
      </c>
      <c r="E416" s="46">
        <f>33.3111 * CHOOSE(CONTROL!$C$15, $E$9, 100%, $G$9) + CHOOSE(CONTROL!$C$38, 0.0369, 0)</f>
        <v>33.348000000000006</v>
      </c>
      <c r="F416" s="45">
        <f>33.3111 * CHOOSE(CONTROL!$C$15, $E$9, 100%, $G$9) + CHOOSE(CONTROL!$C$38, 0.0278, 0)</f>
        <v>33.338900000000002</v>
      </c>
      <c r="G416" s="14">
        <f>31.5478 * CHOOSE(CONTROL!$C$15, $E$9, 100%, $G$9) + CHOOSE(CONTROL!$C$38, 0.0369, 0)</f>
        <v>31.584699999999998</v>
      </c>
      <c r="H416" s="14">
        <f>31.5478 * CHOOSE(CONTROL!$C$15, $E$9, 100%, $G$9) + CHOOSE(CONTROL!$C$38, 0.0369, 0)</f>
        <v>31.584699999999998</v>
      </c>
      <c r="I416" s="14">
        <f>31.5494 * CHOOSE(CONTROL!$C$15, $E$9, 100%, $G$9) + CHOOSE(CONTROL!$C$38, 0.0369, 0)</f>
        <v>31.586299999999998</v>
      </c>
      <c r="J416" s="44">
        <f>247.2551</f>
        <v>247.2551</v>
      </c>
    </row>
    <row r="417" spans="1:10" ht="15.75" x14ac:dyDescent="0.25">
      <c r="A417" s="33">
        <v>53631</v>
      </c>
      <c r="B417" s="14">
        <f>33.8289 * CHOOSE(CONTROL!$C$15, $E$9, 100%, $G$9) + CHOOSE(CONTROL!$C$38, 0.0256, 0)</f>
        <v>33.854499999999994</v>
      </c>
      <c r="C417" s="14">
        <f>31.911 * CHOOSE(CONTROL!$C$15, $E$9, 100%, $G$9) + CHOOSE(CONTROL!$C$38, 0.0347, 0)</f>
        <v>31.945700000000002</v>
      </c>
      <c r="D417" s="14">
        <f>31.9032 * CHOOSE(CONTROL!$C$15, $E$9, 100%, $G$9) + CHOOSE(CONTROL!$C$38, 0.0347, 0)</f>
        <v>31.937899999999999</v>
      </c>
      <c r="E417" s="46">
        <f>33.6726 * CHOOSE(CONTROL!$C$15, $E$9, 100%, $G$9) + CHOOSE(CONTROL!$C$38, 0.0347, 0)</f>
        <v>33.707300000000004</v>
      </c>
      <c r="F417" s="45">
        <f>33.6726 * CHOOSE(CONTROL!$C$15, $E$9, 100%, $G$9) + CHOOSE(CONTROL!$C$38, 0.0256, 0)</f>
        <v>33.6982</v>
      </c>
      <c r="G417" s="14">
        <f>31.9094 * CHOOSE(CONTROL!$C$15, $E$9, 100%, $G$9) + CHOOSE(CONTROL!$C$38, 0.0347, 0)</f>
        <v>31.944100000000002</v>
      </c>
      <c r="H417" s="14">
        <f>31.9094 * CHOOSE(CONTROL!$C$15, $E$9, 100%, $G$9) + CHOOSE(CONTROL!$C$38, 0.0347, 0)</f>
        <v>31.944100000000002</v>
      </c>
      <c r="I417" s="14">
        <f>31.911 * CHOOSE(CONTROL!$C$15, $E$9, 100%, $G$9) + CHOOSE(CONTROL!$C$38, 0.0347, 0)</f>
        <v>31.945700000000002</v>
      </c>
      <c r="J417" s="44">
        <f>238.7048</f>
        <v>238.70480000000001</v>
      </c>
    </row>
    <row r="418" spans="1:10" ht="15.75" x14ac:dyDescent="0.25">
      <c r="A418" s="33">
        <v>53661</v>
      </c>
      <c r="B418" s="14">
        <f>34.1306 * CHOOSE(CONTROL!$C$15, $E$9, 100%, $G$9) + CHOOSE(CONTROL!$C$38, 0.0256, 0)</f>
        <v>34.156199999999998</v>
      </c>
      <c r="C418" s="14">
        <f>32.2127 * CHOOSE(CONTROL!$C$15, $E$9, 100%, $G$9) + CHOOSE(CONTROL!$C$38, 0.0347, 0)</f>
        <v>32.247399999999999</v>
      </c>
      <c r="D418" s="14">
        <f>32.2049 * CHOOSE(CONTROL!$C$15, $E$9, 100%, $G$9) + CHOOSE(CONTROL!$C$38, 0.0347, 0)</f>
        <v>32.239600000000003</v>
      </c>
      <c r="E418" s="46">
        <f>33.9743 * CHOOSE(CONTROL!$C$15, $E$9, 100%, $G$9) + CHOOSE(CONTROL!$C$38, 0.0347, 0)</f>
        <v>34.009</v>
      </c>
      <c r="F418" s="45">
        <f>33.9743 * CHOOSE(CONTROL!$C$15, $E$9, 100%, $G$9) + CHOOSE(CONTROL!$C$38, 0.0256, 0)</f>
        <v>33.999899999999997</v>
      </c>
      <c r="G418" s="14">
        <f>32.2111 * CHOOSE(CONTROL!$C$15, $E$9, 100%, $G$9) + CHOOSE(CONTROL!$C$38, 0.0347, 0)</f>
        <v>32.245800000000003</v>
      </c>
      <c r="H418" s="14">
        <f>32.2111 * CHOOSE(CONTROL!$C$15, $E$9, 100%, $G$9) + CHOOSE(CONTROL!$C$38, 0.0347, 0)</f>
        <v>32.245800000000003</v>
      </c>
      <c r="I418" s="14">
        <f>32.2127 * CHOOSE(CONTROL!$C$15, $E$9, 100%, $G$9) + CHOOSE(CONTROL!$C$38, 0.0347, 0)</f>
        <v>32.247399999999999</v>
      </c>
      <c r="J418" s="44">
        <f>237.0039</f>
        <v>237.00389999999999</v>
      </c>
    </row>
    <row r="419" spans="1:10" ht="15.75" x14ac:dyDescent="0.25">
      <c r="A419" s="33">
        <v>53692</v>
      </c>
      <c r="B419" s="14">
        <f>35.0603 * CHOOSE(CONTROL!$C$15, $E$9, 100%, $G$9) + CHOOSE(CONTROL!$C$38, 0.0256, 0)</f>
        <v>35.085899999999995</v>
      </c>
      <c r="C419" s="14">
        <f>33.1423 * CHOOSE(CONTROL!$C$15, $E$9, 100%, $G$9) + CHOOSE(CONTROL!$C$38, 0.0347, 0)</f>
        <v>33.177</v>
      </c>
      <c r="D419" s="14">
        <f>33.1345 * CHOOSE(CONTROL!$C$15, $E$9, 100%, $G$9) + CHOOSE(CONTROL!$C$38, 0.0347, 0)</f>
        <v>33.169200000000004</v>
      </c>
      <c r="E419" s="46">
        <f>34.904 * CHOOSE(CONTROL!$C$15, $E$9, 100%, $G$9) + CHOOSE(CONTROL!$C$38, 0.0347, 0)</f>
        <v>34.938700000000004</v>
      </c>
      <c r="F419" s="45">
        <f>34.904 * CHOOSE(CONTROL!$C$15, $E$9, 100%, $G$9) + CHOOSE(CONTROL!$C$38, 0.0256, 0)</f>
        <v>34.929600000000001</v>
      </c>
      <c r="G419" s="14">
        <f>33.1408 * CHOOSE(CONTROL!$C$15, $E$9, 100%, $G$9) + CHOOSE(CONTROL!$C$38, 0.0347, 0)</f>
        <v>33.1755</v>
      </c>
      <c r="H419" s="14">
        <f>33.1408 * CHOOSE(CONTROL!$C$15, $E$9, 100%, $G$9) + CHOOSE(CONTROL!$C$38, 0.0347, 0)</f>
        <v>33.1755</v>
      </c>
      <c r="I419" s="14">
        <f>33.1423 * CHOOSE(CONTROL!$C$15, $E$9, 100%, $G$9) + CHOOSE(CONTROL!$C$38, 0.0347, 0)</f>
        <v>33.177</v>
      </c>
      <c r="J419" s="44">
        <f>229.9708</f>
        <v>229.9708</v>
      </c>
    </row>
    <row r="420" spans="1:10" ht="15.75" x14ac:dyDescent="0.25">
      <c r="A420" s="33">
        <v>53723</v>
      </c>
      <c r="B420" s="14">
        <f>36.3584 * CHOOSE(CONTROL!$C$15, $E$9, 100%, $G$9) + CHOOSE(CONTROL!$C$38, 0.0256, 0)</f>
        <v>36.384</v>
      </c>
      <c r="C420" s="14">
        <f>34.4108 * CHOOSE(CONTROL!$C$15, $E$9, 100%, $G$9) + CHOOSE(CONTROL!$C$38, 0.0347, 0)</f>
        <v>34.445500000000003</v>
      </c>
      <c r="D420" s="14">
        <f>34.403 * CHOOSE(CONTROL!$C$15, $E$9, 100%, $G$9) + CHOOSE(CONTROL!$C$38, 0.0347, 0)</f>
        <v>34.4377</v>
      </c>
      <c r="E420" s="46">
        <f>36.2021 * CHOOSE(CONTROL!$C$15, $E$9, 100%, $G$9) + CHOOSE(CONTROL!$C$38, 0.0347, 0)</f>
        <v>36.236800000000002</v>
      </c>
      <c r="F420" s="45">
        <f>36.2021 * CHOOSE(CONTROL!$C$15, $E$9, 100%, $G$9) + CHOOSE(CONTROL!$C$38, 0.0256, 0)</f>
        <v>36.227699999999999</v>
      </c>
      <c r="G420" s="14">
        <f>34.4093 * CHOOSE(CONTROL!$C$15, $E$9, 100%, $G$9) + CHOOSE(CONTROL!$C$38, 0.0347, 0)</f>
        <v>34.444000000000003</v>
      </c>
      <c r="H420" s="14">
        <f>34.4093 * CHOOSE(CONTROL!$C$15, $E$9, 100%, $G$9) + CHOOSE(CONTROL!$C$38, 0.0347, 0)</f>
        <v>34.444000000000003</v>
      </c>
      <c r="I420" s="14">
        <f>34.4108 * CHOOSE(CONTROL!$C$15, $E$9, 100%, $G$9) + CHOOSE(CONTROL!$C$38, 0.0347, 0)</f>
        <v>34.445500000000003</v>
      </c>
      <c r="J420" s="44">
        <f>229.6743</f>
        <v>229.67429999999999</v>
      </c>
    </row>
    <row r="421" spans="1:10" ht="15.75" x14ac:dyDescent="0.25">
      <c r="A421" s="33">
        <v>53751</v>
      </c>
      <c r="B421" s="14">
        <f>36.7027 * CHOOSE(CONTROL!$C$15, $E$9, 100%, $G$9) + CHOOSE(CONTROL!$C$38, 0.0256, 0)</f>
        <v>36.728299999999997</v>
      </c>
      <c r="C421" s="14">
        <f>34.7552 * CHOOSE(CONTROL!$C$15, $E$9, 100%, $G$9) + CHOOSE(CONTROL!$C$38, 0.0347, 0)</f>
        <v>34.789900000000003</v>
      </c>
      <c r="D421" s="14">
        <f>34.7473 * CHOOSE(CONTROL!$C$15, $E$9, 100%, $G$9) + CHOOSE(CONTROL!$C$38, 0.0347, 0)</f>
        <v>34.782000000000004</v>
      </c>
      <c r="E421" s="46">
        <f>36.5464 * CHOOSE(CONTROL!$C$15, $E$9, 100%, $G$9) + CHOOSE(CONTROL!$C$38, 0.0347, 0)</f>
        <v>36.581099999999999</v>
      </c>
      <c r="F421" s="45">
        <f>36.5464 * CHOOSE(CONTROL!$C$15, $E$9, 100%, $G$9) + CHOOSE(CONTROL!$C$38, 0.0256, 0)</f>
        <v>36.571999999999996</v>
      </c>
      <c r="G421" s="14">
        <f>34.7536 * CHOOSE(CONTROL!$C$15, $E$9, 100%, $G$9) + CHOOSE(CONTROL!$C$38, 0.0347, 0)</f>
        <v>34.7883</v>
      </c>
      <c r="H421" s="14">
        <f>34.7536 * CHOOSE(CONTROL!$C$15, $E$9, 100%, $G$9) + CHOOSE(CONTROL!$C$38, 0.0347, 0)</f>
        <v>34.7883</v>
      </c>
      <c r="I421" s="14">
        <f>34.7552 * CHOOSE(CONTROL!$C$15, $E$9, 100%, $G$9) + CHOOSE(CONTROL!$C$38, 0.0347, 0)</f>
        <v>34.789900000000003</v>
      </c>
      <c r="J421" s="44">
        <f>229.0359</f>
        <v>229.0359</v>
      </c>
    </row>
    <row r="422" spans="1:10" ht="15.75" x14ac:dyDescent="0.25">
      <c r="A422" s="33">
        <v>53782</v>
      </c>
      <c r="B422" s="14">
        <f>35.9056 * CHOOSE(CONTROL!$C$15, $E$9, 100%, $G$9) + CHOOSE(CONTROL!$C$38, 0.0256, 0)</f>
        <v>35.931199999999997</v>
      </c>
      <c r="C422" s="14">
        <f>33.9581 * CHOOSE(CONTROL!$C$15, $E$9, 100%, $G$9) + CHOOSE(CONTROL!$C$38, 0.0347, 0)</f>
        <v>33.992800000000003</v>
      </c>
      <c r="D422" s="14">
        <f>33.9503 * CHOOSE(CONTROL!$C$15, $E$9, 100%, $G$9) + CHOOSE(CONTROL!$C$38, 0.0347, 0)</f>
        <v>33.984999999999999</v>
      </c>
      <c r="E422" s="46">
        <f>35.7494 * CHOOSE(CONTROL!$C$15, $E$9, 100%, $G$9) + CHOOSE(CONTROL!$C$38, 0.0347, 0)</f>
        <v>35.784100000000002</v>
      </c>
      <c r="F422" s="45">
        <f>35.7494 * CHOOSE(CONTROL!$C$15, $E$9, 100%, $G$9) + CHOOSE(CONTROL!$C$38, 0.0256, 0)</f>
        <v>35.774999999999999</v>
      </c>
      <c r="G422" s="14">
        <f>33.9566 * CHOOSE(CONTROL!$C$15, $E$9, 100%, $G$9) + CHOOSE(CONTROL!$C$38, 0.0347, 0)</f>
        <v>33.991300000000003</v>
      </c>
      <c r="H422" s="14">
        <f>33.9566 * CHOOSE(CONTROL!$C$15, $E$9, 100%, $G$9) + CHOOSE(CONTROL!$C$38, 0.0347, 0)</f>
        <v>33.991300000000003</v>
      </c>
      <c r="I422" s="14">
        <f>33.9581 * CHOOSE(CONTROL!$C$15, $E$9, 100%, $G$9) + CHOOSE(CONTROL!$C$38, 0.0347, 0)</f>
        <v>33.992800000000003</v>
      </c>
      <c r="J422" s="44">
        <f>241.1074</f>
        <v>241.10740000000001</v>
      </c>
    </row>
    <row r="423" spans="1:10" ht="15.75" x14ac:dyDescent="0.25">
      <c r="A423" s="33">
        <v>53812</v>
      </c>
      <c r="B423" s="14">
        <f>35.1333 * CHOOSE(CONTROL!$C$15, $E$9, 100%, $G$9) + CHOOSE(CONTROL!$C$38, 0.0256, 0)</f>
        <v>35.158899999999996</v>
      </c>
      <c r="C423" s="14">
        <f>33.1858 * CHOOSE(CONTROL!$C$15, $E$9, 100%, $G$9) + CHOOSE(CONTROL!$C$38, 0.0347, 0)</f>
        <v>33.220500000000001</v>
      </c>
      <c r="D423" s="14">
        <f>33.178 * CHOOSE(CONTROL!$C$15, $E$9, 100%, $G$9) + CHOOSE(CONTROL!$C$38, 0.0347, 0)</f>
        <v>33.212699999999998</v>
      </c>
      <c r="E423" s="46">
        <f>34.9771 * CHOOSE(CONTROL!$C$15, $E$9, 100%, $G$9) + CHOOSE(CONTROL!$C$38, 0.0347, 0)</f>
        <v>35.011800000000001</v>
      </c>
      <c r="F423" s="45">
        <f>34.9771 * CHOOSE(CONTROL!$C$15, $E$9, 100%, $G$9) + CHOOSE(CONTROL!$C$38, 0.0256, 0)</f>
        <v>35.002699999999997</v>
      </c>
      <c r="G423" s="14">
        <f>33.1842 * CHOOSE(CONTROL!$C$15, $E$9, 100%, $G$9) + CHOOSE(CONTROL!$C$38, 0.0347, 0)</f>
        <v>33.218899999999998</v>
      </c>
      <c r="H423" s="14">
        <f>33.1842 * CHOOSE(CONTROL!$C$15, $E$9, 100%, $G$9) + CHOOSE(CONTROL!$C$38, 0.0347, 0)</f>
        <v>33.218899999999998</v>
      </c>
      <c r="I423" s="14">
        <f>33.1858 * CHOOSE(CONTROL!$C$15, $E$9, 100%, $G$9) + CHOOSE(CONTROL!$C$38, 0.0347, 0)</f>
        <v>33.220500000000001</v>
      </c>
      <c r="J423" s="44">
        <f>256.7612</f>
        <v>256.76119999999997</v>
      </c>
    </row>
    <row r="424" spans="1:10" ht="15.75" x14ac:dyDescent="0.25">
      <c r="A424" s="33">
        <v>53843</v>
      </c>
      <c r="B424" s="14">
        <f>34.3284 * CHOOSE(CONTROL!$C$15, $E$9, 100%, $G$9) + CHOOSE(CONTROL!$C$38, 0.0278, 0)</f>
        <v>34.356200000000001</v>
      </c>
      <c r="C424" s="14">
        <f>32.3809 * CHOOSE(CONTROL!$C$15, $E$9, 100%, $G$9) + CHOOSE(CONTROL!$C$38, 0.0369, 0)</f>
        <v>32.4178</v>
      </c>
      <c r="D424" s="14">
        <f>32.373 * CHOOSE(CONTROL!$C$15, $E$9, 100%, $G$9) + CHOOSE(CONTROL!$C$38, 0.0369, 0)</f>
        <v>32.4099</v>
      </c>
      <c r="E424" s="46">
        <f>34.1721 * CHOOSE(CONTROL!$C$15, $E$9, 100%, $G$9) + CHOOSE(CONTROL!$C$38, 0.0369, 0)</f>
        <v>34.209000000000003</v>
      </c>
      <c r="F424" s="45">
        <f>34.1721 * CHOOSE(CONTROL!$C$15, $E$9, 100%, $G$9) + CHOOSE(CONTROL!$C$38, 0.0278, 0)</f>
        <v>34.1999</v>
      </c>
      <c r="G424" s="14">
        <f>32.3793 * CHOOSE(CONTROL!$C$15, $E$9, 100%, $G$9) + CHOOSE(CONTROL!$C$38, 0.0369, 0)</f>
        <v>32.416200000000003</v>
      </c>
      <c r="H424" s="14">
        <f>32.3793 * CHOOSE(CONTROL!$C$15, $E$9, 100%, $G$9) + CHOOSE(CONTROL!$C$38, 0.0369, 0)</f>
        <v>32.416200000000003</v>
      </c>
      <c r="I424" s="14">
        <f>32.3809 * CHOOSE(CONTROL!$C$15, $E$9, 100%, $G$9) + CHOOSE(CONTROL!$C$38, 0.0369, 0)</f>
        <v>32.4178</v>
      </c>
      <c r="J424" s="44">
        <f>265.3776</f>
        <v>265.37759999999997</v>
      </c>
    </row>
    <row r="425" spans="1:10" ht="15.75" x14ac:dyDescent="0.25">
      <c r="A425" s="33">
        <v>53873</v>
      </c>
      <c r="B425" s="14">
        <f>33.764 * CHOOSE(CONTROL!$C$15, $E$9, 100%, $G$9) + CHOOSE(CONTROL!$C$38, 0.0278, 0)</f>
        <v>33.791800000000002</v>
      </c>
      <c r="C425" s="14">
        <f>31.8165 * CHOOSE(CONTROL!$C$15, $E$9, 100%, $G$9) + CHOOSE(CONTROL!$C$38, 0.0369, 0)</f>
        <v>31.853400000000001</v>
      </c>
      <c r="D425" s="14">
        <f>31.8087 * CHOOSE(CONTROL!$C$15, $E$9, 100%, $G$9) + CHOOSE(CONTROL!$C$38, 0.0369, 0)</f>
        <v>31.845600000000001</v>
      </c>
      <c r="E425" s="46">
        <f>33.6078 * CHOOSE(CONTROL!$C$15, $E$9, 100%, $G$9) + CHOOSE(CONTROL!$C$38, 0.0369, 0)</f>
        <v>33.6447</v>
      </c>
      <c r="F425" s="45">
        <f>33.6078 * CHOOSE(CONTROL!$C$15, $E$9, 100%, $G$9) + CHOOSE(CONTROL!$C$38, 0.0278, 0)</f>
        <v>33.635599999999997</v>
      </c>
      <c r="G425" s="14">
        <f>31.815 * CHOOSE(CONTROL!$C$15, $E$9, 100%, $G$9) + CHOOSE(CONTROL!$C$38, 0.0369, 0)</f>
        <v>31.851900000000001</v>
      </c>
      <c r="H425" s="14">
        <f>31.815 * CHOOSE(CONTROL!$C$15, $E$9, 100%, $G$9) + CHOOSE(CONTROL!$C$38, 0.0369, 0)</f>
        <v>31.851900000000001</v>
      </c>
      <c r="I425" s="14">
        <f>31.8165 * CHOOSE(CONTROL!$C$15, $E$9, 100%, $G$9) + CHOOSE(CONTROL!$C$38, 0.0369, 0)</f>
        <v>31.853400000000001</v>
      </c>
      <c r="J425" s="44">
        <f>269.2014</f>
        <v>269.20139999999998</v>
      </c>
    </row>
    <row r="426" spans="1:10" ht="15.75" x14ac:dyDescent="0.25">
      <c r="A426" s="33">
        <v>53904</v>
      </c>
      <c r="B426" s="14">
        <f>33.442 * CHOOSE(CONTROL!$C$15, $E$9, 100%, $G$9) + CHOOSE(CONTROL!$C$38, 0.0278, 0)</f>
        <v>33.469799999999999</v>
      </c>
      <c r="C426" s="14">
        <f>31.4945 * CHOOSE(CONTROL!$C$15, $E$9, 100%, $G$9) + CHOOSE(CONTROL!$C$38, 0.0369, 0)</f>
        <v>31.531399999999998</v>
      </c>
      <c r="D426" s="14">
        <f>31.4866 * CHOOSE(CONTROL!$C$15, $E$9, 100%, $G$9) + CHOOSE(CONTROL!$C$38, 0.0369, 0)</f>
        <v>31.523499999999999</v>
      </c>
      <c r="E426" s="46">
        <f>33.2857 * CHOOSE(CONTROL!$C$15, $E$9, 100%, $G$9) + CHOOSE(CONTROL!$C$38, 0.0369, 0)</f>
        <v>33.322600000000001</v>
      </c>
      <c r="F426" s="45">
        <f>33.2857 * CHOOSE(CONTROL!$C$15, $E$9, 100%, $G$9) + CHOOSE(CONTROL!$C$38, 0.0278, 0)</f>
        <v>33.313499999999998</v>
      </c>
      <c r="G426" s="14">
        <f>31.4929 * CHOOSE(CONTROL!$C$15, $E$9, 100%, $G$9) + CHOOSE(CONTROL!$C$38, 0.0369, 0)</f>
        <v>31.529799999999998</v>
      </c>
      <c r="H426" s="14">
        <f>31.4929 * CHOOSE(CONTROL!$C$15, $E$9, 100%, $G$9) + CHOOSE(CONTROL!$C$38, 0.0369, 0)</f>
        <v>31.529799999999998</v>
      </c>
      <c r="I426" s="14">
        <f>31.4945 * CHOOSE(CONTROL!$C$15, $E$9, 100%, $G$9) + CHOOSE(CONTROL!$C$38, 0.0369, 0)</f>
        <v>31.531399999999998</v>
      </c>
      <c r="J426" s="44">
        <f>267.9425</f>
        <v>267.9425</v>
      </c>
    </row>
    <row r="427" spans="1:10" ht="15.75" x14ac:dyDescent="0.25">
      <c r="A427" s="33">
        <v>53935</v>
      </c>
      <c r="B427" s="14">
        <f>33.6009 * CHOOSE(CONTROL!$C$15, $E$9, 100%, $G$9) + CHOOSE(CONTROL!$C$38, 0.0278, 0)</f>
        <v>33.628700000000002</v>
      </c>
      <c r="C427" s="14">
        <f>31.6534 * CHOOSE(CONTROL!$C$15, $E$9, 100%, $G$9) + CHOOSE(CONTROL!$C$38, 0.0369, 0)</f>
        <v>31.690300000000001</v>
      </c>
      <c r="D427" s="14">
        <f>31.6456 * CHOOSE(CONTROL!$C$15, $E$9, 100%, $G$9) + CHOOSE(CONTROL!$C$38, 0.0369, 0)</f>
        <v>31.682500000000001</v>
      </c>
      <c r="E427" s="46">
        <f>33.4447 * CHOOSE(CONTROL!$C$15, $E$9, 100%, $G$9) + CHOOSE(CONTROL!$C$38, 0.0369, 0)</f>
        <v>33.4816</v>
      </c>
      <c r="F427" s="45">
        <f>33.4447 * CHOOSE(CONTROL!$C$15, $E$9, 100%, $G$9) + CHOOSE(CONTROL!$C$38, 0.0278, 0)</f>
        <v>33.472499999999997</v>
      </c>
      <c r="G427" s="14">
        <f>31.6518 * CHOOSE(CONTROL!$C$15, $E$9, 100%, $G$9) + CHOOSE(CONTROL!$C$38, 0.0369, 0)</f>
        <v>31.688700000000001</v>
      </c>
      <c r="H427" s="14">
        <f>31.6518 * CHOOSE(CONTROL!$C$15, $E$9, 100%, $G$9) + CHOOSE(CONTROL!$C$38, 0.0369, 0)</f>
        <v>31.688700000000001</v>
      </c>
      <c r="I427" s="14">
        <f>31.6534 * CHOOSE(CONTROL!$C$15, $E$9, 100%, $G$9) + CHOOSE(CONTROL!$C$38, 0.0369, 0)</f>
        <v>31.690300000000001</v>
      </c>
      <c r="J427" s="44">
        <f>261.7049</f>
        <v>261.70490000000001</v>
      </c>
    </row>
    <row r="428" spans="1:10" ht="15.75" x14ac:dyDescent="0.25">
      <c r="A428" s="33">
        <v>53965</v>
      </c>
      <c r="B428" s="14">
        <f>34.0326 * CHOOSE(CONTROL!$C$15, $E$9, 100%, $G$9) + CHOOSE(CONTROL!$C$38, 0.0278, 0)</f>
        <v>34.060400000000001</v>
      </c>
      <c r="C428" s="14">
        <f>32.0851 * CHOOSE(CONTROL!$C$15, $E$9, 100%, $G$9) + CHOOSE(CONTROL!$C$38, 0.0369, 0)</f>
        <v>32.122</v>
      </c>
      <c r="D428" s="14">
        <f>32.0773 * CHOOSE(CONTROL!$C$15, $E$9, 100%, $G$9) + CHOOSE(CONTROL!$C$38, 0.0369, 0)</f>
        <v>32.114200000000004</v>
      </c>
      <c r="E428" s="46">
        <f>33.8764 * CHOOSE(CONTROL!$C$15, $E$9, 100%, $G$9) + CHOOSE(CONTROL!$C$38, 0.0369, 0)</f>
        <v>33.9133</v>
      </c>
      <c r="F428" s="45">
        <f>33.8764 * CHOOSE(CONTROL!$C$15, $E$9, 100%, $G$9) + CHOOSE(CONTROL!$C$38, 0.0278, 0)</f>
        <v>33.904199999999996</v>
      </c>
      <c r="G428" s="14">
        <f>32.0836 * CHOOSE(CONTROL!$C$15, $E$9, 100%, $G$9) + CHOOSE(CONTROL!$C$38, 0.0369, 0)</f>
        <v>32.1205</v>
      </c>
      <c r="H428" s="14">
        <f>32.0836 * CHOOSE(CONTROL!$C$15, $E$9, 100%, $G$9) + CHOOSE(CONTROL!$C$38, 0.0369, 0)</f>
        <v>32.1205</v>
      </c>
      <c r="I428" s="14">
        <f>32.0851 * CHOOSE(CONTROL!$C$15, $E$9, 100%, $G$9) + CHOOSE(CONTROL!$C$38, 0.0369, 0)</f>
        <v>32.122</v>
      </c>
      <c r="J428" s="44">
        <f>253.0063</f>
        <v>253.00630000000001</v>
      </c>
    </row>
    <row r="429" spans="1:10" ht="15.75" x14ac:dyDescent="0.25">
      <c r="A429" s="33">
        <v>53996</v>
      </c>
      <c r="B429" s="14">
        <f>34.3942 * CHOOSE(CONTROL!$C$15, $E$9, 100%, $G$9) + CHOOSE(CONTROL!$C$38, 0.0256, 0)</f>
        <v>34.419799999999995</v>
      </c>
      <c r="C429" s="14">
        <f>32.4467 * CHOOSE(CONTROL!$C$15, $E$9, 100%, $G$9) + CHOOSE(CONTROL!$C$38, 0.0347, 0)</f>
        <v>32.481400000000001</v>
      </c>
      <c r="D429" s="14">
        <f>32.4389 * CHOOSE(CONTROL!$C$15, $E$9, 100%, $G$9) + CHOOSE(CONTROL!$C$38, 0.0347, 0)</f>
        <v>32.473599999999998</v>
      </c>
      <c r="E429" s="46">
        <f>34.2379 * CHOOSE(CONTROL!$C$15, $E$9, 100%, $G$9) + CHOOSE(CONTROL!$C$38, 0.0347, 0)</f>
        <v>34.272600000000004</v>
      </c>
      <c r="F429" s="45">
        <f>34.2379 * CHOOSE(CONTROL!$C$15, $E$9, 100%, $G$9) + CHOOSE(CONTROL!$C$38, 0.0256, 0)</f>
        <v>34.263500000000001</v>
      </c>
      <c r="G429" s="14">
        <f>32.4451 * CHOOSE(CONTROL!$C$15, $E$9, 100%, $G$9) + CHOOSE(CONTROL!$C$38, 0.0347, 0)</f>
        <v>32.479799999999997</v>
      </c>
      <c r="H429" s="14">
        <f>32.4451 * CHOOSE(CONTROL!$C$15, $E$9, 100%, $G$9) + CHOOSE(CONTROL!$C$38, 0.0347, 0)</f>
        <v>32.479799999999997</v>
      </c>
      <c r="I429" s="14">
        <f>32.4467 * CHOOSE(CONTROL!$C$15, $E$9, 100%, $G$9) + CHOOSE(CONTROL!$C$38, 0.0347, 0)</f>
        <v>32.481400000000001</v>
      </c>
      <c r="J429" s="44">
        <f>244.257</f>
        <v>244.25700000000001</v>
      </c>
    </row>
    <row r="430" spans="1:10" ht="15.75" x14ac:dyDescent="0.25">
      <c r="A430" s="33">
        <v>54026</v>
      </c>
      <c r="B430" s="14">
        <f>34.6959 * CHOOSE(CONTROL!$C$15, $E$9, 100%, $G$9) + CHOOSE(CONTROL!$C$38, 0.0256, 0)</f>
        <v>34.721499999999999</v>
      </c>
      <c r="C430" s="14">
        <f>32.7484 * CHOOSE(CONTROL!$C$15, $E$9, 100%, $G$9) + CHOOSE(CONTROL!$C$38, 0.0347, 0)</f>
        <v>32.783099999999997</v>
      </c>
      <c r="D430" s="14">
        <f>32.7406 * CHOOSE(CONTROL!$C$15, $E$9, 100%, $G$9) + CHOOSE(CONTROL!$C$38, 0.0347, 0)</f>
        <v>32.775300000000001</v>
      </c>
      <c r="E430" s="46">
        <f>34.5396 * CHOOSE(CONTROL!$C$15, $E$9, 100%, $G$9) + CHOOSE(CONTROL!$C$38, 0.0347, 0)</f>
        <v>34.574300000000001</v>
      </c>
      <c r="F430" s="45">
        <f>34.5396 * CHOOSE(CONTROL!$C$15, $E$9, 100%, $G$9) + CHOOSE(CONTROL!$C$38, 0.0256, 0)</f>
        <v>34.565199999999997</v>
      </c>
      <c r="G430" s="14">
        <f>32.7468 * CHOOSE(CONTROL!$C$15, $E$9, 100%, $G$9) + CHOOSE(CONTROL!$C$38, 0.0347, 0)</f>
        <v>32.781500000000001</v>
      </c>
      <c r="H430" s="14">
        <f>32.7468 * CHOOSE(CONTROL!$C$15, $E$9, 100%, $G$9) + CHOOSE(CONTROL!$C$38, 0.0347, 0)</f>
        <v>32.781500000000001</v>
      </c>
      <c r="I430" s="14">
        <f>32.7484 * CHOOSE(CONTROL!$C$15, $E$9, 100%, $G$9) + CHOOSE(CONTROL!$C$38, 0.0347, 0)</f>
        <v>32.783099999999997</v>
      </c>
      <c r="J430" s="44">
        <f>242.5167</f>
        <v>242.51669999999999</v>
      </c>
    </row>
    <row r="431" spans="1:10" ht="15.75" x14ac:dyDescent="0.25">
      <c r="A431" s="33">
        <v>54057</v>
      </c>
      <c r="B431" s="14">
        <f>35.6256 * CHOOSE(CONTROL!$C$15, $E$9, 100%, $G$9) + CHOOSE(CONTROL!$C$38, 0.0256, 0)</f>
        <v>35.651199999999996</v>
      </c>
      <c r="C431" s="14">
        <f>33.678 * CHOOSE(CONTROL!$C$15, $E$9, 100%, $G$9) + CHOOSE(CONTROL!$C$38, 0.0347, 0)</f>
        <v>33.712699999999998</v>
      </c>
      <c r="D431" s="14">
        <f>33.6702 * CHOOSE(CONTROL!$C$15, $E$9, 100%, $G$9) + CHOOSE(CONTROL!$C$38, 0.0347, 0)</f>
        <v>33.704900000000002</v>
      </c>
      <c r="E431" s="46">
        <f>35.4693 * CHOOSE(CONTROL!$C$15, $E$9, 100%, $G$9) + CHOOSE(CONTROL!$C$38, 0.0347, 0)</f>
        <v>35.503999999999998</v>
      </c>
      <c r="F431" s="45">
        <f>35.4693 * CHOOSE(CONTROL!$C$15, $E$9, 100%, $G$9) + CHOOSE(CONTROL!$C$38, 0.0256, 0)</f>
        <v>35.494899999999994</v>
      </c>
      <c r="G431" s="14">
        <f>33.6765 * CHOOSE(CONTROL!$C$15, $E$9, 100%, $G$9) + CHOOSE(CONTROL!$C$38, 0.0347, 0)</f>
        <v>33.711199999999998</v>
      </c>
      <c r="H431" s="14">
        <f>33.6765 * CHOOSE(CONTROL!$C$15, $E$9, 100%, $G$9) + CHOOSE(CONTROL!$C$38, 0.0347, 0)</f>
        <v>33.711199999999998</v>
      </c>
      <c r="I431" s="14">
        <f>33.678 * CHOOSE(CONTROL!$C$15, $E$9, 100%, $G$9) + CHOOSE(CONTROL!$C$38, 0.0347, 0)</f>
        <v>33.712699999999998</v>
      </c>
      <c r="J431" s="44">
        <f>235.32</f>
        <v>235.32</v>
      </c>
    </row>
    <row r="432" spans="1:10" ht="15.75" x14ac:dyDescent="0.25">
      <c r="A432" s="33">
        <v>54088</v>
      </c>
      <c r="B432" s="14">
        <f>36.9332 * CHOOSE(CONTROL!$C$15, $E$9, 100%, $G$9) + CHOOSE(CONTROL!$C$38, 0.0256, 0)</f>
        <v>36.958799999999997</v>
      </c>
      <c r="C432" s="14">
        <f>34.9556 * CHOOSE(CONTROL!$C$15, $E$9, 100%, $G$9) + CHOOSE(CONTROL!$C$38, 0.0347, 0)</f>
        <v>34.990299999999998</v>
      </c>
      <c r="D432" s="14">
        <f>34.9477 * CHOOSE(CONTROL!$C$15, $E$9, 100%, $G$9) + CHOOSE(CONTROL!$C$38, 0.0347, 0)</f>
        <v>34.982399999999998</v>
      </c>
      <c r="E432" s="46">
        <f>36.7769 * CHOOSE(CONTROL!$C$15, $E$9, 100%, $G$9) + CHOOSE(CONTROL!$C$38, 0.0347, 0)</f>
        <v>36.811599999999999</v>
      </c>
      <c r="F432" s="45">
        <f>36.7769 * CHOOSE(CONTROL!$C$15, $E$9, 100%, $G$9) + CHOOSE(CONTROL!$C$38, 0.0256, 0)</f>
        <v>36.802499999999995</v>
      </c>
      <c r="G432" s="14">
        <f>34.954 * CHOOSE(CONTROL!$C$15, $E$9, 100%, $G$9) + CHOOSE(CONTROL!$C$38, 0.0347, 0)</f>
        <v>34.988700000000001</v>
      </c>
      <c r="H432" s="14">
        <f>34.954 * CHOOSE(CONTROL!$C$15, $E$9, 100%, $G$9) + CHOOSE(CONTROL!$C$38, 0.0347, 0)</f>
        <v>34.988700000000001</v>
      </c>
      <c r="I432" s="14">
        <f>34.9556 * CHOOSE(CONTROL!$C$15, $E$9, 100%, $G$9) + CHOOSE(CONTROL!$C$38, 0.0347, 0)</f>
        <v>34.990299999999998</v>
      </c>
      <c r="J432" s="44">
        <f>235.0165</f>
        <v>235.01650000000001</v>
      </c>
    </row>
    <row r="433" spans="1:10" ht="15.75" x14ac:dyDescent="0.25">
      <c r="A433" s="33">
        <v>54116</v>
      </c>
      <c r="B433" s="14">
        <f>37.2775 * CHOOSE(CONTROL!$C$15, $E$9, 100%, $G$9) + CHOOSE(CONTROL!$C$38, 0.0256, 0)</f>
        <v>37.303100000000001</v>
      </c>
      <c r="C433" s="14">
        <f>35.2999 * CHOOSE(CONTROL!$C$15, $E$9, 100%, $G$9) + CHOOSE(CONTROL!$C$38, 0.0347, 0)</f>
        <v>35.334600000000002</v>
      </c>
      <c r="D433" s="14">
        <f>35.2921 * CHOOSE(CONTROL!$C$15, $E$9, 100%, $G$9) + CHOOSE(CONTROL!$C$38, 0.0347, 0)</f>
        <v>35.326799999999999</v>
      </c>
      <c r="E433" s="46">
        <f>37.1212 * CHOOSE(CONTROL!$C$15, $E$9, 100%, $G$9) + CHOOSE(CONTROL!$C$38, 0.0347, 0)</f>
        <v>37.155900000000003</v>
      </c>
      <c r="F433" s="45">
        <f>37.1212 * CHOOSE(CONTROL!$C$15, $E$9, 100%, $G$9) + CHOOSE(CONTROL!$C$38, 0.0256, 0)</f>
        <v>37.146799999999999</v>
      </c>
      <c r="G433" s="14">
        <f>35.2983 * CHOOSE(CONTROL!$C$15, $E$9, 100%, $G$9) + CHOOSE(CONTROL!$C$38, 0.0347, 0)</f>
        <v>35.332999999999998</v>
      </c>
      <c r="H433" s="14">
        <f>35.2983 * CHOOSE(CONTROL!$C$15, $E$9, 100%, $G$9) + CHOOSE(CONTROL!$C$38, 0.0347, 0)</f>
        <v>35.332999999999998</v>
      </c>
      <c r="I433" s="14">
        <f>35.2999 * CHOOSE(CONTROL!$C$15, $E$9, 100%, $G$9) + CHOOSE(CONTROL!$C$38, 0.0347, 0)</f>
        <v>35.334600000000002</v>
      </c>
      <c r="J433" s="44">
        <f>234.3632</f>
        <v>234.36320000000001</v>
      </c>
    </row>
    <row r="434" spans="1:10" ht="15.75" x14ac:dyDescent="0.25">
      <c r="A434" s="33">
        <v>54148</v>
      </c>
      <c r="B434" s="14">
        <f>36.4804 * CHOOSE(CONTROL!$C$15, $E$9, 100%, $G$9) + CHOOSE(CONTROL!$C$38, 0.0256, 0)</f>
        <v>36.506</v>
      </c>
      <c r="C434" s="14">
        <f>34.5028 * CHOOSE(CONTROL!$C$15, $E$9, 100%, $G$9) + CHOOSE(CONTROL!$C$38, 0.0347, 0)</f>
        <v>34.537500000000001</v>
      </c>
      <c r="D434" s="14">
        <f>34.495 * CHOOSE(CONTROL!$C$15, $E$9, 100%, $G$9) + CHOOSE(CONTROL!$C$38, 0.0347, 0)</f>
        <v>34.529699999999998</v>
      </c>
      <c r="E434" s="46">
        <f>36.3242 * CHOOSE(CONTROL!$C$15, $E$9, 100%, $G$9) + CHOOSE(CONTROL!$C$38, 0.0347, 0)</f>
        <v>36.358899999999998</v>
      </c>
      <c r="F434" s="45">
        <f>36.3242 * CHOOSE(CONTROL!$C$15, $E$9, 100%, $G$9) + CHOOSE(CONTROL!$C$38, 0.0256, 0)</f>
        <v>36.349799999999995</v>
      </c>
      <c r="G434" s="14">
        <f>34.5013 * CHOOSE(CONTROL!$C$15, $E$9, 100%, $G$9) + CHOOSE(CONTROL!$C$38, 0.0347, 0)</f>
        <v>34.536000000000001</v>
      </c>
      <c r="H434" s="14">
        <f>34.5013 * CHOOSE(CONTROL!$C$15, $E$9, 100%, $G$9) + CHOOSE(CONTROL!$C$38, 0.0347, 0)</f>
        <v>34.536000000000001</v>
      </c>
      <c r="I434" s="14">
        <f>34.5028 * CHOOSE(CONTROL!$C$15, $E$9, 100%, $G$9) + CHOOSE(CONTROL!$C$38, 0.0347, 0)</f>
        <v>34.537500000000001</v>
      </c>
      <c r="J434" s="44">
        <f>246.7155</f>
        <v>246.71549999999999</v>
      </c>
    </row>
    <row r="435" spans="1:10" ht="15.75" x14ac:dyDescent="0.25">
      <c r="A435" s="33">
        <v>54178</v>
      </c>
      <c r="B435" s="14">
        <f>35.7081 * CHOOSE(CONTROL!$C$15, $E$9, 100%, $G$9) + CHOOSE(CONTROL!$C$38, 0.0256, 0)</f>
        <v>35.733699999999999</v>
      </c>
      <c r="C435" s="14">
        <f>33.7305 * CHOOSE(CONTROL!$C$15, $E$9, 100%, $G$9) + CHOOSE(CONTROL!$C$38, 0.0347, 0)</f>
        <v>33.7652</v>
      </c>
      <c r="D435" s="14">
        <f>33.7227 * CHOOSE(CONTROL!$C$15, $E$9, 100%, $G$9) + CHOOSE(CONTROL!$C$38, 0.0347, 0)</f>
        <v>33.757400000000004</v>
      </c>
      <c r="E435" s="46">
        <f>35.5519 * CHOOSE(CONTROL!$C$15, $E$9, 100%, $G$9) + CHOOSE(CONTROL!$C$38, 0.0347, 0)</f>
        <v>35.586600000000004</v>
      </c>
      <c r="F435" s="45">
        <f>35.5519 * CHOOSE(CONTROL!$C$15, $E$9, 100%, $G$9) + CHOOSE(CONTROL!$C$38, 0.0256, 0)</f>
        <v>35.577500000000001</v>
      </c>
      <c r="G435" s="14">
        <f>33.729 * CHOOSE(CONTROL!$C$15, $E$9, 100%, $G$9) + CHOOSE(CONTROL!$C$38, 0.0347, 0)</f>
        <v>33.7637</v>
      </c>
      <c r="H435" s="14">
        <f>33.729 * CHOOSE(CONTROL!$C$15, $E$9, 100%, $G$9) + CHOOSE(CONTROL!$C$38, 0.0347, 0)</f>
        <v>33.7637</v>
      </c>
      <c r="I435" s="14">
        <f>33.7305 * CHOOSE(CONTROL!$C$15, $E$9, 100%, $G$9) + CHOOSE(CONTROL!$C$38, 0.0347, 0)</f>
        <v>33.7652</v>
      </c>
      <c r="J435" s="44">
        <f>262.7335</f>
        <v>262.73349999999999</v>
      </c>
    </row>
    <row r="436" spans="1:10" ht="15.75" x14ac:dyDescent="0.25">
      <c r="A436" s="33">
        <v>54209</v>
      </c>
      <c r="B436" s="14">
        <f>34.9032 * CHOOSE(CONTROL!$C$15, $E$9, 100%, $G$9) + CHOOSE(CONTROL!$C$38, 0.0278, 0)</f>
        <v>34.930999999999997</v>
      </c>
      <c r="C436" s="14">
        <f>32.9256 * CHOOSE(CONTROL!$C$15, $E$9, 100%, $G$9) + CHOOSE(CONTROL!$C$38, 0.0369, 0)</f>
        <v>32.962500000000006</v>
      </c>
      <c r="D436" s="14">
        <f>32.9177 * CHOOSE(CONTROL!$C$15, $E$9, 100%, $G$9) + CHOOSE(CONTROL!$C$38, 0.0369, 0)</f>
        <v>32.954600000000006</v>
      </c>
      <c r="E436" s="46">
        <f>34.7469 * CHOOSE(CONTROL!$C$15, $E$9, 100%, $G$9) + CHOOSE(CONTROL!$C$38, 0.0369, 0)</f>
        <v>34.783799999999999</v>
      </c>
      <c r="F436" s="45">
        <f>34.7469 * CHOOSE(CONTROL!$C$15, $E$9, 100%, $G$9) + CHOOSE(CONTROL!$C$38, 0.0278, 0)</f>
        <v>34.774699999999996</v>
      </c>
      <c r="G436" s="14">
        <f>32.924 * CHOOSE(CONTROL!$C$15, $E$9, 100%, $G$9) + CHOOSE(CONTROL!$C$38, 0.0369, 0)</f>
        <v>32.960900000000002</v>
      </c>
      <c r="H436" s="14">
        <f>32.924 * CHOOSE(CONTROL!$C$15, $E$9, 100%, $G$9) + CHOOSE(CONTROL!$C$38, 0.0369, 0)</f>
        <v>32.960900000000002</v>
      </c>
      <c r="I436" s="14">
        <f>32.9256 * CHOOSE(CONTROL!$C$15, $E$9, 100%, $G$9) + CHOOSE(CONTROL!$C$38, 0.0369, 0)</f>
        <v>32.962500000000006</v>
      </c>
      <c r="J436" s="44">
        <f>271.5503</f>
        <v>271.55029999999999</v>
      </c>
    </row>
    <row r="437" spans="1:10" ht="15.75" x14ac:dyDescent="0.25">
      <c r="A437" s="33">
        <v>54239</v>
      </c>
      <c r="B437" s="14">
        <f>34.3388 * CHOOSE(CONTROL!$C$15, $E$9, 100%, $G$9) + CHOOSE(CONTROL!$C$38, 0.0278, 0)</f>
        <v>34.366599999999998</v>
      </c>
      <c r="C437" s="14">
        <f>32.3612 * CHOOSE(CONTROL!$C$15, $E$9, 100%, $G$9) + CHOOSE(CONTROL!$C$38, 0.0369, 0)</f>
        <v>32.398099999999999</v>
      </c>
      <c r="D437" s="14">
        <f>32.3534 * CHOOSE(CONTROL!$C$15, $E$9, 100%, $G$9) + CHOOSE(CONTROL!$C$38, 0.0369, 0)</f>
        <v>32.390300000000003</v>
      </c>
      <c r="E437" s="46">
        <f>34.1826 * CHOOSE(CONTROL!$C$15, $E$9, 100%, $G$9) + CHOOSE(CONTROL!$C$38, 0.0369, 0)</f>
        <v>34.219500000000004</v>
      </c>
      <c r="F437" s="45">
        <f>34.1826 * CHOOSE(CONTROL!$C$15, $E$9, 100%, $G$9) + CHOOSE(CONTROL!$C$38, 0.0278, 0)</f>
        <v>34.2104</v>
      </c>
      <c r="G437" s="14">
        <f>32.3597 * CHOOSE(CONTROL!$C$15, $E$9, 100%, $G$9) + CHOOSE(CONTROL!$C$38, 0.0369, 0)</f>
        <v>32.396599999999999</v>
      </c>
      <c r="H437" s="14">
        <f>32.3597 * CHOOSE(CONTROL!$C$15, $E$9, 100%, $G$9) + CHOOSE(CONTROL!$C$38, 0.0369, 0)</f>
        <v>32.396599999999999</v>
      </c>
      <c r="I437" s="14">
        <f>32.3612 * CHOOSE(CONTROL!$C$15, $E$9, 100%, $G$9) + CHOOSE(CONTROL!$C$38, 0.0369, 0)</f>
        <v>32.398099999999999</v>
      </c>
      <c r="J437" s="44">
        <f>275.4631</f>
        <v>275.4631</v>
      </c>
    </row>
    <row r="438" spans="1:10" ht="15.75" x14ac:dyDescent="0.25">
      <c r="A438" s="33">
        <v>54270</v>
      </c>
      <c r="B438" s="14">
        <f>34.0168 * CHOOSE(CONTROL!$C$15, $E$9, 100%, $G$9) + CHOOSE(CONTROL!$C$38, 0.0278, 0)</f>
        <v>34.044600000000003</v>
      </c>
      <c r="C438" s="14">
        <f>32.0392 * CHOOSE(CONTROL!$C$15, $E$9, 100%, $G$9) + CHOOSE(CONTROL!$C$38, 0.0369, 0)</f>
        <v>32.076100000000004</v>
      </c>
      <c r="D438" s="14">
        <f>32.0314 * CHOOSE(CONTROL!$C$15, $E$9, 100%, $G$9) + CHOOSE(CONTROL!$C$38, 0.0369, 0)</f>
        <v>32.068300000000001</v>
      </c>
      <c r="E438" s="46">
        <f>33.8605 * CHOOSE(CONTROL!$C$15, $E$9, 100%, $G$9) + CHOOSE(CONTROL!$C$38, 0.0369, 0)</f>
        <v>33.897400000000005</v>
      </c>
      <c r="F438" s="45">
        <f>33.8605 * CHOOSE(CONTROL!$C$15, $E$9, 100%, $G$9) + CHOOSE(CONTROL!$C$38, 0.0278, 0)</f>
        <v>33.888300000000001</v>
      </c>
      <c r="G438" s="14">
        <f>32.0376 * CHOOSE(CONTROL!$C$15, $E$9, 100%, $G$9) + CHOOSE(CONTROL!$C$38, 0.0369, 0)</f>
        <v>32.0745</v>
      </c>
      <c r="H438" s="14">
        <f>32.0376 * CHOOSE(CONTROL!$C$15, $E$9, 100%, $G$9) + CHOOSE(CONTROL!$C$38, 0.0369, 0)</f>
        <v>32.0745</v>
      </c>
      <c r="I438" s="14">
        <f>32.0392 * CHOOSE(CONTROL!$C$15, $E$9, 100%, $G$9) + CHOOSE(CONTROL!$C$38, 0.0369, 0)</f>
        <v>32.076100000000004</v>
      </c>
      <c r="J438" s="44">
        <f>274.1748</f>
        <v>274.1748</v>
      </c>
    </row>
    <row r="439" spans="1:10" ht="15.75" x14ac:dyDescent="0.25">
      <c r="A439" s="33">
        <v>54301</v>
      </c>
      <c r="B439" s="14">
        <f>34.1757 * CHOOSE(CONTROL!$C$15, $E$9, 100%, $G$9) + CHOOSE(CONTROL!$C$38, 0.0278, 0)</f>
        <v>34.203499999999998</v>
      </c>
      <c r="C439" s="14">
        <f>32.1981 * CHOOSE(CONTROL!$C$15, $E$9, 100%, $G$9) + CHOOSE(CONTROL!$C$38, 0.0369, 0)</f>
        <v>32.234999999999999</v>
      </c>
      <c r="D439" s="14">
        <f>32.1903 * CHOOSE(CONTROL!$C$15, $E$9, 100%, $G$9) + CHOOSE(CONTROL!$C$38, 0.0369, 0)</f>
        <v>32.227200000000003</v>
      </c>
      <c r="E439" s="46">
        <f>34.0195 * CHOOSE(CONTROL!$C$15, $E$9, 100%, $G$9) + CHOOSE(CONTROL!$C$38, 0.0369, 0)</f>
        <v>34.056400000000004</v>
      </c>
      <c r="F439" s="45">
        <f>34.0195 * CHOOSE(CONTROL!$C$15, $E$9, 100%, $G$9) + CHOOSE(CONTROL!$C$38, 0.0278, 0)</f>
        <v>34.0473</v>
      </c>
      <c r="G439" s="14">
        <f>32.1965 * CHOOSE(CONTROL!$C$15, $E$9, 100%, $G$9) + CHOOSE(CONTROL!$C$38, 0.0369, 0)</f>
        <v>32.233400000000003</v>
      </c>
      <c r="H439" s="14">
        <f>32.1965 * CHOOSE(CONTROL!$C$15, $E$9, 100%, $G$9) + CHOOSE(CONTROL!$C$38, 0.0369, 0)</f>
        <v>32.233400000000003</v>
      </c>
      <c r="I439" s="14">
        <f>32.1981 * CHOOSE(CONTROL!$C$15, $E$9, 100%, $G$9) + CHOOSE(CONTROL!$C$38, 0.0369, 0)</f>
        <v>32.234999999999999</v>
      </c>
      <c r="J439" s="44">
        <f>267.7921</f>
        <v>267.7921</v>
      </c>
    </row>
    <row r="440" spans="1:10" ht="15.75" x14ac:dyDescent="0.25">
      <c r="A440" s="33">
        <v>54331</v>
      </c>
      <c r="B440" s="14">
        <f>34.6074 * CHOOSE(CONTROL!$C$15, $E$9, 100%, $G$9) + CHOOSE(CONTROL!$C$38, 0.0278, 0)</f>
        <v>34.635199999999998</v>
      </c>
      <c r="C440" s="14">
        <f>32.6298 * CHOOSE(CONTROL!$C$15, $E$9, 100%, $G$9) + CHOOSE(CONTROL!$C$38, 0.0369, 0)</f>
        <v>32.666700000000006</v>
      </c>
      <c r="D440" s="14">
        <f>32.622 * CHOOSE(CONTROL!$C$15, $E$9, 100%, $G$9) + CHOOSE(CONTROL!$C$38, 0.0369, 0)</f>
        <v>32.658900000000003</v>
      </c>
      <c r="E440" s="46">
        <f>34.4512 * CHOOSE(CONTROL!$C$15, $E$9, 100%, $G$9) + CHOOSE(CONTROL!$C$38, 0.0369, 0)</f>
        <v>34.488100000000003</v>
      </c>
      <c r="F440" s="45">
        <f>34.4512 * CHOOSE(CONTROL!$C$15, $E$9, 100%, $G$9) + CHOOSE(CONTROL!$C$38, 0.0278, 0)</f>
        <v>34.478999999999999</v>
      </c>
      <c r="G440" s="14">
        <f>32.6283 * CHOOSE(CONTROL!$C$15, $E$9, 100%, $G$9) + CHOOSE(CONTROL!$C$38, 0.0369, 0)</f>
        <v>32.665200000000006</v>
      </c>
      <c r="H440" s="14">
        <f>32.6283 * CHOOSE(CONTROL!$C$15, $E$9, 100%, $G$9) + CHOOSE(CONTROL!$C$38, 0.0369, 0)</f>
        <v>32.665200000000006</v>
      </c>
      <c r="I440" s="14">
        <f>32.6298 * CHOOSE(CONTROL!$C$15, $E$9, 100%, $G$9) + CHOOSE(CONTROL!$C$38, 0.0369, 0)</f>
        <v>32.666700000000006</v>
      </c>
      <c r="J440" s="44">
        <f>258.8912</f>
        <v>258.89120000000003</v>
      </c>
    </row>
    <row r="441" spans="1:10" ht="15.75" x14ac:dyDescent="0.25">
      <c r="A441" s="33">
        <v>54362</v>
      </c>
      <c r="B441" s="14">
        <f>34.969 * CHOOSE(CONTROL!$C$15, $E$9, 100%, $G$9) + CHOOSE(CONTROL!$C$38, 0.0256, 0)</f>
        <v>34.994599999999998</v>
      </c>
      <c r="C441" s="14">
        <f>32.9914 * CHOOSE(CONTROL!$C$15, $E$9, 100%, $G$9) + CHOOSE(CONTROL!$C$38, 0.0347, 0)</f>
        <v>33.0261</v>
      </c>
      <c r="D441" s="14">
        <f>32.9836 * CHOOSE(CONTROL!$C$15, $E$9, 100%, $G$9) + CHOOSE(CONTROL!$C$38, 0.0347, 0)</f>
        <v>33.018300000000004</v>
      </c>
      <c r="E441" s="46">
        <f>34.8127 * CHOOSE(CONTROL!$C$15, $E$9, 100%, $G$9) + CHOOSE(CONTROL!$C$38, 0.0347, 0)</f>
        <v>34.8474</v>
      </c>
      <c r="F441" s="45">
        <f>34.8127 * CHOOSE(CONTROL!$C$15, $E$9, 100%, $G$9) + CHOOSE(CONTROL!$C$38, 0.0256, 0)</f>
        <v>34.838299999999997</v>
      </c>
      <c r="G441" s="14">
        <f>32.9898 * CHOOSE(CONTROL!$C$15, $E$9, 100%, $G$9) + CHOOSE(CONTROL!$C$38, 0.0347, 0)</f>
        <v>33.024500000000003</v>
      </c>
      <c r="H441" s="14">
        <f>32.9898 * CHOOSE(CONTROL!$C$15, $E$9, 100%, $G$9) + CHOOSE(CONTROL!$C$38, 0.0347, 0)</f>
        <v>33.024500000000003</v>
      </c>
      <c r="I441" s="14">
        <f>32.9914 * CHOOSE(CONTROL!$C$15, $E$9, 100%, $G$9) + CHOOSE(CONTROL!$C$38, 0.0347, 0)</f>
        <v>33.0261</v>
      </c>
      <c r="J441" s="44">
        <f>249.9385</f>
        <v>249.9385</v>
      </c>
    </row>
    <row r="442" spans="1:10" ht="15.75" x14ac:dyDescent="0.25">
      <c r="A442" s="33">
        <v>54392</v>
      </c>
      <c r="B442" s="14">
        <f>35.2707 * CHOOSE(CONTROL!$C$15, $E$9, 100%, $G$9) + CHOOSE(CONTROL!$C$38, 0.0256, 0)</f>
        <v>35.296299999999995</v>
      </c>
      <c r="C442" s="14">
        <f>33.2931 * CHOOSE(CONTROL!$C$15, $E$9, 100%, $G$9) + CHOOSE(CONTROL!$C$38, 0.0347, 0)</f>
        <v>33.327800000000003</v>
      </c>
      <c r="D442" s="14">
        <f>33.2853 * CHOOSE(CONTROL!$C$15, $E$9, 100%, $G$9) + CHOOSE(CONTROL!$C$38, 0.0347, 0)</f>
        <v>33.32</v>
      </c>
      <c r="E442" s="46">
        <f>35.1144 * CHOOSE(CONTROL!$C$15, $E$9, 100%, $G$9) + CHOOSE(CONTROL!$C$38, 0.0347, 0)</f>
        <v>35.149100000000004</v>
      </c>
      <c r="F442" s="45">
        <f>35.1144 * CHOOSE(CONTROL!$C$15, $E$9, 100%, $G$9) + CHOOSE(CONTROL!$C$38, 0.0256, 0)</f>
        <v>35.14</v>
      </c>
      <c r="G442" s="14">
        <f>33.2915 * CHOOSE(CONTROL!$C$15, $E$9, 100%, $G$9) + CHOOSE(CONTROL!$C$38, 0.0347, 0)</f>
        <v>33.3262</v>
      </c>
      <c r="H442" s="14">
        <f>33.2915 * CHOOSE(CONTROL!$C$15, $E$9, 100%, $G$9) + CHOOSE(CONTROL!$C$38, 0.0347, 0)</f>
        <v>33.3262</v>
      </c>
      <c r="I442" s="14">
        <f>33.2931 * CHOOSE(CONTROL!$C$15, $E$9, 100%, $G$9) + CHOOSE(CONTROL!$C$38, 0.0347, 0)</f>
        <v>33.327800000000003</v>
      </c>
      <c r="J442" s="44">
        <f>248.1576</f>
        <v>248.1576</v>
      </c>
    </row>
    <row r="443" spans="1:10" ht="15.75" x14ac:dyDescent="0.25">
      <c r="A443" s="33">
        <v>54423</v>
      </c>
      <c r="B443" s="14">
        <f>36.2004 * CHOOSE(CONTROL!$C$15, $E$9, 100%, $G$9) + CHOOSE(CONTROL!$C$38, 0.0256, 0)</f>
        <v>36.225999999999999</v>
      </c>
      <c r="C443" s="14">
        <f>34.2228 * CHOOSE(CONTROL!$C$15, $E$9, 100%, $G$9) + CHOOSE(CONTROL!$C$38, 0.0347, 0)</f>
        <v>34.2575</v>
      </c>
      <c r="D443" s="14">
        <f>34.2149 * CHOOSE(CONTROL!$C$15, $E$9, 100%, $G$9) + CHOOSE(CONTROL!$C$38, 0.0347, 0)</f>
        <v>34.249600000000001</v>
      </c>
      <c r="E443" s="46">
        <f>36.0441 * CHOOSE(CONTROL!$C$15, $E$9, 100%, $G$9) + CHOOSE(CONTROL!$C$38, 0.0347, 0)</f>
        <v>36.078800000000001</v>
      </c>
      <c r="F443" s="45">
        <f>36.0441 * CHOOSE(CONTROL!$C$15, $E$9, 100%, $G$9) + CHOOSE(CONTROL!$C$38, 0.0256, 0)</f>
        <v>36.069699999999997</v>
      </c>
      <c r="G443" s="14">
        <f>34.2212 * CHOOSE(CONTROL!$C$15, $E$9, 100%, $G$9) + CHOOSE(CONTROL!$C$38, 0.0347, 0)</f>
        <v>34.255900000000004</v>
      </c>
      <c r="H443" s="14">
        <f>34.2212 * CHOOSE(CONTROL!$C$15, $E$9, 100%, $G$9) + CHOOSE(CONTROL!$C$38, 0.0347, 0)</f>
        <v>34.255900000000004</v>
      </c>
      <c r="I443" s="14">
        <f>34.2228 * CHOOSE(CONTROL!$C$15, $E$9, 100%, $G$9) + CHOOSE(CONTROL!$C$38, 0.0347, 0)</f>
        <v>34.2575</v>
      </c>
      <c r="J443" s="44">
        <f>240.7935</f>
        <v>240.79349999999999</v>
      </c>
    </row>
    <row r="444" spans="1:10" ht="15.75" x14ac:dyDescent="0.25">
      <c r="A444" s="33">
        <v>54454</v>
      </c>
      <c r="B444" s="14">
        <f>37.5176 * CHOOSE(CONTROL!$C$15, $E$9, 100%, $G$9) + CHOOSE(CONTROL!$C$38, 0.0256, 0)</f>
        <v>37.543199999999999</v>
      </c>
      <c r="C444" s="14">
        <f>35.5094 * CHOOSE(CONTROL!$C$15, $E$9, 100%, $G$9) + CHOOSE(CONTROL!$C$38, 0.0347, 0)</f>
        <v>35.5441</v>
      </c>
      <c r="D444" s="14">
        <f>35.5016 * CHOOSE(CONTROL!$C$15, $E$9, 100%, $G$9) + CHOOSE(CONTROL!$C$38, 0.0347, 0)</f>
        <v>35.536300000000004</v>
      </c>
      <c r="E444" s="46">
        <f>37.3614 * CHOOSE(CONTROL!$C$15, $E$9, 100%, $G$9) + CHOOSE(CONTROL!$C$38, 0.0347, 0)</f>
        <v>37.396100000000004</v>
      </c>
      <c r="F444" s="45">
        <f>37.3614 * CHOOSE(CONTROL!$C$15, $E$9, 100%, $G$9) + CHOOSE(CONTROL!$C$38, 0.0256, 0)</f>
        <v>37.387</v>
      </c>
      <c r="G444" s="14">
        <f>35.5078 * CHOOSE(CONTROL!$C$15, $E$9, 100%, $G$9) + CHOOSE(CONTROL!$C$38, 0.0347, 0)</f>
        <v>35.542500000000004</v>
      </c>
      <c r="H444" s="14">
        <f>35.5078 * CHOOSE(CONTROL!$C$15, $E$9, 100%, $G$9) + CHOOSE(CONTROL!$C$38, 0.0347, 0)</f>
        <v>35.542500000000004</v>
      </c>
      <c r="I444" s="14">
        <f>35.5094 * CHOOSE(CONTROL!$C$15, $E$9, 100%, $G$9) + CHOOSE(CONTROL!$C$38, 0.0347, 0)</f>
        <v>35.5441</v>
      </c>
      <c r="J444" s="44">
        <f>240.483</f>
        <v>240.483</v>
      </c>
    </row>
    <row r="445" spans="1:10" ht="15.75" x14ac:dyDescent="0.25">
      <c r="A445" s="33">
        <v>54482</v>
      </c>
      <c r="B445" s="14">
        <f>37.8619 * CHOOSE(CONTROL!$C$15, $E$9, 100%, $G$9) + CHOOSE(CONTROL!$C$38, 0.0256, 0)</f>
        <v>37.887499999999996</v>
      </c>
      <c r="C445" s="14">
        <f>35.8537 * CHOOSE(CONTROL!$C$15, $E$9, 100%, $G$9) + CHOOSE(CONTROL!$C$38, 0.0347, 0)</f>
        <v>35.888400000000004</v>
      </c>
      <c r="D445" s="14">
        <f>35.8459 * CHOOSE(CONTROL!$C$15, $E$9, 100%, $G$9) + CHOOSE(CONTROL!$C$38, 0.0347, 0)</f>
        <v>35.880600000000001</v>
      </c>
      <c r="E445" s="46">
        <f>37.7057 * CHOOSE(CONTROL!$C$15, $E$9, 100%, $G$9) + CHOOSE(CONTROL!$C$38, 0.0347, 0)</f>
        <v>37.740400000000001</v>
      </c>
      <c r="F445" s="45">
        <f>37.7057 * CHOOSE(CONTROL!$C$15, $E$9, 100%, $G$9) + CHOOSE(CONTROL!$C$38, 0.0256, 0)</f>
        <v>37.731299999999997</v>
      </c>
      <c r="G445" s="14">
        <f>35.8522 * CHOOSE(CONTROL!$C$15, $E$9, 100%, $G$9) + CHOOSE(CONTROL!$C$38, 0.0347, 0)</f>
        <v>35.886900000000004</v>
      </c>
      <c r="H445" s="14">
        <f>35.8522 * CHOOSE(CONTROL!$C$15, $E$9, 100%, $G$9) + CHOOSE(CONTROL!$C$38, 0.0347, 0)</f>
        <v>35.886900000000004</v>
      </c>
      <c r="I445" s="14">
        <f>35.8537 * CHOOSE(CONTROL!$C$15, $E$9, 100%, $G$9) + CHOOSE(CONTROL!$C$38, 0.0347, 0)</f>
        <v>35.888400000000004</v>
      </c>
      <c r="J445" s="44">
        <f>239.8145</f>
        <v>239.81450000000001</v>
      </c>
    </row>
    <row r="446" spans="1:10" ht="15.75" x14ac:dyDescent="0.25">
      <c r="A446" s="33">
        <v>54513</v>
      </c>
      <c r="B446" s="14">
        <f>37.0649 * CHOOSE(CONTROL!$C$15, $E$9, 100%, $G$9) + CHOOSE(CONTROL!$C$38, 0.0256, 0)</f>
        <v>37.090499999999999</v>
      </c>
      <c r="C446" s="14">
        <f>35.0567 * CHOOSE(CONTROL!$C$15, $E$9, 100%, $G$9) + CHOOSE(CONTROL!$C$38, 0.0347, 0)</f>
        <v>35.0914</v>
      </c>
      <c r="D446" s="14">
        <f>35.0489 * CHOOSE(CONTROL!$C$15, $E$9, 100%, $G$9) + CHOOSE(CONTROL!$C$38, 0.0347, 0)</f>
        <v>35.083600000000004</v>
      </c>
      <c r="E446" s="46">
        <f>36.9086 * CHOOSE(CONTROL!$C$15, $E$9, 100%, $G$9) + CHOOSE(CONTROL!$C$38, 0.0347, 0)</f>
        <v>36.943300000000001</v>
      </c>
      <c r="F446" s="45">
        <f>36.9086 * CHOOSE(CONTROL!$C$15, $E$9, 100%, $G$9) + CHOOSE(CONTROL!$C$38, 0.0256, 0)</f>
        <v>36.934199999999997</v>
      </c>
      <c r="G446" s="14">
        <f>35.0551 * CHOOSE(CONTROL!$C$15, $E$9, 100%, $G$9) + CHOOSE(CONTROL!$C$38, 0.0347, 0)</f>
        <v>35.089800000000004</v>
      </c>
      <c r="H446" s="14">
        <f>35.0551 * CHOOSE(CONTROL!$C$15, $E$9, 100%, $G$9) + CHOOSE(CONTROL!$C$38, 0.0347, 0)</f>
        <v>35.089800000000004</v>
      </c>
      <c r="I446" s="14">
        <f>35.0567 * CHOOSE(CONTROL!$C$15, $E$9, 100%, $G$9) + CHOOSE(CONTROL!$C$38, 0.0347, 0)</f>
        <v>35.0914</v>
      </c>
      <c r="J446" s="44">
        <f>252.4541</f>
        <v>252.45410000000001</v>
      </c>
    </row>
    <row r="447" spans="1:10" ht="15.75" x14ac:dyDescent="0.25">
      <c r="A447" s="33">
        <v>54543</v>
      </c>
      <c r="B447" s="14">
        <f>36.2926 * CHOOSE(CONTROL!$C$15, $E$9, 100%, $G$9) + CHOOSE(CONTROL!$C$38, 0.0256, 0)</f>
        <v>36.318199999999997</v>
      </c>
      <c r="C447" s="14">
        <f>34.2844 * CHOOSE(CONTROL!$C$15, $E$9, 100%, $G$9) + CHOOSE(CONTROL!$C$38, 0.0347, 0)</f>
        <v>34.319099999999999</v>
      </c>
      <c r="D447" s="14">
        <f>34.2766 * CHOOSE(CONTROL!$C$15, $E$9, 100%, $G$9) + CHOOSE(CONTROL!$C$38, 0.0347, 0)</f>
        <v>34.311300000000003</v>
      </c>
      <c r="E447" s="46">
        <f>36.1363 * CHOOSE(CONTROL!$C$15, $E$9, 100%, $G$9) + CHOOSE(CONTROL!$C$38, 0.0347, 0)</f>
        <v>36.170999999999999</v>
      </c>
      <c r="F447" s="45">
        <f>36.1363 * CHOOSE(CONTROL!$C$15, $E$9, 100%, $G$9) + CHOOSE(CONTROL!$C$38, 0.0256, 0)</f>
        <v>36.161899999999996</v>
      </c>
      <c r="G447" s="14">
        <f>34.2828 * CHOOSE(CONTROL!$C$15, $E$9, 100%, $G$9) + CHOOSE(CONTROL!$C$38, 0.0347, 0)</f>
        <v>34.317500000000003</v>
      </c>
      <c r="H447" s="14">
        <f>34.2828 * CHOOSE(CONTROL!$C$15, $E$9, 100%, $G$9) + CHOOSE(CONTROL!$C$38, 0.0347, 0)</f>
        <v>34.317500000000003</v>
      </c>
      <c r="I447" s="14">
        <f>34.2844 * CHOOSE(CONTROL!$C$15, $E$9, 100%, $G$9) + CHOOSE(CONTROL!$C$38, 0.0347, 0)</f>
        <v>34.319099999999999</v>
      </c>
      <c r="J447" s="44">
        <f>268.8447</f>
        <v>268.84469999999999</v>
      </c>
    </row>
    <row r="448" spans="1:10" ht="15.75" x14ac:dyDescent="0.25">
      <c r="A448" s="33">
        <v>54574</v>
      </c>
      <c r="B448" s="14">
        <f>35.4876 * CHOOSE(CONTROL!$C$15, $E$9, 100%, $G$9) + CHOOSE(CONTROL!$C$38, 0.0278, 0)</f>
        <v>35.5154</v>
      </c>
      <c r="C448" s="14">
        <f>33.4794 * CHOOSE(CONTROL!$C$15, $E$9, 100%, $G$9) + CHOOSE(CONTROL!$C$38, 0.0369, 0)</f>
        <v>33.516300000000001</v>
      </c>
      <c r="D448" s="14">
        <f>33.4716 * CHOOSE(CONTROL!$C$15, $E$9, 100%, $G$9) + CHOOSE(CONTROL!$C$38, 0.0369, 0)</f>
        <v>33.508500000000005</v>
      </c>
      <c r="E448" s="46">
        <f>35.3314 * CHOOSE(CONTROL!$C$15, $E$9, 100%, $G$9) + CHOOSE(CONTROL!$C$38, 0.0369, 0)</f>
        <v>35.368300000000005</v>
      </c>
      <c r="F448" s="45">
        <f>35.3314 * CHOOSE(CONTROL!$C$15, $E$9, 100%, $G$9) + CHOOSE(CONTROL!$C$38, 0.0278, 0)</f>
        <v>35.359200000000001</v>
      </c>
      <c r="G448" s="14">
        <f>33.4779 * CHOOSE(CONTROL!$C$15, $E$9, 100%, $G$9) + CHOOSE(CONTROL!$C$38, 0.0369, 0)</f>
        <v>33.514800000000001</v>
      </c>
      <c r="H448" s="14">
        <f>33.4779 * CHOOSE(CONTROL!$C$15, $E$9, 100%, $G$9) + CHOOSE(CONTROL!$C$38, 0.0369, 0)</f>
        <v>33.514800000000001</v>
      </c>
      <c r="I448" s="14">
        <f>33.4794 * CHOOSE(CONTROL!$C$15, $E$9, 100%, $G$9) + CHOOSE(CONTROL!$C$38, 0.0369, 0)</f>
        <v>33.516300000000001</v>
      </c>
      <c r="J448" s="44">
        <f>277.8666</f>
        <v>277.86660000000001</v>
      </c>
    </row>
    <row r="449" spans="1:10" ht="15.75" x14ac:dyDescent="0.25">
      <c r="A449" s="33">
        <v>54604</v>
      </c>
      <c r="B449" s="14">
        <f>34.9233 * CHOOSE(CONTROL!$C$15, $E$9, 100%, $G$9) + CHOOSE(CONTROL!$C$38, 0.0278, 0)</f>
        <v>34.951099999999997</v>
      </c>
      <c r="C449" s="14">
        <f>32.9151 * CHOOSE(CONTROL!$C$15, $E$9, 100%, $G$9) + CHOOSE(CONTROL!$C$38, 0.0369, 0)</f>
        <v>32.952000000000005</v>
      </c>
      <c r="D449" s="14">
        <f>32.9073 * CHOOSE(CONTROL!$C$15, $E$9, 100%, $G$9) + CHOOSE(CONTROL!$C$38, 0.0369, 0)</f>
        <v>32.944200000000002</v>
      </c>
      <c r="E449" s="46">
        <f>34.767 * CHOOSE(CONTROL!$C$15, $E$9, 100%, $G$9) + CHOOSE(CONTROL!$C$38, 0.0369, 0)</f>
        <v>34.803900000000006</v>
      </c>
      <c r="F449" s="45">
        <f>34.767 * CHOOSE(CONTROL!$C$15, $E$9, 100%, $G$9) + CHOOSE(CONTROL!$C$38, 0.0278, 0)</f>
        <v>34.794800000000002</v>
      </c>
      <c r="G449" s="14">
        <f>32.9135 * CHOOSE(CONTROL!$C$15, $E$9, 100%, $G$9) + CHOOSE(CONTROL!$C$38, 0.0369, 0)</f>
        <v>32.950400000000002</v>
      </c>
      <c r="H449" s="14">
        <f>32.9135 * CHOOSE(CONTROL!$C$15, $E$9, 100%, $G$9) + CHOOSE(CONTROL!$C$38, 0.0369, 0)</f>
        <v>32.950400000000002</v>
      </c>
      <c r="I449" s="14">
        <f>32.9151 * CHOOSE(CONTROL!$C$15, $E$9, 100%, $G$9) + CHOOSE(CONTROL!$C$38, 0.0369, 0)</f>
        <v>32.952000000000005</v>
      </c>
      <c r="J449" s="44">
        <f>281.8703</f>
        <v>281.87029999999999</v>
      </c>
    </row>
    <row r="450" spans="1:10" ht="15.75" x14ac:dyDescent="0.25">
      <c r="A450" s="33">
        <v>54635</v>
      </c>
      <c r="B450" s="14">
        <f>34.6012 * CHOOSE(CONTROL!$C$15, $E$9, 100%, $G$9) + CHOOSE(CONTROL!$C$38, 0.0278, 0)</f>
        <v>34.628999999999998</v>
      </c>
      <c r="C450" s="14">
        <f>32.593 * CHOOSE(CONTROL!$C$15, $E$9, 100%, $G$9) + CHOOSE(CONTROL!$C$38, 0.0369, 0)</f>
        <v>32.629900000000006</v>
      </c>
      <c r="D450" s="14">
        <f>32.5852 * CHOOSE(CONTROL!$C$15, $E$9, 100%, $G$9) + CHOOSE(CONTROL!$C$38, 0.0369, 0)</f>
        <v>32.622100000000003</v>
      </c>
      <c r="E450" s="46">
        <f>34.445 * CHOOSE(CONTROL!$C$15, $E$9, 100%, $G$9) + CHOOSE(CONTROL!$C$38, 0.0369, 0)</f>
        <v>34.481900000000003</v>
      </c>
      <c r="F450" s="45">
        <f>34.445 * CHOOSE(CONTROL!$C$15, $E$9, 100%, $G$9) + CHOOSE(CONTROL!$C$38, 0.0278, 0)</f>
        <v>34.472799999999999</v>
      </c>
      <c r="G450" s="14">
        <f>32.5915 * CHOOSE(CONTROL!$C$15, $E$9, 100%, $G$9) + CHOOSE(CONTROL!$C$38, 0.0369, 0)</f>
        <v>32.628400000000006</v>
      </c>
      <c r="H450" s="14">
        <f>32.5915 * CHOOSE(CONTROL!$C$15, $E$9, 100%, $G$9) + CHOOSE(CONTROL!$C$38, 0.0369, 0)</f>
        <v>32.628400000000006</v>
      </c>
      <c r="I450" s="14">
        <f>32.593 * CHOOSE(CONTROL!$C$15, $E$9, 100%, $G$9) + CHOOSE(CONTROL!$C$38, 0.0369, 0)</f>
        <v>32.629900000000006</v>
      </c>
      <c r="J450" s="44">
        <f>280.5521</f>
        <v>280.5521</v>
      </c>
    </row>
    <row r="451" spans="1:10" ht="15.75" x14ac:dyDescent="0.25">
      <c r="A451" s="33">
        <v>54666</v>
      </c>
      <c r="B451" s="14">
        <f>34.7602 * CHOOSE(CONTROL!$C$15, $E$9, 100%, $G$9) + CHOOSE(CONTROL!$C$38, 0.0278, 0)</f>
        <v>34.787999999999997</v>
      </c>
      <c r="C451" s="14">
        <f>32.752 * CHOOSE(CONTROL!$C$15, $E$9, 100%, $G$9) + CHOOSE(CONTROL!$C$38, 0.0369, 0)</f>
        <v>32.788900000000005</v>
      </c>
      <c r="D451" s="14">
        <f>32.7442 * CHOOSE(CONTROL!$C$15, $E$9, 100%, $G$9) + CHOOSE(CONTROL!$C$38, 0.0369, 0)</f>
        <v>32.781100000000002</v>
      </c>
      <c r="E451" s="46">
        <f>34.6039 * CHOOSE(CONTROL!$C$15, $E$9, 100%, $G$9) + CHOOSE(CONTROL!$C$38, 0.0369, 0)</f>
        <v>34.640800000000006</v>
      </c>
      <c r="F451" s="45">
        <f>34.6039 * CHOOSE(CONTROL!$C$15, $E$9, 100%, $G$9) + CHOOSE(CONTROL!$C$38, 0.0278, 0)</f>
        <v>34.631700000000002</v>
      </c>
      <c r="G451" s="14">
        <f>32.7504 * CHOOSE(CONTROL!$C$15, $E$9, 100%, $G$9) + CHOOSE(CONTROL!$C$38, 0.0369, 0)</f>
        <v>32.787300000000002</v>
      </c>
      <c r="H451" s="14">
        <f>32.7504 * CHOOSE(CONTROL!$C$15, $E$9, 100%, $G$9) + CHOOSE(CONTROL!$C$38, 0.0369, 0)</f>
        <v>32.787300000000002</v>
      </c>
      <c r="I451" s="14">
        <f>32.752 * CHOOSE(CONTROL!$C$15, $E$9, 100%, $G$9) + CHOOSE(CONTROL!$C$38, 0.0369, 0)</f>
        <v>32.788900000000005</v>
      </c>
      <c r="J451" s="44">
        <f>274.021</f>
        <v>274.02100000000002</v>
      </c>
    </row>
    <row r="452" spans="1:10" ht="15.75" x14ac:dyDescent="0.25">
      <c r="A452" s="33">
        <v>54696</v>
      </c>
      <c r="B452" s="14">
        <f>35.1919 * CHOOSE(CONTROL!$C$15, $E$9, 100%, $G$9) + CHOOSE(CONTROL!$C$38, 0.0278, 0)</f>
        <v>35.219699999999996</v>
      </c>
      <c r="C452" s="14">
        <f>33.1837 * CHOOSE(CONTROL!$C$15, $E$9, 100%, $G$9) + CHOOSE(CONTROL!$C$38, 0.0369, 0)</f>
        <v>33.220600000000005</v>
      </c>
      <c r="D452" s="14">
        <f>33.1759 * CHOOSE(CONTROL!$C$15, $E$9, 100%, $G$9) + CHOOSE(CONTROL!$C$38, 0.0369, 0)</f>
        <v>33.212800000000001</v>
      </c>
      <c r="E452" s="46">
        <f>35.0356 * CHOOSE(CONTROL!$C$15, $E$9, 100%, $G$9) + CHOOSE(CONTROL!$C$38, 0.0369, 0)</f>
        <v>35.072500000000005</v>
      </c>
      <c r="F452" s="45">
        <f>35.0356 * CHOOSE(CONTROL!$C$15, $E$9, 100%, $G$9) + CHOOSE(CONTROL!$C$38, 0.0278, 0)</f>
        <v>35.063400000000001</v>
      </c>
      <c r="G452" s="14">
        <f>33.1821 * CHOOSE(CONTROL!$C$15, $E$9, 100%, $G$9) + CHOOSE(CONTROL!$C$38, 0.0369, 0)</f>
        <v>33.219000000000001</v>
      </c>
      <c r="H452" s="14">
        <f>33.1821 * CHOOSE(CONTROL!$C$15, $E$9, 100%, $G$9) + CHOOSE(CONTROL!$C$38, 0.0369, 0)</f>
        <v>33.219000000000001</v>
      </c>
      <c r="I452" s="14">
        <f>33.1837 * CHOOSE(CONTROL!$C$15, $E$9, 100%, $G$9) + CHOOSE(CONTROL!$C$38, 0.0369, 0)</f>
        <v>33.220600000000005</v>
      </c>
      <c r="J452" s="44">
        <f>264.913</f>
        <v>264.91300000000001</v>
      </c>
    </row>
    <row r="453" spans="1:10" ht="15.75" x14ac:dyDescent="0.25">
      <c r="A453" s="33">
        <v>54727</v>
      </c>
      <c r="B453" s="14">
        <f>35.5534 * CHOOSE(CONTROL!$C$15, $E$9, 100%, $G$9) + CHOOSE(CONTROL!$C$38, 0.0256, 0)</f>
        <v>35.579000000000001</v>
      </c>
      <c r="C453" s="14">
        <f>33.5452 * CHOOSE(CONTROL!$C$15, $E$9, 100%, $G$9) + CHOOSE(CONTROL!$C$38, 0.0347, 0)</f>
        <v>33.579900000000002</v>
      </c>
      <c r="D453" s="14">
        <f>33.5374 * CHOOSE(CONTROL!$C$15, $E$9, 100%, $G$9) + CHOOSE(CONTROL!$C$38, 0.0347, 0)</f>
        <v>33.572099999999999</v>
      </c>
      <c r="E453" s="46">
        <f>35.3972 * CHOOSE(CONTROL!$C$15, $E$9, 100%, $G$9) + CHOOSE(CONTROL!$C$38, 0.0347, 0)</f>
        <v>35.431899999999999</v>
      </c>
      <c r="F453" s="45">
        <f>35.3972 * CHOOSE(CONTROL!$C$15, $E$9, 100%, $G$9) + CHOOSE(CONTROL!$C$38, 0.0256, 0)</f>
        <v>35.422799999999995</v>
      </c>
      <c r="G453" s="14">
        <f>33.5437 * CHOOSE(CONTROL!$C$15, $E$9, 100%, $G$9) + CHOOSE(CONTROL!$C$38, 0.0347, 0)</f>
        <v>33.578400000000002</v>
      </c>
      <c r="H453" s="14">
        <f>33.5437 * CHOOSE(CONTROL!$C$15, $E$9, 100%, $G$9) + CHOOSE(CONTROL!$C$38, 0.0347, 0)</f>
        <v>33.578400000000002</v>
      </c>
      <c r="I453" s="14">
        <f>33.5452 * CHOOSE(CONTROL!$C$15, $E$9, 100%, $G$9) + CHOOSE(CONTROL!$C$38, 0.0347, 0)</f>
        <v>33.579900000000002</v>
      </c>
      <c r="J453" s="44">
        <f>255.752</f>
        <v>255.75200000000001</v>
      </c>
    </row>
    <row r="454" spans="1:10" ht="15.75" x14ac:dyDescent="0.25">
      <c r="A454" s="33">
        <v>54757</v>
      </c>
      <c r="B454" s="14">
        <f>35.8551 * CHOOSE(CONTROL!$C$15, $E$9, 100%, $G$9) + CHOOSE(CONTROL!$C$38, 0.0256, 0)</f>
        <v>35.880699999999997</v>
      </c>
      <c r="C454" s="14">
        <f>33.8469 * CHOOSE(CONTROL!$C$15, $E$9, 100%, $G$9) + CHOOSE(CONTROL!$C$38, 0.0347, 0)</f>
        <v>33.881599999999999</v>
      </c>
      <c r="D454" s="14">
        <f>33.8391 * CHOOSE(CONTROL!$C$15, $E$9, 100%, $G$9) + CHOOSE(CONTROL!$C$38, 0.0347, 0)</f>
        <v>33.873800000000003</v>
      </c>
      <c r="E454" s="46">
        <f>35.6989 * CHOOSE(CONTROL!$C$15, $E$9, 100%, $G$9) + CHOOSE(CONTROL!$C$38, 0.0347, 0)</f>
        <v>35.733600000000003</v>
      </c>
      <c r="F454" s="45">
        <f>35.6989 * CHOOSE(CONTROL!$C$15, $E$9, 100%, $G$9) + CHOOSE(CONTROL!$C$38, 0.0256, 0)</f>
        <v>35.724499999999999</v>
      </c>
      <c r="G454" s="14">
        <f>33.8454 * CHOOSE(CONTROL!$C$15, $E$9, 100%, $G$9) + CHOOSE(CONTROL!$C$38, 0.0347, 0)</f>
        <v>33.880099999999999</v>
      </c>
      <c r="H454" s="14">
        <f>33.8454 * CHOOSE(CONTROL!$C$15, $E$9, 100%, $G$9) + CHOOSE(CONTROL!$C$38, 0.0347, 0)</f>
        <v>33.880099999999999</v>
      </c>
      <c r="I454" s="14">
        <f>33.8469 * CHOOSE(CONTROL!$C$15, $E$9, 100%, $G$9) + CHOOSE(CONTROL!$C$38, 0.0347, 0)</f>
        <v>33.881599999999999</v>
      </c>
      <c r="J454" s="44">
        <f>253.9297</f>
        <v>253.9297</v>
      </c>
    </row>
    <row r="455" spans="1:10" ht="15.75" x14ac:dyDescent="0.25">
      <c r="A455" s="33">
        <v>54788</v>
      </c>
      <c r="B455" s="14">
        <f>36.7848 * CHOOSE(CONTROL!$C$15, $E$9, 100%, $G$9) + CHOOSE(CONTROL!$C$38, 0.0256, 0)</f>
        <v>36.810399999999994</v>
      </c>
      <c r="C455" s="14">
        <f>34.7766 * CHOOSE(CONTROL!$C$15, $E$9, 100%, $G$9) + CHOOSE(CONTROL!$C$38, 0.0347, 0)</f>
        <v>34.811300000000003</v>
      </c>
      <c r="D455" s="14">
        <f>34.7688 * CHOOSE(CONTROL!$C$15, $E$9, 100%, $G$9) + CHOOSE(CONTROL!$C$38, 0.0347, 0)</f>
        <v>34.8035</v>
      </c>
      <c r="E455" s="46">
        <f>36.6286 * CHOOSE(CONTROL!$C$15, $E$9, 100%, $G$9) + CHOOSE(CONTROL!$C$38, 0.0347, 0)</f>
        <v>36.6633</v>
      </c>
      <c r="F455" s="45">
        <f>36.6286 * CHOOSE(CONTROL!$C$15, $E$9, 100%, $G$9) + CHOOSE(CONTROL!$C$38, 0.0256, 0)</f>
        <v>36.654199999999996</v>
      </c>
      <c r="G455" s="14">
        <f>34.775 * CHOOSE(CONTROL!$C$15, $E$9, 100%, $G$9) + CHOOSE(CONTROL!$C$38, 0.0347, 0)</f>
        <v>34.809699999999999</v>
      </c>
      <c r="H455" s="14">
        <f>34.775 * CHOOSE(CONTROL!$C$15, $E$9, 100%, $G$9) + CHOOSE(CONTROL!$C$38, 0.0347, 0)</f>
        <v>34.809699999999999</v>
      </c>
      <c r="I455" s="14">
        <f>34.7766 * CHOOSE(CONTROL!$C$15, $E$9, 100%, $G$9) + CHOOSE(CONTROL!$C$38, 0.0347, 0)</f>
        <v>34.811300000000003</v>
      </c>
      <c r="J455" s="44">
        <f>246.3944</f>
        <v>246.39439999999999</v>
      </c>
    </row>
    <row r="456" spans="1:10" ht="15.75" x14ac:dyDescent="0.25">
      <c r="A456" s="33">
        <v>54819</v>
      </c>
      <c r="B456" s="14">
        <f>38.1119 * CHOOSE(CONTROL!$C$15, $E$9, 100%, $G$9) + CHOOSE(CONTROL!$C$38, 0.0256, 0)</f>
        <v>38.137499999999996</v>
      </c>
      <c r="C456" s="14">
        <f>36.0726 * CHOOSE(CONTROL!$C$15, $E$9, 100%, $G$9) + CHOOSE(CONTROL!$C$38, 0.0347, 0)</f>
        <v>36.107300000000002</v>
      </c>
      <c r="D456" s="14">
        <f>36.0648 * CHOOSE(CONTROL!$C$15, $E$9, 100%, $G$9) + CHOOSE(CONTROL!$C$38, 0.0347, 0)</f>
        <v>36.099499999999999</v>
      </c>
      <c r="E456" s="46">
        <f>37.9556 * CHOOSE(CONTROL!$C$15, $E$9, 100%, $G$9) + CHOOSE(CONTROL!$C$38, 0.0347, 0)</f>
        <v>37.990299999999998</v>
      </c>
      <c r="F456" s="45">
        <f>37.9556 * CHOOSE(CONTROL!$C$15, $E$9, 100%, $G$9) + CHOOSE(CONTROL!$C$38, 0.0256, 0)</f>
        <v>37.981199999999994</v>
      </c>
      <c r="G456" s="14">
        <f>36.071 * CHOOSE(CONTROL!$C$15, $E$9, 100%, $G$9) + CHOOSE(CONTROL!$C$38, 0.0347, 0)</f>
        <v>36.105699999999999</v>
      </c>
      <c r="H456" s="14">
        <f>36.071 * CHOOSE(CONTROL!$C$15, $E$9, 100%, $G$9) + CHOOSE(CONTROL!$C$38, 0.0347, 0)</f>
        <v>36.105699999999999</v>
      </c>
      <c r="I456" s="14">
        <f>36.0726 * CHOOSE(CONTROL!$C$15, $E$9, 100%, $G$9) + CHOOSE(CONTROL!$C$38, 0.0347, 0)</f>
        <v>36.107300000000002</v>
      </c>
      <c r="J456" s="44">
        <f>246.0766</f>
        <v>246.07660000000001</v>
      </c>
    </row>
    <row r="457" spans="1:10" ht="15.75" x14ac:dyDescent="0.25">
      <c r="A457" s="33">
        <v>54847</v>
      </c>
      <c r="B457" s="14">
        <f>38.4562 * CHOOSE(CONTROL!$C$15, $E$9, 100%, $G$9) + CHOOSE(CONTROL!$C$38, 0.0256, 0)</f>
        <v>38.4818</v>
      </c>
      <c r="C457" s="14">
        <f>36.4169 * CHOOSE(CONTROL!$C$15, $E$9, 100%, $G$9) + CHOOSE(CONTROL!$C$38, 0.0347, 0)</f>
        <v>36.451599999999999</v>
      </c>
      <c r="D457" s="14">
        <f>36.4091 * CHOOSE(CONTROL!$C$15, $E$9, 100%, $G$9) + CHOOSE(CONTROL!$C$38, 0.0347, 0)</f>
        <v>36.443800000000003</v>
      </c>
      <c r="E457" s="46">
        <f>38.3 * CHOOSE(CONTROL!$C$15, $E$9, 100%, $G$9) + CHOOSE(CONTROL!$C$38, 0.0347, 0)</f>
        <v>38.334699999999998</v>
      </c>
      <c r="F457" s="45">
        <f>38.3 * CHOOSE(CONTROL!$C$15, $E$9, 100%, $G$9) + CHOOSE(CONTROL!$C$38, 0.0256, 0)</f>
        <v>38.325599999999994</v>
      </c>
      <c r="G457" s="14">
        <f>36.4153 * CHOOSE(CONTROL!$C$15, $E$9, 100%, $G$9) + CHOOSE(CONTROL!$C$38, 0.0347, 0)</f>
        <v>36.450000000000003</v>
      </c>
      <c r="H457" s="14">
        <f>36.4153 * CHOOSE(CONTROL!$C$15, $E$9, 100%, $G$9) + CHOOSE(CONTROL!$C$38, 0.0347, 0)</f>
        <v>36.450000000000003</v>
      </c>
      <c r="I457" s="14">
        <f>36.4169 * CHOOSE(CONTROL!$C$15, $E$9, 100%, $G$9) + CHOOSE(CONTROL!$C$38, 0.0347, 0)</f>
        <v>36.451599999999999</v>
      </c>
      <c r="J457" s="44">
        <f>245.3926</f>
        <v>245.39259999999999</v>
      </c>
    </row>
    <row r="458" spans="1:10" ht="15.75" x14ac:dyDescent="0.25">
      <c r="A458" s="33">
        <v>54878</v>
      </c>
      <c r="B458" s="14">
        <f>37.6592 * CHOOSE(CONTROL!$C$15, $E$9, 100%, $G$9) + CHOOSE(CONTROL!$C$38, 0.0256, 0)</f>
        <v>37.684799999999996</v>
      </c>
      <c r="C458" s="14">
        <f>35.6199 * CHOOSE(CONTROL!$C$15, $E$9, 100%, $G$9) + CHOOSE(CONTROL!$C$38, 0.0347, 0)</f>
        <v>35.654600000000002</v>
      </c>
      <c r="D458" s="14">
        <f>35.612 * CHOOSE(CONTROL!$C$15, $E$9, 100%, $G$9) + CHOOSE(CONTROL!$C$38, 0.0347, 0)</f>
        <v>35.646700000000003</v>
      </c>
      <c r="E458" s="46">
        <f>37.5029 * CHOOSE(CONTROL!$C$15, $E$9, 100%, $G$9) + CHOOSE(CONTROL!$C$38, 0.0347, 0)</f>
        <v>37.537599999999998</v>
      </c>
      <c r="F458" s="45">
        <f>37.5029 * CHOOSE(CONTROL!$C$15, $E$9, 100%, $G$9) + CHOOSE(CONTROL!$C$38, 0.0256, 0)</f>
        <v>37.528499999999994</v>
      </c>
      <c r="G458" s="14">
        <f>35.6183 * CHOOSE(CONTROL!$C$15, $E$9, 100%, $G$9) + CHOOSE(CONTROL!$C$38, 0.0347, 0)</f>
        <v>35.652999999999999</v>
      </c>
      <c r="H458" s="14">
        <f>35.6183 * CHOOSE(CONTROL!$C$15, $E$9, 100%, $G$9) + CHOOSE(CONTROL!$C$38, 0.0347, 0)</f>
        <v>35.652999999999999</v>
      </c>
      <c r="I458" s="14">
        <f>35.6199 * CHOOSE(CONTROL!$C$15, $E$9, 100%, $G$9) + CHOOSE(CONTROL!$C$38, 0.0347, 0)</f>
        <v>35.654600000000002</v>
      </c>
      <c r="J458" s="44">
        <f>258.3262</f>
        <v>258.32619999999997</v>
      </c>
    </row>
    <row r="459" spans="1:10" ht="15.75" x14ac:dyDescent="0.25">
      <c r="A459" s="33">
        <v>54908</v>
      </c>
      <c r="B459" s="14">
        <f>36.8869 * CHOOSE(CONTROL!$C$15, $E$9, 100%, $G$9) + CHOOSE(CONTROL!$C$38, 0.0256, 0)</f>
        <v>36.912499999999994</v>
      </c>
      <c r="C459" s="14">
        <f>34.8475 * CHOOSE(CONTROL!$C$15, $E$9, 100%, $G$9) + CHOOSE(CONTROL!$C$38, 0.0347, 0)</f>
        <v>34.882199999999997</v>
      </c>
      <c r="D459" s="14">
        <f>34.8397 * CHOOSE(CONTROL!$C$15, $E$9, 100%, $G$9) + CHOOSE(CONTROL!$C$38, 0.0347, 0)</f>
        <v>34.874400000000001</v>
      </c>
      <c r="E459" s="46">
        <f>36.7306 * CHOOSE(CONTROL!$C$15, $E$9, 100%, $G$9) + CHOOSE(CONTROL!$C$38, 0.0347, 0)</f>
        <v>36.765300000000003</v>
      </c>
      <c r="F459" s="45">
        <f>36.7306 * CHOOSE(CONTROL!$C$15, $E$9, 100%, $G$9) + CHOOSE(CONTROL!$C$38, 0.0256, 0)</f>
        <v>36.7562</v>
      </c>
      <c r="G459" s="14">
        <f>34.846 * CHOOSE(CONTROL!$C$15, $E$9, 100%, $G$9) + CHOOSE(CONTROL!$C$38, 0.0347, 0)</f>
        <v>34.880699999999997</v>
      </c>
      <c r="H459" s="14">
        <f>34.846 * CHOOSE(CONTROL!$C$15, $E$9, 100%, $G$9) + CHOOSE(CONTROL!$C$38, 0.0347, 0)</f>
        <v>34.880699999999997</v>
      </c>
      <c r="I459" s="14">
        <f>34.8475 * CHOOSE(CONTROL!$C$15, $E$9, 100%, $G$9) + CHOOSE(CONTROL!$C$38, 0.0347, 0)</f>
        <v>34.882199999999997</v>
      </c>
      <c r="J459" s="44">
        <f>275.098</f>
        <v>275.09800000000001</v>
      </c>
    </row>
    <row r="460" spans="1:10" ht="15.75" x14ac:dyDescent="0.25">
      <c r="A460" s="33">
        <v>54939</v>
      </c>
      <c r="B460" s="14">
        <f>36.0819 * CHOOSE(CONTROL!$C$15, $E$9, 100%, $G$9) + CHOOSE(CONTROL!$C$38, 0.0278, 0)</f>
        <v>36.109699999999997</v>
      </c>
      <c r="C460" s="14">
        <f>34.0426 * CHOOSE(CONTROL!$C$15, $E$9, 100%, $G$9) + CHOOSE(CONTROL!$C$38, 0.0369, 0)</f>
        <v>34.079500000000003</v>
      </c>
      <c r="D460" s="14">
        <f>34.0348 * CHOOSE(CONTROL!$C$15, $E$9, 100%, $G$9) + CHOOSE(CONTROL!$C$38, 0.0369, 0)</f>
        <v>34.0717</v>
      </c>
      <c r="E460" s="46">
        <f>35.9256 * CHOOSE(CONTROL!$C$15, $E$9, 100%, $G$9) + CHOOSE(CONTROL!$C$38, 0.0369, 0)</f>
        <v>35.962500000000006</v>
      </c>
      <c r="F460" s="45">
        <f>35.9256 * CHOOSE(CONTROL!$C$15, $E$9, 100%, $G$9) + CHOOSE(CONTROL!$C$38, 0.0278, 0)</f>
        <v>35.953400000000002</v>
      </c>
      <c r="G460" s="14">
        <f>34.041 * CHOOSE(CONTROL!$C$15, $E$9, 100%, $G$9) + CHOOSE(CONTROL!$C$38, 0.0369, 0)</f>
        <v>34.0779</v>
      </c>
      <c r="H460" s="14">
        <f>34.041 * CHOOSE(CONTROL!$C$15, $E$9, 100%, $G$9) + CHOOSE(CONTROL!$C$38, 0.0369, 0)</f>
        <v>34.0779</v>
      </c>
      <c r="I460" s="14">
        <f>34.0426 * CHOOSE(CONTROL!$C$15, $E$9, 100%, $G$9) + CHOOSE(CONTROL!$C$38, 0.0369, 0)</f>
        <v>34.079500000000003</v>
      </c>
      <c r="J460" s="44">
        <f>284.3298</f>
        <v>284.32979999999998</v>
      </c>
    </row>
    <row r="461" spans="1:10" ht="15.75" x14ac:dyDescent="0.25">
      <c r="A461" s="33">
        <v>54969</v>
      </c>
      <c r="B461" s="14">
        <f>35.5176 * CHOOSE(CONTROL!$C$15, $E$9, 100%, $G$9) + CHOOSE(CONTROL!$C$38, 0.0278, 0)</f>
        <v>35.545400000000001</v>
      </c>
      <c r="C461" s="14">
        <f>33.4782 * CHOOSE(CONTROL!$C$15, $E$9, 100%, $G$9) + CHOOSE(CONTROL!$C$38, 0.0369, 0)</f>
        <v>33.515100000000004</v>
      </c>
      <c r="D461" s="14">
        <f>33.4704 * CHOOSE(CONTROL!$C$15, $E$9, 100%, $G$9) + CHOOSE(CONTROL!$C$38, 0.0369, 0)</f>
        <v>33.507300000000001</v>
      </c>
      <c r="E461" s="46">
        <f>35.3613 * CHOOSE(CONTROL!$C$15, $E$9, 100%, $G$9) + CHOOSE(CONTROL!$C$38, 0.0369, 0)</f>
        <v>35.398200000000003</v>
      </c>
      <c r="F461" s="45">
        <f>35.3613 * CHOOSE(CONTROL!$C$15, $E$9, 100%, $G$9) + CHOOSE(CONTROL!$C$38, 0.0278, 0)</f>
        <v>35.389099999999999</v>
      </c>
      <c r="G461" s="14">
        <f>33.4767 * CHOOSE(CONTROL!$C$15, $E$9, 100%, $G$9) + CHOOSE(CONTROL!$C$38, 0.0369, 0)</f>
        <v>33.513600000000004</v>
      </c>
      <c r="H461" s="14">
        <f>33.4767 * CHOOSE(CONTROL!$C$15, $E$9, 100%, $G$9) + CHOOSE(CONTROL!$C$38, 0.0369, 0)</f>
        <v>33.513600000000004</v>
      </c>
      <c r="I461" s="14">
        <f>33.4782 * CHOOSE(CONTROL!$C$15, $E$9, 100%, $G$9) + CHOOSE(CONTROL!$C$38, 0.0369, 0)</f>
        <v>33.515100000000004</v>
      </c>
      <c r="J461" s="44">
        <f>288.4267</f>
        <v>288.42669999999998</v>
      </c>
    </row>
    <row r="462" spans="1:10" ht="15.75" x14ac:dyDescent="0.25">
      <c r="A462" s="33">
        <v>55000</v>
      </c>
      <c r="B462" s="14">
        <f>35.1955 * CHOOSE(CONTROL!$C$15, $E$9, 100%, $G$9) + CHOOSE(CONTROL!$C$38, 0.0278, 0)</f>
        <v>35.223300000000002</v>
      </c>
      <c r="C462" s="14">
        <f>33.1562 * CHOOSE(CONTROL!$C$15, $E$9, 100%, $G$9) + CHOOSE(CONTROL!$C$38, 0.0369, 0)</f>
        <v>33.193100000000001</v>
      </c>
      <c r="D462" s="14">
        <f>33.1484 * CHOOSE(CONTROL!$C$15, $E$9, 100%, $G$9) + CHOOSE(CONTROL!$C$38, 0.0369, 0)</f>
        <v>33.185300000000005</v>
      </c>
      <c r="E462" s="46">
        <f>35.0393 * CHOOSE(CONTROL!$C$15, $E$9, 100%, $G$9) + CHOOSE(CONTROL!$C$38, 0.0369, 0)</f>
        <v>35.0762</v>
      </c>
      <c r="F462" s="45">
        <f>35.0393 * CHOOSE(CONTROL!$C$15, $E$9, 100%, $G$9) + CHOOSE(CONTROL!$C$38, 0.0278, 0)</f>
        <v>35.067099999999996</v>
      </c>
      <c r="G462" s="14">
        <f>33.1546 * CHOOSE(CONTROL!$C$15, $E$9, 100%, $G$9) + CHOOSE(CONTROL!$C$38, 0.0369, 0)</f>
        <v>33.191500000000005</v>
      </c>
      <c r="H462" s="14">
        <f>33.1546 * CHOOSE(CONTROL!$C$15, $E$9, 100%, $G$9) + CHOOSE(CONTROL!$C$38, 0.0369, 0)</f>
        <v>33.191500000000005</v>
      </c>
      <c r="I462" s="14">
        <f>33.1562 * CHOOSE(CONTROL!$C$15, $E$9, 100%, $G$9) + CHOOSE(CONTROL!$C$38, 0.0369, 0)</f>
        <v>33.193100000000001</v>
      </c>
      <c r="J462" s="44">
        <f>287.0778</f>
        <v>287.07780000000002</v>
      </c>
    </row>
    <row r="463" spans="1:10" ht="15.75" x14ac:dyDescent="0.25">
      <c r="A463" s="33">
        <v>55031</v>
      </c>
      <c r="B463" s="14">
        <f>35.3544 * CHOOSE(CONTROL!$C$15, $E$9, 100%, $G$9) + CHOOSE(CONTROL!$C$38, 0.0278, 0)</f>
        <v>35.382199999999997</v>
      </c>
      <c r="C463" s="14">
        <f>33.3151 * CHOOSE(CONTROL!$C$15, $E$9, 100%, $G$9) + CHOOSE(CONTROL!$C$38, 0.0369, 0)</f>
        <v>33.352000000000004</v>
      </c>
      <c r="D463" s="14">
        <f>33.3073 * CHOOSE(CONTROL!$C$15, $E$9, 100%, $G$9) + CHOOSE(CONTROL!$C$38, 0.0369, 0)</f>
        <v>33.344200000000001</v>
      </c>
      <c r="E463" s="46">
        <f>35.1982 * CHOOSE(CONTROL!$C$15, $E$9, 100%, $G$9) + CHOOSE(CONTROL!$C$38, 0.0369, 0)</f>
        <v>35.235100000000003</v>
      </c>
      <c r="F463" s="45">
        <f>35.1982 * CHOOSE(CONTROL!$C$15, $E$9, 100%, $G$9) + CHOOSE(CONTROL!$C$38, 0.0278, 0)</f>
        <v>35.225999999999999</v>
      </c>
      <c r="G463" s="14">
        <f>33.3136 * CHOOSE(CONTROL!$C$15, $E$9, 100%, $G$9) + CHOOSE(CONTROL!$C$38, 0.0369, 0)</f>
        <v>33.350500000000004</v>
      </c>
      <c r="H463" s="14">
        <f>33.3136 * CHOOSE(CONTROL!$C$15, $E$9, 100%, $G$9) + CHOOSE(CONTROL!$C$38, 0.0369, 0)</f>
        <v>33.350500000000004</v>
      </c>
      <c r="I463" s="14">
        <f>33.3151 * CHOOSE(CONTROL!$C$15, $E$9, 100%, $G$9) + CHOOSE(CONTROL!$C$38, 0.0369, 0)</f>
        <v>33.352000000000004</v>
      </c>
      <c r="J463" s="44">
        <f>280.3947</f>
        <v>280.3947</v>
      </c>
    </row>
    <row r="464" spans="1:10" ht="15.75" x14ac:dyDescent="0.25">
      <c r="A464" s="33">
        <v>55061</v>
      </c>
      <c r="B464" s="14">
        <f>35.7862 * CHOOSE(CONTROL!$C$15, $E$9, 100%, $G$9) + CHOOSE(CONTROL!$C$38, 0.0278, 0)</f>
        <v>35.814</v>
      </c>
      <c r="C464" s="14">
        <f>33.7468 * CHOOSE(CONTROL!$C$15, $E$9, 100%, $G$9) + CHOOSE(CONTROL!$C$38, 0.0369, 0)</f>
        <v>33.783700000000003</v>
      </c>
      <c r="D464" s="14">
        <f>33.739 * CHOOSE(CONTROL!$C$15, $E$9, 100%, $G$9) + CHOOSE(CONTROL!$C$38, 0.0369, 0)</f>
        <v>33.7759</v>
      </c>
      <c r="E464" s="46">
        <f>35.6299 * CHOOSE(CONTROL!$C$15, $E$9, 100%, $G$9) + CHOOSE(CONTROL!$C$38, 0.0369, 0)</f>
        <v>35.666800000000002</v>
      </c>
      <c r="F464" s="45">
        <f>35.6299 * CHOOSE(CONTROL!$C$15, $E$9, 100%, $G$9) + CHOOSE(CONTROL!$C$38, 0.0278, 0)</f>
        <v>35.657699999999998</v>
      </c>
      <c r="G464" s="14">
        <f>33.7453 * CHOOSE(CONTROL!$C$15, $E$9, 100%, $G$9) + CHOOSE(CONTROL!$C$38, 0.0369, 0)</f>
        <v>33.782200000000003</v>
      </c>
      <c r="H464" s="14">
        <f>33.7453 * CHOOSE(CONTROL!$C$15, $E$9, 100%, $G$9) + CHOOSE(CONTROL!$C$38, 0.0369, 0)</f>
        <v>33.782200000000003</v>
      </c>
      <c r="I464" s="14">
        <f>33.7468 * CHOOSE(CONTROL!$C$15, $E$9, 100%, $G$9) + CHOOSE(CONTROL!$C$38, 0.0369, 0)</f>
        <v>33.783700000000003</v>
      </c>
      <c r="J464" s="44">
        <f>271.0749</f>
        <v>271.07490000000001</v>
      </c>
    </row>
    <row r="465" spans="1:10" ht="15.75" x14ac:dyDescent="0.25">
      <c r="A465" s="33">
        <v>55092</v>
      </c>
      <c r="B465" s="14">
        <f>36.1477 * CHOOSE(CONTROL!$C$15, $E$9, 100%, $G$9) + CHOOSE(CONTROL!$C$38, 0.0256, 0)</f>
        <v>36.173299999999998</v>
      </c>
      <c r="C465" s="14">
        <f>34.1084 * CHOOSE(CONTROL!$C$15, $E$9, 100%, $G$9) + CHOOSE(CONTROL!$C$38, 0.0347, 0)</f>
        <v>34.143100000000004</v>
      </c>
      <c r="D465" s="14">
        <f>34.1006 * CHOOSE(CONTROL!$C$15, $E$9, 100%, $G$9) + CHOOSE(CONTROL!$C$38, 0.0347, 0)</f>
        <v>34.135300000000001</v>
      </c>
      <c r="E465" s="46">
        <f>35.9915 * CHOOSE(CONTROL!$C$15, $E$9, 100%, $G$9) + CHOOSE(CONTROL!$C$38, 0.0347, 0)</f>
        <v>36.026200000000003</v>
      </c>
      <c r="F465" s="45">
        <f>35.9915 * CHOOSE(CONTROL!$C$15, $E$9, 100%, $G$9) + CHOOSE(CONTROL!$C$38, 0.0256, 0)</f>
        <v>36.017099999999999</v>
      </c>
      <c r="G465" s="14">
        <f>34.1068 * CHOOSE(CONTROL!$C$15, $E$9, 100%, $G$9) + CHOOSE(CONTROL!$C$38, 0.0347, 0)</f>
        <v>34.141500000000001</v>
      </c>
      <c r="H465" s="14">
        <f>34.1068 * CHOOSE(CONTROL!$C$15, $E$9, 100%, $G$9) + CHOOSE(CONTROL!$C$38, 0.0347, 0)</f>
        <v>34.141500000000001</v>
      </c>
      <c r="I465" s="14">
        <f>34.1084 * CHOOSE(CONTROL!$C$15, $E$9, 100%, $G$9) + CHOOSE(CONTROL!$C$38, 0.0347, 0)</f>
        <v>34.143100000000004</v>
      </c>
      <c r="J465" s="44">
        <f>261.7008</f>
        <v>261.70080000000002</v>
      </c>
    </row>
    <row r="466" spans="1:10" ht="15.75" x14ac:dyDescent="0.25">
      <c r="A466" s="33">
        <v>55122</v>
      </c>
      <c r="B466" s="14">
        <f>36.4494 * CHOOSE(CONTROL!$C$15, $E$9, 100%, $G$9) + CHOOSE(CONTROL!$C$38, 0.0256, 0)</f>
        <v>36.474999999999994</v>
      </c>
      <c r="C466" s="14">
        <f>34.4101 * CHOOSE(CONTROL!$C$15, $E$9, 100%, $G$9) + CHOOSE(CONTROL!$C$38, 0.0347, 0)</f>
        <v>34.444800000000001</v>
      </c>
      <c r="D466" s="14">
        <f>34.4023 * CHOOSE(CONTROL!$C$15, $E$9, 100%, $G$9) + CHOOSE(CONTROL!$C$38, 0.0347, 0)</f>
        <v>34.436999999999998</v>
      </c>
      <c r="E466" s="46">
        <f>36.2932 * CHOOSE(CONTROL!$C$15, $E$9, 100%, $G$9) + CHOOSE(CONTROL!$C$38, 0.0347, 0)</f>
        <v>36.3279</v>
      </c>
      <c r="F466" s="45">
        <f>36.2932 * CHOOSE(CONTROL!$C$15, $E$9, 100%, $G$9) + CHOOSE(CONTROL!$C$38, 0.0256, 0)</f>
        <v>36.318799999999996</v>
      </c>
      <c r="G466" s="14">
        <f>34.4085 * CHOOSE(CONTROL!$C$15, $E$9, 100%, $G$9) + CHOOSE(CONTROL!$C$38, 0.0347, 0)</f>
        <v>34.443199999999997</v>
      </c>
      <c r="H466" s="14">
        <f>34.4085 * CHOOSE(CONTROL!$C$15, $E$9, 100%, $G$9) + CHOOSE(CONTROL!$C$38, 0.0347, 0)</f>
        <v>34.443199999999997</v>
      </c>
      <c r="I466" s="14">
        <f>34.4101 * CHOOSE(CONTROL!$C$15, $E$9, 100%, $G$9) + CHOOSE(CONTROL!$C$38, 0.0347, 0)</f>
        <v>34.444800000000001</v>
      </c>
      <c r="J466" s="44">
        <f>259.8361</f>
        <v>259.83609999999999</v>
      </c>
    </row>
    <row r="467" spans="1:10" ht="15.75" x14ac:dyDescent="0.25">
      <c r="A467" s="33">
        <v>55153</v>
      </c>
      <c r="B467" s="14">
        <f>37.3791 * CHOOSE(CONTROL!$C$15, $E$9, 100%, $G$9) + CHOOSE(CONTROL!$C$38, 0.0256, 0)</f>
        <v>37.404699999999998</v>
      </c>
      <c r="C467" s="14">
        <f>35.3398 * CHOOSE(CONTROL!$C$15, $E$9, 100%, $G$9) + CHOOSE(CONTROL!$C$38, 0.0347, 0)</f>
        <v>35.374499999999998</v>
      </c>
      <c r="D467" s="14">
        <f>35.332 * CHOOSE(CONTROL!$C$15, $E$9, 100%, $G$9) + CHOOSE(CONTROL!$C$38, 0.0347, 0)</f>
        <v>35.366700000000002</v>
      </c>
      <c r="E467" s="46">
        <f>37.2228 * CHOOSE(CONTROL!$C$15, $E$9, 100%, $G$9) + CHOOSE(CONTROL!$C$38, 0.0347, 0)</f>
        <v>37.2575</v>
      </c>
      <c r="F467" s="45">
        <f>37.2228 * CHOOSE(CONTROL!$C$15, $E$9, 100%, $G$9) + CHOOSE(CONTROL!$C$38, 0.0256, 0)</f>
        <v>37.248399999999997</v>
      </c>
      <c r="G467" s="14">
        <f>35.3382 * CHOOSE(CONTROL!$C$15, $E$9, 100%, $G$9) + CHOOSE(CONTROL!$C$38, 0.0347, 0)</f>
        <v>35.372900000000001</v>
      </c>
      <c r="H467" s="14">
        <f>35.3382 * CHOOSE(CONTROL!$C$15, $E$9, 100%, $G$9) + CHOOSE(CONTROL!$C$38, 0.0347, 0)</f>
        <v>35.372900000000001</v>
      </c>
      <c r="I467" s="14">
        <f>35.3398 * CHOOSE(CONTROL!$C$15, $E$9, 100%, $G$9) + CHOOSE(CONTROL!$C$38, 0.0347, 0)</f>
        <v>35.374499999999998</v>
      </c>
      <c r="J467" s="44">
        <f>252.1255</f>
        <v>252.12549999999999</v>
      </c>
    </row>
    <row r="468" spans="1:10" ht="15.75" x14ac:dyDescent="0.25">
      <c r="A468" s="33">
        <v>55184</v>
      </c>
      <c r="B468" s="14">
        <f>38.7161 * CHOOSE(CONTROL!$C$15, $E$9, 100%, $G$9) + CHOOSE(CONTROL!$C$38, 0.0256, 0)</f>
        <v>38.741699999999994</v>
      </c>
      <c r="C468" s="14">
        <f>36.6452 * CHOOSE(CONTROL!$C$15, $E$9, 100%, $G$9) + CHOOSE(CONTROL!$C$38, 0.0347, 0)</f>
        <v>36.679900000000004</v>
      </c>
      <c r="D468" s="14">
        <f>36.6374 * CHOOSE(CONTROL!$C$15, $E$9, 100%, $G$9) + CHOOSE(CONTROL!$C$38, 0.0347, 0)</f>
        <v>36.6721</v>
      </c>
      <c r="E468" s="46">
        <f>38.5599 * CHOOSE(CONTROL!$C$15, $E$9, 100%, $G$9) + CHOOSE(CONTROL!$C$38, 0.0347, 0)</f>
        <v>38.5946</v>
      </c>
      <c r="F468" s="45">
        <f>38.5599 * CHOOSE(CONTROL!$C$15, $E$9, 100%, $G$9) + CHOOSE(CONTROL!$C$38, 0.0256, 0)</f>
        <v>38.585499999999996</v>
      </c>
      <c r="G468" s="14">
        <f>36.6436 * CHOOSE(CONTROL!$C$15, $E$9, 100%, $G$9) + CHOOSE(CONTROL!$C$38, 0.0347, 0)</f>
        <v>36.6783</v>
      </c>
      <c r="H468" s="14">
        <f>36.6436 * CHOOSE(CONTROL!$C$15, $E$9, 100%, $G$9) + CHOOSE(CONTROL!$C$38, 0.0347, 0)</f>
        <v>36.6783</v>
      </c>
      <c r="I468" s="14">
        <f>36.6452 * CHOOSE(CONTROL!$C$15, $E$9, 100%, $G$9) + CHOOSE(CONTROL!$C$38, 0.0347, 0)</f>
        <v>36.679900000000004</v>
      </c>
      <c r="J468" s="44">
        <f>251.8004</f>
        <v>251.8004</v>
      </c>
    </row>
    <row r="469" spans="1:10" ht="15.75" x14ac:dyDescent="0.25">
      <c r="A469" s="33">
        <v>55212</v>
      </c>
      <c r="B469" s="14">
        <f>39.0605 * CHOOSE(CONTROL!$C$15, $E$9, 100%, $G$9) + CHOOSE(CONTROL!$C$38, 0.0256, 0)</f>
        <v>39.086099999999995</v>
      </c>
      <c r="C469" s="14">
        <f>36.9895 * CHOOSE(CONTROL!$C$15, $E$9, 100%, $G$9) + CHOOSE(CONTROL!$C$38, 0.0347, 0)</f>
        <v>37.0242</v>
      </c>
      <c r="D469" s="14">
        <f>36.9817 * CHOOSE(CONTROL!$C$15, $E$9, 100%, $G$9) + CHOOSE(CONTROL!$C$38, 0.0347, 0)</f>
        <v>37.016399999999997</v>
      </c>
      <c r="E469" s="46">
        <f>38.9042 * CHOOSE(CONTROL!$C$15, $E$9, 100%, $G$9) + CHOOSE(CONTROL!$C$38, 0.0347, 0)</f>
        <v>38.938900000000004</v>
      </c>
      <c r="F469" s="45">
        <f>38.9042 * CHOOSE(CONTROL!$C$15, $E$9, 100%, $G$9) + CHOOSE(CONTROL!$C$38, 0.0256, 0)</f>
        <v>38.9298</v>
      </c>
      <c r="G469" s="14">
        <f>36.9879 * CHOOSE(CONTROL!$C$15, $E$9, 100%, $G$9) + CHOOSE(CONTROL!$C$38, 0.0347, 0)</f>
        <v>37.022600000000004</v>
      </c>
      <c r="H469" s="14">
        <f>36.9879 * CHOOSE(CONTROL!$C$15, $E$9, 100%, $G$9) + CHOOSE(CONTROL!$C$38, 0.0347, 0)</f>
        <v>37.022600000000004</v>
      </c>
      <c r="I469" s="14">
        <f>36.9895 * CHOOSE(CONTROL!$C$15, $E$9, 100%, $G$9) + CHOOSE(CONTROL!$C$38, 0.0347, 0)</f>
        <v>37.0242</v>
      </c>
      <c r="J469" s="44">
        <f>251.1004</f>
        <v>251.10040000000001</v>
      </c>
    </row>
    <row r="470" spans="1:10" ht="15.75" x14ac:dyDescent="0.25">
      <c r="A470" s="33">
        <v>55243</v>
      </c>
      <c r="B470" s="14">
        <f>38.2634 * CHOOSE(CONTROL!$C$15, $E$9, 100%, $G$9) + CHOOSE(CONTROL!$C$38, 0.0256, 0)</f>
        <v>38.288999999999994</v>
      </c>
      <c r="C470" s="14">
        <f>36.1925 * CHOOSE(CONTROL!$C$15, $E$9, 100%, $G$9) + CHOOSE(CONTROL!$C$38, 0.0347, 0)</f>
        <v>36.227200000000003</v>
      </c>
      <c r="D470" s="14">
        <f>36.1847 * CHOOSE(CONTROL!$C$15, $E$9, 100%, $G$9) + CHOOSE(CONTROL!$C$38, 0.0347, 0)</f>
        <v>36.2194</v>
      </c>
      <c r="E470" s="46">
        <f>38.1072 * CHOOSE(CONTROL!$C$15, $E$9, 100%, $G$9) + CHOOSE(CONTROL!$C$38, 0.0347, 0)</f>
        <v>38.1419</v>
      </c>
      <c r="F470" s="45">
        <f>38.1072 * CHOOSE(CONTROL!$C$15, $E$9, 100%, $G$9) + CHOOSE(CONTROL!$C$38, 0.0256, 0)</f>
        <v>38.132799999999996</v>
      </c>
      <c r="G470" s="14">
        <f>36.1909 * CHOOSE(CONTROL!$C$15, $E$9, 100%, $G$9) + CHOOSE(CONTROL!$C$38, 0.0347, 0)</f>
        <v>36.2256</v>
      </c>
      <c r="H470" s="14">
        <f>36.1909 * CHOOSE(CONTROL!$C$15, $E$9, 100%, $G$9) + CHOOSE(CONTROL!$C$38, 0.0347, 0)</f>
        <v>36.2256</v>
      </c>
      <c r="I470" s="14">
        <f>36.1925 * CHOOSE(CONTROL!$C$15, $E$9, 100%, $G$9) + CHOOSE(CONTROL!$C$38, 0.0347, 0)</f>
        <v>36.227200000000003</v>
      </c>
      <c r="J470" s="44">
        <f>264.3349</f>
        <v>264.3349</v>
      </c>
    </row>
    <row r="471" spans="1:10" ht="15.75" x14ac:dyDescent="0.25">
      <c r="A471" s="33">
        <v>55273</v>
      </c>
      <c r="B471" s="14">
        <f>37.4911 * CHOOSE(CONTROL!$C$15, $E$9, 100%, $G$9) + CHOOSE(CONTROL!$C$38, 0.0256, 0)</f>
        <v>37.5167</v>
      </c>
      <c r="C471" s="14">
        <f>35.4202 * CHOOSE(CONTROL!$C$15, $E$9, 100%, $G$9) + CHOOSE(CONTROL!$C$38, 0.0347, 0)</f>
        <v>35.454900000000002</v>
      </c>
      <c r="D471" s="14">
        <f>35.4124 * CHOOSE(CONTROL!$C$15, $E$9, 100%, $G$9) + CHOOSE(CONTROL!$C$38, 0.0347, 0)</f>
        <v>35.447099999999999</v>
      </c>
      <c r="E471" s="46">
        <f>37.3349 * CHOOSE(CONTROL!$C$15, $E$9, 100%, $G$9) + CHOOSE(CONTROL!$C$38, 0.0347, 0)</f>
        <v>37.369599999999998</v>
      </c>
      <c r="F471" s="45">
        <f>37.3349 * CHOOSE(CONTROL!$C$15, $E$9, 100%, $G$9) + CHOOSE(CONTROL!$C$38, 0.0256, 0)</f>
        <v>37.360499999999995</v>
      </c>
      <c r="G471" s="14">
        <f>35.4186 * CHOOSE(CONTROL!$C$15, $E$9, 100%, $G$9) + CHOOSE(CONTROL!$C$38, 0.0347, 0)</f>
        <v>35.453299999999999</v>
      </c>
      <c r="H471" s="14">
        <f>35.4186 * CHOOSE(CONTROL!$C$15, $E$9, 100%, $G$9) + CHOOSE(CONTROL!$C$38, 0.0347, 0)</f>
        <v>35.453299999999999</v>
      </c>
      <c r="I471" s="14">
        <f>35.4202 * CHOOSE(CONTROL!$C$15, $E$9, 100%, $G$9) + CHOOSE(CONTROL!$C$38, 0.0347, 0)</f>
        <v>35.454900000000002</v>
      </c>
      <c r="J471" s="44">
        <f>281.4968</f>
        <v>281.49680000000001</v>
      </c>
    </row>
    <row r="472" spans="1:10" ht="15.75" x14ac:dyDescent="0.25">
      <c r="A472" s="33">
        <v>55304</v>
      </c>
      <c r="B472" s="14">
        <f>36.6862 * CHOOSE(CONTROL!$C$15, $E$9, 100%, $G$9) + CHOOSE(CONTROL!$C$38, 0.0278, 0)</f>
        <v>36.713999999999999</v>
      </c>
      <c r="C472" s="14">
        <f>34.6152 * CHOOSE(CONTROL!$C$15, $E$9, 100%, $G$9) + CHOOSE(CONTROL!$C$38, 0.0369, 0)</f>
        <v>34.652100000000004</v>
      </c>
      <c r="D472" s="14">
        <f>34.6074 * CHOOSE(CONTROL!$C$15, $E$9, 100%, $G$9) + CHOOSE(CONTROL!$C$38, 0.0369, 0)</f>
        <v>34.644300000000001</v>
      </c>
      <c r="E472" s="46">
        <f>36.5299 * CHOOSE(CONTROL!$C$15, $E$9, 100%, $G$9) + CHOOSE(CONTROL!$C$38, 0.0369, 0)</f>
        <v>36.566800000000001</v>
      </c>
      <c r="F472" s="45">
        <f>36.5299 * CHOOSE(CONTROL!$C$15, $E$9, 100%, $G$9) + CHOOSE(CONTROL!$C$38, 0.0278, 0)</f>
        <v>36.557699999999997</v>
      </c>
      <c r="G472" s="14">
        <f>34.6136 * CHOOSE(CONTROL!$C$15, $E$9, 100%, $G$9) + CHOOSE(CONTROL!$C$38, 0.0369, 0)</f>
        <v>34.650500000000001</v>
      </c>
      <c r="H472" s="14">
        <f>34.6136 * CHOOSE(CONTROL!$C$15, $E$9, 100%, $G$9) + CHOOSE(CONTROL!$C$38, 0.0369, 0)</f>
        <v>34.650500000000001</v>
      </c>
      <c r="I472" s="14">
        <f>34.6152 * CHOOSE(CONTROL!$C$15, $E$9, 100%, $G$9) + CHOOSE(CONTROL!$C$38, 0.0369, 0)</f>
        <v>34.652100000000004</v>
      </c>
      <c r="J472" s="44">
        <f>290.9433</f>
        <v>290.94330000000002</v>
      </c>
    </row>
    <row r="473" spans="1:10" ht="15.75" x14ac:dyDescent="0.25">
      <c r="A473" s="33">
        <v>55334</v>
      </c>
      <c r="B473" s="14">
        <f>36.1218 * CHOOSE(CONTROL!$C$15, $E$9, 100%, $G$9) + CHOOSE(CONTROL!$C$38, 0.0278, 0)</f>
        <v>36.1496</v>
      </c>
      <c r="C473" s="14">
        <f>34.0509 * CHOOSE(CONTROL!$C$15, $E$9, 100%, $G$9) + CHOOSE(CONTROL!$C$38, 0.0369, 0)</f>
        <v>34.087800000000001</v>
      </c>
      <c r="D473" s="14">
        <f>34.0431 * CHOOSE(CONTROL!$C$15, $E$9, 100%, $G$9) + CHOOSE(CONTROL!$C$38, 0.0369, 0)</f>
        <v>34.080000000000005</v>
      </c>
      <c r="E473" s="46">
        <f>35.9656 * CHOOSE(CONTROL!$C$15, $E$9, 100%, $G$9) + CHOOSE(CONTROL!$C$38, 0.0369, 0)</f>
        <v>36.002500000000005</v>
      </c>
      <c r="F473" s="45">
        <f>35.9656 * CHOOSE(CONTROL!$C$15, $E$9, 100%, $G$9) + CHOOSE(CONTROL!$C$38, 0.0278, 0)</f>
        <v>35.993400000000001</v>
      </c>
      <c r="G473" s="14">
        <f>34.0493 * CHOOSE(CONTROL!$C$15, $E$9, 100%, $G$9) + CHOOSE(CONTROL!$C$38, 0.0369, 0)</f>
        <v>34.086200000000005</v>
      </c>
      <c r="H473" s="14">
        <f>34.0493 * CHOOSE(CONTROL!$C$15, $E$9, 100%, $G$9) + CHOOSE(CONTROL!$C$38, 0.0369, 0)</f>
        <v>34.086200000000005</v>
      </c>
      <c r="I473" s="14">
        <f>34.0509 * CHOOSE(CONTROL!$C$15, $E$9, 100%, $G$9) + CHOOSE(CONTROL!$C$38, 0.0369, 0)</f>
        <v>34.087800000000001</v>
      </c>
      <c r="J473" s="44">
        <f>295.1355</f>
        <v>295.13549999999998</v>
      </c>
    </row>
    <row r="474" spans="1:10" ht="15.75" x14ac:dyDescent="0.25">
      <c r="A474" s="33">
        <v>55365</v>
      </c>
      <c r="B474" s="14">
        <f>35.7998 * CHOOSE(CONTROL!$C$15, $E$9, 100%, $G$9) + CHOOSE(CONTROL!$C$38, 0.0278, 0)</f>
        <v>35.827599999999997</v>
      </c>
      <c r="C474" s="14">
        <f>33.7288 * CHOOSE(CONTROL!$C$15, $E$9, 100%, $G$9) + CHOOSE(CONTROL!$C$38, 0.0369, 0)</f>
        <v>33.765700000000002</v>
      </c>
      <c r="D474" s="14">
        <f>33.721 * CHOOSE(CONTROL!$C$15, $E$9, 100%, $G$9) + CHOOSE(CONTROL!$C$38, 0.0369, 0)</f>
        <v>33.757899999999999</v>
      </c>
      <c r="E474" s="46">
        <f>35.6435 * CHOOSE(CONTROL!$C$15, $E$9, 100%, $G$9) + CHOOSE(CONTROL!$C$38, 0.0369, 0)</f>
        <v>35.680400000000006</v>
      </c>
      <c r="F474" s="45">
        <f>35.6435 * CHOOSE(CONTROL!$C$15, $E$9, 100%, $G$9) + CHOOSE(CONTROL!$C$38, 0.0278, 0)</f>
        <v>35.671300000000002</v>
      </c>
      <c r="G474" s="14">
        <f>33.7272 * CHOOSE(CONTROL!$C$15, $E$9, 100%, $G$9) + CHOOSE(CONTROL!$C$38, 0.0369, 0)</f>
        <v>33.764100000000006</v>
      </c>
      <c r="H474" s="14">
        <f>33.7272 * CHOOSE(CONTROL!$C$15, $E$9, 100%, $G$9) + CHOOSE(CONTROL!$C$38, 0.0369, 0)</f>
        <v>33.764100000000006</v>
      </c>
      <c r="I474" s="14">
        <f>33.7288 * CHOOSE(CONTROL!$C$15, $E$9, 100%, $G$9) + CHOOSE(CONTROL!$C$38, 0.0369, 0)</f>
        <v>33.765700000000002</v>
      </c>
      <c r="J474" s="44">
        <f>293.7552</f>
        <v>293.7552</v>
      </c>
    </row>
    <row r="475" spans="1:10" ht="15.75" x14ac:dyDescent="0.25">
      <c r="A475" s="33">
        <v>55396</v>
      </c>
      <c r="B475" s="14">
        <f>35.9587 * CHOOSE(CONTROL!$C$15, $E$9, 100%, $G$9) + CHOOSE(CONTROL!$C$38, 0.0278, 0)</f>
        <v>35.986499999999999</v>
      </c>
      <c r="C475" s="14">
        <f>33.8878 * CHOOSE(CONTROL!$C$15, $E$9, 100%, $G$9) + CHOOSE(CONTROL!$C$38, 0.0369, 0)</f>
        <v>33.924700000000001</v>
      </c>
      <c r="D475" s="14">
        <f>33.8799 * CHOOSE(CONTROL!$C$15, $E$9, 100%, $G$9) + CHOOSE(CONTROL!$C$38, 0.0369, 0)</f>
        <v>33.916800000000002</v>
      </c>
      <c r="E475" s="46">
        <f>35.8025 * CHOOSE(CONTROL!$C$15, $E$9, 100%, $G$9) + CHOOSE(CONTROL!$C$38, 0.0369, 0)</f>
        <v>35.839400000000005</v>
      </c>
      <c r="F475" s="45">
        <f>35.8025 * CHOOSE(CONTROL!$C$15, $E$9, 100%, $G$9) + CHOOSE(CONTROL!$C$38, 0.0278, 0)</f>
        <v>35.830300000000001</v>
      </c>
      <c r="G475" s="14">
        <f>33.8862 * CHOOSE(CONTROL!$C$15, $E$9, 100%, $G$9) + CHOOSE(CONTROL!$C$38, 0.0369, 0)</f>
        <v>33.923100000000005</v>
      </c>
      <c r="H475" s="14">
        <f>33.8862 * CHOOSE(CONTROL!$C$15, $E$9, 100%, $G$9) + CHOOSE(CONTROL!$C$38, 0.0369, 0)</f>
        <v>33.923100000000005</v>
      </c>
      <c r="I475" s="14">
        <f>33.8878 * CHOOSE(CONTROL!$C$15, $E$9, 100%, $G$9) + CHOOSE(CONTROL!$C$38, 0.0369, 0)</f>
        <v>33.924700000000001</v>
      </c>
      <c r="J475" s="44">
        <f>286.9167</f>
        <v>286.91669999999999</v>
      </c>
    </row>
    <row r="476" spans="1:10" ht="15.75" x14ac:dyDescent="0.25">
      <c r="A476" s="33">
        <v>55426</v>
      </c>
      <c r="B476" s="14">
        <f>36.3904 * CHOOSE(CONTROL!$C$15, $E$9, 100%, $G$9) + CHOOSE(CONTROL!$C$38, 0.0278, 0)</f>
        <v>36.418199999999999</v>
      </c>
      <c r="C476" s="14">
        <f>34.3195 * CHOOSE(CONTROL!$C$15, $E$9, 100%, $G$9) + CHOOSE(CONTROL!$C$38, 0.0369, 0)</f>
        <v>34.356400000000001</v>
      </c>
      <c r="D476" s="14">
        <f>34.3117 * CHOOSE(CONTROL!$C$15, $E$9, 100%, $G$9) + CHOOSE(CONTROL!$C$38, 0.0369, 0)</f>
        <v>34.348600000000005</v>
      </c>
      <c r="E476" s="46">
        <f>36.2342 * CHOOSE(CONTROL!$C$15, $E$9, 100%, $G$9) + CHOOSE(CONTROL!$C$38, 0.0369, 0)</f>
        <v>36.271100000000004</v>
      </c>
      <c r="F476" s="45">
        <f>36.2342 * CHOOSE(CONTROL!$C$15, $E$9, 100%, $G$9) + CHOOSE(CONTROL!$C$38, 0.0278, 0)</f>
        <v>36.262</v>
      </c>
      <c r="G476" s="14">
        <f>34.3179 * CHOOSE(CONTROL!$C$15, $E$9, 100%, $G$9) + CHOOSE(CONTROL!$C$38, 0.0369, 0)</f>
        <v>34.354800000000004</v>
      </c>
      <c r="H476" s="14">
        <f>34.3179 * CHOOSE(CONTROL!$C$15, $E$9, 100%, $G$9) + CHOOSE(CONTROL!$C$38, 0.0369, 0)</f>
        <v>34.354800000000004</v>
      </c>
      <c r="I476" s="14">
        <f>34.3195 * CHOOSE(CONTROL!$C$15, $E$9, 100%, $G$9) + CHOOSE(CONTROL!$C$38, 0.0369, 0)</f>
        <v>34.356400000000001</v>
      </c>
      <c r="J476" s="44">
        <f>277.3801</f>
        <v>277.38010000000003</v>
      </c>
    </row>
    <row r="477" spans="1:10" ht="15.75" x14ac:dyDescent="0.25">
      <c r="A477" s="33">
        <v>55457</v>
      </c>
      <c r="B477" s="14">
        <f>36.752 * CHOOSE(CONTROL!$C$15, $E$9, 100%, $G$9) + CHOOSE(CONTROL!$C$38, 0.0256, 0)</f>
        <v>36.7776</v>
      </c>
      <c r="C477" s="14">
        <f>34.681 * CHOOSE(CONTROL!$C$15, $E$9, 100%, $G$9) + CHOOSE(CONTROL!$C$38, 0.0347, 0)</f>
        <v>34.715699999999998</v>
      </c>
      <c r="D477" s="14">
        <f>34.6732 * CHOOSE(CONTROL!$C$15, $E$9, 100%, $G$9) + CHOOSE(CONTROL!$C$38, 0.0347, 0)</f>
        <v>34.707900000000002</v>
      </c>
      <c r="E477" s="46">
        <f>36.5957 * CHOOSE(CONTROL!$C$15, $E$9, 100%, $G$9) + CHOOSE(CONTROL!$C$38, 0.0347, 0)</f>
        <v>36.630400000000002</v>
      </c>
      <c r="F477" s="45">
        <f>36.5957 * CHOOSE(CONTROL!$C$15, $E$9, 100%, $G$9) + CHOOSE(CONTROL!$C$38, 0.0256, 0)</f>
        <v>36.621299999999998</v>
      </c>
      <c r="G477" s="14">
        <f>34.6795 * CHOOSE(CONTROL!$C$15, $E$9, 100%, $G$9) + CHOOSE(CONTROL!$C$38, 0.0347, 0)</f>
        <v>34.714199999999998</v>
      </c>
      <c r="H477" s="14">
        <f>34.6795 * CHOOSE(CONTROL!$C$15, $E$9, 100%, $G$9) + CHOOSE(CONTROL!$C$38, 0.0347, 0)</f>
        <v>34.714199999999998</v>
      </c>
      <c r="I477" s="14">
        <f>34.681 * CHOOSE(CONTROL!$C$15, $E$9, 100%, $G$9) + CHOOSE(CONTROL!$C$38, 0.0347, 0)</f>
        <v>34.715699999999998</v>
      </c>
      <c r="J477" s="44">
        <f>267.788</f>
        <v>267.78800000000001</v>
      </c>
    </row>
    <row r="478" spans="1:10" ht="15.75" x14ac:dyDescent="0.25">
      <c r="A478" s="33">
        <v>55487</v>
      </c>
      <c r="B478" s="14">
        <f>37.0537 * CHOOSE(CONTROL!$C$15, $E$9, 100%, $G$9) + CHOOSE(CONTROL!$C$38, 0.0256, 0)</f>
        <v>37.079299999999996</v>
      </c>
      <c r="C478" s="14">
        <f>34.9827 * CHOOSE(CONTROL!$C$15, $E$9, 100%, $G$9) + CHOOSE(CONTROL!$C$38, 0.0347, 0)</f>
        <v>35.017400000000002</v>
      </c>
      <c r="D478" s="14">
        <f>34.9749 * CHOOSE(CONTROL!$C$15, $E$9, 100%, $G$9) + CHOOSE(CONTROL!$C$38, 0.0347, 0)</f>
        <v>35.009599999999999</v>
      </c>
      <c r="E478" s="46">
        <f>36.8974 * CHOOSE(CONTROL!$C$15, $E$9, 100%, $G$9) + CHOOSE(CONTROL!$C$38, 0.0347, 0)</f>
        <v>36.932099999999998</v>
      </c>
      <c r="F478" s="45">
        <f>36.8974 * CHOOSE(CONTROL!$C$15, $E$9, 100%, $G$9) + CHOOSE(CONTROL!$C$38, 0.0256, 0)</f>
        <v>36.922999999999995</v>
      </c>
      <c r="G478" s="14">
        <f>34.9812 * CHOOSE(CONTROL!$C$15, $E$9, 100%, $G$9) + CHOOSE(CONTROL!$C$38, 0.0347, 0)</f>
        <v>35.015900000000002</v>
      </c>
      <c r="H478" s="14">
        <f>34.9812 * CHOOSE(CONTROL!$C$15, $E$9, 100%, $G$9) + CHOOSE(CONTROL!$C$38, 0.0347, 0)</f>
        <v>35.015900000000002</v>
      </c>
      <c r="I478" s="14">
        <f>34.9827 * CHOOSE(CONTROL!$C$15, $E$9, 100%, $G$9) + CHOOSE(CONTROL!$C$38, 0.0347, 0)</f>
        <v>35.017400000000002</v>
      </c>
      <c r="J478" s="44">
        <f>265.8799</f>
        <v>265.87990000000002</v>
      </c>
    </row>
    <row r="479" spans="1:10" ht="15.75" x14ac:dyDescent="0.25">
      <c r="A479" s="33">
        <v>55518</v>
      </c>
      <c r="B479" s="14">
        <f>37.9833 * CHOOSE(CONTROL!$C$15, $E$9, 100%, $G$9) + CHOOSE(CONTROL!$C$38, 0.0256, 0)</f>
        <v>38.008899999999997</v>
      </c>
      <c r="C479" s="14">
        <f>35.9124 * CHOOSE(CONTROL!$C$15, $E$9, 100%, $G$9) + CHOOSE(CONTROL!$C$38, 0.0347, 0)</f>
        <v>35.947099999999999</v>
      </c>
      <c r="D479" s="14">
        <f>35.9046 * CHOOSE(CONTROL!$C$15, $E$9, 100%, $G$9) + CHOOSE(CONTROL!$C$38, 0.0347, 0)</f>
        <v>35.939300000000003</v>
      </c>
      <c r="E479" s="46">
        <f>37.8271 * CHOOSE(CONTROL!$C$15, $E$9, 100%, $G$9) + CHOOSE(CONTROL!$C$38, 0.0347, 0)</f>
        <v>37.861800000000002</v>
      </c>
      <c r="F479" s="45">
        <f>37.8271 * CHOOSE(CONTROL!$C$15, $E$9, 100%, $G$9) + CHOOSE(CONTROL!$C$38, 0.0256, 0)</f>
        <v>37.852699999999999</v>
      </c>
      <c r="G479" s="14">
        <f>35.9108 * CHOOSE(CONTROL!$C$15, $E$9, 100%, $G$9) + CHOOSE(CONTROL!$C$38, 0.0347, 0)</f>
        <v>35.945500000000003</v>
      </c>
      <c r="H479" s="14">
        <f>35.9108 * CHOOSE(CONTROL!$C$15, $E$9, 100%, $G$9) + CHOOSE(CONTROL!$C$38, 0.0347, 0)</f>
        <v>35.945500000000003</v>
      </c>
      <c r="I479" s="14">
        <f>35.9124 * CHOOSE(CONTROL!$C$15, $E$9, 100%, $G$9) + CHOOSE(CONTROL!$C$38, 0.0347, 0)</f>
        <v>35.947099999999999</v>
      </c>
      <c r="J479" s="44">
        <f>257.9899</f>
        <v>257.98989999999998</v>
      </c>
    </row>
    <row r="480" spans="1:10" ht="15.75" x14ac:dyDescent="0.25">
      <c r="A480" s="33">
        <v>55549</v>
      </c>
      <c r="B480" s="14">
        <f>39.3306 * CHOOSE(CONTROL!$C$15, $E$9, 100%, $G$9) + CHOOSE(CONTROL!$C$38, 0.0256, 0)</f>
        <v>39.356199999999994</v>
      </c>
      <c r="C480" s="14">
        <f>37.2274 * CHOOSE(CONTROL!$C$15, $E$9, 100%, $G$9) + CHOOSE(CONTROL!$C$38, 0.0347, 0)</f>
        <v>37.262100000000004</v>
      </c>
      <c r="D480" s="14">
        <f>37.2196 * CHOOSE(CONTROL!$C$15, $E$9, 100%, $G$9) + CHOOSE(CONTROL!$C$38, 0.0347, 0)</f>
        <v>37.254300000000001</v>
      </c>
      <c r="E480" s="46">
        <f>39.1743 * CHOOSE(CONTROL!$C$15, $E$9, 100%, $G$9) + CHOOSE(CONTROL!$C$38, 0.0347, 0)</f>
        <v>39.209000000000003</v>
      </c>
      <c r="F480" s="45">
        <f>39.1743 * CHOOSE(CONTROL!$C$15, $E$9, 100%, $G$9) + CHOOSE(CONTROL!$C$38, 0.0256, 0)</f>
        <v>39.1999</v>
      </c>
      <c r="G480" s="14">
        <f>37.2259 * CHOOSE(CONTROL!$C$15, $E$9, 100%, $G$9) + CHOOSE(CONTROL!$C$38, 0.0347, 0)</f>
        <v>37.260600000000004</v>
      </c>
      <c r="H480" s="14">
        <f>37.2259 * CHOOSE(CONTROL!$C$15, $E$9, 100%, $G$9) + CHOOSE(CONTROL!$C$38, 0.0347, 0)</f>
        <v>37.260600000000004</v>
      </c>
      <c r="I480" s="14">
        <f>37.2274 * CHOOSE(CONTROL!$C$15, $E$9, 100%, $G$9) + CHOOSE(CONTROL!$C$38, 0.0347, 0)</f>
        <v>37.262100000000004</v>
      </c>
      <c r="J480" s="44">
        <f>257.6572</f>
        <v>257.65719999999999</v>
      </c>
    </row>
    <row r="481" spans="1:10" ht="15.75" x14ac:dyDescent="0.25">
      <c r="A481" s="33">
        <v>55577</v>
      </c>
      <c r="B481" s="14">
        <f>39.6749 * CHOOSE(CONTROL!$C$15, $E$9, 100%, $G$9) + CHOOSE(CONTROL!$C$38, 0.0256, 0)</f>
        <v>39.700499999999998</v>
      </c>
      <c r="C481" s="14">
        <f>37.5718 * CHOOSE(CONTROL!$C$15, $E$9, 100%, $G$9) + CHOOSE(CONTROL!$C$38, 0.0347, 0)</f>
        <v>37.606500000000004</v>
      </c>
      <c r="D481" s="14">
        <f>37.5639 * CHOOSE(CONTROL!$C$15, $E$9, 100%, $G$9) + CHOOSE(CONTROL!$C$38, 0.0347, 0)</f>
        <v>37.598599999999998</v>
      </c>
      <c r="E481" s="46">
        <f>39.5186 * CHOOSE(CONTROL!$C$15, $E$9, 100%, $G$9) + CHOOSE(CONTROL!$C$38, 0.0347, 0)</f>
        <v>39.5533</v>
      </c>
      <c r="F481" s="45">
        <f>39.5186 * CHOOSE(CONTROL!$C$15, $E$9, 100%, $G$9) + CHOOSE(CONTROL!$C$38, 0.0256, 0)</f>
        <v>39.544199999999996</v>
      </c>
      <c r="G481" s="14">
        <f>37.5702 * CHOOSE(CONTROL!$C$15, $E$9, 100%, $G$9) + CHOOSE(CONTROL!$C$38, 0.0347, 0)</f>
        <v>37.604900000000001</v>
      </c>
      <c r="H481" s="14">
        <f>37.5702 * CHOOSE(CONTROL!$C$15, $E$9, 100%, $G$9) + CHOOSE(CONTROL!$C$38, 0.0347, 0)</f>
        <v>37.604900000000001</v>
      </c>
      <c r="I481" s="14">
        <f>37.5718 * CHOOSE(CONTROL!$C$15, $E$9, 100%, $G$9) + CHOOSE(CONTROL!$C$38, 0.0347, 0)</f>
        <v>37.606500000000004</v>
      </c>
      <c r="J481" s="44">
        <f>256.941</f>
        <v>256.94099999999997</v>
      </c>
    </row>
    <row r="482" spans="1:10" ht="15.75" x14ac:dyDescent="0.25">
      <c r="A482" s="33">
        <v>55609</v>
      </c>
      <c r="B482" s="14">
        <f>38.8778 * CHOOSE(CONTROL!$C$15, $E$9, 100%, $G$9) + CHOOSE(CONTROL!$C$38, 0.0256, 0)</f>
        <v>38.903399999999998</v>
      </c>
      <c r="C482" s="14">
        <f>36.7747 * CHOOSE(CONTROL!$C$15, $E$9, 100%, $G$9) + CHOOSE(CONTROL!$C$38, 0.0347, 0)</f>
        <v>36.809400000000004</v>
      </c>
      <c r="D482" s="14">
        <f>36.7669 * CHOOSE(CONTROL!$C$15, $E$9, 100%, $G$9) + CHOOSE(CONTROL!$C$38, 0.0347, 0)</f>
        <v>36.801600000000001</v>
      </c>
      <c r="E482" s="46">
        <f>38.7216 * CHOOSE(CONTROL!$C$15, $E$9, 100%, $G$9) + CHOOSE(CONTROL!$C$38, 0.0347, 0)</f>
        <v>38.756300000000003</v>
      </c>
      <c r="F482" s="45">
        <f>38.7216 * CHOOSE(CONTROL!$C$15, $E$9, 100%, $G$9) + CHOOSE(CONTROL!$C$38, 0.0256, 0)</f>
        <v>38.747199999999999</v>
      </c>
      <c r="G482" s="14">
        <f>36.7732 * CHOOSE(CONTROL!$C$15, $E$9, 100%, $G$9) + CHOOSE(CONTROL!$C$38, 0.0347, 0)</f>
        <v>36.807900000000004</v>
      </c>
      <c r="H482" s="14">
        <f>36.7732 * CHOOSE(CONTROL!$C$15, $E$9, 100%, $G$9) + CHOOSE(CONTROL!$C$38, 0.0347, 0)</f>
        <v>36.807900000000004</v>
      </c>
      <c r="I482" s="14">
        <f>36.7747 * CHOOSE(CONTROL!$C$15, $E$9, 100%, $G$9) + CHOOSE(CONTROL!$C$38, 0.0347, 0)</f>
        <v>36.809400000000004</v>
      </c>
      <c r="J482" s="44">
        <f>270.4833</f>
        <v>270.48329999999999</v>
      </c>
    </row>
    <row r="483" spans="1:10" ht="15.75" x14ac:dyDescent="0.25">
      <c r="A483" s="33">
        <v>55639</v>
      </c>
      <c r="B483" s="14">
        <f>38.1055 * CHOOSE(CONTROL!$C$15, $E$9, 100%, $G$9) + CHOOSE(CONTROL!$C$38, 0.0256, 0)</f>
        <v>38.131099999999996</v>
      </c>
      <c r="C483" s="14">
        <f>36.0024 * CHOOSE(CONTROL!$C$15, $E$9, 100%, $G$9) + CHOOSE(CONTROL!$C$38, 0.0347, 0)</f>
        <v>36.037100000000002</v>
      </c>
      <c r="D483" s="14">
        <f>35.9946 * CHOOSE(CONTROL!$C$15, $E$9, 100%, $G$9) + CHOOSE(CONTROL!$C$38, 0.0347, 0)</f>
        <v>36.029299999999999</v>
      </c>
      <c r="E483" s="46">
        <f>37.9493 * CHOOSE(CONTROL!$C$15, $E$9, 100%, $G$9) + CHOOSE(CONTROL!$C$38, 0.0347, 0)</f>
        <v>37.984000000000002</v>
      </c>
      <c r="F483" s="45">
        <f>37.9493 * CHOOSE(CONTROL!$C$15, $E$9, 100%, $G$9) + CHOOSE(CONTROL!$C$38, 0.0256, 0)</f>
        <v>37.974899999999998</v>
      </c>
      <c r="G483" s="14">
        <f>36.0008 * CHOOSE(CONTROL!$C$15, $E$9, 100%, $G$9) + CHOOSE(CONTROL!$C$38, 0.0347, 0)</f>
        <v>36.035499999999999</v>
      </c>
      <c r="H483" s="14">
        <f>36.0008 * CHOOSE(CONTROL!$C$15, $E$9, 100%, $G$9) + CHOOSE(CONTROL!$C$38, 0.0347, 0)</f>
        <v>36.035499999999999</v>
      </c>
      <c r="I483" s="14">
        <f>36.0024 * CHOOSE(CONTROL!$C$15, $E$9, 100%, $G$9) + CHOOSE(CONTROL!$C$38, 0.0347, 0)</f>
        <v>36.037100000000002</v>
      </c>
      <c r="J483" s="44">
        <f>288.0444</f>
        <v>288.0444</v>
      </c>
    </row>
    <row r="484" spans="1:10" ht="15.75" x14ac:dyDescent="0.25">
      <c r="A484" s="33">
        <v>55670</v>
      </c>
      <c r="B484" s="14">
        <f>37.3006 * CHOOSE(CONTROL!$C$15, $E$9, 100%, $G$9) + CHOOSE(CONTROL!$C$38, 0.0278, 0)</f>
        <v>37.328400000000002</v>
      </c>
      <c r="C484" s="14">
        <f>35.1974 * CHOOSE(CONTROL!$C$15, $E$9, 100%, $G$9) + CHOOSE(CONTROL!$C$38, 0.0369, 0)</f>
        <v>35.234300000000005</v>
      </c>
      <c r="D484" s="14">
        <f>35.1896 * CHOOSE(CONTROL!$C$15, $E$9, 100%, $G$9) + CHOOSE(CONTROL!$C$38, 0.0369, 0)</f>
        <v>35.226500000000001</v>
      </c>
      <c r="E484" s="46">
        <f>37.1443 * CHOOSE(CONTROL!$C$15, $E$9, 100%, $G$9) + CHOOSE(CONTROL!$C$38, 0.0369, 0)</f>
        <v>37.181200000000004</v>
      </c>
      <c r="F484" s="45">
        <f>37.1443 * CHOOSE(CONTROL!$C$15, $E$9, 100%, $G$9) + CHOOSE(CONTROL!$C$38, 0.0278, 0)</f>
        <v>37.1721</v>
      </c>
      <c r="G484" s="14">
        <f>35.1959 * CHOOSE(CONTROL!$C$15, $E$9, 100%, $G$9) + CHOOSE(CONTROL!$C$38, 0.0369, 0)</f>
        <v>35.232800000000005</v>
      </c>
      <c r="H484" s="14">
        <f>35.1959 * CHOOSE(CONTROL!$C$15, $E$9, 100%, $G$9) + CHOOSE(CONTROL!$C$38, 0.0369, 0)</f>
        <v>35.232800000000005</v>
      </c>
      <c r="I484" s="14">
        <f>35.1974 * CHOOSE(CONTROL!$C$15, $E$9, 100%, $G$9) + CHOOSE(CONTROL!$C$38, 0.0369, 0)</f>
        <v>35.234300000000005</v>
      </c>
      <c r="J484" s="44">
        <f>297.7106</f>
        <v>297.7106</v>
      </c>
    </row>
    <row r="485" spans="1:10" ht="15.75" x14ac:dyDescent="0.25">
      <c r="A485" s="33">
        <v>55700</v>
      </c>
      <c r="B485" s="14">
        <f>36.7362 * CHOOSE(CONTROL!$C$15, $E$9, 100%, $G$9) + CHOOSE(CONTROL!$C$38, 0.0278, 0)</f>
        <v>36.763999999999996</v>
      </c>
      <c r="C485" s="14">
        <f>34.6331 * CHOOSE(CONTROL!$C$15, $E$9, 100%, $G$9) + CHOOSE(CONTROL!$C$38, 0.0369, 0)</f>
        <v>34.67</v>
      </c>
      <c r="D485" s="14">
        <f>34.6253 * CHOOSE(CONTROL!$C$15, $E$9, 100%, $G$9) + CHOOSE(CONTROL!$C$38, 0.0369, 0)</f>
        <v>34.662200000000006</v>
      </c>
      <c r="E485" s="46">
        <f>36.58 * CHOOSE(CONTROL!$C$15, $E$9, 100%, $G$9) + CHOOSE(CONTROL!$C$38, 0.0369, 0)</f>
        <v>36.616900000000001</v>
      </c>
      <c r="F485" s="45">
        <f>36.58 * CHOOSE(CONTROL!$C$15, $E$9, 100%, $G$9) + CHOOSE(CONTROL!$C$38, 0.0278, 0)</f>
        <v>36.607799999999997</v>
      </c>
      <c r="G485" s="14">
        <f>34.6315 * CHOOSE(CONTROL!$C$15, $E$9, 100%, $G$9) + CHOOSE(CONTROL!$C$38, 0.0369, 0)</f>
        <v>34.668400000000005</v>
      </c>
      <c r="H485" s="14">
        <f>34.6315 * CHOOSE(CONTROL!$C$15, $E$9, 100%, $G$9) + CHOOSE(CONTROL!$C$38, 0.0369, 0)</f>
        <v>34.668400000000005</v>
      </c>
      <c r="I485" s="14">
        <f>34.6331 * CHOOSE(CONTROL!$C$15, $E$9, 100%, $G$9) + CHOOSE(CONTROL!$C$38, 0.0369, 0)</f>
        <v>34.67</v>
      </c>
      <c r="J485" s="44">
        <f>302.0003</f>
        <v>302.00029999999998</v>
      </c>
    </row>
    <row r="486" spans="1:10" ht="15.75" x14ac:dyDescent="0.25">
      <c r="A486" s="33">
        <v>55731</v>
      </c>
      <c r="B486" s="14">
        <f>36.4142 * CHOOSE(CONTROL!$C$15, $E$9, 100%, $G$9) + CHOOSE(CONTROL!$C$38, 0.0278, 0)</f>
        <v>36.442</v>
      </c>
      <c r="C486" s="14">
        <f>34.3111 * CHOOSE(CONTROL!$C$15, $E$9, 100%, $G$9) + CHOOSE(CONTROL!$C$38, 0.0369, 0)</f>
        <v>34.348000000000006</v>
      </c>
      <c r="D486" s="14">
        <f>34.3032 * CHOOSE(CONTROL!$C$15, $E$9, 100%, $G$9) + CHOOSE(CONTROL!$C$38, 0.0369, 0)</f>
        <v>34.3401</v>
      </c>
      <c r="E486" s="46">
        <f>36.2579 * CHOOSE(CONTROL!$C$15, $E$9, 100%, $G$9) + CHOOSE(CONTROL!$C$38, 0.0369, 0)</f>
        <v>36.294800000000002</v>
      </c>
      <c r="F486" s="45">
        <f>36.2579 * CHOOSE(CONTROL!$C$15, $E$9, 100%, $G$9) + CHOOSE(CONTROL!$C$38, 0.0278, 0)</f>
        <v>36.285699999999999</v>
      </c>
      <c r="G486" s="14">
        <f>34.3095 * CHOOSE(CONTROL!$C$15, $E$9, 100%, $G$9) + CHOOSE(CONTROL!$C$38, 0.0369, 0)</f>
        <v>34.346400000000003</v>
      </c>
      <c r="H486" s="14">
        <f>34.3095 * CHOOSE(CONTROL!$C$15, $E$9, 100%, $G$9) + CHOOSE(CONTROL!$C$38, 0.0369, 0)</f>
        <v>34.346400000000003</v>
      </c>
      <c r="I486" s="14">
        <f>34.3111 * CHOOSE(CONTROL!$C$15, $E$9, 100%, $G$9) + CHOOSE(CONTROL!$C$38, 0.0369, 0)</f>
        <v>34.348000000000006</v>
      </c>
      <c r="J486" s="44">
        <f>300.5879</f>
        <v>300.58789999999999</v>
      </c>
    </row>
    <row r="487" spans="1:10" ht="15.75" x14ac:dyDescent="0.25">
      <c r="A487" s="33">
        <v>55762</v>
      </c>
      <c r="B487" s="14">
        <f>36.5731 * CHOOSE(CONTROL!$C$15, $E$9, 100%, $G$9) + CHOOSE(CONTROL!$C$38, 0.0278, 0)</f>
        <v>36.600899999999996</v>
      </c>
      <c r="C487" s="14">
        <f>34.47 * CHOOSE(CONTROL!$C$15, $E$9, 100%, $G$9) + CHOOSE(CONTROL!$C$38, 0.0369, 0)</f>
        <v>34.506900000000002</v>
      </c>
      <c r="D487" s="14">
        <f>34.4622 * CHOOSE(CONTROL!$C$15, $E$9, 100%, $G$9) + CHOOSE(CONTROL!$C$38, 0.0369, 0)</f>
        <v>34.499100000000006</v>
      </c>
      <c r="E487" s="46">
        <f>36.4169 * CHOOSE(CONTROL!$C$15, $E$9, 100%, $G$9) + CHOOSE(CONTROL!$C$38, 0.0369, 0)</f>
        <v>36.453800000000001</v>
      </c>
      <c r="F487" s="45">
        <f>36.4169 * CHOOSE(CONTROL!$C$15, $E$9, 100%, $G$9) + CHOOSE(CONTROL!$C$38, 0.0278, 0)</f>
        <v>36.444699999999997</v>
      </c>
      <c r="G487" s="14">
        <f>34.4684 * CHOOSE(CONTROL!$C$15, $E$9, 100%, $G$9) + CHOOSE(CONTROL!$C$38, 0.0369, 0)</f>
        <v>34.505300000000005</v>
      </c>
      <c r="H487" s="14">
        <f>34.4684 * CHOOSE(CONTROL!$C$15, $E$9, 100%, $G$9) + CHOOSE(CONTROL!$C$38, 0.0369, 0)</f>
        <v>34.505300000000005</v>
      </c>
      <c r="I487" s="14">
        <f>34.47 * CHOOSE(CONTROL!$C$15, $E$9, 100%, $G$9) + CHOOSE(CONTROL!$C$38, 0.0369, 0)</f>
        <v>34.506900000000002</v>
      </c>
      <c r="J487" s="44">
        <f>293.5904</f>
        <v>293.59039999999999</v>
      </c>
    </row>
    <row r="488" spans="1:10" ht="15.75" x14ac:dyDescent="0.25">
      <c r="A488" s="33">
        <v>55792</v>
      </c>
      <c r="B488" s="14">
        <f>37.0048 * CHOOSE(CONTROL!$C$15, $E$9, 100%, $G$9) + CHOOSE(CONTROL!$C$38, 0.0278, 0)</f>
        <v>37.032600000000002</v>
      </c>
      <c r="C488" s="14">
        <f>34.9017 * CHOOSE(CONTROL!$C$15, $E$9, 100%, $G$9) + CHOOSE(CONTROL!$C$38, 0.0369, 0)</f>
        <v>34.938600000000001</v>
      </c>
      <c r="D488" s="14">
        <f>34.8939 * CHOOSE(CONTROL!$C$15, $E$9, 100%, $G$9) + CHOOSE(CONTROL!$C$38, 0.0369, 0)</f>
        <v>34.930800000000005</v>
      </c>
      <c r="E488" s="46">
        <f>36.8486 * CHOOSE(CONTROL!$C$15, $E$9, 100%, $G$9) + CHOOSE(CONTROL!$C$38, 0.0369, 0)</f>
        <v>36.8855</v>
      </c>
      <c r="F488" s="45">
        <f>36.8486 * CHOOSE(CONTROL!$C$15, $E$9, 100%, $G$9) + CHOOSE(CONTROL!$C$38, 0.0278, 0)</f>
        <v>36.876399999999997</v>
      </c>
      <c r="G488" s="14">
        <f>34.9001 * CHOOSE(CONTROL!$C$15, $E$9, 100%, $G$9) + CHOOSE(CONTROL!$C$38, 0.0369, 0)</f>
        <v>34.937000000000005</v>
      </c>
      <c r="H488" s="14">
        <f>34.9001 * CHOOSE(CONTROL!$C$15, $E$9, 100%, $G$9) + CHOOSE(CONTROL!$C$38, 0.0369, 0)</f>
        <v>34.937000000000005</v>
      </c>
      <c r="I488" s="14">
        <f>34.9017 * CHOOSE(CONTROL!$C$15, $E$9, 100%, $G$9) + CHOOSE(CONTROL!$C$38, 0.0369, 0)</f>
        <v>34.938600000000001</v>
      </c>
      <c r="J488" s="44">
        <f>283.8319</f>
        <v>283.83190000000002</v>
      </c>
    </row>
    <row r="489" spans="1:10" ht="15.75" x14ac:dyDescent="0.25">
      <c r="A489" s="33">
        <v>55823</v>
      </c>
      <c r="B489" s="14">
        <f>37.3664 * CHOOSE(CONTROL!$C$15, $E$9, 100%, $G$9) + CHOOSE(CONTROL!$C$38, 0.0256, 0)</f>
        <v>37.391999999999996</v>
      </c>
      <c r="C489" s="14">
        <f>35.2633 * CHOOSE(CONTROL!$C$15, $E$9, 100%, $G$9) + CHOOSE(CONTROL!$C$38, 0.0347, 0)</f>
        <v>35.298000000000002</v>
      </c>
      <c r="D489" s="14">
        <f>35.2555 * CHOOSE(CONTROL!$C$15, $E$9, 100%, $G$9) + CHOOSE(CONTROL!$C$38, 0.0347, 0)</f>
        <v>35.290199999999999</v>
      </c>
      <c r="E489" s="46">
        <f>37.2101 * CHOOSE(CONTROL!$C$15, $E$9, 100%, $G$9) + CHOOSE(CONTROL!$C$38, 0.0347, 0)</f>
        <v>37.244799999999998</v>
      </c>
      <c r="F489" s="45">
        <f>37.2101 * CHOOSE(CONTROL!$C$15, $E$9, 100%, $G$9) + CHOOSE(CONTROL!$C$38, 0.0256, 0)</f>
        <v>37.235699999999994</v>
      </c>
      <c r="G489" s="14">
        <f>35.2617 * CHOOSE(CONTROL!$C$15, $E$9, 100%, $G$9) + CHOOSE(CONTROL!$C$38, 0.0347, 0)</f>
        <v>35.296399999999998</v>
      </c>
      <c r="H489" s="14">
        <f>35.2617 * CHOOSE(CONTROL!$C$15, $E$9, 100%, $G$9) + CHOOSE(CONTROL!$C$38, 0.0347, 0)</f>
        <v>35.296399999999998</v>
      </c>
      <c r="I489" s="14">
        <f>35.2633 * CHOOSE(CONTROL!$C$15, $E$9, 100%, $G$9) + CHOOSE(CONTROL!$C$38, 0.0347, 0)</f>
        <v>35.298000000000002</v>
      </c>
      <c r="J489" s="44">
        <f>274.0167</f>
        <v>274.01670000000001</v>
      </c>
    </row>
    <row r="490" spans="1:10" ht="15.75" x14ac:dyDescent="0.25">
      <c r="A490" s="33">
        <v>55853</v>
      </c>
      <c r="B490" s="14">
        <f>37.6681 * CHOOSE(CONTROL!$C$15, $E$9, 100%, $G$9) + CHOOSE(CONTROL!$C$38, 0.0256, 0)</f>
        <v>37.6937</v>
      </c>
      <c r="C490" s="14">
        <f>35.565 * CHOOSE(CONTROL!$C$15, $E$9, 100%, $G$9) + CHOOSE(CONTROL!$C$38, 0.0347, 0)</f>
        <v>35.599699999999999</v>
      </c>
      <c r="D490" s="14">
        <f>35.5572 * CHOOSE(CONTROL!$C$15, $E$9, 100%, $G$9) + CHOOSE(CONTROL!$C$38, 0.0347, 0)</f>
        <v>35.591900000000003</v>
      </c>
      <c r="E490" s="46">
        <f>37.5118 * CHOOSE(CONTROL!$C$15, $E$9, 100%, $G$9) + CHOOSE(CONTROL!$C$38, 0.0347, 0)</f>
        <v>37.546500000000002</v>
      </c>
      <c r="F490" s="45">
        <f>37.5118 * CHOOSE(CONTROL!$C$15, $E$9, 100%, $G$9) + CHOOSE(CONTROL!$C$38, 0.0256, 0)</f>
        <v>37.537399999999998</v>
      </c>
      <c r="G490" s="14">
        <f>35.5634 * CHOOSE(CONTROL!$C$15, $E$9, 100%, $G$9) + CHOOSE(CONTROL!$C$38, 0.0347, 0)</f>
        <v>35.598100000000002</v>
      </c>
      <c r="H490" s="14">
        <f>35.5634 * CHOOSE(CONTROL!$C$15, $E$9, 100%, $G$9) + CHOOSE(CONTROL!$C$38, 0.0347, 0)</f>
        <v>35.598100000000002</v>
      </c>
      <c r="I490" s="14">
        <f>35.565 * CHOOSE(CONTROL!$C$15, $E$9, 100%, $G$9) + CHOOSE(CONTROL!$C$38, 0.0347, 0)</f>
        <v>35.599699999999999</v>
      </c>
      <c r="J490" s="44">
        <f>272.0643</f>
        <v>272.0643</v>
      </c>
    </row>
    <row r="491" spans="1:10" ht="15.75" x14ac:dyDescent="0.25">
      <c r="A491" s="33">
        <v>55884</v>
      </c>
      <c r="B491" s="14">
        <f>38.5978 * CHOOSE(CONTROL!$C$15, $E$9, 100%, $G$9) + CHOOSE(CONTROL!$C$38, 0.0256, 0)</f>
        <v>38.623399999999997</v>
      </c>
      <c r="C491" s="14">
        <f>36.4946 * CHOOSE(CONTROL!$C$15, $E$9, 100%, $G$9) + CHOOSE(CONTROL!$C$38, 0.0347, 0)</f>
        <v>36.529299999999999</v>
      </c>
      <c r="D491" s="14">
        <f>36.4868 * CHOOSE(CONTROL!$C$15, $E$9, 100%, $G$9) + CHOOSE(CONTROL!$C$38, 0.0347, 0)</f>
        <v>36.521500000000003</v>
      </c>
      <c r="E491" s="46">
        <f>38.4415 * CHOOSE(CONTROL!$C$15, $E$9, 100%, $G$9) + CHOOSE(CONTROL!$C$38, 0.0347, 0)</f>
        <v>38.476199999999999</v>
      </c>
      <c r="F491" s="45">
        <f>38.4415 * CHOOSE(CONTROL!$C$15, $E$9, 100%, $G$9) + CHOOSE(CONTROL!$C$38, 0.0256, 0)</f>
        <v>38.467099999999995</v>
      </c>
      <c r="G491" s="14">
        <f>36.4931 * CHOOSE(CONTROL!$C$15, $E$9, 100%, $G$9) + CHOOSE(CONTROL!$C$38, 0.0347, 0)</f>
        <v>36.527799999999999</v>
      </c>
      <c r="H491" s="14">
        <f>36.4931 * CHOOSE(CONTROL!$C$15, $E$9, 100%, $G$9) + CHOOSE(CONTROL!$C$38, 0.0347, 0)</f>
        <v>36.527799999999999</v>
      </c>
      <c r="I491" s="14">
        <f>36.4946 * CHOOSE(CONTROL!$C$15, $E$9, 100%, $G$9) + CHOOSE(CONTROL!$C$38, 0.0347, 0)</f>
        <v>36.529299999999999</v>
      </c>
      <c r="J491" s="44">
        <f>263.9908</f>
        <v>263.99079999999998</v>
      </c>
    </row>
    <row r="492" spans="1:10" ht="15.75" x14ac:dyDescent="0.25">
      <c r="A492" s="33">
        <v>55915</v>
      </c>
      <c r="B492" s="14">
        <f>39.9553 * CHOOSE(CONTROL!$C$15, $E$9, 100%, $G$9) + CHOOSE(CONTROL!$C$38, 0.0256, 0)</f>
        <v>39.980899999999998</v>
      </c>
      <c r="C492" s="14">
        <f>37.8195 * CHOOSE(CONTROL!$C$15, $E$9, 100%, $G$9) + CHOOSE(CONTROL!$C$38, 0.0347, 0)</f>
        <v>37.854199999999999</v>
      </c>
      <c r="D492" s="14">
        <f>37.8117 * CHOOSE(CONTROL!$C$15, $E$9, 100%, $G$9) + CHOOSE(CONTROL!$C$38, 0.0347, 0)</f>
        <v>37.846400000000003</v>
      </c>
      <c r="E492" s="46">
        <f>39.799 * CHOOSE(CONTROL!$C$15, $E$9, 100%, $G$9) + CHOOSE(CONTROL!$C$38, 0.0347, 0)</f>
        <v>39.8337</v>
      </c>
      <c r="F492" s="45">
        <f>39.799 * CHOOSE(CONTROL!$C$15, $E$9, 100%, $G$9) + CHOOSE(CONTROL!$C$38, 0.0256, 0)</f>
        <v>39.824599999999997</v>
      </c>
      <c r="G492" s="14">
        <f>37.8179 * CHOOSE(CONTROL!$C$15, $E$9, 100%, $G$9) + CHOOSE(CONTROL!$C$38, 0.0347, 0)</f>
        <v>37.852600000000002</v>
      </c>
      <c r="H492" s="14">
        <f>37.8179 * CHOOSE(CONTROL!$C$15, $E$9, 100%, $G$9) + CHOOSE(CONTROL!$C$38, 0.0347, 0)</f>
        <v>37.852600000000002</v>
      </c>
      <c r="I492" s="14">
        <f>37.8195 * CHOOSE(CONTROL!$C$15, $E$9, 100%, $G$9) + CHOOSE(CONTROL!$C$38, 0.0347, 0)</f>
        <v>37.854199999999999</v>
      </c>
      <c r="J492" s="44">
        <f>263.6503</f>
        <v>263.65030000000002</v>
      </c>
    </row>
    <row r="493" spans="1:10" ht="15.75" x14ac:dyDescent="0.25">
      <c r="A493" s="33">
        <v>55943</v>
      </c>
      <c r="B493" s="14">
        <f>40.2996 * CHOOSE(CONTROL!$C$15, $E$9, 100%, $G$9) + CHOOSE(CONTROL!$C$38, 0.0256, 0)</f>
        <v>40.325199999999995</v>
      </c>
      <c r="C493" s="14">
        <f>38.1638 * CHOOSE(CONTROL!$C$15, $E$9, 100%, $G$9) + CHOOSE(CONTROL!$C$38, 0.0347, 0)</f>
        <v>38.198500000000003</v>
      </c>
      <c r="D493" s="14">
        <f>38.156 * CHOOSE(CONTROL!$C$15, $E$9, 100%, $G$9) + CHOOSE(CONTROL!$C$38, 0.0347, 0)</f>
        <v>38.1907</v>
      </c>
      <c r="E493" s="46">
        <f>40.1434 * CHOOSE(CONTROL!$C$15, $E$9, 100%, $G$9) + CHOOSE(CONTROL!$C$38, 0.0347, 0)</f>
        <v>40.178100000000001</v>
      </c>
      <c r="F493" s="45">
        <f>40.1434 * CHOOSE(CONTROL!$C$15, $E$9, 100%, $G$9) + CHOOSE(CONTROL!$C$38, 0.0256, 0)</f>
        <v>40.168999999999997</v>
      </c>
      <c r="G493" s="14">
        <f>38.1622 * CHOOSE(CONTROL!$C$15, $E$9, 100%, $G$9) + CHOOSE(CONTROL!$C$38, 0.0347, 0)</f>
        <v>38.196899999999999</v>
      </c>
      <c r="H493" s="14">
        <f>38.1622 * CHOOSE(CONTROL!$C$15, $E$9, 100%, $G$9) + CHOOSE(CONTROL!$C$38, 0.0347, 0)</f>
        <v>38.196899999999999</v>
      </c>
      <c r="I493" s="14">
        <f>38.1638 * CHOOSE(CONTROL!$C$15, $E$9, 100%, $G$9) + CHOOSE(CONTROL!$C$38, 0.0347, 0)</f>
        <v>38.198500000000003</v>
      </c>
      <c r="J493" s="44">
        <f>262.9175</f>
        <v>262.91750000000002</v>
      </c>
    </row>
    <row r="494" spans="1:10" ht="15.75" x14ac:dyDescent="0.25">
      <c r="A494" s="33">
        <v>55974</v>
      </c>
      <c r="B494" s="14">
        <f>39.5026 * CHOOSE(CONTROL!$C$15, $E$9, 100%, $G$9) + CHOOSE(CONTROL!$C$38, 0.0256, 0)</f>
        <v>39.528199999999998</v>
      </c>
      <c r="C494" s="14">
        <f>37.3667 * CHOOSE(CONTROL!$C$15, $E$9, 100%, $G$9) + CHOOSE(CONTROL!$C$38, 0.0347, 0)</f>
        <v>37.401400000000002</v>
      </c>
      <c r="D494" s="14">
        <f>37.3589 * CHOOSE(CONTROL!$C$15, $E$9, 100%, $G$9) + CHOOSE(CONTROL!$C$38, 0.0347, 0)</f>
        <v>37.393599999999999</v>
      </c>
      <c r="E494" s="46">
        <f>39.3463 * CHOOSE(CONTROL!$C$15, $E$9, 100%, $G$9) + CHOOSE(CONTROL!$C$38, 0.0347, 0)</f>
        <v>39.381</v>
      </c>
      <c r="F494" s="45">
        <f>39.3463 * CHOOSE(CONTROL!$C$15, $E$9, 100%, $G$9) + CHOOSE(CONTROL!$C$38, 0.0256, 0)</f>
        <v>39.371899999999997</v>
      </c>
      <c r="G494" s="14">
        <f>37.3652 * CHOOSE(CONTROL!$C$15, $E$9, 100%, $G$9) + CHOOSE(CONTROL!$C$38, 0.0347, 0)</f>
        <v>37.399900000000002</v>
      </c>
      <c r="H494" s="14">
        <f>37.3652 * CHOOSE(CONTROL!$C$15, $E$9, 100%, $G$9) + CHOOSE(CONTROL!$C$38, 0.0347, 0)</f>
        <v>37.399900000000002</v>
      </c>
      <c r="I494" s="14">
        <f>37.3667 * CHOOSE(CONTROL!$C$15, $E$9, 100%, $G$9) + CHOOSE(CONTROL!$C$38, 0.0347, 0)</f>
        <v>37.401400000000002</v>
      </c>
      <c r="J494" s="44">
        <f>276.7748</f>
        <v>276.77480000000003</v>
      </c>
    </row>
    <row r="495" spans="1:10" ht="15.75" x14ac:dyDescent="0.25">
      <c r="A495" s="33">
        <v>56004</v>
      </c>
      <c r="B495" s="14">
        <f>38.7303 * CHOOSE(CONTROL!$C$15, $E$9, 100%, $G$9) + CHOOSE(CONTROL!$C$38, 0.0256, 0)</f>
        <v>38.755899999999997</v>
      </c>
      <c r="C495" s="14">
        <f>36.5944 * CHOOSE(CONTROL!$C$15, $E$9, 100%, $G$9) + CHOOSE(CONTROL!$C$38, 0.0347, 0)</f>
        <v>36.629100000000001</v>
      </c>
      <c r="D495" s="14">
        <f>36.5866 * CHOOSE(CONTROL!$C$15, $E$9, 100%, $G$9) + CHOOSE(CONTROL!$C$38, 0.0347, 0)</f>
        <v>36.621299999999998</v>
      </c>
      <c r="E495" s="46">
        <f>38.574 * CHOOSE(CONTROL!$C$15, $E$9, 100%, $G$9) + CHOOSE(CONTROL!$C$38, 0.0347, 0)</f>
        <v>38.608699999999999</v>
      </c>
      <c r="F495" s="45">
        <f>38.574 * CHOOSE(CONTROL!$C$15, $E$9, 100%, $G$9) + CHOOSE(CONTROL!$C$38, 0.0256, 0)</f>
        <v>38.599599999999995</v>
      </c>
      <c r="G495" s="14">
        <f>36.5929 * CHOOSE(CONTROL!$C$15, $E$9, 100%, $G$9) + CHOOSE(CONTROL!$C$38, 0.0347, 0)</f>
        <v>36.627600000000001</v>
      </c>
      <c r="H495" s="14">
        <f>36.5929 * CHOOSE(CONTROL!$C$15, $E$9, 100%, $G$9) + CHOOSE(CONTROL!$C$38, 0.0347, 0)</f>
        <v>36.627600000000001</v>
      </c>
      <c r="I495" s="14">
        <f>36.5944 * CHOOSE(CONTROL!$C$15, $E$9, 100%, $G$9) + CHOOSE(CONTROL!$C$38, 0.0347, 0)</f>
        <v>36.629100000000001</v>
      </c>
      <c r="J495" s="44">
        <f>294.7443</f>
        <v>294.74430000000001</v>
      </c>
    </row>
    <row r="496" spans="1:10" ht="15.75" x14ac:dyDescent="0.25">
      <c r="A496" s="33">
        <v>56035</v>
      </c>
      <c r="B496" s="14">
        <f>37.9253 * CHOOSE(CONTROL!$C$15, $E$9, 100%, $G$9) + CHOOSE(CONTROL!$C$38, 0.0278, 0)</f>
        <v>37.953099999999999</v>
      </c>
      <c r="C496" s="14">
        <f>35.7895 * CHOOSE(CONTROL!$C$15, $E$9, 100%, $G$9) + CHOOSE(CONTROL!$C$38, 0.0369, 0)</f>
        <v>35.8264</v>
      </c>
      <c r="D496" s="14">
        <f>35.7817 * CHOOSE(CONTROL!$C$15, $E$9, 100%, $G$9) + CHOOSE(CONTROL!$C$38, 0.0369, 0)</f>
        <v>35.818600000000004</v>
      </c>
      <c r="E496" s="46">
        <f>37.769 * CHOOSE(CONTROL!$C$15, $E$9, 100%, $G$9) + CHOOSE(CONTROL!$C$38, 0.0369, 0)</f>
        <v>37.805900000000001</v>
      </c>
      <c r="F496" s="45">
        <f>37.769 * CHOOSE(CONTROL!$C$15, $E$9, 100%, $G$9) + CHOOSE(CONTROL!$C$38, 0.0278, 0)</f>
        <v>37.796799999999998</v>
      </c>
      <c r="G496" s="14">
        <f>35.7879 * CHOOSE(CONTROL!$C$15, $E$9, 100%, $G$9) + CHOOSE(CONTROL!$C$38, 0.0369, 0)</f>
        <v>35.824800000000003</v>
      </c>
      <c r="H496" s="14">
        <f>35.7879 * CHOOSE(CONTROL!$C$15, $E$9, 100%, $G$9) + CHOOSE(CONTROL!$C$38, 0.0369, 0)</f>
        <v>35.824800000000003</v>
      </c>
      <c r="I496" s="14">
        <f>35.7895 * CHOOSE(CONTROL!$C$15, $E$9, 100%, $G$9) + CHOOSE(CONTROL!$C$38, 0.0369, 0)</f>
        <v>35.8264</v>
      </c>
      <c r="J496" s="44">
        <f>304.6354</f>
        <v>304.6354</v>
      </c>
    </row>
    <row r="497" spans="1:10" ht="15.75" x14ac:dyDescent="0.25">
      <c r="A497" s="33">
        <v>56065</v>
      </c>
      <c r="B497" s="14">
        <f>37.361 * CHOOSE(CONTROL!$C$15, $E$9, 100%, $G$9) + CHOOSE(CONTROL!$C$38, 0.0278, 0)</f>
        <v>37.388799999999996</v>
      </c>
      <c r="C497" s="14">
        <f>35.2251 * CHOOSE(CONTROL!$C$15, $E$9, 100%, $G$9) + CHOOSE(CONTROL!$C$38, 0.0369, 0)</f>
        <v>35.262</v>
      </c>
      <c r="D497" s="14">
        <f>35.2173 * CHOOSE(CONTROL!$C$15, $E$9, 100%, $G$9) + CHOOSE(CONTROL!$C$38, 0.0369, 0)</f>
        <v>35.254200000000004</v>
      </c>
      <c r="E497" s="46">
        <f>37.2047 * CHOOSE(CONTROL!$C$15, $E$9, 100%, $G$9) + CHOOSE(CONTROL!$C$38, 0.0369, 0)</f>
        <v>37.241600000000005</v>
      </c>
      <c r="F497" s="45">
        <f>37.2047 * CHOOSE(CONTROL!$C$15, $E$9, 100%, $G$9) + CHOOSE(CONTROL!$C$38, 0.0278, 0)</f>
        <v>37.232500000000002</v>
      </c>
      <c r="G497" s="14">
        <f>35.2236 * CHOOSE(CONTROL!$C$15, $E$9, 100%, $G$9) + CHOOSE(CONTROL!$C$38, 0.0369, 0)</f>
        <v>35.2605</v>
      </c>
      <c r="H497" s="14">
        <f>35.2236 * CHOOSE(CONTROL!$C$15, $E$9, 100%, $G$9) + CHOOSE(CONTROL!$C$38, 0.0369, 0)</f>
        <v>35.2605</v>
      </c>
      <c r="I497" s="14">
        <f>35.2251 * CHOOSE(CONTROL!$C$15, $E$9, 100%, $G$9) + CHOOSE(CONTROL!$C$38, 0.0369, 0)</f>
        <v>35.262</v>
      </c>
      <c r="J497" s="44">
        <f>309.0248</f>
        <v>309.02480000000003</v>
      </c>
    </row>
    <row r="498" spans="1:10" ht="15.75" x14ac:dyDescent="0.25">
      <c r="A498" s="33">
        <v>56096</v>
      </c>
      <c r="B498" s="14">
        <f>37.0389 * CHOOSE(CONTROL!$C$15, $E$9, 100%, $G$9) + CHOOSE(CONTROL!$C$38, 0.0278, 0)</f>
        <v>37.066699999999997</v>
      </c>
      <c r="C498" s="14">
        <f>34.9031 * CHOOSE(CONTROL!$C$15, $E$9, 100%, $G$9) + CHOOSE(CONTROL!$C$38, 0.0369, 0)</f>
        <v>34.940000000000005</v>
      </c>
      <c r="D498" s="14">
        <f>34.8953 * CHOOSE(CONTROL!$C$15, $E$9, 100%, $G$9) + CHOOSE(CONTROL!$C$38, 0.0369, 0)</f>
        <v>34.932200000000002</v>
      </c>
      <c r="E498" s="46">
        <f>36.8827 * CHOOSE(CONTROL!$C$15, $E$9, 100%, $G$9) + CHOOSE(CONTROL!$C$38, 0.0369, 0)</f>
        <v>36.919600000000003</v>
      </c>
      <c r="F498" s="45">
        <f>36.8827 * CHOOSE(CONTROL!$C$15, $E$9, 100%, $G$9) + CHOOSE(CONTROL!$C$38, 0.0278, 0)</f>
        <v>36.910499999999999</v>
      </c>
      <c r="G498" s="14">
        <f>34.9015 * CHOOSE(CONTROL!$C$15, $E$9, 100%, $G$9) + CHOOSE(CONTROL!$C$38, 0.0369, 0)</f>
        <v>34.938400000000001</v>
      </c>
      <c r="H498" s="14">
        <f>34.9015 * CHOOSE(CONTROL!$C$15, $E$9, 100%, $G$9) + CHOOSE(CONTROL!$C$38, 0.0369, 0)</f>
        <v>34.938400000000001</v>
      </c>
      <c r="I498" s="14">
        <f>34.9031 * CHOOSE(CONTROL!$C$15, $E$9, 100%, $G$9) + CHOOSE(CONTROL!$C$38, 0.0369, 0)</f>
        <v>34.940000000000005</v>
      </c>
      <c r="J498" s="44">
        <f>307.5796</f>
        <v>307.57960000000003</v>
      </c>
    </row>
    <row r="499" spans="1:10" ht="15.75" x14ac:dyDescent="0.25">
      <c r="A499" s="33">
        <v>56127</v>
      </c>
      <c r="B499" s="14">
        <f>37.1978 * CHOOSE(CONTROL!$C$15, $E$9, 100%, $G$9) + CHOOSE(CONTROL!$C$38, 0.0278, 0)</f>
        <v>37.2256</v>
      </c>
      <c r="C499" s="14">
        <f>35.062 * CHOOSE(CONTROL!$C$15, $E$9, 100%, $G$9) + CHOOSE(CONTROL!$C$38, 0.0369, 0)</f>
        <v>35.0989</v>
      </c>
      <c r="D499" s="14">
        <f>35.0542 * CHOOSE(CONTROL!$C$15, $E$9, 100%, $G$9) + CHOOSE(CONTROL!$C$38, 0.0369, 0)</f>
        <v>35.091100000000004</v>
      </c>
      <c r="E499" s="46">
        <f>37.0416 * CHOOSE(CONTROL!$C$15, $E$9, 100%, $G$9) + CHOOSE(CONTROL!$C$38, 0.0369, 0)</f>
        <v>37.078500000000005</v>
      </c>
      <c r="F499" s="45">
        <f>37.0416 * CHOOSE(CONTROL!$C$15, $E$9, 100%, $G$9) + CHOOSE(CONTROL!$C$38, 0.0278, 0)</f>
        <v>37.069400000000002</v>
      </c>
      <c r="G499" s="14">
        <f>35.0605 * CHOOSE(CONTROL!$C$15, $E$9, 100%, $G$9) + CHOOSE(CONTROL!$C$38, 0.0369, 0)</f>
        <v>35.0974</v>
      </c>
      <c r="H499" s="14">
        <f>35.0605 * CHOOSE(CONTROL!$C$15, $E$9, 100%, $G$9) + CHOOSE(CONTROL!$C$38, 0.0369, 0)</f>
        <v>35.0974</v>
      </c>
      <c r="I499" s="14">
        <f>35.062 * CHOOSE(CONTROL!$C$15, $E$9, 100%, $G$9) + CHOOSE(CONTROL!$C$38, 0.0369, 0)</f>
        <v>35.0989</v>
      </c>
      <c r="J499" s="44">
        <f>300.4193</f>
        <v>300.41930000000002</v>
      </c>
    </row>
    <row r="500" spans="1:10" ht="15.75" x14ac:dyDescent="0.25">
      <c r="A500" s="33">
        <v>56157</v>
      </c>
      <c r="B500" s="14">
        <f>37.6296 * CHOOSE(CONTROL!$C$15, $E$9, 100%, $G$9) + CHOOSE(CONTROL!$C$38, 0.0278, 0)</f>
        <v>37.657400000000003</v>
      </c>
      <c r="C500" s="14">
        <f>35.4937 * CHOOSE(CONTROL!$C$15, $E$9, 100%, $G$9) + CHOOSE(CONTROL!$C$38, 0.0369, 0)</f>
        <v>35.5306</v>
      </c>
      <c r="D500" s="14">
        <f>35.4859 * CHOOSE(CONTROL!$C$15, $E$9, 100%, $G$9) + CHOOSE(CONTROL!$C$38, 0.0369, 0)</f>
        <v>35.522800000000004</v>
      </c>
      <c r="E500" s="46">
        <f>37.4733 * CHOOSE(CONTROL!$C$15, $E$9, 100%, $G$9) + CHOOSE(CONTROL!$C$38, 0.0369, 0)</f>
        <v>37.510200000000005</v>
      </c>
      <c r="F500" s="45">
        <f>37.4733 * CHOOSE(CONTROL!$C$15, $E$9, 100%, $G$9) + CHOOSE(CONTROL!$C$38, 0.0278, 0)</f>
        <v>37.501100000000001</v>
      </c>
      <c r="G500" s="14">
        <f>35.4922 * CHOOSE(CONTROL!$C$15, $E$9, 100%, $G$9) + CHOOSE(CONTROL!$C$38, 0.0369, 0)</f>
        <v>35.5291</v>
      </c>
      <c r="H500" s="14">
        <f>35.4922 * CHOOSE(CONTROL!$C$15, $E$9, 100%, $G$9) + CHOOSE(CONTROL!$C$38, 0.0369, 0)</f>
        <v>35.5291</v>
      </c>
      <c r="I500" s="14">
        <f>35.4937 * CHOOSE(CONTROL!$C$15, $E$9, 100%, $G$9) + CHOOSE(CONTROL!$C$38, 0.0369, 0)</f>
        <v>35.5306</v>
      </c>
      <c r="J500" s="44">
        <f>290.4339</f>
        <v>290.43389999999999</v>
      </c>
    </row>
    <row r="501" spans="1:10" ht="15.75" x14ac:dyDescent="0.25">
      <c r="A501" s="33">
        <v>56188</v>
      </c>
      <c r="B501" s="14">
        <f>37.9911 * CHOOSE(CONTROL!$C$15, $E$9, 100%, $G$9) + CHOOSE(CONTROL!$C$38, 0.0256, 0)</f>
        <v>38.0167</v>
      </c>
      <c r="C501" s="14">
        <f>35.8553 * CHOOSE(CONTROL!$C$15, $E$9, 100%, $G$9) + CHOOSE(CONTROL!$C$38, 0.0347, 0)</f>
        <v>35.89</v>
      </c>
      <c r="D501" s="14">
        <f>35.8475 * CHOOSE(CONTROL!$C$15, $E$9, 100%, $G$9) + CHOOSE(CONTROL!$C$38, 0.0347, 0)</f>
        <v>35.882199999999997</v>
      </c>
      <c r="E501" s="46">
        <f>37.8349 * CHOOSE(CONTROL!$C$15, $E$9, 100%, $G$9) + CHOOSE(CONTROL!$C$38, 0.0347, 0)</f>
        <v>37.869599999999998</v>
      </c>
      <c r="F501" s="45">
        <f>37.8349 * CHOOSE(CONTROL!$C$15, $E$9, 100%, $G$9) + CHOOSE(CONTROL!$C$38, 0.0256, 0)</f>
        <v>37.860499999999995</v>
      </c>
      <c r="G501" s="14">
        <f>35.8537 * CHOOSE(CONTROL!$C$15, $E$9, 100%, $G$9) + CHOOSE(CONTROL!$C$38, 0.0347, 0)</f>
        <v>35.888400000000004</v>
      </c>
      <c r="H501" s="14">
        <f>35.8537 * CHOOSE(CONTROL!$C$15, $E$9, 100%, $G$9) + CHOOSE(CONTROL!$C$38, 0.0347, 0)</f>
        <v>35.888400000000004</v>
      </c>
      <c r="I501" s="14">
        <f>35.8553 * CHOOSE(CONTROL!$C$15, $E$9, 100%, $G$9) + CHOOSE(CONTROL!$C$38, 0.0347, 0)</f>
        <v>35.89</v>
      </c>
      <c r="J501" s="44">
        <f>280.3904</f>
        <v>280.3904</v>
      </c>
    </row>
    <row r="502" spans="1:10" ht="15.75" x14ac:dyDescent="0.25">
      <c r="A502" s="33">
        <v>56218</v>
      </c>
      <c r="B502" s="14">
        <f>38.2928 * CHOOSE(CONTROL!$C$15, $E$9, 100%, $G$9) + CHOOSE(CONTROL!$C$38, 0.0256, 0)</f>
        <v>38.318399999999997</v>
      </c>
      <c r="C502" s="14">
        <f>36.157 * CHOOSE(CONTROL!$C$15, $E$9, 100%, $G$9) + CHOOSE(CONTROL!$C$38, 0.0347, 0)</f>
        <v>36.191699999999997</v>
      </c>
      <c r="D502" s="14">
        <f>36.1492 * CHOOSE(CONTROL!$C$15, $E$9, 100%, $G$9) + CHOOSE(CONTROL!$C$38, 0.0347, 0)</f>
        <v>36.183900000000001</v>
      </c>
      <c r="E502" s="46">
        <f>38.1366 * CHOOSE(CONTROL!$C$15, $E$9, 100%, $G$9) + CHOOSE(CONTROL!$C$38, 0.0347, 0)</f>
        <v>38.171300000000002</v>
      </c>
      <c r="F502" s="45">
        <f>38.1366 * CHOOSE(CONTROL!$C$15, $E$9, 100%, $G$9) + CHOOSE(CONTROL!$C$38, 0.0256, 0)</f>
        <v>38.162199999999999</v>
      </c>
      <c r="G502" s="14">
        <f>36.1554 * CHOOSE(CONTROL!$C$15, $E$9, 100%, $G$9) + CHOOSE(CONTROL!$C$38, 0.0347, 0)</f>
        <v>36.190100000000001</v>
      </c>
      <c r="H502" s="14">
        <f>36.1554 * CHOOSE(CONTROL!$C$15, $E$9, 100%, $G$9) + CHOOSE(CONTROL!$C$38, 0.0347, 0)</f>
        <v>36.190100000000001</v>
      </c>
      <c r="I502" s="14">
        <f>36.157 * CHOOSE(CONTROL!$C$15, $E$9, 100%, $G$9) + CHOOSE(CONTROL!$C$38, 0.0347, 0)</f>
        <v>36.191699999999997</v>
      </c>
      <c r="J502" s="44">
        <f>278.3925</f>
        <v>278.39249999999998</v>
      </c>
    </row>
    <row r="503" spans="1:10" ht="15.75" x14ac:dyDescent="0.25">
      <c r="A503" s="33">
        <v>56249</v>
      </c>
      <c r="B503" s="14">
        <f>39.2225 * CHOOSE(CONTROL!$C$15, $E$9, 100%, $G$9) + CHOOSE(CONTROL!$C$38, 0.0256, 0)</f>
        <v>39.248099999999994</v>
      </c>
      <c r="C503" s="14">
        <f>37.0867 * CHOOSE(CONTROL!$C$15, $E$9, 100%, $G$9) + CHOOSE(CONTROL!$C$38, 0.0347, 0)</f>
        <v>37.121400000000001</v>
      </c>
      <c r="D503" s="14">
        <f>37.0789 * CHOOSE(CONTROL!$C$15, $E$9, 100%, $G$9) + CHOOSE(CONTROL!$C$38, 0.0347, 0)</f>
        <v>37.113599999999998</v>
      </c>
      <c r="E503" s="46">
        <f>39.0662 * CHOOSE(CONTROL!$C$15, $E$9, 100%, $G$9) + CHOOSE(CONTROL!$C$38, 0.0347, 0)</f>
        <v>39.100900000000003</v>
      </c>
      <c r="F503" s="45">
        <f>39.0662 * CHOOSE(CONTROL!$C$15, $E$9, 100%, $G$9) + CHOOSE(CONTROL!$C$38, 0.0256, 0)</f>
        <v>39.091799999999999</v>
      </c>
      <c r="G503" s="14">
        <f>37.0851 * CHOOSE(CONTROL!$C$15, $E$9, 100%, $G$9) + CHOOSE(CONTROL!$C$38, 0.0347, 0)</f>
        <v>37.119799999999998</v>
      </c>
      <c r="H503" s="14">
        <f>37.0851 * CHOOSE(CONTROL!$C$15, $E$9, 100%, $G$9) + CHOOSE(CONTROL!$C$38, 0.0347, 0)</f>
        <v>37.119799999999998</v>
      </c>
      <c r="I503" s="14">
        <f>37.0867 * CHOOSE(CONTROL!$C$15, $E$9, 100%, $G$9) + CHOOSE(CONTROL!$C$38, 0.0347, 0)</f>
        <v>37.121400000000001</v>
      </c>
      <c r="J503" s="44">
        <f>270.1312</f>
        <v>270.13119999999998</v>
      </c>
    </row>
    <row r="504" spans="1:10" ht="15.75" x14ac:dyDescent="0.25">
      <c r="A504" s="33">
        <v>56280</v>
      </c>
      <c r="B504" s="14">
        <f>40.5905 * CHOOSE(CONTROL!$C$15, $E$9, 100%, $G$9) + CHOOSE(CONTROL!$C$38, 0.0256, 0)</f>
        <v>40.616099999999996</v>
      </c>
      <c r="C504" s="14">
        <f>38.4214 * CHOOSE(CONTROL!$C$15, $E$9, 100%, $G$9) + CHOOSE(CONTROL!$C$38, 0.0347, 0)</f>
        <v>38.456099999999999</v>
      </c>
      <c r="D504" s="14">
        <f>38.4136 * CHOOSE(CONTROL!$C$15, $E$9, 100%, $G$9) + CHOOSE(CONTROL!$C$38, 0.0347, 0)</f>
        <v>38.448300000000003</v>
      </c>
      <c r="E504" s="46">
        <f>40.4343 * CHOOSE(CONTROL!$C$15, $E$9, 100%, $G$9) + CHOOSE(CONTROL!$C$38, 0.0347, 0)</f>
        <v>40.469000000000001</v>
      </c>
      <c r="F504" s="45">
        <f>40.4343 * CHOOSE(CONTROL!$C$15, $E$9, 100%, $G$9) + CHOOSE(CONTROL!$C$38, 0.0256, 0)</f>
        <v>40.459899999999998</v>
      </c>
      <c r="G504" s="14">
        <f>38.4199 * CHOOSE(CONTROL!$C$15, $E$9, 100%, $G$9) + CHOOSE(CONTROL!$C$38, 0.0347, 0)</f>
        <v>38.454599999999999</v>
      </c>
      <c r="H504" s="14">
        <f>38.4199 * CHOOSE(CONTROL!$C$15, $E$9, 100%, $G$9) + CHOOSE(CONTROL!$C$38, 0.0347, 0)</f>
        <v>38.454599999999999</v>
      </c>
      <c r="I504" s="14">
        <f>38.4214 * CHOOSE(CONTROL!$C$15, $E$9, 100%, $G$9) + CHOOSE(CONTROL!$C$38, 0.0347, 0)</f>
        <v>38.456099999999999</v>
      </c>
      <c r="J504" s="44">
        <f>269.7829</f>
        <v>269.78289999999998</v>
      </c>
    </row>
    <row r="505" spans="1:10" ht="15.75" x14ac:dyDescent="0.25">
      <c r="A505" s="33">
        <v>56308</v>
      </c>
      <c r="B505" s="14">
        <f>40.9348 * CHOOSE(CONTROL!$C$15, $E$9, 100%, $G$9) + CHOOSE(CONTROL!$C$38, 0.0256, 0)</f>
        <v>40.9604</v>
      </c>
      <c r="C505" s="14">
        <f>38.7657 * CHOOSE(CONTROL!$C$15, $E$9, 100%, $G$9) + CHOOSE(CONTROL!$C$38, 0.0347, 0)</f>
        <v>38.800400000000003</v>
      </c>
      <c r="D505" s="14">
        <f>38.7579 * CHOOSE(CONTROL!$C$15, $E$9, 100%, $G$9) + CHOOSE(CONTROL!$C$38, 0.0347, 0)</f>
        <v>38.7926</v>
      </c>
      <c r="E505" s="46">
        <f>40.7786 * CHOOSE(CONTROL!$C$15, $E$9, 100%, $G$9) + CHOOSE(CONTROL!$C$38, 0.0347, 0)</f>
        <v>40.813299999999998</v>
      </c>
      <c r="F505" s="45">
        <f>40.7786 * CHOOSE(CONTROL!$C$15, $E$9, 100%, $G$9) + CHOOSE(CONTROL!$C$38, 0.0256, 0)</f>
        <v>40.804199999999994</v>
      </c>
      <c r="G505" s="14">
        <f>38.7642 * CHOOSE(CONTROL!$C$15, $E$9, 100%, $G$9) + CHOOSE(CONTROL!$C$38, 0.0347, 0)</f>
        <v>38.798900000000003</v>
      </c>
      <c r="H505" s="14">
        <f>38.7642 * CHOOSE(CONTROL!$C$15, $E$9, 100%, $G$9) + CHOOSE(CONTROL!$C$38, 0.0347, 0)</f>
        <v>38.798900000000003</v>
      </c>
      <c r="I505" s="14">
        <f>38.7657 * CHOOSE(CONTROL!$C$15, $E$9, 100%, $G$9) + CHOOSE(CONTROL!$C$38, 0.0347, 0)</f>
        <v>38.800400000000003</v>
      </c>
      <c r="J505" s="44">
        <f>269.0329</f>
        <v>269.03289999999998</v>
      </c>
    </row>
    <row r="506" spans="1:10" ht="15.75" x14ac:dyDescent="0.25">
      <c r="A506" s="33">
        <v>56339</v>
      </c>
      <c r="B506" s="14">
        <f>40.1378 * CHOOSE(CONTROL!$C$15, $E$9, 100%, $G$9) + CHOOSE(CONTROL!$C$38, 0.0256, 0)</f>
        <v>40.163399999999996</v>
      </c>
      <c r="C506" s="14">
        <f>37.9687 * CHOOSE(CONTROL!$C$15, $E$9, 100%, $G$9) + CHOOSE(CONTROL!$C$38, 0.0347, 0)</f>
        <v>38.003399999999999</v>
      </c>
      <c r="D506" s="14">
        <f>37.9609 * CHOOSE(CONTROL!$C$15, $E$9, 100%, $G$9) + CHOOSE(CONTROL!$C$38, 0.0347, 0)</f>
        <v>37.995600000000003</v>
      </c>
      <c r="E506" s="46">
        <f>39.9815 * CHOOSE(CONTROL!$C$15, $E$9, 100%, $G$9) + CHOOSE(CONTROL!$C$38, 0.0347, 0)</f>
        <v>40.016199999999998</v>
      </c>
      <c r="F506" s="45">
        <f>39.9815 * CHOOSE(CONTROL!$C$15, $E$9, 100%, $G$9) + CHOOSE(CONTROL!$C$38, 0.0256, 0)</f>
        <v>40.007099999999994</v>
      </c>
      <c r="G506" s="14">
        <f>37.9672 * CHOOSE(CONTROL!$C$15, $E$9, 100%, $G$9) + CHOOSE(CONTROL!$C$38, 0.0347, 0)</f>
        <v>38.001899999999999</v>
      </c>
      <c r="H506" s="14">
        <f>37.9672 * CHOOSE(CONTROL!$C$15, $E$9, 100%, $G$9) + CHOOSE(CONTROL!$C$38, 0.0347, 0)</f>
        <v>38.001899999999999</v>
      </c>
      <c r="I506" s="14">
        <f>37.9687 * CHOOSE(CONTROL!$C$15, $E$9, 100%, $G$9) + CHOOSE(CONTROL!$C$38, 0.0347, 0)</f>
        <v>38.003399999999999</v>
      </c>
      <c r="J506" s="44">
        <f>283.2125</f>
        <v>283.21249999999998</v>
      </c>
    </row>
    <row r="507" spans="1:10" ht="15.75" x14ac:dyDescent="0.25">
      <c r="A507" s="33">
        <v>56369</v>
      </c>
      <c r="B507" s="14">
        <f>39.3655 * CHOOSE(CONTROL!$C$15, $E$9, 100%, $G$9) + CHOOSE(CONTROL!$C$38, 0.0256, 0)</f>
        <v>39.391099999999994</v>
      </c>
      <c r="C507" s="14">
        <f>37.1964 * CHOOSE(CONTROL!$C$15, $E$9, 100%, $G$9) + CHOOSE(CONTROL!$C$38, 0.0347, 0)</f>
        <v>37.231099999999998</v>
      </c>
      <c r="D507" s="14">
        <f>37.1886 * CHOOSE(CONTROL!$C$15, $E$9, 100%, $G$9) + CHOOSE(CONTROL!$C$38, 0.0347, 0)</f>
        <v>37.223300000000002</v>
      </c>
      <c r="E507" s="46">
        <f>39.2092 * CHOOSE(CONTROL!$C$15, $E$9, 100%, $G$9) + CHOOSE(CONTROL!$C$38, 0.0347, 0)</f>
        <v>39.243900000000004</v>
      </c>
      <c r="F507" s="45">
        <f>39.2092 * CHOOSE(CONTROL!$C$15, $E$9, 100%, $G$9) + CHOOSE(CONTROL!$C$38, 0.0256, 0)</f>
        <v>39.2348</v>
      </c>
      <c r="G507" s="14">
        <f>37.1948 * CHOOSE(CONTROL!$C$15, $E$9, 100%, $G$9) + CHOOSE(CONTROL!$C$38, 0.0347, 0)</f>
        <v>37.229500000000002</v>
      </c>
      <c r="H507" s="14">
        <f>37.1948 * CHOOSE(CONTROL!$C$15, $E$9, 100%, $G$9) + CHOOSE(CONTROL!$C$38, 0.0347, 0)</f>
        <v>37.229500000000002</v>
      </c>
      <c r="I507" s="14">
        <f>37.1964 * CHOOSE(CONTROL!$C$15, $E$9, 100%, $G$9) + CHOOSE(CONTROL!$C$38, 0.0347, 0)</f>
        <v>37.231099999999998</v>
      </c>
      <c r="J507" s="44">
        <f>301.6001</f>
        <v>301.6001</v>
      </c>
    </row>
    <row r="508" spans="1:10" ht="15.75" x14ac:dyDescent="0.25">
      <c r="A508" s="33">
        <v>56400</v>
      </c>
      <c r="B508" s="14">
        <f>38.5605 * CHOOSE(CONTROL!$C$15, $E$9, 100%, $G$9) + CHOOSE(CONTROL!$C$38, 0.0278, 0)</f>
        <v>38.588299999999997</v>
      </c>
      <c r="C508" s="14">
        <f>36.3914 * CHOOSE(CONTROL!$C$15, $E$9, 100%, $G$9) + CHOOSE(CONTROL!$C$38, 0.0369, 0)</f>
        <v>36.4283</v>
      </c>
      <c r="D508" s="14">
        <f>36.3836 * CHOOSE(CONTROL!$C$15, $E$9, 100%, $G$9) + CHOOSE(CONTROL!$C$38, 0.0369, 0)</f>
        <v>36.420500000000004</v>
      </c>
      <c r="E508" s="46">
        <f>38.4043 * CHOOSE(CONTROL!$C$15, $E$9, 100%, $G$9) + CHOOSE(CONTROL!$C$38, 0.0369, 0)</f>
        <v>38.441200000000002</v>
      </c>
      <c r="F508" s="45">
        <f>38.4043 * CHOOSE(CONTROL!$C$15, $E$9, 100%, $G$9) + CHOOSE(CONTROL!$C$38, 0.0278, 0)</f>
        <v>38.432099999999998</v>
      </c>
      <c r="G508" s="14">
        <f>36.3899 * CHOOSE(CONTROL!$C$15, $E$9, 100%, $G$9) + CHOOSE(CONTROL!$C$38, 0.0369, 0)</f>
        <v>36.4268</v>
      </c>
      <c r="H508" s="14">
        <f>36.3899 * CHOOSE(CONTROL!$C$15, $E$9, 100%, $G$9) + CHOOSE(CONTROL!$C$38, 0.0369, 0)</f>
        <v>36.4268</v>
      </c>
      <c r="I508" s="14">
        <f>36.3914 * CHOOSE(CONTROL!$C$15, $E$9, 100%, $G$9) + CHOOSE(CONTROL!$C$38, 0.0369, 0)</f>
        <v>36.4283</v>
      </c>
      <c r="J508" s="44">
        <f>311.7212</f>
        <v>311.72120000000001</v>
      </c>
    </row>
    <row r="509" spans="1:10" ht="15.75" x14ac:dyDescent="0.25">
      <c r="A509" s="33">
        <v>56430</v>
      </c>
      <c r="B509" s="14">
        <f>37.9962 * CHOOSE(CONTROL!$C$15, $E$9, 100%, $G$9) + CHOOSE(CONTROL!$C$38, 0.0278, 0)</f>
        <v>38.024000000000001</v>
      </c>
      <c r="C509" s="14">
        <f>35.8271 * CHOOSE(CONTROL!$C$15, $E$9, 100%, $G$9) + CHOOSE(CONTROL!$C$38, 0.0369, 0)</f>
        <v>35.864000000000004</v>
      </c>
      <c r="D509" s="14">
        <f>35.8193 * CHOOSE(CONTROL!$C$15, $E$9, 100%, $G$9) + CHOOSE(CONTROL!$C$38, 0.0369, 0)</f>
        <v>35.856200000000001</v>
      </c>
      <c r="E509" s="46">
        <f>37.8399 * CHOOSE(CONTROL!$C$15, $E$9, 100%, $G$9) + CHOOSE(CONTROL!$C$38, 0.0369, 0)</f>
        <v>37.876800000000003</v>
      </c>
      <c r="F509" s="45">
        <f>37.8399 * CHOOSE(CONTROL!$C$15, $E$9, 100%, $G$9) + CHOOSE(CONTROL!$C$38, 0.0278, 0)</f>
        <v>37.867699999999999</v>
      </c>
      <c r="G509" s="14">
        <f>35.8255 * CHOOSE(CONTROL!$C$15, $E$9, 100%, $G$9) + CHOOSE(CONTROL!$C$38, 0.0369, 0)</f>
        <v>35.862400000000001</v>
      </c>
      <c r="H509" s="14">
        <f>35.8255 * CHOOSE(CONTROL!$C$15, $E$9, 100%, $G$9) + CHOOSE(CONTROL!$C$38, 0.0369, 0)</f>
        <v>35.862400000000001</v>
      </c>
      <c r="I509" s="14">
        <f>35.8271 * CHOOSE(CONTROL!$C$15, $E$9, 100%, $G$9) + CHOOSE(CONTROL!$C$38, 0.0369, 0)</f>
        <v>35.864000000000004</v>
      </c>
      <c r="J509" s="44">
        <f>316.2127</f>
        <v>316.21269999999998</v>
      </c>
    </row>
    <row r="510" spans="1:10" ht="15.75" x14ac:dyDescent="0.25">
      <c r="A510" s="33">
        <v>56461</v>
      </c>
      <c r="B510" s="14">
        <f>37.6741 * CHOOSE(CONTROL!$C$15, $E$9, 100%, $G$9) + CHOOSE(CONTROL!$C$38, 0.0278, 0)</f>
        <v>37.701900000000002</v>
      </c>
      <c r="C510" s="14">
        <f>35.5051 * CHOOSE(CONTROL!$C$15, $E$9, 100%, $G$9) + CHOOSE(CONTROL!$C$38, 0.0369, 0)</f>
        <v>35.542000000000002</v>
      </c>
      <c r="D510" s="14">
        <f>35.4972 * CHOOSE(CONTROL!$C$15, $E$9, 100%, $G$9) + CHOOSE(CONTROL!$C$38, 0.0369, 0)</f>
        <v>35.534100000000002</v>
      </c>
      <c r="E510" s="46">
        <f>37.5179 * CHOOSE(CONTROL!$C$15, $E$9, 100%, $G$9) + CHOOSE(CONTROL!$C$38, 0.0369, 0)</f>
        <v>37.5548</v>
      </c>
      <c r="F510" s="45">
        <f>37.5179 * CHOOSE(CONTROL!$C$15, $E$9, 100%, $G$9) + CHOOSE(CONTROL!$C$38, 0.0278, 0)</f>
        <v>37.545699999999997</v>
      </c>
      <c r="G510" s="14">
        <f>35.5035 * CHOOSE(CONTROL!$C$15, $E$9, 100%, $G$9) + CHOOSE(CONTROL!$C$38, 0.0369, 0)</f>
        <v>35.540400000000005</v>
      </c>
      <c r="H510" s="14">
        <f>35.5035 * CHOOSE(CONTROL!$C$15, $E$9, 100%, $G$9) + CHOOSE(CONTROL!$C$38, 0.0369, 0)</f>
        <v>35.540400000000005</v>
      </c>
      <c r="I510" s="14">
        <f>35.5051 * CHOOSE(CONTROL!$C$15, $E$9, 100%, $G$9) + CHOOSE(CONTROL!$C$38, 0.0369, 0)</f>
        <v>35.542000000000002</v>
      </c>
      <c r="J510" s="44">
        <f>314.7339</f>
        <v>314.73390000000001</v>
      </c>
    </row>
    <row r="511" spans="1:10" ht="15.75" x14ac:dyDescent="0.25">
      <c r="A511" s="33">
        <v>56492</v>
      </c>
      <c r="B511" s="14">
        <f>37.8331 * CHOOSE(CONTROL!$C$15, $E$9, 100%, $G$9) + CHOOSE(CONTROL!$C$38, 0.0278, 0)</f>
        <v>37.860900000000001</v>
      </c>
      <c r="C511" s="14">
        <f>35.664 * CHOOSE(CONTROL!$C$15, $E$9, 100%, $G$9) + CHOOSE(CONTROL!$C$38, 0.0369, 0)</f>
        <v>35.700900000000004</v>
      </c>
      <c r="D511" s="14">
        <f>35.6562 * CHOOSE(CONTROL!$C$15, $E$9, 100%, $G$9) + CHOOSE(CONTROL!$C$38, 0.0369, 0)</f>
        <v>35.693100000000001</v>
      </c>
      <c r="E511" s="46">
        <f>37.6768 * CHOOSE(CONTROL!$C$15, $E$9, 100%, $G$9) + CHOOSE(CONTROL!$C$38, 0.0369, 0)</f>
        <v>37.713700000000003</v>
      </c>
      <c r="F511" s="45">
        <f>37.6768 * CHOOSE(CONTROL!$C$15, $E$9, 100%, $G$9) + CHOOSE(CONTROL!$C$38, 0.0278, 0)</f>
        <v>37.704599999999999</v>
      </c>
      <c r="G511" s="14">
        <f>35.6624 * CHOOSE(CONTROL!$C$15, $E$9, 100%, $G$9) + CHOOSE(CONTROL!$C$38, 0.0369, 0)</f>
        <v>35.699300000000001</v>
      </c>
      <c r="H511" s="14">
        <f>35.6624 * CHOOSE(CONTROL!$C$15, $E$9, 100%, $G$9) + CHOOSE(CONTROL!$C$38, 0.0369, 0)</f>
        <v>35.699300000000001</v>
      </c>
      <c r="I511" s="14">
        <f>35.664 * CHOOSE(CONTROL!$C$15, $E$9, 100%, $G$9) + CHOOSE(CONTROL!$C$38, 0.0369, 0)</f>
        <v>35.700900000000004</v>
      </c>
      <c r="J511" s="44">
        <f>307.407</f>
        <v>307.40699999999998</v>
      </c>
    </row>
    <row r="512" spans="1:10" ht="15.75" x14ac:dyDescent="0.25">
      <c r="A512" s="33">
        <v>56522</v>
      </c>
      <c r="B512" s="14">
        <f>38.2648 * CHOOSE(CONTROL!$C$15, $E$9, 100%, $G$9) + CHOOSE(CONTROL!$C$38, 0.0278, 0)</f>
        <v>38.2926</v>
      </c>
      <c r="C512" s="14">
        <f>36.0957 * CHOOSE(CONTROL!$C$15, $E$9, 100%, $G$9) + CHOOSE(CONTROL!$C$38, 0.0369, 0)</f>
        <v>36.132600000000004</v>
      </c>
      <c r="D512" s="14">
        <f>36.0879 * CHOOSE(CONTROL!$C$15, $E$9, 100%, $G$9) + CHOOSE(CONTROL!$C$38, 0.0369, 0)</f>
        <v>36.1248</v>
      </c>
      <c r="E512" s="46">
        <f>38.1085 * CHOOSE(CONTROL!$C$15, $E$9, 100%, $G$9) + CHOOSE(CONTROL!$C$38, 0.0369, 0)</f>
        <v>38.145400000000002</v>
      </c>
      <c r="F512" s="45">
        <f>38.1085 * CHOOSE(CONTROL!$C$15, $E$9, 100%, $G$9) + CHOOSE(CONTROL!$C$38, 0.0278, 0)</f>
        <v>38.136299999999999</v>
      </c>
      <c r="G512" s="14">
        <f>36.0941 * CHOOSE(CONTROL!$C$15, $E$9, 100%, $G$9) + CHOOSE(CONTROL!$C$38, 0.0369, 0)</f>
        <v>36.131</v>
      </c>
      <c r="H512" s="14">
        <f>36.0941 * CHOOSE(CONTROL!$C$15, $E$9, 100%, $G$9) + CHOOSE(CONTROL!$C$38, 0.0369, 0)</f>
        <v>36.131</v>
      </c>
      <c r="I512" s="14">
        <f>36.0957 * CHOOSE(CONTROL!$C$15, $E$9, 100%, $G$9) + CHOOSE(CONTROL!$C$38, 0.0369, 0)</f>
        <v>36.132600000000004</v>
      </c>
      <c r="J512" s="44">
        <f>297.1894</f>
        <v>297.18939999999998</v>
      </c>
    </row>
    <row r="513" spans="1:10" ht="15.75" x14ac:dyDescent="0.25">
      <c r="A513" s="33">
        <v>56553</v>
      </c>
      <c r="B513" s="14">
        <f>38.6263 * CHOOSE(CONTROL!$C$15, $E$9, 100%, $G$9) + CHOOSE(CONTROL!$C$38, 0.0256, 0)</f>
        <v>38.651899999999998</v>
      </c>
      <c r="C513" s="14">
        <f>36.4573 * CHOOSE(CONTROL!$C$15, $E$9, 100%, $G$9) + CHOOSE(CONTROL!$C$38, 0.0347, 0)</f>
        <v>36.491999999999997</v>
      </c>
      <c r="D513" s="14">
        <f>36.4495 * CHOOSE(CONTROL!$C$15, $E$9, 100%, $G$9) + CHOOSE(CONTROL!$C$38, 0.0347, 0)</f>
        <v>36.484200000000001</v>
      </c>
      <c r="E513" s="46">
        <f>38.4701 * CHOOSE(CONTROL!$C$15, $E$9, 100%, $G$9) + CHOOSE(CONTROL!$C$38, 0.0347, 0)</f>
        <v>38.504800000000003</v>
      </c>
      <c r="F513" s="45">
        <f>38.4701 * CHOOSE(CONTROL!$C$15, $E$9, 100%, $G$9) + CHOOSE(CONTROL!$C$38, 0.0256, 0)</f>
        <v>38.495699999999999</v>
      </c>
      <c r="G513" s="14">
        <f>36.4557 * CHOOSE(CONTROL!$C$15, $E$9, 100%, $G$9) + CHOOSE(CONTROL!$C$38, 0.0347, 0)</f>
        <v>36.490400000000001</v>
      </c>
      <c r="H513" s="14">
        <f>36.4557 * CHOOSE(CONTROL!$C$15, $E$9, 100%, $G$9) + CHOOSE(CONTROL!$C$38, 0.0347, 0)</f>
        <v>36.490400000000001</v>
      </c>
      <c r="I513" s="14">
        <f>36.4573 * CHOOSE(CONTROL!$C$15, $E$9, 100%, $G$9) + CHOOSE(CONTROL!$C$38, 0.0347, 0)</f>
        <v>36.491999999999997</v>
      </c>
      <c r="J513" s="44">
        <f>286.9122</f>
        <v>286.91219999999998</v>
      </c>
    </row>
    <row r="514" spans="1:10" ht="15.75" x14ac:dyDescent="0.25">
      <c r="A514" s="33">
        <v>56583</v>
      </c>
      <c r="B514" s="14">
        <f>38.9281 * CHOOSE(CONTROL!$C$15, $E$9, 100%, $G$9) + CHOOSE(CONTROL!$C$38, 0.0256, 0)</f>
        <v>38.953699999999998</v>
      </c>
      <c r="C514" s="14">
        <f>36.759 * CHOOSE(CONTROL!$C$15, $E$9, 100%, $G$9) + CHOOSE(CONTROL!$C$38, 0.0347, 0)</f>
        <v>36.793700000000001</v>
      </c>
      <c r="D514" s="14">
        <f>36.7512 * CHOOSE(CONTROL!$C$15, $E$9, 100%, $G$9) + CHOOSE(CONTROL!$C$38, 0.0347, 0)</f>
        <v>36.785899999999998</v>
      </c>
      <c r="E514" s="46">
        <f>38.7718 * CHOOSE(CONTROL!$C$15, $E$9, 100%, $G$9) + CHOOSE(CONTROL!$C$38, 0.0347, 0)</f>
        <v>38.8065</v>
      </c>
      <c r="F514" s="45">
        <f>38.7718 * CHOOSE(CONTROL!$C$15, $E$9, 100%, $G$9) + CHOOSE(CONTROL!$C$38, 0.0256, 0)</f>
        <v>38.797399999999996</v>
      </c>
      <c r="G514" s="14">
        <f>36.7574 * CHOOSE(CONTROL!$C$15, $E$9, 100%, $G$9) + CHOOSE(CONTROL!$C$38, 0.0347, 0)</f>
        <v>36.792099999999998</v>
      </c>
      <c r="H514" s="14">
        <f>36.7574 * CHOOSE(CONTROL!$C$15, $E$9, 100%, $G$9) + CHOOSE(CONTROL!$C$38, 0.0347, 0)</f>
        <v>36.792099999999998</v>
      </c>
      <c r="I514" s="14">
        <f>36.759 * CHOOSE(CONTROL!$C$15, $E$9, 100%, $G$9) + CHOOSE(CONTROL!$C$38, 0.0347, 0)</f>
        <v>36.793700000000001</v>
      </c>
      <c r="J514" s="44">
        <f>284.8679</f>
        <v>284.86790000000002</v>
      </c>
    </row>
    <row r="515" spans="1:10" ht="15.75" x14ac:dyDescent="0.25">
      <c r="A515" s="33">
        <v>56614</v>
      </c>
      <c r="B515" s="14">
        <f>39.8577 * CHOOSE(CONTROL!$C$15, $E$9, 100%, $G$9) + CHOOSE(CONTROL!$C$38, 0.0256, 0)</f>
        <v>39.883299999999998</v>
      </c>
      <c r="C515" s="14">
        <f>37.6886 * CHOOSE(CONTROL!$C$15, $E$9, 100%, $G$9) + CHOOSE(CONTROL!$C$38, 0.0347, 0)</f>
        <v>37.723300000000002</v>
      </c>
      <c r="D515" s="14">
        <f>37.6808 * CHOOSE(CONTROL!$C$15, $E$9, 100%, $G$9) + CHOOSE(CONTROL!$C$38, 0.0347, 0)</f>
        <v>37.715499999999999</v>
      </c>
      <c r="E515" s="46">
        <f>39.7015 * CHOOSE(CONTROL!$C$15, $E$9, 100%, $G$9) + CHOOSE(CONTROL!$C$38, 0.0347, 0)</f>
        <v>39.736200000000004</v>
      </c>
      <c r="F515" s="45">
        <f>39.7015 * CHOOSE(CONTROL!$C$15, $E$9, 100%, $G$9) + CHOOSE(CONTROL!$C$38, 0.0256, 0)</f>
        <v>39.7271</v>
      </c>
      <c r="G515" s="14">
        <f>37.6871 * CHOOSE(CONTROL!$C$15, $E$9, 100%, $G$9) + CHOOSE(CONTROL!$C$38, 0.0347, 0)</f>
        <v>37.721800000000002</v>
      </c>
      <c r="H515" s="14">
        <f>37.6871 * CHOOSE(CONTROL!$C$15, $E$9, 100%, $G$9) + CHOOSE(CONTROL!$C$38, 0.0347, 0)</f>
        <v>37.721800000000002</v>
      </c>
      <c r="I515" s="14">
        <f>37.6886 * CHOOSE(CONTROL!$C$15, $E$9, 100%, $G$9) + CHOOSE(CONTROL!$C$38, 0.0347, 0)</f>
        <v>37.723300000000002</v>
      </c>
      <c r="J515" s="44">
        <f>276.4144</f>
        <v>276.4144</v>
      </c>
    </row>
    <row r="516" spans="1:10" ht="15.75" x14ac:dyDescent="0.25">
      <c r="A516" s="32">
        <v>56645</v>
      </c>
      <c r="B516" s="14">
        <f>41.2364 * CHOOSE(CONTROL!$C$15, $E$9, 100%, $G$9) + CHOOSE(CONTROL!$C$38, 0.0256, 0)</f>
        <v>41.262</v>
      </c>
      <c r="C516" s="14">
        <f>39.0335 * CHOOSE(CONTROL!$C$15, $E$9, 100%, $G$9) + CHOOSE(CONTROL!$C$38, 0.0347, 0)</f>
        <v>39.068199999999997</v>
      </c>
      <c r="D516" s="14">
        <f>39.0257 * CHOOSE(CONTROL!$C$15, $E$9, 100%, $G$9) + CHOOSE(CONTROL!$C$38, 0.0347, 0)</f>
        <v>39.060400000000001</v>
      </c>
      <c r="E516" s="46">
        <f>41.0802 * CHOOSE(CONTROL!$C$15, $E$9, 100%, $G$9) + CHOOSE(CONTROL!$C$38, 0.0347, 0)</f>
        <v>41.114899999999999</v>
      </c>
      <c r="F516" s="45">
        <f>41.0802 * CHOOSE(CONTROL!$C$15, $E$9, 100%, $G$9) + CHOOSE(CONTROL!$C$38, 0.0256, 0)</f>
        <v>41.105799999999995</v>
      </c>
      <c r="G516" s="14">
        <f>39.032 * CHOOSE(CONTROL!$C$15, $E$9, 100%, $G$9) + CHOOSE(CONTROL!$C$38, 0.0347, 0)</f>
        <v>39.066699999999997</v>
      </c>
      <c r="H516" s="14">
        <f>39.032 * CHOOSE(CONTROL!$C$15, $E$9, 100%, $G$9) + CHOOSE(CONTROL!$C$38, 0.0347, 0)</f>
        <v>39.066699999999997</v>
      </c>
      <c r="I516" s="14">
        <f>39.0335 * CHOOSE(CONTROL!$C$15, $E$9, 100%, $G$9) + CHOOSE(CONTROL!$C$38, 0.0347, 0)</f>
        <v>39.068199999999997</v>
      </c>
      <c r="J516" s="44">
        <f>276.058</f>
        <v>276.05799999999999</v>
      </c>
    </row>
    <row r="517" spans="1:10" ht="15.75" x14ac:dyDescent="0.25">
      <c r="A517" s="32">
        <v>56673</v>
      </c>
      <c r="B517" s="14">
        <f>41.5807 * CHOOSE(CONTROL!$C$15, $E$9, 100%, $G$9) + CHOOSE(CONTROL!$C$38, 0.0256, 0)</f>
        <v>41.606299999999997</v>
      </c>
      <c r="C517" s="14">
        <f>39.3778 * CHOOSE(CONTROL!$C$15, $E$9, 100%, $G$9) + CHOOSE(CONTROL!$C$38, 0.0347, 0)</f>
        <v>39.412500000000001</v>
      </c>
      <c r="D517" s="14">
        <f>39.37 * CHOOSE(CONTROL!$C$15, $E$9, 100%, $G$9) + CHOOSE(CONTROL!$C$38, 0.0347, 0)</f>
        <v>39.404699999999998</v>
      </c>
      <c r="E517" s="46">
        <f>41.4245 * CHOOSE(CONTROL!$C$15, $E$9, 100%, $G$9) + CHOOSE(CONTROL!$C$38, 0.0347, 0)</f>
        <v>41.459200000000003</v>
      </c>
      <c r="F517" s="45">
        <f>41.4245 * CHOOSE(CONTROL!$C$15, $E$9, 100%, $G$9) + CHOOSE(CONTROL!$C$38, 0.0256, 0)</f>
        <v>41.450099999999999</v>
      </c>
      <c r="G517" s="14">
        <f>39.3763 * CHOOSE(CONTROL!$C$15, $E$9, 100%, $G$9) + CHOOSE(CONTROL!$C$38, 0.0347, 0)</f>
        <v>39.411000000000001</v>
      </c>
      <c r="H517" s="14">
        <f>39.3763 * CHOOSE(CONTROL!$C$15, $E$9, 100%, $G$9) + CHOOSE(CONTROL!$C$38, 0.0347, 0)</f>
        <v>39.411000000000001</v>
      </c>
      <c r="I517" s="14">
        <f>39.3778 * CHOOSE(CONTROL!$C$15, $E$9, 100%, $G$9) + CHOOSE(CONTROL!$C$38, 0.0347, 0)</f>
        <v>39.412500000000001</v>
      </c>
      <c r="J517" s="44">
        <f>275.2907</f>
        <v>275.29070000000002</v>
      </c>
    </row>
    <row r="518" spans="1:10" ht="15.75" x14ac:dyDescent="0.25">
      <c r="A518" s="32">
        <v>56704</v>
      </c>
      <c r="B518" s="14">
        <f>40.7837 * CHOOSE(CONTROL!$C$15, $E$9, 100%, $G$9) + CHOOSE(CONTROL!$C$38, 0.0256, 0)</f>
        <v>40.8093</v>
      </c>
      <c r="C518" s="14">
        <f>38.5808 * CHOOSE(CONTROL!$C$15, $E$9, 100%, $G$9) + CHOOSE(CONTROL!$C$38, 0.0347, 0)</f>
        <v>38.615500000000004</v>
      </c>
      <c r="D518" s="14">
        <f>38.573 * CHOOSE(CONTROL!$C$15, $E$9, 100%, $G$9) + CHOOSE(CONTROL!$C$38, 0.0347, 0)</f>
        <v>38.607700000000001</v>
      </c>
      <c r="E518" s="46">
        <f>40.6274 * CHOOSE(CONTROL!$C$15, $E$9, 100%, $G$9) + CHOOSE(CONTROL!$C$38, 0.0347, 0)</f>
        <v>40.662100000000002</v>
      </c>
      <c r="F518" s="45">
        <f>40.6274 * CHOOSE(CONTROL!$C$15, $E$9, 100%, $G$9) + CHOOSE(CONTROL!$C$38, 0.0256, 0)</f>
        <v>40.652999999999999</v>
      </c>
      <c r="G518" s="14">
        <f>38.5792 * CHOOSE(CONTROL!$C$15, $E$9, 100%, $G$9) + CHOOSE(CONTROL!$C$38, 0.0347, 0)</f>
        <v>38.613900000000001</v>
      </c>
      <c r="H518" s="14">
        <f>38.5792 * CHOOSE(CONTROL!$C$15, $E$9, 100%, $G$9) + CHOOSE(CONTROL!$C$38, 0.0347, 0)</f>
        <v>38.613900000000001</v>
      </c>
      <c r="I518" s="14">
        <f>38.5808 * CHOOSE(CONTROL!$C$15, $E$9, 100%, $G$9) + CHOOSE(CONTROL!$C$38, 0.0347, 0)</f>
        <v>38.615500000000004</v>
      </c>
      <c r="J518" s="44">
        <f>289.8001</f>
        <v>289.80009999999999</v>
      </c>
    </row>
    <row r="519" spans="1:10" ht="15.75" x14ac:dyDescent="0.25">
      <c r="A519" s="32">
        <v>56734</v>
      </c>
      <c r="B519" s="14">
        <f>40.0114 * CHOOSE(CONTROL!$C$15, $E$9, 100%, $G$9) + CHOOSE(CONTROL!$C$38, 0.0256, 0)</f>
        <v>40.036999999999999</v>
      </c>
      <c r="C519" s="14">
        <f>37.8085 * CHOOSE(CONTROL!$C$15, $E$9, 100%, $G$9) + CHOOSE(CONTROL!$C$38, 0.0347, 0)</f>
        <v>37.843200000000003</v>
      </c>
      <c r="D519" s="14">
        <f>37.8007 * CHOOSE(CONTROL!$C$15, $E$9, 100%, $G$9) + CHOOSE(CONTROL!$C$38, 0.0347, 0)</f>
        <v>37.8354</v>
      </c>
      <c r="E519" s="46">
        <f>39.8551 * CHOOSE(CONTROL!$C$15, $E$9, 100%, $G$9) + CHOOSE(CONTROL!$C$38, 0.0347, 0)</f>
        <v>39.889800000000001</v>
      </c>
      <c r="F519" s="45">
        <f>39.8551 * CHOOSE(CONTROL!$C$15, $E$9, 100%, $G$9) + CHOOSE(CONTROL!$C$38, 0.0256, 0)</f>
        <v>39.880699999999997</v>
      </c>
      <c r="G519" s="14">
        <f>37.8069 * CHOOSE(CONTROL!$C$15, $E$9, 100%, $G$9) + CHOOSE(CONTROL!$C$38, 0.0347, 0)</f>
        <v>37.8416</v>
      </c>
      <c r="H519" s="14">
        <f>37.8069 * CHOOSE(CONTROL!$C$15, $E$9, 100%, $G$9) + CHOOSE(CONTROL!$C$38, 0.0347, 0)</f>
        <v>37.8416</v>
      </c>
      <c r="I519" s="14">
        <f>37.8085 * CHOOSE(CONTROL!$C$15, $E$9, 100%, $G$9) + CHOOSE(CONTROL!$C$38, 0.0347, 0)</f>
        <v>37.843200000000003</v>
      </c>
      <c r="J519" s="44">
        <f>308.6153</f>
        <v>308.61529999999999</v>
      </c>
    </row>
    <row r="520" spans="1:10" ht="15.75" x14ac:dyDescent="0.25">
      <c r="A520" s="32">
        <v>56765</v>
      </c>
      <c r="B520" s="14">
        <f>39.2064 * CHOOSE(CONTROL!$C$15, $E$9, 100%, $G$9) + CHOOSE(CONTROL!$C$38, 0.0278, 0)</f>
        <v>39.234200000000001</v>
      </c>
      <c r="C520" s="14">
        <f>37.0035 * CHOOSE(CONTROL!$C$15, $E$9, 100%, $G$9) + CHOOSE(CONTROL!$C$38, 0.0369, 0)</f>
        <v>37.040400000000005</v>
      </c>
      <c r="D520" s="14">
        <f>36.9957 * CHOOSE(CONTROL!$C$15, $E$9, 100%, $G$9) + CHOOSE(CONTROL!$C$38, 0.0369, 0)</f>
        <v>37.032600000000002</v>
      </c>
      <c r="E520" s="46">
        <f>39.0502 * CHOOSE(CONTROL!$C$15, $E$9, 100%, $G$9) + CHOOSE(CONTROL!$C$38, 0.0369, 0)</f>
        <v>39.0871</v>
      </c>
      <c r="F520" s="45">
        <f>39.0502 * CHOOSE(CONTROL!$C$15, $E$9, 100%, $G$9) + CHOOSE(CONTROL!$C$38, 0.0278, 0)</f>
        <v>39.077999999999996</v>
      </c>
      <c r="G520" s="14">
        <f>37.002 * CHOOSE(CONTROL!$C$15, $E$9, 100%, $G$9) + CHOOSE(CONTROL!$C$38, 0.0369, 0)</f>
        <v>37.038900000000005</v>
      </c>
      <c r="H520" s="14">
        <f>37.002 * CHOOSE(CONTROL!$C$15, $E$9, 100%, $G$9) + CHOOSE(CONTROL!$C$38, 0.0369, 0)</f>
        <v>37.038900000000005</v>
      </c>
      <c r="I520" s="14">
        <f>37.0035 * CHOOSE(CONTROL!$C$15, $E$9, 100%, $G$9) + CHOOSE(CONTROL!$C$38, 0.0369, 0)</f>
        <v>37.040400000000005</v>
      </c>
      <c r="J520" s="44">
        <f>318.9718</f>
        <v>318.97179999999997</v>
      </c>
    </row>
    <row r="521" spans="1:10" ht="15.75" x14ac:dyDescent="0.25">
      <c r="A521" s="32">
        <v>56795</v>
      </c>
      <c r="B521" s="14">
        <f>38.6421 * CHOOSE(CONTROL!$C$15, $E$9, 100%, $G$9) + CHOOSE(CONTROL!$C$38, 0.0278, 0)</f>
        <v>38.669899999999998</v>
      </c>
      <c r="C521" s="14">
        <f>36.4392 * CHOOSE(CONTROL!$C$15, $E$9, 100%, $G$9) + CHOOSE(CONTROL!$C$38, 0.0369, 0)</f>
        <v>36.476100000000002</v>
      </c>
      <c r="D521" s="14">
        <f>36.4314 * CHOOSE(CONTROL!$C$15, $E$9, 100%, $G$9) + CHOOSE(CONTROL!$C$38, 0.0369, 0)</f>
        <v>36.468299999999999</v>
      </c>
      <c r="E521" s="46">
        <f>38.4858 * CHOOSE(CONTROL!$C$15, $E$9, 100%, $G$9) + CHOOSE(CONTROL!$C$38, 0.0369, 0)</f>
        <v>38.5227</v>
      </c>
      <c r="F521" s="45">
        <f>38.4858 * CHOOSE(CONTROL!$C$15, $E$9, 100%, $G$9) + CHOOSE(CONTROL!$C$38, 0.0278, 0)</f>
        <v>38.513599999999997</v>
      </c>
      <c r="G521" s="14">
        <f>36.4376 * CHOOSE(CONTROL!$C$15, $E$9, 100%, $G$9) + CHOOSE(CONTROL!$C$38, 0.0369, 0)</f>
        <v>36.474500000000006</v>
      </c>
      <c r="H521" s="14">
        <f>36.4376 * CHOOSE(CONTROL!$C$15, $E$9, 100%, $G$9) + CHOOSE(CONTROL!$C$38, 0.0369, 0)</f>
        <v>36.474500000000006</v>
      </c>
      <c r="I521" s="14">
        <f>36.4392 * CHOOSE(CONTROL!$C$15, $E$9, 100%, $G$9) + CHOOSE(CONTROL!$C$38, 0.0369, 0)</f>
        <v>36.476100000000002</v>
      </c>
      <c r="J521" s="44">
        <f>323.5679</f>
        <v>323.56790000000001</v>
      </c>
    </row>
    <row r="522" spans="1:10" ht="15.75" x14ac:dyDescent="0.25">
      <c r="A522" s="32">
        <v>56826</v>
      </c>
      <c r="B522" s="14">
        <f>38.32 * CHOOSE(CONTROL!$C$15, $E$9, 100%, $G$9) + CHOOSE(CONTROL!$C$38, 0.0278, 0)</f>
        <v>38.347799999999999</v>
      </c>
      <c r="C522" s="14">
        <f>36.1171 * CHOOSE(CONTROL!$C$15, $E$9, 100%, $G$9) + CHOOSE(CONTROL!$C$38, 0.0369, 0)</f>
        <v>36.154000000000003</v>
      </c>
      <c r="D522" s="14">
        <f>36.1093 * CHOOSE(CONTROL!$C$15, $E$9, 100%, $G$9) + CHOOSE(CONTROL!$C$38, 0.0369, 0)</f>
        <v>36.1462</v>
      </c>
      <c r="E522" s="46">
        <f>38.1638 * CHOOSE(CONTROL!$C$15, $E$9, 100%, $G$9) + CHOOSE(CONTROL!$C$38, 0.0369, 0)</f>
        <v>38.200700000000005</v>
      </c>
      <c r="F522" s="45">
        <f>38.1638 * CHOOSE(CONTROL!$C$15, $E$9, 100%, $G$9) + CHOOSE(CONTROL!$C$38, 0.0278, 0)</f>
        <v>38.191600000000001</v>
      </c>
      <c r="G522" s="14">
        <f>36.1156 * CHOOSE(CONTROL!$C$15, $E$9, 100%, $G$9) + CHOOSE(CONTROL!$C$38, 0.0369, 0)</f>
        <v>36.152500000000003</v>
      </c>
      <c r="H522" s="14">
        <f>36.1156 * CHOOSE(CONTROL!$C$15, $E$9, 100%, $G$9) + CHOOSE(CONTROL!$C$38, 0.0369, 0)</f>
        <v>36.152500000000003</v>
      </c>
      <c r="I522" s="14">
        <f>36.1171 * CHOOSE(CONTROL!$C$15, $E$9, 100%, $G$9) + CHOOSE(CONTROL!$C$38, 0.0369, 0)</f>
        <v>36.154000000000003</v>
      </c>
      <c r="J522" s="44">
        <f>322.0546</f>
        <v>322.05459999999999</v>
      </c>
    </row>
    <row r="523" spans="1:10" ht="15.75" x14ac:dyDescent="0.25">
      <c r="A523" s="32">
        <v>56857</v>
      </c>
      <c r="B523" s="14">
        <f>38.479 * CHOOSE(CONTROL!$C$15, $E$9, 100%, $G$9) + CHOOSE(CONTROL!$C$38, 0.0278, 0)</f>
        <v>38.506799999999998</v>
      </c>
      <c r="C523" s="14">
        <f>36.2761 * CHOOSE(CONTROL!$C$15, $E$9, 100%, $G$9) + CHOOSE(CONTROL!$C$38, 0.0369, 0)</f>
        <v>36.313000000000002</v>
      </c>
      <c r="D523" s="14">
        <f>36.2683 * CHOOSE(CONTROL!$C$15, $E$9, 100%, $G$9) + CHOOSE(CONTROL!$C$38, 0.0369, 0)</f>
        <v>36.305200000000006</v>
      </c>
      <c r="E523" s="46">
        <f>38.3227 * CHOOSE(CONTROL!$C$15, $E$9, 100%, $G$9) + CHOOSE(CONTROL!$C$38, 0.0369, 0)</f>
        <v>38.3596</v>
      </c>
      <c r="F523" s="45">
        <f>38.3227 * CHOOSE(CONTROL!$C$15, $E$9, 100%, $G$9) + CHOOSE(CONTROL!$C$38, 0.0278, 0)</f>
        <v>38.350499999999997</v>
      </c>
      <c r="G523" s="14">
        <f>36.2745 * CHOOSE(CONTROL!$C$15, $E$9, 100%, $G$9) + CHOOSE(CONTROL!$C$38, 0.0369, 0)</f>
        <v>36.311400000000006</v>
      </c>
      <c r="H523" s="14">
        <f>36.2745 * CHOOSE(CONTROL!$C$15, $E$9, 100%, $G$9) + CHOOSE(CONTROL!$C$38, 0.0369, 0)</f>
        <v>36.311400000000006</v>
      </c>
      <c r="I523" s="14">
        <f>36.2761 * CHOOSE(CONTROL!$C$15, $E$9, 100%, $G$9) + CHOOSE(CONTROL!$C$38, 0.0369, 0)</f>
        <v>36.313000000000002</v>
      </c>
      <c r="J523" s="44">
        <f>314.5573</f>
        <v>314.5573</v>
      </c>
    </row>
    <row r="524" spans="1:10" ht="15.75" x14ac:dyDescent="0.25">
      <c r="A524" s="32">
        <v>56887</v>
      </c>
      <c r="B524" s="14">
        <f>38.9107 * CHOOSE(CONTROL!$C$15, $E$9, 100%, $G$9) + CHOOSE(CONTROL!$C$38, 0.0278, 0)</f>
        <v>38.938499999999998</v>
      </c>
      <c r="C524" s="14">
        <f>36.7078 * CHOOSE(CONTROL!$C$15, $E$9, 100%, $G$9) + CHOOSE(CONTROL!$C$38, 0.0369, 0)</f>
        <v>36.744700000000002</v>
      </c>
      <c r="D524" s="14">
        <f>36.7 * CHOOSE(CONTROL!$C$15, $E$9, 100%, $G$9) + CHOOSE(CONTROL!$C$38, 0.0369, 0)</f>
        <v>36.736900000000006</v>
      </c>
      <c r="E524" s="46">
        <f>38.7544 * CHOOSE(CONTROL!$C$15, $E$9, 100%, $G$9) + CHOOSE(CONTROL!$C$38, 0.0369, 0)</f>
        <v>38.7913</v>
      </c>
      <c r="F524" s="45">
        <f>38.7544 * CHOOSE(CONTROL!$C$15, $E$9, 100%, $G$9) + CHOOSE(CONTROL!$C$38, 0.0278, 0)</f>
        <v>38.782199999999996</v>
      </c>
      <c r="G524" s="14">
        <f>36.7062 * CHOOSE(CONTROL!$C$15, $E$9, 100%, $G$9) + CHOOSE(CONTROL!$C$38, 0.0369, 0)</f>
        <v>36.743100000000005</v>
      </c>
      <c r="H524" s="14">
        <f>36.7062 * CHOOSE(CONTROL!$C$15, $E$9, 100%, $G$9) + CHOOSE(CONTROL!$C$38, 0.0369, 0)</f>
        <v>36.743100000000005</v>
      </c>
      <c r="I524" s="14">
        <f>36.7078 * CHOOSE(CONTROL!$C$15, $E$9, 100%, $G$9) + CHOOSE(CONTROL!$C$38, 0.0369, 0)</f>
        <v>36.744700000000002</v>
      </c>
      <c r="J524" s="44">
        <f>304.102</f>
        <v>304.10199999999998</v>
      </c>
    </row>
    <row r="525" spans="1:10" ht="15.75" x14ac:dyDescent="0.25">
      <c r="A525" s="32">
        <v>56918</v>
      </c>
      <c r="B525" s="14">
        <f>39.2722 * CHOOSE(CONTROL!$C$15, $E$9, 100%, $G$9) + CHOOSE(CONTROL!$C$38, 0.0256, 0)</f>
        <v>39.297799999999995</v>
      </c>
      <c r="C525" s="14">
        <f>37.0694 * CHOOSE(CONTROL!$C$15, $E$9, 100%, $G$9) + CHOOSE(CONTROL!$C$38, 0.0347, 0)</f>
        <v>37.104100000000003</v>
      </c>
      <c r="D525" s="14">
        <f>37.0615 * CHOOSE(CONTROL!$C$15, $E$9, 100%, $G$9) + CHOOSE(CONTROL!$C$38, 0.0347, 0)</f>
        <v>37.096200000000003</v>
      </c>
      <c r="E525" s="46">
        <f>39.116 * CHOOSE(CONTROL!$C$15, $E$9, 100%, $G$9) + CHOOSE(CONTROL!$C$38, 0.0347, 0)</f>
        <v>39.150700000000001</v>
      </c>
      <c r="F525" s="45">
        <f>39.116 * CHOOSE(CONTROL!$C$15, $E$9, 100%, $G$9) + CHOOSE(CONTROL!$C$38, 0.0256, 0)</f>
        <v>39.141599999999997</v>
      </c>
      <c r="G525" s="14">
        <f>37.0678 * CHOOSE(CONTROL!$C$15, $E$9, 100%, $G$9) + CHOOSE(CONTROL!$C$38, 0.0347, 0)</f>
        <v>37.102499999999999</v>
      </c>
      <c r="H525" s="14">
        <f>37.0678 * CHOOSE(CONTROL!$C$15, $E$9, 100%, $G$9) + CHOOSE(CONTROL!$C$38, 0.0347, 0)</f>
        <v>37.102499999999999</v>
      </c>
      <c r="I525" s="14">
        <f>37.0694 * CHOOSE(CONTROL!$C$15, $E$9, 100%, $G$9) + CHOOSE(CONTROL!$C$38, 0.0347, 0)</f>
        <v>37.104100000000003</v>
      </c>
      <c r="J525" s="44">
        <f>293.5858</f>
        <v>293.58580000000001</v>
      </c>
    </row>
    <row r="526" spans="1:10" ht="15.75" x14ac:dyDescent="0.25">
      <c r="A526" s="32">
        <v>56948</v>
      </c>
      <c r="B526" s="14">
        <f>39.5739 * CHOOSE(CONTROL!$C$15, $E$9, 100%, $G$9) + CHOOSE(CONTROL!$C$38, 0.0256, 0)</f>
        <v>39.599499999999999</v>
      </c>
      <c r="C526" s="14">
        <f>37.3711 * CHOOSE(CONTROL!$C$15, $E$9, 100%, $G$9) + CHOOSE(CONTROL!$C$38, 0.0347, 0)</f>
        <v>37.405799999999999</v>
      </c>
      <c r="D526" s="14">
        <f>37.3632 * CHOOSE(CONTROL!$C$15, $E$9, 100%, $G$9) + CHOOSE(CONTROL!$C$38, 0.0347, 0)</f>
        <v>37.3979</v>
      </c>
      <c r="E526" s="46">
        <f>39.4177 * CHOOSE(CONTROL!$C$15, $E$9, 100%, $G$9) + CHOOSE(CONTROL!$C$38, 0.0347, 0)</f>
        <v>39.452400000000004</v>
      </c>
      <c r="F526" s="45">
        <f>39.4177 * CHOOSE(CONTROL!$C$15, $E$9, 100%, $G$9) + CHOOSE(CONTROL!$C$38, 0.0256, 0)</f>
        <v>39.443300000000001</v>
      </c>
      <c r="G526" s="14">
        <f>37.3695 * CHOOSE(CONTROL!$C$15, $E$9, 100%, $G$9) + CHOOSE(CONTROL!$C$38, 0.0347, 0)</f>
        <v>37.404200000000003</v>
      </c>
      <c r="H526" s="14">
        <f>37.3695 * CHOOSE(CONTROL!$C$15, $E$9, 100%, $G$9) + CHOOSE(CONTROL!$C$38, 0.0347, 0)</f>
        <v>37.404200000000003</v>
      </c>
      <c r="I526" s="14">
        <f>37.3711 * CHOOSE(CONTROL!$C$15, $E$9, 100%, $G$9) + CHOOSE(CONTROL!$C$38, 0.0347, 0)</f>
        <v>37.405799999999999</v>
      </c>
      <c r="J526" s="44">
        <f>291.494</f>
        <v>291.49400000000003</v>
      </c>
    </row>
    <row r="527" spans="1:10" ht="15.75" x14ac:dyDescent="0.25">
      <c r="A527" s="32">
        <v>56979</v>
      </c>
      <c r="B527" s="14">
        <f>40.5036 * CHOOSE(CONTROL!$C$15, $E$9, 100%, $G$9) + CHOOSE(CONTROL!$C$38, 0.0256, 0)</f>
        <v>40.529199999999996</v>
      </c>
      <c r="C527" s="14">
        <f>38.3007 * CHOOSE(CONTROL!$C$15, $E$9, 100%, $G$9) + CHOOSE(CONTROL!$C$38, 0.0347, 0)</f>
        <v>38.3354</v>
      </c>
      <c r="D527" s="14">
        <f>38.2929 * CHOOSE(CONTROL!$C$15, $E$9, 100%, $G$9) + CHOOSE(CONTROL!$C$38, 0.0347, 0)</f>
        <v>38.327600000000004</v>
      </c>
      <c r="E527" s="46">
        <f>40.3474 * CHOOSE(CONTROL!$C$15, $E$9, 100%, $G$9) + CHOOSE(CONTROL!$C$38, 0.0347, 0)</f>
        <v>40.382100000000001</v>
      </c>
      <c r="F527" s="45">
        <f>40.3474 * CHOOSE(CONTROL!$C$15, $E$9, 100%, $G$9) + CHOOSE(CONTROL!$C$38, 0.0256, 0)</f>
        <v>40.372999999999998</v>
      </c>
      <c r="G527" s="14">
        <f>38.2992 * CHOOSE(CONTROL!$C$15, $E$9, 100%, $G$9) + CHOOSE(CONTROL!$C$38, 0.0347, 0)</f>
        <v>38.3339</v>
      </c>
      <c r="H527" s="14">
        <f>38.2992 * CHOOSE(CONTROL!$C$15, $E$9, 100%, $G$9) + CHOOSE(CONTROL!$C$38, 0.0347, 0)</f>
        <v>38.3339</v>
      </c>
      <c r="I527" s="14">
        <f>38.3007 * CHOOSE(CONTROL!$C$15, $E$9, 100%, $G$9) + CHOOSE(CONTROL!$C$38, 0.0347, 0)</f>
        <v>38.3354</v>
      </c>
      <c r="J527" s="44">
        <f>282.8438</f>
        <v>282.84379999999999</v>
      </c>
    </row>
    <row r="528" spans="1:10" ht="15.75" x14ac:dyDescent="0.25">
      <c r="A528" s="32">
        <v>57010</v>
      </c>
      <c r="B528" s="14">
        <f>41.8932 * CHOOSE(CONTROL!$C$15, $E$9, 100%, $G$9) + CHOOSE(CONTROL!$C$38, 0.0256, 0)</f>
        <v>41.918799999999997</v>
      </c>
      <c r="C528" s="14">
        <f>39.6559 * CHOOSE(CONTROL!$C$15, $E$9, 100%, $G$9) + CHOOSE(CONTROL!$C$38, 0.0347, 0)</f>
        <v>39.690600000000003</v>
      </c>
      <c r="D528" s="14">
        <f>39.6481 * CHOOSE(CONTROL!$C$15, $E$9, 100%, $G$9) + CHOOSE(CONTROL!$C$38, 0.0347, 0)</f>
        <v>39.6828</v>
      </c>
      <c r="E528" s="46">
        <f>41.7369 * CHOOSE(CONTROL!$C$15, $E$9, 100%, $G$9) + CHOOSE(CONTROL!$C$38, 0.0347, 0)</f>
        <v>41.771599999999999</v>
      </c>
      <c r="F528" s="45">
        <f>41.7369 * CHOOSE(CONTROL!$C$15, $E$9, 100%, $G$9) + CHOOSE(CONTROL!$C$38, 0.0256, 0)</f>
        <v>41.762499999999996</v>
      </c>
      <c r="G528" s="14">
        <f>39.6543 * CHOOSE(CONTROL!$C$15, $E$9, 100%, $G$9) + CHOOSE(CONTROL!$C$38, 0.0347, 0)</f>
        <v>39.689</v>
      </c>
      <c r="H528" s="14">
        <f>39.6543 * CHOOSE(CONTROL!$C$15, $E$9, 100%, $G$9) + CHOOSE(CONTROL!$C$38, 0.0347, 0)</f>
        <v>39.689</v>
      </c>
      <c r="I528" s="14">
        <f>39.6559 * CHOOSE(CONTROL!$C$15, $E$9, 100%, $G$9) + CHOOSE(CONTROL!$C$38, 0.0347, 0)</f>
        <v>39.690600000000003</v>
      </c>
      <c r="J528" s="44">
        <f>282.4791</f>
        <v>282.47910000000002</v>
      </c>
    </row>
    <row r="529" spans="1:10" ht="15.75" x14ac:dyDescent="0.25">
      <c r="A529" s="32">
        <v>57038</v>
      </c>
      <c r="B529" s="14">
        <f>42.2375 * CHOOSE(CONTROL!$C$15, $E$9, 100%, $G$9) + CHOOSE(CONTROL!$C$38, 0.0256, 0)</f>
        <v>42.263099999999994</v>
      </c>
      <c r="C529" s="14">
        <f>40.0002 * CHOOSE(CONTROL!$C$15, $E$9, 100%, $G$9) + CHOOSE(CONTROL!$C$38, 0.0347, 0)</f>
        <v>40.0349</v>
      </c>
      <c r="D529" s="14">
        <f>39.9924 * CHOOSE(CONTROL!$C$15, $E$9, 100%, $G$9) + CHOOSE(CONTROL!$C$38, 0.0347, 0)</f>
        <v>40.027100000000004</v>
      </c>
      <c r="E529" s="46">
        <f>42.0812 * CHOOSE(CONTROL!$C$15, $E$9, 100%, $G$9) + CHOOSE(CONTROL!$C$38, 0.0347, 0)</f>
        <v>42.115900000000003</v>
      </c>
      <c r="F529" s="45">
        <f>42.0812 * CHOOSE(CONTROL!$C$15, $E$9, 100%, $G$9) + CHOOSE(CONTROL!$C$38, 0.0256, 0)</f>
        <v>42.1068</v>
      </c>
      <c r="G529" s="14">
        <f>39.9986 * CHOOSE(CONTROL!$C$15, $E$9, 100%, $G$9) + CHOOSE(CONTROL!$C$38, 0.0347, 0)</f>
        <v>40.033300000000004</v>
      </c>
      <c r="H529" s="14">
        <f>39.9986 * CHOOSE(CONTROL!$C$15, $E$9, 100%, $G$9) + CHOOSE(CONTROL!$C$38, 0.0347, 0)</f>
        <v>40.033300000000004</v>
      </c>
      <c r="I529" s="14">
        <f>40.0002 * CHOOSE(CONTROL!$C$15, $E$9, 100%, $G$9) + CHOOSE(CONTROL!$C$38, 0.0347, 0)</f>
        <v>40.0349</v>
      </c>
      <c r="J529" s="44">
        <f>281.6939</f>
        <v>281.69389999999999</v>
      </c>
    </row>
    <row r="530" spans="1:10" ht="15.75" x14ac:dyDescent="0.25">
      <c r="A530" s="32">
        <v>57070</v>
      </c>
      <c r="B530" s="14">
        <f>41.4404 * CHOOSE(CONTROL!$C$15, $E$9, 100%, $G$9) + CHOOSE(CONTROL!$C$38, 0.0256, 0)</f>
        <v>41.465999999999994</v>
      </c>
      <c r="C530" s="14">
        <f>39.2032 * CHOOSE(CONTROL!$C$15, $E$9, 100%, $G$9) + CHOOSE(CONTROL!$C$38, 0.0347, 0)</f>
        <v>39.237900000000003</v>
      </c>
      <c r="D530" s="14">
        <f>39.1954 * CHOOSE(CONTROL!$C$15, $E$9, 100%, $G$9) + CHOOSE(CONTROL!$C$38, 0.0347, 0)</f>
        <v>39.2301</v>
      </c>
      <c r="E530" s="46">
        <f>41.2842 * CHOOSE(CONTROL!$C$15, $E$9, 100%, $G$9) + CHOOSE(CONTROL!$C$38, 0.0347, 0)</f>
        <v>41.318899999999999</v>
      </c>
      <c r="F530" s="45">
        <f>41.2842 * CHOOSE(CONTROL!$C$15, $E$9, 100%, $G$9) + CHOOSE(CONTROL!$C$38, 0.0256, 0)</f>
        <v>41.309799999999996</v>
      </c>
      <c r="G530" s="14">
        <f>39.2016 * CHOOSE(CONTROL!$C$15, $E$9, 100%, $G$9) + CHOOSE(CONTROL!$C$38, 0.0347, 0)</f>
        <v>39.2363</v>
      </c>
      <c r="H530" s="14">
        <f>39.2016 * CHOOSE(CONTROL!$C$15, $E$9, 100%, $G$9) + CHOOSE(CONTROL!$C$38, 0.0347, 0)</f>
        <v>39.2363</v>
      </c>
      <c r="I530" s="14">
        <f>39.2032 * CHOOSE(CONTROL!$C$15, $E$9, 100%, $G$9) + CHOOSE(CONTROL!$C$38, 0.0347, 0)</f>
        <v>39.237900000000003</v>
      </c>
      <c r="J530" s="44">
        <f>296.5408</f>
        <v>296.54079999999999</v>
      </c>
    </row>
    <row r="531" spans="1:10" ht="15.75" x14ac:dyDescent="0.25">
      <c r="A531" s="32">
        <v>57100</v>
      </c>
      <c r="B531" s="14">
        <f>40.6681 * CHOOSE(CONTROL!$C$15, $E$9, 100%, $G$9) + CHOOSE(CONTROL!$C$38, 0.0256, 0)</f>
        <v>40.6937</v>
      </c>
      <c r="C531" s="14">
        <f>38.4309 * CHOOSE(CONTROL!$C$15, $E$9, 100%, $G$9) + CHOOSE(CONTROL!$C$38, 0.0347, 0)</f>
        <v>38.465600000000002</v>
      </c>
      <c r="D531" s="14">
        <f>38.423 * CHOOSE(CONTROL!$C$15, $E$9, 100%, $G$9) + CHOOSE(CONTROL!$C$38, 0.0347, 0)</f>
        <v>38.457700000000003</v>
      </c>
      <c r="E531" s="46">
        <f>40.5119 * CHOOSE(CONTROL!$C$15, $E$9, 100%, $G$9) + CHOOSE(CONTROL!$C$38, 0.0347, 0)</f>
        <v>40.546599999999998</v>
      </c>
      <c r="F531" s="45">
        <f>40.5119 * CHOOSE(CONTROL!$C$15, $E$9, 100%, $G$9) + CHOOSE(CONTROL!$C$38, 0.0256, 0)</f>
        <v>40.537499999999994</v>
      </c>
      <c r="G531" s="14">
        <f>38.4293 * CHOOSE(CONTROL!$C$15, $E$9, 100%, $G$9) + CHOOSE(CONTROL!$C$38, 0.0347, 0)</f>
        <v>38.463999999999999</v>
      </c>
      <c r="H531" s="14">
        <f>38.4293 * CHOOSE(CONTROL!$C$15, $E$9, 100%, $G$9) + CHOOSE(CONTROL!$C$38, 0.0347, 0)</f>
        <v>38.463999999999999</v>
      </c>
      <c r="I531" s="14">
        <f>38.4309 * CHOOSE(CONTROL!$C$15, $E$9, 100%, $G$9) + CHOOSE(CONTROL!$C$38, 0.0347, 0)</f>
        <v>38.465600000000002</v>
      </c>
      <c r="J531" s="44">
        <f>315.7937</f>
        <v>315.7937</v>
      </c>
    </row>
    <row r="532" spans="1:10" ht="15.75" x14ac:dyDescent="0.25">
      <c r="A532" s="32">
        <v>57131</v>
      </c>
      <c r="B532" s="14">
        <f>39.8632 * CHOOSE(CONTROL!$C$15, $E$9, 100%, $G$9) + CHOOSE(CONTROL!$C$38, 0.0278, 0)</f>
        <v>39.890999999999998</v>
      </c>
      <c r="C532" s="14">
        <f>37.6259 * CHOOSE(CONTROL!$C$15, $E$9, 100%, $G$9) + CHOOSE(CONTROL!$C$38, 0.0369, 0)</f>
        <v>37.662800000000004</v>
      </c>
      <c r="D532" s="14">
        <f>37.6181 * CHOOSE(CONTROL!$C$15, $E$9, 100%, $G$9) + CHOOSE(CONTROL!$C$38, 0.0369, 0)</f>
        <v>37.655000000000001</v>
      </c>
      <c r="E532" s="46">
        <f>39.7069 * CHOOSE(CONTROL!$C$15, $E$9, 100%, $G$9) + CHOOSE(CONTROL!$C$38, 0.0369, 0)</f>
        <v>39.7438</v>
      </c>
      <c r="F532" s="45">
        <f>39.7069 * CHOOSE(CONTROL!$C$15, $E$9, 100%, $G$9) + CHOOSE(CONTROL!$C$38, 0.0278, 0)</f>
        <v>39.734699999999997</v>
      </c>
      <c r="G532" s="14">
        <f>37.6243 * CHOOSE(CONTROL!$C$15, $E$9, 100%, $G$9) + CHOOSE(CONTROL!$C$38, 0.0369, 0)</f>
        <v>37.661200000000001</v>
      </c>
      <c r="H532" s="14">
        <f>37.6243 * CHOOSE(CONTROL!$C$15, $E$9, 100%, $G$9) + CHOOSE(CONTROL!$C$38, 0.0369, 0)</f>
        <v>37.661200000000001</v>
      </c>
      <c r="I532" s="14">
        <f>37.6259 * CHOOSE(CONTROL!$C$15, $E$9, 100%, $G$9) + CHOOSE(CONTROL!$C$38, 0.0369, 0)</f>
        <v>37.662800000000004</v>
      </c>
      <c r="J532" s="44">
        <f>326.3911</f>
        <v>326.39109999999999</v>
      </c>
    </row>
    <row r="533" spans="1:10" ht="15.75" x14ac:dyDescent="0.25">
      <c r="A533" s="32">
        <v>57161</v>
      </c>
      <c r="B533" s="14">
        <f>39.2988 * CHOOSE(CONTROL!$C$15, $E$9, 100%, $G$9) + CHOOSE(CONTROL!$C$38, 0.0278, 0)</f>
        <v>39.326599999999999</v>
      </c>
      <c r="C533" s="14">
        <f>37.0616 * CHOOSE(CONTROL!$C$15, $E$9, 100%, $G$9) + CHOOSE(CONTROL!$C$38, 0.0369, 0)</f>
        <v>37.098500000000001</v>
      </c>
      <c r="D533" s="14">
        <f>37.0537 * CHOOSE(CONTROL!$C$15, $E$9, 100%, $G$9) + CHOOSE(CONTROL!$C$38, 0.0369, 0)</f>
        <v>37.090600000000002</v>
      </c>
      <c r="E533" s="46">
        <f>39.1426 * CHOOSE(CONTROL!$C$15, $E$9, 100%, $G$9) + CHOOSE(CONTROL!$C$38, 0.0369, 0)</f>
        <v>39.179500000000004</v>
      </c>
      <c r="F533" s="45">
        <f>39.1426 * CHOOSE(CONTROL!$C$15, $E$9, 100%, $G$9) + CHOOSE(CONTROL!$C$38, 0.0278, 0)</f>
        <v>39.170400000000001</v>
      </c>
      <c r="G533" s="14">
        <f>37.06 * CHOOSE(CONTROL!$C$15, $E$9, 100%, $G$9) + CHOOSE(CONTROL!$C$38, 0.0369, 0)</f>
        <v>37.096900000000005</v>
      </c>
      <c r="H533" s="14">
        <f>37.06 * CHOOSE(CONTROL!$C$15, $E$9, 100%, $G$9) + CHOOSE(CONTROL!$C$38, 0.0369, 0)</f>
        <v>37.096900000000005</v>
      </c>
      <c r="I533" s="14">
        <f>37.0616 * CHOOSE(CONTROL!$C$15, $E$9, 100%, $G$9) + CHOOSE(CONTROL!$C$38, 0.0369, 0)</f>
        <v>37.098500000000001</v>
      </c>
      <c r="J533" s="44">
        <f>331.094</f>
        <v>331.09399999999999</v>
      </c>
    </row>
    <row r="534" spans="1:10" ht="15.75" x14ac:dyDescent="0.25">
      <c r="A534" s="32">
        <v>57192</v>
      </c>
      <c r="B534" s="14">
        <f>38.9768 * CHOOSE(CONTROL!$C$15, $E$9, 100%, $G$9) + CHOOSE(CONTROL!$C$38, 0.0278, 0)</f>
        <v>39.004599999999996</v>
      </c>
      <c r="C534" s="14">
        <f>36.7395 * CHOOSE(CONTROL!$C$15, $E$9, 100%, $G$9) + CHOOSE(CONTROL!$C$38, 0.0369, 0)</f>
        <v>36.776400000000002</v>
      </c>
      <c r="D534" s="14">
        <f>36.7317 * CHOOSE(CONTROL!$C$15, $E$9, 100%, $G$9) + CHOOSE(CONTROL!$C$38, 0.0369, 0)</f>
        <v>36.768599999999999</v>
      </c>
      <c r="E534" s="46">
        <f>38.8205 * CHOOSE(CONTROL!$C$15, $E$9, 100%, $G$9) + CHOOSE(CONTROL!$C$38, 0.0369, 0)</f>
        <v>38.857400000000005</v>
      </c>
      <c r="F534" s="45">
        <f>38.8205 * CHOOSE(CONTROL!$C$15, $E$9, 100%, $G$9) + CHOOSE(CONTROL!$C$38, 0.0278, 0)</f>
        <v>38.848300000000002</v>
      </c>
      <c r="G534" s="14">
        <f>36.7379 * CHOOSE(CONTROL!$C$15, $E$9, 100%, $G$9) + CHOOSE(CONTROL!$C$38, 0.0369, 0)</f>
        <v>36.774800000000006</v>
      </c>
      <c r="H534" s="14">
        <f>36.7379 * CHOOSE(CONTROL!$C$15, $E$9, 100%, $G$9) + CHOOSE(CONTROL!$C$38, 0.0369, 0)</f>
        <v>36.774800000000006</v>
      </c>
      <c r="I534" s="14">
        <f>36.7395 * CHOOSE(CONTROL!$C$15, $E$9, 100%, $G$9) + CHOOSE(CONTROL!$C$38, 0.0369, 0)</f>
        <v>36.776400000000002</v>
      </c>
      <c r="J534" s="44">
        <f>329.5456</f>
        <v>329.54559999999998</v>
      </c>
    </row>
    <row r="535" spans="1:10" ht="15.75" x14ac:dyDescent="0.25">
      <c r="A535" s="32">
        <v>57223</v>
      </c>
      <c r="B535" s="14">
        <f>39.1357 * CHOOSE(CONTROL!$C$15, $E$9, 100%, $G$9) + CHOOSE(CONTROL!$C$38, 0.0278, 0)</f>
        <v>39.163499999999999</v>
      </c>
      <c r="C535" s="14">
        <f>36.8984 * CHOOSE(CONTROL!$C$15, $E$9, 100%, $G$9) + CHOOSE(CONTROL!$C$38, 0.0369, 0)</f>
        <v>36.935300000000005</v>
      </c>
      <c r="D535" s="14">
        <f>36.8906 * CHOOSE(CONTROL!$C$15, $E$9, 100%, $G$9) + CHOOSE(CONTROL!$C$38, 0.0369, 0)</f>
        <v>36.927500000000002</v>
      </c>
      <c r="E535" s="46">
        <f>38.9795 * CHOOSE(CONTROL!$C$15, $E$9, 100%, $G$9) + CHOOSE(CONTROL!$C$38, 0.0369, 0)</f>
        <v>39.016400000000004</v>
      </c>
      <c r="F535" s="45">
        <f>38.9795 * CHOOSE(CONTROL!$C$15, $E$9, 100%, $G$9) + CHOOSE(CONTROL!$C$38, 0.0278, 0)</f>
        <v>39.007300000000001</v>
      </c>
      <c r="G535" s="14">
        <f>36.8969 * CHOOSE(CONTROL!$C$15, $E$9, 100%, $G$9) + CHOOSE(CONTROL!$C$38, 0.0369, 0)</f>
        <v>36.933800000000005</v>
      </c>
      <c r="H535" s="14">
        <f>36.8969 * CHOOSE(CONTROL!$C$15, $E$9, 100%, $G$9) + CHOOSE(CONTROL!$C$38, 0.0369, 0)</f>
        <v>36.933800000000005</v>
      </c>
      <c r="I535" s="14">
        <f>36.8984 * CHOOSE(CONTROL!$C$15, $E$9, 100%, $G$9) + CHOOSE(CONTROL!$C$38, 0.0369, 0)</f>
        <v>36.935300000000005</v>
      </c>
      <c r="J535" s="44">
        <f>321.8739</f>
        <v>321.87389999999999</v>
      </c>
    </row>
    <row r="536" spans="1:10" ht="15.75" x14ac:dyDescent="0.25">
      <c r="A536" s="32">
        <v>57253</v>
      </c>
      <c r="B536" s="14">
        <f>39.5674 * CHOOSE(CONTROL!$C$15, $E$9, 100%, $G$9) + CHOOSE(CONTROL!$C$38, 0.0278, 0)</f>
        <v>39.595199999999998</v>
      </c>
      <c r="C536" s="14">
        <f>37.3302 * CHOOSE(CONTROL!$C$15, $E$9, 100%, $G$9) + CHOOSE(CONTROL!$C$38, 0.0369, 0)</f>
        <v>37.367100000000001</v>
      </c>
      <c r="D536" s="14">
        <f>37.3223 * CHOOSE(CONTROL!$C$15, $E$9, 100%, $G$9) + CHOOSE(CONTROL!$C$38, 0.0369, 0)</f>
        <v>37.359200000000001</v>
      </c>
      <c r="E536" s="46">
        <f>39.4112 * CHOOSE(CONTROL!$C$15, $E$9, 100%, $G$9) + CHOOSE(CONTROL!$C$38, 0.0369, 0)</f>
        <v>39.448100000000004</v>
      </c>
      <c r="F536" s="45">
        <f>39.4112 * CHOOSE(CONTROL!$C$15, $E$9, 100%, $G$9) + CHOOSE(CONTROL!$C$38, 0.0278, 0)</f>
        <v>39.439</v>
      </c>
      <c r="G536" s="14">
        <f>37.3286 * CHOOSE(CONTROL!$C$15, $E$9, 100%, $G$9) + CHOOSE(CONTROL!$C$38, 0.0369, 0)</f>
        <v>37.365500000000004</v>
      </c>
      <c r="H536" s="14">
        <f>37.3286 * CHOOSE(CONTROL!$C$15, $E$9, 100%, $G$9) + CHOOSE(CONTROL!$C$38, 0.0369, 0)</f>
        <v>37.365500000000004</v>
      </c>
      <c r="I536" s="14">
        <f>37.3302 * CHOOSE(CONTROL!$C$15, $E$9, 100%, $G$9) + CHOOSE(CONTROL!$C$38, 0.0369, 0)</f>
        <v>37.367100000000001</v>
      </c>
      <c r="J536" s="44">
        <f>311.1754</f>
        <v>311.17540000000002</v>
      </c>
    </row>
    <row r="537" spans="1:10" ht="15.75" x14ac:dyDescent="0.25">
      <c r="A537" s="32">
        <v>57284</v>
      </c>
      <c r="B537" s="14">
        <f>39.929 * CHOOSE(CONTROL!$C$15, $E$9, 100%, $G$9) + CHOOSE(CONTROL!$C$38, 0.0256, 0)</f>
        <v>39.954599999999999</v>
      </c>
      <c r="C537" s="14">
        <f>37.6917 * CHOOSE(CONTROL!$C$15, $E$9, 100%, $G$9) + CHOOSE(CONTROL!$C$38, 0.0347, 0)</f>
        <v>37.726399999999998</v>
      </c>
      <c r="D537" s="14">
        <f>37.6839 * CHOOSE(CONTROL!$C$15, $E$9, 100%, $G$9) + CHOOSE(CONTROL!$C$38, 0.0347, 0)</f>
        <v>37.718600000000002</v>
      </c>
      <c r="E537" s="46">
        <f>39.7727 * CHOOSE(CONTROL!$C$15, $E$9, 100%, $G$9) + CHOOSE(CONTROL!$C$38, 0.0347, 0)</f>
        <v>39.807400000000001</v>
      </c>
      <c r="F537" s="45">
        <f>39.7727 * CHOOSE(CONTROL!$C$15, $E$9, 100%, $G$9) + CHOOSE(CONTROL!$C$38, 0.0256, 0)</f>
        <v>39.798299999999998</v>
      </c>
      <c r="G537" s="14">
        <f>37.6902 * CHOOSE(CONTROL!$C$15, $E$9, 100%, $G$9) + CHOOSE(CONTROL!$C$38, 0.0347, 0)</f>
        <v>37.724899999999998</v>
      </c>
      <c r="H537" s="14">
        <f>37.6902 * CHOOSE(CONTROL!$C$15, $E$9, 100%, $G$9) + CHOOSE(CONTROL!$C$38, 0.0347, 0)</f>
        <v>37.724899999999998</v>
      </c>
      <c r="I537" s="14">
        <f>37.6917 * CHOOSE(CONTROL!$C$15, $E$9, 100%, $G$9) + CHOOSE(CONTROL!$C$38, 0.0347, 0)</f>
        <v>37.726399999999998</v>
      </c>
      <c r="J537" s="44">
        <f>300.4146</f>
        <v>300.41460000000001</v>
      </c>
    </row>
    <row r="538" spans="1:10" ht="15.75" x14ac:dyDescent="0.25">
      <c r="A538" s="32">
        <v>57314</v>
      </c>
      <c r="B538" s="14">
        <f>40.2307 * CHOOSE(CONTROL!$C$15, $E$9, 100%, $G$9) + CHOOSE(CONTROL!$C$38, 0.0256, 0)</f>
        <v>40.256299999999996</v>
      </c>
      <c r="C538" s="14">
        <f>37.9934 * CHOOSE(CONTROL!$C$15, $E$9, 100%, $G$9) + CHOOSE(CONTROL!$C$38, 0.0347, 0)</f>
        <v>38.028100000000002</v>
      </c>
      <c r="D538" s="14">
        <f>37.9856 * CHOOSE(CONTROL!$C$15, $E$9, 100%, $G$9) + CHOOSE(CONTROL!$C$38, 0.0347, 0)</f>
        <v>38.020299999999999</v>
      </c>
      <c r="E538" s="46">
        <f>40.0744 * CHOOSE(CONTROL!$C$15, $E$9, 100%, $G$9) + CHOOSE(CONTROL!$C$38, 0.0347, 0)</f>
        <v>40.109099999999998</v>
      </c>
      <c r="F538" s="45">
        <f>40.0744 * CHOOSE(CONTROL!$C$15, $E$9, 100%, $G$9) + CHOOSE(CONTROL!$C$38, 0.0256, 0)</f>
        <v>40.099999999999994</v>
      </c>
      <c r="G538" s="14">
        <f>37.9919 * CHOOSE(CONTROL!$C$15, $E$9, 100%, $G$9) + CHOOSE(CONTROL!$C$38, 0.0347, 0)</f>
        <v>38.026600000000002</v>
      </c>
      <c r="H538" s="14">
        <f>37.9919 * CHOOSE(CONTROL!$C$15, $E$9, 100%, $G$9) + CHOOSE(CONTROL!$C$38, 0.0347, 0)</f>
        <v>38.026600000000002</v>
      </c>
      <c r="I538" s="14">
        <f>37.9934 * CHOOSE(CONTROL!$C$15, $E$9, 100%, $G$9) + CHOOSE(CONTROL!$C$38, 0.0347, 0)</f>
        <v>38.028100000000002</v>
      </c>
      <c r="J538" s="44">
        <f>298.2741</f>
        <v>298.27409999999998</v>
      </c>
    </row>
    <row r="539" spans="1:10" ht="15.75" x14ac:dyDescent="0.25">
      <c r="A539" s="32">
        <v>57345</v>
      </c>
      <c r="B539" s="14">
        <f>41.1604 * CHOOSE(CONTROL!$C$15, $E$9, 100%, $G$9) + CHOOSE(CONTROL!$C$38, 0.0256, 0)</f>
        <v>41.186</v>
      </c>
      <c r="C539" s="14">
        <f>38.9231 * CHOOSE(CONTROL!$C$15, $E$9, 100%, $G$9) + CHOOSE(CONTROL!$C$38, 0.0347, 0)</f>
        <v>38.957799999999999</v>
      </c>
      <c r="D539" s="14">
        <f>38.9153 * CHOOSE(CONTROL!$C$15, $E$9, 100%, $G$9) + CHOOSE(CONTROL!$C$38, 0.0347, 0)</f>
        <v>38.950000000000003</v>
      </c>
      <c r="E539" s="46">
        <f>41.0041 * CHOOSE(CONTROL!$C$15, $E$9, 100%, $G$9) + CHOOSE(CONTROL!$C$38, 0.0347, 0)</f>
        <v>41.038800000000002</v>
      </c>
      <c r="F539" s="45">
        <f>41.0041 * CHOOSE(CONTROL!$C$15, $E$9, 100%, $G$9) + CHOOSE(CONTROL!$C$38, 0.0256, 0)</f>
        <v>41.029699999999998</v>
      </c>
      <c r="G539" s="14">
        <f>38.9215 * CHOOSE(CONTROL!$C$15, $E$9, 100%, $G$9) + CHOOSE(CONTROL!$C$38, 0.0347, 0)</f>
        <v>38.956200000000003</v>
      </c>
      <c r="H539" s="14">
        <f>38.9215 * CHOOSE(CONTROL!$C$15, $E$9, 100%, $G$9) + CHOOSE(CONTROL!$C$38, 0.0347, 0)</f>
        <v>38.956200000000003</v>
      </c>
      <c r="I539" s="14">
        <f>38.9231 * CHOOSE(CONTROL!$C$15, $E$9, 100%, $G$9) + CHOOSE(CONTROL!$C$38, 0.0347, 0)</f>
        <v>38.957799999999999</v>
      </c>
      <c r="J539" s="44">
        <f>289.4228</f>
        <v>289.4228</v>
      </c>
    </row>
    <row r="540" spans="1:10" ht="15.75" x14ac:dyDescent="0.25">
      <c r="A540" s="32">
        <v>57376</v>
      </c>
      <c r="B540" s="14">
        <f>42.5609 * CHOOSE(CONTROL!$C$15, $E$9, 100%, $G$9) + CHOOSE(CONTROL!$C$38, 0.0256, 0)</f>
        <v>42.586499999999994</v>
      </c>
      <c r="C540" s="14">
        <f>40.2887 * CHOOSE(CONTROL!$C$15, $E$9, 100%, $G$9) + CHOOSE(CONTROL!$C$38, 0.0347, 0)</f>
        <v>40.323399999999999</v>
      </c>
      <c r="D540" s="14">
        <f>40.2809 * CHOOSE(CONTROL!$C$15, $E$9, 100%, $G$9) + CHOOSE(CONTROL!$C$38, 0.0347, 0)</f>
        <v>40.315600000000003</v>
      </c>
      <c r="E540" s="46">
        <f>42.4047 * CHOOSE(CONTROL!$C$15, $E$9, 100%, $G$9) + CHOOSE(CONTROL!$C$38, 0.0347, 0)</f>
        <v>42.439399999999999</v>
      </c>
      <c r="F540" s="45">
        <f>42.4047 * CHOOSE(CONTROL!$C$15, $E$9, 100%, $G$9) + CHOOSE(CONTROL!$C$38, 0.0256, 0)</f>
        <v>42.430299999999995</v>
      </c>
      <c r="G540" s="14">
        <f>40.2871 * CHOOSE(CONTROL!$C$15, $E$9, 100%, $G$9) + CHOOSE(CONTROL!$C$38, 0.0347, 0)</f>
        <v>40.321800000000003</v>
      </c>
      <c r="H540" s="14">
        <f>40.2871 * CHOOSE(CONTROL!$C$15, $E$9, 100%, $G$9) + CHOOSE(CONTROL!$C$38, 0.0347, 0)</f>
        <v>40.321800000000003</v>
      </c>
      <c r="I540" s="14">
        <f>40.2887 * CHOOSE(CONTROL!$C$15, $E$9, 100%, $G$9) + CHOOSE(CONTROL!$C$38, 0.0347, 0)</f>
        <v>40.323399999999999</v>
      </c>
      <c r="J540" s="44">
        <f>289.0496</f>
        <v>289.0496</v>
      </c>
    </row>
    <row r="541" spans="1:10" ht="15.75" x14ac:dyDescent="0.25">
      <c r="A541" s="32">
        <v>57404</v>
      </c>
      <c r="B541" s="14">
        <f>42.9053 * CHOOSE(CONTROL!$C$15, $E$9, 100%, $G$9) + CHOOSE(CONTROL!$C$38, 0.0256, 0)</f>
        <v>42.930899999999994</v>
      </c>
      <c r="C541" s="14">
        <f>40.633 * CHOOSE(CONTROL!$C$15, $E$9, 100%, $G$9) + CHOOSE(CONTROL!$C$38, 0.0347, 0)</f>
        <v>40.667700000000004</v>
      </c>
      <c r="D541" s="14">
        <f>40.6252 * CHOOSE(CONTROL!$C$15, $E$9, 100%, $G$9) + CHOOSE(CONTROL!$C$38, 0.0347, 0)</f>
        <v>40.6599</v>
      </c>
      <c r="E541" s="46">
        <f>42.749 * CHOOSE(CONTROL!$C$15, $E$9, 100%, $G$9) + CHOOSE(CONTROL!$C$38, 0.0347, 0)</f>
        <v>42.783700000000003</v>
      </c>
      <c r="F541" s="45">
        <f>42.749 * CHOOSE(CONTROL!$C$15, $E$9, 100%, $G$9) + CHOOSE(CONTROL!$C$38, 0.0256, 0)</f>
        <v>42.7746</v>
      </c>
      <c r="G541" s="14">
        <f>40.6315 * CHOOSE(CONTROL!$C$15, $E$9, 100%, $G$9) + CHOOSE(CONTROL!$C$38, 0.0347, 0)</f>
        <v>40.666200000000003</v>
      </c>
      <c r="H541" s="14">
        <f>40.6315 * CHOOSE(CONTROL!$C$15, $E$9, 100%, $G$9) + CHOOSE(CONTROL!$C$38, 0.0347, 0)</f>
        <v>40.666200000000003</v>
      </c>
      <c r="I541" s="14">
        <f>40.633 * CHOOSE(CONTROL!$C$15, $E$9, 100%, $G$9) + CHOOSE(CONTROL!$C$38, 0.0347, 0)</f>
        <v>40.667700000000004</v>
      </c>
      <c r="J541" s="44">
        <f>288.2461</f>
        <v>288.24610000000001</v>
      </c>
    </row>
    <row r="542" spans="1:10" ht="15.75" x14ac:dyDescent="0.25">
      <c r="A542" s="32">
        <v>57435</v>
      </c>
      <c r="B542" s="14">
        <f>42.1082 * CHOOSE(CONTROL!$C$15, $E$9, 100%, $G$9) + CHOOSE(CONTROL!$C$38, 0.0256, 0)</f>
        <v>42.133799999999994</v>
      </c>
      <c r="C542" s="14">
        <f>39.836 * CHOOSE(CONTROL!$C$15, $E$9, 100%, $G$9) + CHOOSE(CONTROL!$C$38, 0.0347, 0)</f>
        <v>39.870699999999999</v>
      </c>
      <c r="D542" s="14">
        <f>39.8282 * CHOOSE(CONTROL!$C$15, $E$9, 100%, $G$9) + CHOOSE(CONTROL!$C$38, 0.0347, 0)</f>
        <v>39.862900000000003</v>
      </c>
      <c r="E542" s="46">
        <f>41.952 * CHOOSE(CONTROL!$C$15, $E$9, 100%, $G$9) + CHOOSE(CONTROL!$C$38, 0.0347, 0)</f>
        <v>41.986699999999999</v>
      </c>
      <c r="F542" s="45">
        <f>41.952 * CHOOSE(CONTROL!$C$15, $E$9, 100%, $G$9) + CHOOSE(CONTROL!$C$38, 0.0256, 0)</f>
        <v>41.977599999999995</v>
      </c>
      <c r="G542" s="14">
        <f>39.8344 * CHOOSE(CONTROL!$C$15, $E$9, 100%, $G$9) + CHOOSE(CONTROL!$C$38, 0.0347, 0)</f>
        <v>39.869100000000003</v>
      </c>
      <c r="H542" s="14">
        <f>39.8344 * CHOOSE(CONTROL!$C$15, $E$9, 100%, $G$9) + CHOOSE(CONTROL!$C$38, 0.0347, 0)</f>
        <v>39.869100000000003</v>
      </c>
      <c r="I542" s="14">
        <f>39.836 * CHOOSE(CONTROL!$C$15, $E$9, 100%, $G$9) + CHOOSE(CONTROL!$C$38, 0.0347, 0)</f>
        <v>39.870699999999999</v>
      </c>
      <c r="J542" s="44">
        <f>303.4384</f>
        <v>303.4384</v>
      </c>
    </row>
    <row r="543" spans="1:10" ht="15.75" x14ac:dyDescent="0.25">
      <c r="A543" s="32">
        <v>57465</v>
      </c>
      <c r="B543" s="14">
        <f>41.3359 * CHOOSE(CONTROL!$C$15, $E$9, 100%, $G$9) + CHOOSE(CONTROL!$C$38, 0.0256, 0)</f>
        <v>41.361499999999999</v>
      </c>
      <c r="C543" s="14">
        <f>39.0637 * CHOOSE(CONTROL!$C$15, $E$9, 100%, $G$9) + CHOOSE(CONTROL!$C$38, 0.0347, 0)</f>
        <v>39.098399999999998</v>
      </c>
      <c r="D543" s="14">
        <f>39.0559 * CHOOSE(CONTROL!$C$15, $E$9, 100%, $G$9) + CHOOSE(CONTROL!$C$38, 0.0347, 0)</f>
        <v>39.090600000000002</v>
      </c>
      <c r="E543" s="46">
        <f>41.1797 * CHOOSE(CONTROL!$C$15, $E$9, 100%, $G$9) + CHOOSE(CONTROL!$C$38, 0.0347, 0)</f>
        <v>41.214399999999998</v>
      </c>
      <c r="F543" s="45">
        <f>41.1797 * CHOOSE(CONTROL!$C$15, $E$9, 100%, $G$9) + CHOOSE(CONTROL!$C$38, 0.0256, 0)</f>
        <v>41.205299999999994</v>
      </c>
      <c r="G543" s="14">
        <f>39.0621 * CHOOSE(CONTROL!$C$15, $E$9, 100%, $G$9) + CHOOSE(CONTROL!$C$38, 0.0347, 0)</f>
        <v>39.096800000000002</v>
      </c>
      <c r="H543" s="14">
        <f>39.0621 * CHOOSE(CONTROL!$C$15, $E$9, 100%, $G$9) + CHOOSE(CONTROL!$C$38, 0.0347, 0)</f>
        <v>39.096800000000002</v>
      </c>
      <c r="I543" s="14">
        <f>39.0637 * CHOOSE(CONTROL!$C$15, $E$9, 100%, $G$9) + CHOOSE(CONTROL!$C$38, 0.0347, 0)</f>
        <v>39.098399999999998</v>
      </c>
      <c r="J543" s="44">
        <f>323.1391</f>
        <v>323.13909999999998</v>
      </c>
    </row>
    <row r="544" spans="1:10" ht="15.75" x14ac:dyDescent="0.25">
      <c r="A544" s="32">
        <v>57496</v>
      </c>
      <c r="B544" s="14">
        <f>40.531 * CHOOSE(CONTROL!$C$15, $E$9, 100%, $G$9) + CHOOSE(CONTROL!$C$38, 0.0278, 0)</f>
        <v>40.558799999999998</v>
      </c>
      <c r="C544" s="14">
        <f>38.2587 * CHOOSE(CONTROL!$C$15, $E$9, 100%, $G$9) + CHOOSE(CONTROL!$C$38, 0.0369, 0)</f>
        <v>38.2956</v>
      </c>
      <c r="D544" s="14">
        <f>38.2509 * CHOOSE(CONTROL!$C$15, $E$9, 100%, $G$9) + CHOOSE(CONTROL!$C$38, 0.0369, 0)</f>
        <v>38.287800000000004</v>
      </c>
      <c r="E544" s="46">
        <f>40.3747 * CHOOSE(CONTROL!$C$15, $E$9, 100%, $G$9) + CHOOSE(CONTROL!$C$38, 0.0369, 0)</f>
        <v>40.4116</v>
      </c>
      <c r="F544" s="45">
        <f>40.3747 * CHOOSE(CONTROL!$C$15, $E$9, 100%, $G$9) + CHOOSE(CONTROL!$C$38, 0.0278, 0)</f>
        <v>40.402499999999996</v>
      </c>
      <c r="G544" s="14">
        <f>38.2572 * CHOOSE(CONTROL!$C$15, $E$9, 100%, $G$9) + CHOOSE(CONTROL!$C$38, 0.0369, 0)</f>
        <v>38.2941</v>
      </c>
      <c r="H544" s="14">
        <f>38.2572 * CHOOSE(CONTROL!$C$15, $E$9, 100%, $G$9) + CHOOSE(CONTROL!$C$38, 0.0369, 0)</f>
        <v>38.2941</v>
      </c>
      <c r="I544" s="14">
        <f>38.2587 * CHOOSE(CONTROL!$C$15, $E$9, 100%, $G$9) + CHOOSE(CONTROL!$C$38, 0.0369, 0)</f>
        <v>38.2956</v>
      </c>
      <c r="J544" s="44">
        <f>333.983</f>
        <v>333.983</v>
      </c>
    </row>
    <row r="545" spans="1:10" ht="15.75" x14ac:dyDescent="0.25">
      <c r="A545" s="32">
        <v>57526</v>
      </c>
      <c r="B545" s="14">
        <f>39.9666 * CHOOSE(CONTROL!$C$15, $E$9, 100%, $G$9) + CHOOSE(CONTROL!$C$38, 0.0278, 0)</f>
        <v>39.994399999999999</v>
      </c>
      <c r="C545" s="14">
        <f>37.6944 * CHOOSE(CONTROL!$C$15, $E$9, 100%, $G$9) + CHOOSE(CONTROL!$C$38, 0.0369, 0)</f>
        <v>37.731300000000005</v>
      </c>
      <c r="D545" s="14">
        <f>37.6866 * CHOOSE(CONTROL!$C$15, $E$9, 100%, $G$9) + CHOOSE(CONTROL!$C$38, 0.0369, 0)</f>
        <v>37.723500000000001</v>
      </c>
      <c r="E545" s="46">
        <f>39.8104 * CHOOSE(CONTROL!$C$15, $E$9, 100%, $G$9) + CHOOSE(CONTROL!$C$38, 0.0369, 0)</f>
        <v>39.847300000000004</v>
      </c>
      <c r="F545" s="45">
        <f>39.8104 * CHOOSE(CONTROL!$C$15, $E$9, 100%, $G$9) + CHOOSE(CONTROL!$C$38, 0.0278, 0)</f>
        <v>39.838200000000001</v>
      </c>
      <c r="G545" s="14">
        <f>37.6928 * CHOOSE(CONTROL!$C$15, $E$9, 100%, $G$9) + CHOOSE(CONTROL!$C$38, 0.0369, 0)</f>
        <v>37.729700000000001</v>
      </c>
      <c r="H545" s="14">
        <f>37.6928 * CHOOSE(CONTROL!$C$15, $E$9, 100%, $G$9) + CHOOSE(CONTROL!$C$38, 0.0369, 0)</f>
        <v>37.729700000000001</v>
      </c>
      <c r="I545" s="14">
        <f>37.6944 * CHOOSE(CONTROL!$C$15, $E$9, 100%, $G$9) + CHOOSE(CONTROL!$C$38, 0.0369, 0)</f>
        <v>37.731300000000005</v>
      </c>
      <c r="J545" s="44">
        <f>338.7953</f>
        <v>338.7953</v>
      </c>
    </row>
    <row r="546" spans="1:10" ht="15.75" x14ac:dyDescent="0.25">
      <c r="A546" s="32">
        <v>57557</v>
      </c>
      <c r="B546" s="14">
        <f>39.6446 * CHOOSE(CONTROL!$C$15, $E$9, 100%, $G$9) + CHOOSE(CONTROL!$C$38, 0.0278, 0)</f>
        <v>39.672399999999996</v>
      </c>
      <c r="C546" s="14">
        <f>37.3723 * CHOOSE(CONTROL!$C$15, $E$9, 100%, $G$9) + CHOOSE(CONTROL!$C$38, 0.0369, 0)</f>
        <v>37.409200000000006</v>
      </c>
      <c r="D546" s="14">
        <f>37.3645 * CHOOSE(CONTROL!$C$15, $E$9, 100%, $G$9) + CHOOSE(CONTROL!$C$38, 0.0369, 0)</f>
        <v>37.401400000000002</v>
      </c>
      <c r="E546" s="46">
        <f>39.4883 * CHOOSE(CONTROL!$C$15, $E$9, 100%, $G$9) + CHOOSE(CONTROL!$C$38, 0.0369, 0)</f>
        <v>39.525200000000005</v>
      </c>
      <c r="F546" s="45">
        <f>39.4883 * CHOOSE(CONTROL!$C$15, $E$9, 100%, $G$9) + CHOOSE(CONTROL!$C$38, 0.0278, 0)</f>
        <v>39.516100000000002</v>
      </c>
      <c r="G546" s="14">
        <f>37.3708 * CHOOSE(CONTROL!$C$15, $E$9, 100%, $G$9) + CHOOSE(CONTROL!$C$38, 0.0369, 0)</f>
        <v>37.407700000000006</v>
      </c>
      <c r="H546" s="14">
        <f>37.3708 * CHOOSE(CONTROL!$C$15, $E$9, 100%, $G$9) + CHOOSE(CONTROL!$C$38, 0.0369, 0)</f>
        <v>37.407700000000006</v>
      </c>
      <c r="I546" s="14">
        <f>37.3723 * CHOOSE(CONTROL!$C$15, $E$9, 100%, $G$9) + CHOOSE(CONTROL!$C$38, 0.0369, 0)</f>
        <v>37.409200000000006</v>
      </c>
      <c r="J546" s="44">
        <f>337.2108</f>
        <v>337.21080000000001</v>
      </c>
    </row>
    <row r="547" spans="1:10" ht="15.75" x14ac:dyDescent="0.25">
      <c r="A547" s="32">
        <v>57588</v>
      </c>
      <c r="B547" s="14">
        <f>39.8035 * CHOOSE(CONTROL!$C$15, $E$9, 100%, $G$9) + CHOOSE(CONTROL!$C$38, 0.0278, 0)</f>
        <v>39.831299999999999</v>
      </c>
      <c r="C547" s="14">
        <f>37.5313 * CHOOSE(CONTROL!$C$15, $E$9, 100%, $G$9) + CHOOSE(CONTROL!$C$38, 0.0369, 0)</f>
        <v>37.568200000000004</v>
      </c>
      <c r="D547" s="14">
        <f>37.5235 * CHOOSE(CONTROL!$C$15, $E$9, 100%, $G$9) + CHOOSE(CONTROL!$C$38, 0.0369, 0)</f>
        <v>37.560400000000001</v>
      </c>
      <c r="E547" s="46">
        <f>39.6473 * CHOOSE(CONTROL!$C$15, $E$9, 100%, $G$9) + CHOOSE(CONTROL!$C$38, 0.0369, 0)</f>
        <v>39.684200000000004</v>
      </c>
      <c r="F547" s="45">
        <f>39.6473 * CHOOSE(CONTROL!$C$15, $E$9, 100%, $G$9) + CHOOSE(CONTROL!$C$38, 0.0278, 0)</f>
        <v>39.6751</v>
      </c>
      <c r="G547" s="14">
        <f>37.5297 * CHOOSE(CONTROL!$C$15, $E$9, 100%, $G$9) + CHOOSE(CONTROL!$C$38, 0.0369, 0)</f>
        <v>37.566600000000001</v>
      </c>
      <c r="H547" s="14">
        <f>37.5297 * CHOOSE(CONTROL!$C$15, $E$9, 100%, $G$9) + CHOOSE(CONTROL!$C$38, 0.0369, 0)</f>
        <v>37.566600000000001</v>
      </c>
      <c r="I547" s="14">
        <f>37.5313 * CHOOSE(CONTROL!$C$15, $E$9, 100%, $G$9) + CHOOSE(CONTROL!$C$38, 0.0369, 0)</f>
        <v>37.568200000000004</v>
      </c>
      <c r="J547" s="44">
        <f>329.3607</f>
        <v>329.36070000000001</v>
      </c>
    </row>
    <row r="548" spans="1:10" ht="15.75" x14ac:dyDescent="0.25">
      <c r="A548" s="32">
        <v>57618</v>
      </c>
      <c r="B548" s="14">
        <f>40.2352 * CHOOSE(CONTROL!$C$15, $E$9, 100%, $G$9) + CHOOSE(CONTROL!$C$38, 0.0278, 0)</f>
        <v>40.262999999999998</v>
      </c>
      <c r="C548" s="14">
        <f>37.963 * CHOOSE(CONTROL!$C$15, $E$9, 100%, $G$9) + CHOOSE(CONTROL!$C$38, 0.0369, 0)</f>
        <v>37.999900000000004</v>
      </c>
      <c r="D548" s="14">
        <f>37.9552 * CHOOSE(CONTROL!$C$15, $E$9, 100%, $G$9) + CHOOSE(CONTROL!$C$38, 0.0369, 0)</f>
        <v>37.992100000000001</v>
      </c>
      <c r="E548" s="46">
        <f>40.079 * CHOOSE(CONTROL!$C$15, $E$9, 100%, $G$9) + CHOOSE(CONTROL!$C$38, 0.0369, 0)</f>
        <v>40.115900000000003</v>
      </c>
      <c r="F548" s="45">
        <f>40.079 * CHOOSE(CONTROL!$C$15, $E$9, 100%, $G$9) + CHOOSE(CONTROL!$C$38, 0.0278, 0)</f>
        <v>40.1068</v>
      </c>
      <c r="G548" s="14">
        <f>37.9614 * CHOOSE(CONTROL!$C$15, $E$9, 100%, $G$9) + CHOOSE(CONTROL!$C$38, 0.0369, 0)</f>
        <v>37.9983</v>
      </c>
      <c r="H548" s="14">
        <f>37.9614 * CHOOSE(CONTROL!$C$15, $E$9, 100%, $G$9) + CHOOSE(CONTROL!$C$38, 0.0369, 0)</f>
        <v>37.9983</v>
      </c>
      <c r="I548" s="14">
        <f>37.963 * CHOOSE(CONTROL!$C$15, $E$9, 100%, $G$9) + CHOOSE(CONTROL!$C$38, 0.0369, 0)</f>
        <v>37.999900000000004</v>
      </c>
      <c r="J548" s="44">
        <f>318.4133</f>
        <v>318.41329999999999</v>
      </c>
    </row>
    <row r="549" spans="1:10" ht="15.75" x14ac:dyDescent="0.25">
      <c r="A549" s="32">
        <v>57649</v>
      </c>
      <c r="B549" s="14">
        <f>40.5968 * CHOOSE(CONTROL!$C$15, $E$9, 100%, $G$9) + CHOOSE(CONTROL!$C$38, 0.0256, 0)</f>
        <v>40.622399999999999</v>
      </c>
      <c r="C549" s="14">
        <f>38.3245 * CHOOSE(CONTROL!$C$15, $E$9, 100%, $G$9) + CHOOSE(CONTROL!$C$38, 0.0347, 0)</f>
        <v>38.359200000000001</v>
      </c>
      <c r="D549" s="14">
        <f>38.3167 * CHOOSE(CONTROL!$C$15, $E$9, 100%, $G$9) + CHOOSE(CONTROL!$C$38, 0.0347, 0)</f>
        <v>38.351399999999998</v>
      </c>
      <c r="E549" s="46">
        <f>40.4405 * CHOOSE(CONTROL!$C$15, $E$9, 100%, $G$9) + CHOOSE(CONTROL!$C$38, 0.0347, 0)</f>
        <v>40.475200000000001</v>
      </c>
      <c r="F549" s="45">
        <f>40.4405 * CHOOSE(CONTROL!$C$15, $E$9, 100%, $G$9) + CHOOSE(CONTROL!$C$38, 0.0256, 0)</f>
        <v>40.466099999999997</v>
      </c>
      <c r="G549" s="14">
        <f>38.323 * CHOOSE(CONTROL!$C$15, $E$9, 100%, $G$9) + CHOOSE(CONTROL!$C$38, 0.0347, 0)</f>
        <v>38.357700000000001</v>
      </c>
      <c r="H549" s="14">
        <f>38.323 * CHOOSE(CONTROL!$C$15, $E$9, 100%, $G$9) + CHOOSE(CONTROL!$C$38, 0.0347, 0)</f>
        <v>38.357700000000001</v>
      </c>
      <c r="I549" s="14">
        <f>38.3245 * CHOOSE(CONTROL!$C$15, $E$9, 100%, $G$9) + CHOOSE(CONTROL!$C$38, 0.0347, 0)</f>
        <v>38.359200000000001</v>
      </c>
      <c r="J549" s="44">
        <f>307.4023</f>
        <v>307.40230000000003</v>
      </c>
    </row>
    <row r="550" spans="1:10" ht="15.75" x14ac:dyDescent="0.25">
      <c r="A550" s="32">
        <v>57679</v>
      </c>
      <c r="B550" s="14">
        <f>40.8985 * CHOOSE(CONTROL!$C$15, $E$9, 100%, $G$9) + CHOOSE(CONTROL!$C$38, 0.0256, 0)</f>
        <v>40.924099999999996</v>
      </c>
      <c r="C550" s="14">
        <f>38.6262 * CHOOSE(CONTROL!$C$15, $E$9, 100%, $G$9) + CHOOSE(CONTROL!$C$38, 0.0347, 0)</f>
        <v>38.660899999999998</v>
      </c>
      <c r="D550" s="14">
        <f>38.6184 * CHOOSE(CONTROL!$C$15, $E$9, 100%, $G$9) + CHOOSE(CONTROL!$C$38, 0.0347, 0)</f>
        <v>38.653100000000002</v>
      </c>
      <c r="E550" s="46">
        <f>40.7422 * CHOOSE(CONTROL!$C$15, $E$9, 100%, $G$9) + CHOOSE(CONTROL!$C$38, 0.0347, 0)</f>
        <v>40.776899999999998</v>
      </c>
      <c r="F550" s="45">
        <f>40.7422 * CHOOSE(CONTROL!$C$15, $E$9, 100%, $G$9) + CHOOSE(CONTROL!$C$38, 0.0256, 0)</f>
        <v>40.767799999999994</v>
      </c>
      <c r="G550" s="14">
        <f>38.6247 * CHOOSE(CONTROL!$C$15, $E$9, 100%, $G$9) + CHOOSE(CONTROL!$C$38, 0.0347, 0)</f>
        <v>38.659399999999998</v>
      </c>
      <c r="H550" s="14">
        <f>38.6247 * CHOOSE(CONTROL!$C$15, $E$9, 100%, $G$9) + CHOOSE(CONTROL!$C$38, 0.0347, 0)</f>
        <v>38.659399999999998</v>
      </c>
      <c r="I550" s="14">
        <f>38.6262 * CHOOSE(CONTROL!$C$15, $E$9, 100%, $G$9) + CHOOSE(CONTROL!$C$38, 0.0347, 0)</f>
        <v>38.660899999999998</v>
      </c>
      <c r="J550" s="44">
        <f>305.212</f>
        <v>305.21199999999999</v>
      </c>
    </row>
    <row r="551" spans="1:10" ht="15.75" x14ac:dyDescent="0.25">
      <c r="A551" s="32">
        <v>57710</v>
      </c>
      <c r="B551" s="14">
        <f>41.8281 * CHOOSE(CONTROL!$C$15, $E$9, 100%, $G$9) + CHOOSE(CONTROL!$C$38, 0.0256, 0)</f>
        <v>41.853699999999996</v>
      </c>
      <c r="C551" s="14">
        <f>39.5559 * CHOOSE(CONTROL!$C$15, $E$9, 100%, $G$9) + CHOOSE(CONTROL!$C$38, 0.0347, 0)</f>
        <v>39.590600000000002</v>
      </c>
      <c r="D551" s="14">
        <f>39.5481 * CHOOSE(CONTROL!$C$15, $E$9, 100%, $G$9) + CHOOSE(CONTROL!$C$38, 0.0347, 0)</f>
        <v>39.582799999999999</v>
      </c>
      <c r="E551" s="46">
        <f>41.6719 * CHOOSE(CONTROL!$C$15, $E$9, 100%, $G$9) + CHOOSE(CONTROL!$C$38, 0.0347, 0)</f>
        <v>41.706600000000002</v>
      </c>
      <c r="F551" s="45">
        <f>41.6719 * CHOOSE(CONTROL!$C$15, $E$9, 100%, $G$9) + CHOOSE(CONTROL!$C$38, 0.0256, 0)</f>
        <v>41.697499999999998</v>
      </c>
      <c r="G551" s="14">
        <f>39.5543 * CHOOSE(CONTROL!$C$15, $E$9, 100%, $G$9) + CHOOSE(CONTROL!$C$38, 0.0347, 0)</f>
        <v>39.588999999999999</v>
      </c>
      <c r="H551" s="14">
        <f>39.5543 * CHOOSE(CONTROL!$C$15, $E$9, 100%, $G$9) + CHOOSE(CONTROL!$C$38, 0.0347, 0)</f>
        <v>39.588999999999999</v>
      </c>
      <c r="I551" s="14">
        <f>39.5559 * CHOOSE(CONTROL!$C$15, $E$9, 100%, $G$9) + CHOOSE(CONTROL!$C$38, 0.0347, 0)</f>
        <v>39.590600000000002</v>
      </c>
      <c r="J551" s="44">
        <f>296.1548</f>
        <v>296.15480000000002</v>
      </c>
    </row>
    <row r="552" spans="1:10" ht="15.75" x14ac:dyDescent="0.25">
      <c r="A552" s="32">
        <v>57741</v>
      </c>
      <c r="B552" s="14">
        <f>43.2399 * CHOOSE(CONTROL!$C$15, $E$9, 100%, $G$9) + CHOOSE(CONTROL!$C$38, 0.0256, 0)</f>
        <v>43.265499999999996</v>
      </c>
      <c r="C552" s="14">
        <f>40.9322 * CHOOSE(CONTROL!$C$15, $E$9, 100%, $G$9) + CHOOSE(CONTROL!$C$38, 0.0347, 0)</f>
        <v>40.966900000000003</v>
      </c>
      <c r="D552" s="14">
        <f>40.9243 * CHOOSE(CONTROL!$C$15, $E$9, 100%, $G$9) + CHOOSE(CONTROL!$C$38, 0.0347, 0)</f>
        <v>40.959000000000003</v>
      </c>
      <c r="E552" s="46">
        <f>43.0837 * CHOOSE(CONTROL!$C$15, $E$9, 100%, $G$9) + CHOOSE(CONTROL!$C$38, 0.0347, 0)</f>
        <v>43.118400000000001</v>
      </c>
      <c r="F552" s="45">
        <f>43.0837 * CHOOSE(CONTROL!$C$15, $E$9, 100%, $G$9) + CHOOSE(CONTROL!$C$38, 0.0256, 0)</f>
        <v>43.109299999999998</v>
      </c>
      <c r="G552" s="14">
        <f>40.9306 * CHOOSE(CONTROL!$C$15, $E$9, 100%, $G$9) + CHOOSE(CONTROL!$C$38, 0.0347, 0)</f>
        <v>40.965299999999999</v>
      </c>
      <c r="H552" s="14">
        <f>40.9306 * CHOOSE(CONTROL!$C$15, $E$9, 100%, $G$9) + CHOOSE(CONTROL!$C$38, 0.0347, 0)</f>
        <v>40.965299999999999</v>
      </c>
      <c r="I552" s="14">
        <f>40.9322 * CHOOSE(CONTROL!$C$15, $E$9, 100%, $G$9) + CHOOSE(CONTROL!$C$38, 0.0347, 0)</f>
        <v>40.966900000000003</v>
      </c>
      <c r="J552" s="44">
        <f>295.7729</f>
        <v>295.77289999999999</v>
      </c>
    </row>
    <row r="553" spans="1:10" ht="15.75" x14ac:dyDescent="0.25">
      <c r="A553" s="32">
        <v>57769</v>
      </c>
      <c r="B553" s="14">
        <f>43.5843 * CHOOSE(CONTROL!$C$15, $E$9, 100%, $G$9) + CHOOSE(CONTROL!$C$38, 0.0256, 0)</f>
        <v>43.609899999999996</v>
      </c>
      <c r="C553" s="14">
        <f>41.2765 * CHOOSE(CONTROL!$C$15, $E$9, 100%, $G$9) + CHOOSE(CONTROL!$C$38, 0.0347, 0)</f>
        <v>41.311199999999999</v>
      </c>
      <c r="D553" s="14">
        <f>41.2687 * CHOOSE(CONTROL!$C$15, $E$9, 100%, $G$9) + CHOOSE(CONTROL!$C$38, 0.0347, 0)</f>
        <v>41.303400000000003</v>
      </c>
      <c r="E553" s="46">
        <f>43.428 * CHOOSE(CONTROL!$C$15, $E$9, 100%, $G$9) + CHOOSE(CONTROL!$C$38, 0.0347, 0)</f>
        <v>43.462699999999998</v>
      </c>
      <c r="F553" s="45">
        <f>43.428 * CHOOSE(CONTROL!$C$15, $E$9, 100%, $G$9) + CHOOSE(CONTROL!$C$38, 0.0256, 0)</f>
        <v>43.453599999999994</v>
      </c>
      <c r="G553" s="14">
        <f>41.2749 * CHOOSE(CONTROL!$C$15, $E$9, 100%, $G$9) + CHOOSE(CONTROL!$C$38, 0.0347, 0)</f>
        <v>41.309600000000003</v>
      </c>
      <c r="H553" s="14">
        <f>41.2749 * CHOOSE(CONTROL!$C$15, $E$9, 100%, $G$9) + CHOOSE(CONTROL!$C$38, 0.0347, 0)</f>
        <v>41.309600000000003</v>
      </c>
      <c r="I553" s="14">
        <f>41.2765 * CHOOSE(CONTROL!$C$15, $E$9, 100%, $G$9) + CHOOSE(CONTROL!$C$38, 0.0347, 0)</f>
        <v>41.311199999999999</v>
      </c>
      <c r="J553" s="44">
        <f>294.9507</f>
        <v>294.95069999999998</v>
      </c>
    </row>
    <row r="554" spans="1:10" ht="15.75" x14ac:dyDescent="0.25">
      <c r="A554" s="32">
        <v>57800</v>
      </c>
      <c r="B554" s="14">
        <f>42.7872 * CHOOSE(CONTROL!$C$15, $E$9, 100%, $G$9) + CHOOSE(CONTROL!$C$38, 0.0256, 0)</f>
        <v>42.812799999999996</v>
      </c>
      <c r="C554" s="14">
        <f>40.4794 * CHOOSE(CONTROL!$C$15, $E$9, 100%, $G$9) + CHOOSE(CONTROL!$C$38, 0.0347, 0)</f>
        <v>40.514099999999999</v>
      </c>
      <c r="D554" s="14">
        <f>40.4716 * CHOOSE(CONTROL!$C$15, $E$9, 100%, $G$9) + CHOOSE(CONTROL!$C$38, 0.0347, 0)</f>
        <v>40.506300000000003</v>
      </c>
      <c r="E554" s="46">
        <f>42.631 * CHOOSE(CONTROL!$C$15, $E$9, 100%, $G$9) + CHOOSE(CONTROL!$C$38, 0.0347, 0)</f>
        <v>42.665700000000001</v>
      </c>
      <c r="F554" s="45">
        <f>42.631 * CHOOSE(CONTROL!$C$15, $E$9, 100%, $G$9) + CHOOSE(CONTROL!$C$38, 0.0256, 0)</f>
        <v>42.656599999999997</v>
      </c>
      <c r="G554" s="14">
        <f>40.4779 * CHOOSE(CONTROL!$C$15, $E$9, 100%, $G$9) + CHOOSE(CONTROL!$C$38, 0.0347, 0)</f>
        <v>40.512599999999999</v>
      </c>
      <c r="H554" s="14">
        <f>40.4779 * CHOOSE(CONTROL!$C$15, $E$9, 100%, $G$9) + CHOOSE(CONTROL!$C$38, 0.0347, 0)</f>
        <v>40.512599999999999</v>
      </c>
      <c r="I554" s="14">
        <f>40.4794 * CHOOSE(CONTROL!$C$15, $E$9, 100%, $G$9) + CHOOSE(CONTROL!$C$38, 0.0347, 0)</f>
        <v>40.514099999999999</v>
      </c>
      <c r="J554" s="44">
        <f>310.4963</f>
        <v>310.49630000000002</v>
      </c>
    </row>
    <row r="555" spans="1:10" ht="15.75" x14ac:dyDescent="0.25">
      <c r="A555" s="32">
        <v>57830</v>
      </c>
      <c r="B555" s="14">
        <f>42.0149 * CHOOSE(CONTROL!$C$15, $E$9, 100%, $G$9) + CHOOSE(CONTROL!$C$38, 0.0256, 0)</f>
        <v>42.040499999999994</v>
      </c>
      <c r="C555" s="14">
        <f>39.7071 * CHOOSE(CONTROL!$C$15, $E$9, 100%, $G$9) + CHOOSE(CONTROL!$C$38, 0.0347, 0)</f>
        <v>39.741799999999998</v>
      </c>
      <c r="D555" s="14">
        <f>39.6993 * CHOOSE(CONTROL!$C$15, $E$9, 100%, $G$9) + CHOOSE(CONTROL!$C$38, 0.0347, 0)</f>
        <v>39.734000000000002</v>
      </c>
      <c r="E555" s="46">
        <f>41.8587 * CHOOSE(CONTROL!$C$15, $E$9, 100%, $G$9) + CHOOSE(CONTROL!$C$38, 0.0347, 0)</f>
        <v>41.8934</v>
      </c>
      <c r="F555" s="45">
        <f>41.8587 * CHOOSE(CONTROL!$C$15, $E$9, 100%, $G$9) + CHOOSE(CONTROL!$C$38, 0.0256, 0)</f>
        <v>41.884299999999996</v>
      </c>
      <c r="G555" s="14">
        <f>39.7056 * CHOOSE(CONTROL!$C$15, $E$9, 100%, $G$9) + CHOOSE(CONTROL!$C$38, 0.0347, 0)</f>
        <v>39.740299999999998</v>
      </c>
      <c r="H555" s="14">
        <f>39.7056 * CHOOSE(CONTROL!$C$15, $E$9, 100%, $G$9) + CHOOSE(CONTROL!$C$38, 0.0347, 0)</f>
        <v>39.740299999999998</v>
      </c>
      <c r="I555" s="14">
        <f>39.7071 * CHOOSE(CONTROL!$C$15, $E$9, 100%, $G$9) + CHOOSE(CONTROL!$C$38, 0.0347, 0)</f>
        <v>39.741799999999998</v>
      </c>
      <c r="J555" s="44">
        <f>330.6553</f>
        <v>330.65530000000001</v>
      </c>
    </row>
    <row r="556" spans="1:10" ht="15.75" x14ac:dyDescent="0.25">
      <c r="A556" s="32">
        <v>57861</v>
      </c>
      <c r="B556" s="14">
        <f>41.21 * CHOOSE(CONTROL!$C$15, $E$9, 100%, $G$9) + CHOOSE(CONTROL!$C$38, 0.0278, 0)</f>
        <v>41.2378</v>
      </c>
      <c r="C556" s="14">
        <f>38.9022 * CHOOSE(CONTROL!$C$15, $E$9, 100%, $G$9) + CHOOSE(CONTROL!$C$38, 0.0369, 0)</f>
        <v>38.939100000000003</v>
      </c>
      <c r="D556" s="14">
        <f>38.8944 * CHOOSE(CONTROL!$C$15, $E$9, 100%, $G$9) + CHOOSE(CONTROL!$C$38, 0.0369, 0)</f>
        <v>38.9313</v>
      </c>
      <c r="E556" s="46">
        <f>41.0537 * CHOOSE(CONTROL!$C$15, $E$9, 100%, $G$9) + CHOOSE(CONTROL!$C$38, 0.0369, 0)</f>
        <v>41.090600000000002</v>
      </c>
      <c r="F556" s="45">
        <f>41.0537 * CHOOSE(CONTROL!$C$15, $E$9, 100%, $G$9) + CHOOSE(CONTROL!$C$38, 0.0278, 0)</f>
        <v>41.081499999999998</v>
      </c>
      <c r="G556" s="14">
        <f>38.9006 * CHOOSE(CONTROL!$C$15, $E$9, 100%, $G$9) + CHOOSE(CONTROL!$C$38, 0.0369, 0)</f>
        <v>38.9375</v>
      </c>
      <c r="H556" s="14">
        <f>38.9006 * CHOOSE(CONTROL!$C$15, $E$9, 100%, $G$9) + CHOOSE(CONTROL!$C$38, 0.0369, 0)</f>
        <v>38.9375</v>
      </c>
      <c r="I556" s="14">
        <f>38.9022 * CHOOSE(CONTROL!$C$15, $E$9, 100%, $G$9) + CHOOSE(CONTROL!$C$38, 0.0369, 0)</f>
        <v>38.939100000000003</v>
      </c>
      <c r="J556" s="44">
        <f>341.7514</f>
        <v>341.75139999999999</v>
      </c>
    </row>
    <row r="557" spans="1:10" ht="15.75" x14ac:dyDescent="0.25">
      <c r="A557" s="32">
        <v>57891</v>
      </c>
      <c r="B557" s="14">
        <f>40.6456 * CHOOSE(CONTROL!$C$15, $E$9, 100%, $G$9) + CHOOSE(CONTROL!$C$38, 0.0278, 0)</f>
        <v>40.673400000000001</v>
      </c>
      <c r="C557" s="14">
        <f>38.3378 * CHOOSE(CONTROL!$C$15, $E$9, 100%, $G$9) + CHOOSE(CONTROL!$C$38, 0.0369, 0)</f>
        <v>38.374700000000004</v>
      </c>
      <c r="D557" s="14">
        <f>38.33 * CHOOSE(CONTROL!$C$15, $E$9, 100%, $G$9) + CHOOSE(CONTROL!$C$38, 0.0369, 0)</f>
        <v>38.366900000000001</v>
      </c>
      <c r="E557" s="46">
        <f>40.4894 * CHOOSE(CONTROL!$C$15, $E$9, 100%, $G$9) + CHOOSE(CONTROL!$C$38, 0.0369, 0)</f>
        <v>40.526300000000006</v>
      </c>
      <c r="F557" s="45">
        <f>40.4894 * CHOOSE(CONTROL!$C$15, $E$9, 100%, $G$9) + CHOOSE(CONTROL!$C$38, 0.0278, 0)</f>
        <v>40.517200000000003</v>
      </c>
      <c r="G557" s="14">
        <f>38.3363 * CHOOSE(CONTROL!$C$15, $E$9, 100%, $G$9) + CHOOSE(CONTROL!$C$38, 0.0369, 0)</f>
        <v>38.373200000000004</v>
      </c>
      <c r="H557" s="14">
        <f>38.3363 * CHOOSE(CONTROL!$C$15, $E$9, 100%, $G$9) + CHOOSE(CONTROL!$C$38, 0.0369, 0)</f>
        <v>38.373200000000004</v>
      </c>
      <c r="I557" s="14">
        <f>38.3378 * CHOOSE(CONTROL!$C$15, $E$9, 100%, $G$9) + CHOOSE(CONTROL!$C$38, 0.0369, 0)</f>
        <v>38.374700000000004</v>
      </c>
      <c r="J557" s="44">
        <f>346.6757</f>
        <v>346.67570000000001</v>
      </c>
    </row>
    <row r="558" spans="1:10" ht="15.75" x14ac:dyDescent="0.25">
      <c r="A558" s="32">
        <v>57922</v>
      </c>
      <c r="B558" s="14">
        <f>40.3236 * CHOOSE(CONTROL!$C$15, $E$9, 100%, $G$9) + CHOOSE(CONTROL!$C$38, 0.0278, 0)</f>
        <v>40.351399999999998</v>
      </c>
      <c r="C558" s="14">
        <f>38.0158 * CHOOSE(CONTROL!$C$15, $E$9, 100%, $G$9) + CHOOSE(CONTROL!$C$38, 0.0369, 0)</f>
        <v>38.052700000000002</v>
      </c>
      <c r="D558" s="14">
        <f>38.008 * CHOOSE(CONTROL!$C$15, $E$9, 100%, $G$9) + CHOOSE(CONTROL!$C$38, 0.0369, 0)</f>
        <v>38.044900000000005</v>
      </c>
      <c r="E558" s="46">
        <f>40.1673 * CHOOSE(CONTROL!$C$15, $E$9, 100%, $G$9) + CHOOSE(CONTROL!$C$38, 0.0369, 0)</f>
        <v>40.2042</v>
      </c>
      <c r="F558" s="45">
        <f>40.1673 * CHOOSE(CONTROL!$C$15, $E$9, 100%, $G$9) + CHOOSE(CONTROL!$C$38, 0.0278, 0)</f>
        <v>40.195099999999996</v>
      </c>
      <c r="G558" s="14">
        <f>38.0142 * CHOOSE(CONTROL!$C$15, $E$9, 100%, $G$9) + CHOOSE(CONTROL!$C$38, 0.0369, 0)</f>
        <v>38.051100000000005</v>
      </c>
      <c r="H558" s="14">
        <f>38.0142 * CHOOSE(CONTROL!$C$15, $E$9, 100%, $G$9) + CHOOSE(CONTROL!$C$38, 0.0369, 0)</f>
        <v>38.051100000000005</v>
      </c>
      <c r="I558" s="14">
        <f>38.0158 * CHOOSE(CONTROL!$C$15, $E$9, 100%, $G$9) + CHOOSE(CONTROL!$C$38, 0.0369, 0)</f>
        <v>38.052700000000002</v>
      </c>
      <c r="J558" s="44">
        <f>345.0544</f>
        <v>345.05439999999999</v>
      </c>
    </row>
    <row r="559" spans="1:10" ht="15.75" x14ac:dyDescent="0.25">
      <c r="A559" s="32">
        <v>57953</v>
      </c>
      <c r="B559" s="14">
        <f>40.4825 * CHOOSE(CONTROL!$C$15, $E$9, 100%, $G$9) + CHOOSE(CONTROL!$C$38, 0.0278, 0)</f>
        <v>40.510300000000001</v>
      </c>
      <c r="C559" s="14">
        <f>38.1747 * CHOOSE(CONTROL!$C$15, $E$9, 100%, $G$9) + CHOOSE(CONTROL!$C$38, 0.0369, 0)</f>
        <v>38.211600000000004</v>
      </c>
      <c r="D559" s="14">
        <f>38.1669 * CHOOSE(CONTROL!$C$15, $E$9, 100%, $G$9) + CHOOSE(CONTROL!$C$38, 0.0369, 0)</f>
        <v>38.203800000000001</v>
      </c>
      <c r="E559" s="46">
        <f>40.3263 * CHOOSE(CONTROL!$C$15, $E$9, 100%, $G$9) + CHOOSE(CONTROL!$C$38, 0.0369, 0)</f>
        <v>40.363200000000006</v>
      </c>
      <c r="F559" s="45">
        <f>40.3263 * CHOOSE(CONTROL!$C$15, $E$9, 100%, $G$9) + CHOOSE(CONTROL!$C$38, 0.0278, 0)</f>
        <v>40.354100000000003</v>
      </c>
      <c r="G559" s="14">
        <f>38.1732 * CHOOSE(CONTROL!$C$15, $E$9, 100%, $G$9) + CHOOSE(CONTROL!$C$38, 0.0369, 0)</f>
        <v>38.210100000000004</v>
      </c>
      <c r="H559" s="14">
        <f>38.1732 * CHOOSE(CONTROL!$C$15, $E$9, 100%, $G$9) + CHOOSE(CONTROL!$C$38, 0.0369, 0)</f>
        <v>38.210100000000004</v>
      </c>
      <c r="I559" s="14">
        <f>38.1747 * CHOOSE(CONTROL!$C$15, $E$9, 100%, $G$9) + CHOOSE(CONTROL!$C$38, 0.0369, 0)</f>
        <v>38.211600000000004</v>
      </c>
      <c r="J559" s="44">
        <f>337.0217</f>
        <v>337.02170000000001</v>
      </c>
    </row>
    <row r="560" spans="1:10" ht="15.75" x14ac:dyDescent="0.25">
      <c r="A560" s="32">
        <v>57983</v>
      </c>
      <c r="B560" s="14">
        <f>40.9142 * CHOOSE(CONTROL!$C$15, $E$9, 100%, $G$9) + CHOOSE(CONTROL!$C$38, 0.0278, 0)</f>
        <v>40.942</v>
      </c>
      <c r="C560" s="14">
        <f>38.6064 * CHOOSE(CONTROL!$C$15, $E$9, 100%, $G$9) + CHOOSE(CONTROL!$C$38, 0.0369, 0)</f>
        <v>38.643300000000004</v>
      </c>
      <c r="D560" s="14">
        <f>38.5986 * CHOOSE(CONTROL!$C$15, $E$9, 100%, $G$9) + CHOOSE(CONTROL!$C$38, 0.0369, 0)</f>
        <v>38.6355</v>
      </c>
      <c r="E560" s="46">
        <f>40.758 * CHOOSE(CONTROL!$C$15, $E$9, 100%, $G$9) + CHOOSE(CONTROL!$C$38, 0.0369, 0)</f>
        <v>40.794900000000005</v>
      </c>
      <c r="F560" s="45">
        <f>40.758 * CHOOSE(CONTROL!$C$15, $E$9, 100%, $G$9) + CHOOSE(CONTROL!$C$38, 0.0278, 0)</f>
        <v>40.785800000000002</v>
      </c>
      <c r="G560" s="14">
        <f>38.6049 * CHOOSE(CONTROL!$C$15, $E$9, 100%, $G$9) + CHOOSE(CONTROL!$C$38, 0.0369, 0)</f>
        <v>38.641800000000003</v>
      </c>
      <c r="H560" s="14">
        <f>38.6049 * CHOOSE(CONTROL!$C$15, $E$9, 100%, $G$9) + CHOOSE(CONTROL!$C$38, 0.0369, 0)</f>
        <v>38.641800000000003</v>
      </c>
      <c r="I560" s="14">
        <f>38.6064 * CHOOSE(CONTROL!$C$15, $E$9, 100%, $G$9) + CHOOSE(CONTROL!$C$38, 0.0369, 0)</f>
        <v>38.643300000000004</v>
      </c>
      <c r="J560" s="44">
        <f>325.8196</f>
        <v>325.81959999999998</v>
      </c>
    </row>
    <row r="561" spans="1:10" ht="15.75" x14ac:dyDescent="0.25">
      <c r="A561" s="32">
        <v>58014</v>
      </c>
      <c r="B561" s="14">
        <f>41.2758 * CHOOSE(CONTROL!$C$15, $E$9, 100%, $G$9) + CHOOSE(CONTROL!$C$38, 0.0256, 0)</f>
        <v>41.301399999999994</v>
      </c>
      <c r="C561" s="14">
        <f>38.968 * CHOOSE(CONTROL!$C$15, $E$9, 100%, $G$9) + CHOOSE(CONTROL!$C$38, 0.0347, 0)</f>
        <v>39.002700000000004</v>
      </c>
      <c r="D561" s="14">
        <f>38.9602 * CHOOSE(CONTROL!$C$15, $E$9, 100%, $G$9) + CHOOSE(CONTROL!$C$38, 0.0347, 0)</f>
        <v>38.994900000000001</v>
      </c>
      <c r="E561" s="46">
        <f>41.1195 * CHOOSE(CONTROL!$C$15, $E$9, 100%, $G$9) + CHOOSE(CONTROL!$C$38, 0.0347, 0)</f>
        <v>41.154200000000003</v>
      </c>
      <c r="F561" s="45">
        <f>41.1195 * CHOOSE(CONTROL!$C$15, $E$9, 100%, $G$9) + CHOOSE(CONTROL!$C$38, 0.0256, 0)</f>
        <v>41.145099999999999</v>
      </c>
      <c r="G561" s="14">
        <f>38.9664 * CHOOSE(CONTROL!$C$15, $E$9, 100%, $G$9) + CHOOSE(CONTROL!$C$38, 0.0347, 0)</f>
        <v>39.001100000000001</v>
      </c>
      <c r="H561" s="14">
        <f>38.9664 * CHOOSE(CONTROL!$C$15, $E$9, 100%, $G$9) + CHOOSE(CONTROL!$C$38, 0.0347, 0)</f>
        <v>39.001100000000001</v>
      </c>
      <c r="I561" s="14">
        <f>38.968 * CHOOSE(CONTROL!$C$15, $E$9, 100%, $G$9) + CHOOSE(CONTROL!$C$38, 0.0347, 0)</f>
        <v>39.002700000000004</v>
      </c>
      <c r="J561" s="44">
        <f>314.5525</f>
        <v>314.55250000000001</v>
      </c>
    </row>
    <row r="562" spans="1:10" ht="15.75" x14ac:dyDescent="0.25">
      <c r="A562" s="32">
        <v>58044</v>
      </c>
      <c r="B562" s="14">
        <f>41.5775 * CHOOSE(CONTROL!$C$15, $E$9, 100%, $G$9) + CHOOSE(CONTROL!$C$38, 0.0256, 0)</f>
        <v>41.603099999999998</v>
      </c>
      <c r="C562" s="14">
        <f>39.2697 * CHOOSE(CONTROL!$C$15, $E$9, 100%, $G$9) + CHOOSE(CONTROL!$C$38, 0.0347, 0)</f>
        <v>39.304400000000001</v>
      </c>
      <c r="D562" s="14">
        <f>39.2619 * CHOOSE(CONTROL!$C$15, $E$9, 100%, $G$9) + CHOOSE(CONTROL!$C$38, 0.0347, 0)</f>
        <v>39.296599999999998</v>
      </c>
      <c r="E562" s="46">
        <f>41.4212 * CHOOSE(CONTROL!$C$15, $E$9, 100%, $G$9) + CHOOSE(CONTROL!$C$38, 0.0347, 0)</f>
        <v>41.4559</v>
      </c>
      <c r="F562" s="45">
        <f>41.4212 * CHOOSE(CONTROL!$C$15, $E$9, 100%, $G$9) + CHOOSE(CONTROL!$C$38, 0.0256, 0)</f>
        <v>41.446799999999996</v>
      </c>
      <c r="G562" s="14">
        <f>39.2681 * CHOOSE(CONTROL!$C$15, $E$9, 100%, $G$9) + CHOOSE(CONTROL!$C$38, 0.0347, 0)</f>
        <v>39.302799999999998</v>
      </c>
      <c r="H562" s="14">
        <f>39.2681 * CHOOSE(CONTROL!$C$15, $E$9, 100%, $G$9) + CHOOSE(CONTROL!$C$38, 0.0347, 0)</f>
        <v>39.302799999999998</v>
      </c>
      <c r="I562" s="14">
        <f>39.2697 * CHOOSE(CONTROL!$C$15, $E$9, 100%, $G$9) + CHOOSE(CONTROL!$C$38, 0.0347, 0)</f>
        <v>39.304400000000001</v>
      </c>
      <c r="J562" s="44">
        <f>312.3112</f>
        <v>312.31119999999999</v>
      </c>
    </row>
    <row r="563" spans="1:10" ht="15.75" x14ac:dyDescent="0.25">
      <c r="A563" s="32">
        <v>58075</v>
      </c>
      <c r="B563" s="14">
        <f>42.5071 * CHOOSE(CONTROL!$C$15, $E$9, 100%, $G$9) + CHOOSE(CONTROL!$C$38, 0.0256, 0)</f>
        <v>42.532699999999998</v>
      </c>
      <c r="C563" s="14">
        <f>40.1994 * CHOOSE(CONTROL!$C$15, $E$9, 100%, $G$9) + CHOOSE(CONTROL!$C$38, 0.0347, 0)</f>
        <v>40.234099999999998</v>
      </c>
      <c r="D563" s="14">
        <f>40.1915 * CHOOSE(CONTROL!$C$15, $E$9, 100%, $G$9) + CHOOSE(CONTROL!$C$38, 0.0347, 0)</f>
        <v>40.226199999999999</v>
      </c>
      <c r="E563" s="46">
        <f>42.3509 * CHOOSE(CONTROL!$C$15, $E$9, 100%, $G$9) + CHOOSE(CONTROL!$C$38, 0.0347, 0)</f>
        <v>42.385600000000004</v>
      </c>
      <c r="F563" s="45">
        <f>42.3509 * CHOOSE(CONTROL!$C$15, $E$9, 100%, $G$9) + CHOOSE(CONTROL!$C$38, 0.0256, 0)</f>
        <v>42.3765</v>
      </c>
      <c r="G563" s="14">
        <f>40.1978 * CHOOSE(CONTROL!$C$15, $E$9, 100%, $G$9) + CHOOSE(CONTROL!$C$38, 0.0347, 0)</f>
        <v>40.232500000000002</v>
      </c>
      <c r="H563" s="14">
        <f>40.1978 * CHOOSE(CONTROL!$C$15, $E$9, 100%, $G$9) + CHOOSE(CONTROL!$C$38, 0.0347, 0)</f>
        <v>40.232500000000002</v>
      </c>
      <c r="I563" s="14">
        <f>40.1994 * CHOOSE(CONTROL!$C$15, $E$9, 100%, $G$9) + CHOOSE(CONTROL!$C$38, 0.0347, 0)</f>
        <v>40.234099999999998</v>
      </c>
      <c r="J563" s="44">
        <f>303.0433</f>
        <v>303.04329999999999</v>
      </c>
    </row>
    <row r="564" spans="1:10" ht="15.75" x14ac:dyDescent="0.25">
      <c r="A564" s="32">
        <v>58106</v>
      </c>
      <c r="B564" s="14">
        <f>43.9304 * CHOOSE(CONTROL!$C$15, $E$9, 100%, $G$9) + CHOOSE(CONTROL!$C$38, 0.0256, 0)</f>
        <v>43.955999999999996</v>
      </c>
      <c r="C564" s="14">
        <f>41.5864 * CHOOSE(CONTROL!$C$15, $E$9, 100%, $G$9) + CHOOSE(CONTROL!$C$38, 0.0347, 0)</f>
        <v>41.621099999999998</v>
      </c>
      <c r="D564" s="14">
        <f>41.5786 * CHOOSE(CONTROL!$C$15, $E$9, 100%, $G$9) + CHOOSE(CONTROL!$C$38, 0.0347, 0)</f>
        <v>41.613300000000002</v>
      </c>
      <c r="E564" s="46">
        <f>43.7741 * CHOOSE(CONTROL!$C$15, $E$9, 100%, $G$9) + CHOOSE(CONTROL!$C$38, 0.0347, 0)</f>
        <v>43.808799999999998</v>
      </c>
      <c r="F564" s="45">
        <f>43.7741 * CHOOSE(CONTROL!$C$15, $E$9, 100%, $G$9) + CHOOSE(CONTROL!$C$38, 0.0256, 0)</f>
        <v>43.799699999999994</v>
      </c>
      <c r="G564" s="14">
        <f>41.5849 * CHOOSE(CONTROL!$C$15, $E$9, 100%, $G$9) + CHOOSE(CONTROL!$C$38, 0.0347, 0)</f>
        <v>41.619599999999998</v>
      </c>
      <c r="H564" s="14">
        <f>41.5849 * CHOOSE(CONTROL!$C$15, $E$9, 100%, $G$9) + CHOOSE(CONTROL!$C$38, 0.0347, 0)</f>
        <v>41.619599999999998</v>
      </c>
      <c r="I564" s="14">
        <f>41.5864 * CHOOSE(CONTROL!$C$15, $E$9, 100%, $G$9) + CHOOSE(CONTROL!$C$38, 0.0347, 0)</f>
        <v>41.621099999999998</v>
      </c>
      <c r="J564" s="44">
        <f>302.6525</f>
        <v>302.65249999999997</v>
      </c>
    </row>
    <row r="565" spans="1:10" ht="15.75" x14ac:dyDescent="0.25">
      <c r="A565" s="32">
        <v>58134</v>
      </c>
      <c r="B565" s="14">
        <f>44.2747 * CHOOSE(CONTROL!$C$15, $E$9, 100%, $G$9) + CHOOSE(CONTROL!$C$38, 0.0256, 0)</f>
        <v>44.3003</v>
      </c>
      <c r="C565" s="14">
        <f>41.9307 * CHOOSE(CONTROL!$C$15, $E$9, 100%, $G$9) + CHOOSE(CONTROL!$C$38, 0.0347, 0)</f>
        <v>41.965400000000002</v>
      </c>
      <c r="D565" s="14">
        <f>41.9229 * CHOOSE(CONTROL!$C$15, $E$9, 100%, $G$9) + CHOOSE(CONTROL!$C$38, 0.0347, 0)</f>
        <v>41.957599999999999</v>
      </c>
      <c r="E565" s="46">
        <f>44.1184 * CHOOSE(CONTROL!$C$15, $E$9, 100%, $G$9) + CHOOSE(CONTROL!$C$38, 0.0347, 0)</f>
        <v>44.153100000000002</v>
      </c>
      <c r="F565" s="45">
        <f>44.1184 * CHOOSE(CONTROL!$C$15, $E$9, 100%, $G$9) + CHOOSE(CONTROL!$C$38, 0.0256, 0)</f>
        <v>44.143999999999998</v>
      </c>
      <c r="G565" s="14">
        <f>41.9292 * CHOOSE(CONTROL!$C$15, $E$9, 100%, $G$9) + CHOOSE(CONTROL!$C$38, 0.0347, 0)</f>
        <v>41.963900000000002</v>
      </c>
      <c r="H565" s="14">
        <f>41.9292 * CHOOSE(CONTROL!$C$15, $E$9, 100%, $G$9) + CHOOSE(CONTROL!$C$38, 0.0347, 0)</f>
        <v>41.963900000000002</v>
      </c>
      <c r="I565" s="14">
        <f>41.9307 * CHOOSE(CONTROL!$C$15, $E$9, 100%, $G$9) + CHOOSE(CONTROL!$C$38, 0.0347, 0)</f>
        <v>41.965400000000002</v>
      </c>
      <c r="J565" s="44">
        <f>301.8113</f>
        <v>301.81130000000002</v>
      </c>
    </row>
    <row r="566" spans="1:10" ht="15.75" x14ac:dyDescent="0.25">
      <c r="A566" s="32">
        <v>58165</v>
      </c>
      <c r="B566" s="14">
        <f>43.4776 * CHOOSE(CONTROL!$C$15, $E$9, 100%, $G$9) + CHOOSE(CONTROL!$C$38, 0.0256, 0)</f>
        <v>43.5032</v>
      </c>
      <c r="C566" s="14">
        <f>41.1337 * CHOOSE(CONTROL!$C$15, $E$9, 100%, $G$9) + CHOOSE(CONTROL!$C$38, 0.0347, 0)</f>
        <v>41.168399999999998</v>
      </c>
      <c r="D566" s="14">
        <f>41.1259 * CHOOSE(CONTROL!$C$15, $E$9, 100%, $G$9) + CHOOSE(CONTROL!$C$38, 0.0347, 0)</f>
        <v>41.160600000000002</v>
      </c>
      <c r="E566" s="46">
        <f>43.3214 * CHOOSE(CONTROL!$C$15, $E$9, 100%, $G$9) + CHOOSE(CONTROL!$C$38, 0.0347, 0)</f>
        <v>43.356099999999998</v>
      </c>
      <c r="F566" s="45">
        <f>43.3214 * CHOOSE(CONTROL!$C$15, $E$9, 100%, $G$9) + CHOOSE(CONTROL!$C$38, 0.0256, 0)</f>
        <v>43.346999999999994</v>
      </c>
      <c r="G566" s="14">
        <f>41.1321 * CHOOSE(CONTROL!$C$15, $E$9, 100%, $G$9) + CHOOSE(CONTROL!$C$38, 0.0347, 0)</f>
        <v>41.166800000000002</v>
      </c>
      <c r="H566" s="14">
        <f>41.1321 * CHOOSE(CONTROL!$C$15, $E$9, 100%, $G$9) + CHOOSE(CONTROL!$C$38, 0.0347, 0)</f>
        <v>41.166800000000002</v>
      </c>
      <c r="I566" s="14">
        <f>41.1337 * CHOOSE(CONTROL!$C$15, $E$9, 100%, $G$9) + CHOOSE(CONTROL!$C$38, 0.0347, 0)</f>
        <v>41.168399999999998</v>
      </c>
      <c r="J566" s="44">
        <f>317.7185</f>
        <v>317.71850000000001</v>
      </c>
    </row>
    <row r="567" spans="1:10" ht="15.75" x14ac:dyDescent="0.25">
      <c r="A567" s="32">
        <v>58195</v>
      </c>
      <c r="B567" s="14">
        <f>42.7053 * CHOOSE(CONTROL!$C$15, $E$9, 100%, $G$9) + CHOOSE(CONTROL!$C$38, 0.0256, 0)</f>
        <v>42.730899999999998</v>
      </c>
      <c r="C567" s="14">
        <f>40.3614 * CHOOSE(CONTROL!$C$15, $E$9, 100%, $G$9) + CHOOSE(CONTROL!$C$38, 0.0347, 0)</f>
        <v>40.396100000000004</v>
      </c>
      <c r="D567" s="14">
        <f>40.3536 * CHOOSE(CONTROL!$C$15, $E$9, 100%, $G$9) + CHOOSE(CONTROL!$C$38, 0.0347, 0)</f>
        <v>40.388300000000001</v>
      </c>
      <c r="E567" s="46">
        <f>42.5491 * CHOOSE(CONTROL!$C$15, $E$9, 100%, $G$9) + CHOOSE(CONTROL!$C$38, 0.0347, 0)</f>
        <v>42.583800000000004</v>
      </c>
      <c r="F567" s="45">
        <f>42.5491 * CHOOSE(CONTROL!$C$15, $E$9, 100%, $G$9) + CHOOSE(CONTROL!$C$38, 0.0256, 0)</f>
        <v>42.5747</v>
      </c>
      <c r="G567" s="14">
        <f>40.3598 * CHOOSE(CONTROL!$C$15, $E$9, 100%, $G$9) + CHOOSE(CONTROL!$C$38, 0.0347, 0)</f>
        <v>40.394500000000001</v>
      </c>
      <c r="H567" s="14">
        <f>40.3598 * CHOOSE(CONTROL!$C$15, $E$9, 100%, $G$9) + CHOOSE(CONTROL!$C$38, 0.0347, 0)</f>
        <v>40.394500000000001</v>
      </c>
      <c r="I567" s="14">
        <f>40.3614 * CHOOSE(CONTROL!$C$15, $E$9, 100%, $G$9) + CHOOSE(CONTROL!$C$38, 0.0347, 0)</f>
        <v>40.396100000000004</v>
      </c>
      <c r="J567" s="44">
        <f>338.3463</f>
        <v>338.34629999999999</v>
      </c>
    </row>
    <row r="568" spans="1:10" ht="15.75" x14ac:dyDescent="0.25">
      <c r="A568" s="32">
        <v>58226</v>
      </c>
      <c r="B568" s="14">
        <f>41.9004 * CHOOSE(CONTROL!$C$15, $E$9, 100%, $G$9) + CHOOSE(CONTROL!$C$38, 0.0278, 0)</f>
        <v>41.928199999999997</v>
      </c>
      <c r="C568" s="14">
        <f>39.5564 * CHOOSE(CONTROL!$C$15, $E$9, 100%, $G$9) + CHOOSE(CONTROL!$C$38, 0.0369, 0)</f>
        <v>39.593299999999999</v>
      </c>
      <c r="D568" s="14">
        <f>39.5486 * CHOOSE(CONTROL!$C$15, $E$9, 100%, $G$9) + CHOOSE(CONTROL!$C$38, 0.0369, 0)</f>
        <v>39.585500000000003</v>
      </c>
      <c r="E568" s="46">
        <f>41.7441 * CHOOSE(CONTROL!$C$15, $E$9, 100%, $G$9) + CHOOSE(CONTROL!$C$38, 0.0369, 0)</f>
        <v>41.781000000000006</v>
      </c>
      <c r="F568" s="45">
        <f>41.7441 * CHOOSE(CONTROL!$C$15, $E$9, 100%, $G$9) + CHOOSE(CONTROL!$C$38, 0.0278, 0)</f>
        <v>41.771900000000002</v>
      </c>
      <c r="G568" s="14">
        <f>39.5549 * CHOOSE(CONTROL!$C$15, $E$9, 100%, $G$9) + CHOOSE(CONTROL!$C$38, 0.0369, 0)</f>
        <v>39.591800000000006</v>
      </c>
      <c r="H568" s="14">
        <f>39.5549 * CHOOSE(CONTROL!$C$15, $E$9, 100%, $G$9) + CHOOSE(CONTROL!$C$38, 0.0369, 0)</f>
        <v>39.591800000000006</v>
      </c>
      <c r="I568" s="14">
        <f>39.5564 * CHOOSE(CONTROL!$C$15, $E$9, 100%, $G$9) + CHOOSE(CONTROL!$C$38, 0.0369, 0)</f>
        <v>39.593299999999999</v>
      </c>
      <c r="J568" s="44">
        <f>349.7005</f>
        <v>349.70049999999998</v>
      </c>
    </row>
    <row r="569" spans="1:10" ht="15.75" x14ac:dyDescent="0.25">
      <c r="A569" s="32">
        <v>58256</v>
      </c>
      <c r="B569" s="14">
        <f>41.336 * CHOOSE(CONTROL!$C$15, $E$9, 100%, $G$9) + CHOOSE(CONTROL!$C$38, 0.0278, 0)</f>
        <v>41.363799999999998</v>
      </c>
      <c r="C569" s="14">
        <f>38.9921 * CHOOSE(CONTROL!$C$15, $E$9, 100%, $G$9) + CHOOSE(CONTROL!$C$38, 0.0369, 0)</f>
        <v>39.029000000000003</v>
      </c>
      <c r="D569" s="14">
        <f>38.9843 * CHOOSE(CONTROL!$C$15, $E$9, 100%, $G$9) + CHOOSE(CONTROL!$C$38, 0.0369, 0)</f>
        <v>39.0212</v>
      </c>
      <c r="E569" s="46">
        <f>41.1798 * CHOOSE(CONTROL!$C$15, $E$9, 100%, $G$9) + CHOOSE(CONTROL!$C$38, 0.0369, 0)</f>
        <v>41.216700000000003</v>
      </c>
      <c r="F569" s="45">
        <f>41.1798 * CHOOSE(CONTROL!$C$15, $E$9, 100%, $G$9) + CHOOSE(CONTROL!$C$38, 0.0278, 0)</f>
        <v>41.207599999999999</v>
      </c>
      <c r="G569" s="14">
        <f>38.9905 * CHOOSE(CONTROL!$C$15, $E$9, 100%, $G$9) + CHOOSE(CONTROL!$C$38, 0.0369, 0)</f>
        <v>39.0274</v>
      </c>
      <c r="H569" s="14">
        <f>38.9905 * CHOOSE(CONTROL!$C$15, $E$9, 100%, $G$9) + CHOOSE(CONTROL!$C$38, 0.0369, 0)</f>
        <v>39.0274</v>
      </c>
      <c r="I569" s="14">
        <f>38.9921 * CHOOSE(CONTROL!$C$15, $E$9, 100%, $G$9) + CHOOSE(CONTROL!$C$38, 0.0369, 0)</f>
        <v>39.029000000000003</v>
      </c>
      <c r="J569" s="44">
        <f>354.7393</f>
        <v>354.73930000000001</v>
      </c>
    </row>
    <row r="570" spans="1:10" ht="15.75" x14ac:dyDescent="0.25">
      <c r="A570" s="32">
        <v>58287</v>
      </c>
      <c r="B570" s="14">
        <f>41.014 * CHOOSE(CONTROL!$C$15, $E$9, 100%, $G$9) + CHOOSE(CONTROL!$C$38, 0.0278, 0)</f>
        <v>41.041800000000002</v>
      </c>
      <c r="C570" s="14">
        <f>38.67 * CHOOSE(CONTROL!$C$15, $E$9, 100%, $G$9) + CHOOSE(CONTROL!$C$38, 0.0369, 0)</f>
        <v>38.706900000000005</v>
      </c>
      <c r="D570" s="14">
        <f>38.6622 * CHOOSE(CONTROL!$C$15, $E$9, 100%, $G$9) + CHOOSE(CONTROL!$C$38, 0.0369, 0)</f>
        <v>38.699100000000001</v>
      </c>
      <c r="E570" s="46">
        <f>40.8577 * CHOOSE(CONTROL!$C$15, $E$9, 100%, $G$9) + CHOOSE(CONTROL!$C$38, 0.0369, 0)</f>
        <v>40.894600000000004</v>
      </c>
      <c r="F570" s="45">
        <f>40.8577 * CHOOSE(CONTROL!$C$15, $E$9, 100%, $G$9) + CHOOSE(CONTROL!$C$38, 0.0278, 0)</f>
        <v>40.8855</v>
      </c>
      <c r="G570" s="14">
        <f>38.6685 * CHOOSE(CONTROL!$C$15, $E$9, 100%, $G$9) + CHOOSE(CONTROL!$C$38, 0.0369, 0)</f>
        <v>38.705400000000004</v>
      </c>
      <c r="H570" s="14">
        <f>38.6685 * CHOOSE(CONTROL!$C$15, $E$9, 100%, $G$9) + CHOOSE(CONTROL!$C$38, 0.0369, 0)</f>
        <v>38.705400000000004</v>
      </c>
      <c r="I570" s="14">
        <f>38.67 * CHOOSE(CONTROL!$C$15, $E$9, 100%, $G$9) + CHOOSE(CONTROL!$C$38, 0.0369, 0)</f>
        <v>38.706900000000005</v>
      </c>
      <c r="J570" s="44">
        <f>353.0803</f>
        <v>353.08030000000002</v>
      </c>
    </row>
    <row r="571" spans="1:10" ht="15.75" x14ac:dyDescent="0.25">
      <c r="A571" s="32">
        <v>58318</v>
      </c>
      <c r="B571" s="14">
        <f>41.1729 * CHOOSE(CONTROL!$C$15, $E$9, 100%, $G$9) + CHOOSE(CONTROL!$C$38, 0.0278, 0)</f>
        <v>41.200699999999998</v>
      </c>
      <c r="C571" s="14">
        <f>38.829 * CHOOSE(CONTROL!$C$15, $E$9, 100%, $G$9) + CHOOSE(CONTROL!$C$38, 0.0369, 0)</f>
        <v>38.865900000000003</v>
      </c>
      <c r="D571" s="14">
        <f>38.8212 * CHOOSE(CONTROL!$C$15, $E$9, 100%, $G$9) + CHOOSE(CONTROL!$C$38, 0.0369, 0)</f>
        <v>38.8581</v>
      </c>
      <c r="E571" s="46">
        <f>41.0167 * CHOOSE(CONTROL!$C$15, $E$9, 100%, $G$9) + CHOOSE(CONTROL!$C$38, 0.0369, 0)</f>
        <v>41.053600000000003</v>
      </c>
      <c r="F571" s="45">
        <f>41.0167 * CHOOSE(CONTROL!$C$15, $E$9, 100%, $G$9) + CHOOSE(CONTROL!$C$38, 0.0278, 0)</f>
        <v>41.044499999999999</v>
      </c>
      <c r="G571" s="14">
        <f>38.8274 * CHOOSE(CONTROL!$C$15, $E$9, 100%, $G$9) + CHOOSE(CONTROL!$C$38, 0.0369, 0)</f>
        <v>38.8643</v>
      </c>
      <c r="H571" s="14">
        <f>38.8274 * CHOOSE(CONTROL!$C$15, $E$9, 100%, $G$9) + CHOOSE(CONTROL!$C$38, 0.0369, 0)</f>
        <v>38.8643</v>
      </c>
      <c r="I571" s="14">
        <f>38.829 * CHOOSE(CONTROL!$C$15, $E$9, 100%, $G$9) + CHOOSE(CONTROL!$C$38, 0.0369, 0)</f>
        <v>38.865900000000003</v>
      </c>
      <c r="J571" s="44">
        <f>344.8608</f>
        <v>344.86079999999998</v>
      </c>
    </row>
    <row r="572" spans="1:10" ht="15.75" x14ac:dyDescent="0.25">
      <c r="A572" s="32">
        <v>58348</v>
      </c>
      <c r="B572" s="14">
        <f>41.6046 * CHOOSE(CONTROL!$C$15, $E$9, 100%, $G$9) + CHOOSE(CONTROL!$C$38, 0.0278, 0)</f>
        <v>41.632399999999997</v>
      </c>
      <c r="C572" s="14">
        <f>39.2607 * CHOOSE(CONTROL!$C$15, $E$9, 100%, $G$9) + CHOOSE(CONTROL!$C$38, 0.0369, 0)</f>
        <v>39.297600000000003</v>
      </c>
      <c r="D572" s="14">
        <f>39.2529 * CHOOSE(CONTROL!$C$15, $E$9, 100%, $G$9) + CHOOSE(CONTROL!$C$38, 0.0369, 0)</f>
        <v>39.2898</v>
      </c>
      <c r="E572" s="46">
        <f>41.4484 * CHOOSE(CONTROL!$C$15, $E$9, 100%, $G$9) + CHOOSE(CONTROL!$C$38, 0.0369, 0)</f>
        <v>41.485300000000002</v>
      </c>
      <c r="F572" s="45">
        <f>41.4484 * CHOOSE(CONTROL!$C$15, $E$9, 100%, $G$9) + CHOOSE(CONTROL!$C$38, 0.0278, 0)</f>
        <v>41.476199999999999</v>
      </c>
      <c r="G572" s="14">
        <f>39.2591 * CHOOSE(CONTROL!$C$15, $E$9, 100%, $G$9) + CHOOSE(CONTROL!$C$38, 0.0369, 0)</f>
        <v>39.295999999999999</v>
      </c>
      <c r="H572" s="14">
        <f>39.2591 * CHOOSE(CONTROL!$C$15, $E$9, 100%, $G$9) + CHOOSE(CONTROL!$C$38, 0.0369, 0)</f>
        <v>39.295999999999999</v>
      </c>
      <c r="I572" s="14">
        <f>39.2607 * CHOOSE(CONTROL!$C$15, $E$9, 100%, $G$9) + CHOOSE(CONTROL!$C$38, 0.0369, 0)</f>
        <v>39.297600000000003</v>
      </c>
      <c r="J572" s="44">
        <f>333.3982</f>
        <v>333.39819999999997</v>
      </c>
    </row>
    <row r="573" spans="1:10" ht="15.75" x14ac:dyDescent="0.25">
      <c r="A573" s="32">
        <v>58379</v>
      </c>
      <c r="B573" s="14">
        <f>41.9662 * CHOOSE(CONTROL!$C$15, $E$9, 100%, $G$9) + CHOOSE(CONTROL!$C$38, 0.0256, 0)</f>
        <v>41.991799999999998</v>
      </c>
      <c r="C573" s="14">
        <f>39.6223 * CHOOSE(CONTROL!$C$15, $E$9, 100%, $G$9) + CHOOSE(CONTROL!$C$38, 0.0347, 0)</f>
        <v>39.657000000000004</v>
      </c>
      <c r="D573" s="14">
        <f>39.6144 * CHOOSE(CONTROL!$C$15, $E$9, 100%, $G$9) + CHOOSE(CONTROL!$C$38, 0.0347, 0)</f>
        <v>39.649100000000004</v>
      </c>
      <c r="E573" s="46">
        <f>41.8099 * CHOOSE(CONTROL!$C$15, $E$9, 100%, $G$9) + CHOOSE(CONTROL!$C$38, 0.0347, 0)</f>
        <v>41.8446</v>
      </c>
      <c r="F573" s="45">
        <f>41.8099 * CHOOSE(CONTROL!$C$15, $E$9, 100%, $G$9) + CHOOSE(CONTROL!$C$38, 0.0256, 0)</f>
        <v>41.835499999999996</v>
      </c>
      <c r="G573" s="14">
        <f>39.6207 * CHOOSE(CONTROL!$C$15, $E$9, 100%, $G$9) + CHOOSE(CONTROL!$C$38, 0.0347, 0)</f>
        <v>39.6554</v>
      </c>
      <c r="H573" s="14">
        <f>39.6207 * CHOOSE(CONTROL!$C$15, $E$9, 100%, $G$9) + CHOOSE(CONTROL!$C$38, 0.0347, 0)</f>
        <v>39.6554</v>
      </c>
      <c r="I573" s="14">
        <f>39.6223 * CHOOSE(CONTROL!$C$15, $E$9, 100%, $G$9) + CHOOSE(CONTROL!$C$38, 0.0347, 0)</f>
        <v>39.657000000000004</v>
      </c>
      <c r="J573" s="44">
        <f>321.8689</f>
        <v>321.8689</v>
      </c>
    </row>
    <row r="574" spans="1:10" ht="15.75" x14ac:dyDescent="0.25">
      <c r="A574" s="32">
        <v>58409</v>
      </c>
      <c r="B574" s="14">
        <f>42.2679 * CHOOSE(CONTROL!$C$15, $E$9, 100%, $G$9) + CHOOSE(CONTROL!$C$38, 0.0256, 0)</f>
        <v>42.293499999999995</v>
      </c>
      <c r="C574" s="14">
        <f>39.924 * CHOOSE(CONTROL!$C$15, $E$9, 100%, $G$9) + CHOOSE(CONTROL!$C$38, 0.0347, 0)</f>
        <v>39.9587</v>
      </c>
      <c r="D574" s="14">
        <f>39.9161 * CHOOSE(CONTROL!$C$15, $E$9, 100%, $G$9) + CHOOSE(CONTROL!$C$38, 0.0347, 0)</f>
        <v>39.950800000000001</v>
      </c>
      <c r="E574" s="46">
        <f>42.1116 * CHOOSE(CONTROL!$C$15, $E$9, 100%, $G$9) + CHOOSE(CONTROL!$C$38, 0.0347, 0)</f>
        <v>42.146300000000004</v>
      </c>
      <c r="F574" s="45">
        <f>42.1116 * CHOOSE(CONTROL!$C$15, $E$9, 100%, $G$9) + CHOOSE(CONTROL!$C$38, 0.0256, 0)</f>
        <v>42.1372</v>
      </c>
      <c r="G574" s="14">
        <f>39.9224 * CHOOSE(CONTROL!$C$15, $E$9, 100%, $G$9) + CHOOSE(CONTROL!$C$38, 0.0347, 0)</f>
        <v>39.957100000000004</v>
      </c>
      <c r="H574" s="14">
        <f>39.9224 * CHOOSE(CONTROL!$C$15, $E$9, 100%, $G$9) + CHOOSE(CONTROL!$C$38, 0.0347, 0)</f>
        <v>39.957100000000004</v>
      </c>
      <c r="I574" s="14">
        <f>39.924 * CHOOSE(CONTROL!$C$15, $E$9, 100%, $G$9) + CHOOSE(CONTROL!$C$38, 0.0347, 0)</f>
        <v>39.9587</v>
      </c>
      <c r="J574" s="44">
        <f>319.5755</f>
        <v>319.57549999999998</v>
      </c>
    </row>
    <row r="575" spans="1:10" ht="15.75" x14ac:dyDescent="0.25">
      <c r="A575" s="32">
        <v>58440</v>
      </c>
      <c r="B575" s="14">
        <f>43.1976 * CHOOSE(CONTROL!$C$15, $E$9, 100%, $G$9) + CHOOSE(CONTROL!$C$38, 0.0256, 0)</f>
        <v>43.223199999999999</v>
      </c>
      <c r="C575" s="14">
        <f>40.8536 * CHOOSE(CONTROL!$C$15, $E$9, 100%, $G$9) + CHOOSE(CONTROL!$C$38, 0.0347, 0)</f>
        <v>40.888300000000001</v>
      </c>
      <c r="D575" s="14">
        <f>40.8458 * CHOOSE(CONTROL!$C$15, $E$9, 100%, $G$9) + CHOOSE(CONTROL!$C$38, 0.0347, 0)</f>
        <v>40.880499999999998</v>
      </c>
      <c r="E575" s="46">
        <f>43.0413 * CHOOSE(CONTROL!$C$15, $E$9, 100%, $G$9) + CHOOSE(CONTROL!$C$38, 0.0347, 0)</f>
        <v>43.076000000000001</v>
      </c>
      <c r="F575" s="45">
        <f>43.0413 * CHOOSE(CONTROL!$C$15, $E$9, 100%, $G$9) + CHOOSE(CONTROL!$C$38, 0.0256, 0)</f>
        <v>43.066899999999997</v>
      </c>
      <c r="G575" s="14">
        <f>40.8521 * CHOOSE(CONTROL!$C$15, $E$9, 100%, $G$9) + CHOOSE(CONTROL!$C$38, 0.0347, 0)</f>
        <v>40.886800000000001</v>
      </c>
      <c r="H575" s="14">
        <f>40.8521 * CHOOSE(CONTROL!$C$15, $E$9, 100%, $G$9) + CHOOSE(CONTROL!$C$38, 0.0347, 0)</f>
        <v>40.886800000000001</v>
      </c>
      <c r="I575" s="14">
        <f>40.8536 * CHOOSE(CONTROL!$C$15, $E$9, 100%, $G$9) + CHOOSE(CONTROL!$C$38, 0.0347, 0)</f>
        <v>40.888300000000001</v>
      </c>
      <c r="J575" s="44">
        <f>310.0921</f>
        <v>310.09210000000002</v>
      </c>
    </row>
    <row r="576" spans="1:10" ht="15.75" x14ac:dyDescent="0.25">
      <c r="A576" s="32">
        <v>58471</v>
      </c>
      <c r="B576" s="14">
        <f>44.6324 * CHOOSE(CONTROL!$C$15, $E$9, 100%, $G$9) + CHOOSE(CONTROL!$C$38, 0.0256, 0)</f>
        <v>44.657999999999994</v>
      </c>
      <c r="C576" s="14">
        <f>42.2517 * CHOOSE(CONTROL!$C$15, $E$9, 100%, $G$9) + CHOOSE(CONTROL!$C$38, 0.0347, 0)</f>
        <v>42.2864</v>
      </c>
      <c r="D576" s="14">
        <f>42.2439 * CHOOSE(CONTROL!$C$15, $E$9, 100%, $G$9) + CHOOSE(CONTROL!$C$38, 0.0347, 0)</f>
        <v>42.278599999999997</v>
      </c>
      <c r="E576" s="46">
        <f>44.4761 * CHOOSE(CONTROL!$C$15, $E$9, 100%, $G$9) + CHOOSE(CONTROL!$C$38, 0.0347, 0)</f>
        <v>44.510800000000003</v>
      </c>
      <c r="F576" s="45">
        <f>44.4761 * CHOOSE(CONTROL!$C$15, $E$9, 100%, $G$9) + CHOOSE(CONTROL!$C$38, 0.0256, 0)</f>
        <v>44.5017</v>
      </c>
      <c r="G576" s="14">
        <f>42.2501 * CHOOSE(CONTROL!$C$15, $E$9, 100%, $G$9) + CHOOSE(CONTROL!$C$38, 0.0347, 0)</f>
        <v>42.284800000000004</v>
      </c>
      <c r="H576" s="14">
        <f>42.2501 * CHOOSE(CONTROL!$C$15, $E$9, 100%, $G$9) + CHOOSE(CONTROL!$C$38, 0.0347, 0)</f>
        <v>42.284800000000004</v>
      </c>
      <c r="I576" s="14">
        <f>42.2517 * CHOOSE(CONTROL!$C$15, $E$9, 100%, $G$9) + CHOOSE(CONTROL!$C$38, 0.0347, 0)</f>
        <v>42.2864</v>
      </c>
      <c r="J576" s="44">
        <f>309.6922</f>
        <v>309.69220000000001</v>
      </c>
    </row>
    <row r="577" spans="1:10" ht="15.75" x14ac:dyDescent="0.25">
      <c r="A577" s="32">
        <v>58499</v>
      </c>
      <c r="B577" s="14">
        <f>44.9767 * CHOOSE(CONTROL!$C$15, $E$9, 100%, $G$9) + CHOOSE(CONTROL!$C$38, 0.0256, 0)</f>
        <v>45.002299999999998</v>
      </c>
      <c r="C577" s="14">
        <f>42.596 * CHOOSE(CONTROL!$C$15, $E$9, 100%, $G$9) + CHOOSE(CONTROL!$C$38, 0.0347, 0)</f>
        <v>42.630699999999997</v>
      </c>
      <c r="D577" s="14">
        <f>42.5882 * CHOOSE(CONTROL!$C$15, $E$9, 100%, $G$9) + CHOOSE(CONTROL!$C$38, 0.0347, 0)</f>
        <v>42.622900000000001</v>
      </c>
      <c r="E577" s="46">
        <f>44.8204 * CHOOSE(CONTROL!$C$15, $E$9, 100%, $G$9) + CHOOSE(CONTROL!$C$38, 0.0347, 0)</f>
        <v>44.8551</v>
      </c>
      <c r="F577" s="45">
        <f>44.8204 * CHOOSE(CONTROL!$C$15, $E$9, 100%, $G$9) + CHOOSE(CONTROL!$C$38, 0.0256, 0)</f>
        <v>44.845999999999997</v>
      </c>
      <c r="G577" s="14">
        <f>42.5944 * CHOOSE(CONTROL!$C$15, $E$9, 100%, $G$9) + CHOOSE(CONTROL!$C$38, 0.0347, 0)</f>
        <v>42.629100000000001</v>
      </c>
      <c r="H577" s="14">
        <f>42.5944 * CHOOSE(CONTROL!$C$15, $E$9, 100%, $G$9) + CHOOSE(CONTROL!$C$38, 0.0347, 0)</f>
        <v>42.629100000000001</v>
      </c>
      <c r="I577" s="14">
        <f>42.596 * CHOOSE(CONTROL!$C$15, $E$9, 100%, $G$9) + CHOOSE(CONTROL!$C$38, 0.0347, 0)</f>
        <v>42.630699999999997</v>
      </c>
      <c r="J577" s="44">
        <f>308.8314</f>
        <v>308.83139999999997</v>
      </c>
    </row>
    <row r="578" spans="1:10" ht="15.75" x14ac:dyDescent="0.25">
      <c r="A578" s="32">
        <v>58531</v>
      </c>
      <c r="B578" s="14">
        <f>44.1796 * CHOOSE(CONTROL!$C$15, $E$9, 100%, $G$9) + CHOOSE(CONTROL!$C$38, 0.0256, 0)</f>
        <v>44.205199999999998</v>
      </c>
      <c r="C578" s="14">
        <f>41.799 * CHOOSE(CONTROL!$C$15, $E$9, 100%, $G$9) + CHOOSE(CONTROL!$C$38, 0.0347, 0)</f>
        <v>41.8337</v>
      </c>
      <c r="D578" s="14">
        <f>41.7911 * CHOOSE(CONTROL!$C$15, $E$9, 100%, $G$9) + CHOOSE(CONTROL!$C$38, 0.0347, 0)</f>
        <v>41.825800000000001</v>
      </c>
      <c r="E578" s="46">
        <f>44.0234 * CHOOSE(CONTROL!$C$15, $E$9, 100%, $G$9) + CHOOSE(CONTROL!$C$38, 0.0347, 0)</f>
        <v>44.058100000000003</v>
      </c>
      <c r="F578" s="45">
        <f>44.0234 * CHOOSE(CONTROL!$C$15, $E$9, 100%, $G$9) + CHOOSE(CONTROL!$C$38, 0.0256, 0)</f>
        <v>44.048999999999999</v>
      </c>
      <c r="G578" s="14">
        <f>41.7974 * CHOOSE(CONTROL!$C$15, $E$9, 100%, $G$9) + CHOOSE(CONTROL!$C$38, 0.0347, 0)</f>
        <v>41.832100000000004</v>
      </c>
      <c r="H578" s="14">
        <f>41.7974 * CHOOSE(CONTROL!$C$15, $E$9, 100%, $G$9) + CHOOSE(CONTROL!$C$38, 0.0347, 0)</f>
        <v>41.832100000000004</v>
      </c>
      <c r="I578" s="14">
        <f>41.799 * CHOOSE(CONTROL!$C$15, $E$9, 100%, $G$9) + CHOOSE(CONTROL!$C$38, 0.0347, 0)</f>
        <v>41.8337</v>
      </c>
      <c r="J578" s="44">
        <f>325.1086</f>
        <v>325.10860000000002</v>
      </c>
    </row>
    <row r="579" spans="1:10" ht="15.75" x14ac:dyDescent="0.25">
      <c r="A579" s="32">
        <v>58561</v>
      </c>
      <c r="B579" s="14">
        <f>43.4073 * CHOOSE(CONTROL!$C$15, $E$9, 100%, $G$9) + CHOOSE(CONTROL!$C$38, 0.0256, 0)</f>
        <v>43.432899999999997</v>
      </c>
      <c r="C579" s="14">
        <f>41.0266 * CHOOSE(CONTROL!$C$15, $E$9, 100%, $G$9) + CHOOSE(CONTROL!$C$38, 0.0347, 0)</f>
        <v>41.061300000000003</v>
      </c>
      <c r="D579" s="14">
        <f>41.0188 * CHOOSE(CONTROL!$C$15, $E$9, 100%, $G$9) + CHOOSE(CONTROL!$C$38, 0.0347, 0)</f>
        <v>41.0535</v>
      </c>
      <c r="E579" s="46">
        <f>43.2511 * CHOOSE(CONTROL!$C$15, $E$9, 100%, $G$9) + CHOOSE(CONTROL!$C$38, 0.0347, 0)</f>
        <v>43.285800000000002</v>
      </c>
      <c r="F579" s="45">
        <f>43.2511 * CHOOSE(CONTROL!$C$15, $E$9, 100%, $G$9) + CHOOSE(CONTROL!$C$38, 0.0256, 0)</f>
        <v>43.276699999999998</v>
      </c>
      <c r="G579" s="14">
        <f>41.0251 * CHOOSE(CONTROL!$C$15, $E$9, 100%, $G$9) + CHOOSE(CONTROL!$C$38, 0.0347, 0)</f>
        <v>41.059800000000003</v>
      </c>
      <c r="H579" s="14">
        <f>41.0251 * CHOOSE(CONTROL!$C$15, $E$9, 100%, $G$9) + CHOOSE(CONTROL!$C$38, 0.0347, 0)</f>
        <v>41.059800000000003</v>
      </c>
      <c r="I579" s="14">
        <f>41.0266 * CHOOSE(CONTROL!$C$15, $E$9, 100%, $G$9) + CHOOSE(CONTROL!$C$38, 0.0347, 0)</f>
        <v>41.061300000000003</v>
      </c>
      <c r="J579" s="44">
        <f>346.2162</f>
        <v>346.21620000000001</v>
      </c>
    </row>
    <row r="580" spans="1:10" ht="15.75" x14ac:dyDescent="0.25">
      <c r="A580" s="32">
        <v>58592</v>
      </c>
      <c r="B580" s="14">
        <f>42.6024 * CHOOSE(CONTROL!$C$15, $E$9, 100%, $G$9) + CHOOSE(CONTROL!$C$38, 0.0278, 0)</f>
        <v>42.630200000000002</v>
      </c>
      <c r="C580" s="14">
        <f>40.2217 * CHOOSE(CONTROL!$C$15, $E$9, 100%, $G$9) + CHOOSE(CONTROL!$C$38, 0.0369, 0)</f>
        <v>40.258600000000001</v>
      </c>
      <c r="D580" s="14">
        <f>40.2139 * CHOOSE(CONTROL!$C$15, $E$9, 100%, $G$9) + CHOOSE(CONTROL!$C$38, 0.0369, 0)</f>
        <v>40.250800000000005</v>
      </c>
      <c r="E580" s="46">
        <f>42.4461 * CHOOSE(CONTROL!$C$15, $E$9, 100%, $G$9) + CHOOSE(CONTROL!$C$38, 0.0369, 0)</f>
        <v>42.483000000000004</v>
      </c>
      <c r="F580" s="45">
        <f>42.4461 * CHOOSE(CONTROL!$C$15, $E$9, 100%, $G$9) + CHOOSE(CONTROL!$C$38, 0.0278, 0)</f>
        <v>42.4739</v>
      </c>
      <c r="G580" s="14">
        <f>40.2201 * CHOOSE(CONTROL!$C$15, $E$9, 100%, $G$9) + CHOOSE(CONTROL!$C$38, 0.0369, 0)</f>
        <v>40.257000000000005</v>
      </c>
      <c r="H580" s="14">
        <f>40.2201 * CHOOSE(CONTROL!$C$15, $E$9, 100%, $G$9) + CHOOSE(CONTROL!$C$38, 0.0369, 0)</f>
        <v>40.257000000000005</v>
      </c>
      <c r="I580" s="14">
        <f>40.2217 * CHOOSE(CONTROL!$C$15, $E$9, 100%, $G$9) + CHOOSE(CONTROL!$C$38, 0.0369, 0)</f>
        <v>40.258600000000001</v>
      </c>
      <c r="J580" s="44">
        <f>357.8346</f>
        <v>357.83460000000002</v>
      </c>
    </row>
    <row r="581" spans="1:10" ht="15.75" x14ac:dyDescent="0.25">
      <c r="A581" s="32">
        <v>58622</v>
      </c>
      <c r="B581" s="14">
        <f>42.038 * CHOOSE(CONTROL!$C$15, $E$9, 100%, $G$9) + CHOOSE(CONTROL!$C$38, 0.0278, 0)</f>
        <v>42.065799999999996</v>
      </c>
      <c r="C581" s="14">
        <f>39.6573 * CHOOSE(CONTROL!$C$15, $E$9, 100%, $G$9) + CHOOSE(CONTROL!$C$38, 0.0369, 0)</f>
        <v>39.694200000000002</v>
      </c>
      <c r="D581" s="14">
        <f>39.6495 * CHOOSE(CONTROL!$C$15, $E$9, 100%, $G$9) + CHOOSE(CONTROL!$C$38, 0.0369, 0)</f>
        <v>39.686400000000006</v>
      </c>
      <c r="E581" s="46">
        <f>41.8818 * CHOOSE(CONTROL!$C$15, $E$9, 100%, $G$9) + CHOOSE(CONTROL!$C$38, 0.0369, 0)</f>
        <v>41.918700000000001</v>
      </c>
      <c r="F581" s="45">
        <f>41.8818 * CHOOSE(CONTROL!$C$15, $E$9, 100%, $G$9) + CHOOSE(CONTROL!$C$38, 0.0278, 0)</f>
        <v>41.909599999999998</v>
      </c>
      <c r="G581" s="14">
        <f>39.6558 * CHOOSE(CONTROL!$C$15, $E$9, 100%, $G$9) + CHOOSE(CONTROL!$C$38, 0.0369, 0)</f>
        <v>39.692700000000002</v>
      </c>
      <c r="H581" s="14">
        <f>39.6558 * CHOOSE(CONTROL!$C$15, $E$9, 100%, $G$9) + CHOOSE(CONTROL!$C$38, 0.0369, 0)</f>
        <v>39.692700000000002</v>
      </c>
      <c r="I581" s="14">
        <f>39.6573 * CHOOSE(CONTROL!$C$15, $E$9, 100%, $G$9) + CHOOSE(CONTROL!$C$38, 0.0369, 0)</f>
        <v>39.694200000000002</v>
      </c>
      <c r="J581" s="44">
        <f>362.9906</f>
        <v>362.99059999999997</v>
      </c>
    </row>
    <row r="582" spans="1:10" ht="15.75" x14ac:dyDescent="0.25">
      <c r="A582" s="32">
        <v>58653</v>
      </c>
      <c r="B582" s="14">
        <f>41.716 * CHOOSE(CONTROL!$C$15, $E$9, 100%, $G$9) + CHOOSE(CONTROL!$C$38, 0.0278, 0)</f>
        <v>41.7438</v>
      </c>
      <c r="C582" s="14">
        <f>39.3353 * CHOOSE(CONTROL!$C$15, $E$9, 100%, $G$9) + CHOOSE(CONTROL!$C$38, 0.0369, 0)</f>
        <v>39.372199999999999</v>
      </c>
      <c r="D582" s="14">
        <f>39.3275 * CHOOSE(CONTROL!$C$15, $E$9, 100%, $G$9) + CHOOSE(CONTROL!$C$38, 0.0369, 0)</f>
        <v>39.364400000000003</v>
      </c>
      <c r="E582" s="46">
        <f>41.5597 * CHOOSE(CONTROL!$C$15, $E$9, 100%, $G$9) + CHOOSE(CONTROL!$C$38, 0.0369, 0)</f>
        <v>41.596600000000002</v>
      </c>
      <c r="F582" s="45">
        <f>41.5597 * CHOOSE(CONTROL!$C$15, $E$9, 100%, $G$9) + CHOOSE(CONTROL!$C$38, 0.0278, 0)</f>
        <v>41.587499999999999</v>
      </c>
      <c r="G582" s="14">
        <f>39.3337 * CHOOSE(CONTROL!$C$15, $E$9, 100%, $G$9) + CHOOSE(CONTROL!$C$38, 0.0369, 0)</f>
        <v>39.370600000000003</v>
      </c>
      <c r="H582" s="14">
        <f>39.3337 * CHOOSE(CONTROL!$C$15, $E$9, 100%, $G$9) + CHOOSE(CONTROL!$C$38, 0.0369, 0)</f>
        <v>39.370600000000003</v>
      </c>
      <c r="I582" s="14">
        <f>39.3353 * CHOOSE(CONTROL!$C$15, $E$9, 100%, $G$9) + CHOOSE(CONTROL!$C$38, 0.0369, 0)</f>
        <v>39.372199999999999</v>
      </c>
      <c r="J582" s="44">
        <f>361.293</f>
        <v>361.29300000000001</v>
      </c>
    </row>
    <row r="583" spans="1:10" ht="15.75" x14ac:dyDescent="0.25">
      <c r="A583" s="32">
        <v>58684</v>
      </c>
      <c r="B583" s="14">
        <f>41.8749 * CHOOSE(CONTROL!$C$15, $E$9, 100%, $G$9) + CHOOSE(CONTROL!$C$38, 0.0278, 0)</f>
        <v>41.902699999999996</v>
      </c>
      <c r="C583" s="14">
        <f>39.4942 * CHOOSE(CONTROL!$C$15, $E$9, 100%, $G$9) + CHOOSE(CONTROL!$C$38, 0.0369, 0)</f>
        <v>39.531100000000002</v>
      </c>
      <c r="D583" s="14">
        <f>39.4864 * CHOOSE(CONTROL!$C$15, $E$9, 100%, $G$9) + CHOOSE(CONTROL!$C$38, 0.0369, 0)</f>
        <v>39.523300000000006</v>
      </c>
      <c r="E583" s="46">
        <f>41.7187 * CHOOSE(CONTROL!$C$15, $E$9, 100%, $G$9) + CHOOSE(CONTROL!$C$38, 0.0369, 0)</f>
        <v>41.755600000000001</v>
      </c>
      <c r="F583" s="45">
        <f>41.7187 * CHOOSE(CONTROL!$C$15, $E$9, 100%, $G$9) + CHOOSE(CONTROL!$C$38, 0.0278, 0)</f>
        <v>41.746499999999997</v>
      </c>
      <c r="G583" s="14">
        <f>39.4927 * CHOOSE(CONTROL!$C$15, $E$9, 100%, $G$9) + CHOOSE(CONTROL!$C$38, 0.0369, 0)</f>
        <v>39.529600000000002</v>
      </c>
      <c r="H583" s="14">
        <f>39.4927 * CHOOSE(CONTROL!$C$15, $E$9, 100%, $G$9) + CHOOSE(CONTROL!$C$38, 0.0369, 0)</f>
        <v>39.529600000000002</v>
      </c>
      <c r="I583" s="14">
        <f>39.4942 * CHOOSE(CONTROL!$C$15, $E$9, 100%, $G$9) + CHOOSE(CONTROL!$C$38, 0.0369, 0)</f>
        <v>39.531100000000002</v>
      </c>
      <c r="J583" s="44">
        <f>352.8822</f>
        <v>352.88220000000001</v>
      </c>
    </row>
    <row r="584" spans="1:10" ht="15.75" x14ac:dyDescent="0.25">
      <c r="A584" s="32">
        <v>58714</v>
      </c>
      <c r="B584" s="14">
        <f>42.3066 * CHOOSE(CONTROL!$C$15, $E$9, 100%, $G$9) + CHOOSE(CONTROL!$C$38, 0.0278, 0)</f>
        <v>42.334400000000002</v>
      </c>
      <c r="C584" s="14">
        <f>39.9259 * CHOOSE(CONTROL!$C$15, $E$9, 100%, $G$9) + CHOOSE(CONTROL!$C$38, 0.0369, 0)</f>
        <v>39.962800000000001</v>
      </c>
      <c r="D584" s="14">
        <f>39.9181 * CHOOSE(CONTROL!$C$15, $E$9, 100%, $G$9) + CHOOSE(CONTROL!$C$38, 0.0369, 0)</f>
        <v>39.955000000000005</v>
      </c>
      <c r="E584" s="46">
        <f>42.1504 * CHOOSE(CONTROL!$C$15, $E$9, 100%, $G$9) + CHOOSE(CONTROL!$C$38, 0.0369, 0)</f>
        <v>42.1873</v>
      </c>
      <c r="F584" s="45">
        <f>42.1504 * CHOOSE(CONTROL!$C$15, $E$9, 100%, $G$9) + CHOOSE(CONTROL!$C$38, 0.0278, 0)</f>
        <v>42.178199999999997</v>
      </c>
      <c r="G584" s="14">
        <f>39.9244 * CHOOSE(CONTROL!$C$15, $E$9, 100%, $G$9) + CHOOSE(CONTROL!$C$38, 0.0369, 0)</f>
        <v>39.961300000000001</v>
      </c>
      <c r="H584" s="14">
        <f>39.9244 * CHOOSE(CONTROL!$C$15, $E$9, 100%, $G$9) + CHOOSE(CONTROL!$C$38, 0.0369, 0)</f>
        <v>39.961300000000001</v>
      </c>
      <c r="I584" s="14">
        <f>39.9259 * CHOOSE(CONTROL!$C$15, $E$9, 100%, $G$9) + CHOOSE(CONTROL!$C$38, 0.0369, 0)</f>
        <v>39.962800000000001</v>
      </c>
      <c r="J584" s="44">
        <f>341.153</f>
        <v>341.15300000000002</v>
      </c>
    </row>
    <row r="585" spans="1:10" ht="15.75" x14ac:dyDescent="0.25">
      <c r="A585" s="32">
        <v>58745</v>
      </c>
      <c r="B585" s="14">
        <f>42.6682 * CHOOSE(CONTROL!$C$15, $E$9, 100%, $G$9) + CHOOSE(CONTROL!$C$38, 0.0256, 0)</f>
        <v>42.693799999999996</v>
      </c>
      <c r="C585" s="14">
        <f>40.2875 * CHOOSE(CONTROL!$C$15, $E$9, 100%, $G$9) + CHOOSE(CONTROL!$C$38, 0.0347, 0)</f>
        <v>40.322200000000002</v>
      </c>
      <c r="D585" s="14">
        <f>40.2797 * CHOOSE(CONTROL!$C$15, $E$9, 100%, $G$9) + CHOOSE(CONTROL!$C$38, 0.0347, 0)</f>
        <v>40.314399999999999</v>
      </c>
      <c r="E585" s="46">
        <f>42.5119 * CHOOSE(CONTROL!$C$15, $E$9, 100%, $G$9) + CHOOSE(CONTROL!$C$38, 0.0347, 0)</f>
        <v>42.546599999999998</v>
      </c>
      <c r="F585" s="45">
        <f>42.5119 * CHOOSE(CONTROL!$C$15, $E$9, 100%, $G$9) + CHOOSE(CONTROL!$C$38, 0.0256, 0)</f>
        <v>42.537499999999994</v>
      </c>
      <c r="G585" s="14">
        <f>40.2859 * CHOOSE(CONTROL!$C$15, $E$9, 100%, $G$9) + CHOOSE(CONTROL!$C$38, 0.0347, 0)</f>
        <v>40.320599999999999</v>
      </c>
      <c r="H585" s="14">
        <f>40.2859 * CHOOSE(CONTROL!$C$15, $E$9, 100%, $G$9) + CHOOSE(CONTROL!$C$38, 0.0347, 0)</f>
        <v>40.320599999999999</v>
      </c>
      <c r="I585" s="14">
        <f>40.2875 * CHOOSE(CONTROL!$C$15, $E$9, 100%, $G$9) + CHOOSE(CONTROL!$C$38, 0.0347, 0)</f>
        <v>40.322200000000002</v>
      </c>
      <c r="J585" s="44">
        <f>329.3556</f>
        <v>329.35559999999998</v>
      </c>
    </row>
    <row r="586" spans="1:10" ht="15.75" x14ac:dyDescent="0.25">
      <c r="A586" s="32">
        <v>58775</v>
      </c>
      <c r="B586" s="14">
        <f>42.9699 * CHOOSE(CONTROL!$C$15, $E$9, 100%, $G$9) + CHOOSE(CONTROL!$C$38, 0.0256, 0)</f>
        <v>42.9955</v>
      </c>
      <c r="C586" s="14">
        <f>40.5892 * CHOOSE(CONTROL!$C$15, $E$9, 100%, $G$9) + CHOOSE(CONTROL!$C$38, 0.0347, 0)</f>
        <v>40.623899999999999</v>
      </c>
      <c r="D586" s="14">
        <f>40.5814 * CHOOSE(CONTROL!$C$15, $E$9, 100%, $G$9) + CHOOSE(CONTROL!$C$38, 0.0347, 0)</f>
        <v>40.616100000000003</v>
      </c>
      <c r="E586" s="46">
        <f>42.8136 * CHOOSE(CONTROL!$C$15, $E$9, 100%, $G$9) + CHOOSE(CONTROL!$C$38, 0.0347, 0)</f>
        <v>42.848300000000002</v>
      </c>
      <c r="F586" s="45">
        <f>42.8136 * CHOOSE(CONTROL!$C$15, $E$9, 100%, $G$9) + CHOOSE(CONTROL!$C$38, 0.0256, 0)</f>
        <v>42.839199999999998</v>
      </c>
      <c r="G586" s="14">
        <f>40.5877 * CHOOSE(CONTROL!$C$15, $E$9, 100%, $G$9) + CHOOSE(CONTROL!$C$38, 0.0347, 0)</f>
        <v>40.622399999999999</v>
      </c>
      <c r="H586" s="14">
        <f>40.5877 * CHOOSE(CONTROL!$C$15, $E$9, 100%, $G$9) + CHOOSE(CONTROL!$C$38, 0.0347, 0)</f>
        <v>40.622399999999999</v>
      </c>
      <c r="I586" s="14">
        <f>40.5892 * CHOOSE(CONTROL!$C$15, $E$9, 100%, $G$9) + CHOOSE(CONTROL!$C$38, 0.0347, 0)</f>
        <v>40.623899999999999</v>
      </c>
      <c r="J586" s="44">
        <f>327.0089</f>
        <v>327.00889999999998</v>
      </c>
    </row>
    <row r="587" spans="1:10" ht="15.75" x14ac:dyDescent="0.25">
      <c r="A587" s="32">
        <v>58806</v>
      </c>
      <c r="B587" s="14">
        <f>43.8996 * CHOOSE(CONTROL!$C$15, $E$9, 100%, $G$9) + CHOOSE(CONTROL!$C$38, 0.0256, 0)</f>
        <v>43.925199999999997</v>
      </c>
      <c r="C587" s="14">
        <f>41.5189 * CHOOSE(CONTROL!$C$15, $E$9, 100%, $G$9) + CHOOSE(CONTROL!$C$38, 0.0347, 0)</f>
        <v>41.553600000000003</v>
      </c>
      <c r="D587" s="14">
        <f>41.5111 * CHOOSE(CONTROL!$C$15, $E$9, 100%, $G$9) + CHOOSE(CONTROL!$C$38, 0.0347, 0)</f>
        <v>41.5458</v>
      </c>
      <c r="E587" s="46">
        <f>43.7433 * CHOOSE(CONTROL!$C$15, $E$9, 100%, $G$9) + CHOOSE(CONTROL!$C$38, 0.0347, 0)</f>
        <v>43.777999999999999</v>
      </c>
      <c r="F587" s="45">
        <f>43.7433 * CHOOSE(CONTROL!$C$15, $E$9, 100%, $G$9) + CHOOSE(CONTROL!$C$38, 0.0256, 0)</f>
        <v>43.768899999999995</v>
      </c>
      <c r="G587" s="14">
        <f>41.5173 * CHOOSE(CONTROL!$C$15, $E$9, 100%, $G$9) + CHOOSE(CONTROL!$C$38, 0.0347, 0)</f>
        <v>41.552</v>
      </c>
      <c r="H587" s="14">
        <f>41.5173 * CHOOSE(CONTROL!$C$15, $E$9, 100%, $G$9) + CHOOSE(CONTROL!$C$38, 0.0347, 0)</f>
        <v>41.552</v>
      </c>
      <c r="I587" s="14">
        <f>41.5189 * CHOOSE(CONTROL!$C$15, $E$9, 100%, $G$9) + CHOOSE(CONTROL!$C$38, 0.0347, 0)</f>
        <v>41.553600000000003</v>
      </c>
      <c r="J587" s="44">
        <f>317.3049</f>
        <v>317.30489999999998</v>
      </c>
    </row>
    <row r="588" spans="1:10" ht="15.75" x14ac:dyDescent="0.25">
      <c r="A588" s="32">
        <v>58837</v>
      </c>
      <c r="B588" s="14">
        <f>45.3462 * CHOOSE(CONTROL!$C$15, $E$9, 100%, $G$9) + CHOOSE(CONTROL!$C$38, 0.0256, 0)</f>
        <v>45.3718</v>
      </c>
      <c r="C588" s="14">
        <f>42.9281 * CHOOSE(CONTROL!$C$15, $E$9, 100%, $G$9) + CHOOSE(CONTROL!$C$38, 0.0347, 0)</f>
        <v>42.962800000000001</v>
      </c>
      <c r="D588" s="14">
        <f>42.9203 * CHOOSE(CONTROL!$C$15, $E$9, 100%, $G$9) + CHOOSE(CONTROL!$C$38, 0.0347, 0)</f>
        <v>42.954999999999998</v>
      </c>
      <c r="E588" s="46">
        <f>45.1899 * CHOOSE(CONTROL!$C$15, $E$9, 100%, $G$9) + CHOOSE(CONTROL!$C$38, 0.0347, 0)</f>
        <v>45.224600000000002</v>
      </c>
      <c r="F588" s="45">
        <f>45.1899 * CHOOSE(CONTROL!$C$15, $E$9, 100%, $G$9) + CHOOSE(CONTROL!$C$38, 0.0256, 0)</f>
        <v>45.215499999999999</v>
      </c>
      <c r="G588" s="14">
        <f>42.9265 * CHOOSE(CONTROL!$C$15, $E$9, 100%, $G$9) + CHOOSE(CONTROL!$C$38, 0.0347, 0)</f>
        <v>42.961199999999998</v>
      </c>
      <c r="H588" s="14">
        <f>42.9265 * CHOOSE(CONTROL!$C$15, $E$9, 100%, $G$9) + CHOOSE(CONTROL!$C$38, 0.0347, 0)</f>
        <v>42.961199999999998</v>
      </c>
      <c r="I588" s="14">
        <f>42.9281 * CHOOSE(CONTROL!$C$15, $E$9, 100%, $G$9) + CHOOSE(CONTROL!$C$38, 0.0347, 0)</f>
        <v>42.962800000000001</v>
      </c>
      <c r="J588" s="44">
        <f>316.8957</f>
        <v>316.89569999999998</v>
      </c>
    </row>
    <row r="589" spans="1:10" ht="15.75" x14ac:dyDescent="0.25">
      <c r="A589" s="32">
        <v>58865</v>
      </c>
      <c r="B589" s="14">
        <f>45.6905 * CHOOSE(CONTROL!$C$15, $E$9, 100%, $G$9) + CHOOSE(CONTROL!$C$38, 0.0256, 0)</f>
        <v>45.716099999999997</v>
      </c>
      <c r="C589" s="14">
        <f>43.2724 * CHOOSE(CONTROL!$C$15, $E$9, 100%, $G$9) + CHOOSE(CONTROL!$C$38, 0.0347, 0)</f>
        <v>43.307099999999998</v>
      </c>
      <c r="D589" s="14">
        <f>43.2646 * CHOOSE(CONTROL!$C$15, $E$9, 100%, $G$9) + CHOOSE(CONTROL!$C$38, 0.0347, 0)</f>
        <v>43.299300000000002</v>
      </c>
      <c r="E589" s="46">
        <f>45.5342 * CHOOSE(CONTROL!$C$15, $E$9, 100%, $G$9) + CHOOSE(CONTROL!$C$38, 0.0347, 0)</f>
        <v>45.568899999999999</v>
      </c>
      <c r="F589" s="45">
        <f>45.5342 * CHOOSE(CONTROL!$C$15, $E$9, 100%, $G$9) + CHOOSE(CONTROL!$C$38, 0.0256, 0)</f>
        <v>45.559799999999996</v>
      </c>
      <c r="G589" s="14">
        <f>43.2709 * CHOOSE(CONTROL!$C$15, $E$9, 100%, $G$9) + CHOOSE(CONTROL!$C$38, 0.0347, 0)</f>
        <v>43.305599999999998</v>
      </c>
      <c r="H589" s="14">
        <f>43.2709 * CHOOSE(CONTROL!$C$15, $E$9, 100%, $G$9) + CHOOSE(CONTROL!$C$38, 0.0347, 0)</f>
        <v>43.305599999999998</v>
      </c>
      <c r="I589" s="14">
        <f>43.2724 * CHOOSE(CONTROL!$C$15, $E$9, 100%, $G$9) + CHOOSE(CONTROL!$C$38, 0.0347, 0)</f>
        <v>43.307099999999998</v>
      </c>
      <c r="J589" s="44">
        <f>316.0148</f>
        <v>316.01479999999998</v>
      </c>
    </row>
    <row r="590" spans="1:10" ht="15.75" x14ac:dyDescent="0.25">
      <c r="A590" s="32">
        <v>58893</v>
      </c>
      <c r="B590" s="14">
        <f>44.8934 * CHOOSE(CONTROL!$C$15, $E$9, 100%, $G$9) + CHOOSE(CONTROL!$C$38, 0.0256, 0)</f>
        <v>44.918999999999997</v>
      </c>
      <c r="C590" s="14">
        <f>42.4754 * CHOOSE(CONTROL!$C$15, $E$9, 100%, $G$9) + CHOOSE(CONTROL!$C$38, 0.0347, 0)</f>
        <v>42.510100000000001</v>
      </c>
      <c r="D590" s="14">
        <f>42.4676 * CHOOSE(CONTROL!$C$15, $E$9, 100%, $G$9) + CHOOSE(CONTROL!$C$38, 0.0347, 0)</f>
        <v>42.502299999999998</v>
      </c>
      <c r="E590" s="46">
        <f>44.7372 * CHOOSE(CONTROL!$C$15, $E$9, 100%, $G$9) + CHOOSE(CONTROL!$C$38, 0.0347, 0)</f>
        <v>44.771900000000002</v>
      </c>
      <c r="F590" s="45">
        <f>44.7372 * CHOOSE(CONTROL!$C$15, $E$9, 100%, $G$9) + CHOOSE(CONTROL!$C$38, 0.0256, 0)</f>
        <v>44.762799999999999</v>
      </c>
      <c r="G590" s="14">
        <f>42.4738 * CHOOSE(CONTROL!$C$15, $E$9, 100%, $G$9) + CHOOSE(CONTROL!$C$38, 0.0347, 0)</f>
        <v>42.508499999999998</v>
      </c>
      <c r="H590" s="14">
        <f>42.4738 * CHOOSE(CONTROL!$C$15, $E$9, 100%, $G$9) + CHOOSE(CONTROL!$C$38, 0.0347, 0)</f>
        <v>42.508499999999998</v>
      </c>
      <c r="I590" s="14">
        <f>42.4754 * CHOOSE(CONTROL!$C$15, $E$9, 100%, $G$9) + CHOOSE(CONTROL!$C$38, 0.0347, 0)</f>
        <v>42.510100000000001</v>
      </c>
      <c r="J590" s="44">
        <f>332.6706</f>
        <v>332.67059999999998</v>
      </c>
    </row>
    <row r="591" spans="1:10" ht="15.75" x14ac:dyDescent="0.25">
      <c r="A591" s="32">
        <v>58926</v>
      </c>
      <c r="B591" s="14">
        <f>44.1211 * CHOOSE(CONTROL!$C$15, $E$9, 100%, $G$9) + CHOOSE(CONTROL!$C$38, 0.0256, 0)</f>
        <v>44.146699999999996</v>
      </c>
      <c r="C591" s="14">
        <f>41.7031 * CHOOSE(CONTROL!$C$15, $E$9, 100%, $G$9) + CHOOSE(CONTROL!$C$38, 0.0347, 0)</f>
        <v>41.7378</v>
      </c>
      <c r="D591" s="14">
        <f>41.6953 * CHOOSE(CONTROL!$C$15, $E$9, 100%, $G$9) + CHOOSE(CONTROL!$C$38, 0.0347, 0)</f>
        <v>41.730000000000004</v>
      </c>
      <c r="E591" s="46">
        <f>43.9649 * CHOOSE(CONTROL!$C$15, $E$9, 100%, $G$9) + CHOOSE(CONTROL!$C$38, 0.0347, 0)</f>
        <v>43.999600000000001</v>
      </c>
      <c r="F591" s="45">
        <f>43.9649 * CHOOSE(CONTROL!$C$15, $E$9, 100%, $G$9) + CHOOSE(CONTROL!$C$38, 0.0256, 0)</f>
        <v>43.990499999999997</v>
      </c>
      <c r="G591" s="14">
        <f>41.7015 * CHOOSE(CONTROL!$C$15, $E$9, 100%, $G$9) + CHOOSE(CONTROL!$C$38, 0.0347, 0)</f>
        <v>41.736200000000004</v>
      </c>
      <c r="H591" s="14">
        <f>41.7015 * CHOOSE(CONTROL!$C$15, $E$9, 100%, $G$9) + CHOOSE(CONTROL!$C$38, 0.0347, 0)</f>
        <v>41.736200000000004</v>
      </c>
      <c r="I591" s="14">
        <f>41.7031 * CHOOSE(CONTROL!$C$15, $E$9, 100%, $G$9) + CHOOSE(CONTROL!$C$38, 0.0347, 0)</f>
        <v>41.7378</v>
      </c>
      <c r="J591" s="44">
        <f>354.2692</f>
        <v>354.26920000000001</v>
      </c>
    </row>
    <row r="592" spans="1:10" ht="15.75" x14ac:dyDescent="0.25">
      <c r="A592" s="32">
        <v>58957</v>
      </c>
      <c r="B592" s="14">
        <f>43.3162 * CHOOSE(CONTROL!$C$15, $E$9, 100%, $G$9) + CHOOSE(CONTROL!$C$38, 0.0278, 0)</f>
        <v>43.344000000000001</v>
      </c>
      <c r="C592" s="14">
        <f>40.8981 * CHOOSE(CONTROL!$C$15, $E$9, 100%, $G$9) + CHOOSE(CONTROL!$C$38, 0.0369, 0)</f>
        <v>40.935000000000002</v>
      </c>
      <c r="D592" s="14">
        <f>40.8903 * CHOOSE(CONTROL!$C$15, $E$9, 100%, $G$9) + CHOOSE(CONTROL!$C$38, 0.0369, 0)</f>
        <v>40.927200000000006</v>
      </c>
      <c r="E592" s="46">
        <f>43.1599 * CHOOSE(CONTROL!$C$15, $E$9, 100%, $G$9) + CHOOSE(CONTROL!$C$38, 0.0369, 0)</f>
        <v>43.196800000000003</v>
      </c>
      <c r="F592" s="45">
        <f>43.1599 * CHOOSE(CONTROL!$C$15, $E$9, 100%, $G$9) + CHOOSE(CONTROL!$C$38, 0.0278, 0)</f>
        <v>43.1877</v>
      </c>
      <c r="G592" s="14">
        <f>40.8966 * CHOOSE(CONTROL!$C$15, $E$9, 100%, $G$9) + CHOOSE(CONTROL!$C$38, 0.0369, 0)</f>
        <v>40.933500000000002</v>
      </c>
      <c r="H592" s="14">
        <f>40.8966 * CHOOSE(CONTROL!$C$15, $E$9, 100%, $G$9) + CHOOSE(CONTROL!$C$38, 0.0369, 0)</f>
        <v>40.933500000000002</v>
      </c>
      <c r="I592" s="14">
        <f>40.8981 * CHOOSE(CONTROL!$C$15, $E$9, 100%, $G$9) + CHOOSE(CONTROL!$C$38, 0.0369, 0)</f>
        <v>40.935000000000002</v>
      </c>
      <c r="J592" s="44">
        <f>366.1578</f>
        <v>366.15780000000001</v>
      </c>
    </row>
    <row r="593" spans="1:10" ht="15.75" x14ac:dyDescent="0.25">
      <c r="A593" s="32">
        <v>58987</v>
      </c>
      <c r="B593" s="14">
        <f>42.7518 * CHOOSE(CONTROL!$C$15, $E$9, 100%, $G$9) + CHOOSE(CONTROL!$C$38, 0.0278, 0)</f>
        <v>42.779600000000002</v>
      </c>
      <c r="C593" s="14">
        <f>40.3338 * CHOOSE(CONTROL!$C$15, $E$9, 100%, $G$9) + CHOOSE(CONTROL!$C$38, 0.0369, 0)</f>
        <v>40.370699999999999</v>
      </c>
      <c r="D593" s="14">
        <f>40.326 * CHOOSE(CONTROL!$C$15, $E$9, 100%, $G$9) + CHOOSE(CONTROL!$C$38, 0.0369, 0)</f>
        <v>40.362900000000003</v>
      </c>
      <c r="E593" s="46">
        <f>42.5956 * CHOOSE(CONTROL!$C$15, $E$9, 100%, $G$9) + CHOOSE(CONTROL!$C$38, 0.0369, 0)</f>
        <v>42.6325</v>
      </c>
      <c r="F593" s="45">
        <f>42.5956 * CHOOSE(CONTROL!$C$15, $E$9, 100%, $G$9) + CHOOSE(CONTROL!$C$38, 0.0278, 0)</f>
        <v>42.623399999999997</v>
      </c>
      <c r="G593" s="14">
        <f>40.3322 * CHOOSE(CONTROL!$C$15, $E$9, 100%, $G$9) + CHOOSE(CONTROL!$C$38, 0.0369, 0)</f>
        <v>40.369100000000003</v>
      </c>
      <c r="H593" s="14">
        <f>40.3322 * CHOOSE(CONTROL!$C$15, $E$9, 100%, $G$9) + CHOOSE(CONTROL!$C$38, 0.0369, 0)</f>
        <v>40.369100000000003</v>
      </c>
      <c r="I593" s="14">
        <f>40.3338 * CHOOSE(CONTROL!$C$15, $E$9, 100%, $G$9) + CHOOSE(CONTROL!$C$38, 0.0369, 0)</f>
        <v>40.370699999999999</v>
      </c>
      <c r="J593" s="44">
        <f>371.4337</f>
        <v>371.43369999999999</v>
      </c>
    </row>
    <row r="594" spans="1:10" ht="15.75" x14ac:dyDescent="0.25">
      <c r="A594" s="32">
        <v>59018</v>
      </c>
      <c r="B594" s="14">
        <f>42.4298 * CHOOSE(CONTROL!$C$15, $E$9, 100%, $G$9) + CHOOSE(CONTROL!$C$38, 0.0278, 0)</f>
        <v>42.457599999999999</v>
      </c>
      <c r="C594" s="14">
        <f>40.0117 * CHOOSE(CONTROL!$C$15, $E$9, 100%, $G$9) + CHOOSE(CONTROL!$C$38, 0.0369, 0)</f>
        <v>40.0486</v>
      </c>
      <c r="D594" s="14">
        <f>40.0039 * CHOOSE(CONTROL!$C$15, $E$9, 100%, $G$9) + CHOOSE(CONTROL!$C$38, 0.0369, 0)</f>
        <v>40.040800000000004</v>
      </c>
      <c r="E594" s="46">
        <f>42.2735 * CHOOSE(CONTROL!$C$15, $E$9, 100%, $G$9) + CHOOSE(CONTROL!$C$38, 0.0369, 0)</f>
        <v>42.310400000000001</v>
      </c>
      <c r="F594" s="45">
        <f>42.2735 * CHOOSE(CONTROL!$C$15, $E$9, 100%, $G$9) + CHOOSE(CONTROL!$C$38, 0.0278, 0)</f>
        <v>42.301299999999998</v>
      </c>
      <c r="G594" s="14">
        <f>40.0102 * CHOOSE(CONTROL!$C$15, $E$9, 100%, $G$9) + CHOOSE(CONTROL!$C$38, 0.0369, 0)</f>
        <v>40.0471</v>
      </c>
      <c r="H594" s="14">
        <f>40.0102 * CHOOSE(CONTROL!$C$15, $E$9, 100%, $G$9) + CHOOSE(CONTROL!$C$38, 0.0369, 0)</f>
        <v>40.0471</v>
      </c>
      <c r="I594" s="14">
        <f>40.0117 * CHOOSE(CONTROL!$C$15, $E$9, 100%, $G$9) + CHOOSE(CONTROL!$C$38, 0.0369, 0)</f>
        <v>40.0486</v>
      </c>
      <c r="J594" s="44">
        <f>369.6967</f>
        <v>369.69670000000002</v>
      </c>
    </row>
    <row r="595" spans="1:10" ht="15.75" x14ac:dyDescent="0.25">
      <c r="A595" s="32">
        <v>59049</v>
      </c>
      <c r="B595" s="14">
        <f>42.5887 * CHOOSE(CONTROL!$C$15, $E$9, 100%, $G$9) + CHOOSE(CONTROL!$C$38, 0.0278, 0)</f>
        <v>42.616500000000002</v>
      </c>
      <c r="C595" s="14">
        <f>40.1707 * CHOOSE(CONTROL!$C$15, $E$9, 100%, $G$9) + CHOOSE(CONTROL!$C$38, 0.0369, 0)</f>
        <v>40.207599999999999</v>
      </c>
      <c r="D595" s="14">
        <f>40.1629 * CHOOSE(CONTROL!$C$15, $E$9, 100%, $G$9) + CHOOSE(CONTROL!$C$38, 0.0369, 0)</f>
        <v>40.199800000000003</v>
      </c>
      <c r="E595" s="46">
        <f>42.4325 * CHOOSE(CONTROL!$C$15, $E$9, 100%, $G$9) + CHOOSE(CONTROL!$C$38, 0.0369, 0)</f>
        <v>42.4694</v>
      </c>
      <c r="F595" s="45">
        <f>42.4325 * CHOOSE(CONTROL!$C$15, $E$9, 100%, $G$9) + CHOOSE(CONTROL!$C$38, 0.0278, 0)</f>
        <v>42.460299999999997</v>
      </c>
      <c r="G595" s="14">
        <f>40.1691 * CHOOSE(CONTROL!$C$15, $E$9, 100%, $G$9) + CHOOSE(CONTROL!$C$38, 0.0369, 0)</f>
        <v>40.206000000000003</v>
      </c>
      <c r="H595" s="14">
        <f>40.1691 * CHOOSE(CONTROL!$C$15, $E$9, 100%, $G$9) + CHOOSE(CONTROL!$C$38, 0.0369, 0)</f>
        <v>40.206000000000003</v>
      </c>
      <c r="I595" s="14">
        <f>40.1707 * CHOOSE(CONTROL!$C$15, $E$9, 100%, $G$9) + CHOOSE(CONTROL!$C$38, 0.0369, 0)</f>
        <v>40.207599999999999</v>
      </c>
      <c r="J595" s="44">
        <f>361.0903</f>
        <v>361.09030000000001</v>
      </c>
    </row>
    <row r="596" spans="1:10" ht="15.75" x14ac:dyDescent="0.25">
      <c r="A596" s="32">
        <v>59079</v>
      </c>
      <c r="B596" s="14">
        <f>43.0204 * CHOOSE(CONTROL!$C$15, $E$9, 100%, $G$9) + CHOOSE(CONTROL!$C$38, 0.0278, 0)</f>
        <v>43.048200000000001</v>
      </c>
      <c r="C596" s="14">
        <f>40.6024 * CHOOSE(CONTROL!$C$15, $E$9, 100%, $G$9) + CHOOSE(CONTROL!$C$38, 0.0369, 0)</f>
        <v>40.639300000000006</v>
      </c>
      <c r="D596" s="14">
        <f>40.5946 * CHOOSE(CONTROL!$C$15, $E$9, 100%, $G$9) + CHOOSE(CONTROL!$C$38, 0.0369, 0)</f>
        <v>40.631500000000003</v>
      </c>
      <c r="E596" s="46">
        <f>42.8642 * CHOOSE(CONTROL!$C$15, $E$9, 100%, $G$9) + CHOOSE(CONTROL!$C$38, 0.0369, 0)</f>
        <v>42.9011</v>
      </c>
      <c r="F596" s="45">
        <f>42.8642 * CHOOSE(CONTROL!$C$15, $E$9, 100%, $G$9) + CHOOSE(CONTROL!$C$38, 0.0278, 0)</f>
        <v>42.891999999999996</v>
      </c>
      <c r="G596" s="14">
        <f>40.6008 * CHOOSE(CONTROL!$C$15, $E$9, 100%, $G$9) + CHOOSE(CONTROL!$C$38, 0.0369, 0)</f>
        <v>40.637700000000002</v>
      </c>
      <c r="H596" s="14">
        <f>40.6008 * CHOOSE(CONTROL!$C$15, $E$9, 100%, $G$9) + CHOOSE(CONTROL!$C$38, 0.0369, 0)</f>
        <v>40.637700000000002</v>
      </c>
      <c r="I596" s="14">
        <f>40.6024 * CHOOSE(CONTROL!$C$15, $E$9, 100%, $G$9) + CHOOSE(CONTROL!$C$38, 0.0369, 0)</f>
        <v>40.639300000000006</v>
      </c>
      <c r="J596" s="44">
        <f>349.0883</f>
        <v>349.0883</v>
      </c>
    </row>
    <row r="597" spans="1:10" ht="15.75" x14ac:dyDescent="0.25">
      <c r="A597" s="32">
        <v>59110</v>
      </c>
      <c r="B597" s="14">
        <f>43.382 * CHOOSE(CONTROL!$C$15, $E$9, 100%, $G$9) + CHOOSE(CONTROL!$C$38, 0.0256, 0)</f>
        <v>43.407599999999995</v>
      </c>
      <c r="C597" s="14">
        <f>40.9639 * CHOOSE(CONTROL!$C$15, $E$9, 100%, $G$9) + CHOOSE(CONTROL!$C$38, 0.0347, 0)</f>
        <v>40.998600000000003</v>
      </c>
      <c r="D597" s="14">
        <f>40.9561 * CHOOSE(CONTROL!$C$15, $E$9, 100%, $G$9) + CHOOSE(CONTROL!$C$38, 0.0347, 0)</f>
        <v>40.9908</v>
      </c>
      <c r="E597" s="46">
        <f>43.2257 * CHOOSE(CONTROL!$C$15, $E$9, 100%, $G$9) + CHOOSE(CONTROL!$C$38, 0.0347, 0)</f>
        <v>43.260400000000004</v>
      </c>
      <c r="F597" s="45">
        <f>43.2257 * CHOOSE(CONTROL!$C$15, $E$9, 100%, $G$9) + CHOOSE(CONTROL!$C$38, 0.0256, 0)</f>
        <v>43.251300000000001</v>
      </c>
      <c r="G597" s="14">
        <f>40.9624 * CHOOSE(CONTROL!$C$15, $E$9, 100%, $G$9) + CHOOSE(CONTROL!$C$38, 0.0347, 0)</f>
        <v>40.997100000000003</v>
      </c>
      <c r="H597" s="14">
        <f>40.9624 * CHOOSE(CONTROL!$C$15, $E$9, 100%, $G$9) + CHOOSE(CONTROL!$C$38, 0.0347, 0)</f>
        <v>40.997100000000003</v>
      </c>
      <c r="I597" s="14">
        <f>40.9639 * CHOOSE(CONTROL!$C$15, $E$9, 100%, $G$9) + CHOOSE(CONTROL!$C$38, 0.0347, 0)</f>
        <v>40.998600000000003</v>
      </c>
      <c r="J597" s="44">
        <f>337.0164</f>
        <v>337.01639999999998</v>
      </c>
    </row>
    <row r="598" spans="1:10" ht="15.75" x14ac:dyDescent="0.25">
      <c r="A598" s="32">
        <v>59140</v>
      </c>
      <c r="B598" s="14">
        <f>43.6837 * CHOOSE(CONTROL!$C$15, $E$9, 100%, $G$9) + CHOOSE(CONTROL!$C$38, 0.0256, 0)</f>
        <v>43.709299999999999</v>
      </c>
      <c r="C598" s="14">
        <f>41.2656 * CHOOSE(CONTROL!$C$15, $E$9, 100%, $G$9) + CHOOSE(CONTROL!$C$38, 0.0347, 0)</f>
        <v>41.3003</v>
      </c>
      <c r="D598" s="14">
        <f>41.2578 * CHOOSE(CONTROL!$C$15, $E$9, 100%, $G$9) + CHOOSE(CONTROL!$C$38, 0.0347, 0)</f>
        <v>41.292500000000004</v>
      </c>
      <c r="E598" s="46">
        <f>43.5275 * CHOOSE(CONTROL!$C$15, $E$9, 100%, $G$9) + CHOOSE(CONTROL!$C$38, 0.0347, 0)</f>
        <v>43.562200000000004</v>
      </c>
      <c r="F598" s="45">
        <f>43.5275 * CHOOSE(CONTROL!$C$15, $E$9, 100%, $G$9) + CHOOSE(CONTROL!$C$38, 0.0256, 0)</f>
        <v>43.553100000000001</v>
      </c>
      <c r="G598" s="14">
        <f>41.2641 * CHOOSE(CONTROL!$C$15, $E$9, 100%, $G$9) + CHOOSE(CONTROL!$C$38, 0.0347, 0)</f>
        <v>41.2988</v>
      </c>
      <c r="H598" s="14">
        <f>41.2641 * CHOOSE(CONTROL!$C$15, $E$9, 100%, $G$9) + CHOOSE(CONTROL!$C$38, 0.0347, 0)</f>
        <v>41.2988</v>
      </c>
      <c r="I598" s="14">
        <f>41.2656 * CHOOSE(CONTROL!$C$15, $E$9, 100%, $G$9) + CHOOSE(CONTROL!$C$38, 0.0347, 0)</f>
        <v>41.3003</v>
      </c>
      <c r="J598" s="44">
        <f>334.6151</f>
        <v>334.61509999999998</v>
      </c>
    </row>
    <row r="599" spans="1:10" ht="15.75" x14ac:dyDescent="0.25">
      <c r="A599" s="32">
        <v>59171</v>
      </c>
      <c r="B599" s="14">
        <f>44.6134 * CHOOSE(CONTROL!$C$15, $E$9, 100%, $G$9) + CHOOSE(CONTROL!$C$38, 0.0256, 0)</f>
        <v>44.638999999999996</v>
      </c>
      <c r="C599" s="14">
        <f>42.1953 * CHOOSE(CONTROL!$C$15, $E$9, 100%, $G$9) + CHOOSE(CONTROL!$C$38, 0.0347, 0)</f>
        <v>42.230000000000004</v>
      </c>
      <c r="D599" s="14">
        <f>42.1875 * CHOOSE(CONTROL!$C$15, $E$9, 100%, $G$9) + CHOOSE(CONTROL!$C$38, 0.0347, 0)</f>
        <v>42.222200000000001</v>
      </c>
      <c r="E599" s="46">
        <f>44.4571 * CHOOSE(CONTROL!$C$15, $E$9, 100%, $G$9) + CHOOSE(CONTROL!$C$38, 0.0347, 0)</f>
        <v>44.491799999999998</v>
      </c>
      <c r="F599" s="45">
        <f>44.4571 * CHOOSE(CONTROL!$C$15, $E$9, 100%, $G$9) + CHOOSE(CONTROL!$C$38, 0.0256, 0)</f>
        <v>44.482699999999994</v>
      </c>
      <c r="G599" s="14">
        <f>42.1937 * CHOOSE(CONTROL!$C$15, $E$9, 100%, $G$9) + CHOOSE(CONTROL!$C$38, 0.0347, 0)</f>
        <v>42.228400000000001</v>
      </c>
      <c r="H599" s="14">
        <f>42.1937 * CHOOSE(CONTROL!$C$15, $E$9, 100%, $G$9) + CHOOSE(CONTROL!$C$38, 0.0347, 0)</f>
        <v>42.228400000000001</v>
      </c>
      <c r="I599" s="14">
        <f>42.1953 * CHOOSE(CONTROL!$C$15, $E$9, 100%, $G$9) + CHOOSE(CONTROL!$C$38, 0.0347, 0)</f>
        <v>42.230000000000004</v>
      </c>
      <c r="J599" s="44">
        <f>324.6854</f>
        <v>324.68540000000002</v>
      </c>
    </row>
    <row r="600" spans="1:10" ht="15.75" x14ac:dyDescent="0.25">
      <c r="A600" s="32">
        <v>59202</v>
      </c>
      <c r="B600" s="14">
        <f>41.0292 * CHOOSE(CONTROL!$C$15, $E$9, 100%, $G$9) + CHOOSE(CONTROL!$C$38, 0.0256, 0)</f>
        <v>41.0548</v>
      </c>
      <c r="C600" s="14">
        <f>38.7573 * CHOOSE(CONTROL!$C$15, $E$9, 100%, $G$9) + CHOOSE(CONTROL!$C$38, 0.0347, 0)</f>
        <v>38.792000000000002</v>
      </c>
      <c r="D600" s="14">
        <f>38.7494 * CHOOSE(CONTROL!$C$15, $E$9, 100%, $G$9) + CHOOSE(CONTROL!$C$38, 0.0347, 0)</f>
        <v>38.784100000000002</v>
      </c>
      <c r="E600" s="46">
        <f>40.873 * CHOOSE(CONTROL!$C$15, $E$9, 100%, $G$9) + CHOOSE(CONTROL!$C$38, 0.0347, 0)</f>
        <v>40.907699999999998</v>
      </c>
      <c r="F600" s="45">
        <f>40.873 * CHOOSE(CONTROL!$C$15, $E$9, 100%, $G$9) + CHOOSE(CONTROL!$C$38, 0.0256, 0)</f>
        <v>40.898599999999995</v>
      </c>
      <c r="G600" s="14">
        <f>38.7557 * CHOOSE(CONTROL!$C$15, $E$9, 100%, $G$9) + CHOOSE(CONTROL!$C$38, 0.0347, 0)</f>
        <v>38.790399999999998</v>
      </c>
      <c r="H600" s="14">
        <f>38.7557 * CHOOSE(CONTROL!$C$15, $E$9, 100%, $G$9) + CHOOSE(CONTROL!$C$38, 0.0347, 0)</f>
        <v>38.790399999999998</v>
      </c>
      <c r="I600" s="14">
        <f>38.7573 * CHOOSE(CONTROL!$C$15, $E$9, 100%, $G$9) + CHOOSE(CONTROL!$C$38, 0.0347, 0)</f>
        <v>38.792000000000002</v>
      </c>
      <c r="J600" s="44">
        <f>324.2667</f>
        <v>324.26670000000001</v>
      </c>
    </row>
    <row r="601" spans="1:10" ht="15.75" x14ac:dyDescent="0.25">
      <c r="A601" s="32">
        <v>59230</v>
      </c>
      <c r="B601" s="14">
        <f>40.9169 * CHOOSE(CONTROL!$C$15, $E$9, 100%, $G$9) + CHOOSE(CONTROL!$C$38, 0.0256, 0)</f>
        <v>40.942499999999995</v>
      </c>
      <c r="C601" s="14">
        <f>38.6508 * CHOOSE(CONTROL!$C$15, $E$9, 100%, $G$9) + CHOOSE(CONTROL!$C$38, 0.0347, 0)</f>
        <v>38.685499999999998</v>
      </c>
      <c r="D601" s="14">
        <f>38.643 * CHOOSE(CONTROL!$C$15, $E$9, 100%, $G$9) + CHOOSE(CONTROL!$C$38, 0.0347, 0)</f>
        <v>38.677700000000002</v>
      </c>
      <c r="E601" s="46">
        <f>40.7606 * CHOOSE(CONTROL!$C$15, $E$9, 100%, $G$9) + CHOOSE(CONTROL!$C$38, 0.0347, 0)</f>
        <v>40.795299999999997</v>
      </c>
      <c r="F601" s="45">
        <f>40.7606 * CHOOSE(CONTROL!$C$15, $E$9, 100%, $G$9) + CHOOSE(CONTROL!$C$38, 0.0256, 0)</f>
        <v>40.786199999999994</v>
      </c>
      <c r="G601" s="14">
        <f>38.6492 * CHOOSE(CONTROL!$C$15, $E$9, 100%, $G$9) + CHOOSE(CONTROL!$C$38, 0.0347, 0)</f>
        <v>38.683900000000001</v>
      </c>
      <c r="H601" s="14">
        <f>38.6492 * CHOOSE(CONTROL!$C$15, $E$9, 100%, $G$9) + CHOOSE(CONTROL!$C$38, 0.0347, 0)</f>
        <v>38.683900000000001</v>
      </c>
      <c r="I601" s="14">
        <f>38.6508 * CHOOSE(CONTROL!$C$15, $E$9, 100%, $G$9) + CHOOSE(CONTROL!$C$38, 0.0347, 0)</f>
        <v>38.685499999999998</v>
      </c>
      <c r="J601" s="44">
        <f>323.3653</f>
        <v>323.36529999999999</v>
      </c>
    </row>
    <row r="602" spans="1:10" ht="15.75" x14ac:dyDescent="0.25">
      <c r="A602" s="32">
        <v>59261</v>
      </c>
      <c r="B602" s="14">
        <f>43.0409 * CHOOSE(CONTROL!$C$15, $E$9, 100%, $G$9) + CHOOSE(CONTROL!$C$38, 0.0256, 0)</f>
        <v>43.066499999999998</v>
      </c>
      <c r="C602" s="14">
        <f>40.6636 * CHOOSE(CONTROL!$C$15, $E$9, 100%, $G$9) + CHOOSE(CONTROL!$C$38, 0.0347, 0)</f>
        <v>40.698300000000003</v>
      </c>
      <c r="D602" s="14">
        <f>40.6558 * CHOOSE(CONTROL!$C$15, $E$9, 100%, $G$9) + CHOOSE(CONTROL!$C$38, 0.0347, 0)</f>
        <v>40.6905</v>
      </c>
      <c r="E602" s="46">
        <f>42.8847 * CHOOSE(CONTROL!$C$15, $E$9, 100%, $G$9) + CHOOSE(CONTROL!$C$38, 0.0347, 0)</f>
        <v>42.919400000000003</v>
      </c>
      <c r="F602" s="45">
        <f>42.8847 * CHOOSE(CONTROL!$C$15, $E$9, 100%, $G$9) + CHOOSE(CONTROL!$C$38, 0.0256, 0)</f>
        <v>42.910299999999999</v>
      </c>
      <c r="G602" s="14">
        <f>40.6621 * CHOOSE(CONTROL!$C$15, $E$9, 100%, $G$9) + CHOOSE(CONTROL!$C$38, 0.0347, 0)</f>
        <v>40.696800000000003</v>
      </c>
      <c r="H602" s="14">
        <f>40.6621 * CHOOSE(CONTROL!$C$15, $E$9, 100%, $G$9) + CHOOSE(CONTROL!$C$38, 0.0347, 0)</f>
        <v>40.696800000000003</v>
      </c>
      <c r="I602" s="14">
        <f>40.6636 * CHOOSE(CONTROL!$C$15, $E$9, 100%, $G$9) + CHOOSE(CONTROL!$C$38, 0.0347, 0)</f>
        <v>40.698300000000003</v>
      </c>
      <c r="J602" s="44">
        <f>340.4085</f>
        <v>340.4085</v>
      </c>
    </row>
    <row r="603" spans="1:10" ht="15.75" x14ac:dyDescent="0.25">
      <c r="A603" s="32">
        <v>59291</v>
      </c>
      <c r="B603" s="14">
        <f>45.7953 * CHOOSE(CONTROL!$C$15, $E$9, 100%, $G$9) + CHOOSE(CONTROL!$C$38, 0.0256, 0)</f>
        <v>45.820899999999995</v>
      </c>
      <c r="C603" s="14">
        <f>43.2738 * CHOOSE(CONTROL!$C$15, $E$9, 100%, $G$9) + CHOOSE(CONTROL!$C$38, 0.0347, 0)</f>
        <v>43.308500000000002</v>
      </c>
      <c r="D603" s="14">
        <f>43.266 * CHOOSE(CONTROL!$C$15, $E$9, 100%, $G$9) + CHOOSE(CONTROL!$C$38, 0.0347, 0)</f>
        <v>43.300699999999999</v>
      </c>
      <c r="E603" s="46">
        <f>45.639 * CHOOSE(CONTROL!$C$15, $E$9, 100%, $G$9) + CHOOSE(CONTROL!$C$38, 0.0347, 0)</f>
        <v>45.673700000000004</v>
      </c>
      <c r="F603" s="45">
        <f>45.639 * CHOOSE(CONTROL!$C$15, $E$9, 100%, $G$9) + CHOOSE(CONTROL!$C$38, 0.0256, 0)</f>
        <v>45.6646</v>
      </c>
      <c r="G603" s="14">
        <f>43.2722 * CHOOSE(CONTROL!$C$15, $E$9, 100%, $G$9) + CHOOSE(CONTROL!$C$38, 0.0347, 0)</f>
        <v>43.306899999999999</v>
      </c>
      <c r="H603" s="14">
        <f>43.2722 * CHOOSE(CONTROL!$C$15, $E$9, 100%, $G$9) + CHOOSE(CONTROL!$C$38, 0.0347, 0)</f>
        <v>43.306899999999999</v>
      </c>
      <c r="I603" s="14">
        <f>43.2738 * CHOOSE(CONTROL!$C$15, $E$9, 100%, $G$9) + CHOOSE(CONTROL!$C$38, 0.0347, 0)</f>
        <v>43.308500000000002</v>
      </c>
      <c r="J603" s="44">
        <f>362.5095</f>
        <v>362.5095</v>
      </c>
    </row>
    <row r="604" spans="1:10" ht="15.75" x14ac:dyDescent="0.25">
      <c r="A604" s="32">
        <v>59322</v>
      </c>
      <c r="B604" s="14">
        <f>47.3114 * CHOOSE(CONTROL!$C$15, $E$9, 100%, $G$9) + CHOOSE(CONTROL!$C$38, 0.0278, 0)</f>
        <v>47.339199999999998</v>
      </c>
      <c r="C604" s="14">
        <f>44.7105 * CHOOSE(CONTROL!$C$15, $E$9, 100%, $G$9) + CHOOSE(CONTROL!$C$38, 0.0369, 0)</f>
        <v>44.747400000000006</v>
      </c>
      <c r="D604" s="14">
        <f>44.7027 * CHOOSE(CONTROL!$C$15, $E$9, 100%, $G$9) + CHOOSE(CONTROL!$C$38, 0.0369, 0)</f>
        <v>44.739600000000003</v>
      </c>
      <c r="E604" s="46">
        <f>47.1551 * CHOOSE(CONTROL!$C$15, $E$9, 100%, $G$9) + CHOOSE(CONTROL!$C$38, 0.0369, 0)</f>
        <v>47.192</v>
      </c>
      <c r="F604" s="45">
        <f>47.1551 * CHOOSE(CONTROL!$C$15, $E$9, 100%, $G$9) + CHOOSE(CONTROL!$C$38, 0.0278, 0)</f>
        <v>47.182899999999997</v>
      </c>
      <c r="G604" s="14">
        <f>44.7089 * CHOOSE(CONTROL!$C$15, $E$9, 100%, $G$9) + CHOOSE(CONTROL!$C$38, 0.0369, 0)</f>
        <v>44.745800000000003</v>
      </c>
      <c r="H604" s="14">
        <f>44.7089 * CHOOSE(CONTROL!$C$15, $E$9, 100%, $G$9) + CHOOSE(CONTROL!$C$38, 0.0369, 0)</f>
        <v>44.745800000000003</v>
      </c>
      <c r="I604" s="14">
        <f>44.7105 * CHOOSE(CONTROL!$C$15, $E$9, 100%, $G$9) + CHOOSE(CONTROL!$C$38, 0.0369, 0)</f>
        <v>44.747400000000006</v>
      </c>
      <c r="J604" s="44">
        <f>374.6746</f>
        <v>374.6746</v>
      </c>
    </row>
    <row r="605" spans="1:10" ht="15.75" x14ac:dyDescent="0.25">
      <c r="A605" s="32">
        <v>59352</v>
      </c>
      <c r="B605" s="14">
        <f>47.9842 * CHOOSE(CONTROL!$C$15, $E$9, 100%, $G$9) + CHOOSE(CONTROL!$C$38, 0.0278, 0)</f>
        <v>48.012</v>
      </c>
      <c r="C605" s="14">
        <f>45.3481 * CHOOSE(CONTROL!$C$15, $E$9, 100%, $G$9) + CHOOSE(CONTROL!$C$38, 0.0369, 0)</f>
        <v>45.385000000000005</v>
      </c>
      <c r="D605" s="14">
        <f>45.3403 * CHOOSE(CONTROL!$C$15, $E$9, 100%, $G$9) + CHOOSE(CONTROL!$C$38, 0.0369, 0)</f>
        <v>45.377200000000002</v>
      </c>
      <c r="E605" s="46">
        <f>47.8279 * CHOOSE(CONTROL!$C$15, $E$9, 100%, $G$9) + CHOOSE(CONTROL!$C$38, 0.0369, 0)</f>
        <v>47.864800000000002</v>
      </c>
      <c r="F605" s="45">
        <f>47.8279 * CHOOSE(CONTROL!$C$15, $E$9, 100%, $G$9) + CHOOSE(CONTROL!$C$38, 0.0278, 0)</f>
        <v>47.855699999999999</v>
      </c>
      <c r="G605" s="14">
        <f>45.3465 * CHOOSE(CONTROL!$C$15, $E$9, 100%, $G$9) + CHOOSE(CONTROL!$C$38, 0.0369, 0)</f>
        <v>45.383400000000002</v>
      </c>
      <c r="H605" s="14">
        <f>45.3465 * CHOOSE(CONTROL!$C$15, $E$9, 100%, $G$9) + CHOOSE(CONTROL!$C$38, 0.0369, 0)</f>
        <v>45.383400000000002</v>
      </c>
      <c r="I605" s="14">
        <f>45.3481 * CHOOSE(CONTROL!$C$15, $E$9, 100%, $G$9) + CHOOSE(CONTROL!$C$38, 0.0369, 0)</f>
        <v>45.385000000000005</v>
      </c>
      <c r="J605" s="44">
        <f>380.0733</f>
        <v>380.07330000000002</v>
      </c>
    </row>
    <row r="606" spans="1:10" ht="15.75" x14ac:dyDescent="0.25">
      <c r="A606" s="32">
        <v>59383</v>
      </c>
      <c r="B606" s="14">
        <f>47.7626 * CHOOSE(CONTROL!$C$15, $E$9, 100%, $G$9) + CHOOSE(CONTROL!$C$38, 0.0278, 0)</f>
        <v>47.790399999999998</v>
      </c>
      <c r="C606" s="14">
        <f>45.1382 * CHOOSE(CONTROL!$C$15, $E$9, 100%, $G$9) + CHOOSE(CONTROL!$C$38, 0.0369, 0)</f>
        <v>45.1751</v>
      </c>
      <c r="D606" s="14">
        <f>45.1304 * CHOOSE(CONTROL!$C$15, $E$9, 100%, $G$9) + CHOOSE(CONTROL!$C$38, 0.0369, 0)</f>
        <v>45.167300000000004</v>
      </c>
      <c r="E606" s="46">
        <f>47.6064 * CHOOSE(CONTROL!$C$15, $E$9, 100%, $G$9) + CHOOSE(CONTROL!$C$38, 0.0369, 0)</f>
        <v>47.643300000000004</v>
      </c>
      <c r="F606" s="45">
        <f>47.6064 * CHOOSE(CONTROL!$C$15, $E$9, 100%, $G$9) + CHOOSE(CONTROL!$C$38, 0.0278, 0)</f>
        <v>47.6342</v>
      </c>
      <c r="G606" s="14">
        <f>45.1366 * CHOOSE(CONTROL!$C$15, $E$9, 100%, $G$9) + CHOOSE(CONTROL!$C$38, 0.0369, 0)</f>
        <v>45.173500000000004</v>
      </c>
      <c r="H606" s="14">
        <f>45.1366 * CHOOSE(CONTROL!$C$15, $E$9, 100%, $G$9) + CHOOSE(CONTROL!$C$38, 0.0369, 0)</f>
        <v>45.173500000000004</v>
      </c>
      <c r="I606" s="14">
        <f>45.1382 * CHOOSE(CONTROL!$C$15, $E$9, 100%, $G$9) + CHOOSE(CONTROL!$C$38, 0.0369, 0)</f>
        <v>45.1751</v>
      </c>
      <c r="J606" s="44">
        <f>378.2958</f>
        <v>378.29579999999999</v>
      </c>
    </row>
    <row r="607" spans="1:10" ht="15.75" x14ac:dyDescent="0.25">
      <c r="A607" s="32">
        <v>59414</v>
      </c>
      <c r="B607" s="14">
        <f>46.6651 * CHOOSE(CONTROL!$C$15, $E$9, 100%, $G$9) + CHOOSE(CONTROL!$C$38, 0.0278, 0)</f>
        <v>46.692900000000002</v>
      </c>
      <c r="C607" s="14">
        <f>44.0981 * CHOOSE(CONTROL!$C$15, $E$9, 100%, $G$9) + CHOOSE(CONTROL!$C$38, 0.0369, 0)</f>
        <v>44.135000000000005</v>
      </c>
      <c r="D607" s="14">
        <f>44.0903 * CHOOSE(CONTROL!$C$15, $E$9, 100%, $G$9) + CHOOSE(CONTROL!$C$38, 0.0369, 0)</f>
        <v>44.127200000000002</v>
      </c>
      <c r="E607" s="46">
        <f>46.5089 * CHOOSE(CONTROL!$C$15, $E$9, 100%, $G$9) + CHOOSE(CONTROL!$C$38, 0.0369, 0)</f>
        <v>46.5458</v>
      </c>
      <c r="F607" s="45">
        <f>46.5089 * CHOOSE(CONTROL!$C$15, $E$9, 100%, $G$9) + CHOOSE(CONTROL!$C$38, 0.0278, 0)</f>
        <v>46.536699999999996</v>
      </c>
      <c r="G607" s="14">
        <f>44.0965 * CHOOSE(CONTROL!$C$15, $E$9, 100%, $G$9) + CHOOSE(CONTROL!$C$38, 0.0369, 0)</f>
        <v>44.133400000000002</v>
      </c>
      <c r="H607" s="14">
        <f>44.0965 * CHOOSE(CONTROL!$C$15, $E$9, 100%, $G$9) + CHOOSE(CONTROL!$C$38, 0.0369, 0)</f>
        <v>44.133400000000002</v>
      </c>
      <c r="I607" s="14">
        <f>44.0981 * CHOOSE(CONTROL!$C$15, $E$9, 100%, $G$9) + CHOOSE(CONTROL!$C$38, 0.0369, 0)</f>
        <v>44.135000000000005</v>
      </c>
      <c r="J607" s="44">
        <f>369.4892</f>
        <v>369.48919999999998</v>
      </c>
    </row>
    <row r="608" spans="1:10" ht="15.75" x14ac:dyDescent="0.25">
      <c r="A608" s="32">
        <v>59444</v>
      </c>
      <c r="B608" s="14">
        <f>45.1346 * CHOOSE(CONTROL!$C$15, $E$9, 100%, $G$9) + CHOOSE(CONTROL!$C$38, 0.0278, 0)</f>
        <v>45.162399999999998</v>
      </c>
      <c r="C608" s="14">
        <f>42.6477 * CHOOSE(CONTROL!$C$15, $E$9, 100%, $G$9) + CHOOSE(CONTROL!$C$38, 0.0369, 0)</f>
        <v>42.684600000000003</v>
      </c>
      <c r="D608" s="14">
        <f>42.6399 * CHOOSE(CONTROL!$C$15, $E$9, 100%, $G$9) + CHOOSE(CONTROL!$C$38, 0.0369, 0)</f>
        <v>42.6768</v>
      </c>
      <c r="E608" s="46">
        <f>44.9783 * CHOOSE(CONTROL!$C$15, $E$9, 100%, $G$9) + CHOOSE(CONTROL!$C$38, 0.0369, 0)</f>
        <v>45.0152</v>
      </c>
      <c r="F608" s="45">
        <f>44.9783 * CHOOSE(CONTROL!$C$15, $E$9, 100%, $G$9) + CHOOSE(CONTROL!$C$38, 0.0278, 0)</f>
        <v>45.006099999999996</v>
      </c>
      <c r="G608" s="14">
        <f>42.6461 * CHOOSE(CONTROL!$C$15, $E$9, 100%, $G$9) + CHOOSE(CONTROL!$C$38, 0.0369, 0)</f>
        <v>42.683</v>
      </c>
      <c r="H608" s="14">
        <f>42.6461 * CHOOSE(CONTROL!$C$15, $E$9, 100%, $G$9) + CHOOSE(CONTROL!$C$38, 0.0369, 0)</f>
        <v>42.683</v>
      </c>
      <c r="I608" s="14">
        <f>42.6477 * CHOOSE(CONTROL!$C$15, $E$9, 100%, $G$9) + CHOOSE(CONTROL!$C$38, 0.0369, 0)</f>
        <v>42.684600000000003</v>
      </c>
      <c r="J608" s="44">
        <f>357.2081</f>
        <v>357.2081</v>
      </c>
    </row>
    <row r="609" spans="1:10" ht="15.75" x14ac:dyDescent="0.25">
      <c r="A609" s="32">
        <v>59475</v>
      </c>
      <c r="B609" s="14">
        <f>43.5951 * CHOOSE(CONTROL!$C$15, $E$9, 100%, $G$9) + CHOOSE(CONTROL!$C$38, 0.0256, 0)</f>
        <v>43.620699999999999</v>
      </c>
      <c r="C609" s="14">
        <f>41.1888 * CHOOSE(CONTROL!$C$15, $E$9, 100%, $G$9) + CHOOSE(CONTROL!$C$38, 0.0347, 0)</f>
        <v>41.223500000000001</v>
      </c>
      <c r="D609" s="14">
        <f>41.181 * CHOOSE(CONTROL!$C$15, $E$9, 100%, $G$9) + CHOOSE(CONTROL!$C$38, 0.0347, 0)</f>
        <v>41.215699999999998</v>
      </c>
      <c r="E609" s="46">
        <f>43.4389 * CHOOSE(CONTROL!$C$15, $E$9, 100%, $G$9) + CHOOSE(CONTROL!$C$38, 0.0347, 0)</f>
        <v>43.473599999999998</v>
      </c>
      <c r="F609" s="45">
        <f>43.4389 * CHOOSE(CONTROL!$C$15, $E$9, 100%, $G$9) + CHOOSE(CONTROL!$C$38, 0.0256, 0)</f>
        <v>43.464499999999994</v>
      </c>
      <c r="G609" s="14">
        <f>41.1873 * CHOOSE(CONTROL!$C$15, $E$9, 100%, $G$9) + CHOOSE(CONTROL!$C$38, 0.0347, 0)</f>
        <v>41.222000000000001</v>
      </c>
      <c r="H609" s="14">
        <f>41.1873 * CHOOSE(CONTROL!$C$15, $E$9, 100%, $G$9) + CHOOSE(CONTROL!$C$38, 0.0347, 0)</f>
        <v>41.222000000000001</v>
      </c>
      <c r="I609" s="14">
        <f>41.1888 * CHOOSE(CONTROL!$C$15, $E$9, 100%, $G$9) + CHOOSE(CONTROL!$C$38, 0.0347, 0)</f>
        <v>41.223500000000001</v>
      </c>
      <c r="J609" s="44">
        <f>344.8554</f>
        <v>344.85539999999997</v>
      </c>
    </row>
    <row r="610" spans="1:10" ht="15.75" x14ac:dyDescent="0.25">
      <c r="A610" s="32">
        <v>59505</v>
      </c>
      <c r="B610" s="14">
        <f>43.2889 * CHOOSE(CONTROL!$C$15, $E$9, 100%, $G$9) + CHOOSE(CONTROL!$C$38, 0.0256, 0)</f>
        <v>43.314499999999995</v>
      </c>
      <c r="C610" s="14">
        <f>40.8986 * CHOOSE(CONTROL!$C$15, $E$9, 100%, $G$9) + CHOOSE(CONTROL!$C$38, 0.0347, 0)</f>
        <v>40.933300000000003</v>
      </c>
      <c r="D610" s="14">
        <f>40.8908 * CHOOSE(CONTROL!$C$15, $E$9, 100%, $G$9) + CHOOSE(CONTROL!$C$38, 0.0347, 0)</f>
        <v>40.9255</v>
      </c>
      <c r="E610" s="46">
        <f>43.1326 * CHOOSE(CONTROL!$C$15, $E$9, 100%, $G$9) + CHOOSE(CONTROL!$C$38, 0.0347, 0)</f>
        <v>43.167299999999997</v>
      </c>
      <c r="F610" s="45">
        <f>43.1326 * CHOOSE(CONTROL!$C$15, $E$9, 100%, $G$9) + CHOOSE(CONTROL!$C$38, 0.0256, 0)</f>
        <v>43.158199999999994</v>
      </c>
      <c r="G610" s="14">
        <f>40.8971 * CHOOSE(CONTROL!$C$15, $E$9, 100%, $G$9) + CHOOSE(CONTROL!$C$38, 0.0347, 0)</f>
        <v>40.931800000000003</v>
      </c>
      <c r="H610" s="14">
        <f>40.8971 * CHOOSE(CONTROL!$C$15, $E$9, 100%, $G$9) + CHOOSE(CONTROL!$C$38, 0.0347, 0)</f>
        <v>40.931800000000003</v>
      </c>
      <c r="I610" s="14">
        <f>40.8986 * CHOOSE(CONTROL!$C$15, $E$9, 100%, $G$9) + CHOOSE(CONTROL!$C$38, 0.0347, 0)</f>
        <v>40.933300000000003</v>
      </c>
      <c r="J610" s="44">
        <f>342.3982</f>
        <v>342.39819999999997</v>
      </c>
    </row>
    <row r="611" spans="1:10" ht="15.75" x14ac:dyDescent="0.25">
      <c r="A611" s="32">
        <v>59536</v>
      </c>
      <c r="B611" s="14">
        <f>42.0226 * CHOOSE(CONTROL!$C$15, $E$9, 100%, $G$9) + CHOOSE(CONTROL!$C$38, 0.0256, 0)</f>
        <v>42.048199999999994</v>
      </c>
      <c r="C611" s="14">
        <f>39.6986 * CHOOSE(CONTROL!$C$15, $E$9, 100%, $G$9) + CHOOSE(CONTROL!$C$38, 0.0347, 0)</f>
        <v>39.7333</v>
      </c>
      <c r="D611" s="14">
        <f>39.6908 * CHOOSE(CONTROL!$C$15, $E$9, 100%, $G$9) + CHOOSE(CONTROL!$C$38, 0.0347, 0)</f>
        <v>39.725500000000004</v>
      </c>
      <c r="E611" s="46">
        <f>41.8663 * CHOOSE(CONTROL!$C$15, $E$9, 100%, $G$9) + CHOOSE(CONTROL!$C$38, 0.0347, 0)</f>
        <v>41.901000000000003</v>
      </c>
      <c r="F611" s="45">
        <f>41.8663 * CHOOSE(CONTROL!$C$15, $E$9, 100%, $G$9) + CHOOSE(CONTROL!$C$38, 0.0256, 0)</f>
        <v>41.8919</v>
      </c>
      <c r="G611" s="14">
        <f>39.6971 * CHOOSE(CONTROL!$C$15, $E$9, 100%, $G$9) + CHOOSE(CONTROL!$C$38, 0.0347, 0)</f>
        <v>39.7318</v>
      </c>
      <c r="H611" s="14">
        <f>39.6971 * CHOOSE(CONTROL!$C$15, $E$9, 100%, $G$9) + CHOOSE(CONTROL!$C$38, 0.0347, 0)</f>
        <v>39.7318</v>
      </c>
      <c r="I611" s="14">
        <f>39.6986 * CHOOSE(CONTROL!$C$15, $E$9, 100%, $G$9) + CHOOSE(CONTROL!$C$38, 0.0347, 0)</f>
        <v>39.7333</v>
      </c>
      <c r="J611" s="44">
        <f>332.2376</f>
        <v>332.23759999999999</v>
      </c>
    </row>
    <row r="612" spans="1:10" ht="15.75" x14ac:dyDescent="0.25">
      <c r="A612" s="32">
        <v>59567</v>
      </c>
      <c r="B612" s="14">
        <f>41.7081 * CHOOSE(CONTROL!$C$15, $E$9, 100%, $G$9) + CHOOSE(CONTROL!$C$38, 0.0256, 0)</f>
        <v>41.733699999999999</v>
      </c>
      <c r="C612" s="14">
        <f>39.4006 * CHOOSE(CONTROL!$C$15, $E$9, 100%, $G$9) + CHOOSE(CONTROL!$C$38, 0.0347, 0)</f>
        <v>39.435299999999998</v>
      </c>
      <c r="D612" s="14">
        <f>39.3928 * CHOOSE(CONTROL!$C$15, $E$9, 100%, $G$9) + CHOOSE(CONTROL!$C$38, 0.0347, 0)</f>
        <v>39.427500000000002</v>
      </c>
      <c r="E612" s="46">
        <f>41.5519 * CHOOSE(CONTROL!$C$15, $E$9, 100%, $G$9) + CHOOSE(CONTROL!$C$38, 0.0347, 0)</f>
        <v>41.586600000000004</v>
      </c>
      <c r="F612" s="45">
        <f>41.5519 * CHOOSE(CONTROL!$C$15, $E$9, 100%, $G$9) + CHOOSE(CONTROL!$C$38, 0.0256, 0)</f>
        <v>41.577500000000001</v>
      </c>
      <c r="G612" s="14">
        <f>39.3991 * CHOOSE(CONTROL!$C$15, $E$9, 100%, $G$9) + CHOOSE(CONTROL!$C$38, 0.0347, 0)</f>
        <v>39.433799999999998</v>
      </c>
      <c r="H612" s="14">
        <f>39.3991 * CHOOSE(CONTROL!$C$15, $E$9, 100%, $G$9) + CHOOSE(CONTROL!$C$38, 0.0347, 0)</f>
        <v>39.433799999999998</v>
      </c>
      <c r="I612" s="14">
        <f>39.4006 * CHOOSE(CONTROL!$C$15, $E$9, 100%, $G$9) + CHOOSE(CONTROL!$C$38, 0.0347, 0)</f>
        <v>39.435299999999998</v>
      </c>
      <c r="J612" s="44">
        <f>331.8091</f>
        <v>331.8091</v>
      </c>
    </row>
    <row r="613" spans="1:10" ht="15.75" x14ac:dyDescent="0.25">
      <c r="A613" s="32">
        <v>59595</v>
      </c>
      <c r="B613" s="14">
        <f>41.5939 * CHOOSE(CONTROL!$C$15, $E$9, 100%, $G$9) + CHOOSE(CONTROL!$C$38, 0.0256, 0)</f>
        <v>41.619499999999995</v>
      </c>
      <c r="C613" s="14">
        <f>39.2924 * CHOOSE(CONTROL!$C$15, $E$9, 100%, $G$9) + CHOOSE(CONTROL!$C$38, 0.0347, 0)</f>
        <v>39.327100000000002</v>
      </c>
      <c r="D613" s="14">
        <f>39.2846 * CHOOSE(CONTROL!$C$15, $E$9, 100%, $G$9) + CHOOSE(CONTROL!$C$38, 0.0347, 0)</f>
        <v>39.319299999999998</v>
      </c>
      <c r="E613" s="46">
        <f>41.4377 * CHOOSE(CONTROL!$C$15, $E$9, 100%, $G$9) + CHOOSE(CONTROL!$C$38, 0.0347, 0)</f>
        <v>41.4724</v>
      </c>
      <c r="F613" s="45">
        <f>41.4377 * CHOOSE(CONTROL!$C$15, $E$9, 100%, $G$9) + CHOOSE(CONTROL!$C$38, 0.0256, 0)</f>
        <v>41.463299999999997</v>
      </c>
      <c r="G613" s="14">
        <f>39.2908 * CHOOSE(CONTROL!$C$15, $E$9, 100%, $G$9) + CHOOSE(CONTROL!$C$38, 0.0347, 0)</f>
        <v>39.325499999999998</v>
      </c>
      <c r="H613" s="14">
        <f>39.2908 * CHOOSE(CONTROL!$C$15, $E$9, 100%, $G$9) + CHOOSE(CONTROL!$C$38, 0.0347, 0)</f>
        <v>39.325499999999998</v>
      </c>
      <c r="I613" s="14">
        <f>39.2924 * CHOOSE(CONTROL!$C$15, $E$9, 100%, $G$9) + CHOOSE(CONTROL!$C$38, 0.0347, 0)</f>
        <v>39.327100000000002</v>
      </c>
      <c r="J613" s="44">
        <f>330.8868</f>
        <v>330.88679999999999</v>
      </c>
    </row>
    <row r="614" spans="1:10" ht="15.75" x14ac:dyDescent="0.25">
      <c r="A614" s="32">
        <v>59626</v>
      </c>
      <c r="B614" s="14">
        <f>43.7536 * CHOOSE(CONTROL!$C$15, $E$9, 100%, $G$9) + CHOOSE(CONTROL!$C$38, 0.0256, 0)</f>
        <v>43.779199999999996</v>
      </c>
      <c r="C614" s="14">
        <f>41.339 * CHOOSE(CONTROL!$C$15, $E$9, 100%, $G$9) + CHOOSE(CONTROL!$C$38, 0.0347, 0)</f>
        <v>41.373699999999999</v>
      </c>
      <c r="D614" s="14">
        <f>41.3312 * CHOOSE(CONTROL!$C$15, $E$9, 100%, $G$9) + CHOOSE(CONTROL!$C$38, 0.0347, 0)</f>
        <v>41.365900000000003</v>
      </c>
      <c r="E614" s="46">
        <f>43.5974 * CHOOSE(CONTROL!$C$15, $E$9, 100%, $G$9) + CHOOSE(CONTROL!$C$38, 0.0347, 0)</f>
        <v>43.632100000000001</v>
      </c>
      <c r="F614" s="45">
        <f>43.5974 * CHOOSE(CONTROL!$C$15, $E$9, 100%, $G$9) + CHOOSE(CONTROL!$C$38, 0.0256, 0)</f>
        <v>43.622999999999998</v>
      </c>
      <c r="G614" s="14">
        <f>41.3375 * CHOOSE(CONTROL!$C$15, $E$9, 100%, $G$9) + CHOOSE(CONTROL!$C$38, 0.0347, 0)</f>
        <v>41.372199999999999</v>
      </c>
      <c r="H614" s="14">
        <f>41.3375 * CHOOSE(CONTROL!$C$15, $E$9, 100%, $G$9) + CHOOSE(CONTROL!$C$38, 0.0347, 0)</f>
        <v>41.372199999999999</v>
      </c>
      <c r="I614" s="14">
        <f>41.339 * CHOOSE(CONTROL!$C$15, $E$9, 100%, $G$9) + CHOOSE(CONTROL!$C$38, 0.0347, 0)</f>
        <v>41.373699999999999</v>
      </c>
      <c r="J614" s="44">
        <f>348.3265</f>
        <v>348.32650000000001</v>
      </c>
    </row>
    <row r="615" spans="1:10" ht="15.75" x14ac:dyDescent="0.25">
      <c r="A615" s="32">
        <v>59656</v>
      </c>
      <c r="B615" s="14">
        <f>46.5543 * CHOOSE(CONTROL!$C$15, $E$9, 100%, $G$9) + CHOOSE(CONTROL!$C$38, 0.0256, 0)</f>
        <v>46.579899999999995</v>
      </c>
      <c r="C615" s="14">
        <f>43.993 * CHOOSE(CONTROL!$C$15, $E$9, 100%, $G$9) + CHOOSE(CONTROL!$C$38, 0.0347, 0)</f>
        <v>44.027700000000003</v>
      </c>
      <c r="D615" s="14">
        <f>43.9852 * CHOOSE(CONTROL!$C$15, $E$9, 100%, $G$9) + CHOOSE(CONTROL!$C$38, 0.0347, 0)</f>
        <v>44.0199</v>
      </c>
      <c r="E615" s="46">
        <f>46.398 * CHOOSE(CONTROL!$C$15, $E$9, 100%, $G$9) + CHOOSE(CONTROL!$C$38, 0.0347, 0)</f>
        <v>46.432700000000004</v>
      </c>
      <c r="F615" s="45">
        <f>46.398 * CHOOSE(CONTROL!$C$15, $E$9, 100%, $G$9) + CHOOSE(CONTROL!$C$38, 0.0256, 0)</f>
        <v>46.4236</v>
      </c>
      <c r="G615" s="14">
        <f>43.9915 * CHOOSE(CONTROL!$C$15, $E$9, 100%, $G$9) + CHOOSE(CONTROL!$C$38, 0.0347, 0)</f>
        <v>44.026200000000003</v>
      </c>
      <c r="H615" s="14">
        <f>43.9915 * CHOOSE(CONTROL!$C$15, $E$9, 100%, $G$9) + CHOOSE(CONTROL!$C$38, 0.0347, 0)</f>
        <v>44.026200000000003</v>
      </c>
      <c r="I615" s="14">
        <f>43.993 * CHOOSE(CONTROL!$C$15, $E$9, 100%, $G$9) + CHOOSE(CONTROL!$C$38, 0.0347, 0)</f>
        <v>44.027700000000003</v>
      </c>
      <c r="J615" s="44">
        <f>370.9415</f>
        <v>370.94150000000002</v>
      </c>
    </row>
    <row r="616" spans="1:10" ht="15.75" x14ac:dyDescent="0.25">
      <c r="A616" s="32">
        <v>59687</v>
      </c>
      <c r="B616" s="14">
        <f>48.0958 * CHOOSE(CONTROL!$C$15, $E$9, 100%, $G$9) + CHOOSE(CONTROL!$C$38, 0.0278, 0)</f>
        <v>48.123599999999996</v>
      </c>
      <c r="C616" s="14">
        <f>45.4539 * CHOOSE(CONTROL!$C$15, $E$9, 100%, $G$9) + CHOOSE(CONTROL!$C$38, 0.0369, 0)</f>
        <v>45.4908</v>
      </c>
      <c r="D616" s="14">
        <f>45.4461 * CHOOSE(CONTROL!$C$15, $E$9, 100%, $G$9) + CHOOSE(CONTROL!$C$38, 0.0369, 0)</f>
        <v>45.483000000000004</v>
      </c>
      <c r="E616" s="46">
        <f>47.9396 * CHOOSE(CONTROL!$C$15, $E$9, 100%, $G$9) + CHOOSE(CONTROL!$C$38, 0.0369, 0)</f>
        <v>47.976500000000001</v>
      </c>
      <c r="F616" s="45">
        <f>47.9396 * CHOOSE(CONTROL!$C$15, $E$9, 100%, $G$9) + CHOOSE(CONTROL!$C$38, 0.0278, 0)</f>
        <v>47.967399999999998</v>
      </c>
      <c r="G616" s="14">
        <f>45.4523 * CHOOSE(CONTROL!$C$15, $E$9, 100%, $G$9) + CHOOSE(CONTROL!$C$38, 0.0369, 0)</f>
        <v>45.489200000000004</v>
      </c>
      <c r="H616" s="14">
        <f>45.4523 * CHOOSE(CONTROL!$C$15, $E$9, 100%, $G$9) + CHOOSE(CONTROL!$C$38, 0.0369, 0)</f>
        <v>45.489200000000004</v>
      </c>
      <c r="I616" s="14">
        <f>45.4539 * CHOOSE(CONTROL!$C$15, $E$9, 100%, $G$9) + CHOOSE(CONTROL!$C$38, 0.0369, 0)</f>
        <v>45.4908</v>
      </c>
      <c r="J616" s="44">
        <f>383.3896</f>
        <v>383.38959999999997</v>
      </c>
    </row>
    <row r="617" spans="1:10" ht="15.75" x14ac:dyDescent="0.25">
      <c r="A617" s="32">
        <v>59717</v>
      </c>
      <c r="B617" s="14">
        <f>48.7799 * CHOOSE(CONTROL!$C$15, $E$9, 100%, $G$9) + CHOOSE(CONTROL!$C$38, 0.0278, 0)</f>
        <v>48.807699999999997</v>
      </c>
      <c r="C617" s="14">
        <f>46.1022 * CHOOSE(CONTROL!$C$15, $E$9, 100%, $G$9) + CHOOSE(CONTROL!$C$38, 0.0369, 0)</f>
        <v>46.139100000000006</v>
      </c>
      <c r="D617" s="14">
        <f>46.0944 * CHOOSE(CONTROL!$C$15, $E$9, 100%, $G$9) + CHOOSE(CONTROL!$C$38, 0.0369, 0)</f>
        <v>46.131300000000003</v>
      </c>
      <c r="E617" s="46">
        <f>48.6237 * CHOOSE(CONTROL!$C$15, $E$9, 100%, $G$9) + CHOOSE(CONTROL!$C$38, 0.0369, 0)</f>
        <v>48.660600000000002</v>
      </c>
      <c r="F617" s="45">
        <f>48.6237 * CHOOSE(CONTROL!$C$15, $E$9, 100%, $G$9) + CHOOSE(CONTROL!$C$38, 0.0278, 0)</f>
        <v>48.651499999999999</v>
      </c>
      <c r="G617" s="14">
        <f>46.1006 * CHOOSE(CONTROL!$C$15, $E$9, 100%, $G$9) + CHOOSE(CONTROL!$C$38, 0.0369, 0)</f>
        <v>46.137500000000003</v>
      </c>
      <c r="H617" s="14">
        <f>46.1006 * CHOOSE(CONTROL!$C$15, $E$9, 100%, $G$9) + CHOOSE(CONTROL!$C$38, 0.0369, 0)</f>
        <v>46.137500000000003</v>
      </c>
      <c r="I617" s="14">
        <f>46.1022 * CHOOSE(CONTROL!$C$15, $E$9, 100%, $G$9) + CHOOSE(CONTROL!$C$38, 0.0369, 0)</f>
        <v>46.139100000000006</v>
      </c>
      <c r="J617" s="44">
        <f>388.9138</f>
        <v>388.91379999999998</v>
      </c>
    </row>
    <row r="618" spans="1:10" ht="15.75" x14ac:dyDescent="0.25">
      <c r="A618" s="32">
        <v>59748</v>
      </c>
      <c r="B618" s="14">
        <f>48.5547 * CHOOSE(CONTROL!$C$15, $E$9, 100%, $G$9) + CHOOSE(CONTROL!$C$38, 0.0278, 0)</f>
        <v>48.582499999999996</v>
      </c>
      <c r="C618" s="14">
        <f>45.8887 * CHOOSE(CONTROL!$C$15, $E$9, 100%, $G$9) + CHOOSE(CONTROL!$C$38, 0.0369, 0)</f>
        <v>45.925600000000003</v>
      </c>
      <c r="D618" s="14">
        <f>45.8809 * CHOOSE(CONTROL!$C$15, $E$9, 100%, $G$9) + CHOOSE(CONTROL!$C$38, 0.0369, 0)</f>
        <v>45.9178</v>
      </c>
      <c r="E618" s="46">
        <f>48.3984 * CHOOSE(CONTROL!$C$15, $E$9, 100%, $G$9) + CHOOSE(CONTROL!$C$38, 0.0369, 0)</f>
        <v>48.435300000000005</v>
      </c>
      <c r="F618" s="45">
        <f>48.3984 * CHOOSE(CONTROL!$C$15, $E$9, 100%, $G$9) + CHOOSE(CONTROL!$C$38, 0.0278, 0)</f>
        <v>48.426200000000001</v>
      </c>
      <c r="G618" s="14">
        <f>45.8872 * CHOOSE(CONTROL!$C$15, $E$9, 100%, $G$9) + CHOOSE(CONTROL!$C$38, 0.0369, 0)</f>
        <v>45.924100000000003</v>
      </c>
      <c r="H618" s="14">
        <f>45.8872 * CHOOSE(CONTROL!$C$15, $E$9, 100%, $G$9) + CHOOSE(CONTROL!$C$38, 0.0369, 0)</f>
        <v>45.924100000000003</v>
      </c>
      <c r="I618" s="14">
        <f>45.8887 * CHOOSE(CONTROL!$C$15, $E$9, 100%, $G$9) + CHOOSE(CONTROL!$C$38, 0.0369, 0)</f>
        <v>45.925600000000003</v>
      </c>
      <c r="J618" s="44">
        <f>387.095</f>
        <v>387.09500000000003</v>
      </c>
    </row>
    <row r="619" spans="1:10" ht="15.75" x14ac:dyDescent="0.25">
      <c r="A619" s="32">
        <v>59779</v>
      </c>
      <c r="B619" s="14">
        <f>47.4387 * CHOOSE(CONTROL!$C$15, $E$9, 100%, $G$9) + CHOOSE(CONTROL!$C$38, 0.0278, 0)</f>
        <v>47.466499999999996</v>
      </c>
      <c r="C619" s="14">
        <f>44.8312 * CHOOSE(CONTROL!$C$15, $E$9, 100%, $G$9) + CHOOSE(CONTROL!$C$38, 0.0369, 0)</f>
        <v>44.868100000000005</v>
      </c>
      <c r="D619" s="14">
        <f>44.8234 * CHOOSE(CONTROL!$C$15, $E$9, 100%, $G$9) + CHOOSE(CONTROL!$C$38, 0.0369, 0)</f>
        <v>44.860300000000002</v>
      </c>
      <c r="E619" s="46">
        <f>47.2825 * CHOOSE(CONTROL!$C$15, $E$9, 100%, $G$9) + CHOOSE(CONTROL!$C$38, 0.0369, 0)</f>
        <v>47.319400000000002</v>
      </c>
      <c r="F619" s="45">
        <f>47.2825 * CHOOSE(CONTROL!$C$15, $E$9, 100%, $G$9) + CHOOSE(CONTROL!$C$38, 0.0278, 0)</f>
        <v>47.310299999999998</v>
      </c>
      <c r="G619" s="14">
        <f>44.8296 * CHOOSE(CONTROL!$C$15, $E$9, 100%, $G$9) + CHOOSE(CONTROL!$C$38, 0.0369, 0)</f>
        <v>44.866500000000002</v>
      </c>
      <c r="H619" s="14">
        <f>44.8296 * CHOOSE(CONTROL!$C$15, $E$9, 100%, $G$9) + CHOOSE(CONTROL!$C$38, 0.0369, 0)</f>
        <v>44.866500000000002</v>
      </c>
      <c r="I619" s="14">
        <f>44.8312 * CHOOSE(CONTROL!$C$15, $E$9, 100%, $G$9) + CHOOSE(CONTROL!$C$38, 0.0369, 0)</f>
        <v>44.868100000000005</v>
      </c>
      <c r="J619" s="44">
        <f>378.0836</f>
        <v>378.08359999999999</v>
      </c>
    </row>
    <row r="620" spans="1:10" ht="15.75" x14ac:dyDescent="0.25">
      <c r="A620" s="32">
        <v>59809</v>
      </c>
      <c r="B620" s="14">
        <f>45.8824 * CHOOSE(CONTROL!$C$15, $E$9, 100%, $G$9) + CHOOSE(CONTROL!$C$38, 0.0278, 0)</f>
        <v>45.910199999999996</v>
      </c>
      <c r="C620" s="14">
        <f>43.3564 * CHOOSE(CONTROL!$C$15, $E$9, 100%, $G$9) + CHOOSE(CONTROL!$C$38, 0.0369, 0)</f>
        <v>43.393300000000004</v>
      </c>
      <c r="D620" s="14">
        <f>43.3486 * CHOOSE(CONTROL!$C$15, $E$9, 100%, $G$9) + CHOOSE(CONTROL!$C$38, 0.0369, 0)</f>
        <v>43.3855</v>
      </c>
      <c r="E620" s="46">
        <f>45.7262 * CHOOSE(CONTROL!$C$15, $E$9, 100%, $G$9) + CHOOSE(CONTROL!$C$38, 0.0369, 0)</f>
        <v>45.763100000000001</v>
      </c>
      <c r="F620" s="45">
        <f>45.7262 * CHOOSE(CONTROL!$C$15, $E$9, 100%, $G$9) + CHOOSE(CONTROL!$C$38, 0.0278, 0)</f>
        <v>45.753999999999998</v>
      </c>
      <c r="G620" s="14">
        <f>43.3548 * CHOOSE(CONTROL!$C$15, $E$9, 100%, $G$9) + CHOOSE(CONTROL!$C$38, 0.0369, 0)</f>
        <v>43.3917</v>
      </c>
      <c r="H620" s="14">
        <f>43.3548 * CHOOSE(CONTROL!$C$15, $E$9, 100%, $G$9) + CHOOSE(CONTROL!$C$38, 0.0369, 0)</f>
        <v>43.3917</v>
      </c>
      <c r="I620" s="14">
        <f>43.3564 * CHOOSE(CONTROL!$C$15, $E$9, 100%, $G$9) + CHOOSE(CONTROL!$C$38, 0.0369, 0)</f>
        <v>43.393300000000004</v>
      </c>
      <c r="J620" s="44">
        <f>365.5167</f>
        <v>365.51670000000001</v>
      </c>
    </row>
    <row r="621" spans="1:10" ht="15.75" x14ac:dyDescent="0.25">
      <c r="A621" s="32">
        <v>59840</v>
      </c>
      <c r="B621" s="14">
        <f>44.3171 * CHOOSE(CONTROL!$C$15, $E$9, 100%, $G$9) + CHOOSE(CONTROL!$C$38, 0.0256, 0)</f>
        <v>44.342700000000001</v>
      </c>
      <c r="C621" s="14">
        <f>41.873 * CHOOSE(CONTROL!$C$15, $E$9, 100%, $G$9) + CHOOSE(CONTROL!$C$38, 0.0347, 0)</f>
        <v>41.907699999999998</v>
      </c>
      <c r="D621" s="14">
        <f>41.8652 * CHOOSE(CONTROL!$C$15, $E$9, 100%, $G$9) + CHOOSE(CONTROL!$C$38, 0.0347, 0)</f>
        <v>41.899900000000002</v>
      </c>
      <c r="E621" s="46">
        <f>44.1609 * CHOOSE(CONTROL!$C$15, $E$9, 100%, $G$9) + CHOOSE(CONTROL!$C$38, 0.0347, 0)</f>
        <v>44.195599999999999</v>
      </c>
      <c r="F621" s="45">
        <f>44.1609 * CHOOSE(CONTROL!$C$15, $E$9, 100%, $G$9) + CHOOSE(CONTROL!$C$38, 0.0256, 0)</f>
        <v>44.186499999999995</v>
      </c>
      <c r="G621" s="14">
        <f>41.8715 * CHOOSE(CONTROL!$C$15, $E$9, 100%, $G$9) + CHOOSE(CONTROL!$C$38, 0.0347, 0)</f>
        <v>41.906199999999998</v>
      </c>
      <c r="H621" s="14">
        <f>41.8715 * CHOOSE(CONTROL!$C$15, $E$9, 100%, $G$9) + CHOOSE(CONTROL!$C$38, 0.0347, 0)</f>
        <v>41.906199999999998</v>
      </c>
      <c r="I621" s="14">
        <f>41.873 * CHOOSE(CONTROL!$C$15, $E$9, 100%, $G$9) + CHOOSE(CONTROL!$C$38, 0.0347, 0)</f>
        <v>41.907699999999998</v>
      </c>
      <c r="J621" s="44">
        <f>352.8768</f>
        <v>352.8768</v>
      </c>
    </row>
    <row r="622" spans="1:10" ht="15.75" x14ac:dyDescent="0.25">
      <c r="A622" s="32">
        <v>59870</v>
      </c>
      <c r="B622" s="14">
        <f>44.0058 * CHOOSE(CONTROL!$C$15, $E$9, 100%, $G$9) + CHOOSE(CONTROL!$C$38, 0.0256, 0)</f>
        <v>44.031399999999998</v>
      </c>
      <c r="C622" s="14">
        <f>41.578 * CHOOSE(CONTROL!$C$15, $E$9, 100%, $G$9) + CHOOSE(CONTROL!$C$38, 0.0347, 0)</f>
        <v>41.612700000000004</v>
      </c>
      <c r="D622" s="14">
        <f>41.5702 * CHOOSE(CONTROL!$C$15, $E$9, 100%, $G$9) + CHOOSE(CONTROL!$C$38, 0.0347, 0)</f>
        <v>41.604900000000001</v>
      </c>
      <c r="E622" s="46">
        <f>43.8495 * CHOOSE(CONTROL!$C$15, $E$9, 100%, $G$9) + CHOOSE(CONTROL!$C$38, 0.0347, 0)</f>
        <v>43.8842</v>
      </c>
      <c r="F622" s="45">
        <f>43.8495 * CHOOSE(CONTROL!$C$15, $E$9, 100%, $G$9) + CHOOSE(CONTROL!$C$38, 0.0256, 0)</f>
        <v>43.875099999999996</v>
      </c>
      <c r="G622" s="14">
        <f>41.5764 * CHOOSE(CONTROL!$C$15, $E$9, 100%, $G$9) + CHOOSE(CONTROL!$C$38, 0.0347, 0)</f>
        <v>41.6111</v>
      </c>
      <c r="H622" s="14">
        <f>41.5764 * CHOOSE(CONTROL!$C$15, $E$9, 100%, $G$9) + CHOOSE(CONTROL!$C$38, 0.0347, 0)</f>
        <v>41.6111</v>
      </c>
      <c r="I622" s="14">
        <f>41.578 * CHOOSE(CONTROL!$C$15, $E$9, 100%, $G$9) + CHOOSE(CONTROL!$C$38, 0.0347, 0)</f>
        <v>41.612700000000004</v>
      </c>
      <c r="J622" s="44">
        <f>350.3624</f>
        <v>350.36239999999998</v>
      </c>
    </row>
    <row r="623" spans="1:10" ht="15.75" x14ac:dyDescent="0.25">
      <c r="A623" s="32">
        <v>59901</v>
      </c>
      <c r="B623" s="14">
        <f>42.7182 * CHOOSE(CONTROL!$C$15, $E$9, 100%, $G$9) + CHOOSE(CONTROL!$C$38, 0.0256, 0)</f>
        <v>42.7438</v>
      </c>
      <c r="C623" s="14">
        <f>40.3578 * CHOOSE(CONTROL!$C$15, $E$9, 100%, $G$9) + CHOOSE(CONTROL!$C$38, 0.0347, 0)</f>
        <v>40.392499999999998</v>
      </c>
      <c r="D623" s="14">
        <f>40.35 * CHOOSE(CONTROL!$C$15, $E$9, 100%, $G$9) + CHOOSE(CONTROL!$C$38, 0.0347, 0)</f>
        <v>40.384700000000002</v>
      </c>
      <c r="E623" s="46">
        <f>42.5619 * CHOOSE(CONTROL!$C$15, $E$9, 100%, $G$9) + CHOOSE(CONTROL!$C$38, 0.0347, 0)</f>
        <v>42.596600000000002</v>
      </c>
      <c r="F623" s="45">
        <f>42.5619 * CHOOSE(CONTROL!$C$15, $E$9, 100%, $G$9) + CHOOSE(CONTROL!$C$38, 0.0256, 0)</f>
        <v>42.587499999999999</v>
      </c>
      <c r="G623" s="14">
        <f>40.3562 * CHOOSE(CONTROL!$C$15, $E$9, 100%, $G$9) + CHOOSE(CONTROL!$C$38, 0.0347, 0)</f>
        <v>40.390900000000002</v>
      </c>
      <c r="H623" s="14">
        <f>40.3562 * CHOOSE(CONTROL!$C$15, $E$9, 100%, $G$9) + CHOOSE(CONTROL!$C$38, 0.0347, 0)</f>
        <v>40.390900000000002</v>
      </c>
      <c r="I623" s="14">
        <f>40.3578 * CHOOSE(CONTROL!$C$15, $E$9, 100%, $G$9) + CHOOSE(CONTROL!$C$38, 0.0347, 0)</f>
        <v>40.392499999999998</v>
      </c>
      <c r="J623" s="44">
        <f>339.9654</f>
        <v>339.96539999999999</v>
      </c>
    </row>
    <row r="624" spans="1:10" ht="15.75" x14ac:dyDescent="0.25">
      <c r="A624" s="32">
        <v>59932</v>
      </c>
      <c r="B624" s="14">
        <f>42.3984 * CHOOSE(CONTROL!$C$15, $E$9, 100%, $G$9) + CHOOSE(CONTROL!$C$38, 0.0256, 0)</f>
        <v>42.423999999999999</v>
      </c>
      <c r="C624" s="14">
        <f>40.0548 * CHOOSE(CONTROL!$C$15, $E$9, 100%, $G$9) + CHOOSE(CONTROL!$C$38, 0.0347, 0)</f>
        <v>40.089500000000001</v>
      </c>
      <c r="D624" s="14">
        <f>40.047 * CHOOSE(CONTROL!$C$15, $E$9, 100%, $G$9) + CHOOSE(CONTROL!$C$38, 0.0347, 0)</f>
        <v>40.081699999999998</v>
      </c>
      <c r="E624" s="46">
        <f>42.2422 * CHOOSE(CONTROL!$C$15, $E$9, 100%, $G$9) + CHOOSE(CONTROL!$C$38, 0.0347, 0)</f>
        <v>42.276899999999998</v>
      </c>
      <c r="F624" s="45">
        <f>42.2422 * CHOOSE(CONTROL!$C$15, $E$9, 100%, $G$9) + CHOOSE(CONTROL!$C$38, 0.0256, 0)</f>
        <v>42.267799999999994</v>
      </c>
      <c r="G624" s="14">
        <f>40.0532 * CHOOSE(CONTROL!$C$15, $E$9, 100%, $G$9) + CHOOSE(CONTROL!$C$38, 0.0347, 0)</f>
        <v>40.087899999999998</v>
      </c>
      <c r="H624" s="14">
        <f>40.0532 * CHOOSE(CONTROL!$C$15, $E$9, 100%, $G$9) + CHOOSE(CONTROL!$C$38, 0.0347, 0)</f>
        <v>40.087899999999998</v>
      </c>
      <c r="I624" s="14">
        <f>40.0548 * CHOOSE(CONTROL!$C$15, $E$9, 100%, $G$9) + CHOOSE(CONTROL!$C$38, 0.0347, 0)</f>
        <v>40.089500000000001</v>
      </c>
      <c r="J624" s="44">
        <f>339.527</f>
        <v>339.52699999999999</v>
      </c>
    </row>
    <row r="625" spans="1:10" ht="15.75" x14ac:dyDescent="0.25">
      <c r="A625" s="32">
        <v>59961</v>
      </c>
      <c r="B625" s="14">
        <f>42.2823 * CHOOSE(CONTROL!$C$15, $E$9, 100%, $G$9) + CHOOSE(CONTROL!$C$38, 0.0256, 0)</f>
        <v>42.307899999999997</v>
      </c>
      <c r="C625" s="14">
        <f>39.9447 * CHOOSE(CONTROL!$C$15, $E$9, 100%, $G$9) + CHOOSE(CONTROL!$C$38, 0.0347, 0)</f>
        <v>39.979399999999998</v>
      </c>
      <c r="D625" s="14">
        <f>39.9369 * CHOOSE(CONTROL!$C$15, $E$9, 100%, $G$9) + CHOOSE(CONTROL!$C$38, 0.0347, 0)</f>
        <v>39.971600000000002</v>
      </c>
      <c r="E625" s="46">
        <f>42.1261 * CHOOSE(CONTROL!$C$15, $E$9, 100%, $G$9) + CHOOSE(CONTROL!$C$38, 0.0347, 0)</f>
        <v>42.160800000000002</v>
      </c>
      <c r="F625" s="45">
        <f>42.1261 * CHOOSE(CONTROL!$C$15, $E$9, 100%, $G$9) + CHOOSE(CONTROL!$C$38, 0.0256, 0)</f>
        <v>42.151699999999998</v>
      </c>
      <c r="G625" s="14">
        <f>39.9432 * CHOOSE(CONTROL!$C$15, $E$9, 100%, $G$9) + CHOOSE(CONTROL!$C$38, 0.0347, 0)</f>
        <v>39.977899999999998</v>
      </c>
      <c r="H625" s="14">
        <f>39.9432 * CHOOSE(CONTROL!$C$15, $E$9, 100%, $G$9) + CHOOSE(CONTROL!$C$38, 0.0347, 0)</f>
        <v>39.977899999999998</v>
      </c>
      <c r="I625" s="14">
        <f>39.9447 * CHOOSE(CONTROL!$C$15, $E$9, 100%, $G$9) + CHOOSE(CONTROL!$C$38, 0.0347, 0)</f>
        <v>39.979399999999998</v>
      </c>
      <c r="J625" s="44">
        <f>338.5832</f>
        <v>338.58319999999998</v>
      </c>
    </row>
    <row r="626" spans="1:10" ht="15.75" x14ac:dyDescent="0.25">
      <c r="A626" s="32">
        <v>59992</v>
      </c>
      <c r="B626" s="14">
        <f>44.4783 * CHOOSE(CONTROL!$C$15, $E$9, 100%, $G$9) + CHOOSE(CONTROL!$C$38, 0.0256, 0)</f>
        <v>44.503899999999994</v>
      </c>
      <c r="C626" s="14">
        <f>42.0258 * CHOOSE(CONTROL!$C$15, $E$9, 100%, $G$9) + CHOOSE(CONTROL!$C$38, 0.0347, 0)</f>
        <v>42.060499999999998</v>
      </c>
      <c r="D626" s="14">
        <f>42.018 * CHOOSE(CONTROL!$C$15, $E$9, 100%, $G$9) + CHOOSE(CONTROL!$C$38, 0.0347, 0)</f>
        <v>42.052700000000002</v>
      </c>
      <c r="E626" s="46">
        <f>44.3221 * CHOOSE(CONTROL!$C$15, $E$9, 100%, $G$9) + CHOOSE(CONTROL!$C$38, 0.0347, 0)</f>
        <v>44.3568</v>
      </c>
      <c r="F626" s="45">
        <f>44.3221 * CHOOSE(CONTROL!$C$15, $E$9, 100%, $G$9) + CHOOSE(CONTROL!$C$38, 0.0256, 0)</f>
        <v>44.347699999999996</v>
      </c>
      <c r="G626" s="14">
        <f>42.0242 * CHOOSE(CONTROL!$C$15, $E$9, 100%, $G$9) + CHOOSE(CONTROL!$C$38, 0.0347, 0)</f>
        <v>42.058900000000001</v>
      </c>
      <c r="H626" s="14">
        <f>42.0242 * CHOOSE(CONTROL!$C$15, $E$9, 100%, $G$9) + CHOOSE(CONTROL!$C$38, 0.0347, 0)</f>
        <v>42.058900000000001</v>
      </c>
      <c r="I626" s="14">
        <f>42.0258 * CHOOSE(CONTROL!$C$15, $E$9, 100%, $G$9) + CHOOSE(CONTROL!$C$38, 0.0347, 0)</f>
        <v>42.060499999999998</v>
      </c>
      <c r="J626" s="44">
        <f>356.4285</f>
        <v>356.42849999999999</v>
      </c>
    </row>
    <row r="627" spans="1:10" ht="15.75" x14ac:dyDescent="0.25">
      <c r="A627" s="32">
        <v>60022</v>
      </c>
      <c r="B627" s="14">
        <f>47.326 * CHOOSE(CONTROL!$C$15, $E$9, 100%, $G$9) + CHOOSE(CONTROL!$C$38, 0.0256, 0)</f>
        <v>47.351599999999998</v>
      </c>
      <c r="C627" s="14">
        <f>44.7244 * CHOOSE(CONTROL!$C$15, $E$9, 100%, $G$9) + CHOOSE(CONTROL!$C$38, 0.0347, 0)</f>
        <v>44.759100000000004</v>
      </c>
      <c r="D627" s="14">
        <f>44.7166 * CHOOSE(CONTROL!$C$15, $E$9, 100%, $G$9) + CHOOSE(CONTROL!$C$38, 0.0347, 0)</f>
        <v>44.751300000000001</v>
      </c>
      <c r="E627" s="46">
        <f>47.1697 * CHOOSE(CONTROL!$C$15, $E$9, 100%, $G$9) + CHOOSE(CONTROL!$C$38, 0.0347, 0)</f>
        <v>47.2044</v>
      </c>
      <c r="F627" s="45">
        <f>47.1697 * CHOOSE(CONTROL!$C$15, $E$9, 100%, $G$9) + CHOOSE(CONTROL!$C$38, 0.0256, 0)</f>
        <v>47.195299999999996</v>
      </c>
      <c r="G627" s="14">
        <f>44.7228 * CHOOSE(CONTROL!$C$15, $E$9, 100%, $G$9) + CHOOSE(CONTROL!$C$38, 0.0347, 0)</f>
        <v>44.7575</v>
      </c>
      <c r="H627" s="14">
        <f>44.7228 * CHOOSE(CONTROL!$C$15, $E$9, 100%, $G$9) + CHOOSE(CONTROL!$C$38, 0.0347, 0)</f>
        <v>44.7575</v>
      </c>
      <c r="I627" s="14">
        <f>44.7244 * CHOOSE(CONTROL!$C$15, $E$9, 100%, $G$9) + CHOOSE(CONTROL!$C$38, 0.0347, 0)</f>
        <v>44.759100000000004</v>
      </c>
      <c r="J627" s="44">
        <f>379.5696</f>
        <v>379.56959999999998</v>
      </c>
    </row>
    <row r="628" spans="1:10" ht="15.75" x14ac:dyDescent="0.25">
      <c r="A628" s="32">
        <v>60053</v>
      </c>
      <c r="B628" s="14">
        <f>48.8934 * CHOOSE(CONTROL!$C$15, $E$9, 100%, $G$9) + CHOOSE(CONTROL!$C$38, 0.0278, 0)</f>
        <v>48.921199999999999</v>
      </c>
      <c r="C628" s="14">
        <f>46.2098 * CHOOSE(CONTROL!$C$15, $E$9, 100%, $G$9) + CHOOSE(CONTROL!$C$38, 0.0369, 0)</f>
        <v>46.246700000000004</v>
      </c>
      <c r="D628" s="14">
        <f>46.2019 * CHOOSE(CONTROL!$C$15, $E$9, 100%, $G$9) + CHOOSE(CONTROL!$C$38, 0.0369, 0)</f>
        <v>46.238800000000005</v>
      </c>
      <c r="E628" s="46">
        <f>48.7372 * CHOOSE(CONTROL!$C$15, $E$9, 100%, $G$9) + CHOOSE(CONTROL!$C$38, 0.0369, 0)</f>
        <v>48.774100000000004</v>
      </c>
      <c r="F628" s="45">
        <f>48.7372 * CHOOSE(CONTROL!$C$15, $E$9, 100%, $G$9) + CHOOSE(CONTROL!$C$38, 0.0278, 0)</f>
        <v>48.765000000000001</v>
      </c>
      <c r="G628" s="14">
        <f>46.2082 * CHOOSE(CONTROL!$C$15, $E$9, 100%, $G$9) + CHOOSE(CONTROL!$C$38, 0.0369, 0)</f>
        <v>46.245100000000001</v>
      </c>
      <c r="H628" s="14">
        <f>46.2082 * CHOOSE(CONTROL!$C$15, $E$9, 100%, $G$9) + CHOOSE(CONTROL!$C$38, 0.0369, 0)</f>
        <v>46.245100000000001</v>
      </c>
      <c r="I628" s="14">
        <f>46.2098 * CHOOSE(CONTROL!$C$15, $E$9, 100%, $G$9) + CHOOSE(CONTROL!$C$38, 0.0369, 0)</f>
        <v>46.246700000000004</v>
      </c>
      <c r="J628" s="44">
        <f>392.3072</f>
        <v>392.30720000000002</v>
      </c>
    </row>
    <row r="629" spans="1:10" ht="15.75" x14ac:dyDescent="0.25">
      <c r="A629" s="32">
        <v>60083</v>
      </c>
      <c r="B629" s="14">
        <f>49.589 * CHOOSE(CONTROL!$C$15, $E$9, 100%, $G$9) + CHOOSE(CONTROL!$C$38, 0.0278, 0)</f>
        <v>49.616799999999998</v>
      </c>
      <c r="C629" s="14">
        <f>46.8689 * CHOOSE(CONTROL!$C$15, $E$9, 100%, $G$9) + CHOOSE(CONTROL!$C$38, 0.0369, 0)</f>
        <v>46.905799999999999</v>
      </c>
      <c r="D629" s="14">
        <f>46.8611 * CHOOSE(CONTROL!$C$15, $E$9, 100%, $G$9) + CHOOSE(CONTROL!$C$38, 0.0369, 0)</f>
        <v>46.898000000000003</v>
      </c>
      <c r="E629" s="46">
        <f>49.4328 * CHOOSE(CONTROL!$C$15, $E$9, 100%, $G$9) + CHOOSE(CONTROL!$C$38, 0.0369, 0)</f>
        <v>49.469700000000003</v>
      </c>
      <c r="F629" s="45">
        <f>49.4328 * CHOOSE(CONTROL!$C$15, $E$9, 100%, $G$9) + CHOOSE(CONTROL!$C$38, 0.0278, 0)</f>
        <v>49.460599999999999</v>
      </c>
      <c r="G629" s="14">
        <f>46.8674 * CHOOSE(CONTROL!$C$15, $E$9, 100%, $G$9) + CHOOSE(CONTROL!$C$38, 0.0369, 0)</f>
        <v>46.904300000000006</v>
      </c>
      <c r="H629" s="14">
        <f>46.8674 * CHOOSE(CONTROL!$C$15, $E$9, 100%, $G$9) + CHOOSE(CONTROL!$C$38, 0.0369, 0)</f>
        <v>46.904300000000006</v>
      </c>
      <c r="I629" s="14">
        <f>46.8689 * CHOOSE(CONTROL!$C$15, $E$9, 100%, $G$9) + CHOOSE(CONTROL!$C$38, 0.0369, 0)</f>
        <v>46.905799999999999</v>
      </c>
      <c r="J629" s="44">
        <f>397.9599</f>
        <v>397.9599</v>
      </c>
    </row>
    <row r="630" spans="1:10" ht="15.75" x14ac:dyDescent="0.25">
      <c r="A630" s="32">
        <v>60114</v>
      </c>
      <c r="B630" s="14">
        <f>49.36 * CHOOSE(CONTROL!$C$15, $E$9, 100%, $G$9) + CHOOSE(CONTROL!$C$38, 0.0278, 0)</f>
        <v>49.387799999999999</v>
      </c>
      <c r="C630" s="14">
        <f>46.6519 * CHOOSE(CONTROL!$C$15, $E$9, 100%, $G$9) + CHOOSE(CONTROL!$C$38, 0.0369, 0)</f>
        <v>46.688800000000001</v>
      </c>
      <c r="D630" s="14">
        <f>46.6441 * CHOOSE(CONTROL!$C$15, $E$9, 100%, $G$9) + CHOOSE(CONTROL!$C$38, 0.0369, 0)</f>
        <v>46.681000000000004</v>
      </c>
      <c r="E630" s="46">
        <f>49.2038 * CHOOSE(CONTROL!$C$15, $E$9, 100%, $G$9) + CHOOSE(CONTROL!$C$38, 0.0369, 0)</f>
        <v>49.240700000000004</v>
      </c>
      <c r="F630" s="45">
        <f>49.2038 * CHOOSE(CONTROL!$C$15, $E$9, 100%, $G$9) + CHOOSE(CONTROL!$C$38, 0.0278, 0)</f>
        <v>49.2316</v>
      </c>
      <c r="G630" s="14">
        <f>46.6503 * CHOOSE(CONTROL!$C$15, $E$9, 100%, $G$9) + CHOOSE(CONTROL!$C$38, 0.0369, 0)</f>
        <v>46.687200000000004</v>
      </c>
      <c r="H630" s="14">
        <f>46.6503 * CHOOSE(CONTROL!$C$15, $E$9, 100%, $G$9) + CHOOSE(CONTROL!$C$38, 0.0369, 0)</f>
        <v>46.687200000000004</v>
      </c>
      <c r="I630" s="14">
        <f>46.6519 * CHOOSE(CONTROL!$C$15, $E$9, 100%, $G$9) + CHOOSE(CONTROL!$C$38, 0.0369, 0)</f>
        <v>46.688800000000001</v>
      </c>
      <c r="J630" s="44">
        <f>396.0988</f>
        <v>396.09879999999998</v>
      </c>
    </row>
    <row r="631" spans="1:10" ht="15.75" x14ac:dyDescent="0.25">
      <c r="A631" s="32">
        <v>60145</v>
      </c>
      <c r="B631" s="14">
        <f>48.2253 * CHOOSE(CONTROL!$C$15, $E$9, 100%, $G$9) + CHOOSE(CONTROL!$C$38, 0.0278, 0)</f>
        <v>48.253099999999996</v>
      </c>
      <c r="C631" s="14">
        <f>45.5766 * CHOOSE(CONTROL!$C$15, $E$9, 100%, $G$9) + CHOOSE(CONTROL!$C$38, 0.0369, 0)</f>
        <v>45.613500000000002</v>
      </c>
      <c r="D631" s="14">
        <f>45.5688 * CHOOSE(CONTROL!$C$15, $E$9, 100%, $G$9) + CHOOSE(CONTROL!$C$38, 0.0369, 0)</f>
        <v>45.605700000000006</v>
      </c>
      <c r="E631" s="46">
        <f>48.0691 * CHOOSE(CONTROL!$C$15, $E$9, 100%, $G$9) + CHOOSE(CONTROL!$C$38, 0.0369, 0)</f>
        <v>48.106000000000002</v>
      </c>
      <c r="F631" s="45">
        <f>48.0691 * CHOOSE(CONTROL!$C$15, $E$9, 100%, $G$9) + CHOOSE(CONTROL!$C$38, 0.0278, 0)</f>
        <v>48.096899999999998</v>
      </c>
      <c r="G631" s="14">
        <f>45.575 * CHOOSE(CONTROL!$C$15, $E$9, 100%, $G$9) + CHOOSE(CONTROL!$C$38, 0.0369, 0)</f>
        <v>45.611900000000006</v>
      </c>
      <c r="H631" s="14">
        <f>45.575 * CHOOSE(CONTROL!$C$15, $E$9, 100%, $G$9) + CHOOSE(CONTROL!$C$38, 0.0369, 0)</f>
        <v>45.611900000000006</v>
      </c>
      <c r="I631" s="14">
        <f>45.5766 * CHOOSE(CONTROL!$C$15, $E$9, 100%, $G$9) + CHOOSE(CONTROL!$C$38, 0.0369, 0)</f>
        <v>45.613500000000002</v>
      </c>
      <c r="J631" s="44">
        <f>386.8778</f>
        <v>386.87779999999998</v>
      </c>
    </row>
    <row r="632" spans="1:10" ht="15.75" x14ac:dyDescent="0.25">
      <c r="A632" s="32">
        <v>60175</v>
      </c>
      <c r="B632" s="14">
        <f>46.6429 * CHOOSE(CONTROL!$C$15, $E$9, 100%, $G$9) + CHOOSE(CONTROL!$C$38, 0.0278, 0)</f>
        <v>46.670699999999997</v>
      </c>
      <c r="C632" s="14">
        <f>44.077 * CHOOSE(CONTROL!$C$15, $E$9, 100%, $G$9) + CHOOSE(CONTROL!$C$38, 0.0369, 0)</f>
        <v>44.113900000000001</v>
      </c>
      <c r="D632" s="14">
        <f>44.0692 * CHOOSE(CONTROL!$C$15, $E$9, 100%, $G$9) + CHOOSE(CONTROL!$C$38, 0.0369, 0)</f>
        <v>44.106100000000005</v>
      </c>
      <c r="E632" s="46">
        <f>46.4866 * CHOOSE(CONTROL!$C$15, $E$9, 100%, $G$9) + CHOOSE(CONTROL!$C$38, 0.0369, 0)</f>
        <v>46.523500000000006</v>
      </c>
      <c r="F632" s="45">
        <f>46.4866 * CHOOSE(CONTROL!$C$15, $E$9, 100%, $G$9) + CHOOSE(CONTROL!$C$38, 0.0278, 0)</f>
        <v>46.514400000000002</v>
      </c>
      <c r="G632" s="14">
        <f>44.0755 * CHOOSE(CONTROL!$C$15, $E$9, 100%, $G$9) + CHOOSE(CONTROL!$C$38, 0.0369, 0)</f>
        <v>44.112400000000001</v>
      </c>
      <c r="H632" s="14">
        <f>44.0755 * CHOOSE(CONTROL!$C$15, $E$9, 100%, $G$9) + CHOOSE(CONTROL!$C$38, 0.0369, 0)</f>
        <v>44.112400000000001</v>
      </c>
      <c r="I632" s="14">
        <f>44.077 * CHOOSE(CONTROL!$C$15, $E$9, 100%, $G$9) + CHOOSE(CONTROL!$C$38, 0.0369, 0)</f>
        <v>44.113900000000001</v>
      </c>
      <c r="J632" s="44">
        <f>374.0186</f>
        <v>374.01859999999999</v>
      </c>
    </row>
    <row r="633" spans="1:10" ht="15.75" x14ac:dyDescent="0.25">
      <c r="A633" s="32">
        <v>60206</v>
      </c>
      <c r="B633" s="14">
        <f>45.0513 * CHOOSE(CONTROL!$C$15, $E$9, 100%, $G$9) + CHOOSE(CONTROL!$C$38, 0.0256, 0)</f>
        <v>45.076899999999995</v>
      </c>
      <c r="C633" s="14">
        <f>42.5687 * CHOOSE(CONTROL!$C$15, $E$9, 100%, $G$9) + CHOOSE(CONTROL!$C$38, 0.0347, 0)</f>
        <v>42.603400000000001</v>
      </c>
      <c r="D633" s="14">
        <f>42.5609 * CHOOSE(CONTROL!$C$15, $E$9, 100%, $G$9) + CHOOSE(CONTROL!$C$38, 0.0347, 0)</f>
        <v>42.595599999999997</v>
      </c>
      <c r="E633" s="46">
        <f>44.895 * CHOOSE(CONTROL!$C$15, $E$9, 100%, $G$9) + CHOOSE(CONTROL!$C$38, 0.0347, 0)</f>
        <v>44.929700000000004</v>
      </c>
      <c r="F633" s="45">
        <f>44.895 * CHOOSE(CONTROL!$C$15, $E$9, 100%, $G$9) + CHOOSE(CONTROL!$C$38, 0.0256, 0)</f>
        <v>44.9206</v>
      </c>
      <c r="G633" s="14">
        <f>42.5672 * CHOOSE(CONTROL!$C$15, $E$9, 100%, $G$9) + CHOOSE(CONTROL!$C$38, 0.0347, 0)</f>
        <v>42.601900000000001</v>
      </c>
      <c r="H633" s="14">
        <f>42.5672 * CHOOSE(CONTROL!$C$15, $E$9, 100%, $G$9) + CHOOSE(CONTROL!$C$38, 0.0347, 0)</f>
        <v>42.601900000000001</v>
      </c>
      <c r="I633" s="14">
        <f>42.5687 * CHOOSE(CONTROL!$C$15, $E$9, 100%, $G$9) + CHOOSE(CONTROL!$C$38, 0.0347, 0)</f>
        <v>42.603400000000001</v>
      </c>
      <c r="J633" s="44">
        <f>361.0847</f>
        <v>361.0847</v>
      </c>
    </row>
    <row r="634" spans="1:10" ht="15.75" x14ac:dyDescent="0.25">
      <c r="A634" s="32">
        <v>60236</v>
      </c>
      <c r="B634" s="14">
        <f>44.7347 * CHOOSE(CONTROL!$C$15, $E$9, 100%, $G$9) + CHOOSE(CONTROL!$C$38, 0.0256, 0)</f>
        <v>44.760299999999994</v>
      </c>
      <c r="C634" s="14">
        <f>42.2687 * CHOOSE(CONTROL!$C$15, $E$9, 100%, $G$9) + CHOOSE(CONTROL!$C$38, 0.0347, 0)</f>
        <v>42.303400000000003</v>
      </c>
      <c r="D634" s="14">
        <f>42.2609 * CHOOSE(CONTROL!$C$15, $E$9, 100%, $G$9) + CHOOSE(CONTROL!$C$38, 0.0347, 0)</f>
        <v>42.2956</v>
      </c>
      <c r="E634" s="46">
        <f>44.5784 * CHOOSE(CONTROL!$C$15, $E$9, 100%, $G$9) + CHOOSE(CONTROL!$C$38, 0.0347, 0)</f>
        <v>44.613100000000003</v>
      </c>
      <c r="F634" s="45">
        <f>44.5784 * CHOOSE(CONTROL!$C$15, $E$9, 100%, $G$9) + CHOOSE(CONTROL!$C$38, 0.0256, 0)</f>
        <v>44.603999999999999</v>
      </c>
      <c r="G634" s="14">
        <f>42.2672 * CHOOSE(CONTROL!$C$15, $E$9, 100%, $G$9) + CHOOSE(CONTROL!$C$38, 0.0347, 0)</f>
        <v>42.301900000000003</v>
      </c>
      <c r="H634" s="14">
        <f>42.2672 * CHOOSE(CONTROL!$C$15, $E$9, 100%, $G$9) + CHOOSE(CONTROL!$C$38, 0.0347, 0)</f>
        <v>42.301900000000003</v>
      </c>
      <c r="I634" s="14">
        <f>42.2687 * CHOOSE(CONTROL!$C$15, $E$9, 100%, $G$9) + CHOOSE(CONTROL!$C$38, 0.0347, 0)</f>
        <v>42.303400000000003</v>
      </c>
      <c r="J634" s="44">
        <f>358.5119</f>
        <v>358.51190000000003</v>
      </c>
    </row>
    <row r="635" spans="1:10" ht="15.75" x14ac:dyDescent="0.25">
      <c r="A635" s="32">
        <v>60267</v>
      </c>
      <c r="B635" s="14">
        <f>43.4255 * CHOOSE(CONTROL!$C$15, $E$9, 100%, $G$9) + CHOOSE(CONTROL!$C$38, 0.0256, 0)</f>
        <v>43.451099999999997</v>
      </c>
      <c r="C635" s="14">
        <f>41.0281 * CHOOSE(CONTROL!$C$15, $E$9, 100%, $G$9) + CHOOSE(CONTROL!$C$38, 0.0347, 0)</f>
        <v>41.062800000000003</v>
      </c>
      <c r="D635" s="14">
        <f>41.0203 * CHOOSE(CONTROL!$C$15, $E$9, 100%, $G$9) + CHOOSE(CONTROL!$C$38, 0.0347, 0)</f>
        <v>41.055</v>
      </c>
      <c r="E635" s="46">
        <f>43.2692 * CHOOSE(CONTROL!$C$15, $E$9, 100%, $G$9) + CHOOSE(CONTROL!$C$38, 0.0347, 0)</f>
        <v>43.303899999999999</v>
      </c>
      <c r="F635" s="45">
        <f>43.2692 * CHOOSE(CONTROL!$C$15, $E$9, 100%, $G$9) + CHOOSE(CONTROL!$C$38, 0.0256, 0)</f>
        <v>43.294799999999995</v>
      </c>
      <c r="G635" s="14">
        <f>41.0265 * CHOOSE(CONTROL!$C$15, $E$9, 100%, $G$9) + CHOOSE(CONTROL!$C$38, 0.0347, 0)</f>
        <v>41.061199999999999</v>
      </c>
      <c r="H635" s="14">
        <f>41.0265 * CHOOSE(CONTROL!$C$15, $E$9, 100%, $G$9) + CHOOSE(CONTROL!$C$38, 0.0347, 0)</f>
        <v>41.061199999999999</v>
      </c>
      <c r="I635" s="14">
        <f>41.0281 * CHOOSE(CONTROL!$C$15, $E$9, 100%, $G$9) + CHOOSE(CONTROL!$C$38, 0.0347, 0)</f>
        <v>41.062800000000003</v>
      </c>
      <c r="J635" s="44">
        <f>347.873</f>
        <v>347.87299999999999</v>
      </c>
    </row>
    <row r="636" spans="1:10" ht="15.75" x14ac:dyDescent="0.25">
      <c r="A636" s="32">
        <v>60298</v>
      </c>
      <c r="B636" s="14">
        <f>43.1004 * CHOOSE(CONTROL!$C$15, $E$9, 100%, $G$9) + CHOOSE(CONTROL!$C$38, 0.0256, 0)</f>
        <v>43.125999999999998</v>
      </c>
      <c r="C636" s="14">
        <f>40.72 * CHOOSE(CONTROL!$C$15, $E$9, 100%, $G$9) + CHOOSE(CONTROL!$C$38, 0.0347, 0)</f>
        <v>40.7547</v>
      </c>
      <c r="D636" s="14">
        <f>40.7122 * CHOOSE(CONTROL!$C$15, $E$9, 100%, $G$9) + CHOOSE(CONTROL!$C$38, 0.0347, 0)</f>
        <v>40.746900000000004</v>
      </c>
      <c r="E636" s="46">
        <f>42.9441 * CHOOSE(CONTROL!$C$15, $E$9, 100%, $G$9) + CHOOSE(CONTROL!$C$38, 0.0347, 0)</f>
        <v>42.9788</v>
      </c>
      <c r="F636" s="45">
        <f>42.9441 * CHOOSE(CONTROL!$C$15, $E$9, 100%, $G$9) + CHOOSE(CONTROL!$C$38, 0.0256, 0)</f>
        <v>42.969699999999996</v>
      </c>
      <c r="G636" s="14">
        <f>40.7184 * CHOOSE(CONTROL!$C$15, $E$9, 100%, $G$9) + CHOOSE(CONTROL!$C$38, 0.0347, 0)</f>
        <v>40.753100000000003</v>
      </c>
      <c r="H636" s="14">
        <f>40.7184 * CHOOSE(CONTROL!$C$15, $E$9, 100%, $G$9) + CHOOSE(CONTROL!$C$38, 0.0347, 0)</f>
        <v>40.753100000000003</v>
      </c>
      <c r="I636" s="14">
        <f>40.72 * CHOOSE(CONTROL!$C$15, $E$9, 100%, $G$9) + CHOOSE(CONTROL!$C$38, 0.0347, 0)</f>
        <v>40.7547</v>
      </c>
      <c r="J636" s="44">
        <f>347.4244</f>
        <v>347.42439999999999</v>
      </c>
    </row>
    <row r="637" spans="1:10" ht="15.75" x14ac:dyDescent="0.25">
      <c r="A637" s="32">
        <v>60326</v>
      </c>
      <c r="B637" s="14">
        <f>42.9823 * CHOOSE(CONTROL!$C$15, $E$9, 100%, $G$9) + CHOOSE(CONTROL!$C$38, 0.0256, 0)</f>
        <v>43.007899999999999</v>
      </c>
      <c r="C637" s="14">
        <f>40.6081 * CHOOSE(CONTROL!$C$15, $E$9, 100%, $G$9) + CHOOSE(CONTROL!$C$38, 0.0347, 0)</f>
        <v>40.642800000000001</v>
      </c>
      <c r="D637" s="14">
        <f>40.6003 * CHOOSE(CONTROL!$C$15, $E$9, 100%, $G$9) + CHOOSE(CONTROL!$C$38, 0.0347, 0)</f>
        <v>40.634999999999998</v>
      </c>
      <c r="E637" s="46">
        <f>42.826 * CHOOSE(CONTROL!$C$15, $E$9, 100%, $G$9) + CHOOSE(CONTROL!$C$38, 0.0347, 0)</f>
        <v>42.860700000000001</v>
      </c>
      <c r="F637" s="45">
        <f>42.826 * CHOOSE(CONTROL!$C$15, $E$9, 100%, $G$9) + CHOOSE(CONTROL!$C$38, 0.0256, 0)</f>
        <v>42.851599999999998</v>
      </c>
      <c r="G637" s="14">
        <f>40.6065 * CHOOSE(CONTROL!$C$15, $E$9, 100%, $G$9) + CHOOSE(CONTROL!$C$38, 0.0347, 0)</f>
        <v>40.641199999999998</v>
      </c>
      <c r="H637" s="14">
        <f>40.6065 * CHOOSE(CONTROL!$C$15, $E$9, 100%, $G$9) + CHOOSE(CONTROL!$C$38, 0.0347, 0)</f>
        <v>40.641199999999998</v>
      </c>
      <c r="I637" s="14">
        <f>40.6081 * CHOOSE(CONTROL!$C$15, $E$9, 100%, $G$9) + CHOOSE(CONTROL!$C$38, 0.0347, 0)</f>
        <v>40.642800000000001</v>
      </c>
      <c r="J637" s="44">
        <f>346.4587</f>
        <v>346.45870000000002</v>
      </c>
    </row>
    <row r="638" spans="1:10" ht="15.75" x14ac:dyDescent="0.25">
      <c r="A638" s="32">
        <v>60357</v>
      </c>
      <c r="B638" s="14">
        <f>45.2152 * CHOOSE(CONTROL!$C$15, $E$9, 100%, $G$9) + CHOOSE(CONTROL!$C$38, 0.0256, 0)</f>
        <v>45.2408</v>
      </c>
      <c r="C638" s="14">
        <f>42.7241 * CHOOSE(CONTROL!$C$15, $E$9, 100%, $G$9) + CHOOSE(CONTROL!$C$38, 0.0347, 0)</f>
        <v>42.758800000000001</v>
      </c>
      <c r="D638" s="14">
        <f>42.7162 * CHOOSE(CONTROL!$C$15, $E$9, 100%, $G$9) + CHOOSE(CONTROL!$C$38, 0.0347, 0)</f>
        <v>42.750900000000001</v>
      </c>
      <c r="E638" s="46">
        <f>45.0589 * CHOOSE(CONTROL!$C$15, $E$9, 100%, $G$9) + CHOOSE(CONTROL!$C$38, 0.0347, 0)</f>
        <v>45.093600000000002</v>
      </c>
      <c r="F638" s="45">
        <f>45.0589 * CHOOSE(CONTROL!$C$15, $E$9, 100%, $G$9) + CHOOSE(CONTROL!$C$38, 0.0256, 0)</f>
        <v>45.084499999999998</v>
      </c>
      <c r="G638" s="14">
        <f>42.7225 * CHOOSE(CONTROL!$C$15, $E$9, 100%, $G$9) + CHOOSE(CONTROL!$C$38, 0.0347, 0)</f>
        <v>42.757199999999997</v>
      </c>
      <c r="H638" s="14">
        <f>42.7225 * CHOOSE(CONTROL!$C$15, $E$9, 100%, $G$9) + CHOOSE(CONTROL!$C$38, 0.0347, 0)</f>
        <v>42.757199999999997</v>
      </c>
      <c r="I638" s="14">
        <f>42.7241 * CHOOSE(CONTROL!$C$15, $E$9, 100%, $G$9) + CHOOSE(CONTROL!$C$38, 0.0347, 0)</f>
        <v>42.758800000000001</v>
      </c>
      <c r="J638" s="44">
        <f>364.7191</f>
        <v>364.71910000000003</v>
      </c>
    </row>
    <row r="639" spans="1:10" ht="15.75" x14ac:dyDescent="0.25">
      <c r="A639" s="32">
        <v>60387</v>
      </c>
      <c r="B639" s="14">
        <f>48.1107 * CHOOSE(CONTROL!$C$15, $E$9, 100%, $G$9) + CHOOSE(CONTROL!$C$38, 0.0256, 0)</f>
        <v>48.136299999999999</v>
      </c>
      <c r="C639" s="14">
        <f>45.468 * CHOOSE(CONTROL!$C$15, $E$9, 100%, $G$9) + CHOOSE(CONTROL!$C$38, 0.0347, 0)</f>
        <v>45.502700000000004</v>
      </c>
      <c r="D639" s="14">
        <f>45.4602 * CHOOSE(CONTROL!$C$15, $E$9, 100%, $G$9) + CHOOSE(CONTROL!$C$38, 0.0347, 0)</f>
        <v>45.494900000000001</v>
      </c>
      <c r="E639" s="46">
        <f>47.9544 * CHOOSE(CONTROL!$C$15, $E$9, 100%, $G$9) + CHOOSE(CONTROL!$C$38, 0.0347, 0)</f>
        <v>47.989100000000001</v>
      </c>
      <c r="F639" s="45">
        <f>47.9544 * CHOOSE(CONTROL!$C$15, $E$9, 100%, $G$9) + CHOOSE(CONTROL!$C$38, 0.0256, 0)</f>
        <v>47.98</v>
      </c>
      <c r="G639" s="14">
        <f>45.4664 * CHOOSE(CONTROL!$C$15, $E$9, 100%, $G$9) + CHOOSE(CONTROL!$C$38, 0.0347, 0)</f>
        <v>45.501100000000001</v>
      </c>
      <c r="H639" s="14">
        <f>45.4664 * CHOOSE(CONTROL!$C$15, $E$9, 100%, $G$9) + CHOOSE(CONTROL!$C$38, 0.0347, 0)</f>
        <v>45.501100000000001</v>
      </c>
      <c r="I639" s="14">
        <f>45.468 * CHOOSE(CONTROL!$C$15, $E$9, 100%, $G$9) + CHOOSE(CONTROL!$C$38, 0.0347, 0)</f>
        <v>45.502700000000004</v>
      </c>
      <c r="J639" s="44">
        <f>388.3984</f>
        <v>388.39839999999998</v>
      </c>
    </row>
    <row r="640" spans="1:10" ht="15.75" x14ac:dyDescent="0.25">
      <c r="A640" s="32">
        <v>60418</v>
      </c>
      <c r="B640" s="14">
        <f>49.7045 * CHOOSE(CONTROL!$C$15, $E$9, 100%, $G$9) + CHOOSE(CONTROL!$C$38, 0.0278, 0)</f>
        <v>49.732300000000002</v>
      </c>
      <c r="C640" s="14">
        <f>46.9783 * CHOOSE(CONTROL!$C$15, $E$9, 100%, $G$9) + CHOOSE(CONTROL!$C$38, 0.0369, 0)</f>
        <v>47.0152</v>
      </c>
      <c r="D640" s="14">
        <f>46.9705 * CHOOSE(CONTROL!$C$15, $E$9, 100%, $G$9) + CHOOSE(CONTROL!$C$38, 0.0369, 0)</f>
        <v>47.007400000000004</v>
      </c>
      <c r="E640" s="46">
        <f>49.5482 * CHOOSE(CONTROL!$C$15, $E$9, 100%, $G$9) + CHOOSE(CONTROL!$C$38, 0.0369, 0)</f>
        <v>49.585100000000004</v>
      </c>
      <c r="F640" s="45">
        <f>49.5482 * CHOOSE(CONTROL!$C$15, $E$9, 100%, $G$9) + CHOOSE(CONTROL!$C$38, 0.0278, 0)</f>
        <v>49.576000000000001</v>
      </c>
      <c r="G640" s="14">
        <f>46.9768 * CHOOSE(CONTROL!$C$15, $E$9, 100%, $G$9) + CHOOSE(CONTROL!$C$38, 0.0369, 0)</f>
        <v>47.0137</v>
      </c>
      <c r="H640" s="14">
        <f>46.9768 * CHOOSE(CONTROL!$C$15, $E$9, 100%, $G$9) + CHOOSE(CONTROL!$C$38, 0.0369, 0)</f>
        <v>47.0137</v>
      </c>
      <c r="I640" s="14">
        <f>46.9783 * CHOOSE(CONTROL!$C$15, $E$9, 100%, $G$9) + CHOOSE(CONTROL!$C$38, 0.0369, 0)</f>
        <v>47.0152</v>
      </c>
      <c r="J640" s="44">
        <f>401.4323</f>
        <v>401.4323</v>
      </c>
    </row>
    <row r="641" spans="1:10" ht="15.75" x14ac:dyDescent="0.25">
      <c r="A641" s="32">
        <v>60448</v>
      </c>
      <c r="B641" s="14">
        <f>50.4118 * CHOOSE(CONTROL!$C$15, $E$9, 100%, $G$9) + CHOOSE(CONTROL!$C$38, 0.0278, 0)</f>
        <v>50.439599999999999</v>
      </c>
      <c r="C641" s="14">
        <f>47.6486 * CHOOSE(CONTROL!$C$15, $E$9, 100%, $G$9) + CHOOSE(CONTROL!$C$38, 0.0369, 0)</f>
        <v>47.685500000000005</v>
      </c>
      <c r="D641" s="14">
        <f>47.6408 * CHOOSE(CONTROL!$C$15, $E$9, 100%, $G$9) + CHOOSE(CONTROL!$C$38, 0.0369, 0)</f>
        <v>47.677700000000002</v>
      </c>
      <c r="E641" s="46">
        <f>50.2555 * CHOOSE(CONTROL!$C$15, $E$9, 100%, $G$9) + CHOOSE(CONTROL!$C$38, 0.0369, 0)</f>
        <v>50.292400000000001</v>
      </c>
      <c r="F641" s="45">
        <f>50.2555 * CHOOSE(CONTROL!$C$15, $E$9, 100%, $G$9) + CHOOSE(CONTROL!$C$38, 0.0278, 0)</f>
        <v>50.283299999999997</v>
      </c>
      <c r="G641" s="14">
        <f>47.647 * CHOOSE(CONTROL!$C$15, $E$9, 100%, $G$9) + CHOOSE(CONTROL!$C$38, 0.0369, 0)</f>
        <v>47.683900000000001</v>
      </c>
      <c r="H641" s="14">
        <f>47.647 * CHOOSE(CONTROL!$C$15, $E$9, 100%, $G$9) + CHOOSE(CONTROL!$C$38, 0.0369, 0)</f>
        <v>47.683900000000001</v>
      </c>
      <c r="I641" s="14">
        <f>47.6486 * CHOOSE(CONTROL!$C$15, $E$9, 100%, $G$9) + CHOOSE(CONTROL!$C$38, 0.0369, 0)</f>
        <v>47.685500000000005</v>
      </c>
      <c r="J641" s="44">
        <f>407.2165</f>
        <v>407.2165</v>
      </c>
    </row>
    <row r="642" spans="1:10" ht="15.75" x14ac:dyDescent="0.25">
      <c r="A642" s="32">
        <v>60479</v>
      </c>
      <c r="B642" s="14">
        <f>50.1789 * CHOOSE(CONTROL!$C$15, $E$9, 100%, $G$9) + CHOOSE(CONTROL!$C$38, 0.0278, 0)</f>
        <v>50.206699999999998</v>
      </c>
      <c r="C642" s="14">
        <f>47.4279 * CHOOSE(CONTROL!$C$15, $E$9, 100%, $G$9) + CHOOSE(CONTROL!$C$38, 0.0369, 0)</f>
        <v>47.464800000000004</v>
      </c>
      <c r="D642" s="14">
        <f>47.4201 * CHOOSE(CONTROL!$C$15, $E$9, 100%, $G$9) + CHOOSE(CONTROL!$C$38, 0.0369, 0)</f>
        <v>47.457000000000001</v>
      </c>
      <c r="E642" s="46">
        <f>50.0226 * CHOOSE(CONTROL!$C$15, $E$9, 100%, $G$9) + CHOOSE(CONTROL!$C$38, 0.0369, 0)</f>
        <v>50.0595</v>
      </c>
      <c r="F642" s="45">
        <f>50.0226 * CHOOSE(CONTROL!$C$15, $E$9, 100%, $G$9) + CHOOSE(CONTROL!$C$38, 0.0278, 0)</f>
        <v>50.050399999999996</v>
      </c>
      <c r="G642" s="14">
        <f>47.4263 * CHOOSE(CONTROL!$C$15, $E$9, 100%, $G$9) + CHOOSE(CONTROL!$C$38, 0.0369, 0)</f>
        <v>47.463200000000001</v>
      </c>
      <c r="H642" s="14">
        <f>47.4263 * CHOOSE(CONTROL!$C$15, $E$9, 100%, $G$9) + CHOOSE(CONTROL!$C$38, 0.0369, 0)</f>
        <v>47.463200000000001</v>
      </c>
      <c r="I642" s="14">
        <f>47.4279 * CHOOSE(CONTROL!$C$15, $E$9, 100%, $G$9) + CHOOSE(CONTROL!$C$38, 0.0369, 0)</f>
        <v>47.464800000000004</v>
      </c>
      <c r="J642" s="44">
        <f>405.3121</f>
        <v>405.31209999999999</v>
      </c>
    </row>
    <row r="643" spans="1:10" ht="15.75" x14ac:dyDescent="0.25">
      <c r="A643" s="32">
        <v>60510</v>
      </c>
      <c r="B643" s="14">
        <f>49.0251 * CHOOSE(CONTROL!$C$15, $E$9, 100%, $G$9) + CHOOSE(CONTROL!$C$38, 0.0278, 0)</f>
        <v>49.052900000000001</v>
      </c>
      <c r="C643" s="14">
        <f>46.3345 * CHOOSE(CONTROL!$C$15, $E$9, 100%, $G$9) + CHOOSE(CONTROL!$C$38, 0.0369, 0)</f>
        <v>46.371400000000001</v>
      </c>
      <c r="D643" s="14">
        <f>46.3267 * CHOOSE(CONTROL!$C$15, $E$9, 100%, $G$9) + CHOOSE(CONTROL!$C$38, 0.0369, 0)</f>
        <v>46.363600000000005</v>
      </c>
      <c r="E643" s="46">
        <f>48.8689 * CHOOSE(CONTROL!$C$15, $E$9, 100%, $G$9) + CHOOSE(CONTROL!$C$38, 0.0369, 0)</f>
        <v>48.905799999999999</v>
      </c>
      <c r="F643" s="45">
        <f>48.8689 * CHOOSE(CONTROL!$C$15, $E$9, 100%, $G$9) + CHOOSE(CONTROL!$C$38, 0.0278, 0)</f>
        <v>48.896699999999996</v>
      </c>
      <c r="G643" s="14">
        <f>46.333 * CHOOSE(CONTROL!$C$15, $E$9, 100%, $G$9) + CHOOSE(CONTROL!$C$38, 0.0369, 0)</f>
        <v>46.369900000000001</v>
      </c>
      <c r="H643" s="14">
        <f>46.333 * CHOOSE(CONTROL!$C$15, $E$9, 100%, $G$9) + CHOOSE(CONTROL!$C$38, 0.0369, 0)</f>
        <v>46.369900000000001</v>
      </c>
      <c r="I643" s="14">
        <f>46.3345 * CHOOSE(CONTROL!$C$15, $E$9, 100%, $G$9) + CHOOSE(CONTROL!$C$38, 0.0369, 0)</f>
        <v>46.371400000000001</v>
      </c>
      <c r="J643" s="44">
        <f>395.8766</f>
        <v>395.8766</v>
      </c>
    </row>
    <row r="644" spans="1:10" ht="15.75" x14ac:dyDescent="0.25">
      <c r="A644" s="32">
        <v>60540</v>
      </c>
      <c r="B644" s="14">
        <f>47.4161 * CHOOSE(CONTROL!$C$15, $E$9, 100%, $G$9) + CHOOSE(CONTROL!$C$38, 0.0278, 0)</f>
        <v>47.443899999999999</v>
      </c>
      <c r="C644" s="14">
        <f>44.8098 * CHOOSE(CONTROL!$C$15, $E$9, 100%, $G$9) + CHOOSE(CONTROL!$C$38, 0.0369, 0)</f>
        <v>44.846700000000006</v>
      </c>
      <c r="D644" s="14">
        <f>44.802 * CHOOSE(CONTROL!$C$15, $E$9, 100%, $G$9) + CHOOSE(CONTROL!$C$38, 0.0369, 0)</f>
        <v>44.838900000000002</v>
      </c>
      <c r="E644" s="46">
        <f>47.2599 * CHOOSE(CONTROL!$C$15, $E$9, 100%, $G$9) + CHOOSE(CONTROL!$C$38, 0.0369, 0)</f>
        <v>47.296800000000005</v>
      </c>
      <c r="F644" s="45">
        <f>47.2599 * CHOOSE(CONTROL!$C$15, $E$9, 100%, $G$9) + CHOOSE(CONTROL!$C$38, 0.0278, 0)</f>
        <v>47.287700000000001</v>
      </c>
      <c r="G644" s="14">
        <f>44.8082 * CHOOSE(CONTROL!$C$15, $E$9, 100%, $G$9) + CHOOSE(CONTROL!$C$38, 0.0369, 0)</f>
        <v>44.845100000000002</v>
      </c>
      <c r="H644" s="14">
        <f>44.8082 * CHOOSE(CONTROL!$C$15, $E$9, 100%, $G$9) + CHOOSE(CONTROL!$C$38, 0.0369, 0)</f>
        <v>44.845100000000002</v>
      </c>
      <c r="I644" s="14">
        <f>44.8098 * CHOOSE(CONTROL!$C$15, $E$9, 100%, $G$9) + CHOOSE(CONTROL!$C$38, 0.0369, 0)</f>
        <v>44.846700000000006</v>
      </c>
      <c r="J644" s="44">
        <f>382.7183</f>
        <v>382.7183</v>
      </c>
    </row>
    <row r="645" spans="1:10" ht="15.75" x14ac:dyDescent="0.25">
      <c r="A645" s="32">
        <v>60571</v>
      </c>
      <c r="B645" s="14">
        <f>45.7978 * CHOOSE(CONTROL!$C$15, $E$9, 100%, $G$9) + CHOOSE(CONTROL!$C$38, 0.0256, 0)</f>
        <v>45.823399999999999</v>
      </c>
      <c r="C645" s="14">
        <f>43.2761 * CHOOSE(CONTROL!$C$15, $E$9, 100%, $G$9) + CHOOSE(CONTROL!$C$38, 0.0347, 0)</f>
        <v>43.3108</v>
      </c>
      <c r="D645" s="14">
        <f>43.2683 * CHOOSE(CONTROL!$C$15, $E$9, 100%, $G$9) + CHOOSE(CONTROL!$C$38, 0.0347, 0)</f>
        <v>43.303000000000004</v>
      </c>
      <c r="E645" s="46">
        <f>45.6415 * CHOOSE(CONTROL!$C$15, $E$9, 100%, $G$9) + CHOOSE(CONTROL!$C$38, 0.0347, 0)</f>
        <v>45.676200000000001</v>
      </c>
      <c r="F645" s="45">
        <f>45.6415 * CHOOSE(CONTROL!$C$15, $E$9, 100%, $G$9) + CHOOSE(CONTROL!$C$38, 0.0256, 0)</f>
        <v>45.667099999999998</v>
      </c>
      <c r="G645" s="14">
        <f>43.2746 * CHOOSE(CONTROL!$C$15, $E$9, 100%, $G$9) + CHOOSE(CONTROL!$C$38, 0.0347, 0)</f>
        <v>43.3093</v>
      </c>
      <c r="H645" s="14">
        <f>43.2746 * CHOOSE(CONTROL!$C$15, $E$9, 100%, $G$9) + CHOOSE(CONTROL!$C$38, 0.0347, 0)</f>
        <v>43.3093</v>
      </c>
      <c r="I645" s="14">
        <f>43.2761 * CHOOSE(CONTROL!$C$15, $E$9, 100%, $G$9) + CHOOSE(CONTROL!$C$38, 0.0347, 0)</f>
        <v>43.3108</v>
      </c>
      <c r="J645" s="44">
        <f>369.4835</f>
        <v>369.48349999999999</v>
      </c>
    </row>
    <row r="646" spans="1:10" ht="15.75" x14ac:dyDescent="0.25">
      <c r="A646" s="32">
        <v>60601</v>
      </c>
      <c r="B646" s="14">
        <f>45.4758 * CHOOSE(CONTROL!$C$15, $E$9, 100%, $G$9) + CHOOSE(CONTROL!$C$38, 0.0256, 0)</f>
        <v>45.501399999999997</v>
      </c>
      <c r="C646" s="14">
        <f>42.9711 * CHOOSE(CONTROL!$C$15, $E$9, 100%, $G$9) + CHOOSE(CONTROL!$C$38, 0.0347, 0)</f>
        <v>43.005800000000001</v>
      </c>
      <c r="D646" s="14">
        <f>42.9633 * CHOOSE(CONTROL!$C$15, $E$9, 100%, $G$9) + CHOOSE(CONTROL!$C$38, 0.0347, 0)</f>
        <v>42.997999999999998</v>
      </c>
      <c r="E646" s="46">
        <f>45.3196 * CHOOSE(CONTROL!$C$15, $E$9, 100%, $G$9) + CHOOSE(CONTROL!$C$38, 0.0347, 0)</f>
        <v>45.354300000000002</v>
      </c>
      <c r="F646" s="45">
        <f>45.3196 * CHOOSE(CONTROL!$C$15, $E$9, 100%, $G$9) + CHOOSE(CONTROL!$C$38, 0.0256, 0)</f>
        <v>45.345199999999998</v>
      </c>
      <c r="G646" s="14">
        <f>42.9695 * CHOOSE(CONTROL!$C$15, $E$9, 100%, $G$9) + CHOOSE(CONTROL!$C$38, 0.0347, 0)</f>
        <v>43.004199999999997</v>
      </c>
      <c r="H646" s="14">
        <f>42.9695 * CHOOSE(CONTROL!$C$15, $E$9, 100%, $G$9) + CHOOSE(CONTROL!$C$38, 0.0347, 0)</f>
        <v>43.004199999999997</v>
      </c>
      <c r="I646" s="14">
        <f>42.9711 * CHOOSE(CONTROL!$C$15, $E$9, 100%, $G$9) + CHOOSE(CONTROL!$C$38, 0.0347, 0)</f>
        <v>43.005800000000001</v>
      </c>
      <c r="J646" s="44">
        <f>366.8508</f>
        <v>366.85079999999999</v>
      </c>
    </row>
    <row r="647" spans="1:10" ht="15.75" x14ac:dyDescent="0.25">
      <c r="A647" s="32">
        <v>60632</v>
      </c>
      <c r="B647" s="14">
        <f>44.1447 * CHOOSE(CONTROL!$C$15, $E$9, 100%, $G$9) + CHOOSE(CONTROL!$C$38, 0.0256, 0)</f>
        <v>44.170299999999997</v>
      </c>
      <c r="C647" s="14">
        <f>41.7096 * CHOOSE(CONTROL!$C$15, $E$9, 100%, $G$9) + CHOOSE(CONTROL!$C$38, 0.0347, 0)</f>
        <v>41.744300000000003</v>
      </c>
      <c r="D647" s="14">
        <f>41.7018 * CHOOSE(CONTROL!$C$15, $E$9, 100%, $G$9) + CHOOSE(CONTROL!$C$38, 0.0347, 0)</f>
        <v>41.736499999999999</v>
      </c>
      <c r="E647" s="46">
        <f>43.9884 * CHOOSE(CONTROL!$C$15, $E$9, 100%, $G$9) + CHOOSE(CONTROL!$C$38, 0.0347, 0)</f>
        <v>44.023099999999999</v>
      </c>
      <c r="F647" s="45">
        <f>43.9884 * CHOOSE(CONTROL!$C$15, $E$9, 100%, $G$9) + CHOOSE(CONTROL!$C$38, 0.0256, 0)</f>
        <v>44.013999999999996</v>
      </c>
      <c r="G647" s="14">
        <f>41.708 * CHOOSE(CONTROL!$C$15, $E$9, 100%, $G$9) + CHOOSE(CONTROL!$C$38, 0.0347, 0)</f>
        <v>41.742699999999999</v>
      </c>
      <c r="H647" s="14">
        <f>41.708 * CHOOSE(CONTROL!$C$15, $E$9, 100%, $G$9) + CHOOSE(CONTROL!$C$38, 0.0347, 0)</f>
        <v>41.742699999999999</v>
      </c>
      <c r="I647" s="14">
        <f>41.7096 * CHOOSE(CONTROL!$C$15, $E$9, 100%, $G$9) + CHOOSE(CONTROL!$C$38, 0.0347, 0)</f>
        <v>41.744300000000003</v>
      </c>
      <c r="J647" s="44">
        <f>355.9645</f>
        <v>355.96449999999999</v>
      </c>
    </row>
    <row r="648" spans="1:10" ht="15.75" x14ac:dyDescent="0.25">
      <c r="A648" s="32">
        <v>60663</v>
      </c>
      <c r="B648" s="14">
        <f>43.8141 * CHOOSE(CONTROL!$C$15, $E$9, 100%, $G$9) + CHOOSE(CONTROL!$C$38, 0.0256, 0)</f>
        <v>43.839700000000001</v>
      </c>
      <c r="C648" s="14">
        <f>41.3963 * CHOOSE(CONTROL!$C$15, $E$9, 100%, $G$9) + CHOOSE(CONTROL!$C$38, 0.0347, 0)</f>
        <v>41.430999999999997</v>
      </c>
      <c r="D648" s="14">
        <f>41.3885 * CHOOSE(CONTROL!$C$15, $E$9, 100%, $G$9) + CHOOSE(CONTROL!$C$38, 0.0347, 0)</f>
        <v>41.423200000000001</v>
      </c>
      <c r="E648" s="46">
        <f>43.6578 * CHOOSE(CONTROL!$C$15, $E$9, 100%, $G$9) + CHOOSE(CONTROL!$C$38, 0.0347, 0)</f>
        <v>43.692500000000003</v>
      </c>
      <c r="F648" s="45">
        <f>43.6578 * CHOOSE(CONTROL!$C$15, $E$9, 100%, $G$9) + CHOOSE(CONTROL!$C$38, 0.0256, 0)</f>
        <v>43.683399999999999</v>
      </c>
      <c r="G648" s="14">
        <f>41.3948 * CHOOSE(CONTROL!$C$15, $E$9, 100%, $G$9) + CHOOSE(CONTROL!$C$38, 0.0347, 0)</f>
        <v>41.429499999999997</v>
      </c>
      <c r="H648" s="14">
        <f>41.3948 * CHOOSE(CONTROL!$C$15, $E$9, 100%, $G$9) + CHOOSE(CONTROL!$C$38, 0.0347, 0)</f>
        <v>41.429499999999997</v>
      </c>
      <c r="I648" s="14">
        <f>41.3963 * CHOOSE(CONTROL!$C$15, $E$9, 100%, $G$9) + CHOOSE(CONTROL!$C$38, 0.0347, 0)</f>
        <v>41.430999999999997</v>
      </c>
      <c r="J648" s="44">
        <f>355.5055</f>
        <v>355.50549999999998</v>
      </c>
    </row>
    <row r="649" spans="1:10" ht="15.75" x14ac:dyDescent="0.25">
      <c r="A649" s="32">
        <v>60691</v>
      </c>
      <c r="B649" s="14">
        <f>43.694 * CHOOSE(CONTROL!$C$15, $E$9, 100%, $G$9) + CHOOSE(CONTROL!$C$38, 0.0256, 0)</f>
        <v>43.7196</v>
      </c>
      <c r="C649" s="14">
        <f>41.2825 * CHOOSE(CONTROL!$C$15, $E$9, 100%, $G$9) + CHOOSE(CONTROL!$C$38, 0.0347, 0)</f>
        <v>41.3172</v>
      </c>
      <c r="D649" s="14">
        <f>41.2747 * CHOOSE(CONTROL!$C$15, $E$9, 100%, $G$9) + CHOOSE(CONTROL!$C$38, 0.0347, 0)</f>
        <v>41.309400000000004</v>
      </c>
      <c r="E649" s="46">
        <f>43.5377 * CHOOSE(CONTROL!$C$15, $E$9, 100%, $G$9) + CHOOSE(CONTROL!$C$38, 0.0347, 0)</f>
        <v>43.572400000000002</v>
      </c>
      <c r="F649" s="45">
        <f>43.5377 * CHOOSE(CONTROL!$C$15, $E$9, 100%, $G$9) + CHOOSE(CONTROL!$C$38, 0.0256, 0)</f>
        <v>43.563299999999998</v>
      </c>
      <c r="G649" s="14">
        <f>41.281 * CHOOSE(CONTROL!$C$15, $E$9, 100%, $G$9) + CHOOSE(CONTROL!$C$38, 0.0347, 0)</f>
        <v>41.3157</v>
      </c>
      <c r="H649" s="14">
        <f>41.281 * CHOOSE(CONTROL!$C$15, $E$9, 100%, $G$9) + CHOOSE(CONTROL!$C$38, 0.0347, 0)</f>
        <v>41.3157</v>
      </c>
      <c r="I649" s="14">
        <f>41.2825 * CHOOSE(CONTROL!$C$15, $E$9, 100%, $G$9) + CHOOSE(CONTROL!$C$38, 0.0347, 0)</f>
        <v>41.3172</v>
      </c>
      <c r="J649" s="44">
        <f>354.5173</f>
        <v>354.51729999999998</v>
      </c>
    </row>
    <row r="650" spans="1:10" ht="15.75" x14ac:dyDescent="0.25">
      <c r="A650" s="32">
        <v>60722</v>
      </c>
      <c r="B650" s="14">
        <f>45.9644 * CHOOSE(CONTROL!$C$15, $E$9, 100%, $G$9) + CHOOSE(CONTROL!$C$38, 0.0256, 0)</f>
        <v>45.989999999999995</v>
      </c>
      <c r="C650" s="14">
        <f>43.4341 * CHOOSE(CONTROL!$C$15, $E$9, 100%, $G$9) + CHOOSE(CONTROL!$C$38, 0.0347, 0)</f>
        <v>43.468800000000002</v>
      </c>
      <c r="D650" s="14">
        <f>43.4262 * CHOOSE(CONTROL!$C$15, $E$9, 100%, $G$9) + CHOOSE(CONTROL!$C$38, 0.0347, 0)</f>
        <v>43.460900000000002</v>
      </c>
      <c r="E650" s="46">
        <f>45.8081 * CHOOSE(CONTROL!$C$15, $E$9, 100%, $G$9) + CHOOSE(CONTROL!$C$38, 0.0347, 0)</f>
        <v>45.842800000000004</v>
      </c>
      <c r="F650" s="45">
        <f>45.8081 * CHOOSE(CONTROL!$C$15, $E$9, 100%, $G$9) + CHOOSE(CONTROL!$C$38, 0.0256, 0)</f>
        <v>45.8337</v>
      </c>
      <c r="G650" s="14">
        <f>43.4325 * CHOOSE(CONTROL!$C$15, $E$9, 100%, $G$9) + CHOOSE(CONTROL!$C$38, 0.0347, 0)</f>
        <v>43.467199999999998</v>
      </c>
      <c r="H650" s="14">
        <f>43.4325 * CHOOSE(CONTROL!$C$15, $E$9, 100%, $G$9) + CHOOSE(CONTROL!$C$38, 0.0347, 0)</f>
        <v>43.467199999999998</v>
      </c>
      <c r="I650" s="14">
        <f>43.4341 * CHOOSE(CONTROL!$C$15, $E$9, 100%, $G$9) + CHOOSE(CONTROL!$C$38, 0.0347, 0)</f>
        <v>43.468800000000002</v>
      </c>
      <c r="J650" s="44">
        <f>373.2024</f>
        <v>373.20240000000001</v>
      </c>
    </row>
    <row r="651" spans="1:10" ht="15.75" x14ac:dyDescent="0.25">
      <c r="A651" s="32">
        <v>60752</v>
      </c>
      <c r="B651" s="14">
        <f>48.9086 * CHOOSE(CONTROL!$C$15, $E$9, 100%, $G$9) + CHOOSE(CONTROL!$C$38, 0.0256, 0)</f>
        <v>48.934199999999997</v>
      </c>
      <c r="C651" s="14">
        <f>46.2241 * CHOOSE(CONTROL!$C$15, $E$9, 100%, $G$9) + CHOOSE(CONTROL!$C$38, 0.0347, 0)</f>
        <v>46.258800000000001</v>
      </c>
      <c r="D651" s="14">
        <f>46.2163 * CHOOSE(CONTROL!$C$15, $E$9, 100%, $G$9) + CHOOSE(CONTROL!$C$38, 0.0347, 0)</f>
        <v>46.250999999999998</v>
      </c>
      <c r="E651" s="46">
        <f>48.7523 * CHOOSE(CONTROL!$C$15, $E$9, 100%, $G$9) + CHOOSE(CONTROL!$C$38, 0.0347, 0)</f>
        <v>48.786999999999999</v>
      </c>
      <c r="F651" s="45">
        <f>48.7523 * CHOOSE(CONTROL!$C$15, $E$9, 100%, $G$9) + CHOOSE(CONTROL!$C$38, 0.0256, 0)</f>
        <v>48.777899999999995</v>
      </c>
      <c r="G651" s="14">
        <f>46.2225 * CHOOSE(CONTROL!$C$15, $E$9, 100%, $G$9) + CHOOSE(CONTROL!$C$38, 0.0347, 0)</f>
        <v>46.257199999999997</v>
      </c>
      <c r="H651" s="14">
        <f>46.2225 * CHOOSE(CONTROL!$C$15, $E$9, 100%, $G$9) + CHOOSE(CONTROL!$C$38, 0.0347, 0)</f>
        <v>46.257199999999997</v>
      </c>
      <c r="I651" s="14">
        <f>46.2241 * CHOOSE(CONTROL!$C$15, $E$9, 100%, $G$9) + CHOOSE(CONTROL!$C$38, 0.0347, 0)</f>
        <v>46.258800000000001</v>
      </c>
      <c r="J651" s="44">
        <f>397.4325</f>
        <v>397.4325</v>
      </c>
    </row>
    <row r="652" spans="1:10" ht="15.75" x14ac:dyDescent="0.25">
      <c r="A652" s="32">
        <v>60783</v>
      </c>
      <c r="B652" s="14">
        <f>50.5291 * CHOOSE(CONTROL!$C$15, $E$9, 100%, $G$9) + CHOOSE(CONTROL!$C$38, 0.0278, 0)</f>
        <v>50.556899999999999</v>
      </c>
      <c r="C652" s="14">
        <f>47.7598 * CHOOSE(CONTROL!$C$15, $E$9, 100%, $G$9) + CHOOSE(CONTROL!$C$38, 0.0369, 0)</f>
        <v>47.796700000000001</v>
      </c>
      <c r="D652" s="14">
        <f>47.752 * CHOOSE(CONTROL!$C$15, $E$9, 100%, $G$9) + CHOOSE(CONTROL!$C$38, 0.0369, 0)</f>
        <v>47.788900000000005</v>
      </c>
      <c r="E652" s="46">
        <f>50.3729 * CHOOSE(CONTROL!$C$15, $E$9, 100%, $G$9) + CHOOSE(CONTROL!$C$38, 0.0369, 0)</f>
        <v>50.409800000000004</v>
      </c>
      <c r="F652" s="45">
        <f>50.3729 * CHOOSE(CONTROL!$C$15, $E$9, 100%, $G$9) + CHOOSE(CONTROL!$C$38, 0.0278, 0)</f>
        <v>50.400700000000001</v>
      </c>
      <c r="G652" s="14">
        <f>47.7582 * CHOOSE(CONTROL!$C$15, $E$9, 100%, $G$9) + CHOOSE(CONTROL!$C$38, 0.0369, 0)</f>
        <v>47.795100000000005</v>
      </c>
      <c r="H652" s="14">
        <f>47.7582 * CHOOSE(CONTROL!$C$15, $E$9, 100%, $G$9) + CHOOSE(CONTROL!$C$38, 0.0369, 0)</f>
        <v>47.795100000000005</v>
      </c>
      <c r="I652" s="14">
        <f>47.7598 * CHOOSE(CONTROL!$C$15, $E$9, 100%, $G$9) + CHOOSE(CONTROL!$C$38, 0.0369, 0)</f>
        <v>47.796700000000001</v>
      </c>
      <c r="J652" s="44">
        <f>410.7696</f>
        <v>410.76960000000003</v>
      </c>
    </row>
    <row r="653" spans="1:10" ht="15.75" x14ac:dyDescent="0.25">
      <c r="A653" s="32">
        <v>60813</v>
      </c>
      <c r="B653" s="14">
        <f>51.2483 * CHOOSE(CONTROL!$C$15, $E$9, 100%, $G$9) + CHOOSE(CONTROL!$C$38, 0.0278, 0)</f>
        <v>51.2761</v>
      </c>
      <c r="C653" s="14">
        <f>48.4413 * CHOOSE(CONTROL!$C$15, $E$9, 100%, $G$9) + CHOOSE(CONTROL!$C$38, 0.0369, 0)</f>
        <v>48.478200000000001</v>
      </c>
      <c r="D653" s="14">
        <f>48.4335 * CHOOSE(CONTROL!$C$15, $E$9, 100%, $G$9) + CHOOSE(CONTROL!$C$38, 0.0369, 0)</f>
        <v>48.470400000000005</v>
      </c>
      <c r="E653" s="46">
        <f>51.092 * CHOOSE(CONTROL!$C$15, $E$9, 100%, $G$9) + CHOOSE(CONTROL!$C$38, 0.0369, 0)</f>
        <v>51.128900000000002</v>
      </c>
      <c r="F653" s="45">
        <f>51.092 * CHOOSE(CONTROL!$C$15, $E$9, 100%, $G$9) + CHOOSE(CONTROL!$C$38, 0.0278, 0)</f>
        <v>51.119799999999998</v>
      </c>
      <c r="G653" s="14">
        <f>48.4398 * CHOOSE(CONTROL!$C$15, $E$9, 100%, $G$9) + CHOOSE(CONTROL!$C$38, 0.0369, 0)</f>
        <v>48.476700000000001</v>
      </c>
      <c r="H653" s="14">
        <f>48.4398 * CHOOSE(CONTROL!$C$15, $E$9, 100%, $G$9) + CHOOSE(CONTROL!$C$38, 0.0369, 0)</f>
        <v>48.476700000000001</v>
      </c>
      <c r="I653" s="14">
        <f>48.4413 * CHOOSE(CONTROL!$C$15, $E$9, 100%, $G$9) + CHOOSE(CONTROL!$C$38, 0.0369, 0)</f>
        <v>48.478200000000001</v>
      </c>
      <c r="J653" s="44">
        <f>416.6883</f>
        <v>416.68830000000003</v>
      </c>
    </row>
    <row r="654" spans="1:10" ht="15.75" x14ac:dyDescent="0.25">
      <c r="A654" s="32">
        <v>60844</v>
      </c>
      <c r="B654" s="14">
        <f>51.0115 * CHOOSE(CONTROL!$C$15, $E$9, 100%, $G$9) + CHOOSE(CONTROL!$C$38, 0.0278, 0)</f>
        <v>51.039299999999997</v>
      </c>
      <c r="C654" s="14">
        <f>48.2169 * CHOOSE(CONTROL!$C$15, $E$9, 100%, $G$9) + CHOOSE(CONTROL!$C$38, 0.0369, 0)</f>
        <v>48.253800000000005</v>
      </c>
      <c r="D654" s="14">
        <f>48.2091 * CHOOSE(CONTROL!$C$15, $E$9, 100%, $G$9) + CHOOSE(CONTROL!$C$38, 0.0369, 0)</f>
        <v>48.246000000000002</v>
      </c>
      <c r="E654" s="46">
        <f>50.8553 * CHOOSE(CONTROL!$C$15, $E$9, 100%, $G$9) + CHOOSE(CONTROL!$C$38, 0.0369, 0)</f>
        <v>50.892200000000003</v>
      </c>
      <c r="F654" s="45">
        <f>50.8553 * CHOOSE(CONTROL!$C$15, $E$9, 100%, $G$9) + CHOOSE(CONTROL!$C$38, 0.0278, 0)</f>
        <v>50.883099999999999</v>
      </c>
      <c r="G654" s="14">
        <f>48.2154 * CHOOSE(CONTROL!$C$15, $E$9, 100%, $G$9) + CHOOSE(CONTROL!$C$38, 0.0369, 0)</f>
        <v>48.252300000000005</v>
      </c>
      <c r="H654" s="14">
        <f>48.2154 * CHOOSE(CONTROL!$C$15, $E$9, 100%, $G$9) + CHOOSE(CONTROL!$C$38, 0.0369, 0)</f>
        <v>48.252300000000005</v>
      </c>
      <c r="I654" s="14">
        <f>48.2169 * CHOOSE(CONTROL!$C$15, $E$9, 100%, $G$9) + CHOOSE(CONTROL!$C$38, 0.0369, 0)</f>
        <v>48.253800000000005</v>
      </c>
      <c r="J654" s="44">
        <f>414.7396</f>
        <v>414.7396</v>
      </c>
    </row>
    <row r="655" spans="1:10" ht="15.75" x14ac:dyDescent="0.25">
      <c r="A655" s="32">
        <v>60875</v>
      </c>
      <c r="B655" s="14">
        <f>49.8384 * CHOOSE(CONTROL!$C$15, $E$9, 100%, $G$9) + CHOOSE(CONTROL!$C$38, 0.0278, 0)</f>
        <v>49.866199999999999</v>
      </c>
      <c r="C655" s="14">
        <f>47.1052 * CHOOSE(CONTROL!$C$15, $E$9, 100%, $G$9) + CHOOSE(CONTROL!$C$38, 0.0369, 0)</f>
        <v>47.142100000000006</v>
      </c>
      <c r="D655" s="14">
        <f>47.0974 * CHOOSE(CONTROL!$C$15, $E$9, 100%, $G$9) + CHOOSE(CONTROL!$C$38, 0.0369, 0)</f>
        <v>47.134300000000003</v>
      </c>
      <c r="E655" s="46">
        <f>49.6821 * CHOOSE(CONTROL!$C$15, $E$9, 100%, $G$9) + CHOOSE(CONTROL!$C$38, 0.0369, 0)</f>
        <v>49.719000000000001</v>
      </c>
      <c r="F655" s="45">
        <f>49.6821 * CHOOSE(CONTROL!$C$15, $E$9, 100%, $G$9) + CHOOSE(CONTROL!$C$38, 0.0278, 0)</f>
        <v>49.709899999999998</v>
      </c>
      <c r="G655" s="14">
        <f>47.1036 * CHOOSE(CONTROL!$C$15, $E$9, 100%, $G$9) + CHOOSE(CONTROL!$C$38, 0.0369, 0)</f>
        <v>47.140500000000003</v>
      </c>
      <c r="H655" s="14">
        <f>47.1036 * CHOOSE(CONTROL!$C$15, $E$9, 100%, $G$9) + CHOOSE(CONTROL!$C$38, 0.0369, 0)</f>
        <v>47.140500000000003</v>
      </c>
      <c r="I655" s="14">
        <f>47.1052 * CHOOSE(CONTROL!$C$15, $E$9, 100%, $G$9) + CHOOSE(CONTROL!$C$38, 0.0369, 0)</f>
        <v>47.142100000000006</v>
      </c>
      <c r="J655" s="44">
        <f>405.0846</f>
        <v>405.08460000000002</v>
      </c>
    </row>
    <row r="656" spans="1:10" ht="15.75" x14ac:dyDescent="0.25">
      <c r="A656" s="32">
        <v>60905</v>
      </c>
      <c r="B656" s="14">
        <f>48.2023 * CHOOSE(CONTROL!$C$15, $E$9, 100%, $G$9) + CHOOSE(CONTROL!$C$38, 0.0278, 0)</f>
        <v>48.2301</v>
      </c>
      <c r="C656" s="14">
        <f>45.5548 * CHOOSE(CONTROL!$C$15, $E$9, 100%, $G$9) + CHOOSE(CONTROL!$C$38, 0.0369, 0)</f>
        <v>45.591700000000003</v>
      </c>
      <c r="D656" s="14">
        <f>45.547 * CHOOSE(CONTROL!$C$15, $E$9, 100%, $G$9) + CHOOSE(CONTROL!$C$38, 0.0369, 0)</f>
        <v>45.5839</v>
      </c>
      <c r="E656" s="46">
        <f>48.0461 * CHOOSE(CONTROL!$C$15, $E$9, 100%, $G$9) + CHOOSE(CONTROL!$C$38, 0.0369, 0)</f>
        <v>48.083000000000006</v>
      </c>
      <c r="F656" s="45">
        <f>48.0461 * CHOOSE(CONTROL!$C$15, $E$9, 100%, $G$9) + CHOOSE(CONTROL!$C$38, 0.0278, 0)</f>
        <v>48.073900000000002</v>
      </c>
      <c r="G656" s="14">
        <f>45.5533 * CHOOSE(CONTROL!$C$15, $E$9, 100%, $G$9) + CHOOSE(CONTROL!$C$38, 0.0369, 0)</f>
        <v>45.590200000000003</v>
      </c>
      <c r="H656" s="14">
        <f>45.5533 * CHOOSE(CONTROL!$C$15, $E$9, 100%, $G$9) + CHOOSE(CONTROL!$C$38, 0.0369, 0)</f>
        <v>45.590200000000003</v>
      </c>
      <c r="I656" s="14">
        <f>45.5548 * CHOOSE(CONTROL!$C$15, $E$9, 100%, $G$9) + CHOOSE(CONTROL!$C$38, 0.0369, 0)</f>
        <v>45.591700000000003</v>
      </c>
      <c r="J656" s="44">
        <f>391.6203</f>
        <v>391.62029999999999</v>
      </c>
    </row>
    <row r="657" spans="1:10" ht="15.75" x14ac:dyDescent="0.25">
      <c r="A657" s="32">
        <v>60936</v>
      </c>
      <c r="B657" s="14">
        <f>46.5568 * CHOOSE(CONTROL!$C$15, $E$9, 100%, $G$9) + CHOOSE(CONTROL!$C$38, 0.0256, 0)</f>
        <v>46.5824</v>
      </c>
      <c r="C657" s="14">
        <f>43.9954 * CHOOSE(CONTROL!$C$15, $E$9, 100%, $G$9) + CHOOSE(CONTROL!$C$38, 0.0347, 0)</f>
        <v>44.030099999999997</v>
      </c>
      <c r="D657" s="14">
        <f>43.9876 * CHOOSE(CONTROL!$C$15, $E$9, 100%, $G$9) + CHOOSE(CONTROL!$C$38, 0.0347, 0)</f>
        <v>44.022300000000001</v>
      </c>
      <c r="E657" s="46">
        <f>46.4005 * CHOOSE(CONTROL!$C$15, $E$9, 100%, $G$9) + CHOOSE(CONTROL!$C$38, 0.0347, 0)</f>
        <v>46.435200000000002</v>
      </c>
      <c r="F657" s="45">
        <f>46.4005 * CHOOSE(CONTROL!$C$15, $E$9, 100%, $G$9) + CHOOSE(CONTROL!$C$38, 0.0256, 0)</f>
        <v>46.426099999999998</v>
      </c>
      <c r="G657" s="14">
        <f>43.9939 * CHOOSE(CONTROL!$C$15, $E$9, 100%, $G$9) + CHOOSE(CONTROL!$C$38, 0.0347, 0)</f>
        <v>44.028599999999997</v>
      </c>
      <c r="H657" s="14">
        <f>43.9939 * CHOOSE(CONTROL!$C$15, $E$9, 100%, $G$9) + CHOOSE(CONTROL!$C$38, 0.0347, 0)</f>
        <v>44.028599999999997</v>
      </c>
      <c r="I657" s="14">
        <f>43.9954 * CHOOSE(CONTROL!$C$15, $E$9, 100%, $G$9) + CHOOSE(CONTROL!$C$38, 0.0347, 0)</f>
        <v>44.030099999999997</v>
      </c>
      <c r="J657" s="44">
        <f>378.0777</f>
        <v>378.07769999999999</v>
      </c>
    </row>
    <row r="658" spans="1:10" ht="15.75" x14ac:dyDescent="0.25">
      <c r="A658" s="32">
        <v>60966</v>
      </c>
      <c r="B658" s="14">
        <f>46.2295 * CHOOSE(CONTROL!$C$15, $E$9, 100%, $G$9) + CHOOSE(CONTROL!$C$38, 0.0256, 0)</f>
        <v>46.255099999999999</v>
      </c>
      <c r="C658" s="14">
        <f>43.6852 * CHOOSE(CONTROL!$C$15, $E$9, 100%, $G$9) + CHOOSE(CONTROL!$C$38, 0.0347, 0)</f>
        <v>43.719900000000003</v>
      </c>
      <c r="D658" s="14">
        <f>43.6774 * CHOOSE(CONTROL!$C$15, $E$9, 100%, $G$9) + CHOOSE(CONTROL!$C$38, 0.0347, 0)</f>
        <v>43.7121</v>
      </c>
      <c r="E658" s="46">
        <f>46.0732 * CHOOSE(CONTROL!$C$15, $E$9, 100%, $G$9) + CHOOSE(CONTROL!$C$38, 0.0347, 0)</f>
        <v>46.107900000000001</v>
      </c>
      <c r="F658" s="45">
        <f>46.0732 * CHOOSE(CONTROL!$C$15, $E$9, 100%, $G$9) + CHOOSE(CONTROL!$C$38, 0.0256, 0)</f>
        <v>46.098799999999997</v>
      </c>
      <c r="G658" s="14">
        <f>43.6837 * CHOOSE(CONTROL!$C$15, $E$9, 100%, $G$9) + CHOOSE(CONTROL!$C$38, 0.0347, 0)</f>
        <v>43.718400000000003</v>
      </c>
      <c r="H658" s="14">
        <f>43.6837 * CHOOSE(CONTROL!$C$15, $E$9, 100%, $G$9) + CHOOSE(CONTROL!$C$38, 0.0347, 0)</f>
        <v>43.718400000000003</v>
      </c>
      <c r="I658" s="14">
        <f>43.6852 * CHOOSE(CONTROL!$C$15, $E$9, 100%, $G$9) + CHOOSE(CONTROL!$C$38, 0.0347, 0)</f>
        <v>43.719900000000003</v>
      </c>
      <c r="J658" s="44">
        <f>375.3838</f>
        <v>375.38380000000001</v>
      </c>
    </row>
    <row r="659" spans="1:10" ht="15.75" x14ac:dyDescent="0.25">
      <c r="A659" s="32">
        <v>60997</v>
      </c>
      <c r="B659" s="14">
        <f>44.8759 * CHOOSE(CONTROL!$C$15, $E$9, 100%, $G$9) + CHOOSE(CONTROL!$C$38, 0.0256, 0)</f>
        <v>44.901499999999999</v>
      </c>
      <c r="C659" s="14">
        <f>42.4026 * CHOOSE(CONTROL!$C$15, $E$9, 100%, $G$9) + CHOOSE(CONTROL!$C$38, 0.0347, 0)</f>
        <v>42.4373</v>
      </c>
      <c r="D659" s="14">
        <f>42.3947 * CHOOSE(CONTROL!$C$15, $E$9, 100%, $G$9) + CHOOSE(CONTROL!$C$38, 0.0347, 0)</f>
        <v>42.429400000000001</v>
      </c>
      <c r="E659" s="46">
        <f>44.7197 * CHOOSE(CONTROL!$C$15, $E$9, 100%, $G$9) + CHOOSE(CONTROL!$C$38, 0.0347, 0)</f>
        <v>44.754400000000004</v>
      </c>
      <c r="F659" s="45">
        <f>44.7197 * CHOOSE(CONTROL!$C$15, $E$9, 100%, $G$9) + CHOOSE(CONTROL!$C$38, 0.0256, 0)</f>
        <v>44.7453</v>
      </c>
      <c r="G659" s="14">
        <f>42.401 * CHOOSE(CONTROL!$C$15, $E$9, 100%, $G$9) + CHOOSE(CONTROL!$C$38, 0.0347, 0)</f>
        <v>42.435700000000004</v>
      </c>
      <c r="H659" s="14">
        <f>42.401 * CHOOSE(CONTROL!$C$15, $E$9, 100%, $G$9) + CHOOSE(CONTROL!$C$38, 0.0347, 0)</f>
        <v>42.435700000000004</v>
      </c>
      <c r="I659" s="14">
        <f>42.4026 * CHOOSE(CONTROL!$C$15, $E$9, 100%, $G$9) + CHOOSE(CONTROL!$C$38, 0.0347, 0)</f>
        <v>42.4373</v>
      </c>
      <c r="J659" s="44">
        <f>364.2443</f>
        <v>364.24430000000001</v>
      </c>
    </row>
    <row r="660" spans="1:10" ht="15.75" x14ac:dyDescent="0.25">
      <c r="A660" s="32">
        <v>61028</v>
      </c>
      <c r="B660" s="14">
        <f>44.5398 * CHOOSE(CONTROL!$C$15, $E$9, 100%, $G$9) + CHOOSE(CONTROL!$C$38, 0.0256, 0)</f>
        <v>44.565399999999997</v>
      </c>
      <c r="C660" s="14">
        <f>42.084 * CHOOSE(CONTROL!$C$15, $E$9, 100%, $G$9) + CHOOSE(CONTROL!$C$38, 0.0347, 0)</f>
        <v>42.118700000000004</v>
      </c>
      <c r="D660" s="14">
        <f>42.0762 * CHOOSE(CONTROL!$C$15, $E$9, 100%, $G$9) + CHOOSE(CONTROL!$C$38, 0.0347, 0)</f>
        <v>42.110900000000001</v>
      </c>
      <c r="E660" s="46">
        <f>44.3835 * CHOOSE(CONTROL!$C$15, $E$9, 100%, $G$9) + CHOOSE(CONTROL!$C$38, 0.0347, 0)</f>
        <v>44.418199999999999</v>
      </c>
      <c r="F660" s="45">
        <f>44.3835 * CHOOSE(CONTROL!$C$15, $E$9, 100%, $G$9) + CHOOSE(CONTROL!$C$38, 0.0256, 0)</f>
        <v>44.409099999999995</v>
      </c>
      <c r="G660" s="14">
        <f>42.0825 * CHOOSE(CONTROL!$C$15, $E$9, 100%, $G$9) + CHOOSE(CONTROL!$C$38, 0.0347, 0)</f>
        <v>42.117200000000004</v>
      </c>
      <c r="H660" s="14">
        <f>42.0825 * CHOOSE(CONTROL!$C$15, $E$9, 100%, $G$9) + CHOOSE(CONTROL!$C$38, 0.0347, 0)</f>
        <v>42.117200000000004</v>
      </c>
      <c r="I660" s="14">
        <f>42.084 * CHOOSE(CONTROL!$C$15, $E$9, 100%, $G$9) + CHOOSE(CONTROL!$C$38, 0.0347, 0)</f>
        <v>42.118700000000004</v>
      </c>
      <c r="J660" s="44">
        <f>363.7745</f>
        <v>363.77449999999999</v>
      </c>
    </row>
    <row r="661" spans="1:10" ht="15.75" x14ac:dyDescent="0.25">
      <c r="A661" s="32">
        <v>61056</v>
      </c>
      <c r="B661" s="14">
        <f>44.4177 * CHOOSE(CONTROL!$C$15, $E$9, 100%, $G$9) + CHOOSE(CONTROL!$C$38, 0.0256, 0)</f>
        <v>44.443300000000001</v>
      </c>
      <c r="C661" s="14">
        <f>41.9683 * CHOOSE(CONTROL!$C$15, $E$9, 100%, $G$9) + CHOOSE(CONTROL!$C$38, 0.0347, 0)</f>
        <v>42.003</v>
      </c>
      <c r="D661" s="14">
        <f>41.9605 * CHOOSE(CONTROL!$C$15, $E$9, 100%, $G$9) + CHOOSE(CONTROL!$C$38, 0.0347, 0)</f>
        <v>41.995200000000004</v>
      </c>
      <c r="E661" s="46">
        <f>44.2614 * CHOOSE(CONTROL!$C$15, $E$9, 100%, $G$9) + CHOOSE(CONTROL!$C$38, 0.0347, 0)</f>
        <v>44.296100000000003</v>
      </c>
      <c r="F661" s="45">
        <f>44.2614 * CHOOSE(CONTROL!$C$15, $E$9, 100%, $G$9) + CHOOSE(CONTROL!$C$38, 0.0256, 0)</f>
        <v>44.286999999999999</v>
      </c>
      <c r="G661" s="14">
        <f>41.9668 * CHOOSE(CONTROL!$C$15, $E$9, 100%, $G$9) + CHOOSE(CONTROL!$C$38, 0.0347, 0)</f>
        <v>42.0015</v>
      </c>
      <c r="H661" s="14">
        <f>41.9668 * CHOOSE(CONTROL!$C$15, $E$9, 100%, $G$9) + CHOOSE(CONTROL!$C$38, 0.0347, 0)</f>
        <v>42.0015</v>
      </c>
      <c r="I661" s="14">
        <f>41.9683 * CHOOSE(CONTROL!$C$15, $E$9, 100%, $G$9) + CHOOSE(CONTROL!$C$38, 0.0347, 0)</f>
        <v>42.003</v>
      </c>
      <c r="J661" s="44">
        <f>362.7634</f>
        <v>362.76339999999999</v>
      </c>
    </row>
    <row r="662" spans="1:10" ht="15.75" x14ac:dyDescent="0.25">
      <c r="A662" s="32">
        <v>61087</v>
      </c>
      <c r="B662" s="14">
        <f>46.7262 * CHOOSE(CONTROL!$C$15, $E$9, 100%, $G$9) + CHOOSE(CONTROL!$C$38, 0.0256, 0)</f>
        <v>46.751799999999996</v>
      </c>
      <c r="C662" s="14">
        <f>44.156 * CHOOSE(CONTROL!$C$15, $E$9, 100%, $G$9) + CHOOSE(CONTROL!$C$38, 0.0347, 0)</f>
        <v>44.1907</v>
      </c>
      <c r="D662" s="14">
        <f>44.1482 * CHOOSE(CONTROL!$C$15, $E$9, 100%, $G$9) + CHOOSE(CONTROL!$C$38, 0.0347, 0)</f>
        <v>44.182900000000004</v>
      </c>
      <c r="E662" s="46">
        <f>46.57 * CHOOSE(CONTROL!$C$15, $E$9, 100%, $G$9) + CHOOSE(CONTROL!$C$38, 0.0347, 0)</f>
        <v>46.604700000000001</v>
      </c>
      <c r="F662" s="45">
        <f>46.57 * CHOOSE(CONTROL!$C$15, $E$9, 100%, $G$9) + CHOOSE(CONTROL!$C$38, 0.0256, 0)</f>
        <v>46.595599999999997</v>
      </c>
      <c r="G662" s="14">
        <f>44.1544 * CHOOSE(CONTROL!$C$15, $E$9, 100%, $G$9) + CHOOSE(CONTROL!$C$38, 0.0347, 0)</f>
        <v>44.189100000000003</v>
      </c>
      <c r="H662" s="14">
        <f>44.1544 * CHOOSE(CONTROL!$C$15, $E$9, 100%, $G$9) + CHOOSE(CONTROL!$C$38, 0.0347, 0)</f>
        <v>44.189100000000003</v>
      </c>
      <c r="I662" s="14">
        <f>44.156 * CHOOSE(CONTROL!$C$15, $E$9, 100%, $G$9) + CHOOSE(CONTROL!$C$38, 0.0347, 0)</f>
        <v>44.1907</v>
      </c>
      <c r="J662" s="44">
        <f>381.8831</f>
        <v>381.88310000000001</v>
      </c>
    </row>
    <row r="663" spans="1:10" ht="15.75" x14ac:dyDescent="0.25">
      <c r="A663" s="32">
        <v>61117</v>
      </c>
      <c r="B663" s="14">
        <f>49.7198 * CHOOSE(CONTROL!$C$15, $E$9, 100%, $G$9) + CHOOSE(CONTROL!$C$38, 0.0256, 0)</f>
        <v>49.745399999999997</v>
      </c>
      <c r="C663" s="14">
        <f>46.9929 * CHOOSE(CONTROL!$C$15, $E$9, 100%, $G$9) + CHOOSE(CONTROL!$C$38, 0.0347, 0)</f>
        <v>47.0276</v>
      </c>
      <c r="D663" s="14">
        <f>46.9851 * CHOOSE(CONTROL!$C$15, $E$9, 100%, $G$9) + CHOOSE(CONTROL!$C$38, 0.0347, 0)</f>
        <v>47.019800000000004</v>
      </c>
      <c r="E663" s="46">
        <f>49.5636 * CHOOSE(CONTROL!$C$15, $E$9, 100%, $G$9) + CHOOSE(CONTROL!$C$38, 0.0347, 0)</f>
        <v>49.598300000000002</v>
      </c>
      <c r="F663" s="45">
        <f>49.5636 * CHOOSE(CONTROL!$C$15, $E$9, 100%, $G$9) + CHOOSE(CONTROL!$C$38, 0.0256, 0)</f>
        <v>49.589199999999998</v>
      </c>
      <c r="G663" s="14">
        <f>46.9913 * CHOOSE(CONTROL!$C$15, $E$9, 100%, $G$9) + CHOOSE(CONTROL!$C$38, 0.0347, 0)</f>
        <v>47.026000000000003</v>
      </c>
      <c r="H663" s="14">
        <f>46.9913 * CHOOSE(CONTROL!$C$15, $E$9, 100%, $G$9) + CHOOSE(CONTROL!$C$38, 0.0347, 0)</f>
        <v>47.026000000000003</v>
      </c>
      <c r="I663" s="14">
        <f>46.9929 * CHOOSE(CONTROL!$C$15, $E$9, 100%, $G$9) + CHOOSE(CONTROL!$C$38, 0.0347, 0)</f>
        <v>47.0276</v>
      </c>
      <c r="J663" s="44">
        <f>406.6768</f>
        <v>406.67680000000001</v>
      </c>
    </row>
    <row r="664" spans="1:10" ht="15.75" x14ac:dyDescent="0.25">
      <c r="A664" s="32">
        <v>61148</v>
      </c>
      <c r="B664" s="14">
        <f>51.3676 * CHOOSE(CONTROL!$C$15, $E$9, 100%, $G$9) + CHOOSE(CONTROL!$C$38, 0.0278, 0)</f>
        <v>51.395400000000002</v>
      </c>
      <c r="C664" s="14">
        <f>48.5544 * CHOOSE(CONTROL!$C$15, $E$9, 100%, $G$9) + CHOOSE(CONTROL!$C$38, 0.0369, 0)</f>
        <v>48.591300000000004</v>
      </c>
      <c r="D664" s="14">
        <f>48.5466 * CHOOSE(CONTROL!$C$15, $E$9, 100%, $G$9) + CHOOSE(CONTROL!$C$38, 0.0369, 0)</f>
        <v>48.583500000000001</v>
      </c>
      <c r="E664" s="46">
        <f>51.2114 * CHOOSE(CONTROL!$C$15, $E$9, 100%, $G$9) + CHOOSE(CONTROL!$C$38, 0.0369, 0)</f>
        <v>51.2483</v>
      </c>
      <c r="F664" s="45">
        <f>51.2114 * CHOOSE(CONTROL!$C$15, $E$9, 100%, $G$9) + CHOOSE(CONTROL!$C$38, 0.0278, 0)</f>
        <v>51.239199999999997</v>
      </c>
      <c r="G664" s="14">
        <f>48.5529 * CHOOSE(CONTROL!$C$15, $E$9, 100%, $G$9) + CHOOSE(CONTROL!$C$38, 0.0369, 0)</f>
        <v>48.589800000000004</v>
      </c>
      <c r="H664" s="14">
        <f>48.5529 * CHOOSE(CONTROL!$C$15, $E$9, 100%, $G$9) + CHOOSE(CONTROL!$C$38, 0.0369, 0)</f>
        <v>48.589800000000004</v>
      </c>
      <c r="I664" s="14">
        <f>48.5544 * CHOOSE(CONTROL!$C$15, $E$9, 100%, $G$9) + CHOOSE(CONTROL!$C$38, 0.0369, 0)</f>
        <v>48.591300000000004</v>
      </c>
      <c r="J664" s="44">
        <f>420.3241</f>
        <v>420.32409999999999</v>
      </c>
    </row>
    <row r="665" spans="1:10" ht="15.75" x14ac:dyDescent="0.25">
      <c r="A665" s="32">
        <v>61178</v>
      </c>
      <c r="B665" s="14">
        <f>52.0989 * CHOOSE(CONTROL!$C$15, $E$9, 100%, $G$9) + CHOOSE(CONTROL!$C$38, 0.0278, 0)</f>
        <v>52.1267</v>
      </c>
      <c r="C665" s="14">
        <f>49.2474 * CHOOSE(CONTROL!$C$15, $E$9, 100%, $G$9) + CHOOSE(CONTROL!$C$38, 0.0369, 0)</f>
        <v>49.284300000000002</v>
      </c>
      <c r="D665" s="14">
        <f>49.2396 * CHOOSE(CONTROL!$C$15, $E$9, 100%, $G$9) + CHOOSE(CONTROL!$C$38, 0.0369, 0)</f>
        <v>49.276500000000006</v>
      </c>
      <c r="E665" s="46">
        <f>51.9426 * CHOOSE(CONTROL!$C$15, $E$9, 100%, $G$9) + CHOOSE(CONTROL!$C$38, 0.0369, 0)</f>
        <v>51.979500000000002</v>
      </c>
      <c r="F665" s="45">
        <f>51.9426 * CHOOSE(CONTROL!$C$15, $E$9, 100%, $G$9) + CHOOSE(CONTROL!$C$38, 0.0278, 0)</f>
        <v>51.970399999999998</v>
      </c>
      <c r="G665" s="14">
        <f>49.2458 * CHOOSE(CONTROL!$C$15, $E$9, 100%, $G$9) + CHOOSE(CONTROL!$C$38, 0.0369, 0)</f>
        <v>49.282700000000006</v>
      </c>
      <c r="H665" s="14">
        <f>49.2458 * CHOOSE(CONTROL!$C$15, $E$9, 100%, $G$9) + CHOOSE(CONTROL!$C$38, 0.0369, 0)</f>
        <v>49.282700000000006</v>
      </c>
      <c r="I665" s="14">
        <f>49.2474 * CHOOSE(CONTROL!$C$15, $E$9, 100%, $G$9) + CHOOSE(CONTROL!$C$38, 0.0369, 0)</f>
        <v>49.284300000000002</v>
      </c>
      <c r="J665" s="44">
        <f>426.3805</f>
        <v>426.38049999999998</v>
      </c>
    </row>
    <row r="666" spans="1:10" ht="15.75" x14ac:dyDescent="0.25">
      <c r="A666" s="32">
        <v>61209</v>
      </c>
      <c r="B666" s="14">
        <f>51.8581 * CHOOSE(CONTROL!$C$15, $E$9, 100%, $G$9) + CHOOSE(CONTROL!$C$38, 0.0278, 0)</f>
        <v>51.885899999999999</v>
      </c>
      <c r="C666" s="14">
        <f>49.0192 * CHOOSE(CONTROL!$C$15, $E$9, 100%, $G$9) + CHOOSE(CONTROL!$C$38, 0.0369, 0)</f>
        <v>49.056100000000001</v>
      </c>
      <c r="D666" s="14">
        <f>49.0114 * CHOOSE(CONTROL!$C$15, $E$9, 100%, $G$9) + CHOOSE(CONTROL!$C$38, 0.0369, 0)</f>
        <v>49.048300000000005</v>
      </c>
      <c r="E666" s="46">
        <f>51.7019 * CHOOSE(CONTROL!$C$15, $E$9, 100%, $G$9) + CHOOSE(CONTROL!$C$38, 0.0369, 0)</f>
        <v>51.738800000000005</v>
      </c>
      <c r="F666" s="45">
        <f>51.7019 * CHOOSE(CONTROL!$C$15, $E$9, 100%, $G$9) + CHOOSE(CONTROL!$C$38, 0.0278, 0)</f>
        <v>51.729700000000001</v>
      </c>
      <c r="G666" s="14">
        <f>49.0177 * CHOOSE(CONTROL!$C$15, $E$9, 100%, $G$9) + CHOOSE(CONTROL!$C$38, 0.0369, 0)</f>
        <v>49.054600000000001</v>
      </c>
      <c r="H666" s="14">
        <f>49.0177 * CHOOSE(CONTROL!$C$15, $E$9, 100%, $G$9) + CHOOSE(CONTROL!$C$38, 0.0369, 0)</f>
        <v>49.054600000000001</v>
      </c>
      <c r="I666" s="14">
        <f>49.0192 * CHOOSE(CONTROL!$C$15, $E$9, 100%, $G$9) + CHOOSE(CONTROL!$C$38, 0.0369, 0)</f>
        <v>49.056100000000001</v>
      </c>
      <c r="J666" s="44">
        <f>424.3865</f>
        <v>424.38650000000001</v>
      </c>
    </row>
    <row r="667" spans="1:10" ht="15.75" x14ac:dyDescent="0.25">
      <c r="A667" s="32">
        <v>61240</v>
      </c>
      <c r="B667" s="14">
        <f>50.6653 * CHOOSE(CONTROL!$C$15, $E$9, 100%, $G$9) + CHOOSE(CONTROL!$C$38, 0.0278, 0)</f>
        <v>50.693100000000001</v>
      </c>
      <c r="C667" s="14">
        <f>47.8888 * CHOOSE(CONTROL!$C$15, $E$9, 100%, $G$9) + CHOOSE(CONTROL!$C$38, 0.0369, 0)</f>
        <v>47.925700000000006</v>
      </c>
      <c r="D667" s="14">
        <f>47.881 * CHOOSE(CONTROL!$C$15, $E$9, 100%, $G$9) + CHOOSE(CONTROL!$C$38, 0.0369, 0)</f>
        <v>47.917900000000003</v>
      </c>
      <c r="E667" s="46">
        <f>50.509 * CHOOSE(CONTROL!$C$15, $E$9, 100%, $G$9) + CHOOSE(CONTROL!$C$38, 0.0369, 0)</f>
        <v>50.545900000000003</v>
      </c>
      <c r="F667" s="45">
        <f>50.509 * CHOOSE(CONTROL!$C$15, $E$9, 100%, $G$9) + CHOOSE(CONTROL!$C$38, 0.0278, 0)</f>
        <v>50.536799999999999</v>
      </c>
      <c r="G667" s="14">
        <f>47.8873 * CHOOSE(CONTROL!$C$15, $E$9, 100%, $G$9) + CHOOSE(CONTROL!$C$38, 0.0369, 0)</f>
        <v>47.924200000000006</v>
      </c>
      <c r="H667" s="14">
        <f>47.8873 * CHOOSE(CONTROL!$C$15, $E$9, 100%, $G$9) + CHOOSE(CONTROL!$C$38, 0.0369, 0)</f>
        <v>47.924200000000006</v>
      </c>
      <c r="I667" s="14">
        <f>47.8888 * CHOOSE(CONTROL!$C$15, $E$9, 100%, $G$9) + CHOOSE(CONTROL!$C$38, 0.0369, 0)</f>
        <v>47.925700000000006</v>
      </c>
      <c r="J667" s="44">
        <f>414.5069</f>
        <v>414.50689999999997</v>
      </c>
    </row>
    <row r="668" spans="1:10" ht="15.75" x14ac:dyDescent="0.25">
      <c r="A668" s="32">
        <v>61270</v>
      </c>
      <c r="B668" s="14">
        <f>49.0017 * CHOOSE(CONTROL!$C$15, $E$9, 100%, $G$9) + CHOOSE(CONTROL!$C$38, 0.0278, 0)</f>
        <v>49.029499999999999</v>
      </c>
      <c r="C668" s="14">
        <f>46.3124 * CHOOSE(CONTROL!$C$15, $E$9, 100%, $G$9) + CHOOSE(CONTROL!$C$38, 0.0369, 0)</f>
        <v>46.349299999999999</v>
      </c>
      <c r="D668" s="14">
        <f>46.3046 * CHOOSE(CONTROL!$C$15, $E$9, 100%, $G$9) + CHOOSE(CONTROL!$C$38, 0.0369, 0)</f>
        <v>46.341500000000003</v>
      </c>
      <c r="E668" s="46">
        <f>48.8455 * CHOOSE(CONTROL!$C$15, $E$9, 100%, $G$9) + CHOOSE(CONTROL!$C$38, 0.0369, 0)</f>
        <v>48.882400000000004</v>
      </c>
      <c r="F668" s="45">
        <f>48.8455 * CHOOSE(CONTROL!$C$15, $E$9, 100%, $G$9) + CHOOSE(CONTROL!$C$38, 0.0278, 0)</f>
        <v>48.8733</v>
      </c>
      <c r="G668" s="14">
        <f>46.3108 * CHOOSE(CONTROL!$C$15, $E$9, 100%, $G$9) + CHOOSE(CONTROL!$C$38, 0.0369, 0)</f>
        <v>46.347700000000003</v>
      </c>
      <c r="H668" s="14">
        <f>46.3108 * CHOOSE(CONTROL!$C$15, $E$9, 100%, $G$9) + CHOOSE(CONTROL!$C$38, 0.0369, 0)</f>
        <v>46.347700000000003</v>
      </c>
      <c r="I668" s="14">
        <f>46.3124 * CHOOSE(CONTROL!$C$15, $E$9, 100%, $G$9) + CHOOSE(CONTROL!$C$38, 0.0369, 0)</f>
        <v>46.349299999999999</v>
      </c>
      <c r="J668" s="44">
        <f>400.7294</f>
        <v>400.7294</v>
      </c>
    </row>
    <row r="669" spans="1:10" ht="15.75" x14ac:dyDescent="0.25">
      <c r="A669" s="32">
        <v>61301</v>
      </c>
      <c r="B669" s="14">
        <f>47.3286 * CHOOSE(CONTROL!$C$15, $E$9, 100%, $G$9) + CHOOSE(CONTROL!$C$38, 0.0256, 0)</f>
        <v>47.354199999999999</v>
      </c>
      <c r="C669" s="14">
        <f>44.7268 * CHOOSE(CONTROL!$C$15, $E$9, 100%, $G$9) + CHOOSE(CONTROL!$C$38, 0.0347, 0)</f>
        <v>44.761499999999998</v>
      </c>
      <c r="D669" s="14">
        <f>44.719 * CHOOSE(CONTROL!$C$15, $E$9, 100%, $G$9) + CHOOSE(CONTROL!$C$38, 0.0347, 0)</f>
        <v>44.753700000000002</v>
      </c>
      <c r="E669" s="46">
        <f>47.1723 * CHOOSE(CONTROL!$C$15, $E$9, 100%, $G$9) + CHOOSE(CONTROL!$C$38, 0.0347, 0)</f>
        <v>47.207000000000001</v>
      </c>
      <c r="F669" s="45">
        <f>47.1723 * CHOOSE(CONTROL!$C$15, $E$9, 100%, $G$9) + CHOOSE(CONTROL!$C$38, 0.0256, 0)</f>
        <v>47.197899999999997</v>
      </c>
      <c r="G669" s="14">
        <f>44.7252 * CHOOSE(CONTROL!$C$15, $E$9, 100%, $G$9) + CHOOSE(CONTROL!$C$38, 0.0347, 0)</f>
        <v>44.759900000000002</v>
      </c>
      <c r="H669" s="14">
        <f>44.7252 * CHOOSE(CONTROL!$C$15, $E$9, 100%, $G$9) + CHOOSE(CONTROL!$C$38, 0.0347, 0)</f>
        <v>44.759900000000002</v>
      </c>
      <c r="I669" s="14">
        <f>44.7268 * CHOOSE(CONTROL!$C$15, $E$9, 100%, $G$9) + CHOOSE(CONTROL!$C$38, 0.0347, 0)</f>
        <v>44.761499999999998</v>
      </c>
      <c r="J669" s="44">
        <f>386.8718</f>
        <v>386.87180000000001</v>
      </c>
    </row>
    <row r="670" spans="1:10" ht="15.75" x14ac:dyDescent="0.25">
      <c r="A670" s="32">
        <v>61331</v>
      </c>
      <c r="B670" s="14">
        <f>46.9957 * CHOOSE(CONTROL!$C$15, $E$9, 100%, $G$9) + CHOOSE(CONTROL!$C$38, 0.0256, 0)</f>
        <v>47.021299999999997</v>
      </c>
      <c r="C670" s="14">
        <f>44.4114 * CHOOSE(CONTROL!$C$15, $E$9, 100%, $G$9) + CHOOSE(CONTROL!$C$38, 0.0347, 0)</f>
        <v>44.446100000000001</v>
      </c>
      <c r="D670" s="14">
        <f>44.4036 * CHOOSE(CONTROL!$C$15, $E$9, 100%, $G$9) + CHOOSE(CONTROL!$C$38, 0.0347, 0)</f>
        <v>44.438299999999998</v>
      </c>
      <c r="E670" s="46">
        <f>46.8395 * CHOOSE(CONTROL!$C$15, $E$9, 100%, $G$9) + CHOOSE(CONTROL!$C$38, 0.0347, 0)</f>
        <v>46.874200000000002</v>
      </c>
      <c r="F670" s="45">
        <f>46.8395 * CHOOSE(CONTROL!$C$15, $E$9, 100%, $G$9) + CHOOSE(CONTROL!$C$38, 0.0256, 0)</f>
        <v>46.865099999999998</v>
      </c>
      <c r="G670" s="14">
        <f>44.4098 * CHOOSE(CONTROL!$C$15, $E$9, 100%, $G$9) + CHOOSE(CONTROL!$C$38, 0.0347, 0)</f>
        <v>44.444499999999998</v>
      </c>
      <c r="H670" s="14">
        <f>44.4098 * CHOOSE(CONTROL!$C$15, $E$9, 100%, $G$9) + CHOOSE(CONTROL!$C$38, 0.0347, 0)</f>
        <v>44.444499999999998</v>
      </c>
      <c r="I670" s="14">
        <f>44.4114 * CHOOSE(CONTROL!$C$15, $E$9, 100%, $G$9) + CHOOSE(CONTROL!$C$38, 0.0347, 0)</f>
        <v>44.446100000000001</v>
      </c>
      <c r="J670" s="44">
        <f>384.1152</f>
        <v>384.11520000000002</v>
      </c>
    </row>
    <row r="671" spans="1:10" ht="15.75" x14ac:dyDescent="0.25">
      <c r="A671" s="32">
        <v>61362</v>
      </c>
      <c r="B671" s="14">
        <f>45.6194 * CHOOSE(CONTROL!$C$15, $E$9, 100%, $G$9) + CHOOSE(CONTROL!$C$38, 0.0256, 0)</f>
        <v>45.644999999999996</v>
      </c>
      <c r="C671" s="14">
        <f>43.1072 * CHOOSE(CONTROL!$C$15, $E$9, 100%, $G$9) + CHOOSE(CONTROL!$C$38, 0.0347, 0)</f>
        <v>43.1419</v>
      </c>
      <c r="D671" s="14">
        <f>43.0994 * CHOOSE(CONTROL!$C$15, $E$9, 100%, $G$9) + CHOOSE(CONTROL!$C$38, 0.0347, 0)</f>
        <v>43.134100000000004</v>
      </c>
      <c r="E671" s="46">
        <f>45.4632 * CHOOSE(CONTROL!$C$15, $E$9, 100%, $G$9) + CHOOSE(CONTROL!$C$38, 0.0347, 0)</f>
        <v>45.497900000000001</v>
      </c>
      <c r="F671" s="45">
        <f>45.4632 * CHOOSE(CONTROL!$C$15, $E$9, 100%, $G$9) + CHOOSE(CONTROL!$C$38, 0.0256, 0)</f>
        <v>45.488799999999998</v>
      </c>
      <c r="G671" s="14">
        <f>43.1056 * CHOOSE(CONTROL!$C$15, $E$9, 100%, $G$9) + CHOOSE(CONTROL!$C$38, 0.0347, 0)</f>
        <v>43.140300000000003</v>
      </c>
      <c r="H671" s="14">
        <f>43.1056 * CHOOSE(CONTROL!$C$15, $E$9, 100%, $G$9) + CHOOSE(CONTROL!$C$38, 0.0347, 0)</f>
        <v>43.140300000000003</v>
      </c>
      <c r="I671" s="14">
        <f>43.1072 * CHOOSE(CONTROL!$C$15, $E$9, 100%, $G$9) + CHOOSE(CONTROL!$C$38, 0.0347, 0)</f>
        <v>43.1419</v>
      </c>
      <c r="J671" s="44">
        <f>372.7166</f>
        <v>372.71660000000003</v>
      </c>
    </row>
    <row r="672" spans="1:10" ht="15.75" x14ac:dyDescent="0.25">
      <c r="A672" s="32">
        <v>61393</v>
      </c>
      <c r="B672" s="14">
        <f>45.2777 * CHOOSE(CONTROL!$C$15, $E$9, 100%, $G$9) + CHOOSE(CONTROL!$C$38, 0.0256, 0)</f>
        <v>45.3033</v>
      </c>
      <c r="C672" s="14">
        <f>42.7833 * CHOOSE(CONTROL!$C$15, $E$9, 100%, $G$9) + CHOOSE(CONTROL!$C$38, 0.0347, 0)</f>
        <v>42.817999999999998</v>
      </c>
      <c r="D672" s="14">
        <f>42.7755 * CHOOSE(CONTROL!$C$15, $E$9, 100%, $G$9) + CHOOSE(CONTROL!$C$38, 0.0347, 0)</f>
        <v>42.810200000000002</v>
      </c>
      <c r="E672" s="46">
        <f>45.1214 * CHOOSE(CONTROL!$C$15, $E$9, 100%, $G$9) + CHOOSE(CONTROL!$C$38, 0.0347, 0)</f>
        <v>45.156100000000002</v>
      </c>
      <c r="F672" s="45">
        <f>45.1214 * CHOOSE(CONTROL!$C$15, $E$9, 100%, $G$9) + CHOOSE(CONTROL!$C$38, 0.0256, 0)</f>
        <v>45.146999999999998</v>
      </c>
      <c r="G672" s="14">
        <f>42.7817 * CHOOSE(CONTROL!$C$15, $E$9, 100%, $G$9) + CHOOSE(CONTROL!$C$38, 0.0347, 0)</f>
        <v>42.816400000000002</v>
      </c>
      <c r="H672" s="14">
        <f>42.7817 * CHOOSE(CONTROL!$C$15, $E$9, 100%, $G$9) + CHOOSE(CONTROL!$C$38, 0.0347, 0)</f>
        <v>42.816400000000002</v>
      </c>
      <c r="I672" s="14">
        <f>42.7833 * CHOOSE(CONTROL!$C$15, $E$9, 100%, $G$9) + CHOOSE(CONTROL!$C$38, 0.0347, 0)</f>
        <v>42.817999999999998</v>
      </c>
      <c r="J672" s="44">
        <f>372.2359</f>
        <v>372.23590000000002</v>
      </c>
    </row>
    <row r="673" spans="1:10" ht="15.75" x14ac:dyDescent="0.25">
      <c r="A673" s="32">
        <v>61422</v>
      </c>
      <c r="B673" s="14">
        <f>45.1535 * CHOOSE(CONTROL!$C$15, $E$9, 100%, $G$9) + CHOOSE(CONTROL!$C$38, 0.0256, 0)</f>
        <v>45.179099999999998</v>
      </c>
      <c r="C673" s="14">
        <f>42.6656 * CHOOSE(CONTROL!$C$15, $E$9, 100%, $G$9) + CHOOSE(CONTROL!$C$38, 0.0347, 0)</f>
        <v>42.700299999999999</v>
      </c>
      <c r="D673" s="14">
        <f>42.6578 * CHOOSE(CONTROL!$C$15, $E$9, 100%, $G$9) + CHOOSE(CONTROL!$C$38, 0.0347, 0)</f>
        <v>42.692500000000003</v>
      </c>
      <c r="E673" s="46">
        <f>44.9973 * CHOOSE(CONTROL!$C$15, $E$9, 100%, $G$9) + CHOOSE(CONTROL!$C$38, 0.0347, 0)</f>
        <v>45.032000000000004</v>
      </c>
      <c r="F673" s="45">
        <f>44.9973 * CHOOSE(CONTROL!$C$15, $E$9, 100%, $G$9) + CHOOSE(CONTROL!$C$38, 0.0256, 0)</f>
        <v>45.0229</v>
      </c>
      <c r="G673" s="14">
        <f>42.6641 * CHOOSE(CONTROL!$C$15, $E$9, 100%, $G$9) + CHOOSE(CONTROL!$C$38, 0.0347, 0)</f>
        <v>42.698799999999999</v>
      </c>
      <c r="H673" s="14">
        <f>42.6641 * CHOOSE(CONTROL!$C$15, $E$9, 100%, $G$9) + CHOOSE(CONTROL!$C$38, 0.0347, 0)</f>
        <v>42.698799999999999</v>
      </c>
      <c r="I673" s="14">
        <f>42.6656 * CHOOSE(CONTROL!$C$15, $E$9, 100%, $G$9) + CHOOSE(CONTROL!$C$38, 0.0347, 0)</f>
        <v>42.700299999999999</v>
      </c>
      <c r="J673" s="44">
        <f>371.2013</f>
        <v>371.2013</v>
      </c>
    </row>
    <row r="674" spans="1:10" ht="15.75" x14ac:dyDescent="0.25">
      <c r="A674" s="32">
        <v>61453</v>
      </c>
      <c r="B674" s="14">
        <f>47.5008 * CHOOSE(CONTROL!$C$15, $E$9, 100%, $G$9) + CHOOSE(CONTROL!$C$38, 0.0256, 0)</f>
        <v>47.526399999999995</v>
      </c>
      <c r="C674" s="14">
        <f>44.8901 * CHOOSE(CONTROL!$C$15, $E$9, 100%, $G$9) + CHOOSE(CONTROL!$C$38, 0.0347, 0)</f>
        <v>44.924799999999998</v>
      </c>
      <c r="D674" s="14">
        <f>44.8823 * CHOOSE(CONTROL!$C$15, $E$9, 100%, $G$9) + CHOOSE(CONTROL!$C$38, 0.0347, 0)</f>
        <v>44.917000000000002</v>
      </c>
      <c r="E674" s="46">
        <f>47.3446 * CHOOSE(CONTROL!$C$15, $E$9, 100%, $G$9) + CHOOSE(CONTROL!$C$38, 0.0347, 0)</f>
        <v>47.379300000000001</v>
      </c>
      <c r="F674" s="45">
        <f>47.3446 * CHOOSE(CONTROL!$C$15, $E$9, 100%, $G$9) + CHOOSE(CONTROL!$C$38, 0.0256, 0)</f>
        <v>47.370199999999997</v>
      </c>
      <c r="G674" s="14">
        <f>44.8885 * CHOOSE(CONTROL!$C$15, $E$9, 100%, $G$9) + CHOOSE(CONTROL!$C$38, 0.0347, 0)</f>
        <v>44.923200000000001</v>
      </c>
      <c r="H674" s="14">
        <f>44.8885 * CHOOSE(CONTROL!$C$15, $E$9, 100%, $G$9) + CHOOSE(CONTROL!$C$38, 0.0347, 0)</f>
        <v>44.923200000000001</v>
      </c>
      <c r="I674" s="14">
        <f>44.8901 * CHOOSE(CONTROL!$C$15, $E$9, 100%, $G$9) + CHOOSE(CONTROL!$C$38, 0.0347, 0)</f>
        <v>44.924799999999998</v>
      </c>
      <c r="J674" s="44">
        <f>390.7657</f>
        <v>390.76569999999998</v>
      </c>
    </row>
    <row r="675" spans="1:10" ht="15.75" x14ac:dyDescent="0.25">
      <c r="A675" s="32">
        <v>61483</v>
      </c>
      <c r="B675" s="14">
        <f>50.5448 * CHOOSE(CONTROL!$C$15, $E$9, 100%, $G$9) + CHOOSE(CONTROL!$C$38, 0.0256, 0)</f>
        <v>50.570399999999999</v>
      </c>
      <c r="C675" s="14">
        <f>47.7746 * CHOOSE(CONTROL!$C$15, $E$9, 100%, $G$9) + CHOOSE(CONTROL!$C$38, 0.0347, 0)</f>
        <v>47.8093</v>
      </c>
      <c r="D675" s="14">
        <f>47.7668 * CHOOSE(CONTROL!$C$15, $E$9, 100%, $G$9) + CHOOSE(CONTROL!$C$38, 0.0347, 0)</f>
        <v>47.801500000000004</v>
      </c>
      <c r="E675" s="46">
        <f>50.3885 * CHOOSE(CONTROL!$C$15, $E$9, 100%, $G$9) + CHOOSE(CONTROL!$C$38, 0.0347, 0)</f>
        <v>50.423200000000001</v>
      </c>
      <c r="F675" s="45">
        <f>50.3885 * CHOOSE(CONTROL!$C$15, $E$9, 100%, $G$9) + CHOOSE(CONTROL!$C$38, 0.0256, 0)</f>
        <v>50.414099999999998</v>
      </c>
      <c r="G675" s="14">
        <f>47.7731 * CHOOSE(CONTROL!$C$15, $E$9, 100%, $G$9) + CHOOSE(CONTROL!$C$38, 0.0347, 0)</f>
        <v>47.8078</v>
      </c>
      <c r="H675" s="14">
        <f>47.7731 * CHOOSE(CONTROL!$C$15, $E$9, 100%, $G$9) + CHOOSE(CONTROL!$C$38, 0.0347, 0)</f>
        <v>47.8078</v>
      </c>
      <c r="I675" s="14">
        <f>47.7746 * CHOOSE(CONTROL!$C$15, $E$9, 100%, $G$9) + CHOOSE(CONTROL!$C$38, 0.0347, 0)</f>
        <v>47.8093</v>
      </c>
      <c r="J675" s="44">
        <f>416.1361</f>
        <v>416.1361</v>
      </c>
    </row>
    <row r="676" spans="1:10" ht="15.75" x14ac:dyDescent="0.25">
      <c r="A676" s="32">
        <v>61514</v>
      </c>
      <c r="B676" s="14">
        <f>52.2202 * CHOOSE(CONTROL!$C$15, $E$9, 100%, $G$9) + CHOOSE(CONTROL!$C$38, 0.0278, 0)</f>
        <v>52.247999999999998</v>
      </c>
      <c r="C676" s="14">
        <f>49.3624 * CHOOSE(CONTROL!$C$15, $E$9, 100%, $G$9) + CHOOSE(CONTROL!$C$38, 0.0369, 0)</f>
        <v>49.399300000000004</v>
      </c>
      <c r="D676" s="14">
        <f>49.3546 * CHOOSE(CONTROL!$C$15, $E$9, 100%, $G$9) + CHOOSE(CONTROL!$C$38, 0.0369, 0)</f>
        <v>49.391500000000001</v>
      </c>
      <c r="E676" s="46">
        <f>52.064 * CHOOSE(CONTROL!$C$15, $E$9, 100%, $G$9) + CHOOSE(CONTROL!$C$38, 0.0369, 0)</f>
        <v>52.100900000000003</v>
      </c>
      <c r="F676" s="45">
        <f>52.064 * CHOOSE(CONTROL!$C$15, $E$9, 100%, $G$9) + CHOOSE(CONTROL!$C$38, 0.0278, 0)</f>
        <v>52.091799999999999</v>
      </c>
      <c r="G676" s="14">
        <f>49.3608 * CHOOSE(CONTROL!$C$15, $E$9, 100%, $G$9) + CHOOSE(CONTROL!$C$38, 0.0369, 0)</f>
        <v>49.3977</v>
      </c>
      <c r="H676" s="14">
        <f>49.3608 * CHOOSE(CONTROL!$C$15, $E$9, 100%, $G$9) + CHOOSE(CONTROL!$C$38, 0.0369, 0)</f>
        <v>49.3977</v>
      </c>
      <c r="I676" s="14">
        <f>49.3624 * CHOOSE(CONTROL!$C$15, $E$9, 100%, $G$9) + CHOOSE(CONTROL!$C$38, 0.0369, 0)</f>
        <v>49.399300000000004</v>
      </c>
      <c r="J676" s="44">
        <f>430.1008</f>
        <v>430.10079999999999</v>
      </c>
    </row>
    <row r="677" spans="1:10" ht="15.75" x14ac:dyDescent="0.25">
      <c r="A677" s="32">
        <v>61544</v>
      </c>
      <c r="B677" s="14">
        <f>52.9638 * CHOOSE(CONTROL!$C$15, $E$9, 100%, $G$9) + CHOOSE(CONTROL!$C$38, 0.0278, 0)</f>
        <v>52.991599999999998</v>
      </c>
      <c r="C677" s="14">
        <f>50.067 * CHOOSE(CONTROL!$C$15, $E$9, 100%, $G$9) + CHOOSE(CONTROL!$C$38, 0.0369, 0)</f>
        <v>50.103900000000003</v>
      </c>
      <c r="D677" s="14">
        <f>50.0592 * CHOOSE(CONTROL!$C$15, $E$9, 100%, $G$9) + CHOOSE(CONTROL!$C$38, 0.0369, 0)</f>
        <v>50.0961</v>
      </c>
      <c r="E677" s="46">
        <f>52.8075 * CHOOSE(CONTROL!$C$15, $E$9, 100%, $G$9) + CHOOSE(CONTROL!$C$38, 0.0369, 0)</f>
        <v>52.8444</v>
      </c>
      <c r="F677" s="45">
        <f>52.8075 * CHOOSE(CONTROL!$C$15, $E$9, 100%, $G$9) + CHOOSE(CONTROL!$C$38, 0.0278, 0)</f>
        <v>52.835299999999997</v>
      </c>
      <c r="G677" s="14">
        <f>50.0654 * CHOOSE(CONTROL!$C$15, $E$9, 100%, $G$9) + CHOOSE(CONTROL!$C$38, 0.0369, 0)</f>
        <v>50.1023</v>
      </c>
      <c r="H677" s="14">
        <f>50.0654 * CHOOSE(CONTROL!$C$15, $E$9, 100%, $G$9) + CHOOSE(CONTROL!$C$38, 0.0369, 0)</f>
        <v>50.1023</v>
      </c>
      <c r="I677" s="14">
        <f>50.067 * CHOOSE(CONTROL!$C$15, $E$9, 100%, $G$9) + CHOOSE(CONTROL!$C$38, 0.0369, 0)</f>
        <v>50.103900000000003</v>
      </c>
      <c r="J677" s="44">
        <f>436.2981</f>
        <v>436.29809999999998</v>
      </c>
    </row>
    <row r="678" spans="1:10" ht="15.75" x14ac:dyDescent="0.25">
      <c r="A678" s="32">
        <v>61575</v>
      </c>
      <c r="B678" s="14">
        <f>52.719 * CHOOSE(CONTROL!$C$15, $E$9, 100%, $G$9) + CHOOSE(CONTROL!$C$38, 0.0278, 0)</f>
        <v>52.7468</v>
      </c>
      <c r="C678" s="14">
        <f>49.835 * CHOOSE(CONTROL!$C$15, $E$9, 100%, $G$9) + CHOOSE(CONTROL!$C$38, 0.0369, 0)</f>
        <v>49.871900000000004</v>
      </c>
      <c r="D678" s="14">
        <f>49.8272 * CHOOSE(CONTROL!$C$15, $E$9, 100%, $G$9) + CHOOSE(CONTROL!$C$38, 0.0369, 0)</f>
        <v>49.864100000000001</v>
      </c>
      <c r="E678" s="46">
        <f>52.5627 * CHOOSE(CONTROL!$C$15, $E$9, 100%, $G$9) + CHOOSE(CONTROL!$C$38, 0.0369, 0)</f>
        <v>52.599600000000002</v>
      </c>
      <c r="F678" s="45">
        <f>52.5627 * CHOOSE(CONTROL!$C$15, $E$9, 100%, $G$9) + CHOOSE(CONTROL!$C$38, 0.0278, 0)</f>
        <v>52.590499999999999</v>
      </c>
      <c r="G678" s="14">
        <f>49.8334 * CHOOSE(CONTROL!$C$15, $E$9, 100%, $G$9) + CHOOSE(CONTROL!$C$38, 0.0369, 0)</f>
        <v>49.8703</v>
      </c>
      <c r="H678" s="14">
        <f>49.8334 * CHOOSE(CONTROL!$C$15, $E$9, 100%, $G$9) + CHOOSE(CONTROL!$C$38, 0.0369, 0)</f>
        <v>49.8703</v>
      </c>
      <c r="I678" s="14">
        <f>49.835 * CHOOSE(CONTROL!$C$15, $E$9, 100%, $G$9) + CHOOSE(CONTROL!$C$38, 0.0369, 0)</f>
        <v>49.871900000000004</v>
      </c>
      <c r="J678" s="44">
        <f>434.2577</f>
        <v>434.2577</v>
      </c>
    </row>
    <row r="679" spans="1:10" ht="15.75" x14ac:dyDescent="0.25">
      <c r="A679" s="32">
        <v>61606</v>
      </c>
      <c r="B679" s="14">
        <f>51.506 * CHOOSE(CONTROL!$C$15, $E$9, 100%, $G$9) + CHOOSE(CONTROL!$C$38, 0.0278, 0)</f>
        <v>51.533799999999999</v>
      </c>
      <c r="C679" s="14">
        <f>48.6856 * CHOOSE(CONTROL!$C$15, $E$9, 100%, $G$9) + CHOOSE(CONTROL!$C$38, 0.0369, 0)</f>
        <v>48.722500000000004</v>
      </c>
      <c r="D679" s="14">
        <f>48.6778 * CHOOSE(CONTROL!$C$15, $E$9, 100%, $G$9) + CHOOSE(CONTROL!$C$38, 0.0369, 0)</f>
        <v>48.714700000000001</v>
      </c>
      <c r="E679" s="46">
        <f>51.3498 * CHOOSE(CONTROL!$C$15, $E$9, 100%, $G$9) + CHOOSE(CONTROL!$C$38, 0.0369, 0)</f>
        <v>51.386700000000005</v>
      </c>
      <c r="F679" s="45">
        <f>51.3498 * CHOOSE(CONTROL!$C$15, $E$9, 100%, $G$9) + CHOOSE(CONTROL!$C$38, 0.0278, 0)</f>
        <v>51.377600000000001</v>
      </c>
      <c r="G679" s="14">
        <f>48.684 * CHOOSE(CONTROL!$C$15, $E$9, 100%, $G$9) + CHOOSE(CONTROL!$C$38, 0.0369, 0)</f>
        <v>48.7209</v>
      </c>
      <c r="H679" s="14">
        <f>48.684 * CHOOSE(CONTROL!$C$15, $E$9, 100%, $G$9) + CHOOSE(CONTROL!$C$38, 0.0369, 0)</f>
        <v>48.7209</v>
      </c>
      <c r="I679" s="14">
        <f>48.6856 * CHOOSE(CONTROL!$C$15, $E$9, 100%, $G$9) + CHOOSE(CONTROL!$C$38, 0.0369, 0)</f>
        <v>48.722500000000004</v>
      </c>
      <c r="J679" s="44">
        <f>424.1483</f>
        <v>424.14830000000001</v>
      </c>
    </row>
    <row r="680" spans="1:10" ht="15.75" x14ac:dyDescent="0.25">
      <c r="A680" s="32">
        <v>61636</v>
      </c>
      <c r="B680" s="14">
        <f>49.8146 * CHOOSE(CONTROL!$C$15, $E$9, 100%, $G$9) + CHOOSE(CONTROL!$C$38, 0.0278, 0)</f>
        <v>49.842399999999998</v>
      </c>
      <c r="C680" s="14">
        <f>47.0827 * CHOOSE(CONTROL!$C$15, $E$9, 100%, $G$9) + CHOOSE(CONTROL!$C$38, 0.0369, 0)</f>
        <v>47.119600000000005</v>
      </c>
      <c r="D680" s="14">
        <f>47.0749 * CHOOSE(CONTROL!$C$15, $E$9, 100%, $G$9) + CHOOSE(CONTROL!$C$38, 0.0369, 0)</f>
        <v>47.111800000000002</v>
      </c>
      <c r="E680" s="46">
        <f>49.6583 * CHOOSE(CONTROL!$C$15, $E$9, 100%, $G$9) + CHOOSE(CONTROL!$C$38, 0.0369, 0)</f>
        <v>49.6952</v>
      </c>
      <c r="F680" s="45">
        <f>49.6583 * CHOOSE(CONTROL!$C$15, $E$9, 100%, $G$9) + CHOOSE(CONTROL!$C$38, 0.0278, 0)</f>
        <v>49.686099999999996</v>
      </c>
      <c r="G680" s="14">
        <f>47.0811 * CHOOSE(CONTROL!$C$15, $E$9, 100%, $G$9) + CHOOSE(CONTROL!$C$38, 0.0369, 0)</f>
        <v>47.118000000000002</v>
      </c>
      <c r="H680" s="14">
        <f>47.0811 * CHOOSE(CONTROL!$C$15, $E$9, 100%, $G$9) + CHOOSE(CONTROL!$C$38, 0.0369, 0)</f>
        <v>47.118000000000002</v>
      </c>
      <c r="I680" s="14">
        <f>47.0827 * CHOOSE(CONTROL!$C$15, $E$9, 100%, $G$9) + CHOOSE(CONTROL!$C$38, 0.0369, 0)</f>
        <v>47.119600000000005</v>
      </c>
      <c r="J680" s="44">
        <f>410.0504</f>
        <v>410.05040000000002</v>
      </c>
    </row>
    <row r="681" spans="1:10" ht="15.75" x14ac:dyDescent="0.25">
      <c r="A681" s="32">
        <v>61667</v>
      </c>
      <c r="B681" s="14">
        <f>48.1133 * CHOOSE(CONTROL!$C$15, $E$9, 100%, $G$9) + CHOOSE(CONTROL!$C$38, 0.0256, 0)</f>
        <v>48.1389</v>
      </c>
      <c r="C681" s="14">
        <f>45.4705 * CHOOSE(CONTROL!$C$15, $E$9, 100%, $G$9) + CHOOSE(CONTROL!$C$38, 0.0347, 0)</f>
        <v>45.505200000000002</v>
      </c>
      <c r="D681" s="14">
        <f>45.4626 * CHOOSE(CONTROL!$C$15, $E$9, 100%, $G$9) + CHOOSE(CONTROL!$C$38, 0.0347, 0)</f>
        <v>45.497300000000003</v>
      </c>
      <c r="E681" s="46">
        <f>47.957 * CHOOSE(CONTROL!$C$15, $E$9, 100%, $G$9) + CHOOSE(CONTROL!$C$38, 0.0347, 0)</f>
        <v>47.991700000000002</v>
      </c>
      <c r="F681" s="45">
        <f>47.957 * CHOOSE(CONTROL!$C$15, $E$9, 100%, $G$9) + CHOOSE(CONTROL!$C$38, 0.0256, 0)</f>
        <v>47.982599999999998</v>
      </c>
      <c r="G681" s="14">
        <f>45.4689 * CHOOSE(CONTROL!$C$15, $E$9, 100%, $G$9) + CHOOSE(CONTROL!$C$38, 0.0347, 0)</f>
        <v>45.503599999999999</v>
      </c>
      <c r="H681" s="14">
        <f>45.4689 * CHOOSE(CONTROL!$C$15, $E$9, 100%, $G$9) + CHOOSE(CONTROL!$C$38, 0.0347, 0)</f>
        <v>45.503599999999999</v>
      </c>
      <c r="I681" s="14">
        <f>45.4705 * CHOOSE(CONTROL!$C$15, $E$9, 100%, $G$9) + CHOOSE(CONTROL!$C$38, 0.0347, 0)</f>
        <v>45.505200000000002</v>
      </c>
      <c r="J681" s="44">
        <f>395.8704</f>
        <v>395.87040000000002</v>
      </c>
    </row>
    <row r="682" spans="1:10" ht="15.75" x14ac:dyDescent="0.25">
      <c r="A682" s="32">
        <v>61697</v>
      </c>
      <c r="B682" s="14">
        <f>47.7749 * CHOOSE(CONTROL!$C$15, $E$9, 100%, $G$9) + CHOOSE(CONTROL!$C$38, 0.0256, 0)</f>
        <v>47.8005</v>
      </c>
      <c r="C682" s="14">
        <f>45.1498 * CHOOSE(CONTROL!$C$15, $E$9, 100%, $G$9) + CHOOSE(CONTROL!$C$38, 0.0347, 0)</f>
        <v>45.1845</v>
      </c>
      <c r="D682" s="14">
        <f>45.1419 * CHOOSE(CONTROL!$C$15, $E$9, 100%, $G$9) + CHOOSE(CONTROL!$C$38, 0.0347, 0)</f>
        <v>45.176600000000001</v>
      </c>
      <c r="E682" s="46">
        <f>47.6186 * CHOOSE(CONTROL!$C$15, $E$9, 100%, $G$9) + CHOOSE(CONTROL!$C$38, 0.0347, 0)</f>
        <v>47.653300000000002</v>
      </c>
      <c r="F682" s="45">
        <f>47.6186 * CHOOSE(CONTROL!$C$15, $E$9, 100%, $G$9) + CHOOSE(CONTROL!$C$38, 0.0256, 0)</f>
        <v>47.644199999999998</v>
      </c>
      <c r="G682" s="14">
        <f>45.1482 * CHOOSE(CONTROL!$C$15, $E$9, 100%, $G$9) + CHOOSE(CONTROL!$C$38, 0.0347, 0)</f>
        <v>45.182900000000004</v>
      </c>
      <c r="H682" s="14">
        <f>45.1482 * CHOOSE(CONTROL!$C$15, $E$9, 100%, $G$9) + CHOOSE(CONTROL!$C$38, 0.0347, 0)</f>
        <v>45.182900000000004</v>
      </c>
      <c r="I682" s="14">
        <f>45.1498 * CHOOSE(CONTROL!$C$15, $E$9, 100%, $G$9) + CHOOSE(CONTROL!$C$38, 0.0347, 0)</f>
        <v>45.1845</v>
      </c>
      <c r="J682" s="44">
        <f>393.0497</f>
        <v>393.04969999999997</v>
      </c>
    </row>
    <row r="683" spans="1:10" ht="15.75" x14ac:dyDescent="0.25">
      <c r="A683" s="32">
        <v>61728</v>
      </c>
      <c r="B683" s="14">
        <f>46.3755 * CHOOSE(CONTROL!$C$15, $E$9, 100%, $G$9) + CHOOSE(CONTROL!$C$38, 0.0256, 0)</f>
        <v>46.4011</v>
      </c>
      <c r="C683" s="14">
        <f>43.8236 * CHOOSE(CONTROL!$C$15, $E$9, 100%, $G$9) + CHOOSE(CONTROL!$C$38, 0.0347, 0)</f>
        <v>43.8583</v>
      </c>
      <c r="D683" s="14">
        <f>43.8158 * CHOOSE(CONTROL!$C$15, $E$9, 100%, $G$9) + CHOOSE(CONTROL!$C$38, 0.0347, 0)</f>
        <v>43.850500000000004</v>
      </c>
      <c r="E683" s="46">
        <f>46.2192 * CHOOSE(CONTROL!$C$15, $E$9, 100%, $G$9) + CHOOSE(CONTROL!$C$38, 0.0347, 0)</f>
        <v>46.253900000000002</v>
      </c>
      <c r="F683" s="45">
        <f>46.2192 * CHOOSE(CONTROL!$C$15, $E$9, 100%, $G$9) + CHOOSE(CONTROL!$C$38, 0.0256, 0)</f>
        <v>46.244799999999998</v>
      </c>
      <c r="G683" s="14">
        <f>43.822 * CHOOSE(CONTROL!$C$15, $E$9, 100%, $G$9) + CHOOSE(CONTROL!$C$38, 0.0347, 0)</f>
        <v>43.856700000000004</v>
      </c>
      <c r="H683" s="14">
        <f>43.822 * CHOOSE(CONTROL!$C$15, $E$9, 100%, $G$9) + CHOOSE(CONTROL!$C$38, 0.0347, 0)</f>
        <v>43.856700000000004</v>
      </c>
      <c r="I683" s="14">
        <f>43.8236 * CHOOSE(CONTROL!$C$15, $E$9, 100%, $G$9) + CHOOSE(CONTROL!$C$38, 0.0347, 0)</f>
        <v>43.8583</v>
      </c>
      <c r="J683" s="44">
        <f>381.386</f>
        <v>381.38600000000002</v>
      </c>
    </row>
    <row r="684" spans="1:10" ht="15.75" x14ac:dyDescent="0.25">
      <c r="A684" s="32">
        <v>61759</v>
      </c>
      <c r="B684" s="14">
        <f>46.0279 * CHOOSE(CONTROL!$C$15, $E$9, 100%, $G$9) + CHOOSE(CONTROL!$C$38, 0.0256, 0)</f>
        <v>46.0535</v>
      </c>
      <c r="C684" s="14">
        <f>43.4943 * CHOOSE(CONTROL!$C$15, $E$9, 100%, $G$9) + CHOOSE(CONTROL!$C$38, 0.0347, 0)</f>
        <v>43.529000000000003</v>
      </c>
      <c r="D684" s="14">
        <f>43.4865 * CHOOSE(CONTROL!$C$15, $E$9, 100%, $G$9) + CHOOSE(CONTROL!$C$38, 0.0347, 0)</f>
        <v>43.5212</v>
      </c>
      <c r="E684" s="46">
        <f>45.8717 * CHOOSE(CONTROL!$C$15, $E$9, 100%, $G$9) + CHOOSE(CONTROL!$C$38, 0.0347, 0)</f>
        <v>45.906399999999998</v>
      </c>
      <c r="F684" s="45">
        <f>45.8717 * CHOOSE(CONTROL!$C$15, $E$9, 100%, $G$9) + CHOOSE(CONTROL!$C$38, 0.0256, 0)</f>
        <v>45.897299999999994</v>
      </c>
      <c r="G684" s="14">
        <f>43.4927 * CHOOSE(CONTROL!$C$15, $E$9, 100%, $G$9) + CHOOSE(CONTROL!$C$38, 0.0347, 0)</f>
        <v>43.5274</v>
      </c>
      <c r="H684" s="14">
        <f>43.4927 * CHOOSE(CONTROL!$C$15, $E$9, 100%, $G$9) + CHOOSE(CONTROL!$C$38, 0.0347, 0)</f>
        <v>43.5274</v>
      </c>
      <c r="I684" s="14">
        <f>43.4943 * CHOOSE(CONTROL!$C$15, $E$9, 100%, $G$9) + CHOOSE(CONTROL!$C$38, 0.0347, 0)</f>
        <v>43.529000000000003</v>
      </c>
      <c r="J684" s="44">
        <f>380.8942</f>
        <v>380.89420000000001</v>
      </c>
    </row>
    <row r="685" spans="1:10" ht="15.75" x14ac:dyDescent="0.25">
      <c r="A685" s="32">
        <v>61787</v>
      </c>
      <c r="B685" s="14">
        <f>45.9017 * CHOOSE(CONTROL!$C$15, $E$9, 100%, $G$9) + CHOOSE(CONTROL!$C$38, 0.0256, 0)</f>
        <v>45.927299999999995</v>
      </c>
      <c r="C685" s="14">
        <f>43.3747 * CHOOSE(CONTROL!$C$15, $E$9, 100%, $G$9) + CHOOSE(CONTROL!$C$38, 0.0347, 0)</f>
        <v>43.409399999999998</v>
      </c>
      <c r="D685" s="14">
        <f>43.3668 * CHOOSE(CONTROL!$C$15, $E$9, 100%, $G$9) + CHOOSE(CONTROL!$C$38, 0.0347, 0)</f>
        <v>43.401499999999999</v>
      </c>
      <c r="E685" s="46">
        <f>45.7455 * CHOOSE(CONTROL!$C$15, $E$9, 100%, $G$9) + CHOOSE(CONTROL!$C$38, 0.0347, 0)</f>
        <v>45.780200000000001</v>
      </c>
      <c r="F685" s="45">
        <f>45.7455 * CHOOSE(CONTROL!$C$15, $E$9, 100%, $G$9) + CHOOSE(CONTROL!$C$38, 0.0256, 0)</f>
        <v>45.771099999999997</v>
      </c>
      <c r="G685" s="14">
        <f>43.3731 * CHOOSE(CONTROL!$C$15, $E$9, 100%, $G$9) + CHOOSE(CONTROL!$C$38, 0.0347, 0)</f>
        <v>43.407800000000002</v>
      </c>
      <c r="H685" s="14">
        <f>43.3731 * CHOOSE(CONTROL!$C$15, $E$9, 100%, $G$9) + CHOOSE(CONTROL!$C$38, 0.0347, 0)</f>
        <v>43.407800000000002</v>
      </c>
      <c r="I685" s="14">
        <f>43.3747 * CHOOSE(CONTROL!$C$15, $E$9, 100%, $G$9) + CHOOSE(CONTROL!$C$38, 0.0347, 0)</f>
        <v>43.409399999999998</v>
      </c>
      <c r="J685" s="44">
        <f>379.8354</f>
        <v>379.83539999999999</v>
      </c>
    </row>
    <row r="686" spans="1:10" ht="15.75" x14ac:dyDescent="0.25">
      <c r="A686" s="32">
        <v>61818</v>
      </c>
      <c r="B686" s="14">
        <f>48.2885 * CHOOSE(CONTROL!$C$15, $E$9, 100%, $G$9) + CHOOSE(CONTROL!$C$38, 0.0256, 0)</f>
        <v>48.314099999999996</v>
      </c>
      <c r="C686" s="14">
        <f>45.6365 * CHOOSE(CONTROL!$C$15, $E$9, 100%, $G$9) + CHOOSE(CONTROL!$C$38, 0.0347, 0)</f>
        <v>45.671199999999999</v>
      </c>
      <c r="D686" s="14">
        <f>45.6286 * CHOOSE(CONTROL!$C$15, $E$9, 100%, $G$9) + CHOOSE(CONTROL!$C$38, 0.0347, 0)</f>
        <v>45.6633</v>
      </c>
      <c r="E686" s="46">
        <f>48.1322 * CHOOSE(CONTROL!$C$15, $E$9, 100%, $G$9) + CHOOSE(CONTROL!$C$38, 0.0347, 0)</f>
        <v>48.166899999999998</v>
      </c>
      <c r="F686" s="45">
        <f>48.1322 * CHOOSE(CONTROL!$C$15, $E$9, 100%, $G$9) + CHOOSE(CONTROL!$C$38, 0.0256, 0)</f>
        <v>48.157799999999995</v>
      </c>
      <c r="G686" s="14">
        <f>45.6349 * CHOOSE(CONTROL!$C$15, $E$9, 100%, $G$9) + CHOOSE(CONTROL!$C$38, 0.0347, 0)</f>
        <v>45.669600000000003</v>
      </c>
      <c r="H686" s="14">
        <f>45.6349 * CHOOSE(CONTROL!$C$15, $E$9, 100%, $G$9) + CHOOSE(CONTROL!$C$38, 0.0347, 0)</f>
        <v>45.669600000000003</v>
      </c>
      <c r="I686" s="14">
        <f>45.6365 * CHOOSE(CONTROL!$C$15, $E$9, 100%, $G$9) + CHOOSE(CONTROL!$C$38, 0.0347, 0)</f>
        <v>45.671199999999999</v>
      </c>
      <c r="J686" s="44">
        <f>399.8549</f>
        <v>399.85489999999999</v>
      </c>
    </row>
    <row r="687" spans="1:10" ht="15.75" x14ac:dyDescent="0.25">
      <c r="A687" s="32">
        <v>61848</v>
      </c>
      <c r="B687" s="14">
        <f>51.3835 * CHOOSE(CONTROL!$C$15, $E$9, 100%, $G$9) + CHOOSE(CONTROL!$C$38, 0.0256, 0)</f>
        <v>51.409099999999995</v>
      </c>
      <c r="C687" s="14">
        <f>48.5695 * CHOOSE(CONTROL!$C$15, $E$9, 100%, $G$9) + CHOOSE(CONTROL!$C$38, 0.0347, 0)</f>
        <v>48.604199999999999</v>
      </c>
      <c r="D687" s="14">
        <f>48.5617 * CHOOSE(CONTROL!$C$15, $E$9, 100%, $G$9) + CHOOSE(CONTROL!$C$38, 0.0347, 0)</f>
        <v>48.596400000000003</v>
      </c>
      <c r="E687" s="46">
        <f>51.2273 * CHOOSE(CONTROL!$C$15, $E$9, 100%, $G$9) + CHOOSE(CONTROL!$C$38, 0.0347, 0)</f>
        <v>51.262</v>
      </c>
      <c r="F687" s="45">
        <f>51.2273 * CHOOSE(CONTROL!$C$15, $E$9, 100%, $G$9) + CHOOSE(CONTROL!$C$38, 0.0256, 0)</f>
        <v>51.252899999999997</v>
      </c>
      <c r="G687" s="14">
        <f>48.5679 * CHOOSE(CONTROL!$C$15, $E$9, 100%, $G$9) + CHOOSE(CONTROL!$C$38, 0.0347, 0)</f>
        <v>48.602600000000002</v>
      </c>
      <c r="H687" s="14">
        <f>48.5679 * CHOOSE(CONTROL!$C$15, $E$9, 100%, $G$9) + CHOOSE(CONTROL!$C$38, 0.0347, 0)</f>
        <v>48.602600000000002</v>
      </c>
      <c r="I687" s="14">
        <f>48.5695 * CHOOSE(CONTROL!$C$15, $E$9, 100%, $G$9) + CHOOSE(CONTROL!$C$38, 0.0347, 0)</f>
        <v>48.604199999999999</v>
      </c>
      <c r="J687" s="44">
        <f>425.8155</f>
        <v>425.81549999999999</v>
      </c>
    </row>
    <row r="688" spans="1:10" ht="15.75" x14ac:dyDescent="0.25">
      <c r="A688" s="32">
        <v>61879</v>
      </c>
      <c r="B688" s="14">
        <f>53.0871 * CHOOSE(CONTROL!$C$15, $E$9, 100%, $G$9) + CHOOSE(CONTROL!$C$38, 0.0278, 0)</f>
        <v>53.114899999999999</v>
      </c>
      <c r="C688" s="14">
        <f>50.1839 * CHOOSE(CONTROL!$C$15, $E$9, 100%, $G$9) + CHOOSE(CONTROL!$C$38, 0.0369, 0)</f>
        <v>50.220800000000004</v>
      </c>
      <c r="D688" s="14">
        <f>50.1761 * CHOOSE(CONTROL!$C$15, $E$9, 100%, $G$9) + CHOOSE(CONTROL!$C$38, 0.0369, 0)</f>
        <v>50.213000000000001</v>
      </c>
      <c r="E688" s="46">
        <f>52.9309 * CHOOSE(CONTROL!$C$15, $E$9, 100%, $G$9) + CHOOSE(CONTROL!$C$38, 0.0369, 0)</f>
        <v>52.967800000000004</v>
      </c>
      <c r="F688" s="45">
        <f>52.9309 * CHOOSE(CONTROL!$C$15, $E$9, 100%, $G$9) + CHOOSE(CONTROL!$C$38, 0.0278, 0)</f>
        <v>52.9587</v>
      </c>
      <c r="G688" s="14">
        <f>50.1823 * CHOOSE(CONTROL!$C$15, $E$9, 100%, $G$9) + CHOOSE(CONTROL!$C$38, 0.0369, 0)</f>
        <v>50.219200000000001</v>
      </c>
      <c r="H688" s="14">
        <f>50.1823 * CHOOSE(CONTROL!$C$15, $E$9, 100%, $G$9) + CHOOSE(CONTROL!$C$38, 0.0369, 0)</f>
        <v>50.219200000000001</v>
      </c>
      <c r="I688" s="14">
        <f>50.1839 * CHOOSE(CONTROL!$C$15, $E$9, 100%, $G$9) + CHOOSE(CONTROL!$C$38, 0.0369, 0)</f>
        <v>50.220800000000004</v>
      </c>
      <c r="J688" s="44">
        <f>440.105</f>
        <v>440.10500000000002</v>
      </c>
    </row>
    <row r="689" spans="1:10" ht="15.75" x14ac:dyDescent="0.25">
      <c r="A689" s="32">
        <v>61909</v>
      </c>
      <c r="B689" s="14">
        <f>53.8432 * CHOOSE(CONTROL!$C$15, $E$9, 100%, $G$9) + CHOOSE(CONTROL!$C$38, 0.0278, 0)</f>
        <v>53.871000000000002</v>
      </c>
      <c r="C689" s="14">
        <f>50.9004 * CHOOSE(CONTROL!$C$15, $E$9, 100%, $G$9) + CHOOSE(CONTROL!$C$38, 0.0369, 0)</f>
        <v>50.9373</v>
      </c>
      <c r="D689" s="14">
        <f>50.8925 * CHOOSE(CONTROL!$C$15, $E$9, 100%, $G$9) + CHOOSE(CONTROL!$C$38, 0.0369, 0)</f>
        <v>50.929400000000001</v>
      </c>
      <c r="E689" s="46">
        <f>53.6869 * CHOOSE(CONTROL!$C$15, $E$9, 100%, $G$9) + CHOOSE(CONTROL!$C$38, 0.0369, 0)</f>
        <v>53.723800000000004</v>
      </c>
      <c r="F689" s="45">
        <f>53.6869 * CHOOSE(CONTROL!$C$15, $E$9, 100%, $G$9) + CHOOSE(CONTROL!$C$38, 0.0278, 0)</f>
        <v>53.714700000000001</v>
      </c>
      <c r="G689" s="14">
        <f>50.8988 * CHOOSE(CONTROL!$C$15, $E$9, 100%, $G$9) + CHOOSE(CONTROL!$C$38, 0.0369, 0)</f>
        <v>50.935700000000004</v>
      </c>
      <c r="H689" s="14">
        <f>50.8988 * CHOOSE(CONTROL!$C$15, $E$9, 100%, $G$9) + CHOOSE(CONTROL!$C$38, 0.0369, 0)</f>
        <v>50.935700000000004</v>
      </c>
      <c r="I689" s="14">
        <f>50.9004 * CHOOSE(CONTROL!$C$15, $E$9, 100%, $G$9) + CHOOSE(CONTROL!$C$38, 0.0369, 0)</f>
        <v>50.9373</v>
      </c>
      <c r="J689" s="44">
        <f>446.4464</f>
        <v>446.44639999999998</v>
      </c>
    </row>
    <row r="690" spans="1:10" ht="15.75" x14ac:dyDescent="0.25">
      <c r="A690" s="32">
        <v>61940</v>
      </c>
      <c r="B690" s="14">
        <f>53.5943 * CHOOSE(CONTROL!$C$15, $E$9, 100%, $G$9) + CHOOSE(CONTROL!$C$38, 0.0278, 0)</f>
        <v>53.622099999999996</v>
      </c>
      <c r="C690" s="14">
        <f>50.6645 * CHOOSE(CONTROL!$C$15, $E$9, 100%, $G$9) + CHOOSE(CONTROL!$C$38, 0.0369, 0)</f>
        <v>50.7014</v>
      </c>
      <c r="D690" s="14">
        <f>50.6567 * CHOOSE(CONTROL!$C$15, $E$9, 100%, $G$9) + CHOOSE(CONTROL!$C$38, 0.0369, 0)</f>
        <v>50.693600000000004</v>
      </c>
      <c r="E690" s="46">
        <f>53.438 * CHOOSE(CONTROL!$C$15, $E$9, 100%, $G$9) + CHOOSE(CONTROL!$C$38, 0.0369, 0)</f>
        <v>53.474900000000005</v>
      </c>
      <c r="F690" s="45">
        <f>53.438 * CHOOSE(CONTROL!$C$15, $E$9, 100%, $G$9) + CHOOSE(CONTROL!$C$38, 0.0278, 0)</f>
        <v>53.465800000000002</v>
      </c>
      <c r="G690" s="14">
        <f>50.6629 * CHOOSE(CONTROL!$C$15, $E$9, 100%, $G$9) + CHOOSE(CONTROL!$C$38, 0.0369, 0)</f>
        <v>50.699800000000003</v>
      </c>
      <c r="H690" s="14">
        <f>50.6629 * CHOOSE(CONTROL!$C$15, $E$9, 100%, $G$9) + CHOOSE(CONTROL!$C$38, 0.0369, 0)</f>
        <v>50.699800000000003</v>
      </c>
      <c r="I690" s="14">
        <f>50.6645 * CHOOSE(CONTROL!$C$15, $E$9, 100%, $G$9) + CHOOSE(CONTROL!$C$38, 0.0369, 0)</f>
        <v>50.7014</v>
      </c>
      <c r="J690" s="44">
        <f>444.3585</f>
        <v>444.35849999999999</v>
      </c>
    </row>
    <row r="691" spans="1:10" ht="15.75" x14ac:dyDescent="0.25">
      <c r="A691" s="32">
        <v>61971</v>
      </c>
      <c r="B691" s="14">
        <f>52.361 * CHOOSE(CONTROL!$C$15, $E$9, 100%, $G$9) + CHOOSE(CONTROL!$C$38, 0.0278, 0)</f>
        <v>52.388799999999996</v>
      </c>
      <c r="C691" s="14">
        <f>49.4958 * CHOOSE(CONTROL!$C$15, $E$9, 100%, $G$9) + CHOOSE(CONTROL!$C$38, 0.0369, 0)</f>
        <v>49.532700000000006</v>
      </c>
      <c r="D691" s="14">
        <f>49.4879 * CHOOSE(CONTROL!$C$15, $E$9, 100%, $G$9) + CHOOSE(CONTROL!$C$38, 0.0369, 0)</f>
        <v>49.524800000000006</v>
      </c>
      <c r="E691" s="46">
        <f>52.2047 * CHOOSE(CONTROL!$C$15, $E$9, 100%, $G$9) + CHOOSE(CONTROL!$C$38, 0.0369, 0)</f>
        <v>52.241600000000005</v>
      </c>
      <c r="F691" s="45">
        <f>52.2047 * CHOOSE(CONTROL!$C$15, $E$9, 100%, $G$9) + CHOOSE(CONTROL!$C$38, 0.0278, 0)</f>
        <v>52.232500000000002</v>
      </c>
      <c r="G691" s="14">
        <f>49.4942 * CHOOSE(CONTROL!$C$15, $E$9, 100%, $G$9) + CHOOSE(CONTROL!$C$38, 0.0369, 0)</f>
        <v>49.531100000000002</v>
      </c>
      <c r="H691" s="14">
        <f>49.4942 * CHOOSE(CONTROL!$C$15, $E$9, 100%, $G$9) + CHOOSE(CONTROL!$C$38, 0.0369, 0)</f>
        <v>49.531100000000002</v>
      </c>
      <c r="I691" s="14">
        <f>49.4958 * CHOOSE(CONTROL!$C$15, $E$9, 100%, $G$9) + CHOOSE(CONTROL!$C$38, 0.0369, 0)</f>
        <v>49.532700000000006</v>
      </c>
      <c r="J691" s="44">
        <f>434.014</f>
        <v>434.01400000000001</v>
      </c>
    </row>
    <row r="692" spans="1:10" ht="15.75" x14ac:dyDescent="0.25">
      <c r="A692" s="32">
        <v>62001</v>
      </c>
      <c r="B692" s="14">
        <f>50.6411 * CHOOSE(CONTROL!$C$15, $E$9, 100%, $G$9) + CHOOSE(CONTROL!$C$38, 0.0278, 0)</f>
        <v>50.668900000000001</v>
      </c>
      <c r="C692" s="14">
        <f>47.8659 * CHOOSE(CONTROL!$C$15, $E$9, 100%, $G$9) + CHOOSE(CONTROL!$C$38, 0.0369, 0)</f>
        <v>47.902800000000006</v>
      </c>
      <c r="D692" s="14">
        <f>47.8581 * CHOOSE(CONTROL!$C$15, $E$9, 100%, $G$9) + CHOOSE(CONTROL!$C$38, 0.0369, 0)</f>
        <v>47.895000000000003</v>
      </c>
      <c r="E692" s="46">
        <f>50.4848 * CHOOSE(CONTROL!$C$15, $E$9, 100%, $G$9) + CHOOSE(CONTROL!$C$38, 0.0369, 0)</f>
        <v>50.521700000000003</v>
      </c>
      <c r="F692" s="45">
        <f>50.4848 * CHOOSE(CONTROL!$C$15, $E$9, 100%, $G$9) + CHOOSE(CONTROL!$C$38, 0.0278, 0)</f>
        <v>50.512599999999999</v>
      </c>
      <c r="G692" s="14">
        <f>47.8644 * CHOOSE(CONTROL!$C$15, $E$9, 100%, $G$9) + CHOOSE(CONTROL!$C$38, 0.0369, 0)</f>
        <v>47.901300000000006</v>
      </c>
      <c r="H692" s="14">
        <f>47.8644 * CHOOSE(CONTROL!$C$15, $E$9, 100%, $G$9) + CHOOSE(CONTROL!$C$38, 0.0369, 0)</f>
        <v>47.901300000000006</v>
      </c>
      <c r="I692" s="14">
        <f>47.8659 * CHOOSE(CONTROL!$C$15, $E$9, 100%, $G$9) + CHOOSE(CONTROL!$C$38, 0.0369, 0)</f>
        <v>47.902800000000006</v>
      </c>
      <c r="J692" s="44">
        <f>419.5882</f>
        <v>419.58819999999997</v>
      </c>
    </row>
    <row r="693" spans="1:10" ht="15.75" x14ac:dyDescent="0.25">
      <c r="A693" s="32">
        <v>62032</v>
      </c>
      <c r="B693" s="14">
        <f>48.9112 * CHOOSE(CONTROL!$C$15, $E$9, 100%, $G$9) + CHOOSE(CONTROL!$C$38, 0.0256, 0)</f>
        <v>48.936799999999998</v>
      </c>
      <c r="C693" s="14">
        <f>46.2266 * CHOOSE(CONTROL!$C$15, $E$9, 100%, $G$9) + CHOOSE(CONTROL!$C$38, 0.0347, 0)</f>
        <v>46.261299999999999</v>
      </c>
      <c r="D693" s="14">
        <f>46.2188 * CHOOSE(CONTROL!$C$15, $E$9, 100%, $G$9) + CHOOSE(CONTROL!$C$38, 0.0347, 0)</f>
        <v>46.253500000000003</v>
      </c>
      <c r="E693" s="46">
        <f>48.755 * CHOOSE(CONTROL!$C$15, $E$9, 100%, $G$9) + CHOOSE(CONTROL!$C$38, 0.0347, 0)</f>
        <v>48.789700000000003</v>
      </c>
      <c r="F693" s="45">
        <f>48.755 * CHOOSE(CONTROL!$C$15, $E$9, 100%, $G$9) + CHOOSE(CONTROL!$C$38, 0.0256, 0)</f>
        <v>48.7806</v>
      </c>
      <c r="G693" s="14">
        <f>46.225 * CHOOSE(CONTROL!$C$15, $E$9, 100%, $G$9) + CHOOSE(CONTROL!$C$38, 0.0347, 0)</f>
        <v>46.259700000000002</v>
      </c>
      <c r="H693" s="14">
        <f>46.225 * CHOOSE(CONTROL!$C$15, $E$9, 100%, $G$9) + CHOOSE(CONTROL!$C$38, 0.0347, 0)</f>
        <v>46.259700000000002</v>
      </c>
      <c r="I693" s="14">
        <f>46.2266 * CHOOSE(CONTROL!$C$15, $E$9, 100%, $G$9) + CHOOSE(CONTROL!$C$38, 0.0347, 0)</f>
        <v>46.261299999999999</v>
      </c>
      <c r="J693" s="44">
        <f>405.0784</f>
        <v>405.07839999999999</v>
      </c>
    </row>
    <row r="694" spans="1:10" ht="15.75" x14ac:dyDescent="0.25">
      <c r="A694" s="32">
        <v>62062</v>
      </c>
      <c r="B694" s="14">
        <f>48.5671 * CHOOSE(CONTROL!$C$15, $E$9, 100%, $G$9) + CHOOSE(CONTROL!$C$38, 0.0256, 0)</f>
        <v>48.592700000000001</v>
      </c>
      <c r="C694" s="14">
        <f>45.9005 * CHOOSE(CONTROL!$C$15, $E$9, 100%, $G$9) + CHOOSE(CONTROL!$C$38, 0.0347, 0)</f>
        <v>45.935200000000002</v>
      </c>
      <c r="D694" s="14">
        <f>45.8927 * CHOOSE(CONTROL!$C$15, $E$9, 100%, $G$9) + CHOOSE(CONTROL!$C$38, 0.0347, 0)</f>
        <v>45.927399999999999</v>
      </c>
      <c r="E694" s="46">
        <f>48.4109 * CHOOSE(CONTROL!$C$15, $E$9, 100%, $G$9) + CHOOSE(CONTROL!$C$38, 0.0347, 0)</f>
        <v>48.445599999999999</v>
      </c>
      <c r="F694" s="45">
        <f>48.4109 * CHOOSE(CONTROL!$C$15, $E$9, 100%, $G$9) + CHOOSE(CONTROL!$C$38, 0.0256, 0)</f>
        <v>48.436499999999995</v>
      </c>
      <c r="G694" s="14">
        <f>45.899 * CHOOSE(CONTROL!$C$15, $E$9, 100%, $G$9) + CHOOSE(CONTROL!$C$38, 0.0347, 0)</f>
        <v>45.933700000000002</v>
      </c>
      <c r="H694" s="14">
        <f>45.899 * CHOOSE(CONTROL!$C$15, $E$9, 100%, $G$9) + CHOOSE(CONTROL!$C$38, 0.0347, 0)</f>
        <v>45.933700000000002</v>
      </c>
      <c r="I694" s="14">
        <f>45.9005 * CHOOSE(CONTROL!$C$15, $E$9, 100%, $G$9) + CHOOSE(CONTROL!$C$38, 0.0347, 0)</f>
        <v>45.935200000000002</v>
      </c>
      <c r="J694" s="44">
        <f>402.1921</f>
        <v>402.19209999999998</v>
      </c>
    </row>
    <row r="695" spans="1:10" ht="15.75" x14ac:dyDescent="0.25">
      <c r="A695" s="32">
        <v>62093</v>
      </c>
      <c r="B695" s="14">
        <f>47.1442 * CHOOSE(CONTROL!$C$15, $E$9, 100%, $G$9) + CHOOSE(CONTROL!$C$38, 0.0256, 0)</f>
        <v>47.169799999999995</v>
      </c>
      <c r="C695" s="14">
        <f>44.5521 * CHOOSE(CONTROL!$C$15, $E$9, 100%, $G$9) + CHOOSE(CONTROL!$C$38, 0.0347, 0)</f>
        <v>44.586800000000004</v>
      </c>
      <c r="D695" s="14">
        <f>44.5443 * CHOOSE(CONTROL!$C$15, $E$9, 100%, $G$9) + CHOOSE(CONTROL!$C$38, 0.0347, 0)</f>
        <v>44.579000000000001</v>
      </c>
      <c r="E695" s="46">
        <f>46.9879 * CHOOSE(CONTROL!$C$15, $E$9, 100%, $G$9) + CHOOSE(CONTROL!$C$38, 0.0347, 0)</f>
        <v>47.022600000000004</v>
      </c>
      <c r="F695" s="45">
        <f>46.9879 * CHOOSE(CONTROL!$C$15, $E$9, 100%, $G$9) + CHOOSE(CONTROL!$C$38, 0.0256, 0)</f>
        <v>47.013500000000001</v>
      </c>
      <c r="G695" s="14">
        <f>44.5505 * CHOOSE(CONTROL!$C$15, $E$9, 100%, $G$9) + CHOOSE(CONTROL!$C$38, 0.0347, 0)</f>
        <v>44.5852</v>
      </c>
      <c r="H695" s="14">
        <f>44.5505 * CHOOSE(CONTROL!$C$15, $E$9, 100%, $G$9) + CHOOSE(CONTROL!$C$38, 0.0347, 0)</f>
        <v>44.5852</v>
      </c>
      <c r="I695" s="14">
        <f>44.5521 * CHOOSE(CONTROL!$C$15, $E$9, 100%, $G$9) + CHOOSE(CONTROL!$C$38, 0.0347, 0)</f>
        <v>44.586800000000004</v>
      </c>
      <c r="J695" s="44">
        <f>390.257</f>
        <v>390.25700000000001</v>
      </c>
    </row>
    <row r="696" spans="1:10" ht="15.75" x14ac:dyDescent="0.25">
      <c r="A696" s="32">
        <v>62124</v>
      </c>
      <c r="B696" s="14">
        <f>46.7908 * CHOOSE(CONTROL!$C$15, $E$9, 100%, $G$9) + CHOOSE(CONTROL!$C$38, 0.0256, 0)</f>
        <v>46.816399999999994</v>
      </c>
      <c r="C696" s="14">
        <f>44.2172 * CHOOSE(CONTROL!$C$15, $E$9, 100%, $G$9) + CHOOSE(CONTROL!$C$38, 0.0347, 0)</f>
        <v>44.251899999999999</v>
      </c>
      <c r="D696" s="14">
        <f>44.2094 * CHOOSE(CONTROL!$C$15, $E$9, 100%, $G$9) + CHOOSE(CONTROL!$C$38, 0.0347, 0)</f>
        <v>44.244100000000003</v>
      </c>
      <c r="E696" s="46">
        <f>46.6346 * CHOOSE(CONTROL!$C$15, $E$9, 100%, $G$9) + CHOOSE(CONTROL!$C$38, 0.0347, 0)</f>
        <v>46.6693</v>
      </c>
      <c r="F696" s="45">
        <f>46.6346 * CHOOSE(CONTROL!$C$15, $E$9, 100%, $G$9) + CHOOSE(CONTROL!$C$38, 0.0256, 0)</f>
        <v>46.660199999999996</v>
      </c>
      <c r="G696" s="14">
        <f>44.2157 * CHOOSE(CONTROL!$C$15, $E$9, 100%, $G$9) + CHOOSE(CONTROL!$C$38, 0.0347, 0)</f>
        <v>44.250399999999999</v>
      </c>
      <c r="H696" s="14">
        <f>44.2157 * CHOOSE(CONTROL!$C$15, $E$9, 100%, $G$9) + CHOOSE(CONTROL!$C$38, 0.0347, 0)</f>
        <v>44.250399999999999</v>
      </c>
      <c r="I696" s="14">
        <f>44.2172 * CHOOSE(CONTROL!$C$15, $E$9, 100%, $G$9) + CHOOSE(CONTROL!$C$38, 0.0347, 0)</f>
        <v>44.251899999999999</v>
      </c>
      <c r="J696" s="44">
        <f>389.7538</f>
        <v>389.75380000000001</v>
      </c>
    </row>
    <row r="697" spans="1:10" ht="15.75" x14ac:dyDescent="0.25">
      <c r="A697" s="32">
        <v>62152</v>
      </c>
      <c r="B697" s="14">
        <f>46.6625 * CHOOSE(CONTROL!$C$15, $E$9, 100%, $G$9) + CHOOSE(CONTROL!$C$38, 0.0256, 0)</f>
        <v>46.688099999999999</v>
      </c>
      <c r="C697" s="14">
        <f>44.0956 * CHOOSE(CONTROL!$C$15, $E$9, 100%, $G$9) + CHOOSE(CONTROL!$C$38, 0.0347, 0)</f>
        <v>44.130299999999998</v>
      </c>
      <c r="D697" s="14">
        <f>44.0878 * CHOOSE(CONTROL!$C$15, $E$9, 100%, $G$9) + CHOOSE(CONTROL!$C$38, 0.0347, 0)</f>
        <v>44.122500000000002</v>
      </c>
      <c r="E697" s="46">
        <f>46.5062 * CHOOSE(CONTROL!$C$15, $E$9, 100%, $G$9) + CHOOSE(CONTROL!$C$38, 0.0347, 0)</f>
        <v>46.540900000000001</v>
      </c>
      <c r="F697" s="45">
        <f>46.5062 * CHOOSE(CONTROL!$C$15, $E$9, 100%, $G$9) + CHOOSE(CONTROL!$C$38, 0.0256, 0)</f>
        <v>46.531799999999997</v>
      </c>
      <c r="G697" s="14">
        <f>44.094 * CHOOSE(CONTROL!$C$15, $E$9, 100%, $G$9) + CHOOSE(CONTROL!$C$38, 0.0347, 0)</f>
        <v>44.128700000000002</v>
      </c>
      <c r="H697" s="14">
        <f>44.094 * CHOOSE(CONTROL!$C$15, $E$9, 100%, $G$9) + CHOOSE(CONTROL!$C$38, 0.0347, 0)</f>
        <v>44.128700000000002</v>
      </c>
      <c r="I697" s="14">
        <f>44.0956 * CHOOSE(CONTROL!$C$15, $E$9, 100%, $G$9) + CHOOSE(CONTROL!$C$38, 0.0347, 0)</f>
        <v>44.130299999999998</v>
      </c>
      <c r="J697" s="44">
        <f>388.6704</f>
        <v>388.67039999999997</v>
      </c>
    </row>
    <row r="698" spans="1:10" ht="15.75" x14ac:dyDescent="0.25">
      <c r="A698" s="32">
        <v>62183</v>
      </c>
      <c r="B698" s="14">
        <f>49.0893 * CHOOSE(CONTROL!$C$15, $E$9, 100%, $G$9) + CHOOSE(CONTROL!$C$38, 0.0256, 0)</f>
        <v>49.114899999999999</v>
      </c>
      <c r="C698" s="14">
        <f>46.3954 * CHOOSE(CONTROL!$C$15, $E$9, 100%, $G$9) + CHOOSE(CONTROL!$C$38, 0.0347, 0)</f>
        <v>46.430100000000003</v>
      </c>
      <c r="D698" s="14">
        <f>46.3876 * CHOOSE(CONTROL!$C$15, $E$9, 100%, $G$9) + CHOOSE(CONTROL!$C$38, 0.0347, 0)</f>
        <v>46.4223</v>
      </c>
      <c r="E698" s="46">
        <f>48.9331 * CHOOSE(CONTROL!$C$15, $E$9, 100%, $G$9) + CHOOSE(CONTROL!$C$38, 0.0347, 0)</f>
        <v>48.967800000000004</v>
      </c>
      <c r="F698" s="45">
        <f>48.9331 * CHOOSE(CONTROL!$C$15, $E$9, 100%, $G$9) + CHOOSE(CONTROL!$C$38, 0.0256, 0)</f>
        <v>48.9587</v>
      </c>
      <c r="G698" s="14">
        <f>46.3938 * CHOOSE(CONTROL!$C$15, $E$9, 100%, $G$9) + CHOOSE(CONTROL!$C$38, 0.0347, 0)</f>
        <v>46.4285</v>
      </c>
      <c r="H698" s="14">
        <f>46.3938 * CHOOSE(CONTROL!$C$15, $E$9, 100%, $G$9) + CHOOSE(CONTROL!$C$38, 0.0347, 0)</f>
        <v>46.4285</v>
      </c>
      <c r="I698" s="14">
        <f>46.3954 * CHOOSE(CONTROL!$C$15, $E$9, 100%, $G$9) + CHOOSE(CONTROL!$C$38, 0.0347, 0)</f>
        <v>46.430100000000003</v>
      </c>
      <c r="J698" s="44">
        <f>409.1555</f>
        <v>409.15550000000002</v>
      </c>
    </row>
    <row r="699" spans="1:10" ht="15.75" x14ac:dyDescent="0.25">
      <c r="A699" s="32">
        <v>62213</v>
      </c>
      <c r="B699" s="14">
        <f>52.2364 * CHOOSE(CONTROL!$C$15, $E$9, 100%, $G$9) + CHOOSE(CONTROL!$C$38, 0.0256, 0)</f>
        <v>52.262</v>
      </c>
      <c r="C699" s="14">
        <f>49.3777 * CHOOSE(CONTROL!$C$15, $E$9, 100%, $G$9) + CHOOSE(CONTROL!$C$38, 0.0347, 0)</f>
        <v>49.412399999999998</v>
      </c>
      <c r="D699" s="14">
        <f>49.3699 * CHOOSE(CONTROL!$C$15, $E$9, 100%, $G$9) + CHOOSE(CONTROL!$C$38, 0.0347, 0)</f>
        <v>49.404600000000002</v>
      </c>
      <c r="E699" s="46">
        <f>52.0801 * CHOOSE(CONTROL!$C$15, $E$9, 100%, $G$9) + CHOOSE(CONTROL!$C$38, 0.0347, 0)</f>
        <v>52.114800000000002</v>
      </c>
      <c r="F699" s="45">
        <f>52.0801 * CHOOSE(CONTROL!$C$15, $E$9, 100%, $G$9) + CHOOSE(CONTROL!$C$38, 0.0256, 0)</f>
        <v>52.105699999999999</v>
      </c>
      <c r="G699" s="14">
        <f>49.3761 * CHOOSE(CONTROL!$C$15, $E$9, 100%, $G$9) + CHOOSE(CONTROL!$C$38, 0.0347, 0)</f>
        <v>49.410800000000002</v>
      </c>
      <c r="H699" s="14">
        <f>49.3761 * CHOOSE(CONTROL!$C$15, $E$9, 100%, $G$9) + CHOOSE(CONTROL!$C$38, 0.0347, 0)</f>
        <v>49.410800000000002</v>
      </c>
      <c r="I699" s="14">
        <f>49.3777 * CHOOSE(CONTROL!$C$15, $E$9, 100%, $G$9) + CHOOSE(CONTROL!$C$38, 0.0347, 0)</f>
        <v>49.412399999999998</v>
      </c>
      <c r="J699" s="44">
        <f>435.7199</f>
        <v>435.7199</v>
      </c>
    </row>
    <row r="700" spans="1:10" ht="15.75" x14ac:dyDescent="0.25">
      <c r="A700" s="32">
        <v>62244</v>
      </c>
      <c r="B700" s="14">
        <f>53.9686 * CHOOSE(CONTROL!$C$15, $E$9, 100%, $G$9) + CHOOSE(CONTROL!$C$38, 0.0278, 0)</f>
        <v>53.996400000000001</v>
      </c>
      <c r="C700" s="14">
        <f>51.0192 * CHOOSE(CONTROL!$C$15, $E$9, 100%, $G$9) + CHOOSE(CONTROL!$C$38, 0.0369, 0)</f>
        <v>51.056100000000001</v>
      </c>
      <c r="D700" s="14">
        <f>51.0114 * CHOOSE(CONTROL!$C$15, $E$9, 100%, $G$9) + CHOOSE(CONTROL!$C$38, 0.0369, 0)</f>
        <v>51.048300000000005</v>
      </c>
      <c r="E700" s="46">
        <f>53.8124 * CHOOSE(CONTROL!$C$15, $E$9, 100%, $G$9) + CHOOSE(CONTROL!$C$38, 0.0369, 0)</f>
        <v>53.849299999999999</v>
      </c>
      <c r="F700" s="45">
        <f>53.8124 * CHOOSE(CONTROL!$C$15, $E$9, 100%, $G$9) + CHOOSE(CONTROL!$C$38, 0.0278, 0)</f>
        <v>53.840199999999996</v>
      </c>
      <c r="G700" s="14">
        <f>51.0177 * CHOOSE(CONTROL!$C$15, $E$9, 100%, $G$9) + CHOOSE(CONTROL!$C$38, 0.0369, 0)</f>
        <v>51.054600000000001</v>
      </c>
      <c r="H700" s="14">
        <f>51.0177 * CHOOSE(CONTROL!$C$15, $E$9, 100%, $G$9) + CHOOSE(CONTROL!$C$38, 0.0369, 0)</f>
        <v>51.054600000000001</v>
      </c>
      <c r="I700" s="14">
        <f>51.0192 * CHOOSE(CONTROL!$C$15, $E$9, 100%, $G$9) + CHOOSE(CONTROL!$C$38, 0.0369, 0)</f>
        <v>51.056100000000001</v>
      </c>
      <c r="J700" s="44">
        <f>450.3418</f>
        <v>450.34179999999998</v>
      </c>
    </row>
    <row r="701" spans="1:10" ht="15.75" x14ac:dyDescent="0.25">
      <c r="A701" s="32">
        <v>62274</v>
      </c>
      <c r="B701" s="14">
        <f>54.7374 * CHOOSE(CONTROL!$C$15, $E$9, 100%, $G$9) + CHOOSE(CONTROL!$C$38, 0.0278, 0)</f>
        <v>54.7652</v>
      </c>
      <c r="C701" s="14">
        <f>51.7477 * CHOOSE(CONTROL!$C$15, $E$9, 100%, $G$9) + CHOOSE(CONTROL!$C$38, 0.0369, 0)</f>
        <v>51.784600000000005</v>
      </c>
      <c r="D701" s="14">
        <f>51.7399 * CHOOSE(CONTROL!$C$15, $E$9, 100%, $G$9) + CHOOSE(CONTROL!$C$38, 0.0369, 0)</f>
        <v>51.776800000000001</v>
      </c>
      <c r="E701" s="46">
        <f>54.5811 * CHOOSE(CONTROL!$C$15, $E$9, 100%, $G$9) + CHOOSE(CONTROL!$C$38, 0.0369, 0)</f>
        <v>54.618000000000002</v>
      </c>
      <c r="F701" s="45">
        <f>54.5811 * CHOOSE(CONTROL!$C$15, $E$9, 100%, $G$9) + CHOOSE(CONTROL!$C$38, 0.0278, 0)</f>
        <v>54.608899999999998</v>
      </c>
      <c r="G701" s="14">
        <f>51.7462 * CHOOSE(CONTROL!$C$15, $E$9, 100%, $G$9) + CHOOSE(CONTROL!$C$38, 0.0369, 0)</f>
        <v>51.783100000000005</v>
      </c>
      <c r="H701" s="14">
        <f>51.7462 * CHOOSE(CONTROL!$C$15, $E$9, 100%, $G$9) + CHOOSE(CONTROL!$C$38, 0.0369, 0)</f>
        <v>51.783100000000005</v>
      </c>
      <c r="I701" s="14">
        <f>51.7477 * CHOOSE(CONTROL!$C$15, $E$9, 100%, $G$9) + CHOOSE(CONTROL!$C$38, 0.0369, 0)</f>
        <v>51.784600000000005</v>
      </c>
      <c r="J701" s="44">
        <f>456.8308</f>
        <v>456.83080000000001</v>
      </c>
    </row>
    <row r="702" spans="1:10" ht="15.75" x14ac:dyDescent="0.25">
      <c r="A702" s="32">
        <v>62305</v>
      </c>
      <c r="B702" s="14">
        <f>54.4843 * CHOOSE(CONTROL!$C$15, $E$9, 100%, $G$9) + CHOOSE(CONTROL!$C$38, 0.0278, 0)</f>
        <v>54.512099999999997</v>
      </c>
      <c r="C702" s="14">
        <f>51.5079 * CHOOSE(CONTROL!$C$15, $E$9, 100%, $G$9) + CHOOSE(CONTROL!$C$38, 0.0369, 0)</f>
        <v>51.544800000000002</v>
      </c>
      <c r="D702" s="14">
        <f>51.5001 * CHOOSE(CONTROL!$C$15, $E$9, 100%, $G$9) + CHOOSE(CONTROL!$C$38, 0.0369, 0)</f>
        <v>51.537000000000006</v>
      </c>
      <c r="E702" s="46">
        <f>54.328 * CHOOSE(CONTROL!$C$15, $E$9, 100%, $G$9) + CHOOSE(CONTROL!$C$38, 0.0369, 0)</f>
        <v>54.364900000000006</v>
      </c>
      <c r="F702" s="45">
        <f>54.328 * CHOOSE(CONTROL!$C$15, $E$9, 100%, $G$9) + CHOOSE(CONTROL!$C$38, 0.0278, 0)</f>
        <v>54.355800000000002</v>
      </c>
      <c r="G702" s="14">
        <f>51.5063 * CHOOSE(CONTROL!$C$15, $E$9, 100%, $G$9) + CHOOSE(CONTROL!$C$38, 0.0369, 0)</f>
        <v>51.543200000000006</v>
      </c>
      <c r="H702" s="14">
        <f>51.5063 * CHOOSE(CONTROL!$C$15, $E$9, 100%, $G$9) + CHOOSE(CONTROL!$C$38, 0.0369, 0)</f>
        <v>51.543200000000006</v>
      </c>
      <c r="I702" s="14">
        <f>51.5079 * CHOOSE(CONTROL!$C$15, $E$9, 100%, $G$9) + CHOOSE(CONTROL!$C$38, 0.0369, 0)</f>
        <v>51.544800000000002</v>
      </c>
      <c r="J702" s="44">
        <f>454.6943</f>
        <v>454.6943</v>
      </c>
    </row>
    <row r="703" spans="1:10" ht="15.75" x14ac:dyDescent="0.25">
      <c r="A703" s="32">
        <v>62336</v>
      </c>
      <c r="B703" s="14">
        <f>53.2303 * CHOOSE(CONTROL!$C$15, $E$9, 100%, $G$9) + CHOOSE(CONTROL!$C$38, 0.0278, 0)</f>
        <v>53.258099999999999</v>
      </c>
      <c r="C703" s="14">
        <f>50.3195 * CHOOSE(CONTROL!$C$15, $E$9, 100%, $G$9) + CHOOSE(CONTROL!$C$38, 0.0369, 0)</f>
        <v>50.356400000000001</v>
      </c>
      <c r="D703" s="14">
        <f>50.3117 * CHOOSE(CONTROL!$C$15, $E$9, 100%, $G$9) + CHOOSE(CONTROL!$C$38, 0.0369, 0)</f>
        <v>50.348600000000005</v>
      </c>
      <c r="E703" s="46">
        <f>53.074 * CHOOSE(CONTROL!$C$15, $E$9, 100%, $G$9) + CHOOSE(CONTROL!$C$38, 0.0369, 0)</f>
        <v>53.110900000000001</v>
      </c>
      <c r="F703" s="45">
        <f>53.074 * CHOOSE(CONTROL!$C$15, $E$9, 100%, $G$9) + CHOOSE(CONTROL!$C$38, 0.0278, 0)</f>
        <v>53.101799999999997</v>
      </c>
      <c r="G703" s="14">
        <f>50.318 * CHOOSE(CONTROL!$C$15, $E$9, 100%, $G$9) + CHOOSE(CONTROL!$C$38, 0.0369, 0)</f>
        <v>50.354900000000001</v>
      </c>
      <c r="H703" s="14">
        <f>50.318 * CHOOSE(CONTROL!$C$15, $E$9, 100%, $G$9) + CHOOSE(CONTROL!$C$38, 0.0369, 0)</f>
        <v>50.354900000000001</v>
      </c>
      <c r="I703" s="14">
        <f>50.3195 * CHOOSE(CONTROL!$C$15, $E$9, 100%, $G$9) + CHOOSE(CONTROL!$C$38, 0.0369, 0)</f>
        <v>50.356400000000001</v>
      </c>
      <c r="J703" s="44">
        <f>444.1092</f>
        <v>444.10919999999999</v>
      </c>
    </row>
    <row r="704" spans="1:10" ht="15.75" x14ac:dyDescent="0.25">
      <c r="A704" s="32">
        <v>62366</v>
      </c>
      <c r="B704" s="14">
        <f>51.4815 * CHOOSE(CONTROL!$C$15, $E$9, 100%, $G$9) + CHOOSE(CONTROL!$C$38, 0.0278, 0)</f>
        <v>51.509299999999996</v>
      </c>
      <c r="C704" s="14">
        <f>48.6623 * CHOOSE(CONTROL!$C$15, $E$9, 100%, $G$9) + CHOOSE(CONTROL!$C$38, 0.0369, 0)</f>
        <v>48.699200000000005</v>
      </c>
      <c r="D704" s="14">
        <f>48.6545 * CHOOSE(CONTROL!$C$15, $E$9, 100%, $G$9) + CHOOSE(CONTROL!$C$38, 0.0369, 0)</f>
        <v>48.691400000000002</v>
      </c>
      <c r="E704" s="46">
        <f>51.3252 * CHOOSE(CONTROL!$C$15, $E$9, 100%, $G$9) + CHOOSE(CONTROL!$C$38, 0.0369, 0)</f>
        <v>51.362100000000005</v>
      </c>
      <c r="F704" s="45">
        <f>51.3252 * CHOOSE(CONTROL!$C$15, $E$9, 100%, $G$9) + CHOOSE(CONTROL!$C$38, 0.0278, 0)</f>
        <v>51.353000000000002</v>
      </c>
      <c r="G704" s="14">
        <f>48.6607 * CHOOSE(CONTROL!$C$15, $E$9, 100%, $G$9) + CHOOSE(CONTROL!$C$38, 0.0369, 0)</f>
        <v>48.697600000000001</v>
      </c>
      <c r="H704" s="14">
        <f>48.6607 * CHOOSE(CONTROL!$C$15, $E$9, 100%, $G$9) + CHOOSE(CONTROL!$C$38, 0.0369, 0)</f>
        <v>48.697600000000001</v>
      </c>
      <c r="I704" s="14">
        <f>48.6623 * CHOOSE(CONTROL!$C$15, $E$9, 100%, $G$9) + CHOOSE(CONTROL!$C$38, 0.0369, 0)</f>
        <v>48.699200000000005</v>
      </c>
      <c r="J704" s="44">
        <f>429.3478</f>
        <v>429.34780000000001</v>
      </c>
    </row>
    <row r="705" spans="1:10" ht="15.75" x14ac:dyDescent="0.25">
      <c r="A705" s="32">
        <v>62397</v>
      </c>
      <c r="B705" s="14">
        <f>49.7225 * CHOOSE(CONTROL!$C$15, $E$9, 100%, $G$9) + CHOOSE(CONTROL!$C$38, 0.0256, 0)</f>
        <v>49.748099999999994</v>
      </c>
      <c r="C705" s="14">
        <f>46.9955 * CHOOSE(CONTROL!$C$15, $E$9, 100%, $G$9) + CHOOSE(CONTROL!$C$38, 0.0347, 0)</f>
        <v>47.030200000000001</v>
      </c>
      <c r="D705" s="14">
        <f>46.9876 * CHOOSE(CONTROL!$C$15, $E$9, 100%, $G$9) + CHOOSE(CONTROL!$C$38, 0.0347, 0)</f>
        <v>47.022300000000001</v>
      </c>
      <c r="E705" s="46">
        <f>49.5663 * CHOOSE(CONTROL!$C$15, $E$9, 100%, $G$9) + CHOOSE(CONTROL!$C$38, 0.0347, 0)</f>
        <v>49.600999999999999</v>
      </c>
      <c r="F705" s="45">
        <f>49.5663 * CHOOSE(CONTROL!$C$15, $E$9, 100%, $G$9) + CHOOSE(CONTROL!$C$38, 0.0256, 0)</f>
        <v>49.591899999999995</v>
      </c>
      <c r="G705" s="14">
        <f>46.9939 * CHOOSE(CONTROL!$C$15, $E$9, 100%, $G$9) + CHOOSE(CONTROL!$C$38, 0.0347, 0)</f>
        <v>47.028599999999997</v>
      </c>
      <c r="H705" s="14">
        <f>46.9939 * CHOOSE(CONTROL!$C$15, $E$9, 100%, $G$9) + CHOOSE(CONTROL!$C$38, 0.0347, 0)</f>
        <v>47.028599999999997</v>
      </c>
      <c r="I705" s="14">
        <f>46.9955 * CHOOSE(CONTROL!$C$15, $E$9, 100%, $G$9) + CHOOSE(CONTROL!$C$38, 0.0347, 0)</f>
        <v>47.030200000000001</v>
      </c>
      <c r="J705" s="44">
        <f>414.5005</f>
        <v>414.50049999999999</v>
      </c>
    </row>
    <row r="706" spans="1:10" ht="15.75" x14ac:dyDescent="0.25">
      <c r="A706" s="32">
        <v>62427</v>
      </c>
      <c r="B706" s="14">
        <f>49.3727 * CHOOSE(CONTROL!$C$15, $E$9, 100%, $G$9) + CHOOSE(CONTROL!$C$38, 0.0256, 0)</f>
        <v>49.398299999999999</v>
      </c>
      <c r="C706" s="14">
        <f>46.6639 * CHOOSE(CONTROL!$C$15, $E$9, 100%, $G$9) + CHOOSE(CONTROL!$C$38, 0.0347, 0)</f>
        <v>46.698599999999999</v>
      </c>
      <c r="D706" s="14">
        <f>46.6561 * CHOOSE(CONTROL!$C$15, $E$9, 100%, $G$9) + CHOOSE(CONTROL!$C$38, 0.0347, 0)</f>
        <v>46.690800000000003</v>
      </c>
      <c r="E706" s="46">
        <f>49.2164 * CHOOSE(CONTROL!$C$15, $E$9, 100%, $G$9) + CHOOSE(CONTROL!$C$38, 0.0347, 0)</f>
        <v>49.251100000000001</v>
      </c>
      <c r="F706" s="45">
        <f>49.2164 * CHOOSE(CONTROL!$C$15, $E$9, 100%, $G$9) + CHOOSE(CONTROL!$C$38, 0.0256, 0)</f>
        <v>49.241999999999997</v>
      </c>
      <c r="G706" s="14">
        <f>46.6623 * CHOOSE(CONTROL!$C$15, $E$9, 100%, $G$9) + CHOOSE(CONTROL!$C$38, 0.0347, 0)</f>
        <v>46.697000000000003</v>
      </c>
      <c r="H706" s="14">
        <f>46.6623 * CHOOSE(CONTROL!$C$15, $E$9, 100%, $G$9) + CHOOSE(CONTROL!$C$38, 0.0347, 0)</f>
        <v>46.697000000000003</v>
      </c>
      <c r="I706" s="14">
        <f>46.6639 * CHOOSE(CONTROL!$C$15, $E$9, 100%, $G$9) + CHOOSE(CONTROL!$C$38, 0.0347, 0)</f>
        <v>46.698599999999999</v>
      </c>
      <c r="J706" s="44">
        <f>411.5471</f>
        <v>411.5471</v>
      </c>
    </row>
    <row r="707" spans="1:10" ht="15.75" x14ac:dyDescent="0.25">
      <c r="A707" s="32">
        <v>62458</v>
      </c>
      <c r="B707" s="14">
        <f>47.9258 * CHOOSE(CONTROL!$C$15, $E$9, 100%, $G$9) + CHOOSE(CONTROL!$C$38, 0.0256, 0)</f>
        <v>47.9514</v>
      </c>
      <c r="C707" s="14">
        <f>45.2928 * CHOOSE(CONTROL!$C$15, $E$9, 100%, $G$9) + CHOOSE(CONTROL!$C$38, 0.0347, 0)</f>
        <v>45.327500000000001</v>
      </c>
      <c r="D707" s="14">
        <f>45.285 * CHOOSE(CONTROL!$C$15, $E$9, 100%, $G$9) + CHOOSE(CONTROL!$C$38, 0.0347, 0)</f>
        <v>45.319699999999997</v>
      </c>
      <c r="E707" s="46">
        <f>47.7696 * CHOOSE(CONTROL!$C$15, $E$9, 100%, $G$9) + CHOOSE(CONTROL!$C$38, 0.0347, 0)</f>
        <v>47.804299999999998</v>
      </c>
      <c r="F707" s="45">
        <f>47.7696 * CHOOSE(CONTROL!$C$15, $E$9, 100%, $G$9) + CHOOSE(CONTROL!$C$38, 0.0256, 0)</f>
        <v>47.795199999999994</v>
      </c>
      <c r="G707" s="14">
        <f>45.2912 * CHOOSE(CONTROL!$C$15, $E$9, 100%, $G$9) + CHOOSE(CONTROL!$C$38, 0.0347, 0)</f>
        <v>45.325900000000004</v>
      </c>
      <c r="H707" s="14">
        <f>45.2912 * CHOOSE(CONTROL!$C$15, $E$9, 100%, $G$9) + CHOOSE(CONTROL!$C$38, 0.0347, 0)</f>
        <v>45.325900000000004</v>
      </c>
      <c r="I707" s="14">
        <f>45.2928 * CHOOSE(CONTROL!$C$15, $E$9, 100%, $G$9) + CHOOSE(CONTROL!$C$38, 0.0347, 0)</f>
        <v>45.327500000000001</v>
      </c>
      <c r="J707" s="44">
        <f>399.3344</f>
        <v>399.33440000000002</v>
      </c>
    </row>
    <row r="708" spans="1:10" ht="15.75" x14ac:dyDescent="0.25">
      <c r="A708" s="32">
        <v>62489</v>
      </c>
      <c r="B708" s="14">
        <f>47.5665 * CHOOSE(CONTROL!$C$15, $E$9, 100%, $G$9) + CHOOSE(CONTROL!$C$38, 0.0256, 0)</f>
        <v>47.592099999999995</v>
      </c>
      <c r="C708" s="14">
        <f>44.9523 * CHOOSE(CONTROL!$C$15, $E$9, 100%, $G$9) + CHOOSE(CONTROL!$C$38, 0.0347, 0)</f>
        <v>44.987000000000002</v>
      </c>
      <c r="D708" s="14">
        <f>44.9445 * CHOOSE(CONTROL!$C$15, $E$9, 100%, $G$9) + CHOOSE(CONTROL!$C$38, 0.0347, 0)</f>
        <v>44.979199999999999</v>
      </c>
      <c r="E708" s="46">
        <f>47.4103 * CHOOSE(CONTROL!$C$15, $E$9, 100%, $G$9) + CHOOSE(CONTROL!$C$38, 0.0347, 0)</f>
        <v>47.445</v>
      </c>
      <c r="F708" s="45">
        <f>47.4103 * CHOOSE(CONTROL!$C$15, $E$9, 100%, $G$9) + CHOOSE(CONTROL!$C$38, 0.0256, 0)</f>
        <v>47.435899999999997</v>
      </c>
      <c r="G708" s="14">
        <f>44.9508 * CHOOSE(CONTROL!$C$15, $E$9, 100%, $G$9) + CHOOSE(CONTROL!$C$38, 0.0347, 0)</f>
        <v>44.985500000000002</v>
      </c>
      <c r="H708" s="14">
        <f>44.9508 * CHOOSE(CONTROL!$C$15, $E$9, 100%, $G$9) + CHOOSE(CONTROL!$C$38, 0.0347, 0)</f>
        <v>44.985500000000002</v>
      </c>
      <c r="I708" s="14">
        <f>44.9523 * CHOOSE(CONTROL!$C$15, $E$9, 100%, $G$9) + CHOOSE(CONTROL!$C$38, 0.0347, 0)</f>
        <v>44.987000000000002</v>
      </c>
      <c r="J708" s="44">
        <f>398.8194</f>
        <v>398.81939999999997</v>
      </c>
    </row>
    <row r="709" spans="1:10" ht="15.75" x14ac:dyDescent="0.25">
      <c r="A709" s="32">
        <v>62517</v>
      </c>
      <c r="B709" s="14">
        <f>47.436 * CHOOSE(CONTROL!$C$15, $E$9, 100%, $G$9) + CHOOSE(CONTROL!$C$38, 0.0256, 0)</f>
        <v>47.461599999999997</v>
      </c>
      <c r="C709" s="14">
        <f>44.8287 * CHOOSE(CONTROL!$C$15, $E$9, 100%, $G$9) + CHOOSE(CONTROL!$C$38, 0.0347, 0)</f>
        <v>44.863399999999999</v>
      </c>
      <c r="D709" s="14">
        <f>44.8208 * CHOOSE(CONTROL!$C$15, $E$9, 100%, $G$9) + CHOOSE(CONTROL!$C$38, 0.0347, 0)</f>
        <v>44.855499999999999</v>
      </c>
      <c r="E709" s="46">
        <f>47.2798 * CHOOSE(CONTROL!$C$15, $E$9, 100%, $G$9) + CHOOSE(CONTROL!$C$38, 0.0347, 0)</f>
        <v>47.314500000000002</v>
      </c>
      <c r="F709" s="45">
        <f>47.2798 * CHOOSE(CONTROL!$C$15, $E$9, 100%, $G$9) + CHOOSE(CONTROL!$C$38, 0.0256, 0)</f>
        <v>47.305399999999999</v>
      </c>
      <c r="G709" s="14">
        <f>44.8271 * CHOOSE(CONTROL!$C$15, $E$9, 100%, $G$9) + CHOOSE(CONTROL!$C$38, 0.0347, 0)</f>
        <v>44.861800000000002</v>
      </c>
      <c r="H709" s="14">
        <f>44.8271 * CHOOSE(CONTROL!$C$15, $E$9, 100%, $G$9) + CHOOSE(CONTROL!$C$38, 0.0347, 0)</f>
        <v>44.861800000000002</v>
      </c>
      <c r="I709" s="14">
        <f>44.8287 * CHOOSE(CONTROL!$C$15, $E$9, 100%, $G$9) + CHOOSE(CONTROL!$C$38, 0.0347, 0)</f>
        <v>44.863399999999999</v>
      </c>
      <c r="J709" s="44">
        <f>397.7108</f>
        <v>397.71080000000001</v>
      </c>
    </row>
    <row r="710" spans="1:10" ht="15.75" x14ac:dyDescent="0.25">
      <c r="A710" s="32">
        <v>62548</v>
      </c>
      <c r="B710" s="14">
        <f>49.9037 * CHOOSE(CONTROL!$C$15, $E$9, 100%, $G$9) + CHOOSE(CONTROL!$C$38, 0.0256, 0)</f>
        <v>49.929299999999998</v>
      </c>
      <c r="C710" s="14">
        <f>47.1671 * CHOOSE(CONTROL!$C$15, $E$9, 100%, $G$9) + CHOOSE(CONTROL!$C$38, 0.0347, 0)</f>
        <v>47.201799999999999</v>
      </c>
      <c r="D710" s="14">
        <f>47.1593 * CHOOSE(CONTROL!$C$15, $E$9, 100%, $G$9) + CHOOSE(CONTROL!$C$38, 0.0347, 0)</f>
        <v>47.194000000000003</v>
      </c>
      <c r="E710" s="46">
        <f>49.7474 * CHOOSE(CONTROL!$C$15, $E$9, 100%, $G$9) + CHOOSE(CONTROL!$C$38, 0.0347, 0)</f>
        <v>49.7821</v>
      </c>
      <c r="F710" s="45">
        <f>49.7474 * CHOOSE(CONTROL!$C$15, $E$9, 100%, $G$9) + CHOOSE(CONTROL!$C$38, 0.0256, 0)</f>
        <v>49.772999999999996</v>
      </c>
      <c r="G710" s="14">
        <f>47.1655 * CHOOSE(CONTROL!$C$15, $E$9, 100%, $G$9) + CHOOSE(CONTROL!$C$38, 0.0347, 0)</f>
        <v>47.200200000000002</v>
      </c>
      <c r="H710" s="14">
        <f>47.1655 * CHOOSE(CONTROL!$C$15, $E$9, 100%, $G$9) + CHOOSE(CONTROL!$C$38, 0.0347, 0)</f>
        <v>47.200200000000002</v>
      </c>
      <c r="I710" s="14">
        <f>47.1671 * CHOOSE(CONTROL!$C$15, $E$9, 100%, $G$9) + CHOOSE(CONTROL!$C$38, 0.0347, 0)</f>
        <v>47.201799999999999</v>
      </c>
      <c r="J710" s="44">
        <f>418.6725</f>
        <v>418.67250000000001</v>
      </c>
    </row>
    <row r="711" spans="1:10" ht="15.75" x14ac:dyDescent="0.25">
      <c r="A711" s="32">
        <v>62578</v>
      </c>
      <c r="B711" s="14">
        <f>53.1036 * CHOOSE(CONTROL!$C$15, $E$9, 100%, $G$9) + CHOOSE(CONTROL!$C$38, 0.0256, 0)</f>
        <v>53.129199999999997</v>
      </c>
      <c r="C711" s="14">
        <f>50.1995 * CHOOSE(CONTROL!$C$15, $E$9, 100%, $G$9) + CHOOSE(CONTROL!$C$38, 0.0347, 0)</f>
        <v>50.234200000000001</v>
      </c>
      <c r="D711" s="14">
        <f>50.1917 * CHOOSE(CONTROL!$C$15, $E$9, 100%, $G$9) + CHOOSE(CONTROL!$C$38, 0.0347, 0)</f>
        <v>50.226399999999998</v>
      </c>
      <c r="E711" s="46">
        <f>52.9473 * CHOOSE(CONTROL!$C$15, $E$9, 100%, $G$9) + CHOOSE(CONTROL!$C$38, 0.0347, 0)</f>
        <v>52.981999999999999</v>
      </c>
      <c r="F711" s="45">
        <f>52.9473 * CHOOSE(CONTROL!$C$15, $E$9, 100%, $G$9) + CHOOSE(CONTROL!$C$38, 0.0256, 0)</f>
        <v>52.972899999999996</v>
      </c>
      <c r="G711" s="14">
        <f>50.1979 * CHOOSE(CONTROL!$C$15, $E$9, 100%, $G$9) + CHOOSE(CONTROL!$C$38, 0.0347, 0)</f>
        <v>50.232599999999998</v>
      </c>
      <c r="H711" s="14">
        <f>50.1979 * CHOOSE(CONTROL!$C$15, $E$9, 100%, $G$9) + CHOOSE(CONTROL!$C$38, 0.0347, 0)</f>
        <v>50.232599999999998</v>
      </c>
      <c r="I711" s="14">
        <f>50.1995 * CHOOSE(CONTROL!$C$15, $E$9, 100%, $G$9) + CHOOSE(CONTROL!$C$38, 0.0347, 0)</f>
        <v>50.234200000000001</v>
      </c>
      <c r="J711" s="44">
        <f>445.8548</f>
        <v>445.85480000000001</v>
      </c>
    </row>
    <row r="712" spans="1:10" ht="15.75" x14ac:dyDescent="0.25">
      <c r="A712" s="32">
        <v>62609</v>
      </c>
      <c r="B712" s="14">
        <f>54.8649 * CHOOSE(CONTROL!$C$15, $E$9, 100%, $G$9) + CHOOSE(CONTROL!$C$38, 0.0278, 0)</f>
        <v>54.892699999999998</v>
      </c>
      <c r="C712" s="14">
        <f>51.8686 * CHOOSE(CONTROL!$C$15, $E$9, 100%, $G$9) + CHOOSE(CONTROL!$C$38, 0.0369, 0)</f>
        <v>51.905500000000004</v>
      </c>
      <c r="D712" s="14">
        <f>51.8608 * CHOOSE(CONTROL!$C$15, $E$9, 100%, $G$9) + CHOOSE(CONTROL!$C$38, 0.0369, 0)</f>
        <v>51.8977</v>
      </c>
      <c r="E712" s="46">
        <f>54.7087 * CHOOSE(CONTROL!$C$15, $E$9, 100%, $G$9) + CHOOSE(CONTROL!$C$38, 0.0369, 0)</f>
        <v>54.745600000000003</v>
      </c>
      <c r="F712" s="45">
        <f>54.7087 * CHOOSE(CONTROL!$C$15, $E$9, 100%, $G$9) + CHOOSE(CONTROL!$C$38, 0.0278, 0)</f>
        <v>54.736499999999999</v>
      </c>
      <c r="G712" s="14">
        <f>51.867 * CHOOSE(CONTROL!$C$15, $E$9, 100%, $G$9) + CHOOSE(CONTROL!$C$38, 0.0369, 0)</f>
        <v>51.9039</v>
      </c>
      <c r="H712" s="14">
        <f>51.867 * CHOOSE(CONTROL!$C$15, $E$9, 100%, $G$9) + CHOOSE(CONTROL!$C$38, 0.0369, 0)</f>
        <v>51.9039</v>
      </c>
      <c r="I712" s="14">
        <f>51.8686 * CHOOSE(CONTROL!$C$15, $E$9, 100%, $G$9) + CHOOSE(CONTROL!$C$38, 0.0369, 0)</f>
        <v>51.905500000000004</v>
      </c>
      <c r="J712" s="44">
        <f>460.8168</f>
        <v>460.8168</v>
      </c>
    </row>
    <row r="713" spans="1:10" ht="15.75" x14ac:dyDescent="0.25">
      <c r="A713" s="32">
        <v>62639</v>
      </c>
      <c r="B713" s="14">
        <f>55.6466 * CHOOSE(CONTROL!$C$15, $E$9, 100%, $G$9) + CHOOSE(CONTROL!$C$38, 0.0278, 0)</f>
        <v>55.674399999999999</v>
      </c>
      <c r="C713" s="14">
        <f>52.6093 * CHOOSE(CONTROL!$C$15, $E$9, 100%, $G$9) + CHOOSE(CONTROL!$C$38, 0.0369, 0)</f>
        <v>52.6462</v>
      </c>
      <c r="D713" s="14">
        <f>52.6015 * CHOOSE(CONTROL!$C$15, $E$9, 100%, $G$9) + CHOOSE(CONTROL!$C$38, 0.0369, 0)</f>
        <v>52.638400000000004</v>
      </c>
      <c r="E713" s="46">
        <f>55.4903 * CHOOSE(CONTROL!$C$15, $E$9, 100%, $G$9) + CHOOSE(CONTROL!$C$38, 0.0369, 0)</f>
        <v>55.527200000000001</v>
      </c>
      <c r="F713" s="45">
        <f>55.4903 * CHOOSE(CONTROL!$C$15, $E$9, 100%, $G$9) + CHOOSE(CONTROL!$C$38, 0.0278, 0)</f>
        <v>55.518099999999997</v>
      </c>
      <c r="G713" s="14">
        <f>52.6078 * CHOOSE(CONTROL!$C$15, $E$9, 100%, $G$9) + CHOOSE(CONTROL!$C$38, 0.0369, 0)</f>
        <v>52.6447</v>
      </c>
      <c r="H713" s="14">
        <f>52.6078 * CHOOSE(CONTROL!$C$15, $E$9, 100%, $G$9) + CHOOSE(CONTROL!$C$38, 0.0369, 0)</f>
        <v>52.6447</v>
      </c>
      <c r="I713" s="14">
        <f>52.6093 * CHOOSE(CONTROL!$C$15, $E$9, 100%, $G$9) + CHOOSE(CONTROL!$C$38, 0.0369, 0)</f>
        <v>52.6462</v>
      </c>
      <c r="J713" s="44">
        <f>467.4566</f>
        <v>467.45659999999998</v>
      </c>
    </row>
    <row r="714" spans="1:10" ht="15.75" x14ac:dyDescent="0.25">
      <c r="A714" s="32">
        <v>62670</v>
      </c>
      <c r="B714" s="14">
        <f>55.3892 * CHOOSE(CONTROL!$C$15, $E$9, 100%, $G$9) + CHOOSE(CONTROL!$C$38, 0.0278, 0)</f>
        <v>55.417000000000002</v>
      </c>
      <c r="C714" s="14">
        <f>52.3655 * CHOOSE(CONTROL!$C$15, $E$9, 100%, $G$9) + CHOOSE(CONTROL!$C$38, 0.0369, 0)</f>
        <v>52.4024</v>
      </c>
      <c r="D714" s="14">
        <f>52.3576 * CHOOSE(CONTROL!$C$15, $E$9, 100%, $G$9) + CHOOSE(CONTROL!$C$38, 0.0369, 0)</f>
        <v>52.394500000000001</v>
      </c>
      <c r="E714" s="46">
        <f>55.233 * CHOOSE(CONTROL!$C$15, $E$9, 100%, $G$9) + CHOOSE(CONTROL!$C$38, 0.0369, 0)</f>
        <v>55.2699</v>
      </c>
      <c r="F714" s="45">
        <f>55.233 * CHOOSE(CONTROL!$C$15, $E$9, 100%, $G$9) + CHOOSE(CONTROL!$C$38, 0.0278, 0)</f>
        <v>55.260799999999996</v>
      </c>
      <c r="G714" s="14">
        <f>52.3639 * CHOOSE(CONTROL!$C$15, $E$9, 100%, $G$9) + CHOOSE(CONTROL!$C$38, 0.0369, 0)</f>
        <v>52.400800000000004</v>
      </c>
      <c r="H714" s="14">
        <f>52.3639 * CHOOSE(CONTROL!$C$15, $E$9, 100%, $G$9) + CHOOSE(CONTROL!$C$38, 0.0369, 0)</f>
        <v>52.400800000000004</v>
      </c>
      <c r="I714" s="14">
        <f>52.3655 * CHOOSE(CONTROL!$C$15, $E$9, 100%, $G$9) + CHOOSE(CONTROL!$C$38, 0.0369, 0)</f>
        <v>52.4024</v>
      </c>
      <c r="J714" s="44">
        <f>465.2705</f>
        <v>465.27050000000003</v>
      </c>
    </row>
    <row r="715" spans="1:10" ht="15.75" x14ac:dyDescent="0.25">
      <c r="A715" s="32">
        <v>62701</v>
      </c>
      <c r="B715" s="14">
        <f>54.1141 * CHOOSE(CONTROL!$C$15, $E$9, 100%, $G$9) + CHOOSE(CONTROL!$C$38, 0.0278, 0)</f>
        <v>54.1419</v>
      </c>
      <c r="C715" s="14">
        <f>51.1571 * CHOOSE(CONTROL!$C$15, $E$9, 100%, $G$9) + CHOOSE(CONTROL!$C$38, 0.0369, 0)</f>
        <v>51.194000000000003</v>
      </c>
      <c r="D715" s="14">
        <f>51.1493 * CHOOSE(CONTROL!$C$15, $E$9, 100%, $G$9) + CHOOSE(CONTROL!$C$38, 0.0369, 0)</f>
        <v>51.186199999999999</v>
      </c>
      <c r="E715" s="46">
        <f>53.9579 * CHOOSE(CONTROL!$C$15, $E$9, 100%, $G$9) + CHOOSE(CONTROL!$C$38, 0.0369, 0)</f>
        <v>53.994800000000005</v>
      </c>
      <c r="F715" s="45">
        <f>53.9579 * CHOOSE(CONTROL!$C$15, $E$9, 100%, $G$9) + CHOOSE(CONTROL!$C$38, 0.0278, 0)</f>
        <v>53.985700000000001</v>
      </c>
      <c r="G715" s="14">
        <f>51.1556 * CHOOSE(CONTROL!$C$15, $E$9, 100%, $G$9) + CHOOSE(CONTROL!$C$38, 0.0369, 0)</f>
        <v>51.192500000000003</v>
      </c>
      <c r="H715" s="14">
        <f>51.1556 * CHOOSE(CONTROL!$C$15, $E$9, 100%, $G$9) + CHOOSE(CONTROL!$C$38, 0.0369, 0)</f>
        <v>51.192500000000003</v>
      </c>
      <c r="I715" s="14">
        <f>51.1571 * CHOOSE(CONTROL!$C$15, $E$9, 100%, $G$9) + CHOOSE(CONTROL!$C$38, 0.0369, 0)</f>
        <v>51.194000000000003</v>
      </c>
      <c r="J715" s="44">
        <f>454.4392</f>
        <v>454.43920000000003</v>
      </c>
    </row>
    <row r="716" spans="1:10" ht="15.75" x14ac:dyDescent="0.25">
      <c r="A716" s="32">
        <v>62731</v>
      </c>
      <c r="B716" s="14">
        <f>52.336 * CHOOSE(CONTROL!$C$15, $E$9, 100%, $G$9) + CHOOSE(CONTROL!$C$38, 0.0278, 0)</f>
        <v>52.363799999999998</v>
      </c>
      <c r="C716" s="14">
        <f>49.4721 * CHOOSE(CONTROL!$C$15, $E$9, 100%, $G$9) + CHOOSE(CONTROL!$C$38, 0.0369, 0)</f>
        <v>49.509</v>
      </c>
      <c r="D716" s="14">
        <f>49.4643 * CHOOSE(CONTROL!$C$15, $E$9, 100%, $G$9) + CHOOSE(CONTROL!$C$38, 0.0369, 0)</f>
        <v>49.501200000000004</v>
      </c>
      <c r="E716" s="46">
        <f>52.1797 * CHOOSE(CONTROL!$C$15, $E$9, 100%, $G$9) + CHOOSE(CONTROL!$C$38, 0.0369, 0)</f>
        <v>52.2166</v>
      </c>
      <c r="F716" s="45">
        <f>52.1797 * CHOOSE(CONTROL!$C$15, $E$9, 100%, $G$9) + CHOOSE(CONTROL!$C$38, 0.0278, 0)</f>
        <v>52.207499999999996</v>
      </c>
      <c r="G716" s="14">
        <f>49.4705 * CHOOSE(CONTROL!$C$15, $E$9, 100%, $G$9) + CHOOSE(CONTROL!$C$38, 0.0369, 0)</f>
        <v>49.507400000000004</v>
      </c>
      <c r="H716" s="14">
        <f>49.4705 * CHOOSE(CONTROL!$C$15, $E$9, 100%, $G$9) + CHOOSE(CONTROL!$C$38, 0.0369, 0)</f>
        <v>49.507400000000004</v>
      </c>
      <c r="I716" s="14">
        <f>49.4721 * CHOOSE(CONTROL!$C$15, $E$9, 100%, $G$9) + CHOOSE(CONTROL!$C$38, 0.0369, 0)</f>
        <v>49.509</v>
      </c>
      <c r="J716" s="44">
        <f>439.3344</f>
        <v>439.33440000000002</v>
      </c>
    </row>
    <row r="717" spans="1:10" ht="15.75" x14ac:dyDescent="0.25">
      <c r="A717" s="32">
        <v>62762</v>
      </c>
      <c r="B717" s="14">
        <f>50.5475 * CHOOSE(CONTROL!$C$15, $E$9, 100%, $G$9) + CHOOSE(CONTROL!$C$38, 0.0256, 0)</f>
        <v>50.573099999999997</v>
      </c>
      <c r="C717" s="14">
        <f>47.7772 * CHOOSE(CONTROL!$C$15, $E$9, 100%, $G$9) + CHOOSE(CONTROL!$C$38, 0.0347, 0)</f>
        <v>47.811900000000001</v>
      </c>
      <c r="D717" s="14">
        <f>47.7694 * CHOOSE(CONTROL!$C$15, $E$9, 100%, $G$9) + CHOOSE(CONTROL!$C$38, 0.0347, 0)</f>
        <v>47.804099999999998</v>
      </c>
      <c r="E717" s="46">
        <f>50.3913 * CHOOSE(CONTROL!$C$15, $E$9, 100%, $G$9) + CHOOSE(CONTROL!$C$38, 0.0347, 0)</f>
        <v>50.426000000000002</v>
      </c>
      <c r="F717" s="45">
        <f>50.3913 * CHOOSE(CONTROL!$C$15, $E$9, 100%, $G$9) + CHOOSE(CONTROL!$C$38, 0.0256, 0)</f>
        <v>50.416899999999998</v>
      </c>
      <c r="G717" s="14">
        <f>47.7757 * CHOOSE(CONTROL!$C$15, $E$9, 100%, $G$9) + CHOOSE(CONTROL!$C$38, 0.0347, 0)</f>
        <v>47.810400000000001</v>
      </c>
      <c r="H717" s="14">
        <f>47.7757 * CHOOSE(CONTROL!$C$15, $E$9, 100%, $G$9) + CHOOSE(CONTROL!$C$38, 0.0347, 0)</f>
        <v>47.810400000000001</v>
      </c>
      <c r="I717" s="14">
        <f>47.7772 * CHOOSE(CONTROL!$C$15, $E$9, 100%, $G$9) + CHOOSE(CONTROL!$C$38, 0.0347, 0)</f>
        <v>47.811900000000001</v>
      </c>
      <c r="J717" s="44">
        <f>424.1418</f>
        <v>424.14179999999999</v>
      </c>
    </row>
    <row r="718" spans="1:10" ht="15.75" x14ac:dyDescent="0.25">
      <c r="A718" s="32">
        <v>62792</v>
      </c>
      <c r="B718" s="14">
        <f>50.1917 * CHOOSE(CONTROL!$C$15, $E$9, 100%, $G$9) + CHOOSE(CONTROL!$C$38, 0.0256, 0)</f>
        <v>50.217299999999994</v>
      </c>
      <c r="C718" s="14">
        <f>47.4401 * CHOOSE(CONTROL!$C$15, $E$9, 100%, $G$9) + CHOOSE(CONTROL!$C$38, 0.0347, 0)</f>
        <v>47.474800000000002</v>
      </c>
      <c r="D718" s="14">
        <f>47.4323 * CHOOSE(CONTROL!$C$15, $E$9, 100%, $G$9) + CHOOSE(CONTROL!$C$38, 0.0347, 0)</f>
        <v>47.466999999999999</v>
      </c>
      <c r="E718" s="46">
        <f>50.0355 * CHOOSE(CONTROL!$C$15, $E$9, 100%, $G$9) + CHOOSE(CONTROL!$C$38, 0.0347, 0)</f>
        <v>50.0702</v>
      </c>
      <c r="F718" s="45">
        <f>50.0355 * CHOOSE(CONTROL!$C$15, $E$9, 100%, $G$9) + CHOOSE(CONTROL!$C$38, 0.0256, 0)</f>
        <v>50.061099999999996</v>
      </c>
      <c r="G718" s="14">
        <f>47.4385 * CHOOSE(CONTROL!$C$15, $E$9, 100%, $G$9) + CHOOSE(CONTROL!$C$38, 0.0347, 0)</f>
        <v>47.473199999999999</v>
      </c>
      <c r="H718" s="14">
        <f>47.4385 * CHOOSE(CONTROL!$C$15, $E$9, 100%, $G$9) + CHOOSE(CONTROL!$C$38, 0.0347, 0)</f>
        <v>47.473199999999999</v>
      </c>
      <c r="I718" s="14">
        <f>47.4401 * CHOOSE(CONTROL!$C$15, $E$9, 100%, $G$9) + CHOOSE(CONTROL!$C$38, 0.0347, 0)</f>
        <v>47.474800000000002</v>
      </c>
      <c r="J718" s="44">
        <f>421.1197</f>
        <v>421.11970000000002</v>
      </c>
    </row>
    <row r="719" spans="1:10" ht="15.75" x14ac:dyDescent="0.25">
      <c r="A719" s="32">
        <v>62823</v>
      </c>
      <c r="B719" s="14">
        <f>48.7206 * CHOOSE(CONTROL!$C$15, $E$9, 100%, $G$9) + CHOOSE(CONTROL!$C$38, 0.0256, 0)</f>
        <v>48.746199999999995</v>
      </c>
      <c r="C719" s="14">
        <f>46.046 * CHOOSE(CONTROL!$C$15, $E$9, 100%, $G$9) + CHOOSE(CONTROL!$C$38, 0.0347, 0)</f>
        <v>46.0807</v>
      </c>
      <c r="D719" s="14">
        <f>46.0382 * CHOOSE(CONTROL!$C$15, $E$9, 100%, $G$9) + CHOOSE(CONTROL!$C$38, 0.0347, 0)</f>
        <v>46.072900000000004</v>
      </c>
      <c r="E719" s="46">
        <f>48.5644 * CHOOSE(CONTROL!$C$15, $E$9, 100%, $G$9) + CHOOSE(CONTROL!$C$38, 0.0347, 0)</f>
        <v>48.5991</v>
      </c>
      <c r="F719" s="45">
        <f>48.5644 * CHOOSE(CONTROL!$C$15, $E$9, 100%, $G$9) + CHOOSE(CONTROL!$C$38, 0.0256, 0)</f>
        <v>48.589999999999996</v>
      </c>
      <c r="G719" s="14">
        <f>46.0444 * CHOOSE(CONTROL!$C$15, $E$9, 100%, $G$9) + CHOOSE(CONTROL!$C$38, 0.0347, 0)</f>
        <v>46.079100000000004</v>
      </c>
      <c r="H719" s="14">
        <f>46.0444 * CHOOSE(CONTROL!$C$15, $E$9, 100%, $G$9) + CHOOSE(CONTROL!$C$38, 0.0347, 0)</f>
        <v>46.079100000000004</v>
      </c>
      <c r="I719" s="14">
        <f>46.046 * CHOOSE(CONTROL!$C$15, $E$9, 100%, $G$9) + CHOOSE(CONTROL!$C$38, 0.0347, 0)</f>
        <v>46.0807</v>
      </c>
      <c r="J719" s="44">
        <f>408.6229</f>
        <v>408.62290000000002</v>
      </c>
    </row>
    <row r="720" spans="1:10" ht="15.75" x14ac:dyDescent="0.25">
      <c r="A720" s="32">
        <v>62854</v>
      </c>
      <c r="B720" s="14">
        <f>48.3553 * CHOOSE(CONTROL!$C$15, $E$9, 100%, $G$9) + CHOOSE(CONTROL!$C$38, 0.0256, 0)</f>
        <v>48.380899999999997</v>
      </c>
      <c r="C720" s="14">
        <f>45.6998 * CHOOSE(CONTROL!$C$15, $E$9, 100%, $G$9) + CHOOSE(CONTROL!$C$38, 0.0347, 0)</f>
        <v>45.734500000000004</v>
      </c>
      <c r="D720" s="14">
        <f>45.692 * CHOOSE(CONTROL!$C$15, $E$9, 100%, $G$9) + CHOOSE(CONTROL!$C$38, 0.0347, 0)</f>
        <v>45.726700000000001</v>
      </c>
      <c r="E720" s="46">
        <f>48.199 * CHOOSE(CONTROL!$C$15, $E$9, 100%, $G$9) + CHOOSE(CONTROL!$C$38, 0.0347, 0)</f>
        <v>48.233699999999999</v>
      </c>
      <c r="F720" s="45">
        <f>48.199 * CHOOSE(CONTROL!$C$15, $E$9, 100%, $G$9) + CHOOSE(CONTROL!$C$38, 0.0256, 0)</f>
        <v>48.224599999999995</v>
      </c>
      <c r="G720" s="14">
        <f>45.6982 * CHOOSE(CONTROL!$C$15, $E$9, 100%, $G$9) + CHOOSE(CONTROL!$C$38, 0.0347, 0)</f>
        <v>45.732900000000001</v>
      </c>
      <c r="H720" s="14">
        <f>45.6982 * CHOOSE(CONTROL!$C$15, $E$9, 100%, $G$9) + CHOOSE(CONTROL!$C$38, 0.0347, 0)</f>
        <v>45.732900000000001</v>
      </c>
      <c r="I720" s="14">
        <f>45.6998 * CHOOSE(CONTROL!$C$15, $E$9, 100%, $G$9) + CHOOSE(CONTROL!$C$38, 0.0347, 0)</f>
        <v>45.734500000000004</v>
      </c>
      <c r="J720" s="44">
        <f>408.096</f>
        <v>408.096</v>
      </c>
    </row>
    <row r="721" spans="1:10" ht="15.75" x14ac:dyDescent="0.25">
      <c r="A721" s="32">
        <v>62883</v>
      </c>
      <c r="B721" s="14">
        <f>48.2226 * CHOOSE(CONTROL!$C$15, $E$9, 100%, $G$9) + CHOOSE(CONTROL!$C$38, 0.0256, 0)</f>
        <v>48.248199999999997</v>
      </c>
      <c r="C721" s="14">
        <f>45.574 * CHOOSE(CONTROL!$C$15, $E$9, 100%, $G$9) + CHOOSE(CONTROL!$C$38, 0.0347, 0)</f>
        <v>45.608699999999999</v>
      </c>
      <c r="D721" s="14">
        <f>45.5662 * CHOOSE(CONTROL!$C$15, $E$9, 100%, $G$9) + CHOOSE(CONTROL!$C$38, 0.0347, 0)</f>
        <v>45.600900000000003</v>
      </c>
      <c r="E721" s="46">
        <f>48.0663 * CHOOSE(CONTROL!$C$15, $E$9, 100%, $G$9) + CHOOSE(CONTROL!$C$38, 0.0347, 0)</f>
        <v>48.100999999999999</v>
      </c>
      <c r="F721" s="45">
        <f>48.0663 * CHOOSE(CONTROL!$C$15, $E$9, 100%, $G$9) + CHOOSE(CONTROL!$C$38, 0.0256, 0)</f>
        <v>48.091899999999995</v>
      </c>
      <c r="G721" s="14">
        <f>45.5725 * CHOOSE(CONTROL!$C$15, $E$9, 100%, $G$9) + CHOOSE(CONTROL!$C$38, 0.0347, 0)</f>
        <v>45.607199999999999</v>
      </c>
      <c r="H721" s="14">
        <f>45.5725 * CHOOSE(CONTROL!$C$15, $E$9, 100%, $G$9) + CHOOSE(CONTROL!$C$38, 0.0347, 0)</f>
        <v>45.607199999999999</v>
      </c>
      <c r="I721" s="14">
        <f>45.574 * CHOOSE(CONTROL!$C$15, $E$9, 100%, $G$9) + CHOOSE(CONTROL!$C$38, 0.0347, 0)</f>
        <v>45.608699999999999</v>
      </c>
      <c r="J721" s="44">
        <f>406.9616</f>
        <v>406.96159999999998</v>
      </c>
    </row>
    <row r="722" spans="1:10" ht="15.75" x14ac:dyDescent="0.25">
      <c r="A722" s="32">
        <v>62914</v>
      </c>
      <c r="B722" s="14">
        <f>50.7317 * CHOOSE(CONTROL!$C$15, $E$9, 100%, $G$9) + CHOOSE(CONTROL!$C$38, 0.0256, 0)</f>
        <v>50.757299999999994</v>
      </c>
      <c r="C722" s="14">
        <f>47.9517 * CHOOSE(CONTROL!$C$15, $E$9, 100%, $G$9) + CHOOSE(CONTROL!$C$38, 0.0347, 0)</f>
        <v>47.986400000000003</v>
      </c>
      <c r="D722" s="14">
        <f>47.9439 * CHOOSE(CONTROL!$C$15, $E$9, 100%, $G$9) + CHOOSE(CONTROL!$C$38, 0.0347, 0)</f>
        <v>47.9786</v>
      </c>
      <c r="E722" s="46">
        <f>50.5754 * CHOOSE(CONTROL!$C$15, $E$9, 100%, $G$9) + CHOOSE(CONTROL!$C$38, 0.0347, 0)</f>
        <v>50.610100000000003</v>
      </c>
      <c r="F722" s="45">
        <f>50.5754 * CHOOSE(CONTROL!$C$15, $E$9, 100%, $G$9) + CHOOSE(CONTROL!$C$38, 0.0256, 0)</f>
        <v>50.600999999999999</v>
      </c>
      <c r="G722" s="14">
        <f>47.9502 * CHOOSE(CONTROL!$C$15, $E$9, 100%, $G$9) + CHOOSE(CONTROL!$C$38, 0.0347, 0)</f>
        <v>47.984900000000003</v>
      </c>
      <c r="H722" s="14">
        <f>47.9502 * CHOOSE(CONTROL!$C$15, $E$9, 100%, $G$9) + CHOOSE(CONTROL!$C$38, 0.0347, 0)</f>
        <v>47.984900000000003</v>
      </c>
      <c r="I722" s="14">
        <f>47.9517 * CHOOSE(CONTROL!$C$15, $E$9, 100%, $G$9) + CHOOSE(CONTROL!$C$38, 0.0347, 0)</f>
        <v>47.986400000000003</v>
      </c>
      <c r="J722" s="44">
        <f>428.4108</f>
        <v>428.41079999999999</v>
      </c>
    </row>
    <row r="723" spans="1:10" ht="15.75" x14ac:dyDescent="0.25">
      <c r="A723" s="32">
        <v>62944</v>
      </c>
      <c r="B723" s="14">
        <f>53.9853 * CHOOSE(CONTROL!$C$15, $E$9, 100%, $G$9) + CHOOSE(CONTROL!$C$38, 0.0256, 0)</f>
        <v>54.010899999999999</v>
      </c>
      <c r="C723" s="14">
        <f>51.0351 * CHOOSE(CONTROL!$C$15, $E$9, 100%, $G$9) + CHOOSE(CONTROL!$C$38, 0.0347, 0)</f>
        <v>51.069800000000001</v>
      </c>
      <c r="D723" s="14">
        <f>51.0273 * CHOOSE(CONTROL!$C$15, $E$9, 100%, $G$9) + CHOOSE(CONTROL!$C$38, 0.0347, 0)</f>
        <v>51.061999999999998</v>
      </c>
      <c r="E723" s="46">
        <f>53.8291 * CHOOSE(CONTROL!$C$15, $E$9, 100%, $G$9) + CHOOSE(CONTROL!$C$38, 0.0347, 0)</f>
        <v>53.863799999999998</v>
      </c>
      <c r="F723" s="45">
        <f>53.8291 * CHOOSE(CONTROL!$C$15, $E$9, 100%, $G$9) + CHOOSE(CONTROL!$C$38, 0.0256, 0)</f>
        <v>53.854699999999994</v>
      </c>
      <c r="G723" s="14">
        <f>51.0335 * CHOOSE(CONTROL!$C$15, $E$9, 100%, $G$9) + CHOOSE(CONTROL!$C$38, 0.0347, 0)</f>
        <v>51.068199999999997</v>
      </c>
      <c r="H723" s="14">
        <f>51.0335 * CHOOSE(CONTROL!$C$15, $E$9, 100%, $G$9) + CHOOSE(CONTROL!$C$38, 0.0347, 0)</f>
        <v>51.068199999999997</v>
      </c>
      <c r="I723" s="14">
        <f>51.0351 * CHOOSE(CONTROL!$C$15, $E$9, 100%, $G$9) + CHOOSE(CONTROL!$C$38, 0.0347, 0)</f>
        <v>51.069800000000001</v>
      </c>
      <c r="J723" s="44">
        <f>456.2253</f>
        <v>456.2253</v>
      </c>
    </row>
    <row r="724" spans="1:10" ht="15.75" x14ac:dyDescent="0.25">
      <c r="A724" s="32">
        <v>62975</v>
      </c>
      <c r="B724" s="14">
        <f>55.7763 * CHOOSE(CONTROL!$C$15, $E$9, 100%, $G$9) + CHOOSE(CONTROL!$C$38, 0.0278, 0)</f>
        <v>55.804099999999998</v>
      </c>
      <c r="C724" s="14">
        <f>52.7322 * CHOOSE(CONTROL!$C$15, $E$9, 100%, $G$9) + CHOOSE(CONTROL!$C$38, 0.0369, 0)</f>
        <v>52.769100000000002</v>
      </c>
      <c r="D724" s="14">
        <f>52.7244 * CHOOSE(CONTROL!$C$15, $E$9, 100%, $G$9) + CHOOSE(CONTROL!$C$38, 0.0369, 0)</f>
        <v>52.761300000000006</v>
      </c>
      <c r="E724" s="46">
        <f>55.62 * CHOOSE(CONTROL!$C$15, $E$9, 100%, $G$9) + CHOOSE(CONTROL!$C$38, 0.0369, 0)</f>
        <v>55.6569</v>
      </c>
      <c r="F724" s="45">
        <f>55.62 * CHOOSE(CONTROL!$C$15, $E$9, 100%, $G$9) + CHOOSE(CONTROL!$C$38, 0.0278, 0)</f>
        <v>55.647799999999997</v>
      </c>
      <c r="G724" s="14">
        <f>52.7307 * CHOOSE(CONTROL!$C$15, $E$9, 100%, $G$9) + CHOOSE(CONTROL!$C$38, 0.0369, 0)</f>
        <v>52.767600000000002</v>
      </c>
      <c r="H724" s="14">
        <f>52.7307 * CHOOSE(CONTROL!$C$15, $E$9, 100%, $G$9) + CHOOSE(CONTROL!$C$38, 0.0369, 0)</f>
        <v>52.767600000000002</v>
      </c>
      <c r="I724" s="14">
        <f>52.7322 * CHOOSE(CONTROL!$C$15, $E$9, 100%, $G$9) + CHOOSE(CONTROL!$C$38, 0.0369, 0)</f>
        <v>52.769100000000002</v>
      </c>
      <c r="J724" s="44">
        <f>471.5354</f>
        <v>471.53539999999998</v>
      </c>
    </row>
    <row r="725" spans="1:10" ht="15.75" x14ac:dyDescent="0.25">
      <c r="A725" s="32">
        <v>63005</v>
      </c>
      <c r="B725" s="14">
        <f>56.571 * CHOOSE(CONTROL!$C$15, $E$9, 100%, $G$9) + CHOOSE(CONTROL!$C$38, 0.0278, 0)</f>
        <v>56.598799999999997</v>
      </c>
      <c r="C725" s="14">
        <f>53.4854 * CHOOSE(CONTROL!$C$15, $E$9, 100%, $G$9) + CHOOSE(CONTROL!$C$38, 0.0369, 0)</f>
        <v>53.522300000000001</v>
      </c>
      <c r="D725" s="14">
        <f>53.4776 * CHOOSE(CONTROL!$C$15, $E$9, 100%, $G$9) + CHOOSE(CONTROL!$C$38, 0.0369, 0)</f>
        <v>53.514500000000005</v>
      </c>
      <c r="E725" s="46">
        <f>56.4148 * CHOOSE(CONTROL!$C$15, $E$9, 100%, $G$9) + CHOOSE(CONTROL!$C$38, 0.0369, 0)</f>
        <v>56.451700000000002</v>
      </c>
      <c r="F725" s="45">
        <f>56.4148 * CHOOSE(CONTROL!$C$15, $E$9, 100%, $G$9) + CHOOSE(CONTROL!$C$38, 0.0278, 0)</f>
        <v>56.442599999999999</v>
      </c>
      <c r="G725" s="14">
        <f>53.4839 * CHOOSE(CONTROL!$C$15, $E$9, 100%, $G$9) + CHOOSE(CONTROL!$C$38, 0.0369, 0)</f>
        <v>53.520800000000001</v>
      </c>
      <c r="H725" s="14">
        <f>53.4839 * CHOOSE(CONTROL!$C$15, $E$9, 100%, $G$9) + CHOOSE(CONTROL!$C$38, 0.0369, 0)</f>
        <v>53.520800000000001</v>
      </c>
      <c r="I725" s="14">
        <f>53.4854 * CHOOSE(CONTROL!$C$15, $E$9, 100%, $G$9) + CHOOSE(CONTROL!$C$38, 0.0369, 0)</f>
        <v>53.522300000000001</v>
      </c>
      <c r="J725" s="44">
        <f>478.3297</f>
        <v>478.3297</v>
      </c>
    </row>
    <row r="726" spans="1:10" ht="15.75" x14ac:dyDescent="0.25">
      <c r="A726" s="32">
        <v>63036</v>
      </c>
      <c r="B726" s="14">
        <f>56.3094 * CHOOSE(CONTROL!$C$15, $E$9, 100%, $G$9) + CHOOSE(CONTROL!$C$38, 0.0278, 0)</f>
        <v>56.337199999999996</v>
      </c>
      <c r="C726" s="14">
        <f>53.2374 * CHOOSE(CONTROL!$C$15, $E$9, 100%, $G$9) + CHOOSE(CONTROL!$C$38, 0.0369, 0)</f>
        <v>53.274300000000004</v>
      </c>
      <c r="D726" s="14">
        <f>53.2296 * CHOOSE(CONTROL!$C$15, $E$9, 100%, $G$9) + CHOOSE(CONTROL!$C$38, 0.0369, 0)</f>
        <v>53.266500000000001</v>
      </c>
      <c r="E726" s="46">
        <f>56.1531 * CHOOSE(CONTROL!$C$15, $E$9, 100%, $G$9) + CHOOSE(CONTROL!$C$38, 0.0369, 0)</f>
        <v>56.190000000000005</v>
      </c>
      <c r="F726" s="45">
        <f>56.1531 * CHOOSE(CONTROL!$C$15, $E$9, 100%, $G$9) + CHOOSE(CONTROL!$C$38, 0.0278, 0)</f>
        <v>56.180900000000001</v>
      </c>
      <c r="G726" s="14">
        <f>53.2359 * CHOOSE(CONTROL!$C$15, $E$9, 100%, $G$9) + CHOOSE(CONTROL!$C$38, 0.0369, 0)</f>
        <v>53.272800000000004</v>
      </c>
      <c r="H726" s="14">
        <f>53.2359 * CHOOSE(CONTROL!$C$15, $E$9, 100%, $G$9) + CHOOSE(CONTROL!$C$38, 0.0369, 0)</f>
        <v>53.272800000000004</v>
      </c>
      <c r="I726" s="14">
        <f>53.2374 * CHOOSE(CONTROL!$C$15, $E$9, 100%, $G$9) + CHOOSE(CONTROL!$C$38, 0.0369, 0)</f>
        <v>53.274300000000004</v>
      </c>
      <c r="J726" s="44">
        <f>476.0927</f>
        <v>476.09269999999998</v>
      </c>
    </row>
    <row r="727" spans="1:10" ht="15.75" x14ac:dyDescent="0.25">
      <c r="A727" s="32">
        <v>63067</v>
      </c>
      <c r="B727" s="14">
        <f>55.0129 * CHOOSE(CONTROL!$C$15, $E$9, 100%, $G$9) + CHOOSE(CONTROL!$C$38, 0.0278, 0)</f>
        <v>55.040700000000001</v>
      </c>
      <c r="C727" s="14">
        <f>52.0088 * CHOOSE(CONTROL!$C$15, $E$9, 100%, $G$9) + CHOOSE(CONTROL!$C$38, 0.0369, 0)</f>
        <v>52.045700000000004</v>
      </c>
      <c r="D727" s="14">
        <f>52.001 * CHOOSE(CONTROL!$C$15, $E$9, 100%, $G$9) + CHOOSE(CONTROL!$C$38, 0.0369, 0)</f>
        <v>52.0379</v>
      </c>
      <c r="E727" s="46">
        <f>54.8566 * CHOOSE(CONTROL!$C$15, $E$9, 100%, $G$9) + CHOOSE(CONTROL!$C$38, 0.0369, 0)</f>
        <v>54.893500000000003</v>
      </c>
      <c r="F727" s="45">
        <f>54.8566 * CHOOSE(CONTROL!$C$15, $E$9, 100%, $G$9) + CHOOSE(CONTROL!$C$38, 0.0278, 0)</f>
        <v>54.884399999999999</v>
      </c>
      <c r="G727" s="14">
        <f>52.0073 * CHOOSE(CONTROL!$C$15, $E$9, 100%, $G$9) + CHOOSE(CONTROL!$C$38, 0.0369, 0)</f>
        <v>52.044200000000004</v>
      </c>
      <c r="H727" s="14">
        <f>52.0073 * CHOOSE(CONTROL!$C$15, $E$9, 100%, $G$9) + CHOOSE(CONTROL!$C$38, 0.0369, 0)</f>
        <v>52.044200000000004</v>
      </c>
      <c r="I727" s="14">
        <f>52.0088 * CHOOSE(CONTROL!$C$15, $E$9, 100%, $G$9) + CHOOSE(CONTROL!$C$38, 0.0369, 0)</f>
        <v>52.045700000000004</v>
      </c>
      <c r="J727" s="44">
        <f>465.0094</f>
        <v>465.00940000000003</v>
      </c>
    </row>
    <row r="728" spans="1:10" ht="15.75" x14ac:dyDescent="0.25">
      <c r="A728" s="32">
        <v>63097</v>
      </c>
      <c r="B728" s="14">
        <f>53.2049 * CHOOSE(CONTROL!$C$15, $E$9, 100%, $G$9) + CHOOSE(CONTROL!$C$38, 0.0278, 0)</f>
        <v>53.232700000000001</v>
      </c>
      <c r="C728" s="14">
        <f>50.2955 * CHOOSE(CONTROL!$C$15, $E$9, 100%, $G$9) + CHOOSE(CONTROL!$C$38, 0.0369, 0)</f>
        <v>50.3324</v>
      </c>
      <c r="D728" s="14">
        <f>50.2876 * CHOOSE(CONTROL!$C$15, $E$9, 100%, $G$9) + CHOOSE(CONTROL!$C$38, 0.0369, 0)</f>
        <v>50.3245</v>
      </c>
      <c r="E728" s="46">
        <f>53.0486 * CHOOSE(CONTROL!$C$15, $E$9, 100%, $G$9) + CHOOSE(CONTROL!$C$38, 0.0369, 0)</f>
        <v>53.085500000000003</v>
      </c>
      <c r="F728" s="45">
        <f>53.0486 * CHOOSE(CONTROL!$C$15, $E$9, 100%, $G$9) + CHOOSE(CONTROL!$C$38, 0.0278, 0)</f>
        <v>53.0764</v>
      </c>
      <c r="G728" s="14">
        <f>50.2939 * CHOOSE(CONTROL!$C$15, $E$9, 100%, $G$9) + CHOOSE(CONTROL!$C$38, 0.0369, 0)</f>
        <v>50.330800000000004</v>
      </c>
      <c r="H728" s="14">
        <f>50.2939 * CHOOSE(CONTROL!$C$15, $E$9, 100%, $G$9) + CHOOSE(CONTROL!$C$38, 0.0369, 0)</f>
        <v>50.330800000000004</v>
      </c>
      <c r="I728" s="14">
        <f>50.2955 * CHOOSE(CONTROL!$C$15, $E$9, 100%, $G$9) + CHOOSE(CONTROL!$C$38, 0.0369, 0)</f>
        <v>50.3324</v>
      </c>
      <c r="J728" s="44">
        <f>449.5533</f>
        <v>449.55329999999998</v>
      </c>
    </row>
    <row r="729" spans="1:10" ht="15.75" x14ac:dyDescent="0.25">
      <c r="A729" s="32">
        <v>63128</v>
      </c>
      <c r="B729" s="14">
        <f>51.3863 * CHOOSE(CONTROL!$C$15, $E$9, 100%, $G$9) + CHOOSE(CONTROL!$C$38, 0.0256, 0)</f>
        <v>51.411899999999996</v>
      </c>
      <c r="C729" s="14">
        <f>48.5721 * CHOOSE(CONTROL!$C$15, $E$9, 100%, $G$9) + CHOOSE(CONTROL!$C$38, 0.0347, 0)</f>
        <v>48.6068</v>
      </c>
      <c r="D729" s="14">
        <f>48.5643 * CHOOSE(CONTROL!$C$15, $E$9, 100%, $G$9) + CHOOSE(CONTROL!$C$38, 0.0347, 0)</f>
        <v>48.599000000000004</v>
      </c>
      <c r="E729" s="46">
        <f>51.2301 * CHOOSE(CONTROL!$C$15, $E$9, 100%, $G$9) + CHOOSE(CONTROL!$C$38, 0.0347, 0)</f>
        <v>51.264800000000001</v>
      </c>
      <c r="F729" s="45">
        <f>51.2301 * CHOOSE(CONTROL!$C$15, $E$9, 100%, $G$9) + CHOOSE(CONTROL!$C$38, 0.0256, 0)</f>
        <v>51.255699999999997</v>
      </c>
      <c r="G729" s="14">
        <f>48.5706 * CHOOSE(CONTROL!$C$15, $E$9, 100%, $G$9) + CHOOSE(CONTROL!$C$38, 0.0347, 0)</f>
        <v>48.6053</v>
      </c>
      <c r="H729" s="14">
        <f>48.5706 * CHOOSE(CONTROL!$C$15, $E$9, 100%, $G$9) + CHOOSE(CONTROL!$C$38, 0.0347, 0)</f>
        <v>48.6053</v>
      </c>
      <c r="I729" s="14">
        <f>48.5721 * CHOOSE(CONTROL!$C$15, $E$9, 100%, $G$9) + CHOOSE(CONTROL!$C$38, 0.0347, 0)</f>
        <v>48.6068</v>
      </c>
      <c r="J729" s="44">
        <f>434.0073</f>
        <v>434.00729999999999</v>
      </c>
    </row>
    <row r="730" spans="1:10" ht="15.75" x14ac:dyDescent="0.25">
      <c r="A730" s="32">
        <v>63158</v>
      </c>
      <c r="B730" s="14">
        <f>51.0246 * CHOOSE(CONTROL!$C$15, $E$9, 100%, $G$9) + CHOOSE(CONTROL!$C$38, 0.0256, 0)</f>
        <v>51.050199999999997</v>
      </c>
      <c r="C730" s="14">
        <f>48.2293 * CHOOSE(CONTROL!$C$15, $E$9, 100%, $G$9) + CHOOSE(CONTROL!$C$38, 0.0347, 0)</f>
        <v>48.264000000000003</v>
      </c>
      <c r="D730" s="14">
        <f>48.2215 * CHOOSE(CONTROL!$C$15, $E$9, 100%, $G$9) + CHOOSE(CONTROL!$C$38, 0.0347, 0)</f>
        <v>48.2562</v>
      </c>
      <c r="E730" s="46">
        <f>50.8683 * CHOOSE(CONTROL!$C$15, $E$9, 100%, $G$9) + CHOOSE(CONTROL!$C$38, 0.0347, 0)</f>
        <v>50.902999999999999</v>
      </c>
      <c r="F730" s="45">
        <f>50.8683 * CHOOSE(CONTROL!$C$15, $E$9, 100%, $G$9) + CHOOSE(CONTROL!$C$38, 0.0256, 0)</f>
        <v>50.893899999999995</v>
      </c>
      <c r="G730" s="14">
        <f>48.2278 * CHOOSE(CONTROL!$C$15, $E$9, 100%, $G$9) + CHOOSE(CONTROL!$C$38, 0.0347, 0)</f>
        <v>48.262500000000003</v>
      </c>
      <c r="H730" s="14">
        <f>48.2278 * CHOOSE(CONTROL!$C$15, $E$9, 100%, $G$9) + CHOOSE(CONTROL!$C$38, 0.0347, 0)</f>
        <v>48.262500000000003</v>
      </c>
      <c r="I730" s="14">
        <f>48.2293 * CHOOSE(CONTROL!$C$15, $E$9, 100%, $G$9) + CHOOSE(CONTROL!$C$38, 0.0347, 0)</f>
        <v>48.264000000000003</v>
      </c>
      <c r="J730" s="44">
        <f>430.9149</f>
        <v>430.91489999999999</v>
      </c>
    </row>
    <row r="731" spans="1:10" ht="15.75" x14ac:dyDescent="0.25">
      <c r="A731" s="32">
        <v>63189</v>
      </c>
      <c r="B731" s="14">
        <f>49.5287 * CHOOSE(CONTROL!$C$15, $E$9, 100%, $G$9) + CHOOSE(CONTROL!$C$38, 0.0256, 0)</f>
        <v>49.554299999999998</v>
      </c>
      <c r="C731" s="14">
        <f>46.8118 * CHOOSE(CONTROL!$C$15, $E$9, 100%, $G$9) + CHOOSE(CONTROL!$C$38, 0.0347, 0)</f>
        <v>46.846499999999999</v>
      </c>
      <c r="D731" s="14">
        <f>46.804 * CHOOSE(CONTROL!$C$15, $E$9, 100%, $G$9) + CHOOSE(CONTROL!$C$38, 0.0347, 0)</f>
        <v>46.838700000000003</v>
      </c>
      <c r="E731" s="46">
        <f>49.3725 * CHOOSE(CONTROL!$C$15, $E$9, 100%, $G$9) + CHOOSE(CONTROL!$C$38, 0.0347, 0)</f>
        <v>49.407200000000003</v>
      </c>
      <c r="F731" s="45">
        <f>49.3725 * CHOOSE(CONTROL!$C$15, $E$9, 100%, $G$9) + CHOOSE(CONTROL!$C$38, 0.0256, 0)</f>
        <v>49.398099999999999</v>
      </c>
      <c r="G731" s="14">
        <f>46.8102 * CHOOSE(CONTROL!$C$15, $E$9, 100%, $G$9) + CHOOSE(CONTROL!$C$38, 0.0347, 0)</f>
        <v>46.844900000000003</v>
      </c>
      <c r="H731" s="14">
        <f>46.8102 * CHOOSE(CONTROL!$C$15, $E$9, 100%, $G$9) + CHOOSE(CONTROL!$C$38, 0.0347, 0)</f>
        <v>46.844900000000003</v>
      </c>
      <c r="I731" s="14">
        <f>46.8118 * CHOOSE(CONTROL!$C$15, $E$9, 100%, $G$9) + CHOOSE(CONTROL!$C$38, 0.0347, 0)</f>
        <v>46.846499999999999</v>
      </c>
      <c r="J731" s="44">
        <f>418.1275</f>
        <v>418.1275</v>
      </c>
    </row>
    <row r="732" spans="1:10" ht="15.75" x14ac:dyDescent="0.25">
      <c r="A732" s="32">
        <v>63220</v>
      </c>
      <c r="B732" s="14">
        <f>49.1573 * CHOOSE(CONTROL!$C$15, $E$9, 100%, $G$9) + CHOOSE(CONTROL!$C$38, 0.0256, 0)</f>
        <v>49.182899999999997</v>
      </c>
      <c r="C732" s="14">
        <f>46.4598 * CHOOSE(CONTROL!$C$15, $E$9, 100%, $G$9) + CHOOSE(CONTROL!$C$38, 0.0347, 0)</f>
        <v>46.494500000000002</v>
      </c>
      <c r="D732" s="14">
        <f>46.452 * CHOOSE(CONTROL!$C$15, $E$9, 100%, $G$9) + CHOOSE(CONTROL!$C$38, 0.0347, 0)</f>
        <v>46.486699999999999</v>
      </c>
      <c r="E732" s="46">
        <f>49.001 * CHOOSE(CONTROL!$C$15, $E$9, 100%, $G$9) + CHOOSE(CONTROL!$C$38, 0.0347, 0)</f>
        <v>49.035699999999999</v>
      </c>
      <c r="F732" s="45">
        <f>49.001 * CHOOSE(CONTROL!$C$15, $E$9, 100%, $G$9) + CHOOSE(CONTROL!$C$38, 0.0256, 0)</f>
        <v>49.026599999999995</v>
      </c>
      <c r="G732" s="14">
        <f>46.4582 * CHOOSE(CONTROL!$C$15, $E$9, 100%, $G$9) + CHOOSE(CONTROL!$C$38, 0.0347, 0)</f>
        <v>46.492899999999999</v>
      </c>
      <c r="H732" s="14">
        <f>46.4582 * CHOOSE(CONTROL!$C$15, $E$9, 100%, $G$9) + CHOOSE(CONTROL!$C$38, 0.0347, 0)</f>
        <v>46.492899999999999</v>
      </c>
      <c r="I732" s="14">
        <f>46.4598 * CHOOSE(CONTROL!$C$15, $E$9, 100%, $G$9) + CHOOSE(CONTROL!$C$38, 0.0347, 0)</f>
        <v>46.494500000000002</v>
      </c>
      <c r="J732" s="44">
        <f>417.5883</f>
        <v>417.5883</v>
      </c>
    </row>
    <row r="733" spans="1:10" ht="15.75" x14ac:dyDescent="0.25">
      <c r="A733" s="32">
        <v>63248</v>
      </c>
      <c r="B733" s="14">
        <f>49.0223 * CHOOSE(CONTROL!$C$15, $E$9, 100%, $G$9) + CHOOSE(CONTROL!$C$38, 0.0256, 0)</f>
        <v>49.047899999999998</v>
      </c>
      <c r="C733" s="14">
        <f>46.3319 * CHOOSE(CONTROL!$C$15, $E$9, 100%, $G$9) + CHOOSE(CONTROL!$C$38, 0.0347, 0)</f>
        <v>46.366599999999998</v>
      </c>
      <c r="D733" s="14">
        <f>46.3241 * CHOOSE(CONTROL!$C$15, $E$9, 100%, $G$9) + CHOOSE(CONTROL!$C$38, 0.0347, 0)</f>
        <v>46.358800000000002</v>
      </c>
      <c r="E733" s="46">
        <f>48.8661 * CHOOSE(CONTROL!$C$15, $E$9, 100%, $G$9) + CHOOSE(CONTROL!$C$38, 0.0347, 0)</f>
        <v>48.900800000000004</v>
      </c>
      <c r="F733" s="45">
        <f>48.8661 * CHOOSE(CONTROL!$C$15, $E$9, 100%, $G$9) + CHOOSE(CONTROL!$C$38, 0.0256, 0)</f>
        <v>48.8917</v>
      </c>
      <c r="G733" s="14">
        <f>46.3303 * CHOOSE(CONTROL!$C$15, $E$9, 100%, $G$9) + CHOOSE(CONTROL!$C$38, 0.0347, 0)</f>
        <v>46.365000000000002</v>
      </c>
      <c r="H733" s="14">
        <f>46.3303 * CHOOSE(CONTROL!$C$15, $E$9, 100%, $G$9) + CHOOSE(CONTROL!$C$38, 0.0347, 0)</f>
        <v>46.365000000000002</v>
      </c>
      <c r="I733" s="14">
        <f>46.3319 * CHOOSE(CONTROL!$C$15, $E$9, 100%, $G$9) + CHOOSE(CONTROL!$C$38, 0.0347, 0)</f>
        <v>46.366599999999998</v>
      </c>
      <c r="J733" s="44">
        <f>416.4275</f>
        <v>416.42750000000001</v>
      </c>
    </row>
    <row r="734" spans="1:10" ht="15.75" x14ac:dyDescent="0.25">
      <c r="A734" s="32">
        <v>63279</v>
      </c>
      <c r="B734" s="14">
        <f>51.5736 * CHOOSE(CONTROL!$C$15, $E$9, 100%, $G$9) + CHOOSE(CONTROL!$C$38, 0.0256, 0)</f>
        <v>51.599199999999996</v>
      </c>
      <c r="C734" s="14">
        <f>48.7496 * CHOOSE(CONTROL!$C$15, $E$9, 100%, $G$9) + CHOOSE(CONTROL!$C$38, 0.0347, 0)</f>
        <v>48.784300000000002</v>
      </c>
      <c r="D734" s="14">
        <f>48.7418 * CHOOSE(CONTROL!$C$15, $E$9, 100%, $G$9) + CHOOSE(CONTROL!$C$38, 0.0347, 0)</f>
        <v>48.776499999999999</v>
      </c>
      <c r="E734" s="46">
        <f>51.4173 * CHOOSE(CONTROL!$C$15, $E$9, 100%, $G$9) + CHOOSE(CONTROL!$C$38, 0.0347, 0)</f>
        <v>51.451999999999998</v>
      </c>
      <c r="F734" s="45">
        <f>51.4173 * CHOOSE(CONTROL!$C$15, $E$9, 100%, $G$9) + CHOOSE(CONTROL!$C$38, 0.0256, 0)</f>
        <v>51.442899999999995</v>
      </c>
      <c r="G734" s="14">
        <f>48.748 * CHOOSE(CONTROL!$C$15, $E$9, 100%, $G$9) + CHOOSE(CONTROL!$C$38, 0.0347, 0)</f>
        <v>48.782699999999998</v>
      </c>
      <c r="H734" s="14">
        <f>48.748 * CHOOSE(CONTROL!$C$15, $E$9, 100%, $G$9) + CHOOSE(CONTROL!$C$38, 0.0347, 0)</f>
        <v>48.782699999999998</v>
      </c>
      <c r="I734" s="14">
        <f>48.7496 * CHOOSE(CONTROL!$C$15, $E$9, 100%, $G$9) + CHOOSE(CONTROL!$C$38, 0.0347, 0)</f>
        <v>48.784300000000002</v>
      </c>
      <c r="J734" s="44">
        <f>438.3757</f>
        <v>438.37569999999999</v>
      </c>
    </row>
    <row r="735" spans="1:10" ht="15.75" x14ac:dyDescent="0.25">
      <c r="A735" s="32">
        <v>63309</v>
      </c>
      <c r="B735" s="14">
        <f>54.8819 * CHOOSE(CONTROL!$C$15, $E$9, 100%, $G$9) + CHOOSE(CONTROL!$C$38, 0.0256, 0)</f>
        <v>54.907499999999999</v>
      </c>
      <c r="C735" s="14">
        <f>51.8847 * CHOOSE(CONTROL!$C$15, $E$9, 100%, $G$9) + CHOOSE(CONTROL!$C$38, 0.0347, 0)</f>
        <v>51.919400000000003</v>
      </c>
      <c r="D735" s="14">
        <f>51.8769 * CHOOSE(CONTROL!$C$15, $E$9, 100%, $G$9) + CHOOSE(CONTROL!$C$38, 0.0347, 0)</f>
        <v>51.9116</v>
      </c>
      <c r="E735" s="46">
        <f>54.7257 * CHOOSE(CONTROL!$C$15, $E$9, 100%, $G$9) + CHOOSE(CONTROL!$C$38, 0.0347, 0)</f>
        <v>54.760400000000004</v>
      </c>
      <c r="F735" s="45">
        <f>54.7257 * CHOOSE(CONTROL!$C$15, $E$9, 100%, $G$9) + CHOOSE(CONTROL!$C$38, 0.0256, 0)</f>
        <v>54.751300000000001</v>
      </c>
      <c r="G735" s="14">
        <f>51.8831 * CHOOSE(CONTROL!$C$15, $E$9, 100%, $G$9) + CHOOSE(CONTROL!$C$38, 0.0347, 0)</f>
        <v>51.9178</v>
      </c>
      <c r="H735" s="14">
        <f>51.8831 * CHOOSE(CONTROL!$C$15, $E$9, 100%, $G$9) + CHOOSE(CONTROL!$C$38, 0.0347, 0)</f>
        <v>51.9178</v>
      </c>
      <c r="I735" s="14">
        <f>51.8847 * CHOOSE(CONTROL!$C$15, $E$9, 100%, $G$9) + CHOOSE(CONTROL!$C$38, 0.0347, 0)</f>
        <v>51.919400000000003</v>
      </c>
      <c r="J735" s="44">
        <f>466.8371</f>
        <v>466.83710000000002</v>
      </c>
    </row>
    <row r="736" spans="1:10" ht="15.75" x14ac:dyDescent="0.25">
      <c r="A736" s="32">
        <v>63340</v>
      </c>
      <c r="B736" s="14">
        <f>56.7029 * CHOOSE(CONTROL!$C$15, $E$9, 100%, $G$9) + CHOOSE(CONTROL!$C$38, 0.0278, 0)</f>
        <v>56.730699999999999</v>
      </c>
      <c r="C736" s="14">
        <f>53.6104 * CHOOSE(CONTROL!$C$15, $E$9, 100%, $G$9) + CHOOSE(CONTROL!$C$38, 0.0369, 0)</f>
        <v>53.647300000000001</v>
      </c>
      <c r="D736" s="14">
        <f>53.6026 * CHOOSE(CONTROL!$C$15, $E$9, 100%, $G$9) + CHOOSE(CONTROL!$C$38, 0.0369, 0)</f>
        <v>53.639500000000005</v>
      </c>
      <c r="E736" s="46">
        <f>56.5467 * CHOOSE(CONTROL!$C$15, $E$9, 100%, $G$9) + CHOOSE(CONTROL!$C$38, 0.0369, 0)</f>
        <v>56.583600000000004</v>
      </c>
      <c r="F736" s="45">
        <f>56.5467 * CHOOSE(CONTROL!$C$15, $E$9, 100%, $G$9) + CHOOSE(CONTROL!$C$38, 0.0278, 0)</f>
        <v>56.5745</v>
      </c>
      <c r="G736" s="14">
        <f>53.6088 * CHOOSE(CONTROL!$C$15, $E$9, 100%, $G$9) + CHOOSE(CONTROL!$C$38, 0.0369, 0)</f>
        <v>53.645700000000005</v>
      </c>
      <c r="H736" s="14">
        <f>53.6088 * CHOOSE(CONTROL!$C$15, $E$9, 100%, $G$9) + CHOOSE(CONTROL!$C$38, 0.0369, 0)</f>
        <v>53.645700000000005</v>
      </c>
      <c r="I736" s="14">
        <f>53.6104 * CHOOSE(CONTROL!$C$15, $E$9, 100%, $G$9) + CHOOSE(CONTROL!$C$38, 0.0369, 0)</f>
        <v>53.647300000000001</v>
      </c>
      <c r="J736" s="44">
        <f>482.5033</f>
        <v>482.50330000000002</v>
      </c>
    </row>
    <row r="737" spans="1:10" ht="15.75" x14ac:dyDescent="0.25">
      <c r="A737" s="32">
        <v>63370</v>
      </c>
      <c r="B737" s="14">
        <f>57.5111 * CHOOSE(CONTROL!$C$15, $E$9, 100%, $G$9) + CHOOSE(CONTROL!$C$38, 0.0278, 0)</f>
        <v>57.538899999999998</v>
      </c>
      <c r="C737" s="14">
        <f>54.3762 * CHOOSE(CONTROL!$C$15, $E$9, 100%, $G$9) + CHOOSE(CONTROL!$C$38, 0.0369, 0)</f>
        <v>54.4131</v>
      </c>
      <c r="D737" s="14">
        <f>54.3684 * CHOOSE(CONTROL!$C$15, $E$9, 100%, $G$9) + CHOOSE(CONTROL!$C$38, 0.0369, 0)</f>
        <v>54.405300000000004</v>
      </c>
      <c r="E737" s="46">
        <f>57.3548 * CHOOSE(CONTROL!$C$15, $E$9, 100%, $G$9) + CHOOSE(CONTROL!$C$38, 0.0369, 0)</f>
        <v>57.3917</v>
      </c>
      <c r="F737" s="45">
        <f>57.3548 * CHOOSE(CONTROL!$C$15, $E$9, 100%, $G$9) + CHOOSE(CONTROL!$C$38, 0.0278, 0)</f>
        <v>57.382599999999996</v>
      </c>
      <c r="G737" s="14">
        <f>54.3747 * CHOOSE(CONTROL!$C$15, $E$9, 100%, $G$9) + CHOOSE(CONTROL!$C$38, 0.0369, 0)</f>
        <v>54.4116</v>
      </c>
      <c r="H737" s="14">
        <f>54.3747 * CHOOSE(CONTROL!$C$15, $E$9, 100%, $G$9) + CHOOSE(CONTROL!$C$38, 0.0369, 0)</f>
        <v>54.4116</v>
      </c>
      <c r="I737" s="14">
        <f>54.3762 * CHOOSE(CONTROL!$C$15, $E$9, 100%, $G$9) + CHOOSE(CONTROL!$C$38, 0.0369, 0)</f>
        <v>54.4131</v>
      </c>
      <c r="J737" s="44">
        <f>489.4556</f>
        <v>489.4556</v>
      </c>
    </row>
    <row r="738" spans="1:10" ht="15.75" x14ac:dyDescent="0.25">
      <c r="A738" s="32">
        <v>63401</v>
      </c>
      <c r="B738" s="14">
        <f>57.245 * CHOOSE(CONTROL!$C$15, $E$9, 100%, $G$9) + CHOOSE(CONTROL!$C$38, 0.0278, 0)</f>
        <v>57.272799999999997</v>
      </c>
      <c r="C738" s="14">
        <f>54.1241 * CHOOSE(CONTROL!$C$15, $E$9, 100%, $G$9) + CHOOSE(CONTROL!$C$38, 0.0369, 0)</f>
        <v>54.161000000000001</v>
      </c>
      <c r="D738" s="14">
        <f>54.1163 * CHOOSE(CONTROL!$C$15, $E$9, 100%, $G$9) + CHOOSE(CONTROL!$C$38, 0.0369, 0)</f>
        <v>54.153200000000005</v>
      </c>
      <c r="E738" s="46">
        <f>57.0887 * CHOOSE(CONTROL!$C$15, $E$9, 100%, $G$9) + CHOOSE(CONTROL!$C$38, 0.0369, 0)</f>
        <v>57.125600000000006</v>
      </c>
      <c r="F738" s="45">
        <f>57.0887 * CHOOSE(CONTROL!$C$15, $E$9, 100%, $G$9) + CHOOSE(CONTROL!$C$38, 0.0278, 0)</f>
        <v>57.116500000000002</v>
      </c>
      <c r="G738" s="14">
        <f>54.1225 * CHOOSE(CONTROL!$C$15, $E$9, 100%, $G$9) + CHOOSE(CONTROL!$C$38, 0.0369, 0)</f>
        <v>54.159400000000005</v>
      </c>
      <c r="H738" s="14">
        <f>54.1225 * CHOOSE(CONTROL!$C$15, $E$9, 100%, $G$9) + CHOOSE(CONTROL!$C$38, 0.0369, 0)</f>
        <v>54.159400000000005</v>
      </c>
      <c r="I738" s="14">
        <f>54.1241 * CHOOSE(CONTROL!$C$15, $E$9, 100%, $G$9) + CHOOSE(CONTROL!$C$38, 0.0369, 0)</f>
        <v>54.161000000000001</v>
      </c>
      <c r="J738" s="44">
        <f>487.1666</f>
        <v>487.16660000000002</v>
      </c>
    </row>
    <row r="739" spans="1:10" ht="15.75" x14ac:dyDescent="0.25">
      <c r="A739" s="32">
        <v>63432</v>
      </c>
      <c r="B739" s="14">
        <f>55.9267 * CHOOSE(CONTROL!$C$15, $E$9, 100%, $G$9) + CHOOSE(CONTROL!$C$38, 0.0278, 0)</f>
        <v>55.954499999999996</v>
      </c>
      <c r="C739" s="14">
        <f>52.8748 * CHOOSE(CONTROL!$C$15, $E$9, 100%, $G$9) + CHOOSE(CONTROL!$C$38, 0.0369, 0)</f>
        <v>52.911700000000003</v>
      </c>
      <c r="D739" s="14">
        <f>52.867 * CHOOSE(CONTROL!$C$15, $E$9, 100%, $G$9) + CHOOSE(CONTROL!$C$38, 0.0369, 0)</f>
        <v>52.9039</v>
      </c>
      <c r="E739" s="46">
        <f>55.7705 * CHOOSE(CONTROL!$C$15, $E$9, 100%, $G$9) + CHOOSE(CONTROL!$C$38, 0.0369, 0)</f>
        <v>55.807400000000001</v>
      </c>
      <c r="F739" s="45">
        <f>55.7705 * CHOOSE(CONTROL!$C$15, $E$9, 100%, $G$9) + CHOOSE(CONTROL!$C$38, 0.0278, 0)</f>
        <v>55.798299999999998</v>
      </c>
      <c r="G739" s="14">
        <f>52.8732 * CHOOSE(CONTROL!$C$15, $E$9, 100%, $G$9) + CHOOSE(CONTROL!$C$38, 0.0369, 0)</f>
        <v>52.9101</v>
      </c>
      <c r="H739" s="14">
        <f>52.8732 * CHOOSE(CONTROL!$C$15, $E$9, 100%, $G$9) + CHOOSE(CONTROL!$C$38, 0.0369, 0)</f>
        <v>52.9101</v>
      </c>
      <c r="I739" s="14">
        <f>52.8748 * CHOOSE(CONTROL!$C$15, $E$9, 100%, $G$9) + CHOOSE(CONTROL!$C$38, 0.0369, 0)</f>
        <v>52.911700000000003</v>
      </c>
      <c r="J739" s="44">
        <f>475.8256</f>
        <v>475.82560000000001</v>
      </c>
    </row>
    <row r="740" spans="1:10" ht="15.75" x14ac:dyDescent="0.25">
      <c r="A740" s="32">
        <v>63462</v>
      </c>
      <c r="B740" s="14">
        <f>54.0883 * CHOOSE(CONTROL!$C$15, $E$9, 100%, $G$9) + CHOOSE(CONTROL!$C$38, 0.0278, 0)</f>
        <v>54.116099999999996</v>
      </c>
      <c r="C740" s="14">
        <f>51.1327 * CHOOSE(CONTROL!$C$15, $E$9, 100%, $G$9) + CHOOSE(CONTROL!$C$38, 0.0369, 0)</f>
        <v>51.169600000000003</v>
      </c>
      <c r="D740" s="14">
        <f>51.1249 * CHOOSE(CONTROL!$C$15, $E$9, 100%, $G$9) + CHOOSE(CONTROL!$C$38, 0.0369, 0)</f>
        <v>51.161799999999999</v>
      </c>
      <c r="E740" s="46">
        <f>53.9321 * CHOOSE(CONTROL!$C$15, $E$9, 100%, $G$9) + CHOOSE(CONTROL!$C$38, 0.0369, 0)</f>
        <v>53.969000000000001</v>
      </c>
      <c r="F740" s="45">
        <f>53.9321 * CHOOSE(CONTROL!$C$15, $E$9, 100%, $G$9) + CHOOSE(CONTROL!$C$38, 0.0278, 0)</f>
        <v>53.959899999999998</v>
      </c>
      <c r="G740" s="14">
        <f>51.1311 * CHOOSE(CONTROL!$C$15, $E$9, 100%, $G$9) + CHOOSE(CONTROL!$C$38, 0.0369, 0)</f>
        <v>51.168000000000006</v>
      </c>
      <c r="H740" s="14">
        <f>51.1311 * CHOOSE(CONTROL!$C$15, $E$9, 100%, $G$9) + CHOOSE(CONTROL!$C$38, 0.0369, 0)</f>
        <v>51.168000000000006</v>
      </c>
      <c r="I740" s="14">
        <f>51.1327 * CHOOSE(CONTROL!$C$15, $E$9, 100%, $G$9) + CHOOSE(CONTROL!$C$38, 0.0369, 0)</f>
        <v>51.169600000000003</v>
      </c>
      <c r="J740" s="44">
        <f>460.0099</f>
        <v>460.00990000000002</v>
      </c>
    </row>
    <row r="741" spans="1:10" ht="15.75" x14ac:dyDescent="0.25">
      <c r="A741" s="32">
        <v>63493</v>
      </c>
      <c r="B741" s="14">
        <f>52.2392 * CHOOSE(CONTROL!$C$15, $E$9, 100%, $G$9) + CHOOSE(CONTROL!$C$38, 0.0256, 0)</f>
        <v>52.264799999999994</v>
      </c>
      <c r="C741" s="14">
        <f>49.3804 * CHOOSE(CONTROL!$C$15, $E$9, 100%, $G$9) + CHOOSE(CONTROL!$C$38, 0.0347, 0)</f>
        <v>49.415100000000002</v>
      </c>
      <c r="D741" s="14">
        <f>49.3726 * CHOOSE(CONTROL!$C$15, $E$9, 100%, $G$9) + CHOOSE(CONTROL!$C$38, 0.0347, 0)</f>
        <v>49.407299999999999</v>
      </c>
      <c r="E741" s="46">
        <f>52.083 * CHOOSE(CONTROL!$C$15, $E$9, 100%, $G$9) + CHOOSE(CONTROL!$C$38, 0.0347, 0)</f>
        <v>52.117699999999999</v>
      </c>
      <c r="F741" s="45">
        <f>52.083 * CHOOSE(CONTROL!$C$15, $E$9, 100%, $G$9) + CHOOSE(CONTROL!$C$38, 0.0256, 0)</f>
        <v>52.108599999999996</v>
      </c>
      <c r="G741" s="14">
        <f>49.3788 * CHOOSE(CONTROL!$C$15, $E$9, 100%, $G$9) + CHOOSE(CONTROL!$C$38, 0.0347, 0)</f>
        <v>49.413499999999999</v>
      </c>
      <c r="H741" s="14">
        <f>49.3788 * CHOOSE(CONTROL!$C$15, $E$9, 100%, $G$9) + CHOOSE(CONTROL!$C$38, 0.0347, 0)</f>
        <v>49.413499999999999</v>
      </c>
      <c r="I741" s="14">
        <f>49.3804 * CHOOSE(CONTROL!$C$15, $E$9, 100%, $G$9) + CHOOSE(CONTROL!$C$38, 0.0347, 0)</f>
        <v>49.415100000000002</v>
      </c>
      <c r="J741" s="44">
        <f>444.1023</f>
        <v>444.10230000000001</v>
      </c>
    </row>
    <row r="742" spans="1:10" ht="15.75" x14ac:dyDescent="0.25">
      <c r="A742" s="32">
        <v>63523</v>
      </c>
      <c r="B742" s="14">
        <f>51.8714 * CHOOSE(CONTROL!$C$15, $E$9, 100%, $G$9) + CHOOSE(CONTROL!$C$38, 0.0256, 0)</f>
        <v>51.896999999999998</v>
      </c>
      <c r="C742" s="14">
        <f>49.0318 * CHOOSE(CONTROL!$C$15, $E$9, 100%, $G$9) + CHOOSE(CONTROL!$C$38, 0.0347, 0)</f>
        <v>49.066499999999998</v>
      </c>
      <c r="D742" s="14">
        <f>49.024 * CHOOSE(CONTROL!$C$15, $E$9, 100%, $G$9) + CHOOSE(CONTROL!$C$38, 0.0347, 0)</f>
        <v>49.058700000000002</v>
      </c>
      <c r="E742" s="46">
        <f>51.7152 * CHOOSE(CONTROL!$C$15, $E$9, 100%, $G$9) + CHOOSE(CONTROL!$C$38, 0.0347, 0)</f>
        <v>51.749900000000004</v>
      </c>
      <c r="F742" s="45">
        <f>51.7152 * CHOOSE(CONTROL!$C$15, $E$9, 100%, $G$9) + CHOOSE(CONTROL!$C$38, 0.0256, 0)</f>
        <v>51.7408</v>
      </c>
      <c r="G742" s="14">
        <f>49.0303 * CHOOSE(CONTROL!$C$15, $E$9, 100%, $G$9) + CHOOSE(CONTROL!$C$38, 0.0347, 0)</f>
        <v>49.064999999999998</v>
      </c>
      <c r="H742" s="14">
        <f>49.0303 * CHOOSE(CONTROL!$C$15, $E$9, 100%, $G$9) + CHOOSE(CONTROL!$C$38, 0.0347, 0)</f>
        <v>49.064999999999998</v>
      </c>
      <c r="I742" s="14">
        <f>49.0318 * CHOOSE(CONTROL!$C$15, $E$9, 100%, $G$9) + CHOOSE(CONTROL!$C$38, 0.0347, 0)</f>
        <v>49.066499999999998</v>
      </c>
      <c r="J742" s="44">
        <f>440.938</f>
        <v>440.93799999999999</v>
      </c>
    </row>
    <row r="743" spans="1:10" ht="15.75" x14ac:dyDescent="0.25">
      <c r="A743" s="32">
        <v>63554</v>
      </c>
      <c r="B743" s="14">
        <f>50.3504 * CHOOSE(CONTROL!$C$15, $E$9, 100%, $G$9) + CHOOSE(CONTROL!$C$38, 0.0256, 0)</f>
        <v>50.375999999999998</v>
      </c>
      <c r="C743" s="14">
        <f>47.5905 * CHOOSE(CONTROL!$C$15, $E$9, 100%, $G$9) + CHOOSE(CONTROL!$C$38, 0.0347, 0)</f>
        <v>47.6252</v>
      </c>
      <c r="D743" s="14">
        <f>47.5827 * CHOOSE(CONTROL!$C$15, $E$9, 100%, $G$9) + CHOOSE(CONTROL!$C$38, 0.0347, 0)</f>
        <v>47.617400000000004</v>
      </c>
      <c r="E743" s="46">
        <f>50.1942 * CHOOSE(CONTROL!$C$15, $E$9, 100%, $G$9) + CHOOSE(CONTROL!$C$38, 0.0347, 0)</f>
        <v>50.228900000000003</v>
      </c>
      <c r="F743" s="45">
        <f>50.1942 * CHOOSE(CONTROL!$C$15, $E$9, 100%, $G$9) + CHOOSE(CONTROL!$C$38, 0.0256, 0)</f>
        <v>50.219799999999999</v>
      </c>
      <c r="G743" s="14">
        <f>47.5889 * CHOOSE(CONTROL!$C$15, $E$9, 100%, $G$9) + CHOOSE(CONTROL!$C$38, 0.0347, 0)</f>
        <v>47.623600000000003</v>
      </c>
      <c r="H743" s="14">
        <f>47.5889 * CHOOSE(CONTROL!$C$15, $E$9, 100%, $G$9) + CHOOSE(CONTROL!$C$38, 0.0347, 0)</f>
        <v>47.623600000000003</v>
      </c>
      <c r="I743" s="14">
        <f>47.5905 * CHOOSE(CONTROL!$C$15, $E$9, 100%, $G$9) + CHOOSE(CONTROL!$C$38, 0.0347, 0)</f>
        <v>47.6252</v>
      </c>
      <c r="J743" s="44">
        <f>427.8531</f>
        <v>427.85309999999998</v>
      </c>
    </row>
    <row r="744" spans="1:10" ht="15.75" x14ac:dyDescent="0.25">
      <c r="A744" s="32">
        <v>63585</v>
      </c>
      <c r="B744" s="14">
        <f>49.9727 * CHOOSE(CONTROL!$C$15, $E$9, 100%, $G$9) + CHOOSE(CONTROL!$C$38, 0.0256, 0)</f>
        <v>49.9983</v>
      </c>
      <c r="C744" s="14">
        <f>47.2325 * CHOOSE(CONTROL!$C$15, $E$9, 100%, $G$9) + CHOOSE(CONTROL!$C$38, 0.0347, 0)</f>
        <v>47.267200000000003</v>
      </c>
      <c r="D744" s="14">
        <f>47.2247 * CHOOSE(CONTROL!$C$15, $E$9, 100%, $G$9) + CHOOSE(CONTROL!$C$38, 0.0347, 0)</f>
        <v>47.259399999999999</v>
      </c>
      <c r="E744" s="46">
        <f>49.8165 * CHOOSE(CONTROL!$C$15, $E$9, 100%, $G$9) + CHOOSE(CONTROL!$C$38, 0.0347, 0)</f>
        <v>49.851199999999999</v>
      </c>
      <c r="F744" s="45">
        <f>49.8165 * CHOOSE(CONTROL!$C$15, $E$9, 100%, $G$9) + CHOOSE(CONTROL!$C$38, 0.0256, 0)</f>
        <v>49.842099999999995</v>
      </c>
      <c r="G744" s="14">
        <f>47.231 * CHOOSE(CONTROL!$C$15, $E$9, 100%, $G$9) + CHOOSE(CONTROL!$C$38, 0.0347, 0)</f>
        <v>47.265700000000002</v>
      </c>
      <c r="H744" s="14">
        <f>47.231 * CHOOSE(CONTROL!$C$15, $E$9, 100%, $G$9) + CHOOSE(CONTROL!$C$38, 0.0347, 0)</f>
        <v>47.265700000000002</v>
      </c>
      <c r="I744" s="14">
        <f>47.2325 * CHOOSE(CONTROL!$C$15, $E$9, 100%, $G$9) + CHOOSE(CONTROL!$C$38, 0.0347, 0)</f>
        <v>47.267200000000003</v>
      </c>
      <c r="J744" s="44">
        <f>427.3014</f>
        <v>427.3014</v>
      </c>
    </row>
    <row r="745" spans="1:10" ht="15.75" x14ac:dyDescent="0.25">
      <c r="A745" s="32">
        <v>63613</v>
      </c>
      <c r="B745" s="14">
        <f>49.8355 * CHOOSE(CONTROL!$C$15, $E$9, 100%, $G$9) + CHOOSE(CONTROL!$C$38, 0.0256, 0)</f>
        <v>49.8611</v>
      </c>
      <c r="C745" s="14">
        <f>47.1025 * CHOOSE(CONTROL!$C$15, $E$9, 100%, $G$9) + CHOOSE(CONTROL!$C$38, 0.0347, 0)</f>
        <v>47.1372</v>
      </c>
      <c r="D745" s="14">
        <f>47.0947 * CHOOSE(CONTROL!$C$15, $E$9, 100%, $G$9) + CHOOSE(CONTROL!$C$38, 0.0347, 0)</f>
        <v>47.129400000000004</v>
      </c>
      <c r="E745" s="46">
        <f>49.6793 * CHOOSE(CONTROL!$C$15, $E$9, 100%, $G$9) + CHOOSE(CONTROL!$C$38, 0.0347, 0)</f>
        <v>49.713999999999999</v>
      </c>
      <c r="F745" s="45">
        <f>49.6793 * CHOOSE(CONTROL!$C$15, $E$9, 100%, $G$9) + CHOOSE(CONTROL!$C$38, 0.0256, 0)</f>
        <v>49.704899999999995</v>
      </c>
      <c r="G745" s="14">
        <f>47.101 * CHOOSE(CONTROL!$C$15, $E$9, 100%, $G$9) + CHOOSE(CONTROL!$C$38, 0.0347, 0)</f>
        <v>47.1357</v>
      </c>
      <c r="H745" s="14">
        <f>47.101 * CHOOSE(CONTROL!$C$15, $E$9, 100%, $G$9) + CHOOSE(CONTROL!$C$38, 0.0347, 0)</f>
        <v>47.1357</v>
      </c>
      <c r="I745" s="14">
        <f>47.1025 * CHOOSE(CONTROL!$C$15, $E$9, 100%, $G$9) + CHOOSE(CONTROL!$C$38, 0.0347, 0)</f>
        <v>47.1372</v>
      </c>
      <c r="J745" s="44">
        <f>426.1136</f>
        <v>426.11360000000002</v>
      </c>
    </row>
    <row r="746" spans="1:10" ht="15.75" x14ac:dyDescent="0.25">
      <c r="A746" s="32">
        <v>63644</v>
      </c>
      <c r="B746" s="14">
        <f>52.4296 * CHOOSE(CONTROL!$C$15, $E$9, 100%, $G$9) + CHOOSE(CONTROL!$C$38, 0.0256, 0)</f>
        <v>52.455199999999998</v>
      </c>
      <c r="C746" s="14">
        <f>49.5608 * CHOOSE(CONTROL!$C$15, $E$9, 100%, $G$9) + CHOOSE(CONTROL!$C$38, 0.0347, 0)</f>
        <v>49.595500000000001</v>
      </c>
      <c r="D746" s="14">
        <f>49.553 * CHOOSE(CONTROL!$C$15, $E$9, 100%, $G$9) + CHOOSE(CONTROL!$C$38, 0.0347, 0)</f>
        <v>49.587699999999998</v>
      </c>
      <c r="E746" s="46">
        <f>52.2734 * CHOOSE(CONTROL!$C$15, $E$9, 100%, $G$9) + CHOOSE(CONTROL!$C$38, 0.0347, 0)</f>
        <v>52.308100000000003</v>
      </c>
      <c r="F746" s="45">
        <f>52.2734 * CHOOSE(CONTROL!$C$15, $E$9, 100%, $G$9) + CHOOSE(CONTROL!$C$38, 0.0256, 0)</f>
        <v>52.298999999999999</v>
      </c>
      <c r="G746" s="14">
        <f>49.5592 * CHOOSE(CONTROL!$C$15, $E$9, 100%, $G$9) + CHOOSE(CONTROL!$C$38, 0.0347, 0)</f>
        <v>49.593899999999998</v>
      </c>
      <c r="H746" s="14">
        <f>49.5592 * CHOOSE(CONTROL!$C$15, $E$9, 100%, $G$9) + CHOOSE(CONTROL!$C$38, 0.0347, 0)</f>
        <v>49.593899999999998</v>
      </c>
      <c r="I746" s="14">
        <f>49.5608 * CHOOSE(CONTROL!$C$15, $E$9, 100%, $G$9) + CHOOSE(CONTROL!$C$38, 0.0347, 0)</f>
        <v>49.595500000000001</v>
      </c>
      <c r="J746" s="44">
        <f>448.5723</f>
        <v>448.57229999999998</v>
      </c>
    </row>
    <row r="747" spans="1:10" ht="15.75" x14ac:dyDescent="0.25">
      <c r="A747" s="32">
        <v>63674</v>
      </c>
      <c r="B747" s="14">
        <f>55.7935 * CHOOSE(CONTROL!$C$15, $E$9, 100%, $G$9) + CHOOSE(CONTROL!$C$38, 0.0256, 0)</f>
        <v>55.819099999999999</v>
      </c>
      <c r="C747" s="14">
        <f>52.7486 * CHOOSE(CONTROL!$C$15, $E$9, 100%, $G$9) + CHOOSE(CONTROL!$C$38, 0.0347, 0)</f>
        <v>52.783300000000004</v>
      </c>
      <c r="D747" s="14">
        <f>52.7408 * CHOOSE(CONTROL!$C$15, $E$9, 100%, $G$9) + CHOOSE(CONTROL!$C$38, 0.0347, 0)</f>
        <v>52.775500000000001</v>
      </c>
      <c r="E747" s="46">
        <f>55.6373 * CHOOSE(CONTROL!$C$15, $E$9, 100%, $G$9) + CHOOSE(CONTROL!$C$38, 0.0347, 0)</f>
        <v>55.672000000000004</v>
      </c>
      <c r="F747" s="45">
        <f>55.6373 * CHOOSE(CONTROL!$C$15, $E$9, 100%, $G$9) + CHOOSE(CONTROL!$C$38, 0.0256, 0)</f>
        <v>55.6629</v>
      </c>
      <c r="G747" s="14">
        <f>52.7471 * CHOOSE(CONTROL!$C$15, $E$9, 100%, $G$9) + CHOOSE(CONTROL!$C$38, 0.0347, 0)</f>
        <v>52.781800000000004</v>
      </c>
      <c r="H747" s="14">
        <f>52.7471 * CHOOSE(CONTROL!$C$15, $E$9, 100%, $G$9) + CHOOSE(CONTROL!$C$38, 0.0347, 0)</f>
        <v>52.781800000000004</v>
      </c>
      <c r="I747" s="14">
        <f>52.7486 * CHOOSE(CONTROL!$C$15, $E$9, 100%, $G$9) + CHOOSE(CONTROL!$C$38, 0.0347, 0)</f>
        <v>52.783300000000004</v>
      </c>
      <c r="J747" s="44">
        <f>477.6958</f>
        <v>477.69580000000002</v>
      </c>
    </row>
    <row r="748" spans="1:10" ht="15.75" x14ac:dyDescent="0.25">
      <c r="A748" s="32">
        <v>63705</v>
      </c>
      <c r="B748" s="14">
        <f>57.6451 * CHOOSE(CONTROL!$C$15, $E$9, 100%, $G$9) + CHOOSE(CONTROL!$C$38, 0.0278, 0)</f>
        <v>57.672899999999998</v>
      </c>
      <c r="C748" s="14">
        <f>54.5033 * CHOOSE(CONTROL!$C$15, $E$9, 100%, $G$9) + CHOOSE(CONTROL!$C$38, 0.0369, 0)</f>
        <v>54.540200000000006</v>
      </c>
      <c r="D748" s="14">
        <f>54.4955 * CHOOSE(CONTROL!$C$15, $E$9, 100%, $G$9) + CHOOSE(CONTROL!$C$38, 0.0369, 0)</f>
        <v>54.532400000000003</v>
      </c>
      <c r="E748" s="46">
        <f>57.4889 * CHOOSE(CONTROL!$C$15, $E$9, 100%, $G$9) + CHOOSE(CONTROL!$C$38, 0.0369, 0)</f>
        <v>57.525800000000004</v>
      </c>
      <c r="F748" s="45">
        <f>57.4889 * CHOOSE(CONTROL!$C$15, $E$9, 100%, $G$9) + CHOOSE(CONTROL!$C$38, 0.0278, 0)</f>
        <v>57.5167</v>
      </c>
      <c r="G748" s="14">
        <f>54.5017 * CHOOSE(CONTROL!$C$15, $E$9, 100%, $G$9) + CHOOSE(CONTROL!$C$38, 0.0369, 0)</f>
        <v>54.538600000000002</v>
      </c>
      <c r="H748" s="14">
        <f>54.5017 * CHOOSE(CONTROL!$C$15, $E$9, 100%, $G$9) + CHOOSE(CONTROL!$C$38, 0.0369, 0)</f>
        <v>54.538600000000002</v>
      </c>
      <c r="I748" s="14">
        <f>54.5033 * CHOOSE(CONTROL!$C$15, $E$9, 100%, $G$9) + CHOOSE(CONTROL!$C$38, 0.0369, 0)</f>
        <v>54.540200000000006</v>
      </c>
      <c r="J748" s="44">
        <f>493.7263</f>
        <v>493.72629999999998</v>
      </c>
    </row>
    <row r="749" spans="1:10" ht="15.75" x14ac:dyDescent="0.25">
      <c r="A749" s="32">
        <v>63735</v>
      </c>
      <c r="B749" s="14">
        <f>58.4669 * CHOOSE(CONTROL!$C$15, $E$9, 100%, $G$9) + CHOOSE(CONTROL!$C$38, 0.0278, 0)</f>
        <v>58.494700000000002</v>
      </c>
      <c r="C749" s="14">
        <f>55.282 * CHOOSE(CONTROL!$C$15, $E$9, 100%, $G$9) + CHOOSE(CONTROL!$C$38, 0.0369, 0)</f>
        <v>55.318899999999999</v>
      </c>
      <c r="D749" s="14">
        <f>55.2742 * CHOOSE(CONTROL!$C$15, $E$9, 100%, $G$9) + CHOOSE(CONTROL!$C$38, 0.0369, 0)</f>
        <v>55.311100000000003</v>
      </c>
      <c r="E749" s="46">
        <f>58.3106 * CHOOSE(CONTROL!$C$15, $E$9, 100%, $G$9) + CHOOSE(CONTROL!$C$38, 0.0369, 0)</f>
        <v>58.347500000000004</v>
      </c>
      <c r="F749" s="45">
        <f>58.3106 * CHOOSE(CONTROL!$C$15, $E$9, 100%, $G$9) + CHOOSE(CONTROL!$C$38, 0.0278, 0)</f>
        <v>58.3384</v>
      </c>
      <c r="G749" s="14">
        <f>55.2804 * CHOOSE(CONTROL!$C$15, $E$9, 100%, $G$9) + CHOOSE(CONTROL!$C$38, 0.0369, 0)</f>
        <v>55.317300000000003</v>
      </c>
      <c r="H749" s="14">
        <f>55.2804 * CHOOSE(CONTROL!$C$15, $E$9, 100%, $G$9) + CHOOSE(CONTROL!$C$38, 0.0369, 0)</f>
        <v>55.317300000000003</v>
      </c>
      <c r="I749" s="14">
        <f>55.282 * CHOOSE(CONTROL!$C$15, $E$9, 100%, $G$9) + CHOOSE(CONTROL!$C$38, 0.0369, 0)</f>
        <v>55.318899999999999</v>
      </c>
      <c r="J749" s="44">
        <f>500.8404</f>
        <v>500.84039999999999</v>
      </c>
    </row>
    <row r="750" spans="1:10" ht="15.75" x14ac:dyDescent="0.25">
      <c r="A750" s="32">
        <v>63766</v>
      </c>
      <c r="B750" s="14">
        <f>58.1963 * CHOOSE(CONTROL!$C$15, $E$9, 100%, $G$9) + CHOOSE(CONTROL!$C$38, 0.0278, 0)</f>
        <v>58.2241</v>
      </c>
      <c r="C750" s="14">
        <f>55.0256 * CHOOSE(CONTROL!$C$15, $E$9, 100%, $G$9) + CHOOSE(CONTROL!$C$38, 0.0369, 0)</f>
        <v>55.0625</v>
      </c>
      <c r="D750" s="14">
        <f>55.0178 * CHOOSE(CONTROL!$C$15, $E$9, 100%, $G$9) + CHOOSE(CONTROL!$C$38, 0.0369, 0)</f>
        <v>55.054700000000004</v>
      </c>
      <c r="E750" s="46">
        <f>58.0401 * CHOOSE(CONTROL!$C$15, $E$9, 100%, $G$9) + CHOOSE(CONTROL!$C$38, 0.0369, 0)</f>
        <v>58.077000000000005</v>
      </c>
      <c r="F750" s="45">
        <f>58.0401 * CHOOSE(CONTROL!$C$15, $E$9, 100%, $G$9) + CHOOSE(CONTROL!$C$38, 0.0278, 0)</f>
        <v>58.067900000000002</v>
      </c>
      <c r="G750" s="14">
        <f>55.024 * CHOOSE(CONTROL!$C$15, $E$9, 100%, $G$9) + CHOOSE(CONTROL!$C$38, 0.0369, 0)</f>
        <v>55.060900000000004</v>
      </c>
      <c r="H750" s="14">
        <f>55.024 * CHOOSE(CONTROL!$C$15, $E$9, 100%, $G$9) + CHOOSE(CONTROL!$C$38, 0.0369, 0)</f>
        <v>55.060900000000004</v>
      </c>
      <c r="I750" s="14">
        <f>55.0256 * CHOOSE(CONTROL!$C$15, $E$9, 100%, $G$9) + CHOOSE(CONTROL!$C$38, 0.0369, 0)</f>
        <v>55.0625</v>
      </c>
      <c r="J750" s="44">
        <f>498.4981</f>
        <v>498.49810000000002</v>
      </c>
    </row>
    <row r="751" spans="1:10" ht="15.75" x14ac:dyDescent="0.25">
      <c r="A751" s="32">
        <v>63797</v>
      </c>
      <c r="B751" s="14">
        <f>56.8559 * CHOOSE(CONTROL!$C$15, $E$9, 100%, $G$9) + CHOOSE(CONTROL!$C$38, 0.0278, 0)</f>
        <v>56.883699999999997</v>
      </c>
      <c r="C751" s="14">
        <f>53.7554 * CHOOSE(CONTROL!$C$15, $E$9, 100%, $G$9) + CHOOSE(CONTROL!$C$38, 0.0369, 0)</f>
        <v>53.792300000000004</v>
      </c>
      <c r="D751" s="14">
        <f>53.7475 * CHOOSE(CONTROL!$C$15, $E$9, 100%, $G$9) + CHOOSE(CONTROL!$C$38, 0.0369, 0)</f>
        <v>53.784400000000005</v>
      </c>
      <c r="E751" s="46">
        <f>56.6996 * CHOOSE(CONTROL!$C$15, $E$9, 100%, $G$9) + CHOOSE(CONTROL!$C$38, 0.0369, 0)</f>
        <v>56.736499999999999</v>
      </c>
      <c r="F751" s="45">
        <f>56.6996 * CHOOSE(CONTROL!$C$15, $E$9, 100%, $G$9) + CHOOSE(CONTROL!$C$38, 0.0278, 0)</f>
        <v>56.727399999999996</v>
      </c>
      <c r="G751" s="14">
        <f>53.7538 * CHOOSE(CONTROL!$C$15, $E$9, 100%, $G$9) + CHOOSE(CONTROL!$C$38, 0.0369, 0)</f>
        <v>53.790700000000001</v>
      </c>
      <c r="H751" s="14">
        <f>53.7538 * CHOOSE(CONTROL!$C$15, $E$9, 100%, $G$9) + CHOOSE(CONTROL!$C$38, 0.0369, 0)</f>
        <v>53.790700000000001</v>
      </c>
      <c r="I751" s="14">
        <f>53.7554 * CHOOSE(CONTROL!$C$15, $E$9, 100%, $G$9) + CHOOSE(CONTROL!$C$38, 0.0369, 0)</f>
        <v>53.792300000000004</v>
      </c>
      <c r="J751" s="44">
        <f>486.8933</f>
        <v>486.89330000000001</v>
      </c>
    </row>
    <row r="752" spans="1:10" ht="15.75" x14ac:dyDescent="0.25">
      <c r="A752" s="32">
        <v>63827</v>
      </c>
      <c r="B752" s="14">
        <f>54.9866 * CHOOSE(CONTROL!$C$15, $E$9, 100%, $G$9) + CHOOSE(CONTROL!$C$38, 0.0278, 0)</f>
        <v>55.014400000000002</v>
      </c>
      <c r="C752" s="14">
        <f>51.9839 * CHOOSE(CONTROL!$C$15, $E$9, 100%, $G$9) + CHOOSE(CONTROL!$C$38, 0.0369, 0)</f>
        <v>52.020800000000001</v>
      </c>
      <c r="D752" s="14">
        <f>51.9761 * CHOOSE(CONTROL!$C$15, $E$9, 100%, $G$9) + CHOOSE(CONTROL!$C$38, 0.0369, 0)</f>
        <v>52.013000000000005</v>
      </c>
      <c r="E752" s="46">
        <f>54.8304 * CHOOSE(CONTROL!$C$15, $E$9, 100%, $G$9) + CHOOSE(CONTROL!$C$38, 0.0369, 0)</f>
        <v>54.8673</v>
      </c>
      <c r="F752" s="45">
        <f>54.8304 * CHOOSE(CONTROL!$C$15, $E$9, 100%, $G$9) + CHOOSE(CONTROL!$C$38, 0.0278, 0)</f>
        <v>54.858199999999997</v>
      </c>
      <c r="G752" s="14">
        <f>51.9824 * CHOOSE(CONTROL!$C$15, $E$9, 100%, $G$9) + CHOOSE(CONTROL!$C$38, 0.0369, 0)</f>
        <v>52.019300000000001</v>
      </c>
      <c r="H752" s="14">
        <f>51.9824 * CHOOSE(CONTROL!$C$15, $E$9, 100%, $G$9) + CHOOSE(CONTROL!$C$38, 0.0369, 0)</f>
        <v>52.019300000000001</v>
      </c>
      <c r="I752" s="14">
        <f>51.9839 * CHOOSE(CONTROL!$C$15, $E$9, 100%, $G$9) + CHOOSE(CONTROL!$C$38, 0.0369, 0)</f>
        <v>52.020800000000001</v>
      </c>
      <c r="J752" s="44">
        <f>470.7098</f>
        <v>470.70979999999997</v>
      </c>
    </row>
    <row r="753" spans="1:10" ht="15.75" x14ac:dyDescent="0.25">
      <c r="A753" s="32">
        <v>63858</v>
      </c>
      <c r="B753" s="14">
        <f>53.1065 * CHOOSE(CONTROL!$C$15, $E$9, 100%, $G$9) + CHOOSE(CONTROL!$C$38, 0.0256, 0)</f>
        <v>53.132099999999994</v>
      </c>
      <c r="C753" s="14">
        <f>50.2022 * CHOOSE(CONTROL!$C$15, $E$9, 100%, $G$9) + CHOOSE(CONTROL!$C$38, 0.0347, 0)</f>
        <v>50.236899999999999</v>
      </c>
      <c r="D753" s="14">
        <f>50.1944 * CHOOSE(CONTROL!$C$15, $E$9, 100%, $G$9) + CHOOSE(CONTROL!$C$38, 0.0347, 0)</f>
        <v>50.229100000000003</v>
      </c>
      <c r="E753" s="46">
        <f>52.9502 * CHOOSE(CONTROL!$C$15, $E$9, 100%, $G$9) + CHOOSE(CONTROL!$C$38, 0.0347, 0)</f>
        <v>52.984900000000003</v>
      </c>
      <c r="F753" s="45">
        <f>52.9502 * CHOOSE(CONTROL!$C$15, $E$9, 100%, $G$9) + CHOOSE(CONTROL!$C$38, 0.0256, 0)</f>
        <v>52.9758</v>
      </c>
      <c r="G753" s="14">
        <f>50.2007 * CHOOSE(CONTROL!$C$15, $E$9, 100%, $G$9) + CHOOSE(CONTROL!$C$38, 0.0347, 0)</f>
        <v>50.235399999999998</v>
      </c>
      <c r="H753" s="14">
        <f>50.2007 * CHOOSE(CONTROL!$C$15, $E$9, 100%, $G$9) + CHOOSE(CONTROL!$C$38, 0.0347, 0)</f>
        <v>50.235399999999998</v>
      </c>
      <c r="I753" s="14">
        <f>50.2022 * CHOOSE(CONTROL!$C$15, $E$9, 100%, $G$9) + CHOOSE(CONTROL!$C$38, 0.0347, 0)</f>
        <v>50.236899999999999</v>
      </c>
      <c r="J753" s="44">
        <f>454.4321</f>
        <v>454.43209999999999</v>
      </c>
    </row>
    <row r="754" spans="1:10" ht="15.75" x14ac:dyDescent="0.25">
      <c r="A754" s="32">
        <v>63888</v>
      </c>
      <c r="B754" s="14">
        <f>52.7325 * CHOOSE(CONTROL!$C$15, $E$9, 100%, $G$9) + CHOOSE(CONTROL!$C$38, 0.0256, 0)</f>
        <v>52.758099999999999</v>
      </c>
      <c r="C754" s="14">
        <f>49.8478 * CHOOSE(CONTROL!$C$15, $E$9, 100%, $G$9) + CHOOSE(CONTROL!$C$38, 0.0347, 0)</f>
        <v>49.8825</v>
      </c>
      <c r="D754" s="14">
        <f>49.84 * CHOOSE(CONTROL!$C$15, $E$9, 100%, $G$9) + CHOOSE(CONTROL!$C$38, 0.0347, 0)</f>
        <v>49.874700000000004</v>
      </c>
      <c r="E754" s="46">
        <f>52.5762 * CHOOSE(CONTROL!$C$15, $E$9, 100%, $G$9) + CHOOSE(CONTROL!$C$38, 0.0347, 0)</f>
        <v>52.610900000000001</v>
      </c>
      <c r="F754" s="45">
        <f>52.5762 * CHOOSE(CONTROL!$C$15, $E$9, 100%, $G$9) + CHOOSE(CONTROL!$C$38, 0.0256, 0)</f>
        <v>52.601799999999997</v>
      </c>
      <c r="G754" s="14">
        <f>49.8462 * CHOOSE(CONTROL!$C$15, $E$9, 100%, $G$9) + CHOOSE(CONTROL!$C$38, 0.0347, 0)</f>
        <v>49.880900000000004</v>
      </c>
      <c r="H754" s="14">
        <f>49.8462 * CHOOSE(CONTROL!$C$15, $E$9, 100%, $G$9) + CHOOSE(CONTROL!$C$38, 0.0347, 0)</f>
        <v>49.880900000000004</v>
      </c>
      <c r="I754" s="14">
        <f>49.8478 * CHOOSE(CONTROL!$C$15, $E$9, 100%, $G$9) + CHOOSE(CONTROL!$C$38, 0.0347, 0)</f>
        <v>49.8825</v>
      </c>
      <c r="J754" s="44">
        <f>451.1942</f>
        <v>451.19420000000002</v>
      </c>
    </row>
    <row r="755" spans="1:10" ht="15.75" x14ac:dyDescent="0.25">
      <c r="A755" s="32">
        <v>63919</v>
      </c>
      <c r="B755" s="14">
        <f>51.1859 * CHOOSE(CONTROL!$C$15, $E$9, 100%, $G$9) + CHOOSE(CONTROL!$C$38, 0.0256, 0)</f>
        <v>51.211499999999994</v>
      </c>
      <c r="C755" s="14">
        <f>48.3822 * CHOOSE(CONTROL!$C$15, $E$9, 100%, $G$9) + CHOOSE(CONTROL!$C$38, 0.0347, 0)</f>
        <v>48.416899999999998</v>
      </c>
      <c r="D755" s="14">
        <f>48.3744 * CHOOSE(CONTROL!$C$15, $E$9, 100%, $G$9) + CHOOSE(CONTROL!$C$38, 0.0347, 0)</f>
        <v>48.409100000000002</v>
      </c>
      <c r="E755" s="46">
        <f>51.0297 * CHOOSE(CONTROL!$C$15, $E$9, 100%, $G$9) + CHOOSE(CONTROL!$C$38, 0.0347, 0)</f>
        <v>51.064399999999999</v>
      </c>
      <c r="F755" s="45">
        <f>51.0297 * CHOOSE(CONTROL!$C$15, $E$9, 100%, $G$9) + CHOOSE(CONTROL!$C$38, 0.0256, 0)</f>
        <v>51.055299999999995</v>
      </c>
      <c r="G755" s="14">
        <f>48.3807 * CHOOSE(CONTROL!$C$15, $E$9, 100%, $G$9) + CHOOSE(CONTROL!$C$38, 0.0347, 0)</f>
        <v>48.415399999999998</v>
      </c>
      <c r="H755" s="14">
        <f>48.3807 * CHOOSE(CONTROL!$C$15, $E$9, 100%, $G$9) + CHOOSE(CONTROL!$C$38, 0.0347, 0)</f>
        <v>48.415399999999998</v>
      </c>
      <c r="I755" s="14">
        <f>48.3822 * CHOOSE(CONTROL!$C$15, $E$9, 100%, $G$9) + CHOOSE(CONTROL!$C$38, 0.0347, 0)</f>
        <v>48.416899999999998</v>
      </c>
      <c r="J755" s="44">
        <f>437.805</f>
        <v>437.80500000000001</v>
      </c>
    </row>
    <row r="756" spans="1:10" ht="15.75" x14ac:dyDescent="0.25">
      <c r="A756" s="32">
        <v>63950</v>
      </c>
      <c r="B756" s="14">
        <f>50.8019 * CHOOSE(CONTROL!$C$15, $E$9, 100%, $G$9) + CHOOSE(CONTROL!$C$38, 0.0256, 0)</f>
        <v>50.827500000000001</v>
      </c>
      <c r="C756" s="14">
        <f>48.0183 * CHOOSE(CONTROL!$C$15, $E$9, 100%, $G$9) + CHOOSE(CONTROL!$C$38, 0.0347, 0)</f>
        <v>48.053000000000004</v>
      </c>
      <c r="D756" s="14">
        <f>48.0105 * CHOOSE(CONTROL!$C$15, $E$9, 100%, $G$9) + CHOOSE(CONTROL!$C$38, 0.0347, 0)</f>
        <v>48.045200000000001</v>
      </c>
      <c r="E756" s="46">
        <f>50.6456 * CHOOSE(CONTROL!$C$15, $E$9, 100%, $G$9) + CHOOSE(CONTROL!$C$38, 0.0347, 0)</f>
        <v>50.680300000000003</v>
      </c>
      <c r="F756" s="45">
        <f>50.6456 * CHOOSE(CONTROL!$C$15, $E$9, 100%, $G$9) + CHOOSE(CONTROL!$C$38, 0.0256, 0)</f>
        <v>50.671199999999999</v>
      </c>
      <c r="G756" s="14">
        <f>48.0167 * CHOOSE(CONTROL!$C$15, $E$9, 100%, $G$9) + CHOOSE(CONTROL!$C$38, 0.0347, 0)</f>
        <v>48.051400000000001</v>
      </c>
      <c r="H756" s="14">
        <f>48.0167 * CHOOSE(CONTROL!$C$15, $E$9, 100%, $G$9) + CHOOSE(CONTROL!$C$38, 0.0347, 0)</f>
        <v>48.051400000000001</v>
      </c>
      <c r="I756" s="14">
        <f>48.0183 * CHOOSE(CONTROL!$C$15, $E$9, 100%, $G$9) + CHOOSE(CONTROL!$C$38, 0.0347, 0)</f>
        <v>48.053000000000004</v>
      </c>
      <c r="J756" s="44">
        <f>437.2404</f>
        <v>437.24040000000002</v>
      </c>
    </row>
    <row r="757" spans="1:10" ht="15.75" x14ac:dyDescent="0.25">
      <c r="A757" s="32">
        <v>63978</v>
      </c>
      <c r="B757" s="14">
        <f>50.6624 * CHOOSE(CONTROL!$C$15, $E$9, 100%, $G$9) + CHOOSE(CONTROL!$C$38, 0.0256, 0)</f>
        <v>50.687999999999995</v>
      </c>
      <c r="C757" s="14">
        <f>47.8861 * CHOOSE(CONTROL!$C$15, $E$9, 100%, $G$9) + CHOOSE(CONTROL!$C$38, 0.0347, 0)</f>
        <v>47.9208</v>
      </c>
      <c r="D757" s="14">
        <f>47.8783 * CHOOSE(CONTROL!$C$15, $E$9, 100%, $G$9) + CHOOSE(CONTROL!$C$38, 0.0347, 0)</f>
        <v>47.913000000000004</v>
      </c>
      <c r="E757" s="46">
        <f>50.5061 * CHOOSE(CONTROL!$C$15, $E$9, 100%, $G$9) + CHOOSE(CONTROL!$C$38, 0.0347, 0)</f>
        <v>50.540800000000004</v>
      </c>
      <c r="F757" s="45">
        <f>50.5061 * CHOOSE(CONTROL!$C$15, $E$9, 100%, $G$9) + CHOOSE(CONTROL!$C$38, 0.0256, 0)</f>
        <v>50.531700000000001</v>
      </c>
      <c r="G757" s="14">
        <f>47.8845 * CHOOSE(CONTROL!$C$15, $E$9, 100%, $G$9) + CHOOSE(CONTROL!$C$38, 0.0347, 0)</f>
        <v>47.919200000000004</v>
      </c>
      <c r="H757" s="14">
        <f>47.8845 * CHOOSE(CONTROL!$C$15, $E$9, 100%, $G$9) + CHOOSE(CONTROL!$C$38, 0.0347, 0)</f>
        <v>47.919200000000004</v>
      </c>
      <c r="I757" s="14">
        <f>47.8861 * CHOOSE(CONTROL!$C$15, $E$9, 100%, $G$9) + CHOOSE(CONTROL!$C$38, 0.0347, 0)</f>
        <v>47.9208</v>
      </c>
      <c r="J757" s="44">
        <f>436.025</f>
        <v>436.02499999999998</v>
      </c>
    </row>
    <row r="758" spans="1:10" ht="15.75" x14ac:dyDescent="0.25">
      <c r="A758" s="32">
        <v>64009</v>
      </c>
      <c r="B758" s="14">
        <f>53.3001 * CHOOSE(CONTROL!$C$15, $E$9, 100%, $G$9) + CHOOSE(CONTROL!$C$38, 0.0256, 0)</f>
        <v>53.325699999999998</v>
      </c>
      <c r="C758" s="14">
        <f>50.3857 * CHOOSE(CONTROL!$C$15, $E$9, 100%, $G$9) + CHOOSE(CONTROL!$C$38, 0.0347, 0)</f>
        <v>50.420400000000001</v>
      </c>
      <c r="D758" s="14">
        <f>50.3779 * CHOOSE(CONTROL!$C$15, $E$9, 100%, $G$9) + CHOOSE(CONTROL!$C$38, 0.0347, 0)</f>
        <v>50.412599999999998</v>
      </c>
      <c r="E758" s="46">
        <f>53.1438 * CHOOSE(CONTROL!$C$15, $E$9, 100%, $G$9) + CHOOSE(CONTROL!$C$38, 0.0347, 0)</f>
        <v>53.1785</v>
      </c>
      <c r="F758" s="45">
        <f>53.1438 * CHOOSE(CONTROL!$C$15, $E$9, 100%, $G$9) + CHOOSE(CONTROL!$C$38, 0.0256, 0)</f>
        <v>53.169399999999996</v>
      </c>
      <c r="G758" s="14">
        <f>50.3841 * CHOOSE(CONTROL!$C$15, $E$9, 100%, $G$9) + CHOOSE(CONTROL!$C$38, 0.0347, 0)</f>
        <v>50.418799999999997</v>
      </c>
      <c r="H758" s="14">
        <f>50.3841 * CHOOSE(CONTROL!$C$15, $E$9, 100%, $G$9) + CHOOSE(CONTROL!$C$38, 0.0347, 0)</f>
        <v>50.418799999999997</v>
      </c>
      <c r="I758" s="14">
        <f>50.3857 * CHOOSE(CONTROL!$C$15, $E$9, 100%, $G$9) + CHOOSE(CONTROL!$C$38, 0.0347, 0)</f>
        <v>50.420400000000001</v>
      </c>
      <c r="J758" s="44">
        <f>459.0061</f>
        <v>459.0061</v>
      </c>
    </row>
    <row r="759" spans="1:10" ht="15.75" x14ac:dyDescent="0.25">
      <c r="A759" s="32">
        <v>64039</v>
      </c>
      <c r="B759" s="14">
        <f>56.7205 * CHOOSE(CONTROL!$C$15, $E$9, 100%, $G$9) + CHOOSE(CONTROL!$C$38, 0.0256, 0)</f>
        <v>56.746099999999998</v>
      </c>
      <c r="C759" s="14">
        <f>53.627 * CHOOSE(CONTROL!$C$15, $E$9, 100%, $G$9) + CHOOSE(CONTROL!$C$38, 0.0347, 0)</f>
        <v>53.661700000000003</v>
      </c>
      <c r="D759" s="14">
        <f>53.6192 * CHOOSE(CONTROL!$C$15, $E$9, 100%, $G$9) + CHOOSE(CONTROL!$C$38, 0.0347, 0)</f>
        <v>53.6539</v>
      </c>
      <c r="E759" s="46">
        <f>56.5642 * CHOOSE(CONTROL!$C$15, $E$9, 100%, $G$9) + CHOOSE(CONTROL!$C$38, 0.0347, 0)</f>
        <v>56.5989</v>
      </c>
      <c r="F759" s="45">
        <f>56.5642 * CHOOSE(CONTROL!$C$15, $E$9, 100%, $G$9) + CHOOSE(CONTROL!$C$38, 0.0256, 0)</f>
        <v>56.589799999999997</v>
      </c>
      <c r="G759" s="14">
        <f>53.6255 * CHOOSE(CONTROL!$C$15, $E$9, 100%, $G$9) + CHOOSE(CONTROL!$C$38, 0.0347, 0)</f>
        <v>53.660200000000003</v>
      </c>
      <c r="H759" s="14">
        <f>53.6255 * CHOOSE(CONTROL!$C$15, $E$9, 100%, $G$9) + CHOOSE(CONTROL!$C$38, 0.0347, 0)</f>
        <v>53.660200000000003</v>
      </c>
      <c r="I759" s="14">
        <f>53.627 * CHOOSE(CONTROL!$C$15, $E$9, 100%, $G$9) + CHOOSE(CONTROL!$C$38, 0.0347, 0)</f>
        <v>53.661700000000003</v>
      </c>
      <c r="J759" s="44">
        <f>488.807</f>
        <v>488.80700000000002</v>
      </c>
    </row>
    <row r="760" spans="1:10" ht="15.75" x14ac:dyDescent="0.25">
      <c r="A760" s="32">
        <v>64070</v>
      </c>
      <c r="B760" s="14">
        <f>58.6032 * CHOOSE(CONTROL!$C$15, $E$9, 100%, $G$9) + CHOOSE(CONTROL!$C$38, 0.0278, 0)</f>
        <v>58.631</v>
      </c>
      <c r="C760" s="14">
        <f>55.4112 * CHOOSE(CONTROL!$C$15, $E$9, 100%, $G$9) + CHOOSE(CONTROL!$C$38, 0.0369, 0)</f>
        <v>55.448100000000004</v>
      </c>
      <c r="D760" s="14">
        <f>55.4034 * CHOOSE(CONTROL!$C$15, $E$9, 100%, $G$9) + CHOOSE(CONTROL!$C$38, 0.0369, 0)</f>
        <v>55.440300000000001</v>
      </c>
      <c r="E760" s="46">
        <f>58.447 * CHOOSE(CONTROL!$C$15, $E$9, 100%, $G$9) + CHOOSE(CONTROL!$C$38, 0.0369, 0)</f>
        <v>58.483900000000006</v>
      </c>
      <c r="F760" s="45">
        <f>58.447 * CHOOSE(CONTROL!$C$15, $E$9, 100%, $G$9) + CHOOSE(CONTROL!$C$38, 0.0278, 0)</f>
        <v>58.474800000000002</v>
      </c>
      <c r="G760" s="14">
        <f>55.4096 * CHOOSE(CONTROL!$C$15, $E$9, 100%, $G$9) + CHOOSE(CONTROL!$C$38, 0.0369, 0)</f>
        <v>55.4465</v>
      </c>
      <c r="H760" s="14">
        <f>55.4096 * CHOOSE(CONTROL!$C$15, $E$9, 100%, $G$9) + CHOOSE(CONTROL!$C$38, 0.0369, 0)</f>
        <v>55.4465</v>
      </c>
      <c r="I760" s="14">
        <f>55.4112 * CHOOSE(CONTROL!$C$15, $E$9, 100%, $G$9) + CHOOSE(CONTROL!$C$38, 0.0369, 0)</f>
        <v>55.448100000000004</v>
      </c>
      <c r="J760" s="44">
        <f>505.2104</f>
        <v>505.21039999999999</v>
      </c>
    </row>
    <row r="761" spans="1:10" ht="15.75" x14ac:dyDescent="0.25">
      <c r="A761" s="32">
        <v>64100</v>
      </c>
      <c r="B761" s="14">
        <f>59.4387 * CHOOSE(CONTROL!$C$15, $E$9, 100%, $G$9) + CHOOSE(CONTROL!$C$38, 0.0278, 0)</f>
        <v>59.466499999999996</v>
      </c>
      <c r="C761" s="14">
        <f>56.203 * CHOOSE(CONTROL!$C$15, $E$9, 100%, $G$9) + CHOOSE(CONTROL!$C$38, 0.0369, 0)</f>
        <v>56.239900000000006</v>
      </c>
      <c r="D761" s="14">
        <f>56.1951 * CHOOSE(CONTROL!$C$15, $E$9, 100%, $G$9) + CHOOSE(CONTROL!$C$38, 0.0369, 0)</f>
        <v>56.231999999999999</v>
      </c>
      <c r="E761" s="46">
        <f>59.2825 * CHOOSE(CONTROL!$C$15, $E$9, 100%, $G$9) + CHOOSE(CONTROL!$C$38, 0.0369, 0)</f>
        <v>59.319400000000002</v>
      </c>
      <c r="F761" s="45">
        <f>59.2825 * CHOOSE(CONTROL!$C$15, $E$9, 100%, $G$9) + CHOOSE(CONTROL!$C$38, 0.0278, 0)</f>
        <v>59.310299999999998</v>
      </c>
      <c r="G761" s="14">
        <f>56.2014 * CHOOSE(CONTROL!$C$15, $E$9, 100%, $G$9) + CHOOSE(CONTROL!$C$38, 0.0369, 0)</f>
        <v>56.238300000000002</v>
      </c>
      <c r="H761" s="14">
        <f>56.2014 * CHOOSE(CONTROL!$C$15, $E$9, 100%, $G$9) + CHOOSE(CONTROL!$C$38, 0.0369, 0)</f>
        <v>56.238300000000002</v>
      </c>
      <c r="I761" s="14">
        <f>56.203 * CHOOSE(CONTROL!$C$15, $E$9, 100%, $G$9) + CHOOSE(CONTROL!$C$38, 0.0369, 0)</f>
        <v>56.239900000000006</v>
      </c>
      <c r="J761" s="44">
        <f>512.4899</f>
        <v>512.48990000000003</v>
      </c>
    </row>
    <row r="762" spans="1:10" ht="15.75" x14ac:dyDescent="0.25">
      <c r="A762" s="32">
        <v>64131</v>
      </c>
      <c r="B762" s="14">
        <f>59.1636 * CHOOSE(CONTROL!$C$15, $E$9, 100%, $G$9) + CHOOSE(CONTROL!$C$38, 0.0278, 0)</f>
        <v>59.191400000000002</v>
      </c>
      <c r="C762" s="14">
        <f>55.9423 * CHOOSE(CONTROL!$C$15, $E$9, 100%, $G$9) + CHOOSE(CONTROL!$C$38, 0.0369, 0)</f>
        <v>55.979200000000006</v>
      </c>
      <c r="D762" s="14">
        <f>55.9345 * CHOOSE(CONTROL!$C$15, $E$9, 100%, $G$9) + CHOOSE(CONTROL!$C$38, 0.0369, 0)</f>
        <v>55.971400000000003</v>
      </c>
      <c r="E762" s="46">
        <f>59.0074 * CHOOSE(CONTROL!$C$15, $E$9, 100%, $G$9) + CHOOSE(CONTROL!$C$38, 0.0369, 0)</f>
        <v>59.0443</v>
      </c>
      <c r="F762" s="45">
        <f>59.0074 * CHOOSE(CONTROL!$C$15, $E$9, 100%, $G$9) + CHOOSE(CONTROL!$C$38, 0.0278, 0)</f>
        <v>59.035199999999996</v>
      </c>
      <c r="G762" s="14">
        <f>55.9407 * CHOOSE(CONTROL!$C$15, $E$9, 100%, $G$9) + CHOOSE(CONTROL!$C$38, 0.0369, 0)</f>
        <v>55.977600000000002</v>
      </c>
      <c r="H762" s="14">
        <f>55.9407 * CHOOSE(CONTROL!$C$15, $E$9, 100%, $G$9) + CHOOSE(CONTROL!$C$38, 0.0369, 0)</f>
        <v>55.977600000000002</v>
      </c>
      <c r="I762" s="14">
        <f>55.9423 * CHOOSE(CONTROL!$C$15, $E$9, 100%, $G$9) + CHOOSE(CONTROL!$C$38, 0.0369, 0)</f>
        <v>55.979200000000006</v>
      </c>
      <c r="J762" s="44">
        <f>510.0932</f>
        <v>510.09320000000002</v>
      </c>
    </row>
    <row r="763" spans="1:10" ht="15.75" x14ac:dyDescent="0.25">
      <c r="A763" s="32">
        <v>64162</v>
      </c>
      <c r="B763" s="14">
        <f>57.8007 * CHOOSE(CONTROL!$C$15, $E$9, 100%, $G$9) + CHOOSE(CONTROL!$C$38, 0.0278, 0)</f>
        <v>57.828499999999998</v>
      </c>
      <c r="C763" s="14">
        <f>54.6507 * CHOOSE(CONTROL!$C$15, $E$9, 100%, $G$9) + CHOOSE(CONTROL!$C$38, 0.0369, 0)</f>
        <v>54.687600000000003</v>
      </c>
      <c r="D763" s="14">
        <f>54.6429 * CHOOSE(CONTROL!$C$15, $E$9, 100%, $G$9) + CHOOSE(CONTROL!$C$38, 0.0369, 0)</f>
        <v>54.6798</v>
      </c>
      <c r="E763" s="46">
        <f>57.6444 * CHOOSE(CONTROL!$C$15, $E$9, 100%, $G$9) + CHOOSE(CONTROL!$C$38, 0.0369, 0)</f>
        <v>57.6813</v>
      </c>
      <c r="F763" s="45">
        <f>57.6444 * CHOOSE(CONTROL!$C$15, $E$9, 100%, $G$9) + CHOOSE(CONTROL!$C$38, 0.0278, 0)</f>
        <v>57.672199999999997</v>
      </c>
      <c r="G763" s="14">
        <f>54.6491 * CHOOSE(CONTROL!$C$15, $E$9, 100%, $G$9) + CHOOSE(CONTROL!$C$38, 0.0369, 0)</f>
        <v>54.686</v>
      </c>
      <c r="H763" s="14">
        <f>54.6491 * CHOOSE(CONTROL!$C$15, $E$9, 100%, $G$9) + CHOOSE(CONTROL!$C$38, 0.0369, 0)</f>
        <v>54.686</v>
      </c>
      <c r="I763" s="14">
        <f>54.6507 * CHOOSE(CONTROL!$C$15, $E$9, 100%, $G$9) + CHOOSE(CONTROL!$C$38, 0.0369, 0)</f>
        <v>54.687600000000003</v>
      </c>
      <c r="J763" s="44">
        <f>498.2184</f>
        <v>498.21839999999997</v>
      </c>
    </row>
    <row r="764" spans="1:10" ht="15.75" x14ac:dyDescent="0.25">
      <c r="A764" s="32">
        <v>64192</v>
      </c>
      <c r="B764" s="14">
        <f>55.9 * CHOOSE(CONTROL!$C$15, $E$9, 100%, $G$9) + CHOOSE(CONTROL!$C$38, 0.0278, 0)</f>
        <v>55.927799999999998</v>
      </c>
      <c r="C764" s="14">
        <f>52.8495 * CHOOSE(CONTROL!$C$15, $E$9, 100%, $G$9) + CHOOSE(CONTROL!$C$38, 0.0369, 0)</f>
        <v>52.886400000000002</v>
      </c>
      <c r="D764" s="14">
        <f>52.8417 * CHOOSE(CONTROL!$C$15, $E$9, 100%, $G$9) + CHOOSE(CONTROL!$C$38, 0.0369, 0)</f>
        <v>52.878600000000006</v>
      </c>
      <c r="E764" s="46">
        <f>55.7438 * CHOOSE(CONTROL!$C$15, $E$9, 100%, $G$9) + CHOOSE(CONTROL!$C$38, 0.0369, 0)</f>
        <v>55.780700000000003</v>
      </c>
      <c r="F764" s="45">
        <f>55.7438 * CHOOSE(CONTROL!$C$15, $E$9, 100%, $G$9) + CHOOSE(CONTROL!$C$38, 0.0278, 0)</f>
        <v>55.771599999999999</v>
      </c>
      <c r="G764" s="14">
        <f>52.8479 * CHOOSE(CONTROL!$C$15, $E$9, 100%, $G$9) + CHOOSE(CONTROL!$C$38, 0.0369, 0)</f>
        <v>52.884800000000006</v>
      </c>
      <c r="H764" s="14">
        <f>52.8479 * CHOOSE(CONTROL!$C$15, $E$9, 100%, $G$9) + CHOOSE(CONTROL!$C$38, 0.0369, 0)</f>
        <v>52.884800000000006</v>
      </c>
      <c r="I764" s="14">
        <f>52.8495 * CHOOSE(CONTROL!$C$15, $E$9, 100%, $G$9) + CHOOSE(CONTROL!$C$38, 0.0369, 0)</f>
        <v>52.886400000000002</v>
      </c>
      <c r="J764" s="44">
        <f>481.6585</f>
        <v>481.6585</v>
      </c>
    </row>
    <row r="765" spans="1:10" ht="15.75" x14ac:dyDescent="0.25">
      <c r="A765" s="32">
        <v>64223</v>
      </c>
      <c r="B765" s="14">
        <f>53.9883 * CHOOSE(CONTROL!$C$15, $E$9, 100%, $G$9) + CHOOSE(CONTROL!$C$38, 0.0256, 0)</f>
        <v>54.0139</v>
      </c>
      <c r="C765" s="14">
        <f>51.0379 * CHOOSE(CONTROL!$C$15, $E$9, 100%, $G$9) + CHOOSE(CONTROL!$C$38, 0.0347, 0)</f>
        <v>51.072600000000001</v>
      </c>
      <c r="D765" s="14">
        <f>51.03 * CHOOSE(CONTROL!$C$15, $E$9, 100%, $G$9) + CHOOSE(CONTROL!$C$38, 0.0347, 0)</f>
        <v>51.064700000000002</v>
      </c>
      <c r="E765" s="46">
        <f>53.832 * CHOOSE(CONTROL!$C$15, $E$9, 100%, $G$9) + CHOOSE(CONTROL!$C$38, 0.0347, 0)</f>
        <v>53.866700000000002</v>
      </c>
      <c r="F765" s="45">
        <f>53.832 * CHOOSE(CONTROL!$C$15, $E$9, 100%, $G$9) + CHOOSE(CONTROL!$C$38, 0.0256, 0)</f>
        <v>53.857599999999998</v>
      </c>
      <c r="G765" s="14">
        <f>51.0363 * CHOOSE(CONTROL!$C$15, $E$9, 100%, $G$9) + CHOOSE(CONTROL!$C$38, 0.0347, 0)</f>
        <v>51.070999999999998</v>
      </c>
      <c r="H765" s="14">
        <f>51.0363 * CHOOSE(CONTROL!$C$15, $E$9, 100%, $G$9) + CHOOSE(CONTROL!$C$38, 0.0347, 0)</f>
        <v>51.070999999999998</v>
      </c>
      <c r="I765" s="14">
        <f>51.0379 * CHOOSE(CONTROL!$C$15, $E$9, 100%, $G$9) + CHOOSE(CONTROL!$C$38, 0.0347, 0)</f>
        <v>51.072600000000001</v>
      </c>
      <c r="J765" s="44">
        <f>465.0022</f>
        <v>465.00220000000002</v>
      </c>
    </row>
    <row r="766" spans="1:10" ht="15.75" x14ac:dyDescent="0.25">
      <c r="A766" s="32">
        <v>64253</v>
      </c>
      <c r="B766" s="14">
        <f>53.608 * CHOOSE(CONTROL!$C$15, $E$9, 100%, $G$9) + CHOOSE(CONTROL!$C$38, 0.0256, 0)</f>
        <v>53.633599999999994</v>
      </c>
      <c r="C766" s="14">
        <f>50.6775 * CHOOSE(CONTROL!$C$15, $E$9, 100%, $G$9) + CHOOSE(CONTROL!$C$38, 0.0347, 0)</f>
        <v>50.712200000000003</v>
      </c>
      <c r="D766" s="14">
        <f>50.6697 * CHOOSE(CONTROL!$C$15, $E$9, 100%, $G$9) + CHOOSE(CONTROL!$C$38, 0.0347, 0)</f>
        <v>50.7044</v>
      </c>
      <c r="E766" s="46">
        <f>53.4517 * CHOOSE(CONTROL!$C$15, $E$9, 100%, $G$9) + CHOOSE(CONTROL!$C$38, 0.0347, 0)</f>
        <v>53.486400000000003</v>
      </c>
      <c r="F766" s="45">
        <f>53.4517 * CHOOSE(CONTROL!$C$15, $E$9, 100%, $G$9) + CHOOSE(CONTROL!$C$38, 0.0256, 0)</f>
        <v>53.4773</v>
      </c>
      <c r="G766" s="14">
        <f>50.6759 * CHOOSE(CONTROL!$C$15, $E$9, 100%, $G$9) + CHOOSE(CONTROL!$C$38, 0.0347, 0)</f>
        <v>50.710599999999999</v>
      </c>
      <c r="H766" s="14">
        <f>50.6759 * CHOOSE(CONTROL!$C$15, $E$9, 100%, $G$9) + CHOOSE(CONTROL!$C$38, 0.0347, 0)</f>
        <v>50.710599999999999</v>
      </c>
      <c r="I766" s="14">
        <f>50.6775 * CHOOSE(CONTROL!$C$15, $E$9, 100%, $G$9) + CHOOSE(CONTROL!$C$38, 0.0347, 0)</f>
        <v>50.712200000000003</v>
      </c>
      <c r="J766" s="44">
        <f>461.689</f>
        <v>461.68900000000002</v>
      </c>
    </row>
    <row r="767" spans="1:10" ht="15.75" x14ac:dyDescent="0.25">
      <c r="A767" s="32">
        <v>64284</v>
      </c>
      <c r="B767" s="14">
        <f>52.0355 * CHOOSE(CONTROL!$C$15, $E$9, 100%, $G$9) + CHOOSE(CONTROL!$C$38, 0.0256, 0)</f>
        <v>52.061099999999996</v>
      </c>
      <c r="C767" s="14">
        <f>49.1873 * CHOOSE(CONTROL!$C$15, $E$9, 100%, $G$9) + CHOOSE(CONTROL!$C$38, 0.0347, 0)</f>
        <v>49.222000000000001</v>
      </c>
      <c r="D767" s="14">
        <f>49.1795 * CHOOSE(CONTROL!$C$15, $E$9, 100%, $G$9) + CHOOSE(CONTROL!$C$38, 0.0347, 0)</f>
        <v>49.214199999999998</v>
      </c>
      <c r="E767" s="46">
        <f>51.8792 * CHOOSE(CONTROL!$C$15, $E$9, 100%, $G$9) + CHOOSE(CONTROL!$C$38, 0.0347, 0)</f>
        <v>51.913899999999998</v>
      </c>
      <c r="F767" s="45">
        <f>51.8792 * CHOOSE(CONTROL!$C$15, $E$9, 100%, $G$9) + CHOOSE(CONTROL!$C$38, 0.0256, 0)</f>
        <v>51.904799999999994</v>
      </c>
      <c r="G767" s="14">
        <f>49.1857 * CHOOSE(CONTROL!$C$15, $E$9, 100%, $G$9) + CHOOSE(CONTROL!$C$38, 0.0347, 0)</f>
        <v>49.220399999999998</v>
      </c>
      <c r="H767" s="14">
        <f>49.1857 * CHOOSE(CONTROL!$C$15, $E$9, 100%, $G$9) + CHOOSE(CONTROL!$C$38, 0.0347, 0)</f>
        <v>49.220399999999998</v>
      </c>
      <c r="I767" s="14">
        <f>49.1873 * CHOOSE(CONTROL!$C$15, $E$9, 100%, $G$9) + CHOOSE(CONTROL!$C$38, 0.0347, 0)</f>
        <v>49.222000000000001</v>
      </c>
      <c r="J767" s="44">
        <f>447.9883</f>
        <v>447.98829999999998</v>
      </c>
    </row>
    <row r="768" spans="1:10" ht="15.75" x14ac:dyDescent="0.25">
      <c r="A768" s="32">
        <v>64315</v>
      </c>
      <c r="B768" s="14">
        <f>51.645 * CHOOSE(CONTROL!$C$15, $E$9, 100%, $G$9) + CHOOSE(CONTROL!$C$38, 0.0256, 0)</f>
        <v>51.6706</v>
      </c>
      <c r="C768" s="14">
        <f>48.8172 * CHOOSE(CONTROL!$C$15, $E$9, 100%, $G$9) + CHOOSE(CONTROL!$C$38, 0.0347, 0)</f>
        <v>48.851900000000001</v>
      </c>
      <c r="D768" s="14">
        <f>48.8094 * CHOOSE(CONTROL!$C$15, $E$9, 100%, $G$9) + CHOOSE(CONTROL!$C$38, 0.0347, 0)</f>
        <v>48.844099999999997</v>
      </c>
      <c r="E768" s="46">
        <f>51.4887 * CHOOSE(CONTROL!$C$15, $E$9, 100%, $G$9) + CHOOSE(CONTROL!$C$38, 0.0347, 0)</f>
        <v>51.523400000000002</v>
      </c>
      <c r="F768" s="45">
        <f>51.4887 * CHOOSE(CONTROL!$C$15, $E$9, 100%, $G$9) + CHOOSE(CONTROL!$C$38, 0.0256, 0)</f>
        <v>51.514299999999999</v>
      </c>
      <c r="G768" s="14">
        <f>48.8157 * CHOOSE(CONTROL!$C$15, $E$9, 100%, $G$9) + CHOOSE(CONTROL!$C$38, 0.0347, 0)</f>
        <v>48.8504</v>
      </c>
      <c r="H768" s="14">
        <f>48.8157 * CHOOSE(CONTROL!$C$15, $E$9, 100%, $G$9) + CHOOSE(CONTROL!$C$38, 0.0347, 0)</f>
        <v>48.8504</v>
      </c>
      <c r="I768" s="14">
        <f>48.8172 * CHOOSE(CONTROL!$C$15, $E$9, 100%, $G$9) + CHOOSE(CONTROL!$C$38, 0.0347, 0)</f>
        <v>48.851900000000001</v>
      </c>
      <c r="J768" s="44">
        <f>447.4106</f>
        <v>447.41059999999999</v>
      </c>
    </row>
    <row r="769" spans="1:10" ht="15.75" x14ac:dyDescent="0.25">
      <c r="A769" s="32">
        <v>64344</v>
      </c>
      <c r="B769" s="14">
        <f>51.5031 * CHOOSE(CONTROL!$C$15, $E$9, 100%, $G$9) + CHOOSE(CONTROL!$C$38, 0.0256, 0)</f>
        <v>51.528700000000001</v>
      </c>
      <c r="C769" s="14">
        <f>48.6828 * CHOOSE(CONTROL!$C$15, $E$9, 100%, $G$9) + CHOOSE(CONTROL!$C$38, 0.0347, 0)</f>
        <v>48.717500000000001</v>
      </c>
      <c r="D769" s="14">
        <f>48.675 * CHOOSE(CONTROL!$C$15, $E$9, 100%, $G$9) + CHOOSE(CONTROL!$C$38, 0.0347, 0)</f>
        <v>48.709699999999998</v>
      </c>
      <c r="E769" s="46">
        <f>51.3469 * CHOOSE(CONTROL!$C$15, $E$9, 100%, $G$9) + CHOOSE(CONTROL!$C$38, 0.0347, 0)</f>
        <v>51.381599999999999</v>
      </c>
      <c r="F769" s="45">
        <f>51.3469 * CHOOSE(CONTROL!$C$15, $E$9, 100%, $G$9) + CHOOSE(CONTROL!$C$38, 0.0256, 0)</f>
        <v>51.372499999999995</v>
      </c>
      <c r="G769" s="14">
        <f>48.6813 * CHOOSE(CONTROL!$C$15, $E$9, 100%, $G$9) + CHOOSE(CONTROL!$C$38, 0.0347, 0)</f>
        <v>48.716000000000001</v>
      </c>
      <c r="H769" s="14">
        <f>48.6813 * CHOOSE(CONTROL!$C$15, $E$9, 100%, $G$9) + CHOOSE(CONTROL!$C$38, 0.0347, 0)</f>
        <v>48.716000000000001</v>
      </c>
      <c r="I769" s="14">
        <f>48.6828 * CHOOSE(CONTROL!$C$15, $E$9, 100%, $G$9) + CHOOSE(CONTROL!$C$38, 0.0347, 0)</f>
        <v>48.717500000000001</v>
      </c>
      <c r="J769" s="44">
        <f>446.167</f>
        <v>446.16699999999997</v>
      </c>
    </row>
    <row r="770" spans="1:10" ht="15.75" x14ac:dyDescent="0.25">
      <c r="A770" s="32">
        <v>64375</v>
      </c>
      <c r="B770" s="14">
        <f>54.1851 * CHOOSE(CONTROL!$C$15, $E$9, 100%, $G$9) + CHOOSE(CONTROL!$C$38, 0.0256, 0)</f>
        <v>54.210699999999996</v>
      </c>
      <c r="C770" s="14">
        <f>51.2244 * CHOOSE(CONTROL!$C$15, $E$9, 100%, $G$9) + CHOOSE(CONTROL!$C$38, 0.0347, 0)</f>
        <v>51.259100000000004</v>
      </c>
      <c r="D770" s="14">
        <f>51.2166 * CHOOSE(CONTROL!$C$15, $E$9, 100%, $G$9) + CHOOSE(CONTROL!$C$38, 0.0347, 0)</f>
        <v>51.251300000000001</v>
      </c>
      <c r="E770" s="46">
        <f>54.0289 * CHOOSE(CONTROL!$C$15, $E$9, 100%, $G$9) + CHOOSE(CONTROL!$C$38, 0.0347, 0)</f>
        <v>54.063600000000001</v>
      </c>
      <c r="F770" s="45">
        <f>54.0289 * CHOOSE(CONTROL!$C$15, $E$9, 100%, $G$9) + CHOOSE(CONTROL!$C$38, 0.0256, 0)</f>
        <v>54.054499999999997</v>
      </c>
      <c r="G770" s="14">
        <f>51.2228 * CHOOSE(CONTROL!$C$15, $E$9, 100%, $G$9) + CHOOSE(CONTROL!$C$38, 0.0347, 0)</f>
        <v>51.2575</v>
      </c>
      <c r="H770" s="14">
        <f>51.2228 * CHOOSE(CONTROL!$C$15, $E$9, 100%, $G$9) + CHOOSE(CONTROL!$C$38, 0.0347, 0)</f>
        <v>51.2575</v>
      </c>
      <c r="I770" s="14">
        <f>51.2244 * CHOOSE(CONTROL!$C$15, $E$9, 100%, $G$9) + CHOOSE(CONTROL!$C$38, 0.0347, 0)</f>
        <v>51.259100000000004</v>
      </c>
      <c r="J770" s="44">
        <f>469.6825</f>
        <v>469.6825</v>
      </c>
    </row>
    <row r="771" spans="1:10" ht="15.75" x14ac:dyDescent="0.25">
      <c r="A771" s="32">
        <v>64405</v>
      </c>
      <c r="B771" s="14">
        <f>57.663 * CHOOSE(CONTROL!$C$15, $E$9, 100%, $G$9) + CHOOSE(CONTROL!$C$38, 0.0256, 0)</f>
        <v>57.688599999999994</v>
      </c>
      <c r="C771" s="14">
        <f>54.5202 * CHOOSE(CONTROL!$C$15, $E$9, 100%, $G$9) + CHOOSE(CONTROL!$C$38, 0.0347, 0)</f>
        <v>54.554900000000004</v>
      </c>
      <c r="D771" s="14">
        <f>54.5124 * CHOOSE(CONTROL!$C$15, $E$9, 100%, $G$9) + CHOOSE(CONTROL!$C$38, 0.0347, 0)</f>
        <v>54.5471</v>
      </c>
      <c r="E771" s="46">
        <f>57.5068 * CHOOSE(CONTROL!$C$15, $E$9, 100%, $G$9) + CHOOSE(CONTROL!$C$38, 0.0347, 0)</f>
        <v>57.541499999999999</v>
      </c>
      <c r="F771" s="45">
        <f>57.5068 * CHOOSE(CONTROL!$C$15, $E$9, 100%, $G$9) + CHOOSE(CONTROL!$C$38, 0.0256, 0)</f>
        <v>57.532399999999996</v>
      </c>
      <c r="G771" s="14">
        <f>54.5186 * CHOOSE(CONTROL!$C$15, $E$9, 100%, $G$9) + CHOOSE(CONTROL!$C$38, 0.0347, 0)</f>
        <v>54.5533</v>
      </c>
      <c r="H771" s="14">
        <f>54.5186 * CHOOSE(CONTROL!$C$15, $E$9, 100%, $G$9) + CHOOSE(CONTROL!$C$38, 0.0347, 0)</f>
        <v>54.5533</v>
      </c>
      <c r="I771" s="14">
        <f>54.5202 * CHOOSE(CONTROL!$C$15, $E$9, 100%, $G$9) + CHOOSE(CONTROL!$C$38, 0.0347, 0)</f>
        <v>54.554900000000004</v>
      </c>
      <c r="J771" s="44">
        <f>500.1766</f>
        <v>500.17660000000001</v>
      </c>
    </row>
    <row r="772" spans="1:10" ht="15.75" x14ac:dyDescent="0.25">
      <c r="A772" s="32">
        <v>64436</v>
      </c>
      <c r="B772" s="14">
        <f>59.5774 * CHOOSE(CONTROL!$C$15, $E$9, 100%, $G$9) + CHOOSE(CONTROL!$C$38, 0.0278, 0)</f>
        <v>59.605199999999996</v>
      </c>
      <c r="C772" s="14">
        <f>56.3343 * CHOOSE(CONTROL!$C$15, $E$9, 100%, $G$9) + CHOOSE(CONTROL!$C$38, 0.0369, 0)</f>
        <v>56.371200000000002</v>
      </c>
      <c r="D772" s="14">
        <f>56.3265 * CHOOSE(CONTROL!$C$15, $E$9, 100%, $G$9) + CHOOSE(CONTROL!$C$38, 0.0369, 0)</f>
        <v>56.363400000000006</v>
      </c>
      <c r="E772" s="46">
        <f>59.4211 * CHOOSE(CONTROL!$C$15, $E$9, 100%, $G$9) + CHOOSE(CONTROL!$C$38, 0.0369, 0)</f>
        <v>59.458000000000006</v>
      </c>
      <c r="F772" s="45">
        <f>59.4211 * CHOOSE(CONTROL!$C$15, $E$9, 100%, $G$9) + CHOOSE(CONTROL!$C$38, 0.0278, 0)</f>
        <v>59.448900000000002</v>
      </c>
      <c r="G772" s="14">
        <f>56.3328 * CHOOSE(CONTROL!$C$15, $E$9, 100%, $G$9) + CHOOSE(CONTROL!$C$38, 0.0369, 0)</f>
        <v>56.369700000000002</v>
      </c>
      <c r="H772" s="14">
        <f>56.3328 * CHOOSE(CONTROL!$C$15, $E$9, 100%, $G$9) + CHOOSE(CONTROL!$C$38, 0.0369, 0)</f>
        <v>56.369700000000002</v>
      </c>
      <c r="I772" s="14">
        <f>56.3343 * CHOOSE(CONTROL!$C$15, $E$9, 100%, $G$9) + CHOOSE(CONTROL!$C$38, 0.0369, 0)</f>
        <v>56.371200000000002</v>
      </c>
      <c r="J772" s="44">
        <f>516.9616</f>
        <v>516.96159999999998</v>
      </c>
    </row>
    <row r="773" spans="1:10" ht="15.75" x14ac:dyDescent="0.25">
      <c r="A773" s="32">
        <v>64466</v>
      </c>
      <c r="B773" s="14">
        <f>60.4269 * CHOOSE(CONTROL!$C$15, $E$9, 100%, $G$9) + CHOOSE(CONTROL!$C$38, 0.0278, 0)</f>
        <v>60.454700000000003</v>
      </c>
      <c r="C773" s="14">
        <f>57.1394 * CHOOSE(CONTROL!$C$15, $E$9, 100%, $G$9) + CHOOSE(CONTROL!$C$38, 0.0369, 0)</f>
        <v>57.176300000000005</v>
      </c>
      <c r="D773" s="14">
        <f>57.1316 * CHOOSE(CONTROL!$C$15, $E$9, 100%, $G$9) + CHOOSE(CONTROL!$C$38, 0.0369, 0)</f>
        <v>57.168500000000002</v>
      </c>
      <c r="E773" s="46">
        <f>60.2707 * CHOOSE(CONTROL!$C$15, $E$9, 100%, $G$9) + CHOOSE(CONTROL!$C$38, 0.0369, 0)</f>
        <v>60.307600000000001</v>
      </c>
      <c r="F773" s="45">
        <f>60.2707 * CHOOSE(CONTROL!$C$15, $E$9, 100%, $G$9) + CHOOSE(CONTROL!$C$38, 0.0278, 0)</f>
        <v>60.298499999999997</v>
      </c>
      <c r="G773" s="14">
        <f>57.1378 * CHOOSE(CONTROL!$C$15, $E$9, 100%, $G$9) + CHOOSE(CONTROL!$C$38, 0.0369, 0)</f>
        <v>57.174700000000001</v>
      </c>
      <c r="H773" s="14">
        <f>57.1378 * CHOOSE(CONTROL!$C$15, $E$9, 100%, $G$9) + CHOOSE(CONTROL!$C$38, 0.0369, 0)</f>
        <v>57.174700000000001</v>
      </c>
      <c r="I773" s="14">
        <f>57.1394 * CHOOSE(CONTROL!$C$15, $E$9, 100%, $G$9) + CHOOSE(CONTROL!$C$38, 0.0369, 0)</f>
        <v>57.176300000000005</v>
      </c>
      <c r="J773" s="44">
        <f>524.4104</f>
        <v>524.41039999999998</v>
      </c>
    </row>
    <row r="774" spans="1:10" ht="15.75" x14ac:dyDescent="0.25">
      <c r="A774" s="32">
        <v>64497</v>
      </c>
      <c r="B774" s="14">
        <f>60.1472 * CHOOSE(CONTROL!$C$15, $E$9, 100%, $G$9) + CHOOSE(CONTROL!$C$38, 0.0278, 0)</f>
        <v>60.174999999999997</v>
      </c>
      <c r="C774" s="14">
        <f>56.8743 * CHOOSE(CONTROL!$C$15, $E$9, 100%, $G$9) + CHOOSE(CONTROL!$C$38, 0.0369, 0)</f>
        <v>56.911200000000001</v>
      </c>
      <c r="D774" s="14">
        <f>56.8665 * CHOOSE(CONTROL!$C$15, $E$9, 100%, $G$9) + CHOOSE(CONTROL!$C$38, 0.0369, 0)</f>
        <v>56.903400000000005</v>
      </c>
      <c r="E774" s="46">
        <f>59.9909 * CHOOSE(CONTROL!$C$15, $E$9, 100%, $G$9) + CHOOSE(CONTROL!$C$38, 0.0369, 0)</f>
        <v>60.027800000000006</v>
      </c>
      <c r="F774" s="45">
        <f>59.9909 * CHOOSE(CONTROL!$C$15, $E$9, 100%, $G$9) + CHOOSE(CONTROL!$C$38, 0.0278, 0)</f>
        <v>60.018700000000003</v>
      </c>
      <c r="G774" s="14">
        <f>56.8728 * CHOOSE(CONTROL!$C$15, $E$9, 100%, $G$9) + CHOOSE(CONTROL!$C$38, 0.0369, 0)</f>
        <v>56.909700000000001</v>
      </c>
      <c r="H774" s="14">
        <f>56.8728 * CHOOSE(CONTROL!$C$15, $E$9, 100%, $G$9) + CHOOSE(CONTROL!$C$38, 0.0369, 0)</f>
        <v>56.909700000000001</v>
      </c>
      <c r="I774" s="14">
        <f>56.8743 * CHOOSE(CONTROL!$C$15, $E$9, 100%, $G$9) + CHOOSE(CONTROL!$C$38, 0.0369, 0)</f>
        <v>56.911200000000001</v>
      </c>
      <c r="J774" s="44">
        <f>521.9579</f>
        <v>521.9579</v>
      </c>
    </row>
    <row r="775" spans="1:10" ht="15.75" x14ac:dyDescent="0.25">
      <c r="A775" s="32">
        <v>64528</v>
      </c>
      <c r="B775" s="14">
        <f>58.7614 * CHOOSE(CONTROL!$C$15, $E$9, 100%, $G$9) + CHOOSE(CONTROL!$C$38, 0.0278, 0)</f>
        <v>58.789200000000001</v>
      </c>
      <c r="C775" s="14">
        <f>55.5611 * CHOOSE(CONTROL!$C$15, $E$9, 100%, $G$9) + CHOOSE(CONTROL!$C$38, 0.0369, 0)</f>
        <v>55.598000000000006</v>
      </c>
      <c r="D775" s="14">
        <f>55.5532 * CHOOSE(CONTROL!$C$15, $E$9, 100%, $G$9) + CHOOSE(CONTROL!$C$38, 0.0369, 0)</f>
        <v>55.5901</v>
      </c>
      <c r="E775" s="46">
        <f>58.6051 * CHOOSE(CONTROL!$C$15, $E$9, 100%, $G$9) + CHOOSE(CONTROL!$C$38, 0.0369, 0)</f>
        <v>58.642000000000003</v>
      </c>
      <c r="F775" s="45">
        <f>58.6051 * CHOOSE(CONTROL!$C$15, $E$9, 100%, $G$9) + CHOOSE(CONTROL!$C$38, 0.0278, 0)</f>
        <v>58.632899999999999</v>
      </c>
      <c r="G775" s="14">
        <f>55.5595 * CHOOSE(CONTROL!$C$15, $E$9, 100%, $G$9) + CHOOSE(CONTROL!$C$38, 0.0369, 0)</f>
        <v>55.596400000000003</v>
      </c>
      <c r="H775" s="14">
        <f>55.5595 * CHOOSE(CONTROL!$C$15, $E$9, 100%, $G$9) + CHOOSE(CONTROL!$C$38, 0.0369, 0)</f>
        <v>55.596400000000003</v>
      </c>
      <c r="I775" s="14">
        <f>55.5611 * CHOOSE(CONTROL!$C$15, $E$9, 100%, $G$9) + CHOOSE(CONTROL!$C$38, 0.0369, 0)</f>
        <v>55.598000000000006</v>
      </c>
      <c r="J775" s="44">
        <f>509.807</f>
        <v>509.80700000000002</v>
      </c>
    </row>
    <row r="776" spans="1:10" ht="15.75" x14ac:dyDescent="0.25">
      <c r="A776" s="32">
        <v>64558</v>
      </c>
      <c r="B776" s="14">
        <f>56.8287 * CHOOSE(CONTROL!$C$15, $E$9, 100%, $G$9) + CHOOSE(CONTROL!$C$38, 0.0278, 0)</f>
        <v>56.856499999999997</v>
      </c>
      <c r="C776" s="14">
        <f>53.7296 * CHOOSE(CONTROL!$C$15, $E$9, 100%, $G$9) + CHOOSE(CONTROL!$C$38, 0.0369, 0)</f>
        <v>53.766500000000001</v>
      </c>
      <c r="D776" s="14">
        <f>53.7218 * CHOOSE(CONTROL!$C$15, $E$9, 100%, $G$9) + CHOOSE(CONTROL!$C$38, 0.0369, 0)</f>
        <v>53.758700000000005</v>
      </c>
      <c r="E776" s="46">
        <f>56.6725 * CHOOSE(CONTROL!$C$15, $E$9, 100%, $G$9) + CHOOSE(CONTROL!$C$38, 0.0369, 0)</f>
        <v>56.709400000000002</v>
      </c>
      <c r="F776" s="45">
        <f>56.6725 * CHOOSE(CONTROL!$C$15, $E$9, 100%, $G$9) + CHOOSE(CONTROL!$C$38, 0.0278, 0)</f>
        <v>56.700299999999999</v>
      </c>
      <c r="G776" s="14">
        <f>53.7281 * CHOOSE(CONTROL!$C$15, $E$9, 100%, $G$9) + CHOOSE(CONTROL!$C$38, 0.0369, 0)</f>
        <v>53.765000000000001</v>
      </c>
      <c r="H776" s="14">
        <f>53.7281 * CHOOSE(CONTROL!$C$15, $E$9, 100%, $G$9) + CHOOSE(CONTROL!$C$38, 0.0369, 0)</f>
        <v>53.765000000000001</v>
      </c>
      <c r="I776" s="14">
        <f>53.7296 * CHOOSE(CONTROL!$C$15, $E$9, 100%, $G$9) + CHOOSE(CONTROL!$C$38, 0.0369, 0)</f>
        <v>53.766500000000001</v>
      </c>
      <c r="J776" s="44">
        <f>492.8619</f>
        <v>492.86189999999999</v>
      </c>
    </row>
    <row r="777" spans="1:10" ht="15.75" x14ac:dyDescent="0.25">
      <c r="A777" s="32">
        <v>64589</v>
      </c>
      <c r="B777" s="14">
        <f>54.8849 * CHOOSE(CONTROL!$C$15, $E$9, 100%, $G$9) + CHOOSE(CONTROL!$C$38, 0.0256, 0)</f>
        <v>54.910499999999999</v>
      </c>
      <c r="C777" s="14">
        <f>51.8875 * CHOOSE(CONTROL!$C$15, $E$9, 100%, $G$9) + CHOOSE(CONTROL!$C$38, 0.0347, 0)</f>
        <v>51.922200000000004</v>
      </c>
      <c r="D777" s="14">
        <f>51.8797 * CHOOSE(CONTROL!$C$15, $E$9, 100%, $G$9) + CHOOSE(CONTROL!$C$38, 0.0347, 0)</f>
        <v>51.914400000000001</v>
      </c>
      <c r="E777" s="46">
        <f>54.7286 * CHOOSE(CONTROL!$C$15, $E$9, 100%, $G$9) + CHOOSE(CONTROL!$C$38, 0.0347, 0)</f>
        <v>54.763300000000001</v>
      </c>
      <c r="F777" s="45">
        <f>54.7286 * CHOOSE(CONTROL!$C$15, $E$9, 100%, $G$9) + CHOOSE(CONTROL!$C$38, 0.0256, 0)</f>
        <v>54.754199999999997</v>
      </c>
      <c r="G777" s="14">
        <f>51.886 * CHOOSE(CONTROL!$C$15, $E$9, 100%, $G$9) + CHOOSE(CONTROL!$C$38, 0.0347, 0)</f>
        <v>51.920700000000004</v>
      </c>
      <c r="H777" s="14">
        <f>51.886 * CHOOSE(CONTROL!$C$15, $E$9, 100%, $G$9) + CHOOSE(CONTROL!$C$38, 0.0347, 0)</f>
        <v>51.920700000000004</v>
      </c>
      <c r="I777" s="14">
        <f>51.8875 * CHOOSE(CONTROL!$C$15, $E$9, 100%, $G$9) + CHOOSE(CONTROL!$C$38, 0.0347, 0)</f>
        <v>51.922200000000004</v>
      </c>
      <c r="J777" s="44">
        <f>475.8182</f>
        <v>475.81819999999999</v>
      </c>
    </row>
    <row r="778" spans="1:10" ht="15.75" x14ac:dyDescent="0.25">
      <c r="A778" s="32">
        <v>64619</v>
      </c>
      <c r="B778" s="14">
        <f>54.4982 * CHOOSE(CONTROL!$C$15, $E$9, 100%, $G$9) + CHOOSE(CONTROL!$C$38, 0.0256, 0)</f>
        <v>54.523799999999994</v>
      </c>
      <c r="C778" s="14">
        <f>51.5211 * CHOOSE(CONTROL!$C$15, $E$9, 100%, $G$9) + CHOOSE(CONTROL!$C$38, 0.0347, 0)</f>
        <v>51.555799999999998</v>
      </c>
      <c r="D778" s="14">
        <f>51.5133 * CHOOSE(CONTROL!$C$15, $E$9, 100%, $G$9) + CHOOSE(CONTROL!$C$38, 0.0347, 0)</f>
        <v>51.548000000000002</v>
      </c>
      <c r="E778" s="46">
        <f>54.342 * CHOOSE(CONTROL!$C$15, $E$9, 100%, $G$9) + CHOOSE(CONTROL!$C$38, 0.0347, 0)</f>
        <v>54.3767</v>
      </c>
      <c r="F778" s="45">
        <f>54.342 * CHOOSE(CONTROL!$C$15, $E$9, 100%, $G$9) + CHOOSE(CONTROL!$C$38, 0.0256, 0)</f>
        <v>54.367599999999996</v>
      </c>
      <c r="G778" s="14">
        <f>51.5195 * CHOOSE(CONTROL!$C$15, $E$9, 100%, $G$9) + CHOOSE(CONTROL!$C$38, 0.0347, 0)</f>
        <v>51.554200000000002</v>
      </c>
      <c r="H778" s="14">
        <f>51.5195 * CHOOSE(CONTROL!$C$15, $E$9, 100%, $G$9) + CHOOSE(CONTROL!$C$38, 0.0347, 0)</f>
        <v>51.554200000000002</v>
      </c>
      <c r="I778" s="14">
        <f>51.5211 * CHOOSE(CONTROL!$C$15, $E$9, 100%, $G$9) + CHOOSE(CONTROL!$C$38, 0.0347, 0)</f>
        <v>51.555799999999998</v>
      </c>
      <c r="J778" s="44">
        <f>472.4279</f>
        <v>472.42790000000002</v>
      </c>
    </row>
    <row r="779" spans="1:10" ht="15.75" x14ac:dyDescent="0.25">
      <c r="A779" s="32">
        <v>64650</v>
      </c>
      <c r="B779" s="14">
        <f>52.8993 * CHOOSE(CONTROL!$C$15, $E$9, 100%, $G$9) + CHOOSE(CONTROL!$C$38, 0.0256, 0)</f>
        <v>52.924899999999994</v>
      </c>
      <c r="C779" s="14">
        <f>50.0059 * CHOOSE(CONTROL!$C$15, $E$9, 100%, $G$9) + CHOOSE(CONTROL!$C$38, 0.0347, 0)</f>
        <v>50.040599999999998</v>
      </c>
      <c r="D779" s="14">
        <f>49.9981 * CHOOSE(CONTROL!$C$15, $E$9, 100%, $G$9) + CHOOSE(CONTROL!$C$38, 0.0347, 0)</f>
        <v>50.032800000000002</v>
      </c>
      <c r="E779" s="46">
        <f>52.743 * CHOOSE(CONTROL!$C$15, $E$9, 100%, $G$9) + CHOOSE(CONTROL!$C$38, 0.0347, 0)</f>
        <v>52.777700000000003</v>
      </c>
      <c r="F779" s="45">
        <f>52.743 * CHOOSE(CONTROL!$C$15, $E$9, 100%, $G$9) + CHOOSE(CONTROL!$C$38, 0.0256, 0)</f>
        <v>52.768599999999999</v>
      </c>
      <c r="G779" s="14">
        <f>50.0043 * CHOOSE(CONTROL!$C$15, $E$9, 100%, $G$9) + CHOOSE(CONTROL!$C$38, 0.0347, 0)</f>
        <v>50.039000000000001</v>
      </c>
      <c r="H779" s="14">
        <f>50.0043 * CHOOSE(CONTROL!$C$15, $E$9, 100%, $G$9) + CHOOSE(CONTROL!$C$38, 0.0347, 0)</f>
        <v>50.039000000000001</v>
      </c>
      <c r="I779" s="14">
        <f>50.0059 * CHOOSE(CONTROL!$C$15, $E$9, 100%, $G$9) + CHOOSE(CONTROL!$C$38, 0.0347, 0)</f>
        <v>50.040599999999998</v>
      </c>
      <c r="J779" s="44">
        <f>458.4085</f>
        <v>458.4085</v>
      </c>
    </row>
    <row r="780" spans="1:10" ht="15.75" x14ac:dyDescent="0.25">
      <c r="A780" s="32">
        <v>64681</v>
      </c>
      <c r="B780" s="14">
        <f>52.5022 * CHOOSE(CONTROL!$C$15, $E$9, 100%, $G$9) + CHOOSE(CONTROL!$C$38, 0.0256, 0)</f>
        <v>52.527799999999999</v>
      </c>
      <c r="C780" s="14">
        <f>49.6296 * CHOOSE(CONTROL!$C$15, $E$9, 100%, $G$9) + CHOOSE(CONTROL!$C$38, 0.0347, 0)</f>
        <v>49.664300000000004</v>
      </c>
      <c r="D780" s="14">
        <f>49.6218 * CHOOSE(CONTROL!$C$15, $E$9, 100%, $G$9) + CHOOSE(CONTROL!$C$38, 0.0347, 0)</f>
        <v>49.656500000000001</v>
      </c>
      <c r="E780" s="46">
        <f>52.346 * CHOOSE(CONTROL!$C$15, $E$9, 100%, $G$9) + CHOOSE(CONTROL!$C$38, 0.0347, 0)</f>
        <v>52.380699999999997</v>
      </c>
      <c r="F780" s="45">
        <f>52.346 * CHOOSE(CONTROL!$C$15, $E$9, 100%, $G$9) + CHOOSE(CONTROL!$C$38, 0.0256, 0)</f>
        <v>52.371599999999994</v>
      </c>
      <c r="G780" s="14">
        <f>49.6281 * CHOOSE(CONTROL!$C$15, $E$9, 100%, $G$9) + CHOOSE(CONTROL!$C$38, 0.0347, 0)</f>
        <v>49.662800000000004</v>
      </c>
      <c r="H780" s="14">
        <f>49.6281 * CHOOSE(CONTROL!$C$15, $E$9, 100%, $G$9) + CHOOSE(CONTROL!$C$38, 0.0347, 0)</f>
        <v>49.662800000000004</v>
      </c>
      <c r="I780" s="14">
        <f>49.6296 * CHOOSE(CONTROL!$C$15, $E$9, 100%, $G$9) + CHOOSE(CONTROL!$C$38, 0.0347, 0)</f>
        <v>49.664300000000004</v>
      </c>
      <c r="J780" s="44">
        <f>457.8174</f>
        <v>457.81740000000002</v>
      </c>
    </row>
    <row r="781" spans="1:10" ht="15.75" x14ac:dyDescent="0.25">
      <c r="A781" s="32">
        <v>64709</v>
      </c>
      <c r="B781" s="14">
        <f>52.358 * CHOOSE(CONTROL!$C$15, $E$9, 100%, $G$9) + CHOOSE(CONTROL!$C$38, 0.0256, 0)</f>
        <v>52.383599999999994</v>
      </c>
      <c r="C781" s="14">
        <f>49.4929 * CHOOSE(CONTROL!$C$15, $E$9, 100%, $G$9) + CHOOSE(CONTROL!$C$38, 0.0347, 0)</f>
        <v>49.5276</v>
      </c>
      <c r="D781" s="14">
        <f>49.4851 * CHOOSE(CONTROL!$C$15, $E$9, 100%, $G$9) + CHOOSE(CONTROL!$C$38, 0.0347, 0)</f>
        <v>49.519800000000004</v>
      </c>
      <c r="E781" s="46">
        <f>52.2018 * CHOOSE(CONTROL!$C$15, $E$9, 100%, $G$9) + CHOOSE(CONTROL!$C$38, 0.0347, 0)</f>
        <v>52.236499999999999</v>
      </c>
      <c r="F781" s="45">
        <f>52.2018 * CHOOSE(CONTROL!$C$15, $E$9, 100%, $G$9) + CHOOSE(CONTROL!$C$38, 0.0256, 0)</f>
        <v>52.227399999999996</v>
      </c>
      <c r="G781" s="14">
        <f>49.4914 * CHOOSE(CONTROL!$C$15, $E$9, 100%, $G$9) + CHOOSE(CONTROL!$C$38, 0.0347, 0)</f>
        <v>49.5261</v>
      </c>
      <c r="H781" s="14">
        <f>49.4914 * CHOOSE(CONTROL!$C$15, $E$9, 100%, $G$9) + CHOOSE(CONTROL!$C$38, 0.0347, 0)</f>
        <v>49.5261</v>
      </c>
      <c r="I781" s="14">
        <f>49.4929 * CHOOSE(CONTROL!$C$15, $E$9, 100%, $G$9) + CHOOSE(CONTROL!$C$38, 0.0347, 0)</f>
        <v>49.5276</v>
      </c>
      <c r="J781" s="44">
        <f>456.5448</f>
        <v>456.54480000000001</v>
      </c>
    </row>
    <row r="782" spans="1:10" ht="15.75" x14ac:dyDescent="0.25">
      <c r="A782" s="32">
        <v>64740</v>
      </c>
      <c r="B782" s="14">
        <f>55.085 * CHOOSE(CONTROL!$C$15, $E$9, 100%, $G$9) + CHOOSE(CONTROL!$C$38, 0.0256, 0)</f>
        <v>55.110599999999998</v>
      </c>
      <c r="C782" s="14">
        <f>52.0772 * CHOOSE(CONTROL!$C$15, $E$9, 100%, $G$9) + CHOOSE(CONTROL!$C$38, 0.0347, 0)</f>
        <v>52.111899999999999</v>
      </c>
      <c r="D782" s="14">
        <f>52.0694 * CHOOSE(CONTROL!$C$15, $E$9, 100%, $G$9) + CHOOSE(CONTROL!$C$38, 0.0347, 0)</f>
        <v>52.104100000000003</v>
      </c>
      <c r="E782" s="46">
        <f>54.9288 * CHOOSE(CONTROL!$C$15, $E$9, 100%, $G$9) + CHOOSE(CONTROL!$C$38, 0.0347, 0)</f>
        <v>54.963500000000003</v>
      </c>
      <c r="F782" s="45">
        <f>54.9288 * CHOOSE(CONTROL!$C$15, $E$9, 100%, $G$9) + CHOOSE(CONTROL!$C$38, 0.0256, 0)</f>
        <v>54.9544</v>
      </c>
      <c r="G782" s="14">
        <f>52.0756 * CHOOSE(CONTROL!$C$15, $E$9, 100%, $G$9) + CHOOSE(CONTROL!$C$38, 0.0347, 0)</f>
        <v>52.110300000000002</v>
      </c>
      <c r="H782" s="14">
        <f>52.0756 * CHOOSE(CONTROL!$C$15, $E$9, 100%, $G$9) + CHOOSE(CONTROL!$C$38, 0.0347, 0)</f>
        <v>52.110300000000002</v>
      </c>
      <c r="I782" s="14">
        <f>52.0772 * CHOOSE(CONTROL!$C$15, $E$9, 100%, $G$9) + CHOOSE(CONTROL!$C$38, 0.0347, 0)</f>
        <v>52.111899999999999</v>
      </c>
      <c r="J782" s="44">
        <f>480.6074</f>
        <v>480.60739999999998</v>
      </c>
    </row>
    <row r="783" spans="1:10" ht="15.75" x14ac:dyDescent="0.25">
      <c r="A783" s="32">
        <v>64770</v>
      </c>
      <c r="B783" s="14">
        <f>58.6214 * CHOOSE(CONTROL!$C$15, $E$9, 100%, $G$9) + CHOOSE(CONTROL!$C$38, 0.0256, 0)</f>
        <v>58.646999999999998</v>
      </c>
      <c r="C783" s="14">
        <f>55.4284 * CHOOSE(CONTROL!$C$15, $E$9, 100%, $G$9) + CHOOSE(CONTROL!$C$38, 0.0347, 0)</f>
        <v>55.463100000000004</v>
      </c>
      <c r="D783" s="14">
        <f>55.4206 * CHOOSE(CONTROL!$C$15, $E$9, 100%, $G$9) + CHOOSE(CONTROL!$C$38, 0.0347, 0)</f>
        <v>55.455300000000001</v>
      </c>
      <c r="E783" s="46">
        <f>58.4651 * CHOOSE(CONTROL!$C$15, $E$9, 100%, $G$9) + CHOOSE(CONTROL!$C$38, 0.0347, 0)</f>
        <v>58.4998</v>
      </c>
      <c r="F783" s="45">
        <f>58.4651 * CHOOSE(CONTROL!$C$15, $E$9, 100%, $G$9) + CHOOSE(CONTROL!$C$38, 0.0256, 0)</f>
        <v>58.490699999999997</v>
      </c>
      <c r="G783" s="14">
        <f>55.4268 * CHOOSE(CONTROL!$C$15, $E$9, 100%, $G$9) + CHOOSE(CONTROL!$C$38, 0.0347, 0)</f>
        <v>55.461500000000001</v>
      </c>
      <c r="H783" s="14">
        <f>55.4268 * CHOOSE(CONTROL!$C$15, $E$9, 100%, $G$9) + CHOOSE(CONTROL!$C$38, 0.0347, 0)</f>
        <v>55.461500000000001</v>
      </c>
      <c r="I783" s="14">
        <f>55.4284 * CHOOSE(CONTROL!$C$15, $E$9, 100%, $G$9) + CHOOSE(CONTROL!$C$38, 0.0347, 0)</f>
        <v>55.463100000000004</v>
      </c>
      <c r="J783" s="44">
        <f>511.8107</f>
        <v>511.8107</v>
      </c>
    </row>
    <row r="784" spans="1:10" ht="15.75" x14ac:dyDescent="0.25">
      <c r="A784" s="32">
        <v>64801</v>
      </c>
      <c r="B784" s="14">
        <f>60.5679 * CHOOSE(CONTROL!$C$15, $E$9, 100%, $G$9) + CHOOSE(CONTROL!$C$38, 0.0278, 0)</f>
        <v>60.595700000000001</v>
      </c>
      <c r="C784" s="14">
        <f>57.273 * CHOOSE(CONTROL!$C$15, $E$9, 100%, $G$9) + CHOOSE(CONTROL!$C$38, 0.0369, 0)</f>
        <v>57.309900000000006</v>
      </c>
      <c r="D784" s="14">
        <f>57.2652 * CHOOSE(CONTROL!$C$15, $E$9, 100%, $G$9) + CHOOSE(CONTROL!$C$38, 0.0369, 0)</f>
        <v>57.302100000000003</v>
      </c>
      <c r="E784" s="46">
        <f>60.4116 * CHOOSE(CONTROL!$C$15, $E$9, 100%, $G$9) + CHOOSE(CONTROL!$C$38, 0.0369, 0)</f>
        <v>60.448500000000003</v>
      </c>
      <c r="F784" s="45">
        <f>60.4116 * CHOOSE(CONTROL!$C$15, $E$9, 100%, $G$9) + CHOOSE(CONTROL!$C$38, 0.0278, 0)</f>
        <v>60.439399999999999</v>
      </c>
      <c r="G784" s="14">
        <f>57.2714 * CHOOSE(CONTROL!$C$15, $E$9, 100%, $G$9) + CHOOSE(CONTROL!$C$38, 0.0369, 0)</f>
        <v>57.308300000000003</v>
      </c>
      <c r="H784" s="14">
        <f>57.2714 * CHOOSE(CONTROL!$C$15, $E$9, 100%, $G$9) + CHOOSE(CONTROL!$C$38, 0.0369, 0)</f>
        <v>57.308300000000003</v>
      </c>
      <c r="I784" s="14">
        <f>57.273 * CHOOSE(CONTROL!$C$15, $E$9, 100%, $G$9) + CHOOSE(CONTROL!$C$38, 0.0369, 0)</f>
        <v>57.309900000000006</v>
      </c>
      <c r="J784" s="44">
        <f>528.9861</f>
        <v>528.98609999999996</v>
      </c>
    </row>
    <row r="785" spans="1:10" ht="15.75" x14ac:dyDescent="0.25">
      <c r="A785" s="32">
        <v>64831</v>
      </c>
      <c r="B785" s="14">
        <f>61.4317 * CHOOSE(CONTROL!$C$15, $E$9, 100%, $G$9) + CHOOSE(CONTROL!$C$38, 0.0278, 0)</f>
        <v>61.459499999999998</v>
      </c>
      <c r="C785" s="14">
        <f>58.0916 * CHOOSE(CONTROL!$C$15, $E$9, 100%, $G$9) + CHOOSE(CONTROL!$C$38, 0.0369, 0)</f>
        <v>58.128500000000003</v>
      </c>
      <c r="D785" s="14">
        <f>58.0838 * CHOOSE(CONTROL!$C$15, $E$9, 100%, $G$9) + CHOOSE(CONTROL!$C$38, 0.0369, 0)</f>
        <v>58.120699999999999</v>
      </c>
      <c r="E785" s="46">
        <f>61.2754 * CHOOSE(CONTROL!$C$15, $E$9, 100%, $G$9) + CHOOSE(CONTROL!$C$38, 0.0369, 0)</f>
        <v>61.3123</v>
      </c>
      <c r="F785" s="45">
        <f>61.2754 * CHOOSE(CONTROL!$C$15, $E$9, 100%, $G$9) + CHOOSE(CONTROL!$C$38, 0.0278, 0)</f>
        <v>61.303199999999997</v>
      </c>
      <c r="G785" s="14">
        <f>58.09 * CHOOSE(CONTROL!$C$15, $E$9, 100%, $G$9) + CHOOSE(CONTROL!$C$38, 0.0369, 0)</f>
        <v>58.126900000000006</v>
      </c>
      <c r="H785" s="14">
        <f>58.09 * CHOOSE(CONTROL!$C$15, $E$9, 100%, $G$9) + CHOOSE(CONTROL!$C$38, 0.0369, 0)</f>
        <v>58.126900000000006</v>
      </c>
      <c r="I785" s="14">
        <f>58.0916 * CHOOSE(CONTROL!$C$15, $E$9, 100%, $G$9) + CHOOSE(CONTROL!$C$38, 0.0369, 0)</f>
        <v>58.128500000000003</v>
      </c>
      <c r="J785" s="44">
        <f>536.6082</f>
        <v>536.60820000000001</v>
      </c>
    </row>
    <row r="786" spans="1:10" ht="15.75" x14ac:dyDescent="0.25">
      <c r="A786" s="32">
        <v>64862</v>
      </c>
      <c r="B786" s="14">
        <f>61.1473 * CHOOSE(CONTROL!$C$15, $E$9, 100%, $G$9) + CHOOSE(CONTROL!$C$38, 0.0278, 0)</f>
        <v>61.1751</v>
      </c>
      <c r="C786" s="14">
        <f>57.8221 * CHOOSE(CONTROL!$C$15, $E$9, 100%, $G$9) + CHOOSE(CONTROL!$C$38, 0.0369, 0)</f>
        <v>57.859000000000002</v>
      </c>
      <c r="D786" s="14">
        <f>57.8143 * CHOOSE(CONTROL!$C$15, $E$9, 100%, $G$9) + CHOOSE(CONTROL!$C$38, 0.0369, 0)</f>
        <v>57.851200000000006</v>
      </c>
      <c r="E786" s="46">
        <f>60.991 * CHOOSE(CONTROL!$C$15, $E$9, 100%, $G$9) + CHOOSE(CONTROL!$C$38, 0.0369, 0)</f>
        <v>61.027900000000002</v>
      </c>
      <c r="F786" s="45">
        <f>60.991 * CHOOSE(CONTROL!$C$15, $E$9, 100%, $G$9) + CHOOSE(CONTROL!$C$38, 0.0278, 0)</f>
        <v>61.018799999999999</v>
      </c>
      <c r="G786" s="14">
        <f>57.8205 * CHOOSE(CONTROL!$C$15, $E$9, 100%, $G$9) + CHOOSE(CONTROL!$C$38, 0.0369, 0)</f>
        <v>57.857400000000005</v>
      </c>
      <c r="H786" s="14">
        <f>57.8205 * CHOOSE(CONTROL!$C$15, $E$9, 100%, $G$9) + CHOOSE(CONTROL!$C$38, 0.0369, 0)</f>
        <v>57.857400000000005</v>
      </c>
      <c r="I786" s="14">
        <f>57.8221 * CHOOSE(CONTROL!$C$15, $E$9, 100%, $G$9) + CHOOSE(CONTROL!$C$38, 0.0369, 0)</f>
        <v>57.859000000000002</v>
      </c>
      <c r="J786" s="44">
        <f>534.0987</f>
        <v>534.09870000000001</v>
      </c>
    </row>
    <row r="787" spans="1:10" ht="15.75" x14ac:dyDescent="0.25">
      <c r="A787" s="32">
        <v>64893</v>
      </c>
      <c r="B787" s="14">
        <f>59.7382 * CHOOSE(CONTROL!$C$15, $E$9, 100%, $G$9) + CHOOSE(CONTROL!$C$38, 0.0278, 0)</f>
        <v>59.765999999999998</v>
      </c>
      <c r="C787" s="14">
        <f>56.4867 * CHOOSE(CONTROL!$C$15, $E$9, 100%, $G$9) + CHOOSE(CONTROL!$C$38, 0.0369, 0)</f>
        <v>56.523600000000002</v>
      </c>
      <c r="D787" s="14">
        <f>56.4789 * CHOOSE(CONTROL!$C$15, $E$9, 100%, $G$9) + CHOOSE(CONTROL!$C$38, 0.0369, 0)</f>
        <v>56.515800000000006</v>
      </c>
      <c r="E787" s="46">
        <f>59.5819 * CHOOSE(CONTROL!$C$15, $E$9, 100%, $G$9) + CHOOSE(CONTROL!$C$38, 0.0369, 0)</f>
        <v>59.6188</v>
      </c>
      <c r="F787" s="45">
        <f>59.5819 * CHOOSE(CONTROL!$C$15, $E$9, 100%, $G$9) + CHOOSE(CONTROL!$C$38, 0.0278, 0)</f>
        <v>59.609699999999997</v>
      </c>
      <c r="G787" s="14">
        <f>56.4852 * CHOOSE(CONTROL!$C$15, $E$9, 100%, $G$9) + CHOOSE(CONTROL!$C$38, 0.0369, 0)</f>
        <v>56.522100000000002</v>
      </c>
      <c r="H787" s="14">
        <f>56.4852 * CHOOSE(CONTROL!$C$15, $E$9, 100%, $G$9) + CHOOSE(CONTROL!$C$38, 0.0369, 0)</f>
        <v>56.522100000000002</v>
      </c>
      <c r="I787" s="14">
        <f>56.4867 * CHOOSE(CONTROL!$C$15, $E$9, 100%, $G$9) + CHOOSE(CONTROL!$C$38, 0.0369, 0)</f>
        <v>56.523600000000002</v>
      </c>
      <c r="J787" s="44">
        <f>521.6651</f>
        <v>521.66510000000005</v>
      </c>
    </row>
    <row r="788" spans="1:10" ht="15.75" x14ac:dyDescent="0.25">
      <c r="A788" s="32">
        <v>64923</v>
      </c>
      <c r="B788" s="14">
        <f>57.7731 * CHOOSE(CONTROL!$C$15, $E$9, 100%, $G$9) + CHOOSE(CONTROL!$C$38, 0.0278, 0)</f>
        <v>57.800899999999999</v>
      </c>
      <c r="C788" s="14">
        <f>54.6245 * CHOOSE(CONTROL!$C$15, $E$9, 100%, $G$9) + CHOOSE(CONTROL!$C$38, 0.0369, 0)</f>
        <v>54.6614</v>
      </c>
      <c r="D788" s="14">
        <f>54.6167 * CHOOSE(CONTROL!$C$15, $E$9, 100%, $G$9) + CHOOSE(CONTROL!$C$38, 0.0369, 0)</f>
        <v>54.653600000000004</v>
      </c>
      <c r="E788" s="46">
        <f>57.6168 * CHOOSE(CONTROL!$C$15, $E$9, 100%, $G$9) + CHOOSE(CONTROL!$C$38, 0.0369, 0)</f>
        <v>57.653700000000001</v>
      </c>
      <c r="F788" s="45">
        <f>57.6168 * CHOOSE(CONTROL!$C$15, $E$9, 100%, $G$9) + CHOOSE(CONTROL!$C$38, 0.0278, 0)</f>
        <v>57.644599999999997</v>
      </c>
      <c r="G788" s="14">
        <f>54.623 * CHOOSE(CONTROL!$C$15, $E$9, 100%, $G$9) + CHOOSE(CONTROL!$C$38, 0.0369, 0)</f>
        <v>54.6599</v>
      </c>
      <c r="H788" s="14">
        <f>54.623 * CHOOSE(CONTROL!$C$15, $E$9, 100%, $G$9) + CHOOSE(CONTROL!$C$38, 0.0369, 0)</f>
        <v>54.6599</v>
      </c>
      <c r="I788" s="14">
        <f>54.6245 * CHOOSE(CONTROL!$C$15, $E$9, 100%, $G$9) + CHOOSE(CONTROL!$C$38, 0.0369, 0)</f>
        <v>54.6614</v>
      </c>
      <c r="J788" s="44">
        <f>504.3258</f>
        <v>504.32580000000002</v>
      </c>
    </row>
    <row r="789" spans="1:10" ht="15.75" x14ac:dyDescent="0.25">
      <c r="A789" s="32">
        <v>64954</v>
      </c>
      <c r="B789" s="14">
        <f>55.7966 * CHOOSE(CONTROL!$C$15, $E$9, 100%, $G$9) + CHOOSE(CONTROL!$C$38, 0.0256, 0)</f>
        <v>55.822199999999995</v>
      </c>
      <c r="C789" s="14">
        <f>52.7515 * CHOOSE(CONTROL!$C$15, $E$9, 100%, $G$9) + CHOOSE(CONTROL!$C$38, 0.0347, 0)</f>
        <v>52.786200000000001</v>
      </c>
      <c r="D789" s="14">
        <f>52.7437 * CHOOSE(CONTROL!$C$15, $E$9, 100%, $G$9) + CHOOSE(CONTROL!$C$38, 0.0347, 0)</f>
        <v>52.778399999999998</v>
      </c>
      <c r="E789" s="46">
        <f>55.6403 * CHOOSE(CONTROL!$C$15, $E$9, 100%, $G$9) + CHOOSE(CONTROL!$C$38, 0.0347, 0)</f>
        <v>55.675000000000004</v>
      </c>
      <c r="F789" s="45">
        <f>55.6403 * CHOOSE(CONTROL!$C$15, $E$9, 100%, $G$9) + CHOOSE(CONTROL!$C$38, 0.0256, 0)</f>
        <v>55.665900000000001</v>
      </c>
      <c r="G789" s="14">
        <f>52.7499 * CHOOSE(CONTROL!$C$15, $E$9, 100%, $G$9) + CHOOSE(CONTROL!$C$38, 0.0347, 0)</f>
        <v>52.784599999999998</v>
      </c>
      <c r="H789" s="14">
        <f>52.7499 * CHOOSE(CONTROL!$C$15, $E$9, 100%, $G$9) + CHOOSE(CONTROL!$C$38, 0.0347, 0)</f>
        <v>52.784599999999998</v>
      </c>
      <c r="I789" s="14">
        <f>52.7515 * CHOOSE(CONTROL!$C$15, $E$9, 100%, $G$9) + CHOOSE(CONTROL!$C$38, 0.0347, 0)</f>
        <v>52.786200000000001</v>
      </c>
      <c r="J789" s="44">
        <f>486.8857</f>
        <v>486.88569999999999</v>
      </c>
    </row>
    <row r="790" spans="1:10" ht="15.75" x14ac:dyDescent="0.25">
      <c r="A790" s="32">
        <v>64984</v>
      </c>
      <c r="B790" s="14">
        <f>55.4034 * CHOOSE(CONTROL!$C$15, $E$9, 100%, $G$9) + CHOOSE(CONTROL!$C$38, 0.0256, 0)</f>
        <v>55.428999999999995</v>
      </c>
      <c r="C790" s="14">
        <f>52.3789 * CHOOSE(CONTROL!$C$15, $E$9, 100%, $G$9) + CHOOSE(CONTROL!$C$38, 0.0347, 0)</f>
        <v>52.413600000000002</v>
      </c>
      <c r="D790" s="14">
        <f>52.3711 * CHOOSE(CONTROL!$C$15, $E$9, 100%, $G$9) + CHOOSE(CONTROL!$C$38, 0.0347, 0)</f>
        <v>52.405799999999999</v>
      </c>
      <c r="E790" s="46">
        <f>55.2472 * CHOOSE(CONTROL!$C$15, $E$9, 100%, $G$9) + CHOOSE(CONTROL!$C$38, 0.0347, 0)</f>
        <v>55.2819</v>
      </c>
      <c r="F790" s="45">
        <f>55.2472 * CHOOSE(CONTROL!$C$15, $E$9, 100%, $G$9) + CHOOSE(CONTROL!$C$38, 0.0256, 0)</f>
        <v>55.272799999999997</v>
      </c>
      <c r="G790" s="14">
        <f>52.3773 * CHOOSE(CONTROL!$C$15, $E$9, 100%, $G$9) + CHOOSE(CONTROL!$C$38, 0.0347, 0)</f>
        <v>52.411999999999999</v>
      </c>
      <c r="H790" s="14">
        <f>52.3773 * CHOOSE(CONTROL!$C$15, $E$9, 100%, $G$9) + CHOOSE(CONTROL!$C$38, 0.0347, 0)</f>
        <v>52.411999999999999</v>
      </c>
      <c r="I790" s="14">
        <f>52.3789 * CHOOSE(CONTROL!$C$15, $E$9, 100%, $G$9) + CHOOSE(CONTROL!$C$38, 0.0347, 0)</f>
        <v>52.413600000000002</v>
      </c>
      <c r="J790" s="44">
        <f>483.4165</f>
        <v>483.41649999999998</v>
      </c>
    </row>
    <row r="791" spans="1:10" ht="15.75" x14ac:dyDescent="0.25">
      <c r="A791" s="32">
        <v>65015</v>
      </c>
      <c r="B791" s="14">
        <f>53.7776 * CHOOSE(CONTROL!$C$15, $E$9, 100%, $G$9) + CHOOSE(CONTROL!$C$38, 0.0256, 0)</f>
        <v>53.803199999999997</v>
      </c>
      <c r="C791" s="14">
        <f>50.8382 * CHOOSE(CONTROL!$C$15, $E$9, 100%, $G$9) + CHOOSE(CONTROL!$C$38, 0.0347, 0)</f>
        <v>50.872900000000001</v>
      </c>
      <c r="D791" s="14">
        <f>50.8304 * CHOOSE(CONTROL!$C$15, $E$9, 100%, $G$9) + CHOOSE(CONTROL!$C$38, 0.0347, 0)</f>
        <v>50.865099999999998</v>
      </c>
      <c r="E791" s="46">
        <f>53.6214 * CHOOSE(CONTROL!$C$15, $E$9, 100%, $G$9) + CHOOSE(CONTROL!$C$38, 0.0347, 0)</f>
        <v>53.656100000000002</v>
      </c>
      <c r="F791" s="45">
        <f>53.6214 * CHOOSE(CONTROL!$C$15, $E$9, 100%, $G$9) + CHOOSE(CONTROL!$C$38, 0.0256, 0)</f>
        <v>53.646999999999998</v>
      </c>
      <c r="G791" s="14">
        <f>50.8367 * CHOOSE(CONTROL!$C$15, $E$9, 100%, $G$9) + CHOOSE(CONTROL!$C$38, 0.0347, 0)</f>
        <v>50.871400000000001</v>
      </c>
      <c r="H791" s="14">
        <f>50.8367 * CHOOSE(CONTROL!$C$15, $E$9, 100%, $G$9) + CHOOSE(CONTROL!$C$38, 0.0347, 0)</f>
        <v>50.871400000000001</v>
      </c>
      <c r="I791" s="14">
        <f>50.8382 * CHOOSE(CONTROL!$C$15, $E$9, 100%, $G$9) + CHOOSE(CONTROL!$C$38, 0.0347, 0)</f>
        <v>50.872900000000001</v>
      </c>
      <c r="J791" s="44">
        <f>469.0711</f>
        <v>469.0711</v>
      </c>
    </row>
    <row r="792" spans="1:10" ht="15.75" x14ac:dyDescent="0.25">
      <c r="A792" s="32">
        <v>65046</v>
      </c>
      <c r="B792" s="14">
        <f>53.3739 * CHOOSE(CONTROL!$C$15, $E$9, 100%, $G$9) + CHOOSE(CONTROL!$C$38, 0.0256, 0)</f>
        <v>53.399499999999996</v>
      </c>
      <c r="C792" s="14">
        <f>50.4556 * CHOOSE(CONTROL!$C$15, $E$9, 100%, $G$9) + CHOOSE(CONTROL!$C$38, 0.0347, 0)</f>
        <v>50.490299999999998</v>
      </c>
      <c r="D792" s="14">
        <f>50.4478 * CHOOSE(CONTROL!$C$15, $E$9, 100%, $G$9) + CHOOSE(CONTROL!$C$38, 0.0347, 0)</f>
        <v>50.482500000000002</v>
      </c>
      <c r="E792" s="46">
        <f>53.2176 * CHOOSE(CONTROL!$C$15, $E$9, 100%, $G$9) + CHOOSE(CONTROL!$C$38, 0.0347, 0)</f>
        <v>53.252299999999998</v>
      </c>
      <c r="F792" s="45">
        <f>53.2176 * CHOOSE(CONTROL!$C$15, $E$9, 100%, $G$9) + CHOOSE(CONTROL!$C$38, 0.0256, 0)</f>
        <v>53.243199999999995</v>
      </c>
      <c r="G792" s="14">
        <f>50.4541 * CHOOSE(CONTROL!$C$15, $E$9, 100%, $G$9) + CHOOSE(CONTROL!$C$38, 0.0347, 0)</f>
        <v>50.488799999999998</v>
      </c>
      <c r="H792" s="14">
        <f>50.4541 * CHOOSE(CONTROL!$C$15, $E$9, 100%, $G$9) + CHOOSE(CONTROL!$C$38, 0.0347, 0)</f>
        <v>50.488799999999998</v>
      </c>
      <c r="I792" s="14">
        <f>50.4556 * CHOOSE(CONTROL!$C$15, $E$9, 100%, $G$9) + CHOOSE(CONTROL!$C$38, 0.0347, 0)</f>
        <v>50.490299999999998</v>
      </c>
      <c r="J792" s="44">
        <f>468.4662</f>
        <v>468.46620000000001</v>
      </c>
    </row>
    <row r="793" spans="1:10" ht="15.75" x14ac:dyDescent="0.25">
      <c r="A793" s="32">
        <v>65074</v>
      </c>
      <c r="B793" s="14">
        <f>53.2272 * CHOOSE(CONTROL!$C$15, $E$9, 100%, $G$9) + CHOOSE(CONTROL!$C$38, 0.0256, 0)</f>
        <v>53.252800000000001</v>
      </c>
      <c r="C793" s="14">
        <f>50.3167 * CHOOSE(CONTROL!$C$15, $E$9, 100%, $G$9) + CHOOSE(CONTROL!$C$38, 0.0347, 0)</f>
        <v>50.351399999999998</v>
      </c>
      <c r="D793" s="14">
        <f>50.3089 * CHOOSE(CONTROL!$C$15, $E$9, 100%, $G$9) + CHOOSE(CONTROL!$C$38, 0.0347, 0)</f>
        <v>50.343600000000002</v>
      </c>
      <c r="E793" s="46">
        <f>53.071 * CHOOSE(CONTROL!$C$15, $E$9, 100%, $G$9) + CHOOSE(CONTROL!$C$38, 0.0347, 0)</f>
        <v>53.105699999999999</v>
      </c>
      <c r="F793" s="45">
        <f>53.071 * CHOOSE(CONTROL!$C$15, $E$9, 100%, $G$9) + CHOOSE(CONTROL!$C$38, 0.0256, 0)</f>
        <v>53.096599999999995</v>
      </c>
      <c r="G793" s="14">
        <f>50.3151 * CHOOSE(CONTROL!$C$15, $E$9, 100%, $G$9) + CHOOSE(CONTROL!$C$38, 0.0347, 0)</f>
        <v>50.349800000000002</v>
      </c>
      <c r="H793" s="14">
        <f>50.3151 * CHOOSE(CONTROL!$C$15, $E$9, 100%, $G$9) + CHOOSE(CONTROL!$C$38, 0.0347, 0)</f>
        <v>50.349800000000002</v>
      </c>
      <c r="I793" s="14">
        <f>50.3167 * CHOOSE(CONTROL!$C$15, $E$9, 100%, $G$9) + CHOOSE(CONTROL!$C$38, 0.0347, 0)</f>
        <v>50.351399999999998</v>
      </c>
      <c r="J793" s="44">
        <f>467.164</f>
        <v>467.16399999999999</v>
      </c>
    </row>
    <row r="794" spans="1:10" ht="15.75" x14ac:dyDescent="0.25">
      <c r="A794" s="32">
        <v>65105</v>
      </c>
      <c r="B794" s="14">
        <f>56.0001 * CHOOSE(CONTROL!$C$15, $E$9, 100%, $G$9) + CHOOSE(CONTROL!$C$38, 0.0256, 0)</f>
        <v>56.025700000000001</v>
      </c>
      <c r="C794" s="14">
        <f>52.9444 * CHOOSE(CONTROL!$C$15, $E$9, 100%, $G$9) + CHOOSE(CONTROL!$C$38, 0.0347, 0)</f>
        <v>52.979100000000003</v>
      </c>
      <c r="D794" s="14">
        <f>52.9365 * CHOOSE(CONTROL!$C$15, $E$9, 100%, $G$9) + CHOOSE(CONTROL!$C$38, 0.0347, 0)</f>
        <v>52.971200000000003</v>
      </c>
      <c r="E794" s="46">
        <f>55.8438 * CHOOSE(CONTROL!$C$15, $E$9, 100%, $G$9) + CHOOSE(CONTROL!$C$38, 0.0347, 0)</f>
        <v>55.878500000000003</v>
      </c>
      <c r="F794" s="45">
        <f>55.8438 * CHOOSE(CONTROL!$C$15, $E$9, 100%, $G$9) + CHOOSE(CONTROL!$C$38, 0.0256, 0)</f>
        <v>55.869399999999999</v>
      </c>
      <c r="G794" s="14">
        <f>52.9428 * CHOOSE(CONTROL!$C$15, $E$9, 100%, $G$9) + CHOOSE(CONTROL!$C$38, 0.0347, 0)</f>
        <v>52.977499999999999</v>
      </c>
      <c r="H794" s="14">
        <f>52.9428 * CHOOSE(CONTROL!$C$15, $E$9, 100%, $G$9) + CHOOSE(CONTROL!$C$38, 0.0347, 0)</f>
        <v>52.977499999999999</v>
      </c>
      <c r="I794" s="14">
        <f>52.9444 * CHOOSE(CONTROL!$C$15, $E$9, 100%, $G$9) + CHOOSE(CONTROL!$C$38, 0.0347, 0)</f>
        <v>52.979100000000003</v>
      </c>
      <c r="J794" s="44">
        <f>491.7863</f>
        <v>491.78629999999998</v>
      </c>
    </row>
    <row r="795" spans="1:10" ht="15.75" x14ac:dyDescent="0.25">
      <c r="A795" s="32">
        <v>65135</v>
      </c>
      <c r="B795" s="14">
        <f>59.5958 * CHOOSE(CONTROL!$C$15, $E$9, 100%, $G$9) + CHOOSE(CONTROL!$C$38, 0.0256, 0)</f>
        <v>59.621399999999994</v>
      </c>
      <c r="C795" s="14">
        <f>56.3518 * CHOOSE(CONTROL!$C$15, $E$9, 100%, $G$9) + CHOOSE(CONTROL!$C$38, 0.0347, 0)</f>
        <v>56.386499999999998</v>
      </c>
      <c r="D795" s="14">
        <f>56.344 * CHOOSE(CONTROL!$C$15, $E$9, 100%, $G$9) + CHOOSE(CONTROL!$C$38, 0.0347, 0)</f>
        <v>56.378700000000002</v>
      </c>
      <c r="E795" s="46">
        <f>59.4396 * CHOOSE(CONTROL!$C$15, $E$9, 100%, $G$9) + CHOOSE(CONTROL!$C$38, 0.0347, 0)</f>
        <v>59.474299999999999</v>
      </c>
      <c r="F795" s="45">
        <f>59.4396 * CHOOSE(CONTROL!$C$15, $E$9, 100%, $G$9) + CHOOSE(CONTROL!$C$38, 0.0256, 0)</f>
        <v>59.465199999999996</v>
      </c>
      <c r="G795" s="14">
        <f>56.3503 * CHOOSE(CONTROL!$C$15, $E$9, 100%, $G$9) + CHOOSE(CONTROL!$C$38, 0.0347, 0)</f>
        <v>56.384999999999998</v>
      </c>
      <c r="H795" s="14">
        <f>56.3503 * CHOOSE(CONTROL!$C$15, $E$9, 100%, $G$9) + CHOOSE(CONTROL!$C$38, 0.0347, 0)</f>
        <v>56.384999999999998</v>
      </c>
      <c r="I795" s="14">
        <f>56.3518 * CHOOSE(CONTROL!$C$15, $E$9, 100%, $G$9) + CHOOSE(CONTROL!$C$38, 0.0347, 0)</f>
        <v>56.386499999999998</v>
      </c>
      <c r="J795" s="44">
        <f>523.7155</f>
        <v>523.71550000000002</v>
      </c>
    </row>
    <row r="796" spans="1:10" ht="15.75" x14ac:dyDescent="0.25">
      <c r="A796" s="32">
        <v>65166</v>
      </c>
      <c r="B796" s="14">
        <f>61.575 * CHOOSE(CONTROL!$C$15, $E$9, 100%, $G$9) + CHOOSE(CONTROL!$C$38, 0.0278, 0)</f>
        <v>61.602800000000002</v>
      </c>
      <c r="C796" s="14">
        <f>58.2274 * CHOOSE(CONTROL!$C$15, $E$9, 100%, $G$9) + CHOOSE(CONTROL!$C$38, 0.0369, 0)</f>
        <v>58.264300000000006</v>
      </c>
      <c r="D796" s="14">
        <f>58.2196 * CHOOSE(CONTROL!$C$15, $E$9, 100%, $G$9) + CHOOSE(CONTROL!$C$38, 0.0369, 0)</f>
        <v>58.256500000000003</v>
      </c>
      <c r="E796" s="46">
        <f>61.4188 * CHOOSE(CONTROL!$C$15, $E$9, 100%, $G$9) + CHOOSE(CONTROL!$C$38, 0.0369, 0)</f>
        <v>61.4557</v>
      </c>
      <c r="F796" s="45">
        <f>61.4188 * CHOOSE(CONTROL!$C$15, $E$9, 100%, $G$9) + CHOOSE(CONTROL!$C$38, 0.0278, 0)</f>
        <v>61.446599999999997</v>
      </c>
      <c r="G796" s="14">
        <f>58.2259 * CHOOSE(CONTROL!$C$15, $E$9, 100%, $G$9) + CHOOSE(CONTROL!$C$38, 0.0369, 0)</f>
        <v>58.262800000000006</v>
      </c>
      <c r="H796" s="14">
        <f>58.2259 * CHOOSE(CONTROL!$C$15, $E$9, 100%, $G$9) + CHOOSE(CONTROL!$C$38, 0.0369, 0)</f>
        <v>58.262800000000006</v>
      </c>
      <c r="I796" s="14">
        <f>58.2274 * CHOOSE(CONTROL!$C$15, $E$9, 100%, $G$9) + CHOOSE(CONTROL!$C$38, 0.0369, 0)</f>
        <v>58.264300000000006</v>
      </c>
      <c r="J796" s="44">
        <f>541.2903</f>
        <v>541.2903</v>
      </c>
    </row>
    <row r="797" spans="1:10" ht="15.75" x14ac:dyDescent="0.25">
      <c r="A797" s="32">
        <v>65196</v>
      </c>
      <c r="B797" s="14">
        <f>62.4534 * CHOOSE(CONTROL!$C$15, $E$9, 100%, $G$9) + CHOOSE(CONTROL!$C$38, 0.0278, 0)</f>
        <v>62.481200000000001</v>
      </c>
      <c r="C797" s="14">
        <f>59.0598 * CHOOSE(CONTROL!$C$15, $E$9, 100%, $G$9) + CHOOSE(CONTROL!$C$38, 0.0369, 0)</f>
        <v>59.096700000000006</v>
      </c>
      <c r="D797" s="14">
        <f>59.052 * CHOOSE(CONTROL!$C$15, $E$9, 100%, $G$9) + CHOOSE(CONTROL!$C$38, 0.0369, 0)</f>
        <v>59.088900000000002</v>
      </c>
      <c r="E797" s="46">
        <f>62.2971 * CHOOSE(CONTROL!$C$15, $E$9, 100%, $G$9) + CHOOSE(CONTROL!$C$38, 0.0369, 0)</f>
        <v>62.334000000000003</v>
      </c>
      <c r="F797" s="45">
        <f>62.2971 * CHOOSE(CONTROL!$C$15, $E$9, 100%, $G$9) + CHOOSE(CONTROL!$C$38, 0.0278, 0)</f>
        <v>62.3249</v>
      </c>
      <c r="G797" s="14">
        <f>59.0582 * CHOOSE(CONTROL!$C$15, $E$9, 100%, $G$9) + CHOOSE(CONTROL!$C$38, 0.0369, 0)</f>
        <v>59.095100000000002</v>
      </c>
      <c r="H797" s="14">
        <f>59.0582 * CHOOSE(CONTROL!$C$15, $E$9, 100%, $G$9) + CHOOSE(CONTROL!$C$38, 0.0369, 0)</f>
        <v>59.095100000000002</v>
      </c>
      <c r="I797" s="14">
        <f>59.0598 * CHOOSE(CONTROL!$C$15, $E$9, 100%, $G$9) + CHOOSE(CONTROL!$C$38, 0.0369, 0)</f>
        <v>59.096700000000006</v>
      </c>
      <c r="J797" s="44">
        <f>549.0897</f>
        <v>549.08969999999999</v>
      </c>
    </row>
    <row r="798" spans="1:10" ht="15.75" x14ac:dyDescent="0.25">
      <c r="A798" s="32">
        <v>65227</v>
      </c>
      <c r="B798" s="14">
        <f>62.1642 * CHOOSE(CONTROL!$C$15, $E$9, 100%, $G$9) + CHOOSE(CONTROL!$C$38, 0.0278, 0)</f>
        <v>62.192</v>
      </c>
      <c r="C798" s="14">
        <f>58.7857 * CHOOSE(CONTROL!$C$15, $E$9, 100%, $G$9) + CHOOSE(CONTROL!$C$38, 0.0369, 0)</f>
        <v>58.822600000000001</v>
      </c>
      <c r="D798" s="14">
        <f>58.7779 * CHOOSE(CONTROL!$C$15, $E$9, 100%, $G$9) + CHOOSE(CONTROL!$C$38, 0.0369, 0)</f>
        <v>58.814800000000005</v>
      </c>
      <c r="E798" s="46">
        <f>62.0079 * CHOOSE(CONTROL!$C$15, $E$9, 100%, $G$9) + CHOOSE(CONTROL!$C$38, 0.0369, 0)</f>
        <v>62.044800000000002</v>
      </c>
      <c r="F798" s="45">
        <f>62.0079 * CHOOSE(CONTROL!$C$15, $E$9, 100%, $G$9) + CHOOSE(CONTROL!$C$38, 0.0278, 0)</f>
        <v>62.035699999999999</v>
      </c>
      <c r="G798" s="14">
        <f>58.7842 * CHOOSE(CONTROL!$C$15, $E$9, 100%, $G$9) + CHOOSE(CONTROL!$C$38, 0.0369, 0)</f>
        <v>58.821100000000001</v>
      </c>
      <c r="H798" s="14">
        <f>58.7842 * CHOOSE(CONTROL!$C$15, $E$9, 100%, $G$9) + CHOOSE(CONTROL!$C$38, 0.0369, 0)</f>
        <v>58.821100000000001</v>
      </c>
      <c r="I798" s="14">
        <f>58.7857 * CHOOSE(CONTROL!$C$15, $E$9, 100%, $G$9) + CHOOSE(CONTROL!$C$38, 0.0369, 0)</f>
        <v>58.822600000000001</v>
      </c>
      <c r="J798" s="44">
        <f>546.5218</f>
        <v>546.52179999999998</v>
      </c>
    </row>
    <row r="799" spans="1:10" ht="15.75" x14ac:dyDescent="0.25">
      <c r="A799" s="32">
        <v>65258</v>
      </c>
      <c r="B799" s="14">
        <f>60.7314 * CHOOSE(CONTROL!$C$15, $E$9, 100%, $G$9) + CHOOSE(CONTROL!$C$38, 0.0278, 0)</f>
        <v>60.7592</v>
      </c>
      <c r="C799" s="14">
        <f>57.4279 * CHOOSE(CONTROL!$C$15, $E$9, 100%, $G$9) + CHOOSE(CONTROL!$C$38, 0.0369, 0)</f>
        <v>57.464800000000004</v>
      </c>
      <c r="D799" s="14">
        <f>57.4201 * CHOOSE(CONTROL!$C$15, $E$9, 100%, $G$9) + CHOOSE(CONTROL!$C$38, 0.0369, 0)</f>
        <v>57.457000000000001</v>
      </c>
      <c r="E799" s="46">
        <f>60.5751 * CHOOSE(CONTROL!$C$15, $E$9, 100%, $G$9) + CHOOSE(CONTROL!$C$38, 0.0369, 0)</f>
        <v>60.612000000000002</v>
      </c>
      <c r="F799" s="45">
        <f>60.5751 * CHOOSE(CONTROL!$C$15, $E$9, 100%, $G$9) + CHOOSE(CONTROL!$C$38, 0.0278, 0)</f>
        <v>60.602899999999998</v>
      </c>
      <c r="G799" s="14">
        <f>57.4264 * CHOOSE(CONTROL!$C$15, $E$9, 100%, $G$9) + CHOOSE(CONTROL!$C$38, 0.0369, 0)</f>
        <v>57.463300000000004</v>
      </c>
      <c r="H799" s="14">
        <f>57.4264 * CHOOSE(CONTROL!$C$15, $E$9, 100%, $G$9) + CHOOSE(CONTROL!$C$38, 0.0369, 0)</f>
        <v>57.463300000000004</v>
      </c>
      <c r="I799" s="14">
        <f>57.4279 * CHOOSE(CONTROL!$C$15, $E$9, 100%, $G$9) + CHOOSE(CONTROL!$C$38, 0.0369, 0)</f>
        <v>57.464800000000004</v>
      </c>
      <c r="J799" s="44">
        <f>533.799</f>
        <v>533.79899999999998</v>
      </c>
    </row>
    <row r="800" spans="1:10" ht="15.75" x14ac:dyDescent="0.25">
      <c r="A800" s="32">
        <v>65288</v>
      </c>
      <c r="B800" s="14">
        <f>58.7333 * CHOOSE(CONTROL!$C$15, $E$9, 100%, $G$9) + CHOOSE(CONTROL!$C$38, 0.0278, 0)</f>
        <v>58.761099999999999</v>
      </c>
      <c r="C800" s="14">
        <f>55.5345 * CHOOSE(CONTROL!$C$15, $E$9, 100%, $G$9) + CHOOSE(CONTROL!$C$38, 0.0369, 0)</f>
        <v>55.571400000000004</v>
      </c>
      <c r="D800" s="14">
        <f>55.5266 * CHOOSE(CONTROL!$C$15, $E$9, 100%, $G$9) + CHOOSE(CONTROL!$C$38, 0.0369, 0)</f>
        <v>55.563500000000005</v>
      </c>
      <c r="E800" s="46">
        <f>58.577 * CHOOSE(CONTROL!$C$15, $E$9, 100%, $G$9) + CHOOSE(CONTROL!$C$38, 0.0369, 0)</f>
        <v>58.613900000000001</v>
      </c>
      <c r="F800" s="45">
        <f>58.577 * CHOOSE(CONTROL!$C$15, $E$9, 100%, $G$9) + CHOOSE(CONTROL!$C$38, 0.0278, 0)</f>
        <v>58.604799999999997</v>
      </c>
      <c r="G800" s="14">
        <f>55.5329 * CHOOSE(CONTROL!$C$15, $E$9, 100%, $G$9) + CHOOSE(CONTROL!$C$38, 0.0369, 0)</f>
        <v>55.569800000000001</v>
      </c>
      <c r="H800" s="14">
        <f>55.5329 * CHOOSE(CONTROL!$C$15, $E$9, 100%, $G$9) + CHOOSE(CONTROL!$C$38, 0.0369, 0)</f>
        <v>55.569800000000001</v>
      </c>
      <c r="I800" s="14">
        <f>55.5345 * CHOOSE(CONTROL!$C$15, $E$9, 100%, $G$9) + CHOOSE(CONTROL!$C$38, 0.0369, 0)</f>
        <v>55.571400000000004</v>
      </c>
      <c r="J800" s="44">
        <f>516.0564</f>
        <v>516.05640000000005</v>
      </c>
    </row>
    <row r="801" spans="1:10" ht="15.75" x14ac:dyDescent="0.25">
      <c r="A801" s="32">
        <v>65319</v>
      </c>
      <c r="B801" s="14">
        <f>56.7236 * CHOOSE(CONTROL!$C$15, $E$9, 100%, $G$9) + CHOOSE(CONTROL!$C$38, 0.0256, 0)</f>
        <v>56.749199999999995</v>
      </c>
      <c r="C801" s="14">
        <f>53.63 * CHOOSE(CONTROL!$C$15, $E$9, 100%, $G$9) + CHOOSE(CONTROL!$C$38, 0.0347, 0)</f>
        <v>53.664700000000003</v>
      </c>
      <c r="D801" s="14">
        <f>53.6221 * CHOOSE(CONTROL!$C$15, $E$9, 100%, $G$9) + CHOOSE(CONTROL!$C$38, 0.0347, 0)</f>
        <v>53.656800000000004</v>
      </c>
      <c r="E801" s="46">
        <f>56.5673 * CHOOSE(CONTROL!$C$15, $E$9, 100%, $G$9) + CHOOSE(CONTROL!$C$38, 0.0347, 0)</f>
        <v>56.602000000000004</v>
      </c>
      <c r="F801" s="45">
        <f>56.5673 * CHOOSE(CONTROL!$C$15, $E$9, 100%, $G$9) + CHOOSE(CONTROL!$C$38, 0.0256, 0)</f>
        <v>56.5929</v>
      </c>
      <c r="G801" s="14">
        <f>53.6284 * CHOOSE(CONTROL!$C$15, $E$9, 100%, $G$9) + CHOOSE(CONTROL!$C$38, 0.0347, 0)</f>
        <v>53.6631</v>
      </c>
      <c r="H801" s="14">
        <f>53.6284 * CHOOSE(CONTROL!$C$15, $E$9, 100%, $G$9) + CHOOSE(CONTROL!$C$38, 0.0347, 0)</f>
        <v>53.6631</v>
      </c>
      <c r="I801" s="14">
        <f>53.63 * CHOOSE(CONTROL!$C$15, $E$9, 100%, $G$9) + CHOOSE(CONTROL!$C$38, 0.0347, 0)</f>
        <v>53.664700000000003</v>
      </c>
      <c r="J801" s="44">
        <f>498.2107</f>
        <v>498.21069999999997</v>
      </c>
    </row>
    <row r="802" spans="1:10" ht="15.75" x14ac:dyDescent="0.25">
      <c r="A802" s="32">
        <v>65349</v>
      </c>
      <c r="B802" s="14">
        <f>56.3238 * CHOOSE(CONTROL!$C$15, $E$9, 100%, $G$9) + CHOOSE(CONTROL!$C$38, 0.0256, 0)</f>
        <v>56.349399999999996</v>
      </c>
      <c r="C802" s="14">
        <f>53.2511 * CHOOSE(CONTROL!$C$15, $E$9, 100%, $G$9) + CHOOSE(CONTROL!$C$38, 0.0347, 0)</f>
        <v>53.285800000000002</v>
      </c>
      <c r="D802" s="14">
        <f>53.2433 * CHOOSE(CONTROL!$C$15, $E$9, 100%, $G$9) + CHOOSE(CONTROL!$C$38, 0.0347, 0)</f>
        <v>53.277999999999999</v>
      </c>
      <c r="E802" s="46">
        <f>56.1676 * CHOOSE(CONTROL!$C$15, $E$9, 100%, $G$9) + CHOOSE(CONTROL!$C$38, 0.0347, 0)</f>
        <v>56.202300000000001</v>
      </c>
      <c r="F802" s="45">
        <f>56.1676 * CHOOSE(CONTROL!$C$15, $E$9, 100%, $G$9) + CHOOSE(CONTROL!$C$38, 0.0256, 0)</f>
        <v>56.193199999999997</v>
      </c>
      <c r="G802" s="14">
        <f>53.2496 * CHOOSE(CONTROL!$C$15, $E$9, 100%, $G$9) + CHOOSE(CONTROL!$C$38, 0.0347, 0)</f>
        <v>53.284300000000002</v>
      </c>
      <c r="H802" s="14">
        <f>53.2496 * CHOOSE(CONTROL!$C$15, $E$9, 100%, $G$9) + CHOOSE(CONTROL!$C$38, 0.0347, 0)</f>
        <v>53.284300000000002</v>
      </c>
      <c r="I802" s="14">
        <f>53.2511 * CHOOSE(CONTROL!$C$15, $E$9, 100%, $G$9) + CHOOSE(CONTROL!$C$38, 0.0347, 0)</f>
        <v>53.285800000000002</v>
      </c>
      <c r="J802" s="44">
        <f>494.6608</f>
        <v>494.66079999999999</v>
      </c>
    </row>
    <row r="803" spans="1:10" ht="15.75" x14ac:dyDescent="0.25">
      <c r="A803" s="32">
        <v>65380</v>
      </c>
      <c r="B803" s="14">
        <f>54.6707 * CHOOSE(CONTROL!$C$15, $E$9, 100%, $G$9) + CHOOSE(CONTROL!$C$38, 0.0256, 0)</f>
        <v>54.696299999999994</v>
      </c>
      <c r="C803" s="14">
        <f>51.6846 * CHOOSE(CONTROL!$C$15, $E$9, 100%, $G$9) + CHOOSE(CONTROL!$C$38, 0.0347, 0)</f>
        <v>51.719300000000004</v>
      </c>
      <c r="D803" s="14">
        <f>51.6768 * CHOOSE(CONTROL!$C$15, $E$9, 100%, $G$9) + CHOOSE(CONTROL!$C$38, 0.0347, 0)</f>
        <v>51.711500000000001</v>
      </c>
      <c r="E803" s="46">
        <f>54.5145 * CHOOSE(CONTROL!$C$15, $E$9, 100%, $G$9) + CHOOSE(CONTROL!$C$38, 0.0347, 0)</f>
        <v>54.549199999999999</v>
      </c>
      <c r="F803" s="45">
        <f>54.5145 * CHOOSE(CONTROL!$C$15, $E$9, 100%, $G$9) + CHOOSE(CONTROL!$C$38, 0.0256, 0)</f>
        <v>54.540099999999995</v>
      </c>
      <c r="G803" s="14">
        <f>51.683 * CHOOSE(CONTROL!$C$15, $E$9, 100%, $G$9) + CHOOSE(CONTROL!$C$38, 0.0347, 0)</f>
        <v>51.717700000000001</v>
      </c>
      <c r="H803" s="14">
        <f>51.683 * CHOOSE(CONTROL!$C$15, $E$9, 100%, $G$9) + CHOOSE(CONTROL!$C$38, 0.0347, 0)</f>
        <v>51.717700000000001</v>
      </c>
      <c r="I803" s="14">
        <f>51.6846 * CHOOSE(CONTROL!$C$15, $E$9, 100%, $G$9) + CHOOSE(CONTROL!$C$38, 0.0347, 0)</f>
        <v>51.719300000000004</v>
      </c>
      <c r="J803" s="44">
        <f>479.9817</f>
        <v>479.98169999999999</v>
      </c>
    </row>
    <row r="804" spans="1:10" ht="15.75" x14ac:dyDescent="0.25">
      <c r="A804" s="32">
        <v>65411</v>
      </c>
      <c r="B804" s="14">
        <f>54.2602 * CHOOSE(CONTROL!$C$15, $E$9, 100%, $G$9) + CHOOSE(CONTROL!$C$38, 0.0256, 0)</f>
        <v>54.285799999999995</v>
      </c>
      <c r="C804" s="14">
        <f>51.2955 * CHOOSE(CONTROL!$C$15, $E$9, 100%, $G$9) + CHOOSE(CONTROL!$C$38, 0.0347, 0)</f>
        <v>51.330199999999998</v>
      </c>
      <c r="D804" s="14">
        <f>51.2877 * CHOOSE(CONTROL!$C$15, $E$9, 100%, $G$9) + CHOOSE(CONTROL!$C$38, 0.0347, 0)</f>
        <v>51.322400000000002</v>
      </c>
      <c r="E804" s="46">
        <f>54.1039 * CHOOSE(CONTROL!$C$15, $E$9, 100%, $G$9) + CHOOSE(CONTROL!$C$38, 0.0347, 0)</f>
        <v>54.138600000000004</v>
      </c>
      <c r="F804" s="45">
        <f>54.1039 * CHOOSE(CONTROL!$C$15, $E$9, 100%, $G$9) + CHOOSE(CONTROL!$C$38, 0.0256, 0)</f>
        <v>54.1295</v>
      </c>
      <c r="G804" s="14">
        <f>51.294 * CHOOSE(CONTROL!$C$15, $E$9, 100%, $G$9) + CHOOSE(CONTROL!$C$38, 0.0347, 0)</f>
        <v>51.328699999999998</v>
      </c>
      <c r="H804" s="14">
        <f>51.294 * CHOOSE(CONTROL!$C$15, $E$9, 100%, $G$9) + CHOOSE(CONTROL!$C$38, 0.0347, 0)</f>
        <v>51.328699999999998</v>
      </c>
      <c r="I804" s="14">
        <f>51.2955 * CHOOSE(CONTROL!$C$15, $E$9, 100%, $G$9) + CHOOSE(CONTROL!$C$38, 0.0347, 0)</f>
        <v>51.330199999999998</v>
      </c>
      <c r="J804" s="44">
        <f>479.3627</f>
        <v>479.36270000000002</v>
      </c>
    </row>
    <row r="805" spans="1:10" ht="15.75" x14ac:dyDescent="0.25">
      <c r="A805" s="32">
        <v>65439</v>
      </c>
      <c r="B805" s="14">
        <f>54.1111 * CHOOSE(CONTROL!$C$15, $E$9, 100%, $G$9) + CHOOSE(CONTROL!$C$38, 0.0256, 0)</f>
        <v>54.136699999999998</v>
      </c>
      <c r="C805" s="14">
        <f>51.1542 * CHOOSE(CONTROL!$C$15, $E$9, 100%, $G$9) + CHOOSE(CONTROL!$C$38, 0.0347, 0)</f>
        <v>51.188900000000004</v>
      </c>
      <c r="D805" s="14">
        <f>51.1464 * CHOOSE(CONTROL!$C$15, $E$9, 100%, $G$9) + CHOOSE(CONTROL!$C$38, 0.0347, 0)</f>
        <v>51.181100000000001</v>
      </c>
      <c r="E805" s="46">
        <f>53.9548 * CHOOSE(CONTROL!$C$15, $E$9, 100%, $G$9) + CHOOSE(CONTROL!$C$38, 0.0347, 0)</f>
        <v>53.9895</v>
      </c>
      <c r="F805" s="45">
        <f>53.9548 * CHOOSE(CONTROL!$C$15, $E$9, 100%, $G$9) + CHOOSE(CONTROL!$C$38, 0.0256, 0)</f>
        <v>53.980399999999996</v>
      </c>
      <c r="G805" s="14">
        <f>51.1527 * CHOOSE(CONTROL!$C$15, $E$9, 100%, $G$9) + CHOOSE(CONTROL!$C$38, 0.0347, 0)</f>
        <v>51.187400000000004</v>
      </c>
      <c r="H805" s="14">
        <f>51.1527 * CHOOSE(CONTROL!$C$15, $E$9, 100%, $G$9) + CHOOSE(CONTROL!$C$38, 0.0347, 0)</f>
        <v>51.187400000000004</v>
      </c>
      <c r="I805" s="14">
        <f>51.1542 * CHOOSE(CONTROL!$C$15, $E$9, 100%, $G$9) + CHOOSE(CONTROL!$C$38, 0.0347, 0)</f>
        <v>51.188900000000004</v>
      </c>
      <c r="J805" s="44">
        <f>478.0303</f>
        <v>478.03030000000001</v>
      </c>
    </row>
    <row r="806" spans="1:10" ht="15.75" x14ac:dyDescent="0.25">
      <c r="A806" s="32">
        <v>65470</v>
      </c>
      <c r="B806" s="14">
        <f>56.9305 * CHOOSE(CONTROL!$C$15, $E$9, 100%, $G$9) + CHOOSE(CONTROL!$C$38, 0.0256, 0)</f>
        <v>56.956099999999999</v>
      </c>
      <c r="C806" s="14">
        <f>53.8261 * CHOOSE(CONTROL!$C$15, $E$9, 100%, $G$9) + CHOOSE(CONTROL!$C$38, 0.0347, 0)</f>
        <v>53.860799999999998</v>
      </c>
      <c r="D806" s="14">
        <f>53.8182 * CHOOSE(CONTROL!$C$15, $E$9, 100%, $G$9) + CHOOSE(CONTROL!$C$38, 0.0347, 0)</f>
        <v>53.852899999999998</v>
      </c>
      <c r="E806" s="46">
        <f>56.7743 * CHOOSE(CONTROL!$C$15, $E$9, 100%, $G$9) + CHOOSE(CONTROL!$C$38, 0.0347, 0)</f>
        <v>56.808999999999997</v>
      </c>
      <c r="F806" s="45">
        <f>56.7743 * CHOOSE(CONTROL!$C$15, $E$9, 100%, $G$9) + CHOOSE(CONTROL!$C$38, 0.0256, 0)</f>
        <v>56.799899999999994</v>
      </c>
      <c r="G806" s="14">
        <f>53.8245 * CHOOSE(CONTROL!$C$15, $E$9, 100%, $G$9) + CHOOSE(CONTROL!$C$38, 0.0347, 0)</f>
        <v>53.859200000000001</v>
      </c>
      <c r="H806" s="14">
        <f>53.8245 * CHOOSE(CONTROL!$C$15, $E$9, 100%, $G$9) + CHOOSE(CONTROL!$C$38, 0.0347, 0)</f>
        <v>53.859200000000001</v>
      </c>
      <c r="I806" s="14">
        <f>53.8261 * CHOOSE(CONTROL!$C$15, $E$9, 100%, $G$9) + CHOOSE(CONTROL!$C$38, 0.0347, 0)</f>
        <v>53.860799999999998</v>
      </c>
      <c r="J806" s="44">
        <f>503.2252</f>
        <v>503.22519999999997</v>
      </c>
    </row>
    <row r="807" spans="1:10" ht="15.75" x14ac:dyDescent="0.25">
      <c r="A807" s="32">
        <v>65500</v>
      </c>
      <c r="B807" s="14">
        <f>60.5866 * CHOOSE(CONTROL!$C$15, $E$9, 100%, $G$9) + CHOOSE(CONTROL!$C$38, 0.0256, 0)</f>
        <v>60.612199999999994</v>
      </c>
      <c r="C807" s="14">
        <f>57.2908 * CHOOSE(CONTROL!$C$15, $E$9, 100%, $G$9) + CHOOSE(CONTROL!$C$38, 0.0347, 0)</f>
        <v>57.325499999999998</v>
      </c>
      <c r="D807" s="14">
        <f>57.283 * CHOOSE(CONTROL!$C$15, $E$9, 100%, $G$9) + CHOOSE(CONTROL!$C$38, 0.0347, 0)</f>
        <v>57.317700000000002</v>
      </c>
      <c r="E807" s="46">
        <f>60.4304 * CHOOSE(CONTROL!$C$15, $E$9, 100%, $G$9) + CHOOSE(CONTROL!$C$38, 0.0347, 0)</f>
        <v>60.4651</v>
      </c>
      <c r="F807" s="45">
        <f>60.4304 * CHOOSE(CONTROL!$C$15, $E$9, 100%, $G$9) + CHOOSE(CONTROL!$C$38, 0.0256, 0)</f>
        <v>60.455999999999996</v>
      </c>
      <c r="G807" s="14">
        <f>57.2892 * CHOOSE(CONTROL!$C$15, $E$9, 100%, $G$9) + CHOOSE(CONTROL!$C$38, 0.0347, 0)</f>
        <v>57.323900000000002</v>
      </c>
      <c r="H807" s="14">
        <f>57.2892 * CHOOSE(CONTROL!$C$15, $E$9, 100%, $G$9) + CHOOSE(CONTROL!$C$38, 0.0347, 0)</f>
        <v>57.323900000000002</v>
      </c>
      <c r="I807" s="14">
        <f>57.2908 * CHOOSE(CONTROL!$C$15, $E$9, 100%, $G$9) + CHOOSE(CONTROL!$C$38, 0.0347, 0)</f>
        <v>57.325499999999998</v>
      </c>
      <c r="J807" s="44">
        <f>535.8971</f>
        <v>535.89710000000002</v>
      </c>
    </row>
    <row r="808" spans="1:10" ht="15.75" x14ac:dyDescent="0.25">
      <c r="A808" s="32">
        <v>65531</v>
      </c>
      <c r="B808" s="14">
        <f>62.5991 * CHOOSE(CONTROL!$C$15, $E$9, 100%, $G$9) + CHOOSE(CONTROL!$C$38, 0.0278, 0)</f>
        <v>62.626899999999999</v>
      </c>
      <c r="C808" s="14">
        <f>59.1979 * CHOOSE(CONTROL!$C$15, $E$9, 100%, $G$9) + CHOOSE(CONTROL!$C$38, 0.0369, 0)</f>
        <v>59.2348</v>
      </c>
      <c r="D808" s="14">
        <f>59.1901 * CHOOSE(CONTROL!$C$15, $E$9, 100%, $G$9) + CHOOSE(CONTROL!$C$38, 0.0369, 0)</f>
        <v>59.227000000000004</v>
      </c>
      <c r="E808" s="46">
        <f>62.4429 * CHOOSE(CONTROL!$C$15, $E$9, 100%, $G$9) + CHOOSE(CONTROL!$C$38, 0.0369, 0)</f>
        <v>62.479800000000004</v>
      </c>
      <c r="F808" s="45">
        <f>62.4429 * CHOOSE(CONTROL!$C$15, $E$9, 100%, $G$9) + CHOOSE(CONTROL!$C$38, 0.0278, 0)</f>
        <v>62.470700000000001</v>
      </c>
      <c r="G808" s="14">
        <f>59.1963 * CHOOSE(CONTROL!$C$15, $E$9, 100%, $G$9) + CHOOSE(CONTROL!$C$38, 0.0369, 0)</f>
        <v>59.233200000000004</v>
      </c>
      <c r="H808" s="14">
        <f>59.1963 * CHOOSE(CONTROL!$C$15, $E$9, 100%, $G$9) + CHOOSE(CONTROL!$C$38, 0.0369, 0)</f>
        <v>59.233200000000004</v>
      </c>
      <c r="I808" s="14">
        <f>59.1979 * CHOOSE(CONTROL!$C$15, $E$9, 100%, $G$9) + CHOOSE(CONTROL!$C$38, 0.0369, 0)</f>
        <v>59.2348</v>
      </c>
      <c r="J808" s="44">
        <f>553.8807</f>
        <v>553.88070000000005</v>
      </c>
    </row>
    <row r="809" spans="1:10" ht="15.75" x14ac:dyDescent="0.25">
      <c r="A809" s="32">
        <v>65561</v>
      </c>
      <c r="B809" s="14">
        <f>63.4922 * CHOOSE(CONTROL!$C$15, $E$9, 100%, $G$9) + CHOOSE(CONTROL!$C$38, 0.0278, 0)</f>
        <v>63.519999999999996</v>
      </c>
      <c r="C809" s="14">
        <f>60.0442 * CHOOSE(CONTROL!$C$15, $E$9, 100%, $G$9) + CHOOSE(CONTROL!$C$38, 0.0369, 0)</f>
        <v>60.081099999999999</v>
      </c>
      <c r="D809" s="14">
        <f>60.0364 * CHOOSE(CONTROL!$C$15, $E$9, 100%, $G$9) + CHOOSE(CONTROL!$C$38, 0.0369, 0)</f>
        <v>60.073300000000003</v>
      </c>
      <c r="E809" s="46">
        <f>63.3359 * CHOOSE(CONTROL!$C$15, $E$9, 100%, $G$9) + CHOOSE(CONTROL!$C$38, 0.0369, 0)</f>
        <v>63.372800000000005</v>
      </c>
      <c r="F809" s="45">
        <f>63.3359 * CHOOSE(CONTROL!$C$15, $E$9, 100%, $G$9) + CHOOSE(CONTROL!$C$38, 0.0278, 0)</f>
        <v>63.363700000000001</v>
      </c>
      <c r="G809" s="14">
        <f>60.0427 * CHOOSE(CONTROL!$C$15, $E$9, 100%, $G$9) + CHOOSE(CONTROL!$C$38, 0.0369, 0)</f>
        <v>60.079600000000006</v>
      </c>
      <c r="H809" s="14">
        <f>60.0427 * CHOOSE(CONTROL!$C$15, $E$9, 100%, $G$9) + CHOOSE(CONTROL!$C$38, 0.0369, 0)</f>
        <v>60.079600000000006</v>
      </c>
      <c r="I809" s="14">
        <f>60.0442 * CHOOSE(CONTROL!$C$15, $E$9, 100%, $G$9) + CHOOSE(CONTROL!$C$38, 0.0369, 0)</f>
        <v>60.081099999999999</v>
      </c>
      <c r="J809" s="44">
        <f>561.8616</f>
        <v>561.86159999999995</v>
      </c>
    </row>
    <row r="810" spans="1:10" ht="15.75" x14ac:dyDescent="0.25">
      <c r="A810" s="32">
        <v>65592</v>
      </c>
      <c r="B810" s="14">
        <f>63.1981 * CHOOSE(CONTROL!$C$15, $E$9, 100%, $G$9) + CHOOSE(CONTROL!$C$38, 0.0278, 0)</f>
        <v>63.225899999999996</v>
      </c>
      <c r="C810" s="14">
        <f>59.7656 * CHOOSE(CONTROL!$C$15, $E$9, 100%, $G$9) + CHOOSE(CONTROL!$C$38, 0.0369, 0)</f>
        <v>59.802500000000002</v>
      </c>
      <c r="D810" s="14">
        <f>59.7578 * CHOOSE(CONTROL!$C$15, $E$9, 100%, $G$9) + CHOOSE(CONTROL!$C$38, 0.0369, 0)</f>
        <v>59.794700000000006</v>
      </c>
      <c r="E810" s="46">
        <f>63.0419 * CHOOSE(CONTROL!$C$15, $E$9, 100%, $G$9) + CHOOSE(CONTROL!$C$38, 0.0369, 0)</f>
        <v>63.078800000000001</v>
      </c>
      <c r="F810" s="45">
        <f>63.0419 * CHOOSE(CONTROL!$C$15, $E$9, 100%, $G$9) + CHOOSE(CONTROL!$C$38, 0.0278, 0)</f>
        <v>63.069699999999997</v>
      </c>
      <c r="G810" s="14">
        <f>59.764 * CHOOSE(CONTROL!$C$15, $E$9, 100%, $G$9) + CHOOSE(CONTROL!$C$38, 0.0369, 0)</f>
        <v>59.800900000000006</v>
      </c>
      <c r="H810" s="14">
        <f>59.764 * CHOOSE(CONTROL!$C$15, $E$9, 100%, $G$9) + CHOOSE(CONTROL!$C$38, 0.0369, 0)</f>
        <v>59.800900000000006</v>
      </c>
      <c r="I810" s="14">
        <f>59.7656 * CHOOSE(CONTROL!$C$15, $E$9, 100%, $G$9) + CHOOSE(CONTROL!$C$38, 0.0369, 0)</f>
        <v>59.802500000000002</v>
      </c>
      <c r="J810" s="44">
        <f>559.2339</f>
        <v>559.23389999999995</v>
      </c>
    </row>
    <row r="811" spans="1:10" ht="15.75" x14ac:dyDescent="0.25">
      <c r="A811" s="32">
        <v>65623</v>
      </c>
      <c r="B811" s="14">
        <f>61.7413 * CHOOSE(CONTROL!$C$15, $E$9, 100%, $G$9) + CHOOSE(CONTROL!$C$38, 0.0278, 0)</f>
        <v>61.769100000000002</v>
      </c>
      <c r="C811" s="14">
        <f>58.385 * CHOOSE(CONTROL!$C$15, $E$9, 100%, $G$9) + CHOOSE(CONTROL!$C$38, 0.0369, 0)</f>
        <v>58.421900000000001</v>
      </c>
      <c r="D811" s="14">
        <f>58.3772 * CHOOSE(CONTROL!$C$15, $E$9, 100%, $G$9) + CHOOSE(CONTROL!$C$38, 0.0369, 0)</f>
        <v>58.414100000000005</v>
      </c>
      <c r="E811" s="46">
        <f>61.585 * CHOOSE(CONTROL!$C$15, $E$9, 100%, $G$9) + CHOOSE(CONTROL!$C$38, 0.0369, 0)</f>
        <v>61.621900000000004</v>
      </c>
      <c r="F811" s="45">
        <f>61.585 * CHOOSE(CONTROL!$C$15, $E$9, 100%, $G$9) + CHOOSE(CONTROL!$C$38, 0.0278, 0)</f>
        <v>61.6128</v>
      </c>
      <c r="G811" s="14">
        <f>58.3834 * CHOOSE(CONTROL!$C$15, $E$9, 100%, $G$9) + CHOOSE(CONTROL!$C$38, 0.0369, 0)</f>
        <v>58.420300000000005</v>
      </c>
      <c r="H811" s="14">
        <f>58.3834 * CHOOSE(CONTROL!$C$15, $E$9, 100%, $G$9) + CHOOSE(CONTROL!$C$38, 0.0369, 0)</f>
        <v>58.420300000000005</v>
      </c>
      <c r="I811" s="14">
        <f>58.385 * CHOOSE(CONTROL!$C$15, $E$9, 100%, $G$9) + CHOOSE(CONTROL!$C$38, 0.0369, 0)</f>
        <v>58.421900000000001</v>
      </c>
      <c r="J811" s="44">
        <f>546.2152</f>
        <v>546.21519999999998</v>
      </c>
    </row>
    <row r="812" spans="1:10" ht="15.75" x14ac:dyDescent="0.25">
      <c r="A812" s="32">
        <v>65653</v>
      </c>
      <c r="B812" s="14">
        <f>59.7096 * CHOOSE(CONTROL!$C$15, $E$9, 100%, $G$9) + CHOOSE(CONTROL!$C$38, 0.0278, 0)</f>
        <v>59.737400000000001</v>
      </c>
      <c r="C812" s="14">
        <f>56.4597 * CHOOSE(CONTROL!$C$15, $E$9, 100%, $G$9) + CHOOSE(CONTROL!$C$38, 0.0369, 0)</f>
        <v>56.496600000000001</v>
      </c>
      <c r="D812" s="14">
        <f>56.4519 * CHOOSE(CONTROL!$C$15, $E$9, 100%, $G$9) + CHOOSE(CONTROL!$C$38, 0.0369, 0)</f>
        <v>56.488800000000005</v>
      </c>
      <c r="E812" s="46">
        <f>59.5534 * CHOOSE(CONTROL!$C$15, $E$9, 100%, $G$9) + CHOOSE(CONTROL!$C$38, 0.0369, 0)</f>
        <v>59.590300000000006</v>
      </c>
      <c r="F812" s="45">
        <f>59.5534 * CHOOSE(CONTROL!$C$15, $E$9, 100%, $G$9) + CHOOSE(CONTROL!$C$38, 0.0278, 0)</f>
        <v>59.581200000000003</v>
      </c>
      <c r="G812" s="14">
        <f>56.4581 * CHOOSE(CONTROL!$C$15, $E$9, 100%, $G$9) + CHOOSE(CONTROL!$C$38, 0.0369, 0)</f>
        <v>56.495000000000005</v>
      </c>
      <c r="H812" s="14">
        <f>56.4581 * CHOOSE(CONTROL!$C$15, $E$9, 100%, $G$9) + CHOOSE(CONTROL!$C$38, 0.0369, 0)</f>
        <v>56.495000000000005</v>
      </c>
      <c r="I812" s="14">
        <f>56.4597 * CHOOSE(CONTROL!$C$15, $E$9, 100%, $G$9) + CHOOSE(CONTROL!$C$38, 0.0369, 0)</f>
        <v>56.496600000000001</v>
      </c>
      <c r="J812" s="44">
        <f>528.0599</f>
        <v>528.05989999999997</v>
      </c>
    </row>
    <row r="813" spans="1:10" ht="15.75" x14ac:dyDescent="0.25">
      <c r="A813" s="32">
        <v>65684</v>
      </c>
      <c r="B813" s="14">
        <f>57.6661 * CHOOSE(CONTROL!$C$15, $E$9, 100%, $G$9) + CHOOSE(CONTROL!$C$38, 0.0256, 0)</f>
        <v>57.691699999999997</v>
      </c>
      <c r="C813" s="14">
        <f>54.5232 * CHOOSE(CONTROL!$C$15, $E$9, 100%, $G$9) + CHOOSE(CONTROL!$C$38, 0.0347, 0)</f>
        <v>54.557900000000004</v>
      </c>
      <c r="D813" s="14">
        <f>54.5154 * CHOOSE(CONTROL!$C$15, $E$9, 100%, $G$9) + CHOOSE(CONTROL!$C$38, 0.0347, 0)</f>
        <v>54.5501</v>
      </c>
      <c r="E813" s="46">
        <f>57.5099 * CHOOSE(CONTROL!$C$15, $E$9, 100%, $G$9) + CHOOSE(CONTROL!$C$38, 0.0347, 0)</f>
        <v>57.544600000000003</v>
      </c>
      <c r="F813" s="45">
        <f>57.5099 * CHOOSE(CONTROL!$C$15, $E$9, 100%, $G$9) + CHOOSE(CONTROL!$C$38, 0.0256, 0)</f>
        <v>57.535499999999999</v>
      </c>
      <c r="G813" s="14">
        <f>54.5216 * CHOOSE(CONTROL!$C$15, $E$9, 100%, $G$9) + CHOOSE(CONTROL!$C$38, 0.0347, 0)</f>
        <v>54.5563</v>
      </c>
      <c r="H813" s="14">
        <f>54.5216 * CHOOSE(CONTROL!$C$15, $E$9, 100%, $G$9) + CHOOSE(CONTROL!$C$38, 0.0347, 0)</f>
        <v>54.5563</v>
      </c>
      <c r="I813" s="14">
        <f>54.5232 * CHOOSE(CONTROL!$C$15, $E$9, 100%, $G$9) + CHOOSE(CONTROL!$C$38, 0.0347, 0)</f>
        <v>54.557900000000004</v>
      </c>
      <c r="J813" s="44">
        <f>509.7991</f>
        <v>509.79910000000001</v>
      </c>
    </row>
    <row r="814" spans="1:10" ht="15.75" x14ac:dyDescent="0.25">
      <c r="A814" s="32">
        <v>65714</v>
      </c>
      <c r="B814" s="14">
        <f>57.2597 * CHOOSE(CONTROL!$C$15, $E$9, 100%, $G$9) + CHOOSE(CONTROL!$C$38, 0.0256, 0)</f>
        <v>57.285299999999999</v>
      </c>
      <c r="C814" s="14">
        <f>54.138 * CHOOSE(CONTROL!$C$15, $E$9, 100%, $G$9) + CHOOSE(CONTROL!$C$38, 0.0347, 0)</f>
        <v>54.172699999999999</v>
      </c>
      <c r="D814" s="14">
        <f>54.1302 * CHOOSE(CONTROL!$C$15, $E$9, 100%, $G$9) + CHOOSE(CONTROL!$C$38, 0.0347, 0)</f>
        <v>54.164900000000003</v>
      </c>
      <c r="E814" s="46">
        <f>57.1034 * CHOOSE(CONTROL!$C$15, $E$9, 100%, $G$9) + CHOOSE(CONTROL!$C$38, 0.0347, 0)</f>
        <v>57.138100000000001</v>
      </c>
      <c r="F814" s="45">
        <f>57.1034 * CHOOSE(CONTROL!$C$15, $E$9, 100%, $G$9) + CHOOSE(CONTROL!$C$38, 0.0256, 0)</f>
        <v>57.128999999999998</v>
      </c>
      <c r="G814" s="14">
        <f>54.1364 * CHOOSE(CONTROL!$C$15, $E$9, 100%, $G$9) + CHOOSE(CONTROL!$C$38, 0.0347, 0)</f>
        <v>54.171100000000003</v>
      </c>
      <c r="H814" s="14">
        <f>54.1364 * CHOOSE(CONTROL!$C$15, $E$9, 100%, $G$9) + CHOOSE(CONTROL!$C$38, 0.0347, 0)</f>
        <v>54.171100000000003</v>
      </c>
      <c r="I814" s="14">
        <f>54.138 * CHOOSE(CONTROL!$C$15, $E$9, 100%, $G$9) + CHOOSE(CONTROL!$C$38, 0.0347, 0)</f>
        <v>54.172699999999999</v>
      </c>
      <c r="J814" s="44">
        <f>506.1666</f>
        <v>506.16660000000002</v>
      </c>
    </row>
    <row r="815" spans="1:10" ht="15.75" x14ac:dyDescent="0.25">
      <c r="A815" s="32">
        <v>65745</v>
      </c>
      <c r="B815" s="14">
        <f>55.5788 * CHOOSE(CONTROL!$C$15, $E$9, 100%, $G$9) + CHOOSE(CONTROL!$C$38, 0.0256, 0)</f>
        <v>55.604399999999998</v>
      </c>
      <c r="C815" s="14">
        <f>52.5451 * CHOOSE(CONTROL!$C$15, $E$9, 100%, $G$9) + CHOOSE(CONTROL!$C$38, 0.0347, 0)</f>
        <v>52.579799999999999</v>
      </c>
      <c r="D815" s="14">
        <f>52.5373 * CHOOSE(CONTROL!$C$15, $E$9, 100%, $G$9) + CHOOSE(CONTROL!$C$38, 0.0347, 0)</f>
        <v>52.572000000000003</v>
      </c>
      <c r="E815" s="46">
        <f>55.4225 * CHOOSE(CONTROL!$C$15, $E$9, 100%, $G$9) + CHOOSE(CONTROL!$C$38, 0.0347, 0)</f>
        <v>55.4572</v>
      </c>
      <c r="F815" s="45">
        <f>55.4225 * CHOOSE(CONTROL!$C$15, $E$9, 100%, $G$9) + CHOOSE(CONTROL!$C$38, 0.0256, 0)</f>
        <v>55.448099999999997</v>
      </c>
      <c r="G815" s="14">
        <f>52.5435 * CHOOSE(CONTROL!$C$15, $E$9, 100%, $G$9) + CHOOSE(CONTROL!$C$38, 0.0347, 0)</f>
        <v>52.578200000000002</v>
      </c>
      <c r="H815" s="14">
        <f>52.5435 * CHOOSE(CONTROL!$C$15, $E$9, 100%, $G$9) + CHOOSE(CONTROL!$C$38, 0.0347, 0)</f>
        <v>52.578200000000002</v>
      </c>
      <c r="I815" s="14">
        <f>52.5451 * CHOOSE(CONTROL!$C$15, $E$9, 100%, $G$9) + CHOOSE(CONTROL!$C$38, 0.0347, 0)</f>
        <v>52.579799999999999</v>
      </c>
      <c r="J815" s="44">
        <f>491.1461</f>
        <v>491.14609999999999</v>
      </c>
    </row>
    <row r="816" spans="1:10" ht="15.75" x14ac:dyDescent="0.25">
      <c r="A816" s="32">
        <v>65776</v>
      </c>
      <c r="B816" s="14">
        <f>55.1614 * CHOOSE(CONTROL!$C$15, $E$9, 100%, $G$9) + CHOOSE(CONTROL!$C$38, 0.0256, 0)</f>
        <v>55.186999999999998</v>
      </c>
      <c r="C816" s="14">
        <f>52.1495 * CHOOSE(CONTROL!$C$15, $E$9, 100%, $G$9) + CHOOSE(CONTROL!$C$38, 0.0347, 0)</f>
        <v>52.184200000000004</v>
      </c>
      <c r="D816" s="14">
        <f>52.1417 * CHOOSE(CONTROL!$C$15, $E$9, 100%, $G$9) + CHOOSE(CONTROL!$C$38, 0.0347, 0)</f>
        <v>52.176400000000001</v>
      </c>
      <c r="E816" s="46">
        <f>55.0051 * CHOOSE(CONTROL!$C$15, $E$9, 100%, $G$9) + CHOOSE(CONTROL!$C$38, 0.0347, 0)</f>
        <v>55.0398</v>
      </c>
      <c r="F816" s="45">
        <f>55.0051 * CHOOSE(CONTROL!$C$15, $E$9, 100%, $G$9) + CHOOSE(CONTROL!$C$38, 0.0256, 0)</f>
        <v>55.030699999999996</v>
      </c>
      <c r="G816" s="14">
        <f>52.148 * CHOOSE(CONTROL!$C$15, $E$9, 100%, $G$9) + CHOOSE(CONTROL!$C$38, 0.0347, 0)</f>
        <v>52.182700000000004</v>
      </c>
      <c r="H816" s="14">
        <f>52.148 * CHOOSE(CONTROL!$C$15, $E$9, 100%, $G$9) + CHOOSE(CONTROL!$C$38, 0.0347, 0)</f>
        <v>52.182700000000004</v>
      </c>
      <c r="I816" s="14">
        <f>52.1495 * CHOOSE(CONTROL!$C$15, $E$9, 100%, $G$9) + CHOOSE(CONTROL!$C$38, 0.0347, 0)</f>
        <v>52.184200000000004</v>
      </c>
      <c r="J816" s="44">
        <f>490.5127</f>
        <v>490.5127</v>
      </c>
    </row>
    <row r="817" spans="1:10" ht="15.75" x14ac:dyDescent="0.25">
      <c r="A817" s="32">
        <v>65805</v>
      </c>
      <c r="B817" s="14">
        <f>55.0098 * CHOOSE(CONTROL!$C$15, $E$9, 100%, $G$9) + CHOOSE(CONTROL!$C$38, 0.0256, 0)</f>
        <v>55.035399999999996</v>
      </c>
      <c r="C817" s="14">
        <f>52.0059 * CHOOSE(CONTROL!$C$15, $E$9, 100%, $G$9) + CHOOSE(CONTROL!$C$38, 0.0347, 0)</f>
        <v>52.040599999999998</v>
      </c>
      <c r="D817" s="14">
        <f>51.9981 * CHOOSE(CONTROL!$C$15, $E$9, 100%, $G$9) + CHOOSE(CONTROL!$C$38, 0.0347, 0)</f>
        <v>52.032800000000002</v>
      </c>
      <c r="E817" s="46">
        <f>54.8535 * CHOOSE(CONTROL!$C$15, $E$9, 100%, $G$9) + CHOOSE(CONTROL!$C$38, 0.0347, 0)</f>
        <v>54.888199999999998</v>
      </c>
      <c r="F817" s="45">
        <f>54.8535 * CHOOSE(CONTROL!$C$15, $E$9, 100%, $G$9) + CHOOSE(CONTROL!$C$38, 0.0256, 0)</f>
        <v>54.879099999999994</v>
      </c>
      <c r="G817" s="14">
        <f>52.0043 * CHOOSE(CONTROL!$C$15, $E$9, 100%, $G$9) + CHOOSE(CONTROL!$C$38, 0.0347, 0)</f>
        <v>52.039000000000001</v>
      </c>
      <c r="H817" s="14">
        <f>52.0043 * CHOOSE(CONTROL!$C$15, $E$9, 100%, $G$9) + CHOOSE(CONTROL!$C$38, 0.0347, 0)</f>
        <v>52.039000000000001</v>
      </c>
      <c r="I817" s="14">
        <f>52.0059 * CHOOSE(CONTROL!$C$15, $E$9, 100%, $G$9) + CHOOSE(CONTROL!$C$38, 0.0347, 0)</f>
        <v>52.040599999999998</v>
      </c>
      <c r="J817" s="44">
        <f>489.1493</f>
        <v>489.14929999999998</v>
      </c>
    </row>
    <row r="818" spans="1:10" ht="15.75" x14ac:dyDescent="0.25">
      <c r="A818" s="32">
        <v>65836</v>
      </c>
      <c r="B818" s="14">
        <f>57.8766 * CHOOSE(CONTROL!$C$15, $E$9, 100%, $G$9) + CHOOSE(CONTROL!$C$38, 0.0256, 0)</f>
        <v>57.902200000000001</v>
      </c>
      <c r="C818" s="14">
        <f>54.7226 * CHOOSE(CONTROL!$C$15, $E$9, 100%, $G$9) + CHOOSE(CONTROL!$C$38, 0.0347, 0)</f>
        <v>54.757300000000001</v>
      </c>
      <c r="D818" s="14">
        <f>54.7148 * CHOOSE(CONTROL!$C$15, $E$9, 100%, $G$9) + CHOOSE(CONTROL!$C$38, 0.0347, 0)</f>
        <v>54.749499999999998</v>
      </c>
      <c r="E818" s="46">
        <f>57.7203 * CHOOSE(CONTROL!$C$15, $E$9, 100%, $G$9) + CHOOSE(CONTROL!$C$38, 0.0347, 0)</f>
        <v>57.755000000000003</v>
      </c>
      <c r="F818" s="45">
        <f>57.7203 * CHOOSE(CONTROL!$C$15, $E$9, 100%, $G$9) + CHOOSE(CONTROL!$C$38, 0.0256, 0)</f>
        <v>57.745899999999999</v>
      </c>
      <c r="G818" s="14">
        <f>54.721 * CHOOSE(CONTROL!$C$15, $E$9, 100%, $G$9) + CHOOSE(CONTROL!$C$38, 0.0347, 0)</f>
        <v>54.755699999999997</v>
      </c>
      <c r="H818" s="14">
        <f>54.721 * CHOOSE(CONTROL!$C$15, $E$9, 100%, $G$9) + CHOOSE(CONTROL!$C$38, 0.0347, 0)</f>
        <v>54.755699999999997</v>
      </c>
      <c r="I818" s="14">
        <f>54.7226 * CHOOSE(CONTROL!$C$15, $E$9, 100%, $G$9) + CHOOSE(CONTROL!$C$38, 0.0347, 0)</f>
        <v>54.757300000000001</v>
      </c>
      <c r="J818" s="44">
        <f>514.9303</f>
        <v>514.93029999999999</v>
      </c>
    </row>
    <row r="819" spans="1:10" ht="15.75" x14ac:dyDescent="0.25">
      <c r="A819" s="32">
        <v>65866</v>
      </c>
      <c r="B819" s="14">
        <f>61.5941 * CHOOSE(CONTROL!$C$15, $E$9, 100%, $G$9) + CHOOSE(CONTROL!$C$38, 0.0256, 0)</f>
        <v>61.619699999999995</v>
      </c>
      <c r="C819" s="14">
        <f>58.2455 * CHOOSE(CONTROL!$C$15, $E$9, 100%, $G$9) + CHOOSE(CONTROL!$C$38, 0.0347, 0)</f>
        <v>58.280200000000001</v>
      </c>
      <c r="D819" s="14">
        <f>58.2377 * CHOOSE(CONTROL!$C$15, $E$9, 100%, $G$9) + CHOOSE(CONTROL!$C$38, 0.0347, 0)</f>
        <v>58.272399999999998</v>
      </c>
      <c r="E819" s="46">
        <f>61.4379 * CHOOSE(CONTROL!$C$15, $E$9, 100%, $G$9) + CHOOSE(CONTROL!$C$38, 0.0347, 0)</f>
        <v>61.4726</v>
      </c>
      <c r="F819" s="45">
        <f>61.4379 * CHOOSE(CONTROL!$C$15, $E$9, 100%, $G$9) + CHOOSE(CONTROL!$C$38, 0.0256, 0)</f>
        <v>61.463499999999996</v>
      </c>
      <c r="G819" s="14">
        <f>58.2439 * CHOOSE(CONTROL!$C$15, $E$9, 100%, $G$9) + CHOOSE(CONTROL!$C$38, 0.0347, 0)</f>
        <v>58.278599999999997</v>
      </c>
      <c r="H819" s="14">
        <f>58.2439 * CHOOSE(CONTROL!$C$15, $E$9, 100%, $G$9) + CHOOSE(CONTROL!$C$38, 0.0347, 0)</f>
        <v>58.278599999999997</v>
      </c>
      <c r="I819" s="14">
        <f>58.2455 * CHOOSE(CONTROL!$C$15, $E$9, 100%, $G$9) + CHOOSE(CONTROL!$C$38, 0.0347, 0)</f>
        <v>58.280200000000001</v>
      </c>
      <c r="J819" s="44">
        <f>548.362</f>
        <v>548.36199999999997</v>
      </c>
    </row>
    <row r="820" spans="1:10" ht="15.75" x14ac:dyDescent="0.25">
      <c r="A820" s="32">
        <v>65897</v>
      </c>
      <c r="B820" s="14">
        <f>63.6404 * CHOOSE(CONTROL!$C$15, $E$9, 100%, $G$9) + CHOOSE(CONTROL!$C$38, 0.0278, 0)</f>
        <v>63.668199999999999</v>
      </c>
      <c r="C820" s="14">
        <f>60.1846 * CHOOSE(CONTROL!$C$15, $E$9, 100%, $G$9) + CHOOSE(CONTROL!$C$38, 0.0369, 0)</f>
        <v>60.221500000000006</v>
      </c>
      <c r="D820" s="14">
        <f>60.1768 * CHOOSE(CONTROL!$C$15, $E$9, 100%, $G$9) + CHOOSE(CONTROL!$C$38, 0.0369, 0)</f>
        <v>60.213700000000003</v>
      </c>
      <c r="E820" s="46">
        <f>63.4841 * CHOOSE(CONTROL!$C$15, $E$9, 100%, $G$9) + CHOOSE(CONTROL!$C$38, 0.0369, 0)</f>
        <v>63.521000000000001</v>
      </c>
      <c r="F820" s="45">
        <f>63.4841 * CHOOSE(CONTROL!$C$15, $E$9, 100%, $G$9) + CHOOSE(CONTROL!$C$38, 0.0278, 0)</f>
        <v>63.511899999999997</v>
      </c>
      <c r="G820" s="14">
        <f>60.1831 * CHOOSE(CONTROL!$C$15, $E$9, 100%, $G$9) + CHOOSE(CONTROL!$C$38, 0.0369, 0)</f>
        <v>60.220000000000006</v>
      </c>
      <c r="H820" s="14">
        <f>60.1831 * CHOOSE(CONTROL!$C$15, $E$9, 100%, $G$9) + CHOOSE(CONTROL!$C$38, 0.0369, 0)</f>
        <v>60.220000000000006</v>
      </c>
      <c r="I820" s="14">
        <f>60.1846 * CHOOSE(CONTROL!$C$15, $E$9, 100%, $G$9) + CHOOSE(CONTROL!$C$38, 0.0369, 0)</f>
        <v>60.221500000000006</v>
      </c>
      <c r="J820" s="44">
        <f>566.764</f>
        <v>566.76400000000001</v>
      </c>
    </row>
    <row r="821" spans="1:10" ht="15.75" x14ac:dyDescent="0.25">
      <c r="A821" s="32">
        <v>65927</v>
      </c>
      <c r="B821" s="14">
        <f>64.5485 * CHOOSE(CONTROL!$C$15, $E$9, 100%, $G$9) + CHOOSE(CONTROL!$C$38, 0.0278, 0)</f>
        <v>64.576300000000003</v>
      </c>
      <c r="C821" s="14">
        <f>61.0452 * CHOOSE(CONTROL!$C$15, $E$9, 100%, $G$9) + CHOOSE(CONTROL!$C$38, 0.0369, 0)</f>
        <v>61.082100000000004</v>
      </c>
      <c r="D821" s="14">
        <f>61.0374 * CHOOSE(CONTROL!$C$15, $E$9, 100%, $G$9) + CHOOSE(CONTROL!$C$38, 0.0369, 0)</f>
        <v>61.074300000000001</v>
      </c>
      <c r="E821" s="46">
        <f>64.3922 * CHOOSE(CONTROL!$C$15, $E$9, 100%, $G$9) + CHOOSE(CONTROL!$C$38, 0.0369, 0)</f>
        <v>64.429100000000005</v>
      </c>
      <c r="F821" s="45">
        <f>64.3922 * CHOOSE(CONTROL!$C$15, $E$9, 100%, $G$9) + CHOOSE(CONTROL!$C$38, 0.0278, 0)</f>
        <v>64.42</v>
      </c>
      <c r="G821" s="14">
        <f>61.0436 * CHOOSE(CONTROL!$C$15, $E$9, 100%, $G$9) + CHOOSE(CONTROL!$C$38, 0.0369, 0)</f>
        <v>61.080500000000001</v>
      </c>
      <c r="H821" s="14">
        <f>61.0436 * CHOOSE(CONTROL!$C$15, $E$9, 100%, $G$9) + CHOOSE(CONTROL!$C$38, 0.0369, 0)</f>
        <v>61.080500000000001</v>
      </c>
      <c r="I821" s="14">
        <f>61.0452 * CHOOSE(CONTROL!$C$15, $E$9, 100%, $G$9) + CHOOSE(CONTROL!$C$38, 0.0369, 0)</f>
        <v>61.082100000000004</v>
      </c>
      <c r="J821" s="44">
        <f>574.9305</f>
        <v>574.93050000000005</v>
      </c>
    </row>
    <row r="822" spans="1:10" ht="15.75" x14ac:dyDescent="0.25">
      <c r="A822" s="32">
        <v>65958</v>
      </c>
      <c r="B822" s="14">
        <f>64.2495 * CHOOSE(CONTROL!$C$15, $E$9, 100%, $G$9) + CHOOSE(CONTROL!$C$38, 0.0278, 0)</f>
        <v>64.277299999999997</v>
      </c>
      <c r="C822" s="14">
        <f>60.7619 * CHOOSE(CONTROL!$C$15, $E$9, 100%, $G$9) + CHOOSE(CONTROL!$C$38, 0.0369, 0)</f>
        <v>60.7988</v>
      </c>
      <c r="D822" s="14">
        <f>60.7541 * CHOOSE(CONTROL!$C$15, $E$9, 100%, $G$9) + CHOOSE(CONTROL!$C$38, 0.0369, 0)</f>
        <v>60.791000000000004</v>
      </c>
      <c r="E822" s="46">
        <f>64.0932 * CHOOSE(CONTROL!$C$15, $E$9, 100%, $G$9) + CHOOSE(CONTROL!$C$38, 0.0369, 0)</f>
        <v>64.130099999999999</v>
      </c>
      <c r="F822" s="45">
        <f>64.0932 * CHOOSE(CONTROL!$C$15, $E$9, 100%, $G$9) + CHOOSE(CONTROL!$C$38, 0.0278, 0)</f>
        <v>64.120999999999995</v>
      </c>
      <c r="G822" s="14">
        <f>60.7603 * CHOOSE(CONTROL!$C$15, $E$9, 100%, $G$9) + CHOOSE(CONTROL!$C$38, 0.0369, 0)</f>
        <v>60.797200000000004</v>
      </c>
      <c r="H822" s="14">
        <f>60.7603 * CHOOSE(CONTROL!$C$15, $E$9, 100%, $G$9) + CHOOSE(CONTROL!$C$38, 0.0369, 0)</f>
        <v>60.797200000000004</v>
      </c>
      <c r="I822" s="14">
        <f>60.7619 * CHOOSE(CONTROL!$C$15, $E$9, 100%, $G$9) + CHOOSE(CONTROL!$C$38, 0.0369, 0)</f>
        <v>60.7988</v>
      </c>
      <c r="J822" s="44">
        <f>572.2417</f>
        <v>572.24170000000004</v>
      </c>
    </row>
    <row r="823" spans="1:10" ht="15.75" x14ac:dyDescent="0.25">
      <c r="A823" s="32">
        <v>65989</v>
      </c>
      <c r="B823" s="14">
        <f>62.7682 * CHOOSE(CONTROL!$C$15, $E$9, 100%, $G$9) + CHOOSE(CONTROL!$C$38, 0.0278, 0)</f>
        <v>62.795999999999999</v>
      </c>
      <c r="C823" s="14">
        <f>59.3581 * CHOOSE(CONTROL!$C$15, $E$9, 100%, $G$9) + CHOOSE(CONTROL!$C$38, 0.0369, 0)</f>
        <v>59.395000000000003</v>
      </c>
      <c r="D823" s="14">
        <f>59.3503 * CHOOSE(CONTROL!$C$15, $E$9, 100%, $G$9) + CHOOSE(CONTROL!$C$38, 0.0369, 0)</f>
        <v>59.3872</v>
      </c>
      <c r="E823" s="46">
        <f>62.6119 * CHOOSE(CONTROL!$C$15, $E$9, 100%, $G$9) + CHOOSE(CONTROL!$C$38, 0.0369, 0)</f>
        <v>62.648800000000001</v>
      </c>
      <c r="F823" s="45">
        <f>62.6119 * CHOOSE(CONTROL!$C$15, $E$9, 100%, $G$9) + CHOOSE(CONTROL!$C$38, 0.0278, 0)</f>
        <v>62.639699999999998</v>
      </c>
      <c r="G823" s="14">
        <f>59.3565 * CHOOSE(CONTROL!$C$15, $E$9, 100%, $G$9) + CHOOSE(CONTROL!$C$38, 0.0369, 0)</f>
        <v>59.3934</v>
      </c>
      <c r="H823" s="14">
        <f>59.3565 * CHOOSE(CONTROL!$C$15, $E$9, 100%, $G$9) + CHOOSE(CONTROL!$C$38, 0.0369, 0)</f>
        <v>59.3934</v>
      </c>
      <c r="I823" s="14">
        <f>59.3581 * CHOOSE(CONTROL!$C$15, $E$9, 100%, $G$9) + CHOOSE(CONTROL!$C$38, 0.0369, 0)</f>
        <v>59.395000000000003</v>
      </c>
      <c r="J823" s="44">
        <f>558.9201</f>
        <v>558.92010000000005</v>
      </c>
    </row>
    <row r="824" spans="1:10" ht="15.75" x14ac:dyDescent="0.25">
      <c r="A824" s="32">
        <v>66019</v>
      </c>
      <c r="B824" s="14">
        <f>60.7024 * CHOOSE(CONTROL!$C$15, $E$9, 100%, $G$9) + CHOOSE(CONTROL!$C$38, 0.0278, 0)</f>
        <v>60.730199999999996</v>
      </c>
      <c r="C824" s="14">
        <f>57.4004 * CHOOSE(CONTROL!$C$15, $E$9, 100%, $G$9) + CHOOSE(CONTROL!$C$38, 0.0369, 0)</f>
        <v>57.4373</v>
      </c>
      <c r="D824" s="14">
        <f>57.3926 * CHOOSE(CONTROL!$C$15, $E$9, 100%, $G$9) + CHOOSE(CONTROL!$C$38, 0.0369, 0)</f>
        <v>57.429500000000004</v>
      </c>
      <c r="E824" s="46">
        <f>60.5461 * CHOOSE(CONTROL!$C$15, $E$9, 100%, $G$9) + CHOOSE(CONTROL!$C$38, 0.0369, 0)</f>
        <v>60.583000000000006</v>
      </c>
      <c r="F824" s="45">
        <f>60.5461 * CHOOSE(CONTROL!$C$15, $E$9, 100%, $G$9) + CHOOSE(CONTROL!$C$38, 0.0278, 0)</f>
        <v>60.573900000000002</v>
      </c>
      <c r="G824" s="14">
        <f>57.3989 * CHOOSE(CONTROL!$C$15, $E$9, 100%, $G$9) + CHOOSE(CONTROL!$C$38, 0.0369, 0)</f>
        <v>57.4358</v>
      </c>
      <c r="H824" s="14">
        <f>57.3989 * CHOOSE(CONTROL!$C$15, $E$9, 100%, $G$9) + CHOOSE(CONTROL!$C$38, 0.0369, 0)</f>
        <v>57.4358</v>
      </c>
      <c r="I824" s="14">
        <f>57.4004 * CHOOSE(CONTROL!$C$15, $E$9, 100%, $G$9) + CHOOSE(CONTROL!$C$38, 0.0369, 0)</f>
        <v>57.4373</v>
      </c>
      <c r="J824" s="44">
        <f>540.3426</f>
        <v>540.34259999999995</v>
      </c>
    </row>
    <row r="825" spans="1:10" ht="15.75" x14ac:dyDescent="0.25">
      <c r="A825" s="32">
        <v>66050</v>
      </c>
      <c r="B825" s="14">
        <f>58.6246 * CHOOSE(CONTROL!$C$15, $E$9, 100%, $G$9) + CHOOSE(CONTROL!$C$38, 0.0256, 0)</f>
        <v>58.650199999999998</v>
      </c>
      <c r="C825" s="14">
        <f>55.4314 * CHOOSE(CONTROL!$C$15, $E$9, 100%, $G$9) + CHOOSE(CONTROL!$C$38, 0.0347, 0)</f>
        <v>55.466099999999997</v>
      </c>
      <c r="D825" s="14">
        <f>55.4236 * CHOOSE(CONTROL!$C$15, $E$9, 100%, $G$9) + CHOOSE(CONTROL!$C$38, 0.0347, 0)</f>
        <v>55.458300000000001</v>
      </c>
      <c r="E825" s="46">
        <f>58.4683 * CHOOSE(CONTROL!$C$15, $E$9, 100%, $G$9) + CHOOSE(CONTROL!$C$38, 0.0347, 0)</f>
        <v>58.503</v>
      </c>
      <c r="F825" s="45">
        <f>58.4683 * CHOOSE(CONTROL!$C$15, $E$9, 100%, $G$9) + CHOOSE(CONTROL!$C$38, 0.0256, 0)</f>
        <v>58.493899999999996</v>
      </c>
      <c r="G825" s="14">
        <f>55.4299 * CHOOSE(CONTROL!$C$15, $E$9, 100%, $G$9) + CHOOSE(CONTROL!$C$38, 0.0347, 0)</f>
        <v>55.464600000000004</v>
      </c>
      <c r="H825" s="14">
        <f>55.4299 * CHOOSE(CONTROL!$C$15, $E$9, 100%, $G$9) + CHOOSE(CONTROL!$C$38, 0.0347, 0)</f>
        <v>55.464600000000004</v>
      </c>
      <c r="I825" s="14">
        <f>55.4314 * CHOOSE(CONTROL!$C$15, $E$9, 100%, $G$9) + CHOOSE(CONTROL!$C$38, 0.0347, 0)</f>
        <v>55.466099999999997</v>
      </c>
      <c r="J825" s="44">
        <f>521.657</f>
        <v>521.65700000000004</v>
      </c>
    </row>
    <row r="826" spans="1:10" ht="15.75" x14ac:dyDescent="0.25">
      <c r="A826" s="32">
        <v>66080</v>
      </c>
      <c r="B826" s="14">
        <f>58.2112 * CHOOSE(CONTROL!$C$15, $E$9, 100%, $G$9) + CHOOSE(CONTROL!$C$38, 0.0256, 0)</f>
        <v>58.236799999999995</v>
      </c>
      <c r="C826" s="14">
        <f>55.0397 * CHOOSE(CONTROL!$C$15, $E$9, 100%, $G$9) + CHOOSE(CONTROL!$C$38, 0.0347, 0)</f>
        <v>55.074400000000004</v>
      </c>
      <c r="D826" s="14">
        <f>55.0319 * CHOOSE(CONTROL!$C$15, $E$9, 100%, $G$9) + CHOOSE(CONTROL!$C$38, 0.0347, 0)</f>
        <v>55.066600000000001</v>
      </c>
      <c r="E826" s="46">
        <f>58.055 * CHOOSE(CONTROL!$C$15, $E$9, 100%, $G$9) + CHOOSE(CONTROL!$C$38, 0.0347, 0)</f>
        <v>58.089700000000001</v>
      </c>
      <c r="F826" s="45">
        <f>58.055 * CHOOSE(CONTROL!$C$15, $E$9, 100%, $G$9) + CHOOSE(CONTROL!$C$38, 0.0256, 0)</f>
        <v>58.080599999999997</v>
      </c>
      <c r="G826" s="14">
        <f>55.0382 * CHOOSE(CONTROL!$C$15, $E$9, 100%, $G$9) + CHOOSE(CONTROL!$C$38, 0.0347, 0)</f>
        <v>55.072900000000004</v>
      </c>
      <c r="H826" s="14">
        <f>55.0382 * CHOOSE(CONTROL!$C$15, $E$9, 100%, $G$9) + CHOOSE(CONTROL!$C$38, 0.0347, 0)</f>
        <v>55.072900000000004</v>
      </c>
      <c r="I826" s="14">
        <f>55.0397 * CHOOSE(CONTROL!$C$15, $E$9, 100%, $G$9) + CHOOSE(CONTROL!$C$38, 0.0347, 0)</f>
        <v>55.074400000000004</v>
      </c>
      <c r="J826" s="44">
        <f>517.94</f>
        <v>517.94000000000005</v>
      </c>
    </row>
    <row r="827" spans="1:10" ht="15.75" x14ac:dyDescent="0.25">
      <c r="A827" s="32">
        <v>66111</v>
      </c>
      <c r="B827" s="14">
        <f>56.5021 * CHOOSE(CONTROL!$C$15, $E$9, 100%, $G$9) + CHOOSE(CONTROL!$C$38, 0.0256, 0)</f>
        <v>56.527699999999996</v>
      </c>
      <c r="C827" s="14">
        <f>53.4201 * CHOOSE(CONTROL!$C$15, $E$9, 100%, $G$9) + CHOOSE(CONTROL!$C$38, 0.0347, 0)</f>
        <v>53.454799999999999</v>
      </c>
      <c r="D827" s="14">
        <f>53.4123 * CHOOSE(CONTROL!$C$15, $E$9, 100%, $G$9) + CHOOSE(CONTROL!$C$38, 0.0347, 0)</f>
        <v>53.447000000000003</v>
      </c>
      <c r="E827" s="46">
        <f>56.3459 * CHOOSE(CONTROL!$C$15, $E$9, 100%, $G$9) + CHOOSE(CONTROL!$C$38, 0.0347, 0)</f>
        <v>56.380600000000001</v>
      </c>
      <c r="F827" s="45">
        <f>56.3459 * CHOOSE(CONTROL!$C$15, $E$9, 100%, $G$9) + CHOOSE(CONTROL!$C$38, 0.0256, 0)</f>
        <v>56.371499999999997</v>
      </c>
      <c r="G827" s="14">
        <f>53.4185 * CHOOSE(CONTROL!$C$15, $E$9, 100%, $G$9) + CHOOSE(CONTROL!$C$38, 0.0347, 0)</f>
        <v>53.453200000000002</v>
      </c>
      <c r="H827" s="14">
        <f>53.4185 * CHOOSE(CONTROL!$C$15, $E$9, 100%, $G$9) + CHOOSE(CONTROL!$C$38, 0.0347, 0)</f>
        <v>53.453200000000002</v>
      </c>
      <c r="I827" s="14">
        <f>53.4201 * CHOOSE(CONTROL!$C$15, $E$9, 100%, $G$9) + CHOOSE(CONTROL!$C$38, 0.0347, 0)</f>
        <v>53.454799999999999</v>
      </c>
      <c r="J827" s="44">
        <f>502.5701</f>
        <v>502.57010000000002</v>
      </c>
    </row>
    <row r="828" spans="1:10" ht="15.75" x14ac:dyDescent="0.25">
      <c r="A828" s="32">
        <v>66142</v>
      </c>
      <c r="B828" s="14">
        <f>56.0777 * CHOOSE(CONTROL!$C$15, $E$9, 100%, $G$9) + CHOOSE(CONTROL!$C$38, 0.0256, 0)</f>
        <v>56.103299999999997</v>
      </c>
      <c r="C828" s="14">
        <f>53.0179 * CHOOSE(CONTROL!$C$15, $E$9, 100%, $G$9) + CHOOSE(CONTROL!$C$38, 0.0347, 0)</f>
        <v>53.052599999999998</v>
      </c>
      <c r="D828" s="14">
        <f>53.0101 * CHOOSE(CONTROL!$C$15, $E$9, 100%, $G$9) + CHOOSE(CONTROL!$C$38, 0.0347, 0)</f>
        <v>53.044800000000002</v>
      </c>
      <c r="E828" s="46">
        <f>55.9214 * CHOOSE(CONTROL!$C$15, $E$9, 100%, $G$9) + CHOOSE(CONTROL!$C$38, 0.0347, 0)</f>
        <v>55.956099999999999</v>
      </c>
      <c r="F828" s="45">
        <f>55.9214 * CHOOSE(CONTROL!$C$15, $E$9, 100%, $G$9) + CHOOSE(CONTROL!$C$38, 0.0256, 0)</f>
        <v>55.946999999999996</v>
      </c>
      <c r="G828" s="14">
        <f>53.0163 * CHOOSE(CONTROL!$C$15, $E$9, 100%, $G$9) + CHOOSE(CONTROL!$C$38, 0.0347, 0)</f>
        <v>53.051000000000002</v>
      </c>
      <c r="H828" s="14">
        <f>53.0163 * CHOOSE(CONTROL!$C$15, $E$9, 100%, $G$9) + CHOOSE(CONTROL!$C$38, 0.0347, 0)</f>
        <v>53.051000000000002</v>
      </c>
      <c r="I828" s="14">
        <f>53.0179 * CHOOSE(CONTROL!$C$15, $E$9, 100%, $G$9) + CHOOSE(CONTROL!$C$38, 0.0347, 0)</f>
        <v>53.052599999999998</v>
      </c>
      <c r="J828" s="44">
        <f>501.9221</f>
        <v>501.9221</v>
      </c>
    </row>
    <row r="829" spans="1:10" ht="15.75" x14ac:dyDescent="0.25">
      <c r="A829" s="32">
        <v>66170</v>
      </c>
      <c r="B829" s="14">
        <f>55.9235 * CHOOSE(CONTROL!$C$15, $E$9, 100%, $G$9) + CHOOSE(CONTROL!$C$38, 0.0256, 0)</f>
        <v>55.949099999999994</v>
      </c>
      <c r="C829" s="14">
        <f>52.8718 * CHOOSE(CONTROL!$C$15, $E$9, 100%, $G$9) + CHOOSE(CONTROL!$C$38, 0.0347, 0)</f>
        <v>52.906500000000001</v>
      </c>
      <c r="D829" s="14">
        <f>52.864 * CHOOSE(CONTROL!$C$15, $E$9, 100%, $G$9) + CHOOSE(CONTROL!$C$38, 0.0347, 0)</f>
        <v>52.898699999999998</v>
      </c>
      <c r="E829" s="46">
        <f>55.7673 * CHOOSE(CONTROL!$C$15, $E$9, 100%, $G$9) + CHOOSE(CONTROL!$C$38, 0.0347, 0)</f>
        <v>55.802</v>
      </c>
      <c r="F829" s="45">
        <f>55.7673 * CHOOSE(CONTROL!$C$15, $E$9, 100%, $G$9) + CHOOSE(CONTROL!$C$38, 0.0256, 0)</f>
        <v>55.792899999999996</v>
      </c>
      <c r="G829" s="14">
        <f>52.8702 * CHOOSE(CONTROL!$C$15, $E$9, 100%, $G$9) + CHOOSE(CONTROL!$C$38, 0.0347, 0)</f>
        <v>52.904899999999998</v>
      </c>
      <c r="H829" s="14">
        <f>52.8702 * CHOOSE(CONTROL!$C$15, $E$9, 100%, $G$9) + CHOOSE(CONTROL!$C$38, 0.0347, 0)</f>
        <v>52.904899999999998</v>
      </c>
      <c r="I829" s="14">
        <f>52.8718 * CHOOSE(CONTROL!$C$15, $E$9, 100%, $G$9) + CHOOSE(CONTROL!$C$38, 0.0347, 0)</f>
        <v>52.906500000000001</v>
      </c>
      <c r="J829" s="44">
        <f>500.5269</f>
        <v>500.52690000000001</v>
      </c>
    </row>
    <row r="830" spans="1:10" ht="15.75" x14ac:dyDescent="0.25">
      <c r="A830" s="32">
        <v>66201</v>
      </c>
      <c r="B830" s="14">
        <f>58.8385 * CHOOSE(CONTROL!$C$15, $E$9, 100%, $G$9) + CHOOSE(CONTROL!$C$38, 0.0256, 0)</f>
        <v>58.864100000000001</v>
      </c>
      <c r="C830" s="14">
        <f>55.6342 * CHOOSE(CONTROL!$C$15, $E$9, 100%, $G$9) + CHOOSE(CONTROL!$C$38, 0.0347, 0)</f>
        <v>55.668900000000001</v>
      </c>
      <c r="D830" s="14">
        <f>55.6264 * CHOOSE(CONTROL!$C$15, $E$9, 100%, $G$9) + CHOOSE(CONTROL!$C$38, 0.0347, 0)</f>
        <v>55.661099999999998</v>
      </c>
      <c r="E830" s="46">
        <f>58.6823 * CHOOSE(CONTROL!$C$15, $E$9, 100%, $G$9) + CHOOSE(CONTROL!$C$38, 0.0347, 0)</f>
        <v>58.716999999999999</v>
      </c>
      <c r="F830" s="45">
        <f>58.6823 * CHOOSE(CONTROL!$C$15, $E$9, 100%, $G$9) + CHOOSE(CONTROL!$C$38, 0.0256, 0)</f>
        <v>58.707899999999995</v>
      </c>
      <c r="G830" s="14">
        <f>55.6326 * CHOOSE(CONTROL!$C$15, $E$9, 100%, $G$9) + CHOOSE(CONTROL!$C$38, 0.0347, 0)</f>
        <v>55.667299999999997</v>
      </c>
      <c r="H830" s="14">
        <f>55.6326 * CHOOSE(CONTROL!$C$15, $E$9, 100%, $G$9) + CHOOSE(CONTROL!$C$38, 0.0347, 0)</f>
        <v>55.667299999999997</v>
      </c>
      <c r="I830" s="14">
        <f>55.6342 * CHOOSE(CONTROL!$C$15, $E$9, 100%, $G$9) + CHOOSE(CONTROL!$C$38, 0.0347, 0)</f>
        <v>55.668900000000001</v>
      </c>
      <c r="J830" s="44">
        <f>526.9075</f>
        <v>526.90750000000003</v>
      </c>
    </row>
    <row r="831" spans="1:10" ht="15.75" x14ac:dyDescent="0.25">
      <c r="A831" s="32">
        <v>66231</v>
      </c>
      <c r="B831" s="14">
        <f>62.6185 * CHOOSE(CONTROL!$C$15, $E$9, 100%, $G$9) + CHOOSE(CONTROL!$C$38, 0.0256, 0)</f>
        <v>62.644099999999995</v>
      </c>
      <c r="C831" s="14">
        <f>59.2163 * CHOOSE(CONTROL!$C$15, $E$9, 100%, $G$9) + CHOOSE(CONTROL!$C$38, 0.0347, 0)</f>
        <v>59.250999999999998</v>
      </c>
      <c r="D831" s="14">
        <f>59.2085 * CHOOSE(CONTROL!$C$15, $E$9, 100%, $G$9) + CHOOSE(CONTROL!$C$38, 0.0347, 0)</f>
        <v>59.243200000000002</v>
      </c>
      <c r="E831" s="46">
        <f>62.4623 * CHOOSE(CONTROL!$C$15, $E$9, 100%, $G$9) + CHOOSE(CONTROL!$C$38, 0.0347, 0)</f>
        <v>62.497</v>
      </c>
      <c r="F831" s="45">
        <f>62.4623 * CHOOSE(CONTROL!$C$15, $E$9, 100%, $G$9) + CHOOSE(CONTROL!$C$38, 0.0256, 0)</f>
        <v>62.487899999999996</v>
      </c>
      <c r="G831" s="14">
        <f>59.2147 * CHOOSE(CONTROL!$C$15, $E$9, 100%, $G$9) + CHOOSE(CONTROL!$C$38, 0.0347, 0)</f>
        <v>59.249400000000001</v>
      </c>
      <c r="H831" s="14">
        <f>59.2147 * CHOOSE(CONTROL!$C$15, $E$9, 100%, $G$9) + CHOOSE(CONTROL!$C$38, 0.0347, 0)</f>
        <v>59.249400000000001</v>
      </c>
      <c r="I831" s="14">
        <f>59.2163 * CHOOSE(CONTROL!$C$15, $E$9, 100%, $G$9) + CHOOSE(CONTROL!$C$38, 0.0347, 0)</f>
        <v>59.250999999999998</v>
      </c>
      <c r="J831" s="44">
        <f>561.117</f>
        <v>561.11699999999996</v>
      </c>
    </row>
    <row r="832" spans="1:10" ht="15.75" x14ac:dyDescent="0.25">
      <c r="A832" s="32">
        <v>66262</v>
      </c>
      <c r="B832" s="14">
        <f>64.6992 * CHOOSE(CONTROL!$C$15, $E$9, 100%, $G$9) + CHOOSE(CONTROL!$C$38, 0.0278, 0)</f>
        <v>64.727000000000004</v>
      </c>
      <c r="C832" s="14">
        <f>61.188 * CHOOSE(CONTROL!$C$15, $E$9, 100%, $G$9) + CHOOSE(CONTROL!$C$38, 0.0369, 0)</f>
        <v>61.224900000000005</v>
      </c>
      <c r="D832" s="14">
        <f>61.1802 * CHOOSE(CONTROL!$C$15, $E$9, 100%, $G$9) + CHOOSE(CONTROL!$C$38, 0.0369, 0)</f>
        <v>61.217100000000002</v>
      </c>
      <c r="E832" s="46">
        <f>64.5429 * CHOOSE(CONTROL!$C$15, $E$9, 100%, $G$9) + CHOOSE(CONTROL!$C$38, 0.0369, 0)</f>
        <v>64.579800000000006</v>
      </c>
      <c r="F832" s="45">
        <f>64.5429 * CHOOSE(CONTROL!$C$15, $E$9, 100%, $G$9) + CHOOSE(CONTROL!$C$38, 0.0278, 0)</f>
        <v>64.570700000000002</v>
      </c>
      <c r="G832" s="14">
        <f>61.1864 * CHOOSE(CONTROL!$C$15, $E$9, 100%, $G$9) + CHOOSE(CONTROL!$C$38, 0.0369, 0)</f>
        <v>61.223300000000002</v>
      </c>
      <c r="H832" s="14">
        <f>61.1864 * CHOOSE(CONTROL!$C$15, $E$9, 100%, $G$9) + CHOOSE(CONTROL!$C$38, 0.0369, 0)</f>
        <v>61.223300000000002</v>
      </c>
      <c r="I832" s="14">
        <f>61.188 * CHOOSE(CONTROL!$C$15, $E$9, 100%, $G$9) + CHOOSE(CONTROL!$C$38, 0.0369, 0)</f>
        <v>61.224900000000005</v>
      </c>
      <c r="J832" s="44">
        <f>579.9469</f>
        <v>579.94690000000003</v>
      </c>
    </row>
    <row r="833" spans="1:10" ht="15.75" x14ac:dyDescent="0.25">
      <c r="A833" s="32">
        <v>66292</v>
      </c>
      <c r="B833" s="14">
        <f>65.6225 * CHOOSE(CONTROL!$C$15, $E$9, 100%, $G$9) + CHOOSE(CONTROL!$C$38, 0.0278, 0)</f>
        <v>65.650300000000001</v>
      </c>
      <c r="C833" s="14">
        <f>62.063 * CHOOSE(CONTROL!$C$15, $E$9, 100%, $G$9) + CHOOSE(CONTROL!$C$38, 0.0369, 0)</f>
        <v>62.099900000000005</v>
      </c>
      <c r="D833" s="14">
        <f>62.0552 * CHOOSE(CONTROL!$C$15, $E$9, 100%, $G$9) + CHOOSE(CONTROL!$C$38, 0.0369, 0)</f>
        <v>62.092100000000002</v>
      </c>
      <c r="E833" s="46">
        <f>65.4663 * CHOOSE(CONTROL!$C$15, $E$9, 100%, $G$9) + CHOOSE(CONTROL!$C$38, 0.0369, 0)</f>
        <v>65.503200000000007</v>
      </c>
      <c r="F833" s="45">
        <f>65.4663 * CHOOSE(CONTROL!$C$15, $E$9, 100%, $G$9) + CHOOSE(CONTROL!$C$38, 0.0278, 0)</f>
        <v>65.494100000000003</v>
      </c>
      <c r="G833" s="14">
        <f>62.0614 * CHOOSE(CONTROL!$C$15, $E$9, 100%, $G$9) + CHOOSE(CONTROL!$C$38, 0.0369, 0)</f>
        <v>62.098300000000002</v>
      </c>
      <c r="H833" s="14">
        <f>62.0614 * CHOOSE(CONTROL!$C$15, $E$9, 100%, $G$9) + CHOOSE(CONTROL!$C$38, 0.0369, 0)</f>
        <v>62.098300000000002</v>
      </c>
      <c r="I833" s="14">
        <f>62.063 * CHOOSE(CONTROL!$C$15, $E$9, 100%, $G$9) + CHOOSE(CONTROL!$C$38, 0.0369, 0)</f>
        <v>62.099900000000005</v>
      </c>
      <c r="J833" s="44">
        <f>588.3033</f>
        <v>588.30330000000004</v>
      </c>
    </row>
    <row r="834" spans="1:10" ht="15.75" x14ac:dyDescent="0.25">
      <c r="A834" s="32">
        <v>66323</v>
      </c>
      <c r="B834" s="14">
        <f>65.3185 * CHOOSE(CONTROL!$C$15, $E$9, 100%, $G$9) + CHOOSE(CONTROL!$C$38, 0.0278, 0)</f>
        <v>65.346299999999999</v>
      </c>
      <c r="C834" s="14">
        <f>61.7749 * CHOOSE(CONTROL!$C$15, $E$9, 100%, $G$9) + CHOOSE(CONTROL!$C$38, 0.0369, 0)</f>
        <v>61.811800000000005</v>
      </c>
      <c r="D834" s="14">
        <f>61.7671 * CHOOSE(CONTROL!$C$15, $E$9, 100%, $G$9) + CHOOSE(CONTROL!$C$38, 0.0369, 0)</f>
        <v>61.804000000000002</v>
      </c>
      <c r="E834" s="46">
        <f>65.1622 * CHOOSE(CONTROL!$C$15, $E$9, 100%, $G$9) + CHOOSE(CONTROL!$C$38, 0.0369, 0)</f>
        <v>65.199100000000001</v>
      </c>
      <c r="F834" s="45">
        <f>65.1622 * CHOOSE(CONTROL!$C$15, $E$9, 100%, $G$9) + CHOOSE(CONTROL!$C$38, 0.0278, 0)</f>
        <v>65.19</v>
      </c>
      <c r="G834" s="14">
        <f>61.7733 * CHOOSE(CONTROL!$C$15, $E$9, 100%, $G$9) + CHOOSE(CONTROL!$C$38, 0.0369, 0)</f>
        <v>61.810200000000002</v>
      </c>
      <c r="H834" s="14">
        <f>61.7733 * CHOOSE(CONTROL!$C$15, $E$9, 100%, $G$9) + CHOOSE(CONTROL!$C$38, 0.0369, 0)</f>
        <v>61.810200000000002</v>
      </c>
      <c r="I834" s="14">
        <f>61.7749 * CHOOSE(CONTROL!$C$15, $E$9, 100%, $G$9) + CHOOSE(CONTROL!$C$38, 0.0369, 0)</f>
        <v>61.811800000000005</v>
      </c>
      <c r="J834" s="44">
        <f>585.552</f>
        <v>585.55200000000002</v>
      </c>
    </row>
    <row r="835" spans="1:10" ht="15.75" x14ac:dyDescent="0.25">
      <c r="A835" s="32">
        <v>66354</v>
      </c>
      <c r="B835" s="14">
        <f>63.8123 * CHOOSE(CONTROL!$C$15, $E$9, 100%, $G$9) + CHOOSE(CONTROL!$C$38, 0.0278, 0)</f>
        <v>63.8401</v>
      </c>
      <c r="C835" s="14">
        <f>60.3475 * CHOOSE(CONTROL!$C$15, $E$9, 100%, $G$9) + CHOOSE(CONTROL!$C$38, 0.0369, 0)</f>
        <v>60.384399999999999</v>
      </c>
      <c r="D835" s="14">
        <f>60.3397 * CHOOSE(CONTROL!$C$15, $E$9, 100%, $G$9) + CHOOSE(CONTROL!$C$38, 0.0369, 0)</f>
        <v>60.376600000000003</v>
      </c>
      <c r="E835" s="46">
        <f>63.656 * CHOOSE(CONTROL!$C$15, $E$9, 100%, $G$9) + CHOOSE(CONTROL!$C$38, 0.0369, 0)</f>
        <v>63.692900000000002</v>
      </c>
      <c r="F835" s="45">
        <f>63.656 * CHOOSE(CONTROL!$C$15, $E$9, 100%, $G$9) + CHOOSE(CONTROL!$C$38, 0.0278, 0)</f>
        <v>63.683799999999998</v>
      </c>
      <c r="G835" s="14">
        <f>60.346 * CHOOSE(CONTROL!$C$15, $E$9, 100%, $G$9) + CHOOSE(CONTROL!$C$38, 0.0369, 0)</f>
        <v>60.382899999999999</v>
      </c>
      <c r="H835" s="14">
        <f>60.346 * CHOOSE(CONTROL!$C$15, $E$9, 100%, $G$9) + CHOOSE(CONTROL!$C$38, 0.0369, 0)</f>
        <v>60.382899999999999</v>
      </c>
      <c r="I835" s="14">
        <f>60.3475 * CHOOSE(CONTROL!$C$15, $E$9, 100%, $G$9) + CHOOSE(CONTROL!$C$38, 0.0369, 0)</f>
        <v>60.384399999999999</v>
      </c>
      <c r="J835" s="44">
        <f>571.9206</f>
        <v>571.92060000000004</v>
      </c>
    </row>
    <row r="836" spans="1:10" ht="15.75" x14ac:dyDescent="0.25">
      <c r="A836" s="32">
        <v>66384</v>
      </c>
      <c r="B836" s="14">
        <f>61.7118 * CHOOSE(CONTROL!$C$15, $E$9, 100%, $G$9) + CHOOSE(CONTROL!$C$38, 0.0278, 0)</f>
        <v>61.739599999999996</v>
      </c>
      <c r="C836" s="14">
        <f>58.357 * CHOOSE(CONTROL!$C$15, $E$9, 100%, $G$9) + CHOOSE(CONTROL!$C$38, 0.0369, 0)</f>
        <v>58.393900000000002</v>
      </c>
      <c r="D836" s="14">
        <f>58.3492 * CHOOSE(CONTROL!$C$15, $E$9, 100%, $G$9) + CHOOSE(CONTROL!$C$38, 0.0369, 0)</f>
        <v>58.386100000000006</v>
      </c>
      <c r="E836" s="46">
        <f>61.5555 * CHOOSE(CONTROL!$C$15, $E$9, 100%, $G$9) + CHOOSE(CONTROL!$C$38, 0.0369, 0)</f>
        <v>61.592400000000005</v>
      </c>
      <c r="F836" s="45">
        <f>61.5555 * CHOOSE(CONTROL!$C$15, $E$9, 100%, $G$9) + CHOOSE(CONTROL!$C$38, 0.0278, 0)</f>
        <v>61.583300000000001</v>
      </c>
      <c r="G836" s="14">
        <f>58.3555 * CHOOSE(CONTROL!$C$15, $E$9, 100%, $G$9) + CHOOSE(CONTROL!$C$38, 0.0369, 0)</f>
        <v>58.392400000000002</v>
      </c>
      <c r="H836" s="14">
        <f>58.3555 * CHOOSE(CONTROL!$C$15, $E$9, 100%, $G$9) + CHOOSE(CONTROL!$C$38, 0.0369, 0)</f>
        <v>58.392400000000002</v>
      </c>
      <c r="I836" s="14">
        <f>58.357 * CHOOSE(CONTROL!$C$15, $E$9, 100%, $G$9) + CHOOSE(CONTROL!$C$38, 0.0369, 0)</f>
        <v>58.393900000000002</v>
      </c>
      <c r="J836" s="44">
        <f>552.911</f>
        <v>552.91099999999994</v>
      </c>
    </row>
    <row r="837" spans="1:10" ht="15.75" x14ac:dyDescent="0.25">
      <c r="A837" s="32">
        <v>66415</v>
      </c>
      <c r="B837" s="14">
        <f>59.5991 * CHOOSE(CONTROL!$C$15, $E$9, 100%, $G$9) + CHOOSE(CONTROL!$C$38, 0.0256, 0)</f>
        <v>59.624699999999997</v>
      </c>
      <c r="C837" s="14">
        <f>56.3549 * CHOOSE(CONTROL!$C$15, $E$9, 100%, $G$9) + CHOOSE(CONTROL!$C$38, 0.0347, 0)</f>
        <v>56.389600000000002</v>
      </c>
      <c r="D837" s="14">
        <f>56.3471 * CHOOSE(CONTROL!$C$15, $E$9, 100%, $G$9) + CHOOSE(CONTROL!$C$38, 0.0347, 0)</f>
        <v>56.381799999999998</v>
      </c>
      <c r="E837" s="46">
        <f>59.4428 * CHOOSE(CONTROL!$C$15, $E$9, 100%, $G$9) + CHOOSE(CONTROL!$C$38, 0.0347, 0)</f>
        <v>59.477499999999999</v>
      </c>
      <c r="F837" s="45">
        <f>59.4428 * CHOOSE(CONTROL!$C$15, $E$9, 100%, $G$9) + CHOOSE(CONTROL!$C$38, 0.0256, 0)</f>
        <v>59.468399999999995</v>
      </c>
      <c r="G837" s="14">
        <f>56.3533 * CHOOSE(CONTROL!$C$15, $E$9, 100%, $G$9) + CHOOSE(CONTROL!$C$38, 0.0347, 0)</f>
        <v>56.387999999999998</v>
      </c>
      <c r="H837" s="14">
        <f>56.3533 * CHOOSE(CONTROL!$C$15, $E$9, 100%, $G$9) + CHOOSE(CONTROL!$C$38, 0.0347, 0)</f>
        <v>56.387999999999998</v>
      </c>
      <c r="I837" s="14">
        <f>56.3549 * CHOOSE(CONTROL!$C$15, $E$9, 100%, $G$9) + CHOOSE(CONTROL!$C$38, 0.0347, 0)</f>
        <v>56.389600000000002</v>
      </c>
      <c r="J837" s="44">
        <f>533.7907</f>
        <v>533.79070000000002</v>
      </c>
    </row>
    <row r="838" spans="1:10" ht="15.75" x14ac:dyDescent="0.25">
      <c r="A838" s="32">
        <v>66445</v>
      </c>
      <c r="B838" s="14">
        <f>59.1788 * CHOOSE(CONTROL!$C$15, $E$9, 100%, $G$9) + CHOOSE(CONTROL!$C$38, 0.0256, 0)</f>
        <v>59.2044</v>
      </c>
      <c r="C838" s="14">
        <f>55.9567 * CHOOSE(CONTROL!$C$15, $E$9, 100%, $G$9) + CHOOSE(CONTROL!$C$38, 0.0347, 0)</f>
        <v>55.991399999999999</v>
      </c>
      <c r="D838" s="14">
        <f>55.9488 * CHOOSE(CONTROL!$C$15, $E$9, 100%, $G$9) + CHOOSE(CONTROL!$C$38, 0.0347, 0)</f>
        <v>55.983499999999999</v>
      </c>
      <c r="E838" s="46">
        <f>59.0226 * CHOOSE(CONTROL!$C$15, $E$9, 100%, $G$9) + CHOOSE(CONTROL!$C$38, 0.0347, 0)</f>
        <v>59.057299999999998</v>
      </c>
      <c r="F838" s="45">
        <f>59.0226 * CHOOSE(CONTROL!$C$15, $E$9, 100%, $G$9) + CHOOSE(CONTROL!$C$38, 0.0256, 0)</f>
        <v>59.048199999999994</v>
      </c>
      <c r="G838" s="14">
        <f>55.9551 * CHOOSE(CONTROL!$C$15, $E$9, 100%, $G$9) + CHOOSE(CONTROL!$C$38, 0.0347, 0)</f>
        <v>55.989800000000002</v>
      </c>
      <c r="H838" s="14">
        <f>55.9551 * CHOOSE(CONTROL!$C$15, $E$9, 100%, $G$9) + CHOOSE(CONTROL!$C$38, 0.0347, 0)</f>
        <v>55.989800000000002</v>
      </c>
      <c r="I838" s="14">
        <f>55.9567 * CHOOSE(CONTROL!$C$15, $E$9, 100%, $G$9) + CHOOSE(CONTROL!$C$38, 0.0347, 0)</f>
        <v>55.991399999999999</v>
      </c>
      <c r="J838" s="44">
        <f>529.9873</f>
        <v>529.9873</v>
      </c>
    </row>
    <row r="839" spans="1:10" ht="15.75" x14ac:dyDescent="0.25">
      <c r="A839" s="32">
        <v>66476</v>
      </c>
      <c r="B839" s="14">
        <f>57.441 * CHOOSE(CONTROL!$C$15, $E$9, 100%, $G$9) + CHOOSE(CONTROL!$C$38, 0.0256, 0)</f>
        <v>57.4666</v>
      </c>
      <c r="C839" s="14">
        <f>54.3098 * CHOOSE(CONTROL!$C$15, $E$9, 100%, $G$9) + CHOOSE(CONTROL!$C$38, 0.0347, 0)</f>
        <v>54.344500000000004</v>
      </c>
      <c r="D839" s="14">
        <f>54.302 * CHOOSE(CONTROL!$C$15, $E$9, 100%, $G$9) + CHOOSE(CONTROL!$C$38, 0.0347, 0)</f>
        <v>54.3367</v>
      </c>
      <c r="E839" s="46">
        <f>57.2847 * CHOOSE(CONTROL!$C$15, $E$9, 100%, $G$9) + CHOOSE(CONTROL!$C$38, 0.0347, 0)</f>
        <v>57.319400000000002</v>
      </c>
      <c r="F839" s="45">
        <f>57.2847 * CHOOSE(CONTROL!$C$15, $E$9, 100%, $G$9) + CHOOSE(CONTROL!$C$38, 0.0256, 0)</f>
        <v>57.310299999999998</v>
      </c>
      <c r="G839" s="14">
        <f>54.3082 * CHOOSE(CONTROL!$C$15, $E$9, 100%, $G$9) + CHOOSE(CONTROL!$C$38, 0.0347, 0)</f>
        <v>54.3429</v>
      </c>
      <c r="H839" s="14">
        <f>54.3082 * CHOOSE(CONTROL!$C$15, $E$9, 100%, $G$9) + CHOOSE(CONTROL!$C$38, 0.0347, 0)</f>
        <v>54.3429</v>
      </c>
      <c r="I839" s="14">
        <f>54.3098 * CHOOSE(CONTROL!$C$15, $E$9, 100%, $G$9) + CHOOSE(CONTROL!$C$38, 0.0347, 0)</f>
        <v>54.344500000000004</v>
      </c>
      <c r="J839" s="44">
        <f>514.2599</f>
        <v>514.25990000000002</v>
      </c>
    </row>
    <row r="840" spans="1:10" ht="15.75" x14ac:dyDescent="0.25">
      <c r="A840" s="32">
        <v>66507</v>
      </c>
      <c r="B840" s="14">
        <f>57.0094 * CHOOSE(CONTROL!$C$15, $E$9, 100%, $G$9) + CHOOSE(CONTROL!$C$38, 0.0256, 0)</f>
        <v>57.034999999999997</v>
      </c>
      <c r="C840" s="14">
        <f>53.9008 * CHOOSE(CONTROL!$C$15, $E$9, 100%, $G$9) + CHOOSE(CONTROL!$C$38, 0.0347, 0)</f>
        <v>53.935499999999998</v>
      </c>
      <c r="D840" s="14">
        <f>53.893 * CHOOSE(CONTROL!$C$15, $E$9, 100%, $G$9) + CHOOSE(CONTROL!$C$38, 0.0347, 0)</f>
        <v>53.927700000000002</v>
      </c>
      <c r="E840" s="46">
        <f>56.8532 * CHOOSE(CONTROL!$C$15, $E$9, 100%, $G$9) + CHOOSE(CONTROL!$C$38, 0.0347, 0)</f>
        <v>56.887900000000002</v>
      </c>
      <c r="F840" s="45">
        <f>56.8532 * CHOOSE(CONTROL!$C$15, $E$9, 100%, $G$9) + CHOOSE(CONTROL!$C$38, 0.0256, 0)</f>
        <v>56.878799999999998</v>
      </c>
      <c r="G840" s="14">
        <f>53.8993 * CHOOSE(CONTROL!$C$15, $E$9, 100%, $G$9) + CHOOSE(CONTROL!$C$38, 0.0347, 0)</f>
        <v>53.933999999999997</v>
      </c>
      <c r="H840" s="14">
        <f>53.8993 * CHOOSE(CONTROL!$C$15, $E$9, 100%, $G$9) + CHOOSE(CONTROL!$C$38, 0.0347, 0)</f>
        <v>53.933999999999997</v>
      </c>
      <c r="I840" s="14">
        <f>53.9008 * CHOOSE(CONTROL!$C$15, $E$9, 100%, $G$9) + CHOOSE(CONTROL!$C$38, 0.0347, 0)</f>
        <v>53.935499999999998</v>
      </c>
      <c r="J840" s="44">
        <f>513.5968</f>
        <v>513.59680000000003</v>
      </c>
    </row>
    <row r="841" spans="1:10" ht="15.75" x14ac:dyDescent="0.25">
      <c r="A841" s="32">
        <v>66535</v>
      </c>
      <c r="B841" s="14">
        <f>56.8527 * CHOOSE(CONTROL!$C$15, $E$9, 100%, $G$9) + CHOOSE(CONTROL!$C$38, 0.0256, 0)</f>
        <v>56.878299999999996</v>
      </c>
      <c r="C841" s="14">
        <f>53.7523 * CHOOSE(CONTROL!$C$15, $E$9, 100%, $G$9) + CHOOSE(CONTROL!$C$38, 0.0347, 0)</f>
        <v>53.786999999999999</v>
      </c>
      <c r="D841" s="14">
        <f>53.7445 * CHOOSE(CONTROL!$C$15, $E$9, 100%, $G$9) + CHOOSE(CONTROL!$C$38, 0.0347, 0)</f>
        <v>53.779200000000003</v>
      </c>
      <c r="E841" s="46">
        <f>56.6964 * CHOOSE(CONTROL!$C$15, $E$9, 100%, $G$9) + CHOOSE(CONTROL!$C$38, 0.0347, 0)</f>
        <v>56.731099999999998</v>
      </c>
      <c r="F841" s="45">
        <f>56.6964 * CHOOSE(CONTROL!$C$15, $E$9, 100%, $G$9) + CHOOSE(CONTROL!$C$38, 0.0256, 0)</f>
        <v>56.721999999999994</v>
      </c>
      <c r="G841" s="14">
        <f>53.7507 * CHOOSE(CONTROL!$C$15, $E$9, 100%, $G$9) + CHOOSE(CONTROL!$C$38, 0.0347, 0)</f>
        <v>53.785400000000003</v>
      </c>
      <c r="H841" s="14">
        <f>53.7507 * CHOOSE(CONTROL!$C$15, $E$9, 100%, $G$9) + CHOOSE(CONTROL!$C$38, 0.0347, 0)</f>
        <v>53.785400000000003</v>
      </c>
      <c r="I841" s="14">
        <f>53.7523 * CHOOSE(CONTROL!$C$15, $E$9, 100%, $G$9) + CHOOSE(CONTROL!$C$38, 0.0347, 0)</f>
        <v>53.786999999999999</v>
      </c>
      <c r="J841" s="44">
        <f>512.1691</f>
        <v>512.16909999999996</v>
      </c>
    </row>
    <row r="842" spans="1:10" ht="15.75" x14ac:dyDescent="0.25">
      <c r="A842" s="32">
        <v>66566</v>
      </c>
      <c r="B842" s="14">
        <f>59.8166 * CHOOSE(CONTROL!$C$15, $E$9, 100%, $G$9) + CHOOSE(CONTROL!$C$38, 0.0256, 0)</f>
        <v>59.842199999999998</v>
      </c>
      <c r="C842" s="14">
        <f>56.5611 * CHOOSE(CONTROL!$C$15, $E$9, 100%, $G$9) + CHOOSE(CONTROL!$C$38, 0.0347, 0)</f>
        <v>56.595800000000004</v>
      </c>
      <c r="D842" s="14">
        <f>56.5532 * CHOOSE(CONTROL!$C$15, $E$9, 100%, $G$9) + CHOOSE(CONTROL!$C$38, 0.0347, 0)</f>
        <v>56.587899999999998</v>
      </c>
      <c r="E842" s="46">
        <f>59.6604 * CHOOSE(CONTROL!$C$15, $E$9, 100%, $G$9) + CHOOSE(CONTROL!$C$38, 0.0347, 0)</f>
        <v>59.695100000000004</v>
      </c>
      <c r="F842" s="45">
        <f>59.6604 * CHOOSE(CONTROL!$C$15, $E$9, 100%, $G$9) + CHOOSE(CONTROL!$C$38, 0.0256, 0)</f>
        <v>59.686</v>
      </c>
      <c r="G842" s="14">
        <f>56.5595 * CHOOSE(CONTROL!$C$15, $E$9, 100%, $G$9) + CHOOSE(CONTROL!$C$38, 0.0347, 0)</f>
        <v>56.594200000000001</v>
      </c>
      <c r="H842" s="14">
        <f>56.5595 * CHOOSE(CONTROL!$C$15, $E$9, 100%, $G$9) + CHOOSE(CONTROL!$C$38, 0.0347, 0)</f>
        <v>56.594200000000001</v>
      </c>
      <c r="I842" s="14">
        <f>56.5611 * CHOOSE(CONTROL!$C$15, $E$9, 100%, $G$9) + CHOOSE(CONTROL!$C$38, 0.0347, 0)</f>
        <v>56.595800000000004</v>
      </c>
      <c r="J842" s="44">
        <f>539.1634</f>
        <v>539.16340000000002</v>
      </c>
    </row>
    <row r="843" spans="1:10" ht="15.75" x14ac:dyDescent="0.25">
      <c r="A843" s="32">
        <v>66596</v>
      </c>
      <c r="B843" s="14">
        <f>63.6601 * CHOOSE(CONTROL!$C$15, $E$9, 100%, $G$9) + CHOOSE(CONTROL!$C$38, 0.0256, 0)</f>
        <v>63.685699999999997</v>
      </c>
      <c r="C843" s="14">
        <f>60.2034 * CHOOSE(CONTROL!$C$15, $E$9, 100%, $G$9) + CHOOSE(CONTROL!$C$38, 0.0347, 0)</f>
        <v>60.238100000000003</v>
      </c>
      <c r="D843" s="14">
        <f>60.1955 * CHOOSE(CONTROL!$C$15, $E$9, 100%, $G$9) + CHOOSE(CONTROL!$C$38, 0.0347, 0)</f>
        <v>60.230200000000004</v>
      </c>
      <c r="E843" s="46">
        <f>63.5039 * CHOOSE(CONTROL!$C$15, $E$9, 100%, $G$9) + CHOOSE(CONTROL!$C$38, 0.0347, 0)</f>
        <v>63.538600000000002</v>
      </c>
      <c r="F843" s="45">
        <f>63.5039 * CHOOSE(CONTROL!$C$15, $E$9, 100%, $G$9) + CHOOSE(CONTROL!$C$38, 0.0256, 0)</f>
        <v>63.529499999999999</v>
      </c>
      <c r="G843" s="14">
        <f>60.2018 * CHOOSE(CONTROL!$C$15, $E$9, 100%, $G$9) + CHOOSE(CONTROL!$C$38, 0.0347, 0)</f>
        <v>60.236499999999999</v>
      </c>
      <c r="H843" s="14">
        <f>60.2018 * CHOOSE(CONTROL!$C$15, $E$9, 100%, $G$9) + CHOOSE(CONTROL!$C$38, 0.0347, 0)</f>
        <v>60.236499999999999</v>
      </c>
      <c r="I843" s="14">
        <f>60.2034 * CHOOSE(CONTROL!$C$15, $E$9, 100%, $G$9) + CHOOSE(CONTROL!$C$38, 0.0347, 0)</f>
        <v>60.238100000000003</v>
      </c>
      <c r="J843" s="44">
        <f>574.1685</f>
        <v>574.16849999999999</v>
      </c>
    </row>
    <row r="844" spans="1:10" ht="15.75" x14ac:dyDescent="0.25">
      <c r="A844" s="32">
        <v>66627</v>
      </c>
      <c r="B844" s="14">
        <f>65.7757 * CHOOSE(CONTROL!$C$15, $E$9, 100%, $G$9) + CHOOSE(CONTROL!$C$38, 0.0278, 0)</f>
        <v>65.8035</v>
      </c>
      <c r="C844" s="14">
        <f>62.2082 * CHOOSE(CONTROL!$C$15, $E$9, 100%, $G$9) + CHOOSE(CONTROL!$C$38, 0.0369, 0)</f>
        <v>62.245100000000001</v>
      </c>
      <c r="D844" s="14">
        <f>62.2004 * CHOOSE(CONTROL!$C$15, $E$9, 100%, $G$9) + CHOOSE(CONTROL!$C$38, 0.0369, 0)</f>
        <v>62.237300000000005</v>
      </c>
      <c r="E844" s="46">
        <f>65.6195 * CHOOSE(CONTROL!$C$15, $E$9, 100%, $G$9) + CHOOSE(CONTROL!$C$38, 0.0369, 0)</f>
        <v>65.656400000000005</v>
      </c>
      <c r="F844" s="45">
        <f>65.6195 * CHOOSE(CONTROL!$C$15, $E$9, 100%, $G$9) + CHOOSE(CONTROL!$C$38, 0.0278, 0)</f>
        <v>65.647300000000001</v>
      </c>
      <c r="G844" s="14">
        <f>62.2066 * CHOOSE(CONTROL!$C$15, $E$9, 100%, $G$9) + CHOOSE(CONTROL!$C$38, 0.0369, 0)</f>
        <v>62.243500000000004</v>
      </c>
      <c r="H844" s="14">
        <f>62.2066 * CHOOSE(CONTROL!$C$15, $E$9, 100%, $G$9) + CHOOSE(CONTROL!$C$38, 0.0369, 0)</f>
        <v>62.243500000000004</v>
      </c>
      <c r="I844" s="14">
        <f>62.2082 * CHOOSE(CONTROL!$C$15, $E$9, 100%, $G$9) + CHOOSE(CONTROL!$C$38, 0.0369, 0)</f>
        <v>62.245100000000001</v>
      </c>
      <c r="J844" s="44">
        <f>593.4365</f>
        <v>593.43650000000002</v>
      </c>
    </row>
    <row r="845" spans="1:10" ht="15.75" x14ac:dyDescent="0.25">
      <c r="A845" s="32">
        <v>66657</v>
      </c>
      <c r="B845" s="14">
        <f>66.7146 * CHOOSE(CONTROL!$C$15, $E$9, 100%, $G$9) + CHOOSE(CONTROL!$C$38, 0.0278, 0)</f>
        <v>66.742400000000004</v>
      </c>
      <c r="C845" s="14">
        <f>63.0979 * CHOOSE(CONTROL!$C$15, $E$9, 100%, $G$9) + CHOOSE(CONTROL!$C$38, 0.0369, 0)</f>
        <v>63.134800000000006</v>
      </c>
      <c r="D845" s="14">
        <f>63.0901 * CHOOSE(CONTROL!$C$15, $E$9, 100%, $G$9) + CHOOSE(CONTROL!$C$38, 0.0369, 0)</f>
        <v>63.127000000000002</v>
      </c>
      <c r="E845" s="46">
        <f>66.5583 * CHOOSE(CONTROL!$C$15, $E$9, 100%, $G$9) + CHOOSE(CONTROL!$C$38, 0.0369, 0)</f>
        <v>66.595200000000006</v>
      </c>
      <c r="F845" s="45">
        <f>66.5583 * CHOOSE(CONTROL!$C$15, $E$9, 100%, $G$9) + CHOOSE(CONTROL!$C$38, 0.0278, 0)</f>
        <v>66.586100000000002</v>
      </c>
      <c r="G845" s="14">
        <f>63.0963 * CHOOSE(CONTROL!$C$15, $E$9, 100%, $G$9) + CHOOSE(CONTROL!$C$38, 0.0369, 0)</f>
        <v>63.133200000000002</v>
      </c>
      <c r="H845" s="14">
        <f>63.0963 * CHOOSE(CONTROL!$C$15, $E$9, 100%, $G$9) + CHOOSE(CONTROL!$C$38, 0.0369, 0)</f>
        <v>63.133200000000002</v>
      </c>
      <c r="I845" s="14">
        <f>63.0979 * CHOOSE(CONTROL!$C$15, $E$9, 100%, $G$9) + CHOOSE(CONTROL!$C$38, 0.0369, 0)</f>
        <v>63.134800000000006</v>
      </c>
      <c r="J845" s="44">
        <f>601.9873</f>
        <v>601.9873</v>
      </c>
    </row>
    <row r="846" spans="1:10" ht="15.75" x14ac:dyDescent="0.25">
      <c r="A846" s="32">
        <v>66688</v>
      </c>
      <c r="B846" s="14">
        <f>66.4055 * CHOOSE(CONTROL!$C$15, $E$9, 100%, $G$9) + CHOOSE(CONTROL!$C$38, 0.0278, 0)</f>
        <v>66.433300000000003</v>
      </c>
      <c r="C846" s="14">
        <f>62.805 * CHOOSE(CONTROL!$C$15, $E$9, 100%, $G$9) + CHOOSE(CONTROL!$C$38, 0.0369, 0)</f>
        <v>62.841900000000003</v>
      </c>
      <c r="D846" s="14">
        <f>62.7972 * CHOOSE(CONTROL!$C$15, $E$9, 100%, $G$9) + CHOOSE(CONTROL!$C$38, 0.0369, 0)</f>
        <v>62.834099999999999</v>
      </c>
      <c r="E846" s="46">
        <f>66.2492 * CHOOSE(CONTROL!$C$15, $E$9, 100%, $G$9) + CHOOSE(CONTROL!$C$38, 0.0369, 0)</f>
        <v>66.286100000000005</v>
      </c>
      <c r="F846" s="45">
        <f>66.2492 * CHOOSE(CONTROL!$C$15, $E$9, 100%, $G$9) + CHOOSE(CONTROL!$C$38, 0.0278, 0)</f>
        <v>66.277000000000001</v>
      </c>
      <c r="G846" s="14">
        <f>62.8034 * CHOOSE(CONTROL!$C$15, $E$9, 100%, $G$9) + CHOOSE(CONTROL!$C$38, 0.0369, 0)</f>
        <v>62.840300000000006</v>
      </c>
      <c r="H846" s="14">
        <f>62.8034 * CHOOSE(CONTROL!$C$15, $E$9, 100%, $G$9) + CHOOSE(CONTROL!$C$38, 0.0369, 0)</f>
        <v>62.840300000000006</v>
      </c>
      <c r="I846" s="14">
        <f>62.805 * CHOOSE(CONTROL!$C$15, $E$9, 100%, $G$9) + CHOOSE(CONTROL!$C$38, 0.0369, 0)</f>
        <v>62.841900000000003</v>
      </c>
      <c r="J846" s="44">
        <f>599.172</f>
        <v>599.17200000000003</v>
      </c>
    </row>
    <row r="847" spans="1:10" ht="15.75" x14ac:dyDescent="0.25">
      <c r="A847" s="32">
        <v>66719</v>
      </c>
      <c r="B847" s="14">
        <f>64.8739 * CHOOSE(CONTROL!$C$15, $E$9, 100%, $G$9) + CHOOSE(CONTROL!$C$38, 0.0278, 0)</f>
        <v>64.901700000000005</v>
      </c>
      <c r="C847" s="14">
        <f>61.3536 * CHOOSE(CONTROL!$C$15, $E$9, 100%, $G$9) + CHOOSE(CONTROL!$C$38, 0.0369, 0)</f>
        <v>61.390500000000003</v>
      </c>
      <c r="D847" s="14">
        <f>61.3458 * CHOOSE(CONTROL!$C$15, $E$9, 100%, $G$9) + CHOOSE(CONTROL!$C$38, 0.0369, 0)</f>
        <v>61.3827</v>
      </c>
      <c r="E847" s="46">
        <f>64.7177 * CHOOSE(CONTROL!$C$15, $E$9, 100%, $G$9) + CHOOSE(CONTROL!$C$38, 0.0369, 0)</f>
        <v>64.754599999999996</v>
      </c>
      <c r="F847" s="45">
        <f>64.7177 * CHOOSE(CONTROL!$C$15, $E$9, 100%, $G$9) + CHOOSE(CONTROL!$C$38, 0.0278, 0)</f>
        <v>64.745499999999993</v>
      </c>
      <c r="G847" s="14">
        <f>61.3521 * CHOOSE(CONTROL!$C$15, $E$9, 100%, $G$9) + CHOOSE(CONTROL!$C$38, 0.0369, 0)</f>
        <v>61.389000000000003</v>
      </c>
      <c r="H847" s="14">
        <f>61.3521 * CHOOSE(CONTROL!$C$15, $E$9, 100%, $G$9) + CHOOSE(CONTROL!$C$38, 0.0369, 0)</f>
        <v>61.389000000000003</v>
      </c>
      <c r="I847" s="14">
        <f>61.3536 * CHOOSE(CONTROL!$C$15, $E$9, 100%, $G$9) + CHOOSE(CONTROL!$C$38, 0.0369, 0)</f>
        <v>61.390500000000003</v>
      </c>
      <c r="J847" s="44">
        <f>585.2235</f>
        <v>585.22349999999994</v>
      </c>
    </row>
    <row r="848" spans="1:10" ht="15.75" x14ac:dyDescent="0.25">
      <c r="A848" s="32">
        <v>66749</v>
      </c>
      <c r="B848" s="14">
        <f>62.7382 * CHOOSE(CONTROL!$C$15, $E$9, 100%, $G$9) + CHOOSE(CONTROL!$C$38, 0.0278, 0)</f>
        <v>62.765999999999998</v>
      </c>
      <c r="C848" s="14">
        <f>59.3297 * CHOOSE(CONTROL!$C$15, $E$9, 100%, $G$9) + CHOOSE(CONTROL!$C$38, 0.0369, 0)</f>
        <v>59.366600000000005</v>
      </c>
      <c r="D848" s="14">
        <f>59.3218 * CHOOSE(CONTROL!$C$15, $E$9, 100%, $G$9) + CHOOSE(CONTROL!$C$38, 0.0369, 0)</f>
        <v>59.358700000000006</v>
      </c>
      <c r="E848" s="46">
        <f>62.5819 * CHOOSE(CONTROL!$C$15, $E$9, 100%, $G$9) + CHOOSE(CONTROL!$C$38, 0.0369, 0)</f>
        <v>62.6188</v>
      </c>
      <c r="F848" s="45">
        <f>62.5819 * CHOOSE(CONTROL!$C$15, $E$9, 100%, $G$9) + CHOOSE(CONTROL!$C$38, 0.0278, 0)</f>
        <v>62.609699999999997</v>
      </c>
      <c r="G848" s="14">
        <f>59.3281 * CHOOSE(CONTROL!$C$15, $E$9, 100%, $G$9) + CHOOSE(CONTROL!$C$38, 0.0369, 0)</f>
        <v>59.365000000000002</v>
      </c>
      <c r="H848" s="14">
        <f>59.3281 * CHOOSE(CONTROL!$C$15, $E$9, 100%, $G$9) + CHOOSE(CONTROL!$C$38, 0.0369, 0)</f>
        <v>59.365000000000002</v>
      </c>
      <c r="I848" s="14">
        <f>59.3297 * CHOOSE(CONTROL!$C$15, $E$9, 100%, $G$9) + CHOOSE(CONTROL!$C$38, 0.0369, 0)</f>
        <v>59.366600000000005</v>
      </c>
      <c r="J848" s="44">
        <f>565.7717</f>
        <v>565.77170000000001</v>
      </c>
    </row>
    <row r="849" spans="1:10" ht="15.75" x14ac:dyDescent="0.25">
      <c r="A849" s="32">
        <v>66780</v>
      </c>
      <c r="B849" s="14">
        <f>60.5899 * CHOOSE(CONTROL!$C$15, $E$9, 100%, $G$9) + CHOOSE(CONTROL!$C$38, 0.0256, 0)</f>
        <v>60.615499999999997</v>
      </c>
      <c r="C849" s="14">
        <f>57.2939 * CHOOSE(CONTROL!$C$15, $E$9, 100%, $G$9) + CHOOSE(CONTROL!$C$38, 0.0347, 0)</f>
        <v>57.328600000000002</v>
      </c>
      <c r="D849" s="14">
        <f>57.2861 * CHOOSE(CONTROL!$C$15, $E$9, 100%, $G$9) + CHOOSE(CONTROL!$C$38, 0.0347, 0)</f>
        <v>57.320799999999998</v>
      </c>
      <c r="E849" s="46">
        <f>60.4337 * CHOOSE(CONTROL!$C$15, $E$9, 100%, $G$9) + CHOOSE(CONTROL!$C$38, 0.0347, 0)</f>
        <v>60.468400000000003</v>
      </c>
      <c r="F849" s="45">
        <f>60.4337 * CHOOSE(CONTROL!$C$15, $E$9, 100%, $G$9) + CHOOSE(CONTROL!$C$38, 0.0256, 0)</f>
        <v>60.459299999999999</v>
      </c>
      <c r="G849" s="14">
        <f>57.2924 * CHOOSE(CONTROL!$C$15, $E$9, 100%, $G$9) + CHOOSE(CONTROL!$C$38, 0.0347, 0)</f>
        <v>57.327100000000002</v>
      </c>
      <c r="H849" s="14">
        <f>57.2924 * CHOOSE(CONTROL!$C$15, $E$9, 100%, $G$9) + CHOOSE(CONTROL!$C$38, 0.0347, 0)</f>
        <v>57.327100000000002</v>
      </c>
      <c r="I849" s="14">
        <f>57.2939 * CHOOSE(CONTROL!$C$15, $E$9, 100%, $G$9) + CHOOSE(CONTROL!$C$38, 0.0347, 0)</f>
        <v>57.328600000000002</v>
      </c>
      <c r="J849" s="44">
        <f>546.2067</f>
        <v>546.20669999999996</v>
      </c>
    </row>
    <row r="850" spans="1:10" ht="15.75" x14ac:dyDescent="0.25">
      <c r="A850" s="32">
        <v>66810</v>
      </c>
      <c r="B850" s="14">
        <f>60.1626 * CHOOSE(CONTROL!$C$15, $E$9, 100%, $G$9) + CHOOSE(CONTROL!$C$38, 0.0256, 0)</f>
        <v>60.188199999999995</v>
      </c>
      <c r="C850" s="14">
        <f>56.889 * CHOOSE(CONTROL!$C$15, $E$9, 100%, $G$9) + CHOOSE(CONTROL!$C$38, 0.0347, 0)</f>
        <v>56.923700000000004</v>
      </c>
      <c r="D850" s="14">
        <f>56.8812 * CHOOSE(CONTROL!$C$15, $E$9, 100%, $G$9) + CHOOSE(CONTROL!$C$38, 0.0347, 0)</f>
        <v>56.915900000000001</v>
      </c>
      <c r="E850" s="46">
        <f>60.0064 * CHOOSE(CONTROL!$C$15, $E$9, 100%, $G$9) + CHOOSE(CONTROL!$C$38, 0.0347, 0)</f>
        <v>60.0411</v>
      </c>
      <c r="F850" s="45">
        <f>60.0064 * CHOOSE(CONTROL!$C$15, $E$9, 100%, $G$9) + CHOOSE(CONTROL!$C$38, 0.0256, 0)</f>
        <v>60.031999999999996</v>
      </c>
      <c r="G850" s="14">
        <f>56.8874 * CHOOSE(CONTROL!$C$15, $E$9, 100%, $G$9) + CHOOSE(CONTROL!$C$38, 0.0347, 0)</f>
        <v>56.9221</v>
      </c>
      <c r="H850" s="14">
        <f>56.8874 * CHOOSE(CONTROL!$C$15, $E$9, 100%, $G$9) + CHOOSE(CONTROL!$C$38, 0.0347, 0)</f>
        <v>56.9221</v>
      </c>
      <c r="I850" s="14">
        <f>56.889 * CHOOSE(CONTROL!$C$15, $E$9, 100%, $G$9) + CHOOSE(CONTROL!$C$38, 0.0347, 0)</f>
        <v>56.923700000000004</v>
      </c>
      <c r="J850" s="44">
        <f>542.3148</f>
        <v>542.31479999999999</v>
      </c>
    </row>
    <row r="851" spans="1:10" ht="15.75" x14ac:dyDescent="0.25">
      <c r="A851" s="32">
        <v>66841</v>
      </c>
      <c r="B851" s="14">
        <f>58.3956 * CHOOSE(CONTROL!$C$15, $E$9, 100%, $G$9) + CHOOSE(CONTROL!$C$38, 0.0256, 0)</f>
        <v>58.421199999999999</v>
      </c>
      <c r="C851" s="14">
        <f>55.2145 * CHOOSE(CONTROL!$C$15, $E$9, 100%, $G$9) + CHOOSE(CONTROL!$C$38, 0.0347, 0)</f>
        <v>55.249200000000002</v>
      </c>
      <c r="D851" s="14">
        <f>55.2066 * CHOOSE(CONTROL!$C$15, $E$9, 100%, $G$9) + CHOOSE(CONTROL!$C$38, 0.0347, 0)</f>
        <v>55.241300000000003</v>
      </c>
      <c r="E851" s="46">
        <f>58.2394 * CHOOSE(CONTROL!$C$15, $E$9, 100%, $G$9) + CHOOSE(CONTROL!$C$38, 0.0347, 0)</f>
        <v>58.274100000000004</v>
      </c>
      <c r="F851" s="45">
        <f>58.2394 * CHOOSE(CONTROL!$C$15, $E$9, 100%, $G$9) + CHOOSE(CONTROL!$C$38, 0.0256, 0)</f>
        <v>58.265000000000001</v>
      </c>
      <c r="G851" s="14">
        <f>55.2129 * CHOOSE(CONTROL!$C$15, $E$9, 100%, $G$9) + CHOOSE(CONTROL!$C$38, 0.0347, 0)</f>
        <v>55.247599999999998</v>
      </c>
      <c r="H851" s="14">
        <f>55.2129 * CHOOSE(CONTROL!$C$15, $E$9, 100%, $G$9) + CHOOSE(CONTROL!$C$38, 0.0347, 0)</f>
        <v>55.247599999999998</v>
      </c>
      <c r="I851" s="14">
        <f>55.2145 * CHOOSE(CONTROL!$C$15, $E$9, 100%, $G$9) + CHOOSE(CONTROL!$C$38, 0.0347, 0)</f>
        <v>55.249200000000002</v>
      </c>
      <c r="J851" s="44">
        <f>526.2216</f>
        <v>526.22159999999997</v>
      </c>
    </row>
    <row r="852" spans="1:10" ht="15.75" x14ac:dyDescent="0.25">
      <c r="A852" s="32">
        <v>66872</v>
      </c>
      <c r="B852" s="14">
        <f>57.9568 * CHOOSE(CONTROL!$C$15, $E$9, 100%, $G$9) + CHOOSE(CONTROL!$C$38, 0.0256, 0)</f>
        <v>57.982399999999998</v>
      </c>
      <c r="C852" s="14">
        <f>54.7986 * CHOOSE(CONTROL!$C$15, $E$9, 100%, $G$9) + CHOOSE(CONTROL!$C$38, 0.0347, 0)</f>
        <v>54.833300000000001</v>
      </c>
      <c r="D852" s="14">
        <f>54.7908 * CHOOSE(CONTROL!$C$15, $E$9, 100%, $G$9) + CHOOSE(CONTROL!$C$38, 0.0347, 0)</f>
        <v>54.825499999999998</v>
      </c>
      <c r="E852" s="46">
        <f>57.8005 * CHOOSE(CONTROL!$C$15, $E$9, 100%, $G$9) + CHOOSE(CONTROL!$C$38, 0.0347, 0)</f>
        <v>57.8352</v>
      </c>
      <c r="F852" s="45">
        <f>57.8005 * CHOOSE(CONTROL!$C$15, $E$9, 100%, $G$9) + CHOOSE(CONTROL!$C$38, 0.0256, 0)</f>
        <v>57.826099999999997</v>
      </c>
      <c r="G852" s="14">
        <f>54.7971 * CHOOSE(CONTROL!$C$15, $E$9, 100%, $G$9) + CHOOSE(CONTROL!$C$38, 0.0347, 0)</f>
        <v>54.831800000000001</v>
      </c>
      <c r="H852" s="14">
        <f>54.7971 * CHOOSE(CONTROL!$C$15, $E$9, 100%, $G$9) + CHOOSE(CONTROL!$C$38, 0.0347, 0)</f>
        <v>54.831800000000001</v>
      </c>
      <c r="I852" s="14">
        <f>54.7986 * CHOOSE(CONTROL!$C$15, $E$9, 100%, $G$9) + CHOOSE(CONTROL!$C$38, 0.0347, 0)</f>
        <v>54.833300000000001</v>
      </c>
      <c r="J852" s="44">
        <f>525.543</f>
        <v>525.54300000000001</v>
      </c>
    </row>
    <row r="853" spans="1:10" ht="15.75" x14ac:dyDescent="0.25">
      <c r="A853" s="32">
        <v>66900</v>
      </c>
      <c r="B853" s="14">
        <f>57.7974 * CHOOSE(CONTROL!$C$15, $E$9, 100%, $G$9) + CHOOSE(CONTROL!$C$38, 0.0256, 0)</f>
        <v>57.823</v>
      </c>
      <c r="C853" s="14">
        <f>54.6476 * CHOOSE(CONTROL!$C$15, $E$9, 100%, $G$9) + CHOOSE(CONTROL!$C$38, 0.0347, 0)</f>
        <v>54.682299999999998</v>
      </c>
      <c r="D853" s="14">
        <f>54.6398 * CHOOSE(CONTROL!$C$15, $E$9, 100%, $G$9) + CHOOSE(CONTROL!$C$38, 0.0347, 0)</f>
        <v>54.674500000000002</v>
      </c>
      <c r="E853" s="46">
        <f>57.6412 * CHOOSE(CONTROL!$C$15, $E$9, 100%, $G$9) + CHOOSE(CONTROL!$C$38, 0.0347, 0)</f>
        <v>57.675899999999999</v>
      </c>
      <c r="F853" s="45">
        <f>57.6412 * CHOOSE(CONTROL!$C$15, $E$9, 100%, $G$9) + CHOOSE(CONTROL!$C$38, 0.0256, 0)</f>
        <v>57.666799999999995</v>
      </c>
      <c r="G853" s="14">
        <f>54.646 * CHOOSE(CONTROL!$C$15, $E$9, 100%, $G$9) + CHOOSE(CONTROL!$C$38, 0.0347, 0)</f>
        <v>54.680700000000002</v>
      </c>
      <c r="H853" s="14">
        <f>54.646 * CHOOSE(CONTROL!$C$15, $E$9, 100%, $G$9) + CHOOSE(CONTROL!$C$38, 0.0347, 0)</f>
        <v>54.680700000000002</v>
      </c>
      <c r="I853" s="14">
        <f>54.6476 * CHOOSE(CONTROL!$C$15, $E$9, 100%, $G$9) + CHOOSE(CONTROL!$C$38, 0.0347, 0)</f>
        <v>54.682299999999998</v>
      </c>
      <c r="J853" s="44">
        <f>524.0822</f>
        <v>524.08219999999994</v>
      </c>
    </row>
    <row r="854" spans="1:10" ht="15.75" x14ac:dyDescent="0.25">
      <c r="A854" s="32">
        <v>66931</v>
      </c>
      <c r="B854" s="14">
        <f>60.8111 * CHOOSE(CONTROL!$C$15, $E$9, 100%, $G$9) + CHOOSE(CONTROL!$C$38, 0.0256, 0)</f>
        <v>60.8367</v>
      </c>
      <c r="C854" s="14">
        <f>57.5035 * CHOOSE(CONTROL!$C$15, $E$9, 100%, $G$9) + CHOOSE(CONTROL!$C$38, 0.0347, 0)</f>
        <v>57.538200000000003</v>
      </c>
      <c r="D854" s="14">
        <f>57.4957 * CHOOSE(CONTROL!$C$15, $E$9, 100%, $G$9) + CHOOSE(CONTROL!$C$38, 0.0347, 0)</f>
        <v>57.5304</v>
      </c>
      <c r="E854" s="46">
        <f>60.6549 * CHOOSE(CONTROL!$C$15, $E$9, 100%, $G$9) + CHOOSE(CONTROL!$C$38, 0.0347, 0)</f>
        <v>60.689599999999999</v>
      </c>
      <c r="F854" s="45">
        <f>60.6549 * CHOOSE(CONTROL!$C$15, $E$9, 100%, $G$9) + CHOOSE(CONTROL!$C$38, 0.0256, 0)</f>
        <v>60.680499999999995</v>
      </c>
      <c r="G854" s="14">
        <f>57.502 * CHOOSE(CONTROL!$C$15, $E$9, 100%, $G$9) + CHOOSE(CONTROL!$C$38, 0.0347, 0)</f>
        <v>57.536700000000003</v>
      </c>
      <c r="H854" s="14">
        <f>57.502 * CHOOSE(CONTROL!$C$15, $E$9, 100%, $G$9) + CHOOSE(CONTROL!$C$38, 0.0347, 0)</f>
        <v>57.536700000000003</v>
      </c>
      <c r="I854" s="14">
        <f>57.5035 * CHOOSE(CONTROL!$C$15, $E$9, 100%, $G$9) + CHOOSE(CONTROL!$C$38, 0.0347, 0)</f>
        <v>57.538200000000003</v>
      </c>
      <c r="J854" s="44">
        <f>551.7043</f>
        <v>551.70429999999999</v>
      </c>
    </row>
    <row r="855" spans="1:10" ht="15.75" x14ac:dyDescent="0.25">
      <c r="A855" s="32">
        <v>66961</v>
      </c>
      <c r="B855" s="14">
        <f>64.7192 * CHOOSE(CONTROL!$C$15, $E$9, 100%, $G$9) + CHOOSE(CONTROL!$C$38, 0.0256, 0)</f>
        <v>64.744799999999998</v>
      </c>
      <c r="C855" s="14">
        <f>61.207 * CHOOSE(CONTROL!$C$15, $E$9, 100%, $G$9) + CHOOSE(CONTROL!$C$38, 0.0347, 0)</f>
        <v>61.241700000000002</v>
      </c>
      <c r="D855" s="14">
        <f>61.1992 * CHOOSE(CONTROL!$C$15, $E$9, 100%, $G$9) + CHOOSE(CONTROL!$C$38, 0.0347, 0)</f>
        <v>61.233899999999998</v>
      </c>
      <c r="E855" s="46">
        <f>64.563 * CHOOSE(CONTROL!$C$15, $E$9, 100%, $G$9) + CHOOSE(CONTROL!$C$38, 0.0347, 0)</f>
        <v>64.597700000000003</v>
      </c>
      <c r="F855" s="45">
        <f>64.563 * CHOOSE(CONTROL!$C$15, $E$9, 100%, $G$9) + CHOOSE(CONTROL!$C$38, 0.0256, 0)</f>
        <v>64.5886</v>
      </c>
      <c r="G855" s="14">
        <f>61.2054 * CHOOSE(CONTROL!$C$15, $E$9, 100%, $G$9) + CHOOSE(CONTROL!$C$38, 0.0347, 0)</f>
        <v>61.240099999999998</v>
      </c>
      <c r="H855" s="14">
        <f>61.2054 * CHOOSE(CONTROL!$C$15, $E$9, 100%, $G$9) + CHOOSE(CONTROL!$C$38, 0.0347, 0)</f>
        <v>61.240099999999998</v>
      </c>
      <c r="I855" s="14">
        <f>61.207 * CHOOSE(CONTROL!$C$15, $E$9, 100%, $G$9) + CHOOSE(CONTROL!$C$38, 0.0347, 0)</f>
        <v>61.241700000000002</v>
      </c>
      <c r="J855" s="44">
        <f>587.5237</f>
        <v>587.52369999999996</v>
      </c>
    </row>
    <row r="856" spans="1:10" ht="15.75" x14ac:dyDescent="0.25">
      <c r="A856" s="32">
        <v>66992</v>
      </c>
      <c r="B856" s="14">
        <f>66.8704 * CHOOSE(CONTROL!$C$15, $E$9, 100%, $G$9) + CHOOSE(CONTROL!$C$38, 0.0278, 0)</f>
        <v>66.898200000000003</v>
      </c>
      <c r="C856" s="14">
        <f>63.2455 * CHOOSE(CONTROL!$C$15, $E$9, 100%, $G$9) + CHOOSE(CONTROL!$C$38, 0.0369, 0)</f>
        <v>63.282400000000003</v>
      </c>
      <c r="D856" s="14">
        <f>63.2377 * CHOOSE(CONTROL!$C$15, $E$9, 100%, $G$9) + CHOOSE(CONTROL!$C$38, 0.0369, 0)</f>
        <v>63.2746</v>
      </c>
      <c r="E856" s="46">
        <f>66.7141 * CHOOSE(CONTROL!$C$15, $E$9, 100%, $G$9) + CHOOSE(CONTROL!$C$38, 0.0369, 0)</f>
        <v>66.751000000000005</v>
      </c>
      <c r="F856" s="45">
        <f>66.7141 * CHOOSE(CONTROL!$C$15, $E$9, 100%, $G$9) + CHOOSE(CONTROL!$C$38, 0.0278, 0)</f>
        <v>66.741900000000001</v>
      </c>
      <c r="G856" s="14">
        <f>63.244 * CHOOSE(CONTROL!$C$15, $E$9, 100%, $G$9) + CHOOSE(CONTROL!$C$38, 0.0369, 0)</f>
        <v>63.280900000000003</v>
      </c>
      <c r="H856" s="14">
        <f>63.244 * CHOOSE(CONTROL!$C$15, $E$9, 100%, $G$9) + CHOOSE(CONTROL!$C$38, 0.0369, 0)</f>
        <v>63.280900000000003</v>
      </c>
      <c r="I856" s="14">
        <f>63.2455 * CHOOSE(CONTROL!$C$15, $E$9, 100%, $G$9) + CHOOSE(CONTROL!$C$38, 0.0369, 0)</f>
        <v>63.282400000000003</v>
      </c>
      <c r="J856" s="44">
        <f>607.2398</f>
        <v>607.23979999999995</v>
      </c>
    </row>
    <row r="857" spans="1:10" ht="15.75" x14ac:dyDescent="0.25">
      <c r="A857" s="32">
        <v>67022</v>
      </c>
      <c r="B857" s="14">
        <f>67.825 * CHOOSE(CONTROL!$C$15, $E$9, 100%, $G$9) + CHOOSE(CONTROL!$C$38, 0.0278, 0)</f>
        <v>67.852800000000002</v>
      </c>
      <c r="C857" s="14">
        <f>64.1502 * CHOOSE(CONTROL!$C$15, $E$9, 100%, $G$9) + CHOOSE(CONTROL!$C$38, 0.0369, 0)</f>
        <v>64.187100000000001</v>
      </c>
      <c r="D857" s="14">
        <f>64.1424 * CHOOSE(CONTROL!$C$15, $E$9, 100%, $G$9) + CHOOSE(CONTROL!$C$38, 0.0369, 0)</f>
        <v>64.179299999999998</v>
      </c>
      <c r="E857" s="46">
        <f>67.6688 * CHOOSE(CONTROL!$C$15, $E$9, 100%, $G$9) + CHOOSE(CONTROL!$C$38, 0.0369, 0)</f>
        <v>67.705700000000007</v>
      </c>
      <c r="F857" s="45">
        <f>67.6688 * CHOOSE(CONTROL!$C$15, $E$9, 100%, $G$9) + CHOOSE(CONTROL!$C$38, 0.0278, 0)</f>
        <v>67.696600000000004</v>
      </c>
      <c r="G857" s="14">
        <f>64.1486 * CHOOSE(CONTROL!$C$15, $E$9, 100%, $G$9) + CHOOSE(CONTROL!$C$38, 0.0369, 0)</f>
        <v>64.185500000000005</v>
      </c>
      <c r="H857" s="14">
        <f>64.1486 * CHOOSE(CONTROL!$C$15, $E$9, 100%, $G$9) + CHOOSE(CONTROL!$C$38, 0.0369, 0)</f>
        <v>64.185500000000005</v>
      </c>
      <c r="I857" s="14">
        <f>64.1502 * CHOOSE(CONTROL!$C$15, $E$9, 100%, $G$9) + CHOOSE(CONTROL!$C$38, 0.0369, 0)</f>
        <v>64.187100000000001</v>
      </c>
      <c r="J857" s="44">
        <f>615.9895</f>
        <v>615.98950000000002</v>
      </c>
    </row>
    <row r="858" spans="1:10" ht="15.75" x14ac:dyDescent="0.25">
      <c r="A858" s="32">
        <v>67053</v>
      </c>
      <c r="B858" s="14">
        <f>67.5107 * CHOOSE(CONTROL!$C$15, $E$9, 100%, $G$9) + CHOOSE(CONTROL!$C$38, 0.0278, 0)</f>
        <v>67.538499999999999</v>
      </c>
      <c r="C858" s="14">
        <f>63.8523 * CHOOSE(CONTROL!$C$15, $E$9, 100%, $G$9) + CHOOSE(CONTROL!$C$38, 0.0369, 0)</f>
        <v>63.889200000000002</v>
      </c>
      <c r="D858" s="14">
        <f>63.8445 * CHOOSE(CONTROL!$C$15, $E$9, 100%, $G$9) + CHOOSE(CONTROL!$C$38, 0.0369, 0)</f>
        <v>63.881399999999999</v>
      </c>
      <c r="E858" s="46">
        <f>67.3544 * CHOOSE(CONTROL!$C$15, $E$9, 100%, $G$9) + CHOOSE(CONTROL!$C$38, 0.0369, 0)</f>
        <v>67.391300000000001</v>
      </c>
      <c r="F858" s="45">
        <f>67.3544 * CHOOSE(CONTROL!$C$15, $E$9, 100%, $G$9) + CHOOSE(CONTROL!$C$38, 0.0278, 0)</f>
        <v>67.382199999999997</v>
      </c>
      <c r="G858" s="14">
        <f>63.8508 * CHOOSE(CONTROL!$C$15, $E$9, 100%, $G$9) + CHOOSE(CONTROL!$C$38, 0.0369, 0)</f>
        <v>63.887700000000002</v>
      </c>
      <c r="H858" s="14">
        <f>63.8508 * CHOOSE(CONTROL!$C$15, $E$9, 100%, $G$9) + CHOOSE(CONTROL!$C$38, 0.0369, 0)</f>
        <v>63.887700000000002</v>
      </c>
      <c r="I858" s="14">
        <f>63.8523 * CHOOSE(CONTROL!$C$15, $E$9, 100%, $G$9) + CHOOSE(CONTROL!$C$38, 0.0369, 0)</f>
        <v>63.889200000000002</v>
      </c>
      <c r="J858" s="44">
        <f>613.1087</f>
        <v>613.1087</v>
      </c>
    </row>
    <row r="859" spans="1:10" ht="15.75" x14ac:dyDescent="0.25">
      <c r="A859" s="32">
        <v>67084</v>
      </c>
      <c r="B859" s="14">
        <f>65.9534 * CHOOSE(CONTROL!$C$15, $E$9, 100%, $G$9) + CHOOSE(CONTROL!$C$38, 0.0278, 0)</f>
        <v>65.981200000000001</v>
      </c>
      <c r="C859" s="14">
        <f>62.3766 * CHOOSE(CONTROL!$C$15, $E$9, 100%, $G$9) + CHOOSE(CONTROL!$C$38, 0.0369, 0)</f>
        <v>62.413500000000006</v>
      </c>
      <c r="D859" s="14">
        <f>62.3688 * CHOOSE(CONTROL!$C$15, $E$9, 100%, $G$9) + CHOOSE(CONTROL!$C$38, 0.0369, 0)</f>
        <v>62.405700000000003</v>
      </c>
      <c r="E859" s="46">
        <f>65.7972 * CHOOSE(CONTROL!$C$15, $E$9, 100%, $G$9) + CHOOSE(CONTROL!$C$38, 0.0369, 0)</f>
        <v>65.834100000000007</v>
      </c>
      <c r="F859" s="45">
        <f>65.7972 * CHOOSE(CONTROL!$C$15, $E$9, 100%, $G$9) + CHOOSE(CONTROL!$C$38, 0.0278, 0)</f>
        <v>65.825000000000003</v>
      </c>
      <c r="G859" s="14">
        <f>62.375 * CHOOSE(CONTROL!$C$15, $E$9, 100%, $G$9) + CHOOSE(CONTROL!$C$38, 0.0369, 0)</f>
        <v>62.411900000000003</v>
      </c>
      <c r="H859" s="14">
        <f>62.375 * CHOOSE(CONTROL!$C$15, $E$9, 100%, $G$9) + CHOOSE(CONTROL!$C$38, 0.0369, 0)</f>
        <v>62.411900000000003</v>
      </c>
      <c r="I859" s="14">
        <f>62.3766 * CHOOSE(CONTROL!$C$15, $E$9, 100%, $G$9) + CHOOSE(CONTROL!$C$38, 0.0369, 0)</f>
        <v>62.413500000000006</v>
      </c>
      <c r="J859" s="44">
        <f>598.8358</f>
        <v>598.83579999999995</v>
      </c>
    </row>
    <row r="860" spans="1:10" ht="15.75" x14ac:dyDescent="0.25">
      <c r="A860" s="32">
        <v>67114</v>
      </c>
      <c r="B860" s="14">
        <f>63.7818 * CHOOSE(CONTROL!$C$15, $E$9, 100%, $G$9) + CHOOSE(CONTROL!$C$38, 0.0278, 0)</f>
        <v>63.809599999999996</v>
      </c>
      <c r="C860" s="14">
        <f>60.3186 * CHOOSE(CONTROL!$C$15, $E$9, 100%, $G$9) + CHOOSE(CONTROL!$C$38, 0.0369, 0)</f>
        <v>60.355500000000006</v>
      </c>
      <c r="D860" s="14">
        <f>60.3108 * CHOOSE(CONTROL!$C$15, $E$9, 100%, $G$9) + CHOOSE(CONTROL!$C$38, 0.0369, 0)</f>
        <v>60.347700000000003</v>
      </c>
      <c r="E860" s="46">
        <f>63.6255 * CHOOSE(CONTROL!$C$15, $E$9, 100%, $G$9) + CHOOSE(CONTROL!$C$38, 0.0369, 0)</f>
        <v>63.662400000000005</v>
      </c>
      <c r="F860" s="45">
        <f>63.6255 * CHOOSE(CONTROL!$C$15, $E$9, 100%, $G$9) + CHOOSE(CONTROL!$C$38, 0.0278, 0)</f>
        <v>63.653300000000002</v>
      </c>
      <c r="G860" s="14">
        <f>60.3171 * CHOOSE(CONTROL!$C$15, $E$9, 100%, $G$9) + CHOOSE(CONTROL!$C$38, 0.0369, 0)</f>
        <v>60.354000000000006</v>
      </c>
      <c r="H860" s="14">
        <f>60.3171 * CHOOSE(CONTROL!$C$15, $E$9, 100%, $G$9) + CHOOSE(CONTROL!$C$38, 0.0369, 0)</f>
        <v>60.354000000000006</v>
      </c>
      <c r="I860" s="14">
        <f>60.3186 * CHOOSE(CONTROL!$C$15, $E$9, 100%, $G$9) + CHOOSE(CONTROL!$C$38, 0.0369, 0)</f>
        <v>60.355500000000006</v>
      </c>
      <c r="J860" s="44">
        <f>578.9315</f>
        <v>578.93150000000003</v>
      </c>
    </row>
    <row r="861" spans="1:10" ht="15.75" x14ac:dyDescent="0.25">
      <c r="A861" s="32">
        <v>67145</v>
      </c>
      <c r="B861" s="14">
        <f>61.5975 * CHOOSE(CONTROL!$C$15, $E$9, 100%, $G$9) + CHOOSE(CONTROL!$C$38, 0.0256, 0)</f>
        <v>61.623099999999994</v>
      </c>
      <c r="C861" s="14">
        <f>58.2487 * CHOOSE(CONTROL!$C$15, $E$9, 100%, $G$9) + CHOOSE(CONTROL!$C$38, 0.0347, 0)</f>
        <v>58.2834</v>
      </c>
      <c r="D861" s="14">
        <f>58.2409 * CHOOSE(CONTROL!$C$15, $E$9, 100%, $G$9) + CHOOSE(CONTROL!$C$38, 0.0347, 0)</f>
        <v>58.275600000000004</v>
      </c>
      <c r="E861" s="46">
        <f>61.4412 * CHOOSE(CONTROL!$C$15, $E$9, 100%, $G$9) + CHOOSE(CONTROL!$C$38, 0.0347, 0)</f>
        <v>61.475900000000003</v>
      </c>
      <c r="F861" s="45">
        <f>61.4412 * CHOOSE(CONTROL!$C$15, $E$9, 100%, $G$9) + CHOOSE(CONTROL!$C$38, 0.0256, 0)</f>
        <v>61.466799999999999</v>
      </c>
      <c r="G861" s="14">
        <f>58.2471 * CHOOSE(CONTROL!$C$15, $E$9, 100%, $G$9) + CHOOSE(CONTROL!$C$38, 0.0347, 0)</f>
        <v>58.281800000000004</v>
      </c>
      <c r="H861" s="14">
        <f>58.2471 * CHOOSE(CONTROL!$C$15, $E$9, 100%, $G$9) + CHOOSE(CONTROL!$C$38, 0.0347, 0)</f>
        <v>58.281800000000004</v>
      </c>
      <c r="I861" s="14">
        <f>58.2487 * CHOOSE(CONTROL!$C$15, $E$9, 100%, $G$9) + CHOOSE(CONTROL!$C$38, 0.0347, 0)</f>
        <v>58.2834</v>
      </c>
      <c r="J861" s="44">
        <f>558.9115</f>
        <v>558.91150000000005</v>
      </c>
    </row>
    <row r="862" spans="1:10" ht="15.75" x14ac:dyDescent="0.25">
      <c r="A862" s="32">
        <v>67175</v>
      </c>
      <c r="B862" s="14">
        <f>61.163 * CHOOSE(CONTROL!$C$15, $E$9, 100%, $G$9) + CHOOSE(CONTROL!$C$38, 0.0256, 0)</f>
        <v>61.188599999999994</v>
      </c>
      <c r="C862" s="14">
        <f>57.8369 * CHOOSE(CONTROL!$C$15, $E$9, 100%, $G$9) + CHOOSE(CONTROL!$C$38, 0.0347, 0)</f>
        <v>57.871600000000001</v>
      </c>
      <c r="D862" s="14">
        <f>57.8291 * CHOOSE(CONTROL!$C$15, $E$9, 100%, $G$9) + CHOOSE(CONTROL!$C$38, 0.0347, 0)</f>
        <v>57.863799999999998</v>
      </c>
      <c r="E862" s="46">
        <f>61.0067 * CHOOSE(CONTROL!$C$15, $E$9, 100%, $G$9) + CHOOSE(CONTROL!$C$38, 0.0347, 0)</f>
        <v>61.041400000000003</v>
      </c>
      <c r="F862" s="45">
        <f>61.0067 * CHOOSE(CONTROL!$C$15, $E$9, 100%, $G$9) + CHOOSE(CONTROL!$C$38, 0.0256, 0)</f>
        <v>61.032299999999999</v>
      </c>
      <c r="G862" s="14">
        <f>57.8354 * CHOOSE(CONTROL!$C$15, $E$9, 100%, $G$9) + CHOOSE(CONTROL!$C$38, 0.0347, 0)</f>
        <v>57.870100000000001</v>
      </c>
      <c r="H862" s="14">
        <f>57.8354 * CHOOSE(CONTROL!$C$15, $E$9, 100%, $G$9) + CHOOSE(CONTROL!$C$38, 0.0347, 0)</f>
        <v>57.870100000000001</v>
      </c>
      <c r="I862" s="14">
        <f>57.8369 * CHOOSE(CONTROL!$C$15, $E$9, 100%, $G$9) + CHOOSE(CONTROL!$C$38, 0.0347, 0)</f>
        <v>57.871600000000001</v>
      </c>
      <c r="J862" s="44">
        <f>554.9291</f>
        <v>554.92909999999995</v>
      </c>
    </row>
    <row r="863" spans="1:10" ht="15.75" x14ac:dyDescent="0.25">
      <c r="A863" s="32">
        <v>67206</v>
      </c>
      <c r="B863" s="14">
        <f>59.3663 * CHOOSE(CONTROL!$C$15, $E$9, 100%, $G$9) + CHOOSE(CONTROL!$C$38, 0.0256, 0)</f>
        <v>59.3919</v>
      </c>
      <c r="C863" s="14">
        <f>56.1343 * CHOOSE(CONTROL!$C$15, $E$9, 100%, $G$9) + CHOOSE(CONTROL!$C$38, 0.0347, 0)</f>
        <v>56.169000000000004</v>
      </c>
      <c r="D863" s="14">
        <f>56.1265 * CHOOSE(CONTROL!$C$15, $E$9, 100%, $G$9) + CHOOSE(CONTROL!$C$38, 0.0347, 0)</f>
        <v>56.161200000000001</v>
      </c>
      <c r="E863" s="46">
        <f>59.21 * CHOOSE(CONTROL!$C$15, $E$9, 100%, $G$9) + CHOOSE(CONTROL!$C$38, 0.0347, 0)</f>
        <v>59.244700000000002</v>
      </c>
      <c r="F863" s="45">
        <f>59.21 * CHOOSE(CONTROL!$C$15, $E$9, 100%, $G$9) + CHOOSE(CONTROL!$C$38, 0.0256, 0)</f>
        <v>59.235599999999998</v>
      </c>
      <c r="G863" s="14">
        <f>56.1327 * CHOOSE(CONTROL!$C$15, $E$9, 100%, $G$9) + CHOOSE(CONTROL!$C$38, 0.0347, 0)</f>
        <v>56.167400000000001</v>
      </c>
      <c r="H863" s="14">
        <f>56.1327 * CHOOSE(CONTROL!$C$15, $E$9, 100%, $G$9) + CHOOSE(CONTROL!$C$38, 0.0347, 0)</f>
        <v>56.167400000000001</v>
      </c>
      <c r="I863" s="14">
        <f>56.1343 * CHOOSE(CONTROL!$C$15, $E$9, 100%, $G$9) + CHOOSE(CONTROL!$C$38, 0.0347, 0)</f>
        <v>56.169000000000004</v>
      </c>
      <c r="J863" s="44">
        <f>538.4615</f>
        <v>538.4615</v>
      </c>
    </row>
    <row r="864" spans="1:10" ht="15.75" x14ac:dyDescent="0.25">
      <c r="A864" s="32">
        <v>67237</v>
      </c>
      <c r="B864" s="14">
        <f>58.9201 * CHOOSE(CONTROL!$C$15, $E$9, 100%, $G$9) + CHOOSE(CONTROL!$C$38, 0.0256, 0)</f>
        <v>58.945699999999995</v>
      </c>
      <c r="C864" s="14">
        <f>55.7115 * CHOOSE(CONTROL!$C$15, $E$9, 100%, $G$9) + CHOOSE(CONTROL!$C$38, 0.0347, 0)</f>
        <v>55.746200000000002</v>
      </c>
      <c r="D864" s="14">
        <f>55.7037 * CHOOSE(CONTROL!$C$15, $E$9, 100%, $G$9) + CHOOSE(CONTROL!$C$38, 0.0347, 0)</f>
        <v>55.738399999999999</v>
      </c>
      <c r="E864" s="46">
        <f>58.7638 * CHOOSE(CONTROL!$C$15, $E$9, 100%, $G$9) + CHOOSE(CONTROL!$C$38, 0.0347, 0)</f>
        <v>58.798500000000004</v>
      </c>
      <c r="F864" s="45">
        <f>58.7638 * CHOOSE(CONTROL!$C$15, $E$9, 100%, $G$9) + CHOOSE(CONTROL!$C$38, 0.0256, 0)</f>
        <v>58.789400000000001</v>
      </c>
      <c r="G864" s="14">
        <f>55.7099 * CHOOSE(CONTROL!$C$15, $E$9, 100%, $G$9) + CHOOSE(CONTROL!$C$38, 0.0347, 0)</f>
        <v>55.744599999999998</v>
      </c>
      <c r="H864" s="14">
        <f>55.7099 * CHOOSE(CONTROL!$C$15, $E$9, 100%, $G$9) + CHOOSE(CONTROL!$C$38, 0.0347, 0)</f>
        <v>55.744599999999998</v>
      </c>
      <c r="I864" s="14">
        <f>55.7115 * CHOOSE(CONTROL!$C$15, $E$9, 100%, $G$9) + CHOOSE(CONTROL!$C$38, 0.0347, 0)</f>
        <v>55.746200000000002</v>
      </c>
      <c r="J864" s="44">
        <f>537.7671</f>
        <v>537.76710000000003</v>
      </c>
    </row>
    <row r="865" spans="1:10" ht="15.75" x14ac:dyDescent="0.25">
      <c r="A865" s="32">
        <v>67266</v>
      </c>
      <c r="B865" s="14">
        <f>58.758 * CHOOSE(CONTROL!$C$15, $E$9, 100%, $G$9) + CHOOSE(CONTROL!$C$38, 0.0256, 0)</f>
        <v>58.7836</v>
      </c>
      <c r="C865" s="14">
        <f>55.5579 * CHOOSE(CONTROL!$C$15, $E$9, 100%, $G$9) + CHOOSE(CONTROL!$C$38, 0.0347, 0)</f>
        <v>55.592599999999997</v>
      </c>
      <c r="D865" s="14">
        <f>55.5501 * CHOOSE(CONTROL!$C$15, $E$9, 100%, $G$9) + CHOOSE(CONTROL!$C$38, 0.0347, 0)</f>
        <v>55.584800000000001</v>
      </c>
      <c r="E865" s="46">
        <f>58.6018 * CHOOSE(CONTROL!$C$15, $E$9, 100%, $G$9) + CHOOSE(CONTROL!$C$38, 0.0347, 0)</f>
        <v>58.636499999999998</v>
      </c>
      <c r="F865" s="45">
        <f>58.6018 * CHOOSE(CONTROL!$C$15, $E$9, 100%, $G$9) + CHOOSE(CONTROL!$C$38, 0.0256, 0)</f>
        <v>58.627399999999994</v>
      </c>
      <c r="G865" s="14">
        <f>55.5563 * CHOOSE(CONTROL!$C$15, $E$9, 100%, $G$9) + CHOOSE(CONTROL!$C$38, 0.0347, 0)</f>
        <v>55.591000000000001</v>
      </c>
      <c r="H865" s="14">
        <f>55.5563 * CHOOSE(CONTROL!$C$15, $E$9, 100%, $G$9) + CHOOSE(CONTROL!$C$38, 0.0347, 0)</f>
        <v>55.591000000000001</v>
      </c>
      <c r="I865" s="14">
        <f>55.5579 * CHOOSE(CONTROL!$C$15, $E$9, 100%, $G$9) + CHOOSE(CONTROL!$C$38, 0.0347, 0)</f>
        <v>55.592599999999997</v>
      </c>
      <c r="J865" s="44">
        <f>536.2723</f>
        <v>536.27229999999997</v>
      </c>
    </row>
    <row r="866" spans="1:10" ht="15.75" x14ac:dyDescent="0.25">
      <c r="A866" s="32">
        <v>67297</v>
      </c>
      <c r="B866" s="14">
        <f>61.8224 * CHOOSE(CONTROL!$C$15, $E$9, 100%, $G$9) + CHOOSE(CONTROL!$C$38, 0.0256, 0)</f>
        <v>61.847999999999999</v>
      </c>
      <c r="C866" s="14">
        <f>58.4618 * CHOOSE(CONTROL!$C$15, $E$9, 100%, $G$9) + CHOOSE(CONTROL!$C$38, 0.0347, 0)</f>
        <v>58.496499999999997</v>
      </c>
      <c r="D866" s="14">
        <f>58.454 * CHOOSE(CONTROL!$C$15, $E$9, 100%, $G$9) + CHOOSE(CONTROL!$C$38, 0.0347, 0)</f>
        <v>58.488700000000001</v>
      </c>
      <c r="E866" s="46">
        <f>61.6661 * CHOOSE(CONTROL!$C$15, $E$9, 100%, $G$9) + CHOOSE(CONTROL!$C$38, 0.0347, 0)</f>
        <v>61.700800000000001</v>
      </c>
      <c r="F866" s="45">
        <f>61.6661 * CHOOSE(CONTROL!$C$15, $E$9, 100%, $G$9) + CHOOSE(CONTROL!$C$38, 0.0256, 0)</f>
        <v>61.691699999999997</v>
      </c>
      <c r="G866" s="14">
        <f>58.4603 * CHOOSE(CONTROL!$C$15, $E$9, 100%, $G$9) + CHOOSE(CONTROL!$C$38, 0.0347, 0)</f>
        <v>58.494999999999997</v>
      </c>
      <c r="H866" s="14">
        <f>58.4603 * CHOOSE(CONTROL!$C$15, $E$9, 100%, $G$9) + CHOOSE(CONTROL!$C$38, 0.0347, 0)</f>
        <v>58.494999999999997</v>
      </c>
      <c r="I866" s="14">
        <f>58.4618 * CHOOSE(CONTROL!$C$15, $E$9, 100%, $G$9) + CHOOSE(CONTROL!$C$38, 0.0347, 0)</f>
        <v>58.496499999999997</v>
      </c>
      <c r="J866" s="44">
        <f>564.537</f>
        <v>564.53700000000003</v>
      </c>
    </row>
    <row r="867" spans="1:10" ht="15.75" x14ac:dyDescent="0.25">
      <c r="A867" s="32">
        <v>67327</v>
      </c>
      <c r="B867" s="14">
        <f>65.7961 * CHOOSE(CONTROL!$C$15, $E$9, 100%, $G$9) + CHOOSE(CONTROL!$C$38, 0.0256, 0)</f>
        <v>65.821699999999993</v>
      </c>
      <c r="C867" s="14">
        <f>62.2275 * CHOOSE(CONTROL!$C$15, $E$9, 100%, $G$9) + CHOOSE(CONTROL!$C$38, 0.0347, 0)</f>
        <v>62.2622</v>
      </c>
      <c r="D867" s="14">
        <f>62.2197 * CHOOSE(CONTROL!$C$15, $E$9, 100%, $G$9) + CHOOSE(CONTROL!$C$38, 0.0347, 0)</f>
        <v>62.254400000000004</v>
      </c>
      <c r="E867" s="46">
        <f>65.6399 * CHOOSE(CONTROL!$C$15, $E$9, 100%, $G$9) + CHOOSE(CONTROL!$C$38, 0.0347, 0)</f>
        <v>65.674599999999998</v>
      </c>
      <c r="F867" s="45">
        <f>65.6399 * CHOOSE(CONTROL!$C$15, $E$9, 100%, $G$9) + CHOOSE(CONTROL!$C$38, 0.0256, 0)</f>
        <v>65.665499999999994</v>
      </c>
      <c r="G867" s="14">
        <f>62.226 * CHOOSE(CONTROL!$C$15, $E$9, 100%, $G$9) + CHOOSE(CONTROL!$C$38, 0.0347, 0)</f>
        <v>62.2607</v>
      </c>
      <c r="H867" s="14">
        <f>62.226 * CHOOSE(CONTROL!$C$15, $E$9, 100%, $G$9) + CHOOSE(CONTROL!$C$38, 0.0347, 0)</f>
        <v>62.2607</v>
      </c>
      <c r="I867" s="14">
        <f>62.2275 * CHOOSE(CONTROL!$C$15, $E$9, 100%, $G$9) + CHOOSE(CONTROL!$C$38, 0.0347, 0)</f>
        <v>62.2622</v>
      </c>
      <c r="J867" s="44">
        <f>601.1895</f>
        <v>601.18949999999995</v>
      </c>
    </row>
    <row r="868" spans="1:10" ht="15.75" x14ac:dyDescent="0.25">
      <c r="A868" s="32">
        <v>67358</v>
      </c>
      <c r="B868" s="14">
        <f>67.9834 * CHOOSE(CONTROL!$C$15, $E$9, 100%, $G$9) + CHOOSE(CONTROL!$C$38, 0.0278, 0)</f>
        <v>68.011200000000002</v>
      </c>
      <c r="C868" s="14">
        <f>64.3003 * CHOOSE(CONTROL!$C$15, $E$9, 100%, $G$9) + CHOOSE(CONTROL!$C$38, 0.0369, 0)</f>
        <v>64.337199999999996</v>
      </c>
      <c r="D868" s="14">
        <f>64.2925 * CHOOSE(CONTROL!$C$15, $E$9, 100%, $G$9) + CHOOSE(CONTROL!$C$38, 0.0369, 0)</f>
        <v>64.329400000000007</v>
      </c>
      <c r="E868" s="46">
        <f>67.8272 * CHOOSE(CONTROL!$C$15, $E$9, 100%, $G$9) + CHOOSE(CONTROL!$C$38, 0.0369, 0)</f>
        <v>67.864100000000008</v>
      </c>
      <c r="F868" s="45">
        <f>67.8272 * CHOOSE(CONTROL!$C$15, $E$9, 100%, $G$9) + CHOOSE(CONTROL!$C$38, 0.0278, 0)</f>
        <v>67.855000000000004</v>
      </c>
      <c r="G868" s="14">
        <f>64.2987 * CHOOSE(CONTROL!$C$15, $E$9, 100%, $G$9) + CHOOSE(CONTROL!$C$38, 0.0369, 0)</f>
        <v>64.335599999999999</v>
      </c>
      <c r="H868" s="14">
        <f>64.2987 * CHOOSE(CONTROL!$C$15, $E$9, 100%, $G$9) + CHOOSE(CONTROL!$C$38, 0.0369, 0)</f>
        <v>64.335599999999999</v>
      </c>
      <c r="I868" s="14">
        <f>64.3003 * CHOOSE(CONTROL!$C$15, $E$9, 100%, $G$9) + CHOOSE(CONTROL!$C$38, 0.0369, 0)</f>
        <v>64.337199999999996</v>
      </c>
      <c r="J868" s="44">
        <f>621.3642</f>
        <v>621.36419999999998</v>
      </c>
    </row>
    <row r="869" spans="1:10" ht="15.75" x14ac:dyDescent="0.25">
      <c r="A869" s="32">
        <v>67388</v>
      </c>
      <c r="B869" s="14">
        <f>68.9541 * CHOOSE(CONTROL!$C$15, $E$9, 100%, $G$9) + CHOOSE(CONTROL!$C$38, 0.0278, 0)</f>
        <v>68.981899999999996</v>
      </c>
      <c r="C869" s="14">
        <f>65.2202 * CHOOSE(CONTROL!$C$15, $E$9, 100%, $G$9) + CHOOSE(CONTROL!$C$38, 0.0369, 0)</f>
        <v>65.257100000000008</v>
      </c>
      <c r="D869" s="14">
        <f>65.2123 * CHOOSE(CONTROL!$C$15, $E$9, 100%, $G$9) + CHOOSE(CONTROL!$C$38, 0.0369, 0)</f>
        <v>65.249200000000002</v>
      </c>
      <c r="E869" s="46">
        <f>68.7978 * CHOOSE(CONTROL!$C$15, $E$9, 100%, $G$9) + CHOOSE(CONTROL!$C$38, 0.0369, 0)</f>
        <v>68.834699999999998</v>
      </c>
      <c r="F869" s="45">
        <f>68.7978 * CHOOSE(CONTROL!$C$15, $E$9, 100%, $G$9) + CHOOSE(CONTROL!$C$38, 0.0278, 0)</f>
        <v>68.825599999999994</v>
      </c>
      <c r="G869" s="14">
        <f>65.2186 * CHOOSE(CONTROL!$C$15, $E$9, 100%, $G$9) + CHOOSE(CONTROL!$C$38, 0.0369, 0)</f>
        <v>65.255499999999998</v>
      </c>
      <c r="H869" s="14">
        <f>65.2186 * CHOOSE(CONTROL!$C$15, $E$9, 100%, $G$9) + CHOOSE(CONTROL!$C$38, 0.0369, 0)</f>
        <v>65.255499999999998</v>
      </c>
      <c r="I869" s="14">
        <f>65.2202 * CHOOSE(CONTROL!$C$15, $E$9, 100%, $G$9) + CHOOSE(CONTROL!$C$38, 0.0369, 0)</f>
        <v>65.257100000000008</v>
      </c>
      <c r="J869" s="44">
        <f>630.3174</f>
        <v>630.31740000000002</v>
      </c>
    </row>
    <row r="870" spans="1:10" ht="15.75" x14ac:dyDescent="0.25">
      <c r="A870" s="32">
        <v>67419</v>
      </c>
      <c r="B870" s="14">
        <f>68.6345 * CHOOSE(CONTROL!$C$15, $E$9, 100%, $G$9) + CHOOSE(CONTROL!$C$38, 0.0278, 0)</f>
        <v>68.662300000000002</v>
      </c>
      <c r="C870" s="14">
        <f>64.9173 * CHOOSE(CONTROL!$C$15, $E$9, 100%, $G$9) + CHOOSE(CONTROL!$C$38, 0.0369, 0)</f>
        <v>64.9542</v>
      </c>
      <c r="D870" s="14">
        <f>64.9095 * CHOOSE(CONTROL!$C$15, $E$9, 100%, $G$9) + CHOOSE(CONTROL!$C$38, 0.0369, 0)</f>
        <v>64.946399999999997</v>
      </c>
      <c r="E870" s="46">
        <f>68.4782 * CHOOSE(CONTROL!$C$15, $E$9, 100%, $G$9) + CHOOSE(CONTROL!$C$38, 0.0369, 0)</f>
        <v>68.515100000000004</v>
      </c>
      <c r="F870" s="45">
        <f>68.4782 * CHOOSE(CONTROL!$C$15, $E$9, 100%, $G$9) + CHOOSE(CONTROL!$C$38, 0.0278, 0)</f>
        <v>68.506</v>
      </c>
      <c r="G870" s="14">
        <f>64.9157 * CHOOSE(CONTROL!$C$15, $E$9, 100%, $G$9) + CHOOSE(CONTROL!$C$38, 0.0369, 0)</f>
        <v>64.952600000000004</v>
      </c>
      <c r="H870" s="14">
        <f>64.9157 * CHOOSE(CONTROL!$C$15, $E$9, 100%, $G$9) + CHOOSE(CONTROL!$C$38, 0.0369, 0)</f>
        <v>64.952600000000004</v>
      </c>
      <c r="I870" s="14">
        <f>64.9173 * CHOOSE(CONTROL!$C$15, $E$9, 100%, $G$9) + CHOOSE(CONTROL!$C$38, 0.0369, 0)</f>
        <v>64.9542</v>
      </c>
      <c r="J870" s="44">
        <f>627.3696</f>
        <v>627.36959999999999</v>
      </c>
    </row>
    <row r="871" spans="1:10" ht="15.75" x14ac:dyDescent="0.25">
      <c r="A871" s="32">
        <v>67450</v>
      </c>
      <c r="B871" s="14">
        <f>67.0511 * CHOOSE(CONTROL!$C$15, $E$9, 100%, $G$9) + CHOOSE(CONTROL!$C$38, 0.0278, 0)</f>
        <v>67.078900000000004</v>
      </c>
      <c r="C871" s="14">
        <f>63.4168 * CHOOSE(CONTROL!$C$15, $E$9, 100%, $G$9) + CHOOSE(CONTROL!$C$38, 0.0369, 0)</f>
        <v>63.453700000000005</v>
      </c>
      <c r="D871" s="14">
        <f>63.409 * CHOOSE(CONTROL!$C$15, $E$9, 100%, $G$9) + CHOOSE(CONTROL!$C$38, 0.0369, 0)</f>
        <v>63.445900000000002</v>
      </c>
      <c r="E871" s="46">
        <f>66.8948 * CHOOSE(CONTROL!$C$15, $E$9, 100%, $G$9) + CHOOSE(CONTROL!$C$38, 0.0369, 0)</f>
        <v>66.931700000000006</v>
      </c>
      <c r="F871" s="45">
        <f>66.8948 * CHOOSE(CONTROL!$C$15, $E$9, 100%, $G$9) + CHOOSE(CONTROL!$C$38, 0.0278, 0)</f>
        <v>66.922600000000003</v>
      </c>
      <c r="G871" s="14">
        <f>63.4152 * CHOOSE(CONTROL!$C$15, $E$9, 100%, $G$9) + CHOOSE(CONTROL!$C$38, 0.0369, 0)</f>
        <v>63.452100000000002</v>
      </c>
      <c r="H871" s="14">
        <f>63.4152 * CHOOSE(CONTROL!$C$15, $E$9, 100%, $G$9) + CHOOSE(CONTROL!$C$38, 0.0369, 0)</f>
        <v>63.452100000000002</v>
      </c>
      <c r="I871" s="14">
        <f>63.4168 * CHOOSE(CONTROL!$C$15, $E$9, 100%, $G$9) + CHOOSE(CONTROL!$C$38, 0.0369, 0)</f>
        <v>63.453700000000005</v>
      </c>
      <c r="J871" s="44">
        <f>612.7647</f>
        <v>612.76469999999995</v>
      </c>
    </row>
    <row r="872" spans="1:10" ht="15.75" x14ac:dyDescent="0.25">
      <c r="A872" s="32">
        <v>67480</v>
      </c>
      <c r="B872" s="14">
        <f>64.8429 * CHOOSE(CONTROL!$C$15, $E$9, 100%, $G$9) + CHOOSE(CONTROL!$C$38, 0.0278, 0)</f>
        <v>64.870699999999999</v>
      </c>
      <c r="C872" s="14">
        <f>61.3242 * CHOOSE(CONTROL!$C$15, $E$9, 100%, $G$9) + CHOOSE(CONTROL!$C$38, 0.0369, 0)</f>
        <v>61.3611</v>
      </c>
      <c r="D872" s="14">
        <f>61.3164 * CHOOSE(CONTROL!$C$15, $E$9, 100%, $G$9) + CHOOSE(CONTROL!$C$38, 0.0369, 0)</f>
        <v>61.353300000000004</v>
      </c>
      <c r="E872" s="46">
        <f>64.6867 * CHOOSE(CONTROL!$C$15, $E$9, 100%, $G$9) + CHOOSE(CONTROL!$C$38, 0.0369, 0)</f>
        <v>64.723600000000005</v>
      </c>
      <c r="F872" s="45">
        <f>64.6867 * CHOOSE(CONTROL!$C$15, $E$9, 100%, $G$9) + CHOOSE(CONTROL!$C$38, 0.0278, 0)</f>
        <v>64.714500000000001</v>
      </c>
      <c r="G872" s="14">
        <f>61.3227 * CHOOSE(CONTROL!$C$15, $E$9, 100%, $G$9) + CHOOSE(CONTROL!$C$38, 0.0369, 0)</f>
        <v>61.3596</v>
      </c>
      <c r="H872" s="14">
        <f>61.3227 * CHOOSE(CONTROL!$C$15, $E$9, 100%, $G$9) + CHOOSE(CONTROL!$C$38, 0.0369, 0)</f>
        <v>61.3596</v>
      </c>
      <c r="I872" s="14">
        <f>61.3242 * CHOOSE(CONTROL!$C$15, $E$9, 100%, $G$9) + CHOOSE(CONTROL!$C$38, 0.0369, 0)</f>
        <v>61.3611</v>
      </c>
      <c r="J872" s="44">
        <f>592.3975</f>
        <v>592.39750000000004</v>
      </c>
    </row>
    <row r="873" spans="1:10" ht="15.75" x14ac:dyDescent="0.25">
      <c r="A873" s="32">
        <v>67511</v>
      </c>
      <c r="B873" s="14">
        <f>62.6219 * CHOOSE(CONTROL!$C$15, $E$9, 100%, $G$9) + CHOOSE(CONTROL!$C$38, 0.0256, 0)</f>
        <v>62.647499999999994</v>
      </c>
      <c r="C873" s="14">
        <f>59.2195 * CHOOSE(CONTROL!$C$15, $E$9, 100%, $G$9) + CHOOSE(CONTROL!$C$38, 0.0347, 0)</f>
        <v>59.254199999999997</v>
      </c>
      <c r="D873" s="14">
        <f>59.2117 * CHOOSE(CONTROL!$C$15, $E$9, 100%, $G$9) + CHOOSE(CONTROL!$C$38, 0.0347, 0)</f>
        <v>59.246400000000001</v>
      </c>
      <c r="E873" s="46">
        <f>62.4657 * CHOOSE(CONTROL!$C$15, $E$9, 100%, $G$9) + CHOOSE(CONTROL!$C$38, 0.0347, 0)</f>
        <v>62.500399999999999</v>
      </c>
      <c r="F873" s="45">
        <f>62.4657 * CHOOSE(CONTROL!$C$15, $E$9, 100%, $G$9) + CHOOSE(CONTROL!$C$38, 0.0256, 0)</f>
        <v>62.491299999999995</v>
      </c>
      <c r="G873" s="14">
        <f>59.218 * CHOOSE(CONTROL!$C$15, $E$9, 100%, $G$9) + CHOOSE(CONTROL!$C$38, 0.0347, 0)</f>
        <v>59.252700000000004</v>
      </c>
      <c r="H873" s="14">
        <f>59.218 * CHOOSE(CONTROL!$C$15, $E$9, 100%, $G$9) + CHOOSE(CONTROL!$C$38, 0.0347, 0)</f>
        <v>59.252700000000004</v>
      </c>
      <c r="I873" s="14">
        <f>59.2195 * CHOOSE(CONTROL!$C$15, $E$9, 100%, $G$9) + CHOOSE(CONTROL!$C$38, 0.0347, 0)</f>
        <v>59.254199999999997</v>
      </c>
      <c r="J873" s="44">
        <f>571.9117</f>
        <v>571.9117</v>
      </c>
    </row>
    <row r="874" spans="1:10" ht="15.75" x14ac:dyDescent="0.25">
      <c r="A874" s="32">
        <v>67541</v>
      </c>
      <c r="B874" s="14">
        <f>62.1801 * CHOOSE(CONTROL!$C$15, $E$9, 100%, $G$9) + CHOOSE(CONTROL!$C$38, 0.0256, 0)</f>
        <v>62.2057</v>
      </c>
      <c r="C874" s="14">
        <f>58.8008 * CHOOSE(CONTROL!$C$15, $E$9, 100%, $G$9) + CHOOSE(CONTROL!$C$38, 0.0347, 0)</f>
        <v>58.835500000000003</v>
      </c>
      <c r="D874" s="14">
        <f>58.793 * CHOOSE(CONTROL!$C$15, $E$9, 100%, $G$9) + CHOOSE(CONTROL!$C$38, 0.0347, 0)</f>
        <v>58.8277</v>
      </c>
      <c r="E874" s="46">
        <f>62.0239 * CHOOSE(CONTROL!$C$15, $E$9, 100%, $G$9) + CHOOSE(CONTROL!$C$38, 0.0347, 0)</f>
        <v>62.058599999999998</v>
      </c>
      <c r="F874" s="45">
        <f>62.0239 * CHOOSE(CONTROL!$C$15, $E$9, 100%, $G$9) + CHOOSE(CONTROL!$C$38, 0.0256, 0)</f>
        <v>62.049499999999995</v>
      </c>
      <c r="G874" s="14">
        <f>58.7993 * CHOOSE(CONTROL!$C$15, $E$9, 100%, $G$9) + CHOOSE(CONTROL!$C$38, 0.0347, 0)</f>
        <v>58.834000000000003</v>
      </c>
      <c r="H874" s="14">
        <f>58.7993 * CHOOSE(CONTROL!$C$15, $E$9, 100%, $G$9) + CHOOSE(CONTROL!$C$38, 0.0347, 0)</f>
        <v>58.834000000000003</v>
      </c>
      <c r="I874" s="14">
        <f>58.8008 * CHOOSE(CONTROL!$C$15, $E$9, 100%, $G$9) + CHOOSE(CONTROL!$C$38, 0.0347, 0)</f>
        <v>58.835500000000003</v>
      </c>
      <c r="J874" s="44">
        <f>567.8367</f>
        <v>567.83669999999995</v>
      </c>
    </row>
    <row r="875" spans="1:10" ht="15.75" x14ac:dyDescent="0.25">
      <c r="A875" s="32">
        <v>67572</v>
      </c>
      <c r="B875" s="14">
        <f>60.3532 * CHOOSE(CONTROL!$C$15, $E$9, 100%, $G$9) + CHOOSE(CONTROL!$C$38, 0.0256, 0)</f>
        <v>60.378799999999998</v>
      </c>
      <c r="C875" s="14">
        <f>57.0696 * CHOOSE(CONTROL!$C$15, $E$9, 100%, $G$9) + CHOOSE(CONTROL!$C$38, 0.0347, 0)</f>
        <v>57.104300000000002</v>
      </c>
      <c r="D875" s="14">
        <f>57.0618 * CHOOSE(CONTROL!$C$15, $E$9, 100%, $G$9) + CHOOSE(CONTROL!$C$38, 0.0347, 0)</f>
        <v>57.096499999999999</v>
      </c>
      <c r="E875" s="46">
        <f>60.197 * CHOOSE(CONTROL!$C$15, $E$9, 100%, $G$9) + CHOOSE(CONTROL!$C$38, 0.0347, 0)</f>
        <v>60.231700000000004</v>
      </c>
      <c r="F875" s="45">
        <f>60.197 * CHOOSE(CONTROL!$C$15, $E$9, 100%, $G$9) + CHOOSE(CONTROL!$C$38, 0.0256, 0)</f>
        <v>60.2226</v>
      </c>
      <c r="G875" s="14">
        <f>57.068 * CHOOSE(CONTROL!$C$15, $E$9, 100%, $G$9) + CHOOSE(CONTROL!$C$38, 0.0347, 0)</f>
        <v>57.102699999999999</v>
      </c>
      <c r="H875" s="14">
        <f>57.068 * CHOOSE(CONTROL!$C$15, $E$9, 100%, $G$9) + CHOOSE(CONTROL!$C$38, 0.0347, 0)</f>
        <v>57.102699999999999</v>
      </c>
      <c r="I875" s="14">
        <f>57.0696 * CHOOSE(CONTROL!$C$15, $E$9, 100%, $G$9) + CHOOSE(CONTROL!$C$38, 0.0347, 0)</f>
        <v>57.104300000000002</v>
      </c>
      <c r="J875" s="44">
        <f>550.9861</f>
        <v>550.98609999999996</v>
      </c>
    </row>
    <row r="876" spans="1:10" ht="15.75" x14ac:dyDescent="0.25">
      <c r="A876" s="32">
        <v>67603</v>
      </c>
      <c r="B876" s="14">
        <f>59.8996 * CHOOSE(CONTROL!$C$15, $E$9, 100%, $G$9) + CHOOSE(CONTROL!$C$38, 0.0256, 0)</f>
        <v>59.925199999999997</v>
      </c>
      <c r="C876" s="14">
        <f>56.6397 * CHOOSE(CONTROL!$C$15, $E$9, 100%, $G$9) + CHOOSE(CONTROL!$C$38, 0.0347, 0)</f>
        <v>56.674399999999999</v>
      </c>
      <c r="D876" s="14">
        <f>56.6319 * CHOOSE(CONTROL!$C$15, $E$9, 100%, $G$9) + CHOOSE(CONTROL!$C$38, 0.0347, 0)</f>
        <v>56.666600000000003</v>
      </c>
      <c r="E876" s="46">
        <f>59.7433 * CHOOSE(CONTROL!$C$15, $E$9, 100%, $G$9) + CHOOSE(CONTROL!$C$38, 0.0347, 0)</f>
        <v>59.777999999999999</v>
      </c>
      <c r="F876" s="45">
        <f>59.7433 * CHOOSE(CONTROL!$C$15, $E$9, 100%, $G$9) + CHOOSE(CONTROL!$C$38, 0.0256, 0)</f>
        <v>59.768899999999995</v>
      </c>
      <c r="G876" s="14">
        <f>56.6381 * CHOOSE(CONTROL!$C$15, $E$9, 100%, $G$9) + CHOOSE(CONTROL!$C$38, 0.0347, 0)</f>
        <v>56.672800000000002</v>
      </c>
      <c r="H876" s="14">
        <f>56.6381 * CHOOSE(CONTROL!$C$15, $E$9, 100%, $G$9) + CHOOSE(CONTROL!$C$38, 0.0347, 0)</f>
        <v>56.672800000000002</v>
      </c>
      <c r="I876" s="14">
        <f>56.6397 * CHOOSE(CONTROL!$C$15, $E$9, 100%, $G$9) + CHOOSE(CONTROL!$C$38, 0.0347, 0)</f>
        <v>56.674399999999999</v>
      </c>
      <c r="J876" s="44">
        <f>550.2756</f>
        <v>550.27560000000005</v>
      </c>
    </row>
    <row r="877" spans="1:10" ht="15.75" x14ac:dyDescent="0.25">
      <c r="A877" s="32">
        <v>67631</v>
      </c>
      <c r="B877" s="14">
        <f>59.7348 * CHOOSE(CONTROL!$C$15, $E$9, 100%, $G$9) + CHOOSE(CONTROL!$C$38, 0.0256, 0)</f>
        <v>59.760399999999997</v>
      </c>
      <c r="C877" s="14">
        <f>56.4835 * CHOOSE(CONTROL!$C$15, $E$9, 100%, $G$9) + CHOOSE(CONTROL!$C$38, 0.0347, 0)</f>
        <v>56.5182</v>
      </c>
      <c r="D877" s="14">
        <f>56.4757 * CHOOSE(CONTROL!$C$15, $E$9, 100%, $G$9) + CHOOSE(CONTROL!$C$38, 0.0347, 0)</f>
        <v>56.510400000000004</v>
      </c>
      <c r="E877" s="46">
        <f>59.5785 * CHOOSE(CONTROL!$C$15, $E$9, 100%, $G$9) + CHOOSE(CONTROL!$C$38, 0.0347, 0)</f>
        <v>59.613199999999999</v>
      </c>
      <c r="F877" s="45">
        <f>59.5785 * CHOOSE(CONTROL!$C$15, $E$9, 100%, $G$9) + CHOOSE(CONTROL!$C$38, 0.0256, 0)</f>
        <v>59.604099999999995</v>
      </c>
      <c r="G877" s="14">
        <f>56.482 * CHOOSE(CONTROL!$C$15, $E$9, 100%, $G$9) + CHOOSE(CONTROL!$C$38, 0.0347, 0)</f>
        <v>56.5167</v>
      </c>
      <c r="H877" s="14">
        <f>56.482 * CHOOSE(CONTROL!$C$15, $E$9, 100%, $G$9) + CHOOSE(CONTROL!$C$38, 0.0347, 0)</f>
        <v>56.5167</v>
      </c>
      <c r="I877" s="14">
        <f>56.4835 * CHOOSE(CONTROL!$C$15, $E$9, 100%, $G$9) + CHOOSE(CONTROL!$C$38, 0.0347, 0)</f>
        <v>56.5182</v>
      </c>
      <c r="J877" s="44">
        <f>548.746</f>
        <v>548.74599999999998</v>
      </c>
    </row>
    <row r="878" spans="1:10" ht="15.75" x14ac:dyDescent="0.25">
      <c r="A878" s="32">
        <v>67662</v>
      </c>
      <c r="B878" s="14">
        <f>62.8506 * CHOOSE(CONTROL!$C$15, $E$9, 100%, $G$9) + CHOOSE(CONTROL!$C$38, 0.0256, 0)</f>
        <v>62.876199999999997</v>
      </c>
      <c r="C878" s="14">
        <f>59.4362 * CHOOSE(CONTROL!$C$15, $E$9, 100%, $G$9) + CHOOSE(CONTROL!$C$38, 0.0347, 0)</f>
        <v>59.4709</v>
      </c>
      <c r="D878" s="14">
        <f>59.4284 * CHOOSE(CONTROL!$C$15, $E$9, 100%, $G$9) + CHOOSE(CONTROL!$C$38, 0.0347, 0)</f>
        <v>59.463100000000004</v>
      </c>
      <c r="E878" s="46">
        <f>62.6944 * CHOOSE(CONTROL!$C$15, $E$9, 100%, $G$9) + CHOOSE(CONTROL!$C$38, 0.0347, 0)</f>
        <v>62.729100000000003</v>
      </c>
      <c r="F878" s="45">
        <f>62.6944 * CHOOSE(CONTROL!$C$15, $E$9, 100%, $G$9) + CHOOSE(CONTROL!$C$38, 0.0256, 0)</f>
        <v>62.72</v>
      </c>
      <c r="G878" s="14">
        <f>59.4347 * CHOOSE(CONTROL!$C$15, $E$9, 100%, $G$9) + CHOOSE(CONTROL!$C$38, 0.0347, 0)</f>
        <v>59.4694</v>
      </c>
      <c r="H878" s="14">
        <f>59.4347 * CHOOSE(CONTROL!$C$15, $E$9, 100%, $G$9) + CHOOSE(CONTROL!$C$38, 0.0347, 0)</f>
        <v>59.4694</v>
      </c>
      <c r="I878" s="14">
        <f>59.4362 * CHOOSE(CONTROL!$C$15, $E$9, 100%, $G$9) + CHOOSE(CONTROL!$C$38, 0.0347, 0)</f>
        <v>59.4709</v>
      </c>
      <c r="J878" s="44">
        <f>577.6681</f>
        <v>577.66809999999998</v>
      </c>
    </row>
    <row r="879" spans="1:10" ht="15.75" x14ac:dyDescent="0.25">
      <c r="A879" s="32">
        <v>67692</v>
      </c>
      <c r="B879" s="14">
        <f>66.8911 * CHOOSE(CONTROL!$C$15, $E$9, 100%, $G$9) + CHOOSE(CONTROL!$C$38, 0.0256, 0)</f>
        <v>66.916699999999992</v>
      </c>
      <c r="C879" s="14">
        <f>63.2652 * CHOOSE(CONTROL!$C$15, $E$9, 100%, $G$9) + CHOOSE(CONTROL!$C$38, 0.0347, 0)</f>
        <v>63.299900000000001</v>
      </c>
      <c r="D879" s="14">
        <f>63.2574 * CHOOSE(CONTROL!$C$15, $E$9, 100%, $G$9) + CHOOSE(CONTROL!$C$38, 0.0347, 0)</f>
        <v>63.292099999999998</v>
      </c>
      <c r="E879" s="46">
        <f>66.7349 * CHOOSE(CONTROL!$C$15, $E$9, 100%, $G$9) + CHOOSE(CONTROL!$C$38, 0.0347, 0)</f>
        <v>66.769599999999997</v>
      </c>
      <c r="F879" s="45">
        <f>66.7349 * CHOOSE(CONTROL!$C$15, $E$9, 100%, $G$9) + CHOOSE(CONTROL!$C$38, 0.0256, 0)</f>
        <v>66.760499999999993</v>
      </c>
      <c r="G879" s="14">
        <f>63.2636 * CHOOSE(CONTROL!$C$15, $E$9, 100%, $G$9) + CHOOSE(CONTROL!$C$38, 0.0347, 0)</f>
        <v>63.298299999999998</v>
      </c>
      <c r="H879" s="14">
        <f>63.2636 * CHOOSE(CONTROL!$C$15, $E$9, 100%, $G$9) + CHOOSE(CONTROL!$C$38, 0.0347, 0)</f>
        <v>63.298299999999998</v>
      </c>
      <c r="I879" s="14">
        <f>63.2652 * CHOOSE(CONTROL!$C$15, $E$9, 100%, $G$9) + CHOOSE(CONTROL!$C$38, 0.0347, 0)</f>
        <v>63.299900000000001</v>
      </c>
      <c r="J879" s="44">
        <f>615.1732</f>
        <v>615.17319999999995</v>
      </c>
    </row>
    <row r="880" spans="1:10" ht="15.75" x14ac:dyDescent="0.25">
      <c r="A880" s="32">
        <v>67723</v>
      </c>
      <c r="B880" s="14">
        <f>69.1151 * CHOOSE(CONTROL!$C$15, $E$9, 100%, $G$9) + CHOOSE(CONTROL!$C$38, 0.0278, 0)</f>
        <v>69.142899999999997</v>
      </c>
      <c r="C880" s="14">
        <f>65.3728 * CHOOSE(CONTROL!$C$15, $E$9, 100%, $G$9) + CHOOSE(CONTROL!$C$38, 0.0369, 0)</f>
        <v>65.409700000000001</v>
      </c>
      <c r="D880" s="14">
        <f>65.365 * CHOOSE(CONTROL!$C$15, $E$9, 100%, $G$9) + CHOOSE(CONTROL!$C$38, 0.0369, 0)</f>
        <v>65.401899999999998</v>
      </c>
      <c r="E880" s="46">
        <f>68.9589 * CHOOSE(CONTROL!$C$15, $E$9, 100%, $G$9) + CHOOSE(CONTROL!$C$38, 0.0369, 0)</f>
        <v>68.995800000000003</v>
      </c>
      <c r="F880" s="45">
        <f>68.9589 * CHOOSE(CONTROL!$C$15, $E$9, 100%, $G$9) + CHOOSE(CONTROL!$C$38, 0.0278, 0)</f>
        <v>68.986699999999999</v>
      </c>
      <c r="G880" s="14">
        <f>65.3712 * CHOOSE(CONTROL!$C$15, $E$9, 100%, $G$9) + CHOOSE(CONTROL!$C$38, 0.0369, 0)</f>
        <v>65.408100000000005</v>
      </c>
      <c r="H880" s="14">
        <f>65.3712 * CHOOSE(CONTROL!$C$15, $E$9, 100%, $G$9) + CHOOSE(CONTROL!$C$38, 0.0369, 0)</f>
        <v>65.408100000000005</v>
      </c>
      <c r="I880" s="14">
        <f>65.3728 * CHOOSE(CONTROL!$C$15, $E$9, 100%, $G$9) + CHOOSE(CONTROL!$C$38, 0.0369, 0)</f>
        <v>65.409700000000001</v>
      </c>
      <c r="J880" s="44">
        <f>635.8172</f>
        <v>635.81719999999996</v>
      </c>
    </row>
    <row r="881" spans="1:10" ht="15.75" x14ac:dyDescent="0.25">
      <c r="A881" s="32">
        <v>67753</v>
      </c>
      <c r="B881" s="14">
        <f>70.1021 * CHOOSE(CONTROL!$C$15, $E$9, 100%, $G$9) + CHOOSE(CONTROL!$C$38, 0.0278, 0)</f>
        <v>70.129899999999992</v>
      </c>
      <c r="C881" s="14">
        <f>66.3081 * CHOOSE(CONTROL!$C$15, $E$9, 100%, $G$9) + CHOOSE(CONTROL!$C$38, 0.0369, 0)</f>
        <v>66.344999999999999</v>
      </c>
      <c r="D881" s="14">
        <f>66.3003 * CHOOSE(CONTROL!$C$15, $E$9, 100%, $G$9) + CHOOSE(CONTROL!$C$38, 0.0369, 0)</f>
        <v>66.337199999999996</v>
      </c>
      <c r="E881" s="46">
        <f>69.9459 * CHOOSE(CONTROL!$C$15, $E$9, 100%, $G$9) + CHOOSE(CONTROL!$C$38, 0.0369, 0)</f>
        <v>69.982799999999997</v>
      </c>
      <c r="F881" s="45">
        <f>69.9459 * CHOOSE(CONTROL!$C$15, $E$9, 100%, $G$9) + CHOOSE(CONTROL!$C$38, 0.0278, 0)</f>
        <v>69.973699999999994</v>
      </c>
      <c r="G881" s="14">
        <f>66.3065 * CHOOSE(CONTROL!$C$15, $E$9, 100%, $G$9) + CHOOSE(CONTROL!$C$38, 0.0369, 0)</f>
        <v>66.343400000000003</v>
      </c>
      <c r="H881" s="14">
        <f>66.3065 * CHOOSE(CONTROL!$C$15, $E$9, 100%, $G$9) + CHOOSE(CONTROL!$C$38, 0.0369, 0)</f>
        <v>66.343400000000003</v>
      </c>
      <c r="I881" s="14">
        <f>66.3081 * CHOOSE(CONTROL!$C$15, $E$9, 100%, $G$9) + CHOOSE(CONTROL!$C$38, 0.0369, 0)</f>
        <v>66.344999999999999</v>
      </c>
      <c r="J881" s="44">
        <f>644.9786</f>
        <v>644.97860000000003</v>
      </c>
    </row>
    <row r="882" spans="1:10" ht="15.75" x14ac:dyDescent="0.25">
      <c r="A882" s="32">
        <v>67784</v>
      </c>
      <c r="B882" s="14">
        <f>69.7772 * CHOOSE(CONTROL!$C$15, $E$9, 100%, $G$9) + CHOOSE(CONTROL!$C$38, 0.0278, 0)</f>
        <v>69.804999999999993</v>
      </c>
      <c r="C882" s="14">
        <f>66.0001 * CHOOSE(CONTROL!$C$15, $E$9, 100%, $G$9) + CHOOSE(CONTROL!$C$38, 0.0369, 0)</f>
        <v>66.037000000000006</v>
      </c>
      <c r="D882" s="14">
        <f>65.9923 * CHOOSE(CONTROL!$C$15, $E$9, 100%, $G$9) + CHOOSE(CONTROL!$C$38, 0.0369, 0)</f>
        <v>66.029200000000003</v>
      </c>
      <c r="E882" s="46">
        <f>69.6209 * CHOOSE(CONTROL!$C$15, $E$9, 100%, $G$9) + CHOOSE(CONTROL!$C$38, 0.0369, 0)</f>
        <v>69.657800000000009</v>
      </c>
      <c r="F882" s="45">
        <f>69.6209 * CHOOSE(CONTROL!$C$15, $E$9, 100%, $G$9) + CHOOSE(CONTROL!$C$38, 0.0278, 0)</f>
        <v>69.648700000000005</v>
      </c>
      <c r="G882" s="14">
        <f>65.9986 * CHOOSE(CONTROL!$C$15, $E$9, 100%, $G$9) + CHOOSE(CONTROL!$C$38, 0.0369, 0)</f>
        <v>66.035499999999999</v>
      </c>
      <c r="H882" s="14">
        <f>65.9986 * CHOOSE(CONTROL!$C$15, $E$9, 100%, $G$9) + CHOOSE(CONTROL!$C$38, 0.0369, 0)</f>
        <v>66.035499999999999</v>
      </c>
      <c r="I882" s="14">
        <f>66.0001 * CHOOSE(CONTROL!$C$15, $E$9, 100%, $G$9) + CHOOSE(CONTROL!$C$38, 0.0369, 0)</f>
        <v>66.037000000000006</v>
      </c>
      <c r="J882" s="44">
        <f>641.9622</f>
        <v>641.96220000000005</v>
      </c>
    </row>
    <row r="883" spans="1:10" ht="15.75" x14ac:dyDescent="0.25">
      <c r="A883" s="32">
        <v>67815</v>
      </c>
      <c r="B883" s="14">
        <f>68.1671 * CHOOSE(CONTROL!$C$15, $E$9, 100%, $G$9) + CHOOSE(CONTROL!$C$38, 0.0278, 0)</f>
        <v>68.194900000000004</v>
      </c>
      <c r="C883" s="14">
        <f>64.4744 * CHOOSE(CONTROL!$C$15, $E$9, 100%, $G$9) + CHOOSE(CONTROL!$C$38, 0.0369, 0)</f>
        <v>64.511300000000006</v>
      </c>
      <c r="D883" s="14">
        <f>64.4666 * CHOOSE(CONTROL!$C$15, $E$9, 100%, $G$9) + CHOOSE(CONTROL!$C$38, 0.0369, 0)</f>
        <v>64.503500000000003</v>
      </c>
      <c r="E883" s="46">
        <f>68.0109 * CHOOSE(CONTROL!$C$15, $E$9, 100%, $G$9) + CHOOSE(CONTROL!$C$38, 0.0369, 0)</f>
        <v>68.047800000000009</v>
      </c>
      <c r="F883" s="45">
        <f>68.0109 * CHOOSE(CONTROL!$C$15, $E$9, 100%, $G$9) + CHOOSE(CONTROL!$C$38, 0.0278, 0)</f>
        <v>68.038700000000006</v>
      </c>
      <c r="G883" s="14">
        <f>64.4729 * CHOOSE(CONTROL!$C$15, $E$9, 100%, $G$9) + CHOOSE(CONTROL!$C$38, 0.0369, 0)</f>
        <v>64.509799999999998</v>
      </c>
      <c r="H883" s="14">
        <f>64.4729 * CHOOSE(CONTROL!$C$15, $E$9, 100%, $G$9) + CHOOSE(CONTROL!$C$38, 0.0369, 0)</f>
        <v>64.509799999999998</v>
      </c>
      <c r="I883" s="14">
        <f>64.4744 * CHOOSE(CONTROL!$C$15, $E$9, 100%, $G$9) + CHOOSE(CONTROL!$C$38, 0.0369, 0)</f>
        <v>64.511300000000006</v>
      </c>
      <c r="J883" s="44">
        <f>627.0176</f>
        <v>627.01760000000002</v>
      </c>
    </row>
    <row r="884" spans="1:10" ht="15.75" x14ac:dyDescent="0.25">
      <c r="A884" s="32">
        <v>67845</v>
      </c>
      <c r="B884" s="14">
        <f>65.9219 * CHOOSE(CONTROL!$C$15, $E$9, 100%, $G$9) + CHOOSE(CONTROL!$C$38, 0.0278, 0)</f>
        <v>65.949699999999993</v>
      </c>
      <c r="C884" s="14">
        <f>62.3467 * CHOOSE(CONTROL!$C$15, $E$9, 100%, $G$9) + CHOOSE(CONTROL!$C$38, 0.0369, 0)</f>
        <v>62.383600000000001</v>
      </c>
      <c r="D884" s="14">
        <f>62.3389 * CHOOSE(CONTROL!$C$15, $E$9, 100%, $G$9) + CHOOSE(CONTROL!$C$38, 0.0369, 0)</f>
        <v>62.375800000000005</v>
      </c>
      <c r="E884" s="46">
        <f>65.7656 * CHOOSE(CONTROL!$C$15, $E$9, 100%, $G$9) + CHOOSE(CONTROL!$C$38, 0.0369, 0)</f>
        <v>65.802500000000009</v>
      </c>
      <c r="F884" s="45">
        <f>65.7656 * CHOOSE(CONTROL!$C$15, $E$9, 100%, $G$9) + CHOOSE(CONTROL!$C$38, 0.0278, 0)</f>
        <v>65.793400000000005</v>
      </c>
      <c r="G884" s="14">
        <f>62.3452 * CHOOSE(CONTROL!$C$15, $E$9, 100%, $G$9) + CHOOSE(CONTROL!$C$38, 0.0369, 0)</f>
        <v>62.382100000000001</v>
      </c>
      <c r="H884" s="14">
        <f>62.3452 * CHOOSE(CONTROL!$C$15, $E$9, 100%, $G$9) + CHOOSE(CONTROL!$C$38, 0.0369, 0)</f>
        <v>62.382100000000001</v>
      </c>
      <c r="I884" s="14">
        <f>62.3467 * CHOOSE(CONTROL!$C$15, $E$9, 100%, $G$9) + CHOOSE(CONTROL!$C$38, 0.0369, 0)</f>
        <v>62.383600000000001</v>
      </c>
      <c r="J884" s="44">
        <f>606.1766</f>
        <v>606.17660000000001</v>
      </c>
    </row>
    <row r="885" spans="1:10" ht="15.75" x14ac:dyDescent="0.25">
      <c r="A885" s="32">
        <v>67876</v>
      </c>
      <c r="B885" s="14">
        <f>63.6636 * CHOOSE(CONTROL!$C$15, $E$9, 100%, $G$9) + CHOOSE(CONTROL!$C$38, 0.0256, 0)</f>
        <v>63.6892</v>
      </c>
      <c r="C885" s="14">
        <f>60.2066 * CHOOSE(CONTROL!$C$15, $E$9, 100%, $G$9) + CHOOSE(CONTROL!$C$38, 0.0347, 0)</f>
        <v>60.241300000000003</v>
      </c>
      <c r="D885" s="14">
        <f>60.1988 * CHOOSE(CONTROL!$C$15, $E$9, 100%, $G$9) + CHOOSE(CONTROL!$C$38, 0.0347, 0)</f>
        <v>60.233499999999999</v>
      </c>
      <c r="E885" s="46">
        <f>63.5073 * CHOOSE(CONTROL!$C$15, $E$9, 100%, $G$9) + CHOOSE(CONTROL!$C$38, 0.0347, 0)</f>
        <v>63.542000000000002</v>
      </c>
      <c r="F885" s="45">
        <f>63.5073 * CHOOSE(CONTROL!$C$15, $E$9, 100%, $G$9) + CHOOSE(CONTROL!$C$38, 0.0256, 0)</f>
        <v>63.532899999999998</v>
      </c>
      <c r="G885" s="14">
        <f>60.2051 * CHOOSE(CONTROL!$C$15, $E$9, 100%, $G$9) + CHOOSE(CONTROL!$C$38, 0.0347, 0)</f>
        <v>60.239800000000002</v>
      </c>
      <c r="H885" s="14">
        <f>60.2051 * CHOOSE(CONTROL!$C$15, $E$9, 100%, $G$9) + CHOOSE(CONTROL!$C$38, 0.0347, 0)</f>
        <v>60.239800000000002</v>
      </c>
      <c r="I885" s="14">
        <f>60.2066 * CHOOSE(CONTROL!$C$15, $E$9, 100%, $G$9) + CHOOSE(CONTROL!$C$38, 0.0347, 0)</f>
        <v>60.241300000000003</v>
      </c>
      <c r="J885" s="44">
        <f>585.2144</f>
        <v>585.21439999999996</v>
      </c>
    </row>
    <row r="886" spans="1:10" ht="15.75" x14ac:dyDescent="0.25">
      <c r="A886" s="32">
        <v>67906</v>
      </c>
      <c r="B886" s="14">
        <f>63.2144 * CHOOSE(CONTROL!$C$15, $E$9, 100%, $G$9) + CHOOSE(CONTROL!$C$38, 0.0256, 0)</f>
        <v>63.239999999999995</v>
      </c>
      <c r="C886" s="14">
        <f>59.7809 * CHOOSE(CONTROL!$C$15, $E$9, 100%, $G$9) + CHOOSE(CONTROL!$C$38, 0.0347, 0)</f>
        <v>59.815600000000003</v>
      </c>
      <c r="D886" s="14">
        <f>59.7731 * CHOOSE(CONTROL!$C$15, $E$9, 100%, $G$9) + CHOOSE(CONTROL!$C$38, 0.0347, 0)</f>
        <v>59.8078</v>
      </c>
      <c r="E886" s="46">
        <f>63.0581 * CHOOSE(CONTROL!$C$15, $E$9, 100%, $G$9) + CHOOSE(CONTROL!$C$38, 0.0347, 0)</f>
        <v>63.092800000000004</v>
      </c>
      <c r="F886" s="45">
        <f>63.0581 * CHOOSE(CONTROL!$C$15, $E$9, 100%, $G$9) + CHOOSE(CONTROL!$C$38, 0.0256, 0)</f>
        <v>63.0837</v>
      </c>
      <c r="G886" s="14">
        <f>59.7794 * CHOOSE(CONTROL!$C$15, $E$9, 100%, $G$9) + CHOOSE(CONTROL!$C$38, 0.0347, 0)</f>
        <v>59.814100000000003</v>
      </c>
      <c r="H886" s="14">
        <f>59.7794 * CHOOSE(CONTROL!$C$15, $E$9, 100%, $G$9) + CHOOSE(CONTROL!$C$38, 0.0347, 0)</f>
        <v>59.814100000000003</v>
      </c>
      <c r="I886" s="14">
        <f>59.7809 * CHOOSE(CONTROL!$C$15, $E$9, 100%, $G$9) + CHOOSE(CONTROL!$C$38, 0.0347, 0)</f>
        <v>59.815600000000003</v>
      </c>
      <c r="J886" s="44">
        <f>581.0446</f>
        <v>581.04459999999995</v>
      </c>
    </row>
    <row r="887" spans="1:10" ht="15.75" x14ac:dyDescent="0.25">
      <c r="A887" s="32">
        <v>67937</v>
      </c>
      <c r="B887" s="14">
        <f>61.3568 * CHOOSE(CONTROL!$C$15, $E$9, 100%, $G$9) + CHOOSE(CONTROL!$C$38, 0.0256, 0)</f>
        <v>61.382399999999997</v>
      </c>
      <c r="C887" s="14">
        <f>58.0206 * CHOOSE(CONTROL!$C$15, $E$9, 100%, $G$9) + CHOOSE(CONTROL!$C$38, 0.0347, 0)</f>
        <v>58.055300000000003</v>
      </c>
      <c r="D887" s="14">
        <f>58.0128 * CHOOSE(CONTROL!$C$15, $E$9, 100%, $G$9) + CHOOSE(CONTROL!$C$38, 0.0347, 0)</f>
        <v>58.047499999999999</v>
      </c>
      <c r="E887" s="46">
        <f>61.2005 * CHOOSE(CONTROL!$C$15, $E$9, 100%, $G$9) + CHOOSE(CONTROL!$C$38, 0.0347, 0)</f>
        <v>61.235199999999999</v>
      </c>
      <c r="F887" s="45">
        <f>61.2005 * CHOOSE(CONTROL!$C$15, $E$9, 100%, $G$9) + CHOOSE(CONTROL!$C$38, 0.0256, 0)</f>
        <v>61.226099999999995</v>
      </c>
      <c r="G887" s="14">
        <f>58.0191 * CHOOSE(CONTROL!$C$15, $E$9, 100%, $G$9) + CHOOSE(CONTROL!$C$38, 0.0347, 0)</f>
        <v>58.053800000000003</v>
      </c>
      <c r="H887" s="14">
        <f>58.0191 * CHOOSE(CONTROL!$C$15, $E$9, 100%, $G$9) + CHOOSE(CONTROL!$C$38, 0.0347, 0)</f>
        <v>58.053800000000003</v>
      </c>
      <c r="I887" s="14">
        <f>58.0206 * CHOOSE(CONTROL!$C$15, $E$9, 100%, $G$9) + CHOOSE(CONTROL!$C$38, 0.0347, 0)</f>
        <v>58.055300000000003</v>
      </c>
      <c r="J887" s="44">
        <f>563.8021</f>
        <v>563.8021</v>
      </c>
    </row>
    <row r="888" spans="1:10" ht="15.75" x14ac:dyDescent="0.25">
      <c r="A888" s="32">
        <v>67968</v>
      </c>
      <c r="B888" s="14">
        <f>60.8955 * CHOOSE(CONTROL!$C$15, $E$9, 100%, $G$9) + CHOOSE(CONTROL!$C$38, 0.0256, 0)</f>
        <v>60.921099999999996</v>
      </c>
      <c r="C888" s="14">
        <f>57.5835 * CHOOSE(CONTROL!$C$15, $E$9, 100%, $G$9) + CHOOSE(CONTROL!$C$38, 0.0347, 0)</f>
        <v>57.618200000000002</v>
      </c>
      <c r="D888" s="14">
        <f>57.5756 * CHOOSE(CONTROL!$C$15, $E$9, 100%, $G$9) + CHOOSE(CONTROL!$C$38, 0.0347, 0)</f>
        <v>57.610300000000002</v>
      </c>
      <c r="E888" s="46">
        <f>60.7392 * CHOOSE(CONTROL!$C$15, $E$9, 100%, $G$9) + CHOOSE(CONTROL!$C$38, 0.0347, 0)</f>
        <v>60.773899999999998</v>
      </c>
      <c r="F888" s="45">
        <f>60.7392 * CHOOSE(CONTROL!$C$15, $E$9, 100%, $G$9) + CHOOSE(CONTROL!$C$38, 0.0256, 0)</f>
        <v>60.764799999999994</v>
      </c>
      <c r="G888" s="14">
        <f>57.5819 * CHOOSE(CONTROL!$C$15, $E$9, 100%, $G$9) + CHOOSE(CONTROL!$C$38, 0.0347, 0)</f>
        <v>57.616599999999998</v>
      </c>
      <c r="H888" s="14">
        <f>57.5819 * CHOOSE(CONTROL!$C$15, $E$9, 100%, $G$9) + CHOOSE(CONTROL!$C$38, 0.0347, 0)</f>
        <v>57.616599999999998</v>
      </c>
      <c r="I888" s="14">
        <f>57.5835 * CHOOSE(CONTROL!$C$15, $E$9, 100%, $G$9) + CHOOSE(CONTROL!$C$38, 0.0347, 0)</f>
        <v>57.618200000000002</v>
      </c>
      <c r="J888" s="44">
        <f>563.075</f>
        <v>563.07500000000005</v>
      </c>
    </row>
    <row r="889" spans="1:10" ht="15.75" x14ac:dyDescent="0.25">
      <c r="A889" s="32">
        <v>67996</v>
      </c>
      <c r="B889" s="14">
        <f>60.7279 * CHOOSE(CONTROL!$C$15, $E$9, 100%, $G$9) + CHOOSE(CONTROL!$C$38, 0.0256, 0)</f>
        <v>60.753499999999995</v>
      </c>
      <c r="C889" s="14">
        <f>57.4247 * CHOOSE(CONTROL!$C$15, $E$9, 100%, $G$9) + CHOOSE(CONTROL!$C$38, 0.0347, 0)</f>
        <v>57.459400000000002</v>
      </c>
      <c r="D889" s="14">
        <f>57.4169 * CHOOSE(CONTROL!$C$15, $E$9, 100%, $G$9) + CHOOSE(CONTROL!$C$38, 0.0347, 0)</f>
        <v>57.451599999999999</v>
      </c>
      <c r="E889" s="46">
        <f>60.5717 * CHOOSE(CONTROL!$C$15, $E$9, 100%, $G$9) + CHOOSE(CONTROL!$C$38, 0.0347, 0)</f>
        <v>60.606400000000001</v>
      </c>
      <c r="F889" s="45">
        <f>60.5717 * CHOOSE(CONTROL!$C$15, $E$9, 100%, $G$9) + CHOOSE(CONTROL!$C$38, 0.0256, 0)</f>
        <v>60.597299999999997</v>
      </c>
      <c r="G889" s="14">
        <f>57.4231 * CHOOSE(CONTROL!$C$15, $E$9, 100%, $G$9) + CHOOSE(CONTROL!$C$38, 0.0347, 0)</f>
        <v>57.457799999999999</v>
      </c>
      <c r="H889" s="14">
        <f>57.4231 * CHOOSE(CONTROL!$C$15, $E$9, 100%, $G$9) + CHOOSE(CONTROL!$C$38, 0.0347, 0)</f>
        <v>57.457799999999999</v>
      </c>
      <c r="I889" s="14">
        <f>57.4247 * CHOOSE(CONTROL!$C$15, $E$9, 100%, $G$9) + CHOOSE(CONTROL!$C$38, 0.0347, 0)</f>
        <v>57.459400000000002</v>
      </c>
      <c r="J889" s="44">
        <f>561.5099</f>
        <v>561.50990000000002</v>
      </c>
    </row>
    <row r="890" spans="1:10" ht="15.75" x14ac:dyDescent="0.25">
      <c r="A890" s="32">
        <v>68027</v>
      </c>
      <c r="B890" s="14">
        <f>63.8961 * CHOOSE(CONTROL!$C$15, $E$9, 100%, $G$9) + CHOOSE(CONTROL!$C$38, 0.0256, 0)</f>
        <v>63.921699999999994</v>
      </c>
      <c r="C890" s="14">
        <f>60.427 * CHOOSE(CONTROL!$C$15, $E$9, 100%, $G$9) + CHOOSE(CONTROL!$C$38, 0.0347, 0)</f>
        <v>60.4617</v>
      </c>
      <c r="D890" s="14">
        <f>60.4192 * CHOOSE(CONTROL!$C$15, $E$9, 100%, $G$9) + CHOOSE(CONTROL!$C$38, 0.0347, 0)</f>
        <v>60.453899999999997</v>
      </c>
      <c r="E890" s="46">
        <f>63.7399 * CHOOSE(CONTROL!$C$15, $E$9, 100%, $G$9) + CHOOSE(CONTROL!$C$38, 0.0347, 0)</f>
        <v>63.7746</v>
      </c>
      <c r="F890" s="45">
        <f>63.7399 * CHOOSE(CONTROL!$C$15, $E$9, 100%, $G$9) + CHOOSE(CONTROL!$C$38, 0.0256, 0)</f>
        <v>63.765499999999996</v>
      </c>
      <c r="G890" s="14">
        <f>60.4254 * CHOOSE(CONTROL!$C$15, $E$9, 100%, $G$9) + CHOOSE(CONTROL!$C$38, 0.0347, 0)</f>
        <v>60.460100000000004</v>
      </c>
      <c r="H890" s="14">
        <f>60.4254 * CHOOSE(CONTROL!$C$15, $E$9, 100%, $G$9) + CHOOSE(CONTROL!$C$38, 0.0347, 0)</f>
        <v>60.460100000000004</v>
      </c>
      <c r="I890" s="14">
        <f>60.427 * CHOOSE(CONTROL!$C$15, $E$9, 100%, $G$9) + CHOOSE(CONTROL!$C$38, 0.0347, 0)</f>
        <v>60.4617</v>
      </c>
      <c r="J890" s="44">
        <f>591.1047</f>
        <v>591.10469999999998</v>
      </c>
    </row>
    <row r="891" spans="1:10" ht="15.75" x14ac:dyDescent="0.25">
      <c r="A891" s="32">
        <v>68057</v>
      </c>
      <c r="B891" s="14">
        <f>68.0045 * CHOOSE(CONTROL!$C$15, $E$9, 100%, $G$9) + CHOOSE(CONTROL!$C$38, 0.0256, 0)</f>
        <v>68.03009999999999</v>
      </c>
      <c r="C891" s="14">
        <f>64.3203 * CHOOSE(CONTROL!$C$15, $E$9, 100%, $G$9) + CHOOSE(CONTROL!$C$38, 0.0347, 0)</f>
        <v>64.355000000000004</v>
      </c>
      <c r="D891" s="14">
        <f>64.3125 * CHOOSE(CONTROL!$C$15, $E$9, 100%, $G$9) + CHOOSE(CONTROL!$C$38, 0.0347, 0)</f>
        <v>64.347200000000001</v>
      </c>
      <c r="E891" s="46">
        <f>67.8482 * CHOOSE(CONTROL!$C$15, $E$9, 100%, $G$9) + CHOOSE(CONTROL!$C$38, 0.0347, 0)</f>
        <v>67.882900000000006</v>
      </c>
      <c r="F891" s="45">
        <f>67.8482 * CHOOSE(CONTROL!$C$15, $E$9, 100%, $G$9) + CHOOSE(CONTROL!$C$38, 0.0256, 0)</f>
        <v>67.873800000000003</v>
      </c>
      <c r="G891" s="14">
        <f>64.3187 * CHOOSE(CONTROL!$C$15, $E$9, 100%, $G$9) + CHOOSE(CONTROL!$C$38, 0.0347, 0)</f>
        <v>64.353400000000008</v>
      </c>
      <c r="H891" s="14">
        <f>64.3187 * CHOOSE(CONTROL!$C$15, $E$9, 100%, $G$9) + CHOOSE(CONTROL!$C$38, 0.0347, 0)</f>
        <v>64.353400000000008</v>
      </c>
      <c r="I891" s="14">
        <f>64.3203 * CHOOSE(CONTROL!$C$15, $E$9, 100%, $G$9) + CHOOSE(CONTROL!$C$38, 0.0347, 0)</f>
        <v>64.355000000000004</v>
      </c>
      <c r="J891" s="44">
        <f>629.4821</f>
        <v>629.48209999999995</v>
      </c>
    </row>
    <row r="892" spans="1:10" ht="15.75" x14ac:dyDescent="0.25">
      <c r="A892" s="32">
        <v>68088</v>
      </c>
      <c r="B892" s="14">
        <f>70.2659 * CHOOSE(CONTROL!$C$15, $E$9, 100%, $G$9) + CHOOSE(CONTROL!$C$38, 0.0278, 0)</f>
        <v>70.293700000000001</v>
      </c>
      <c r="C892" s="14">
        <f>66.4633 * CHOOSE(CONTROL!$C$15, $E$9, 100%, $G$9) + CHOOSE(CONTROL!$C$38, 0.0369, 0)</f>
        <v>66.500200000000007</v>
      </c>
      <c r="D892" s="14">
        <f>66.4555 * CHOOSE(CONTROL!$C$15, $E$9, 100%, $G$9) + CHOOSE(CONTROL!$C$38, 0.0369, 0)</f>
        <v>66.492400000000004</v>
      </c>
      <c r="E892" s="46">
        <f>70.1096 * CHOOSE(CONTROL!$C$15, $E$9, 100%, $G$9) + CHOOSE(CONTROL!$C$38, 0.0369, 0)</f>
        <v>70.146500000000003</v>
      </c>
      <c r="F892" s="45">
        <f>70.1096 * CHOOSE(CONTROL!$C$15, $E$9, 100%, $G$9) + CHOOSE(CONTROL!$C$38, 0.0278, 0)</f>
        <v>70.1374</v>
      </c>
      <c r="G892" s="14">
        <f>66.4617 * CHOOSE(CONTROL!$C$15, $E$9, 100%, $G$9) + CHOOSE(CONTROL!$C$38, 0.0369, 0)</f>
        <v>66.498599999999996</v>
      </c>
      <c r="H892" s="14">
        <f>66.4617 * CHOOSE(CONTROL!$C$15, $E$9, 100%, $G$9) + CHOOSE(CONTROL!$C$38, 0.0369, 0)</f>
        <v>66.498599999999996</v>
      </c>
      <c r="I892" s="14">
        <f>66.4633 * CHOOSE(CONTROL!$C$15, $E$9, 100%, $G$9) + CHOOSE(CONTROL!$C$38, 0.0369, 0)</f>
        <v>66.500200000000007</v>
      </c>
      <c r="J892" s="44">
        <f>650.6063</f>
        <v>650.60630000000003</v>
      </c>
    </row>
    <row r="893" spans="1:10" ht="15.75" x14ac:dyDescent="0.25">
      <c r="A893" s="32">
        <v>68118</v>
      </c>
      <c r="B893" s="14">
        <f>71.2694 * CHOOSE(CONTROL!$C$15, $E$9, 100%, $G$9) + CHOOSE(CONTROL!$C$38, 0.0278, 0)</f>
        <v>71.297200000000004</v>
      </c>
      <c r="C893" s="14">
        <f>67.4143 * CHOOSE(CONTROL!$C$15, $E$9, 100%, $G$9) + CHOOSE(CONTROL!$C$38, 0.0369, 0)</f>
        <v>67.4512</v>
      </c>
      <c r="D893" s="14">
        <f>67.4065 * CHOOSE(CONTROL!$C$15, $E$9, 100%, $G$9) + CHOOSE(CONTROL!$C$38, 0.0369, 0)</f>
        <v>67.443399999999997</v>
      </c>
      <c r="E893" s="46">
        <f>71.1132 * CHOOSE(CONTROL!$C$15, $E$9, 100%, $G$9) + CHOOSE(CONTROL!$C$38, 0.0369, 0)</f>
        <v>71.150100000000009</v>
      </c>
      <c r="F893" s="45">
        <f>71.1132 * CHOOSE(CONTROL!$C$15, $E$9, 100%, $G$9) + CHOOSE(CONTROL!$C$38, 0.0278, 0)</f>
        <v>71.141000000000005</v>
      </c>
      <c r="G893" s="14">
        <f>67.4127 * CHOOSE(CONTROL!$C$15, $E$9, 100%, $G$9) + CHOOSE(CONTROL!$C$38, 0.0369, 0)</f>
        <v>67.449600000000004</v>
      </c>
      <c r="H893" s="14">
        <f>67.4127 * CHOOSE(CONTROL!$C$15, $E$9, 100%, $G$9) + CHOOSE(CONTROL!$C$38, 0.0369, 0)</f>
        <v>67.449600000000004</v>
      </c>
      <c r="I893" s="14">
        <f>67.4143 * CHOOSE(CONTROL!$C$15, $E$9, 100%, $G$9) + CHOOSE(CONTROL!$C$38, 0.0369, 0)</f>
        <v>67.4512</v>
      </c>
      <c r="J893" s="44">
        <f>659.9808</f>
        <v>659.98080000000004</v>
      </c>
    </row>
    <row r="894" spans="1:10" ht="15.75" x14ac:dyDescent="0.25">
      <c r="A894" s="32">
        <v>68149</v>
      </c>
      <c r="B894" s="14">
        <f>70.939 * CHOOSE(CONTROL!$C$15, $E$9, 100%, $G$9) + CHOOSE(CONTROL!$C$38, 0.0278, 0)</f>
        <v>70.966799999999992</v>
      </c>
      <c r="C894" s="14">
        <f>67.1012 * CHOOSE(CONTROL!$C$15, $E$9, 100%, $G$9) + CHOOSE(CONTROL!$C$38, 0.0369, 0)</f>
        <v>67.138100000000009</v>
      </c>
      <c r="D894" s="14">
        <f>67.0934 * CHOOSE(CONTROL!$C$15, $E$9, 100%, $G$9) + CHOOSE(CONTROL!$C$38, 0.0369, 0)</f>
        <v>67.130300000000005</v>
      </c>
      <c r="E894" s="46">
        <f>70.7828 * CHOOSE(CONTROL!$C$15, $E$9, 100%, $G$9) + CHOOSE(CONTROL!$C$38, 0.0369, 0)</f>
        <v>70.819699999999997</v>
      </c>
      <c r="F894" s="45">
        <f>70.7828 * CHOOSE(CONTROL!$C$15, $E$9, 100%, $G$9) + CHOOSE(CONTROL!$C$38, 0.0278, 0)</f>
        <v>70.810599999999994</v>
      </c>
      <c r="G894" s="14">
        <f>67.0996 * CHOOSE(CONTROL!$C$15, $E$9, 100%, $G$9) + CHOOSE(CONTROL!$C$38, 0.0369, 0)</f>
        <v>67.136499999999998</v>
      </c>
      <c r="H894" s="14">
        <f>67.0996 * CHOOSE(CONTROL!$C$15, $E$9, 100%, $G$9) + CHOOSE(CONTROL!$C$38, 0.0369, 0)</f>
        <v>67.136499999999998</v>
      </c>
      <c r="I894" s="14">
        <f>67.1012 * CHOOSE(CONTROL!$C$15, $E$9, 100%, $G$9) + CHOOSE(CONTROL!$C$38, 0.0369, 0)</f>
        <v>67.138100000000009</v>
      </c>
      <c r="J894" s="44">
        <f>656.8943</f>
        <v>656.89430000000004</v>
      </c>
    </row>
    <row r="895" spans="1:10" ht="15.75" x14ac:dyDescent="0.25">
      <c r="A895" s="32">
        <v>68180</v>
      </c>
      <c r="B895" s="14">
        <f>69.302 * CHOOSE(CONTROL!$C$15, $E$9, 100%, $G$9) + CHOOSE(CONTROL!$C$38, 0.0278, 0)</f>
        <v>69.329800000000006</v>
      </c>
      <c r="C895" s="14">
        <f>65.5498 * CHOOSE(CONTROL!$C$15, $E$9, 100%, $G$9) + CHOOSE(CONTROL!$C$38, 0.0369, 0)</f>
        <v>65.586700000000008</v>
      </c>
      <c r="D895" s="14">
        <f>65.542 * CHOOSE(CONTROL!$C$15, $E$9, 100%, $G$9) + CHOOSE(CONTROL!$C$38, 0.0369, 0)</f>
        <v>65.578900000000004</v>
      </c>
      <c r="E895" s="46">
        <f>69.1457 * CHOOSE(CONTROL!$C$15, $E$9, 100%, $G$9) + CHOOSE(CONTROL!$C$38, 0.0369, 0)</f>
        <v>69.182600000000008</v>
      </c>
      <c r="F895" s="45">
        <f>69.1457 * CHOOSE(CONTROL!$C$15, $E$9, 100%, $G$9) + CHOOSE(CONTROL!$C$38, 0.0278, 0)</f>
        <v>69.173500000000004</v>
      </c>
      <c r="G895" s="14">
        <f>65.5483 * CHOOSE(CONTROL!$C$15, $E$9, 100%, $G$9) + CHOOSE(CONTROL!$C$38, 0.0369, 0)</f>
        <v>65.5852</v>
      </c>
      <c r="H895" s="14">
        <f>65.5483 * CHOOSE(CONTROL!$C$15, $E$9, 100%, $G$9) + CHOOSE(CONTROL!$C$38, 0.0369, 0)</f>
        <v>65.5852</v>
      </c>
      <c r="I895" s="14">
        <f>65.5498 * CHOOSE(CONTROL!$C$15, $E$9, 100%, $G$9) + CHOOSE(CONTROL!$C$38, 0.0369, 0)</f>
        <v>65.586700000000008</v>
      </c>
      <c r="J895" s="44">
        <f>641.602</f>
        <v>641.60199999999998</v>
      </c>
    </row>
    <row r="896" spans="1:10" ht="15.75" x14ac:dyDescent="0.25">
      <c r="A896" s="32">
        <v>68210</v>
      </c>
      <c r="B896" s="14">
        <f>67.019 * CHOOSE(CONTROL!$C$15, $E$9, 100%, $G$9) + CHOOSE(CONTROL!$C$38, 0.0278, 0)</f>
        <v>67.046800000000005</v>
      </c>
      <c r="C896" s="14">
        <f>63.3864 * CHOOSE(CONTROL!$C$15, $E$9, 100%, $G$9) + CHOOSE(CONTROL!$C$38, 0.0369, 0)</f>
        <v>63.423300000000005</v>
      </c>
      <c r="D896" s="14">
        <f>63.3786 * CHOOSE(CONTROL!$C$15, $E$9, 100%, $G$9) + CHOOSE(CONTROL!$C$38, 0.0369, 0)</f>
        <v>63.415500000000002</v>
      </c>
      <c r="E896" s="46">
        <f>66.8628 * CHOOSE(CONTROL!$C$15, $E$9, 100%, $G$9) + CHOOSE(CONTROL!$C$38, 0.0369, 0)</f>
        <v>66.899699999999996</v>
      </c>
      <c r="F896" s="45">
        <f>66.8628 * CHOOSE(CONTROL!$C$15, $E$9, 100%, $G$9) + CHOOSE(CONTROL!$C$38, 0.0278, 0)</f>
        <v>66.890599999999992</v>
      </c>
      <c r="G896" s="14">
        <f>63.3848 * CHOOSE(CONTROL!$C$15, $E$9, 100%, $G$9) + CHOOSE(CONTROL!$C$38, 0.0369, 0)</f>
        <v>63.421700000000001</v>
      </c>
      <c r="H896" s="14">
        <f>63.3848 * CHOOSE(CONTROL!$C$15, $E$9, 100%, $G$9) + CHOOSE(CONTROL!$C$38, 0.0369, 0)</f>
        <v>63.421700000000001</v>
      </c>
      <c r="I896" s="14">
        <f>63.3864 * CHOOSE(CONTROL!$C$15, $E$9, 100%, $G$9) + CHOOSE(CONTROL!$C$38, 0.0369, 0)</f>
        <v>63.423300000000005</v>
      </c>
      <c r="J896" s="44">
        <f>620.2763</f>
        <v>620.27629999999999</v>
      </c>
    </row>
    <row r="897" spans="1:10" ht="15.75" x14ac:dyDescent="0.25">
      <c r="A897" s="32">
        <v>68241</v>
      </c>
      <c r="B897" s="14">
        <f>64.7228 * CHOOSE(CONTROL!$C$15, $E$9, 100%, $G$9) + CHOOSE(CONTROL!$C$38, 0.0256, 0)</f>
        <v>64.748400000000004</v>
      </c>
      <c r="C897" s="14">
        <f>61.2104 * CHOOSE(CONTROL!$C$15, $E$9, 100%, $G$9) + CHOOSE(CONTROL!$C$38, 0.0347, 0)</f>
        <v>61.245100000000001</v>
      </c>
      <c r="D897" s="14">
        <f>61.2025 * CHOOSE(CONTROL!$C$15, $E$9, 100%, $G$9) + CHOOSE(CONTROL!$C$38, 0.0347, 0)</f>
        <v>61.237200000000001</v>
      </c>
      <c r="E897" s="46">
        <f>64.5665 * CHOOSE(CONTROL!$C$15, $E$9, 100%, $G$9) + CHOOSE(CONTROL!$C$38, 0.0347, 0)</f>
        <v>64.601200000000006</v>
      </c>
      <c r="F897" s="45">
        <f>64.5665 * CHOOSE(CONTROL!$C$15, $E$9, 100%, $G$9) + CHOOSE(CONTROL!$C$38, 0.0256, 0)</f>
        <v>64.592100000000002</v>
      </c>
      <c r="G897" s="14">
        <f>61.2088 * CHOOSE(CONTROL!$C$15, $E$9, 100%, $G$9) + CHOOSE(CONTROL!$C$38, 0.0347, 0)</f>
        <v>61.243499999999997</v>
      </c>
      <c r="H897" s="14">
        <f>61.2088 * CHOOSE(CONTROL!$C$15, $E$9, 100%, $G$9) + CHOOSE(CONTROL!$C$38, 0.0347, 0)</f>
        <v>61.243499999999997</v>
      </c>
      <c r="I897" s="14">
        <f>61.2104 * CHOOSE(CONTROL!$C$15, $E$9, 100%, $G$9) + CHOOSE(CONTROL!$C$38, 0.0347, 0)</f>
        <v>61.245100000000001</v>
      </c>
      <c r="J897" s="44">
        <f>598.8265</f>
        <v>598.82650000000001</v>
      </c>
    </row>
    <row r="898" spans="1:10" ht="15.75" x14ac:dyDescent="0.25">
      <c r="A898" s="32">
        <v>68271</v>
      </c>
      <c r="B898" s="14">
        <f>64.266 * CHOOSE(CONTROL!$C$15, $E$9, 100%, $G$9) + CHOOSE(CONTROL!$C$38, 0.0256, 0)</f>
        <v>64.291600000000003</v>
      </c>
      <c r="C898" s="14">
        <f>60.7775 * CHOOSE(CONTROL!$C$15, $E$9, 100%, $G$9) + CHOOSE(CONTROL!$C$38, 0.0347, 0)</f>
        <v>60.812200000000004</v>
      </c>
      <c r="D898" s="14">
        <f>60.7697 * CHOOSE(CONTROL!$C$15, $E$9, 100%, $G$9) + CHOOSE(CONTROL!$C$38, 0.0347, 0)</f>
        <v>60.804400000000001</v>
      </c>
      <c r="E898" s="46">
        <f>64.1097 * CHOOSE(CONTROL!$C$15, $E$9, 100%, $G$9) + CHOOSE(CONTROL!$C$38, 0.0347, 0)</f>
        <v>64.144400000000005</v>
      </c>
      <c r="F898" s="45">
        <f>64.1097 * CHOOSE(CONTROL!$C$15, $E$9, 100%, $G$9) + CHOOSE(CONTROL!$C$38, 0.0256, 0)</f>
        <v>64.135300000000001</v>
      </c>
      <c r="G898" s="14">
        <f>60.7759 * CHOOSE(CONTROL!$C$15, $E$9, 100%, $G$9) + CHOOSE(CONTROL!$C$38, 0.0347, 0)</f>
        <v>60.810600000000001</v>
      </c>
      <c r="H898" s="14">
        <f>60.7759 * CHOOSE(CONTROL!$C$15, $E$9, 100%, $G$9) + CHOOSE(CONTROL!$C$38, 0.0347, 0)</f>
        <v>60.810600000000001</v>
      </c>
      <c r="I898" s="14">
        <f>60.7775 * CHOOSE(CONTROL!$C$15, $E$9, 100%, $G$9) + CHOOSE(CONTROL!$C$38, 0.0347, 0)</f>
        <v>60.812200000000004</v>
      </c>
      <c r="J898" s="44">
        <f>594.5597</f>
        <v>594.55970000000002</v>
      </c>
    </row>
    <row r="899" spans="1:10" ht="15.75" x14ac:dyDescent="0.25">
      <c r="A899" s="32">
        <v>68302</v>
      </c>
      <c r="B899" s="14">
        <f>62.3772 * CHOOSE(CONTROL!$C$15, $E$9, 100%, $G$9) + CHOOSE(CONTROL!$C$38, 0.0256, 0)</f>
        <v>62.402799999999999</v>
      </c>
      <c r="C899" s="14">
        <f>58.9876 * CHOOSE(CONTROL!$C$15, $E$9, 100%, $G$9) + CHOOSE(CONTROL!$C$38, 0.0347, 0)</f>
        <v>59.022300000000001</v>
      </c>
      <c r="D899" s="14">
        <f>58.9798 * CHOOSE(CONTROL!$C$15, $E$9, 100%, $G$9) + CHOOSE(CONTROL!$C$38, 0.0347, 0)</f>
        <v>59.014499999999998</v>
      </c>
      <c r="E899" s="46">
        <f>62.221 * CHOOSE(CONTROL!$C$15, $E$9, 100%, $G$9) + CHOOSE(CONTROL!$C$38, 0.0347, 0)</f>
        <v>62.255699999999997</v>
      </c>
      <c r="F899" s="45">
        <f>62.221 * CHOOSE(CONTROL!$C$15, $E$9, 100%, $G$9) + CHOOSE(CONTROL!$C$38, 0.0256, 0)</f>
        <v>62.246599999999994</v>
      </c>
      <c r="G899" s="14">
        <f>58.986 * CHOOSE(CONTROL!$C$15, $E$9, 100%, $G$9) + CHOOSE(CONTROL!$C$38, 0.0347, 0)</f>
        <v>59.020699999999998</v>
      </c>
      <c r="H899" s="14">
        <f>58.986 * CHOOSE(CONTROL!$C$15, $E$9, 100%, $G$9) + CHOOSE(CONTROL!$C$38, 0.0347, 0)</f>
        <v>59.020699999999998</v>
      </c>
      <c r="I899" s="14">
        <f>58.9876 * CHOOSE(CONTROL!$C$15, $E$9, 100%, $G$9) + CHOOSE(CONTROL!$C$38, 0.0347, 0)</f>
        <v>59.022300000000001</v>
      </c>
      <c r="J899" s="44">
        <f>576.9161</f>
        <v>576.91610000000003</v>
      </c>
    </row>
    <row r="900" spans="1:10" ht="15.75" x14ac:dyDescent="0.25">
      <c r="A900" s="32">
        <v>68333</v>
      </c>
      <c r="B900" s="14">
        <f>61.9082 * CHOOSE(CONTROL!$C$15, $E$9, 100%, $G$9) + CHOOSE(CONTROL!$C$38, 0.0256, 0)</f>
        <v>61.933799999999998</v>
      </c>
      <c r="C900" s="14">
        <f>58.5431 * CHOOSE(CONTROL!$C$15, $E$9, 100%, $G$9) + CHOOSE(CONTROL!$C$38, 0.0347, 0)</f>
        <v>58.577800000000003</v>
      </c>
      <c r="D900" s="14">
        <f>58.5353 * CHOOSE(CONTROL!$C$15, $E$9, 100%, $G$9) + CHOOSE(CONTROL!$C$38, 0.0347, 0)</f>
        <v>58.57</v>
      </c>
      <c r="E900" s="46">
        <f>61.7519 * CHOOSE(CONTROL!$C$15, $E$9, 100%, $G$9) + CHOOSE(CONTROL!$C$38, 0.0347, 0)</f>
        <v>61.7866</v>
      </c>
      <c r="F900" s="45">
        <f>61.7519 * CHOOSE(CONTROL!$C$15, $E$9, 100%, $G$9) + CHOOSE(CONTROL!$C$38, 0.0256, 0)</f>
        <v>61.777499999999996</v>
      </c>
      <c r="G900" s="14">
        <f>58.5415 * CHOOSE(CONTROL!$C$15, $E$9, 100%, $G$9) + CHOOSE(CONTROL!$C$38, 0.0347, 0)</f>
        <v>58.5762</v>
      </c>
      <c r="H900" s="14">
        <f>58.5415 * CHOOSE(CONTROL!$C$15, $E$9, 100%, $G$9) + CHOOSE(CONTROL!$C$38, 0.0347, 0)</f>
        <v>58.5762</v>
      </c>
      <c r="I900" s="14">
        <f>58.5431 * CHOOSE(CONTROL!$C$15, $E$9, 100%, $G$9) + CHOOSE(CONTROL!$C$38, 0.0347, 0)</f>
        <v>58.577800000000003</v>
      </c>
      <c r="J900" s="44">
        <f>576.1721</f>
        <v>576.1721</v>
      </c>
    </row>
    <row r="901" spans="1:10" ht="15.75" x14ac:dyDescent="0.25">
      <c r="A901" s="32">
        <v>68361</v>
      </c>
      <c r="B901" s="14">
        <f>61.7378 * CHOOSE(CONTROL!$C$15, $E$9, 100%, $G$9) + CHOOSE(CONTROL!$C$38, 0.0256, 0)</f>
        <v>61.763399999999997</v>
      </c>
      <c r="C901" s="14">
        <f>58.3817 * CHOOSE(CONTROL!$C$15, $E$9, 100%, $G$9) + CHOOSE(CONTROL!$C$38, 0.0347, 0)</f>
        <v>58.416400000000003</v>
      </c>
      <c r="D901" s="14">
        <f>58.3738 * CHOOSE(CONTROL!$C$15, $E$9, 100%, $G$9) + CHOOSE(CONTROL!$C$38, 0.0347, 0)</f>
        <v>58.408500000000004</v>
      </c>
      <c r="E901" s="46">
        <f>61.5815 * CHOOSE(CONTROL!$C$15, $E$9, 100%, $G$9) + CHOOSE(CONTROL!$C$38, 0.0347, 0)</f>
        <v>61.616199999999999</v>
      </c>
      <c r="F901" s="45">
        <f>61.5815 * CHOOSE(CONTROL!$C$15, $E$9, 100%, $G$9) + CHOOSE(CONTROL!$C$38, 0.0256, 0)</f>
        <v>61.607099999999996</v>
      </c>
      <c r="G901" s="14">
        <f>58.3801 * CHOOSE(CONTROL!$C$15, $E$9, 100%, $G$9) + CHOOSE(CONTROL!$C$38, 0.0347, 0)</f>
        <v>58.4148</v>
      </c>
      <c r="H901" s="14">
        <f>58.3801 * CHOOSE(CONTROL!$C$15, $E$9, 100%, $G$9) + CHOOSE(CONTROL!$C$38, 0.0347, 0)</f>
        <v>58.4148</v>
      </c>
      <c r="I901" s="14">
        <f>58.3817 * CHOOSE(CONTROL!$C$15, $E$9, 100%, $G$9) + CHOOSE(CONTROL!$C$38, 0.0347, 0)</f>
        <v>58.416400000000003</v>
      </c>
      <c r="J901" s="44">
        <f>574.5706</f>
        <v>574.57060000000001</v>
      </c>
    </row>
    <row r="902" spans="1:10" ht="15.75" x14ac:dyDescent="0.25">
      <c r="A902" s="32">
        <v>68392</v>
      </c>
      <c r="B902" s="14">
        <f>64.9592 * CHOOSE(CONTROL!$C$15, $E$9, 100%, $G$9) + CHOOSE(CONTROL!$C$38, 0.0256, 0)</f>
        <v>64.984799999999993</v>
      </c>
      <c r="C902" s="14">
        <f>61.4344 * CHOOSE(CONTROL!$C$15, $E$9, 100%, $G$9) + CHOOSE(CONTROL!$C$38, 0.0347, 0)</f>
        <v>61.469099999999997</v>
      </c>
      <c r="D902" s="14">
        <f>61.4266 * CHOOSE(CONTROL!$C$15, $E$9, 100%, $G$9) + CHOOSE(CONTROL!$C$38, 0.0347, 0)</f>
        <v>61.461300000000001</v>
      </c>
      <c r="E902" s="46">
        <f>64.8029 * CHOOSE(CONTROL!$C$15, $E$9, 100%, $G$9) + CHOOSE(CONTROL!$C$38, 0.0347, 0)</f>
        <v>64.837599999999995</v>
      </c>
      <c r="F902" s="45">
        <f>64.8029 * CHOOSE(CONTROL!$C$15, $E$9, 100%, $G$9) + CHOOSE(CONTROL!$C$38, 0.0256, 0)</f>
        <v>64.828499999999991</v>
      </c>
      <c r="G902" s="14">
        <f>61.4329 * CHOOSE(CONTROL!$C$15, $E$9, 100%, $G$9) + CHOOSE(CONTROL!$C$38, 0.0347, 0)</f>
        <v>61.467599999999997</v>
      </c>
      <c r="H902" s="14">
        <f>61.4329 * CHOOSE(CONTROL!$C$15, $E$9, 100%, $G$9) + CHOOSE(CONTROL!$C$38, 0.0347, 0)</f>
        <v>61.467599999999997</v>
      </c>
      <c r="I902" s="14">
        <f>61.4344 * CHOOSE(CONTROL!$C$15, $E$9, 100%, $G$9) + CHOOSE(CONTROL!$C$38, 0.0347, 0)</f>
        <v>61.469099999999997</v>
      </c>
      <c r="J902" s="44">
        <f>604.8538</f>
        <v>604.85379999999998</v>
      </c>
    </row>
    <row r="903" spans="1:10" ht="15.75" x14ac:dyDescent="0.25">
      <c r="A903" s="32">
        <v>68422</v>
      </c>
      <c r="B903" s="14">
        <f>69.1366 * CHOOSE(CONTROL!$C$15, $E$9, 100%, $G$9) + CHOOSE(CONTROL!$C$38, 0.0256, 0)</f>
        <v>69.162199999999999</v>
      </c>
      <c r="C903" s="14">
        <f>65.3931 * CHOOSE(CONTROL!$C$15, $E$9, 100%, $G$9) + CHOOSE(CONTROL!$C$38, 0.0347, 0)</f>
        <v>65.427800000000005</v>
      </c>
      <c r="D903" s="14">
        <f>65.3853 * CHOOSE(CONTROL!$C$15, $E$9, 100%, $G$9) + CHOOSE(CONTROL!$C$38, 0.0347, 0)</f>
        <v>65.42</v>
      </c>
      <c r="E903" s="46">
        <f>68.9803 * CHOOSE(CONTROL!$C$15, $E$9, 100%, $G$9) + CHOOSE(CONTROL!$C$38, 0.0347, 0)</f>
        <v>69.015000000000001</v>
      </c>
      <c r="F903" s="45">
        <f>68.9803 * CHOOSE(CONTROL!$C$15, $E$9, 100%, $G$9) + CHOOSE(CONTROL!$C$38, 0.0256, 0)</f>
        <v>69.005899999999997</v>
      </c>
      <c r="G903" s="14">
        <f>65.3915 * CHOOSE(CONTROL!$C$15, $E$9, 100%, $G$9) + CHOOSE(CONTROL!$C$38, 0.0347, 0)</f>
        <v>65.426199999999994</v>
      </c>
      <c r="H903" s="14">
        <f>65.3915 * CHOOSE(CONTROL!$C$15, $E$9, 100%, $G$9) + CHOOSE(CONTROL!$C$38, 0.0347, 0)</f>
        <v>65.426199999999994</v>
      </c>
      <c r="I903" s="14">
        <f>65.3931 * CHOOSE(CONTROL!$C$15, $E$9, 100%, $G$9) + CHOOSE(CONTROL!$C$38, 0.0347, 0)</f>
        <v>65.427800000000005</v>
      </c>
      <c r="J903" s="44">
        <f>644.1238</f>
        <v>644.12379999999996</v>
      </c>
    </row>
    <row r="904" spans="1:10" ht="15.75" x14ac:dyDescent="0.25">
      <c r="A904" s="32">
        <v>68453</v>
      </c>
      <c r="B904" s="14">
        <f>71.436 * CHOOSE(CONTROL!$C$15, $E$9, 100%, $G$9) + CHOOSE(CONTROL!$C$38, 0.0278, 0)</f>
        <v>71.463800000000006</v>
      </c>
      <c r="C904" s="14">
        <f>67.5721 * CHOOSE(CONTROL!$C$15, $E$9, 100%, $G$9) + CHOOSE(CONTROL!$C$38, 0.0369, 0)</f>
        <v>67.609000000000009</v>
      </c>
      <c r="D904" s="14">
        <f>67.5643 * CHOOSE(CONTROL!$C$15, $E$9, 100%, $G$9) + CHOOSE(CONTROL!$C$38, 0.0369, 0)</f>
        <v>67.601200000000006</v>
      </c>
      <c r="E904" s="46">
        <f>71.2797 * CHOOSE(CONTROL!$C$15, $E$9, 100%, $G$9) + CHOOSE(CONTROL!$C$38, 0.0369, 0)</f>
        <v>71.316600000000008</v>
      </c>
      <c r="F904" s="45">
        <f>71.2797 * CHOOSE(CONTROL!$C$15, $E$9, 100%, $G$9) + CHOOSE(CONTROL!$C$38, 0.0278, 0)</f>
        <v>71.307500000000005</v>
      </c>
      <c r="G904" s="14">
        <f>67.5705 * CHOOSE(CONTROL!$C$15, $E$9, 100%, $G$9) + CHOOSE(CONTROL!$C$38, 0.0369, 0)</f>
        <v>67.607399999999998</v>
      </c>
      <c r="H904" s="14">
        <f>67.5705 * CHOOSE(CONTROL!$C$15, $E$9, 100%, $G$9) + CHOOSE(CONTROL!$C$38, 0.0369, 0)</f>
        <v>67.607399999999998</v>
      </c>
      <c r="I904" s="14">
        <f>67.5721 * CHOOSE(CONTROL!$C$15, $E$9, 100%, $G$9) + CHOOSE(CONTROL!$C$38, 0.0369, 0)</f>
        <v>67.609000000000009</v>
      </c>
      <c r="J904" s="44">
        <f>665.7394</f>
        <v>665.73940000000005</v>
      </c>
    </row>
    <row r="905" spans="1:10" ht="15.75" x14ac:dyDescent="0.25">
      <c r="A905" s="32">
        <v>68483</v>
      </c>
      <c r="B905" s="14">
        <f>72.4564 * CHOOSE(CONTROL!$C$15, $E$9, 100%, $G$9) + CHOOSE(CONTROL!$C$38, 0.0278, 0)</f>
        <v>72.484200000000001</v>
      </c>
      <c r="C905" s="14">
        <f>68.5391 * CHOOSE(CONTROL!$C$15, $E$9, 100%, $G$9) + CHOOSE(CONTROL!$C$38, 0.0369, 0)</f>
        <v>68.576000000000008</v>
      </c>
      <c r="D905" s="14">
        <f>68.5313 * CHOOSE(CONTROL!$C$15, $E$9, 100%, $G$9) + CHOOSE(CONTROL!$C$38, 0.0369, 0)</f>
        <v>68.568200000000004</v>
      </c>
      <c r="E905" s="46">
        <f>72.3001 * CHOOSE(CONTROL!$C$15, $E$9, 100%, $G$9) + CHOOSE(CONTROL!$C$38, 0.0369, 0)</f>
        <v>72.337000000000003</v>
      </c>
      <c r="F905" s="45">
        <f>72.3001 * CHOOSE(CONTROL!$C$15, $E$9, 100%, $G$9) + CHOOSE(CONTROL!$C$38, 0.0278, 0)</f>
        <v>72.3279</v>
      </c>
      <c r="G905" s="14">
        <f>68.5375 * CHOOSE(CONTROL!$C$15, $E$9, 100%, $G$9) + CHOOSE(CONTROL!$C$38, 0.0369, 0)</f>
        <v>68.574399999999997</v>
      </c>
      <c r="H905" s="14">
        <f>68.5375 * CHOOSE(CONTROL!$C$15, $E$9, 100%, $G$9) + CHOOSE(CONTROL!$C$38, 0.0369, 0)</f>
        <v>68.574399999999997</v>
      </c>
      <c r="I905" s="14">
        <f>68.5391 * CHOOSE(CONTROL!$C$15, $E$9, 100%, $G$9) + CHOOSE(CONTROL!$C$38, 0.0369, 0)</f>
        <v>68.576000000000008</v>
      </c>
      <c r="J905" s="44">
        <f>675.3319</f>
        <v>675.33190000000002</v>
      </c>
    </row>
    <row r="906" spans="1:10" ht="15.75" x14ac:dyDescent="0.25">
      <c r="A906" s="32">
        <v>68514</v>
      </c>
      <c r="B906" s="14">
        <f>72.1204 * CHOOSE(CONTROL!$C$15, $E$9, 100%, $G$9) + CHOOSE(CONTROL!$C$38, 0.0278, 0)</f>
        <v>72.148200000000003</v>
      </c>
      <c r="C906" s="14">
        <f>68.2207 * CHOOSE(CONTROL!$C$15, $E$9, 100%, $G$9) + CHOOSE(CONTROL!$C$38, 0.0369, 0)</f>
        <v>68.257599999999996</v>
      </c>
      <c r="D906" s="14">
        <f>68.2129 * CHOOSE(CONTROL!$C$15, $E$9, 100%, $G$9) + CHOOSE(CONTROL!$C$38, 0.0369, 0)</f>
        <v>68.249800000000008</v>
      </c>
      <c r="E906" s="46">
        <f>71.9642 * CHOOSE(CONTROL!$C$15, $E$9, 100%, $G$9) + CHOOSE(CONTROL!$C$38, 0.0369, 0)</f>
        <v>72.001100000000008</v>
      </c>
      <c r="F906" s="45">
        <f>71.9642 * CHOOSE(CONTROL!$C$15, $E$9, 100%, $G$9) + CHOOSE(CONTROL!$C$38, 0.0278, 0)</f>
        <v>71.992000000000004</v>
      </c>
      <c r="G906" s="14">
        <f>68.2192 * CHOOSE(CONTROL!$C$15, $E$9, 100%, $G$9) + CHOOSE(CONTROL!$C$38, 0.0369, 0)</f>
        <v>68.256100000000004</v>
      </c>
      <c r="H906" s="14">
        <f>68.2192 * CHOOSE(CONTROL!$C$15, $E$9, 100%, $G$9) + CHOOSE(CONTROL!$C$38, 0.0369, 0)</f>
        <v>68.256100000000004</v>
      </c>
      <c r="I906" s="14">
        <f>68.2207 * CHOOSE(CONTROL!$C$15, $E$9, 100%, $G$9) + CHOOSE(CONTROL!$C$38, 0.0369, 0)</f>
        <v>68.257599999999996</v>
      </c>
      <c r="J906" s="44">
        <f>672.1736</f>
        <v>672.17359999999996</v>
      </c>
    </row>
    <row r="907" spans="1:10" ht="15.75" x14ac:dyDescent="0.25">
      <c r="A907" s="32">
        <v>68545</v>
      </c>
      <c r="B907" s="14">
        <f>70.4559 * CHOOSE(CONTROL!$C$15, $E$9, 100%, $G$9) + CHOOSE(CONTROL!$C$38, 0.0278, 0)</f>
        <v>70.483699999999999</v>
      </c>
      <c r="C907" s="14">
        <f>66.6433 * CHOOSE(CONTROL!$C$15, $E$9, 100%, $G$9) + CHOOSE(CONTROL!$C$38, 0.0369, 0)</f>
        <v>66.680199999999999</v>
      </c>
      <c r="D907" s="14">
        <f>66.6355 * CHOOSE(CONTROL!$C$15, $E$9, 100%, $G$9) + CHOOSE(CONTROL!$C$38, 0.0369, 0)</f>
        <v>66.672399999999996</v>
      </c>
      <c r="E907" s="46">
        <f>70.2996 * CHOOSE(CONTROL!$C$15, $E$9, 100%, $G$9) + CHOOSE(CONTROL!$C$38, 0.0369, 0)</f>
        <v>70.336500000000001</v>
      </c>
      <c r="F907" s="45">
        <f>70.2996 * CHOOSE(CONTROL!$C$15, $E$9, 100%, $G$9) + CHOOSE(CONTROL!$C$38, 0.0278, 0)</f>
        <v>70.327399999999997</v>
      </c>
      <c r="G907" s="14">
        <f>66.6417 * CHOOSE(CONTROL!$C$15, $E$9, 100%, $G$9) + CHOOSE(CONTROL!$C$38, 0.0369, 0)</f>
        <v>66.678600000000003</v>
      </c>
      <c r="H907" s="14">
        <f>66.6417 * CHOOSE(CONTROL!$C$15, $E$9, 100%, $G$9) + CHOOSE(CONTROL!$C$38, 0.0369, 0)</f>
        <v>66.678600000000003</v>
      </c>
      <c r="I907" s="14">
        <f>66.6433 * CHOOSE(CONTROL!$C$15, $E$9, 100%, $G$9) + CHOOSE(CONTROL!$C$38, 0.0369, 0)</f>
        <v>66.680199999999999</v>
      </c>
      <c r="J907" s="44">
        <f>656.5257</f>
        <v>656.52570000000003</v>
      </c>
    </row>
    <row r="908" spans="1:10" ht="15.75" x14ac:dyDescent="0.25">
      <c r="A908" s="32">
        <v>68575</v>
      </c>
      <c r="B908" s="14">
        <f>68.1345 * CHOOSE(CONTROL!$C$15, $E$9, 100%, $G$9) + CHOOSE(CONTROL!$C$38, 0.0278, 0)</f>
        <v>68.162300000000002</v>
      </c>
      <c r="C908" s="14">
        <f>64.4435 * CHOOSE(CONTROL!$C$15, $E$9, 100%, $G$9) + CHOOSE(CONTROL!$C$38, 0.0369, 0)</f>
        <v>64.480400000000003</v>
      </c>
      <c r="D908" s="14">
        <f>64.4357 * CHOOSE(CONTROL!$C$15, $E$9, 100%, $G$9) + CHOOSE(CONTROL!$C$38, 0.0369, 0)</f>
        <v>64.4726</v>
      </c>
      <c r="E908" s="46">
        <f>67.9783 * CHOOSE(CONTROL!$C$15, $E$9, 100%, $G$9) + CHOOSE(CONTROL!$C$38, 0.0369, 0)</f>
        <v>68.015200000000007</v>
      </c>
      <c r="F908" s="45">
        <f>67.9783 * CHOOSE(CONTROL!$C$15, $E$9, 100%, $G$9) + CHOOSE(CONTROL!$C$38, 0.0278, 0)</f>
        <v>68.006100000000004</v>
      </c>
      <c r="G908" s="14">
        <f>64.442 * CHOOSE(CONTROL!$C$15, $E$9, 100%, $G$9) + CHOOSE(CONTROL!$C$38, 0.0369, 0)</f>
        <v>64.478899999999996</v>
      </c>
      <c r="H908" s="14">
        <f>64.442 * CHOOSE(CONTROL!$C$15, $E$9, 100%, $G$9) + CHOOSE(CONTROL!$C$38, 0.0369, 0)</f>
        <v>64.478899999999996</v>
      </c>
      <c r="I908" s="14">
        <f>64.4435 * CHOOSE(CONTROL!$C$15, $E$9, 100%, $G$9) + CHOOSE(CONTROL!$C$38, 0.0369, 0)</f>
        <v>64.480400000000003</v>
      </c>
      <c r="J908" s="44">
        <f>634.7039</f>
        <v>634.70389999999998</v>
      </c>
    </row>
    <row r="909" spans="1:10" ht="15.75" x14ac:dyDescent="0.25">
      <c r="A909" s="32">
        <v>68606</v>
      </c>
      <c r="B909" s="14">
        <f>65.7997 * CHOOSE(CONTROL!$C$15, $E$9, 100%, $G$9) + CHOOSE(CONTROL!$C$38, 0.0256, 0)</f>
        <v>65.825299999999999</v>
      </c>
      <c r="C909" s="14">
        <f>62.2309 * CHOOSE(CONTROL!$C$15, $E$9, 100%, $G$9) + CHOOSE(CONTROL!$C$38, 0.0347, 0)</f>
        <v>62.265599999999999</v>
      </c>
      <c r="D909" s="14">
        <f>62.2231 * CHOOSE(CONTROL!$C$15, $E$9, 100%, $G$9) + CHOOSE(CONTROL!$C$38, 0.0347, 0)</f>
        <v>62.257800000000003</v>
      </c>
      <c r="E909" s="46">
        <f>65.6435 * CHOOSE(CONTROL!$C$15, $E$9, 100%, $G$9) + CHOOSE(CONTROL!$C$38, 0.0347, 0)</f>
        <v>65.678200000000004</v>
      </c>
      <c r="F909" s="45">
        <f>65.6435 * CHOOSE(CONTROL!$C$15, $E$9, 100%, $G$9) + CHOOSE(CONTROL!$C$38, 0.0256, 0)</f>
        <v>65.6691</v>
      </c>
      <c r="G909" s="14">
        <f>62.2294 * CHOOSE(CONTROL!$C$15, $E$9, 100%, $G$9) + CHOOSE(CONTROL!$C$38, 0.0347, 0)</f>
        <v>62.264099999999999</v>
      </c>
      <c r="H909" s="14">
        <f>62.2294 * CHOOSE(CONTROL!$C$15, $E$9, 100%, $G$9) + CHOOSE(CONTROL!$C$38, 0.0347, 0)</f>
        <v>62.264099999999999</v>
      </c>
      <c r="I909" s="14">
        <f>62.2309 * CHOOSE(CONTROL!$C$15, $E$9, 100%, $G$9) + CHOOSE(CONTROL!$C$38, 0.0347, 0)</f>
        <v>62.265599999999999</v>
      </c>
      <c r="J909" s="44">
        <f>612.7552</f>
        <v>612.75519999999995</v>
      </c>
    </row>
    <row r="910" spans="1:10" ht="15.75" x14ac:dyDescent="0.25">
      <c r="A910" s="32">
        <v>68636</v>
      </c>
      <c r="B910" s="14">
        <f>65.3353 * CHOOSE(CONTROL!$C$15, $E$9, 100%, $G$9) + CHOOSE(CONTROL!$C$38, 0.0256, 0)</f>
        <v>65.360900000000001</v>
      </c>
      <c r="C910" s="14">
        <f>61.7908 * CHOOSE(CONTROL!$C$15, $E$9, 100%, $G$9) + CHOOSE(CONTROL!$C$38, 0.0347, 0)</f>
        <v>61.825499999999998</v>
      </c>
      <c r="D910" s="14">
        <f>61.783 * CHOOSE(CONTROL!$C$15, $E$9, 100%, $G$9) + CHOOSE(CONTROL!$C$38, 0.0347, 0)</f>
        <v>61.817700000000002</v>
      </c>
      <c r="E910" s="46">
        <f>65.179 * CHOOSE(CONTROL!$C$15, $E$9, 100%, $G$9) + CHOOSE(CONTROL!$C$38, 0.0347, 0)</f>
        <v>65.213700000000003</v>
      </c>
      <c r="F910" s="45">
        <f>65.179 * CHOOSE(CONTROL!$C$15, $E$9, 100%, $G$9) + CHOOSE(CONTROL!$C$38, 0.0256, 0)</f>
        <v>65.204599999999999</v>
      </c>
      <c r="G910" s="14">
        <f>61.7892 * CHOOSE(CONTROL!$C$15, $E$9, 100%, $G$9) + CHOOSE(CONTROL!$C$38, 0.0347, 0)</f>
        <v>61.823900000000002</v>
      </c>
      <c r="H910" s="14">
        <f>61.7892 * CHOOSE(CONTROL!$C$15, $E$9, 100%, $G$9) + CHOOSE(CONTROL!$C$38, 0.0347, 0)</f>
        <v>61.823900000000002</v>
      </c>
      <c r="I910" s="14">
        <f>61.7908 * CHOOSE(CONTROL!$C$15, $E$9, 100%, $G$9) + CHOOSE(CONTROL!$C$38, 0.0347, 0)</f>
        <v>61.825499999999998</v>
      </c>
      <c r="J910" s="44">
        <f>608.3892</f>
        <v>608.38919999999996</v>
      </c>
    </row>
    <row r="911" spans="1:10" ht="15.75" x14ac:dyDescent="0.25">
      <c r="A911" s="32">
        <v>68667</v>
      </c>
      <c r="B911" s="14">
        <f>63.4148 * CHOOSE(CONTROL!$C$15, $E$9, 100%, $G$9) + CHOOSE(CONTROL!$C$38, 0.0256, 0)</f>
        <v>63.440399999999997</v>
      </c>
      <c r="C911" s="14">
        <f>59.9708 * CHOOSE(CONTROL!$C$15, $E$9, 100%, $G$9) + CHOOSE(CONTROL!$C$38, 0.0347, 0)</f>
        <v>60.005499999999998</v>
      </c>
      <c r="D911" s="14">
        <f>59.963 * CHOOSE(CONTROL!$C$15, $E$9, 100%, $G$9) + CHOOSE(CONTROL!$C$38, 0.0347, 0)</f>
        <v>59.997700000000002</v>
      </c>
      <c r="E911" s="46">
        <f>63.2585 * CHOOSE(CONTROL!$C$15, $E$9, 100%, $G$9) + CHOOSE(CONTROL!$C$38, 0.0347, 0)</f>
        <v>63.293199999999999</v>
      </c>
      <c r="F911" s="45">
        <f>63.2585 * CHOOSE(CONTROL!$C$15, $E$9, 100%, $G$9) + CHOOSE(CONTROL!$C$38, 0.0256, 0)</f>
        <v>63.284099999999995</v>
      </c>
      <c r="G911" s="14">
        <f>59.9693 * CHOOSE(CONTROL!$C$15, $E$9, 100%, $G$9) + CHOOSE(CONTROL!$C$38, 0.0347, 0)</f>
        <v>60.003999999999998</v>
      </c>
      <c r="H911" s="14">
        <f>59.9693 * CHOOSE(CONTROL!$C$15, $E$9, 100%, $G$9) + CHOOSE(CONTROL!$C$38, 0.0347, 0)</f>
        <v>60.003999999999998</v>
      </c>
      <c r="I911" s="14">
        <f>59.9708 * CHOOSE(CONTROL!$C$15, $E$9, 100%, $G$9) + CHOOSE(CONTROL!$C$38, 0.0347, 0)</f>
        <v>60.005499999999998</v>
      </c>
      <c r="J911" s="44">
        <f>590.3352</f>
        <v>590.33519999999999</v>
      </c>
    </row>
    <row r="912" spans="1:10" ht="15.75" x14ac:dyDescent="0.25">
      <c r="A912" s="32">
        <v>68698</v>
      </c>
      <c r="B912" s="14">
        <f>62.9378 * CHOOSE(CONTROL!$C$15, $E$9, 100%, $G$9) + CHOOSE(CONTROL!$C$38, 0.0256, 0)</f>
        <v>62.9634</v>
      </c>
      <c r="C912" s="14">
        <f>59.5189 * CHOOSE(CONTROL!$C$15, $E$9, 100%, $G$9) + CHOOSE(CONTROL!$C$38, 0.0347, 0)</f>
        <v>59.553600000000003</v>
      </c>
      <c r="D912" s="14">
        <f>59.5111 * CHOOSE(CONTROL!$C$15, $E$9, 100%, $G$9) + CHOOSE(CONTROL!$C$38, 0.0347, 0)</f>
        <v>59.5458</v>
      </c>
      <c r="E912" s="46">
        <f>62.7816 * CHOOSE(CONTROL!$C$15, $E$9, 100%, $G$9) + CHOOSE(CONTROL!$C$38, 0.0347, 0)</f>
        <v>62.816299999999998</v>
      </c>
      <c r="F912" s="45">
        <f>62.7816 * CHOOSE(CONTROL!$C$15, $E$9, 100%, $G$9) + CHOOSE(CONTROL!$C$38, 0.0256, 0)</f>
        <v>62.807199999999995</v>
      </c>
      <c r="G912" s="14">
        <f>59.5173 * CHOOSE(CONTROL!$C$15, $E$9, 100%, $G$9) + CHOOSE(CONTROL!$C$38, 0.0347, 0)</f>
        <v>59.552</v>
      </c>
      <c r="H912" s="14">
        <f>59.5173 * CHOOSE(CONTROL!$C$15, $E$9, 100%, $G$9) + CHOOSE(CONTROL!$C$38, 0.0347, 0)</f>
        <v>59.552</v>
      </c>
      <c r="I912" s="14">
        <f>59.5189 * CHOOSE(CONTROL!$C$15, $E$9, 100%, $G$9) + CHOOSE(CONTROL!$C$38, 0.0347, 0)</f>
        <v>59.553600000000003</v>
      </c>
      <c r="J912" s="44">
        <f>589.5739</f>
        <v>589.57389999999998</v>
      </c>
    </row>
    <row r="913" spans="1:10" ht="15.75" x14ac:dyDescent="0.25">
      <c r="A913" s="32">
        <v>68727</v>
      </c>
      <c r="B913" s="14">
        <f>62.7646 * CHOOSE(CONTROL!$C$15, $E$9, 100%, $G$9) + CHOOSE(CONTROL!$C$38, 0.0256, 0)</f>
        <v>62.790199999999999</v>
      </c>
      <c r="C913" s="14">
        <f>59.3547 * CHOOSE(CONTROL!$C$15, $E$9, 100%, $G$9) + CHOOSE(CONTROL!$C$38, 0.0347, 0)</f>
        <v>59.389400000000002</v>
      </c>
      <c r="D913" s="14">
        <f>59.3469 * CHOOSE(CONTROL!$C$15, $E$9, 100%, $G$9) + CHOOSE(CONTROL!$C$38, 0.0347, 0)</f>
        <v>59.381599999999999</v>
      </c>
      <c r="E913" s="46">
        <f>62.6083 * CHOOSE(CONTROL!$C$15, $E$9, 100%, $G$9) + CHOOSE(CONTROL!$C$38, 0.0347, 0)</f>
        <v>62.643000000000001</v>
      </c>
      <c r="F913" s="45">
        <f>62.6083 * CHOOSE(CONTROL!$C$15, $E$9, 100%, $G$9) + CHOOSE(CONTROL!$C$38, 0.0256, 0)</f>
        <v>62.633899999999997</v>
      </c>
      <c r="G913" s="14">
        <f>59.3531 * CHOOSE(CONTROL!$C$15, $E$9, 100%, $G$9) + CHOOSE(CONTROL!$C$38, 0.0347, 0)</f>
        <v>59.387799999999999</v>
      </c>
      <c r="H913" s="14">
        <f>59.3531 * CHOOSE(CONTROL!$C$15, $E$9, 100%, $G$9) + CHOOSE(CONTROL!$C$38, 0.0347, 0)</f>
        <v>59.387799999999999</v>
      </c>
      <c r="I913" s="14">
        <f>59.3547 * CHOOSE(CONTROL!$C$15, $E$9, 100%, $G$9) + CHOOSE(CONTROL!$C$38, 0.0347, 0)</f>
        <v>59.389400000000002</v>
      </c>
      <c r="J913" s="44">
        <f>587.9351</f>
        <v>587.93510000000003</v>
      </c>
    </row>
    <row r="914" spans="1:10" ht="15.75" x14ac:dyDescent="0.25">
      <c r="A914" s="32">
        <v>68758</v>
      </c>
      <c r="B914" s="14">
        <f>66.0401 * CHOOSE(CONTROL!$C$15, $E$9, 100%, $G$9) + CHOOSE(CONTROL!$C$38, 0.0256, 0)</f>
        <v>66.065699999999993</v>
      </c>
      <c r="C914" s="14">
        <f>62.4588 * CHOOSE(CONTROL!$C$15, $E$9, 100%, $G$9) + CHOOSE(CONTROL!$C$38, 0.0347, 0)</f>
        <v>62.493499999999997</v>
      </c>
      <c r="D914" s="14">
        <f>62.4509 * CHOOSE(CONTROL!$C$15, $E$9, 100%, $G$9) + CHOOSE(CONTROL!$C$38, 0.0347, 0)</f>
        <v>62.485599999999998</v>
      </c>
      <c r="E914" s="46">
        <f>65.8839 * CHOOSE(CONTROL!$C$15, $E$9, 100%, $G$9) + CHOOSE(CONTROL!$C$38, 0.0347, 0)</f>
        <v>65.918599999999998</v>
      </c>
      <c r="F914" s="45">
        <f>65.8839 * CHOOSE(CONTROL!$C$15, $E$9, 100%, $G$9) + CHOOSE(CONTROL!$C$38, 0.0256, 0)</f>
        <v>65.909499999999994</v>
      </c>
      <c r="G914" s="14">
        <f>62.4572 * CHOOSE(CONTROL!$C$15, $E$9, 100%, $G$9) + CHOOSE(CONTROL!$C$38, 0.0347, 0)</f>
        <v>62.491900000000001</v>
      </c>
      <c r="H914" s="14">
        <f>62.4572 * CHOOSE(CONTROL!$C$15, $E$9, 100%, $G$9) + CHOOSE(CONTROL!$C$38, 0.0347, 0)</f>
        <v>62.491900000000001</v>
      </c>
      <c r="I914" s="14">
        <f>62.4588 * CHOOSE(CONTROL!$C$15, $E$9, 100%, $G$9) + CHOOSE(CONTROL!$C$38, 0.0347, 0)</f>
        <v>62.493499999999997</v>
      </c>
      <c r="J914" s="44">
        <f>618.9227</f>
        <v>618.92269999999996</v>
      </c>
    </row>
    <row r="915" spans="1:10" ht="15.75" x14ac:dyDescent="0.25">
      <c r="A915" s="32">
        <v>68788</v>
      </c>
      <c r="B915" s="14">
        <f>70.2877 * CHOOSE(CONTROL!$C$15, $E$9, 100%, $G$9) + CHOOSE(CONTROL!$C$38, 0.0256, 0)</f>
        <v>70.313299999999998</v>
      </c>
      <c r="C915" s="14">
        <f>66.484 * CHOOSE(CONTROL!$C$15, $E$9, 100%, $G$9) + CHOOSE(CONTROL!$C$38, 0.0347, 0)</f>
        <v>66.518699999999995</v>
      </c>
      <c r="D915" s="14">
        <f>66.4761 * CHOOSE(CONTROL!$C$15, $E$9, 100%, $G$9) + CHOOSE(CONTROL!$C$38, 0.0347, 0)</f>
        <v>66.510800000000003</v>
      </c>
      <c r="E915" s="46">
        <f>70.1314 * CHOOSE(CONTROL!$C$15, $E$9, 100%, $G$9) + CHOOSE(CONTROL!$C$38, 0.0347, 0)</f>
        <v>70.1661</v>
      </c>
      <c r="F915" s="45">
        <f>70.1314 * CHOOSE(CONTROL!$C$15, $E$9, 100%, $G$9) + CHOOSE(CONTROL!$C$38, 0.0256, 0)</f>
        <v>70.156999999999996</v>
      </c>
      <c r="G915" s="14">
        <f>66.4824 * CHOOSE(CONTROL!$C$15, $E$9, 100%, $G$9) + CHOOSE(CONTROL!$C$38, 0.0347, 0)</f>
        <v>66.517099999999999</v>
      </c>
      <c r="H915" s="14">
        <f>66.4824 * CHOOSE(CONTROL!$C$15, $E$9, 100%, $G$9) + CHOOSE(CONTROL!$C$38, 0.0347, 0)</f>
        <v>66.517099999999999</v>
      </c>
      <c r="I915" s="14">
        <f>66.484 * CHOOSE(CONTROL!$C$15, $E$9, 100%, $G$9) + CHOOSE(CONTROL!$C$38, 0.0347, 0)</f>
        <v>66.518699999999995</v>
      </c>
      <c r="J915" s="44">
        <f>659.1062</f>
        <v>659.10619999999994</v>
      </c>
    </row>
    <row r="916" spans="1:10" ht="15.75" x14ac:dyDescent="0.25">
      <c r="A916" s="32">
        <v>68819</v>
      </c>
      <c r="B916" s="14">
        <f>72.6257 * CHOOSE(CONTROL!$C$15, $E$9, 100%, $G$9) + CHOOSE(CONTROL!$C$38, 0.0278, 0)</f>
        <v>72.653499999999994</v>
      </c>
      <c r="C916" s="14">
        <f>68.6996 * CHOOSE(CONTROL!$C$15, $E$9, 100%, $G$9) + CHOOSE(CONTROL!$C$38, 0.0369, 0)</f>
        <v>68.736500000000007</v>
      </c>
      <c r="D916" s="14">
        <f>68.6917 * CHOOSE(CONTROL!$C$15, $E$9, 100%, $G$9) + CHOOSE(CONTROL!$C$38, 0.0369, 0)</f>
        <v>68.7286</v>
      </c>
      <c r="E916" s="46">
        <f>72.4695 * CHOOSE(CONTROL!$C$15, $E$9, 100%, $G$9) + CHOOSE(CONTROL!$C$38, 0.0369, 0)</f>
        <v>72.506399999999999</v>
      </c>
      <c r="F916" s="45">
        <f>72.4695 * CHOOSE(CONTROL!$C$15, $E$9, 100%, $G$9) + CHOOSE(CONTROL!$C$38, 0.0278, 0)</f>
        <v>72.497299999999996</v>
      </c>
      <c r="G916" s="14">
        <f>68.698 * CHOOSE(CONTROL!$C$15, $E$9, 100%, $G$9) + CHOOSE(CONTROL!$C$38, 0.0369, 0)</f>
        <v>68.734899999999996</v>
      </c>
      <c r="H916" s="14">
        <f>68.698 * CHOOSE(CONTROL!$C$15, $E$9, 100%, $G$9) + CHOOSE(CONTROL!$C$38, 0.0369, 0)</f>
        <v>68.734899999999996</v>
      </c>
      <c r="I916" s="14">
        <f>68.6996 * CHOOSE(CONTROL!$C$15, $E$9, 100%, $G$9) + CHOOSE(CONTROL!$C$38, 0.0369, 0)</f>
        <v>68.736500000000007</v>
      </c>
      <c r="J916" s="44">
        <f>681.2245</f>
        <v>681.22450000000003</v>
      </c>
    </row>
    <row r="917" spans="1:10" ht="15.75" x14ac:dyDescent="0.25">
      <c r="A917" s="32">
        <v>68849</v>
      </c>
      <c r="B917" s="14">
        <f>73.6633 * CHOOSE(CONTROL!$C$15, $E$9, 100%, $G$9) + CHOOSE(CONTROL!$C$38, 0.0278, 0)</f>
        <v>73.691100000000006</v>
      </c>
      <c r="C917" s="14">
        <f>69.6828 * CHOOSE(CONTROL!$C$15, $E$9, 100%, $G$9) + CHOOSE(CONTROL!$C$38, 0.0369, 0)</f>
        <v>69.719700000000003</v>
      </c>
      <c r="D917" s="14">
        <f>69.675 * CHOOSE(CONTROL!$C$15, $E$9, 100%, $G$9) + CHOOSE(CONTROL!$C$38, 0.0369, 0)</f>
        <v>69.7119</v>
      </c>
      <c r="E917" s="46">
        <f>73.507 * CHOOSE(CONTROL!$C$15, $E$9, 100%, $G$9) + CHOOSE(CONTROL!$C$38, 0.0369, 0)</f>
        <v>73.543900000000008</v>
      </c>
      <c r="F917" s="45">
        <f>73.507 * CHOOSE(CONTROL!$C$15, $E$9, 100%, $G$9) + CHOOSE(CONTROL!$C$38, 0.0278, 0)</f>
        <v>73.534800000000004</v>
      </c>
      <c r="G917" s="14">
        <f>69.6812 * CHOOSE(CONTROL!$C$15, $E$9, 100%, $G$9) + CHOOSE(CONTROL!$C$38, 0.0369, 0)</f>
        <v>69.718100000000007</v>
      </c>
      <c r="H917" s="14">
        <f>69.6812 * CHOOSE(CONTROL!$C$15, $E$9, 100%, $G$9) + CHOOSE(CONTROL!$C$38, 0.0369, 0)</f>
        <v>69.718100000000007</v>
      </c>
      <c r="I917" s="14">
        <f>69.6828 * CHOOSE(CONTROL!$C$15, $E$9, 100%, $G$9) + CHOOSE(CONTROL!$C$38, 0.0369, 0)</f>
        <v>69.719700000000003</v>
      </c>
      <c r="J917" s="44">
        <f>691.0402</f>
        <v>691.04020000000003</v>
      </c>
    </row>
    <row r="918" spans="1:10" ht="15.75" x14ac:dyDescent="0.25">
      <c r="A918" s="32">
        <v>68880</v>
      </c>
      <c r="B918" s="14">
        <f>73.3217 * CHOOSE(CONTROL!$C$15, $E$9, 100%, $G$9) + CHOOSE(CONTROL!$C$38, 0.0278, 0)</f>
        <v>73.349500000000006</v>
      </c>
      <c r="C918" s="14">
        <f>69.3591 * CHOOSE(CONTROL!$C$15, $E$9, 100%, $G$9) + CHOOSE(CONTROL!$C$38, 0.0369, 0)</f>
        <v>69.396000000000001</v>
      </c>
      <c r="D918" s="14">
        <f>69.3513 * CHOOSE(CONTROL!$C$15, $E$9, 100%, $G$9) + CHOOSE(CONTROL!$C$38, 0.0369, 0)</f>
        <v>69.388199999999998</v>
      </c>
      <c r="E918" s="46">
        <f>73.1654 * CHOOSE(CONTROL!$C$15, $E$9, 100%, $G$9) + CHOOSE(CONTROL!$C$38, 0.0369, 0)</f>
        <v>73.202300000000008</v>
      </c>
      <c r="F918" s="45">
        <f>73.1654 * CHOOSE(CONTROL!$C$15, $E$9, 100%, $G$9) + CHOOSE(CONTROL!$C$38, 0.0278, 0)</f>
        <v>73.193200000000004</v>
      </c>
      <c r="G918" s="14">
        <f>69.3575 * CHOOSE(CONTROL!$C$15, $E$9, 100%, $G$9) + CHOOSE(CONTROL!$C$38, 0.0369, 0)</f>
        <v>69.394400000000005</v>
      </c>
      <c r="H918" s="14">
        <f>69.3575 * CHOOSE(CONTROL!$C$15, $E$9, 100%, $G$9) + CHOOSE(CONTROL!$C$38, 0.0369, 0)</f>
        <v>69.394400000000005</v>
      </c>
      <c r="I918" s="14">
        <f>69.3591 * CHOOSE(CONTROL!$C$15, $E$9, 100%, $G$9) + CHOOSE(CONTROL!$C$38, 0.0369, 0)</f>
        <v>69.396000000000001</v>
      </c>
      <c r="J918" s="44">
        <f>687.8084</f>
        <v>687.80840000000001</v>
      </c>
    </row>
    <row r="919" spans="1:10" ht="15.75" x14ac:dyDescent="0.25">
      <c r="A919" s="32">
        <v>68911</v>
      </c>
      <c r="B919" s="14">
        <f>71.6291 * CHOOSE(CONTROL!$C$15, $E$9, 100%, $G$9) + CHOOSE(CONTROL!$C$38, 0.0278, 0)</f>
        <v>71.656899999999993</v>
      </c>
      <c r="C919" s="14">
        <f>67.7552 * CHOOSE(CONTROL!$C$15, $E$9, 100%, $G$9) + CHOOSE(CONTROL!$C$38, 0.0369, 0)</f>
        <v>67.792100000000005</v>
      </c>
      <c r="D919" s="14">
        <f>67.7473 * CHOOSE(CONTROL!$C$15, $E$9, 100%, $G$9) + CHOOSE(CONTROL!$C$38, 0.0369, 0)</f>
        <v>67.784199999999998</v>
      </c>
      <c r="E919" s="46">
        <f>71.4729 * CHOOSE(CONTROL!$C$15, $E$9, 100%, $G$9) + CHOOSE(CONTROL!$C$38, 0.0369, 0)</f>
        <v>71.509799999999998</v>
      </c>
      <c r="F919" s="45">
        <f>71.4729 * CHOOSE(CONTROL!$C$15, $E$9, 100%, $G$9) + CHOOSE(CONTROL!$C$38, 0.0278, 0)</f>
        <v>71.500699999999995</v>
      </c>
      <c r="G919" s="14">
        <f>67.7536 * CHOOSE(CONTROL!$C$15, $E$9, 100%, $G$9) + CHOOSE(CONTROL!$C$38, 0.0369, 0)</f>
        <v>67.790500000000009</v>
      </c>
      <c r="H919" s="14">
        <f>67.7536 * CHOOSE(CONTROL!$C$15, $E$9, 100%, $G$9) + CHOOSE(CONTROL!$C$38, 0.0369, 0)</f>
        <v>67.790500000000009</v>
      </c>
      <c r="I919" s="14">
        <f>67.7552 * CHOOSE(CONTROL!$C$15, $E$9, 100%, $G$9) + CHOOSE(CONTROL!$C$38, 0.0369, 0)</f>
        <v>67.792100000000005</v>
      </c>
      <c r="J919" s="44">
        <f>671.7965</f>
        <v>671.79650000000004</v>
      </c>
    </row>
    <row r="920" spans="1:10" ht="15.75" x14ac:dyDescent="0.25">
      <c r="A920" s="32">
        <v>68941</v>
      </c>
      <c r="B920" s="14">
        <f>69.2688 * CHOOSE(CONTROL!$C$15, $E$9, 100%, $G$9) + CHOOSE(CONTROL!$C$38, 0.0278, 0)</f>
        <v>69.296599999999998</v>
      </c>
      <c r="C920" s="14">
        <f>65.5184 * CHOOSE(CONTROL!$C$15, $E$9, 100%, $G$9) + CHOOSE(CONTROL!$C$38, 0.0369, 0)</f>
        <v>65.555300000000003</v>
      </c>
      <c r="D920" s="14">
        <f>65.5106 * CHOOSE(CONTROL!$C$15, $E$9, 100%, $G$9) + CHOOSE(CONTROL!$C$38, 0.0369, 0)</f>
        <v>65.547499999999999</v>
      </c>
      <c r="E920" s="46">
        <f>69.1126 * CHOOSE(CONTROL!$C$15, $E$9, 100%, $G$9) + CHOOSE(CONTROL!$C$38, 0.0369, 0)</f>
        <v>69.149500000000003</v>
      </c>
      <c r="F920" s="45">
        <f>69.1126 * CHOOSE(CONTROL!$C$15, $E$9, 100%, $G$9) + CHOOSE(CONTROL!$C$38, 0.0278, 0)</f>
        <v>69.1404</v>
      </c>
      <c r="G920" s="14">
        <f>65.5168 * CHOOSE(CONTROL!$C$15, $E$9, 100%, $G$9) + CHOOSE(CONTROL!$C$38, 0.0369, 0)</f>
        <v>65.553700000000006</v>
      </c>
      <c r="H920" s="14">
        <f>65.5168 * CHOOSE(CONTROL!$C$15, $E$9, 100%, $G$9) + CHOOSE(CONTROL!$C$38, 0.0369, 0)</f>
        <v>65.553700000000006</v>
      </c>
      <c r="I920" s="14">
        <f>65.5184 * CHOOSE(CONTROL!$C$15, $E$9, 100%, $G$9) + CHOOSE(CONTROL!$C$38, 0.0369, 0)</f>
        <v>65.555300000000003</v>
      </c>
      <c r="J920" s="44">
        <f>649.4671</f>
        <v>649.46709999999996</v>
      </c>
    </row>
    <row r="921" spans="1:10" ht="15.75" x14ac:dyDescent="0.25">
      <c r="A921" s="32">
        <v>68972</v>
      </c>
      <c r="B921" s="14">
        <f>66.8948 * CHOOSE(CONTROL!$C$15, $E$9, 100%, $G$9) + CHOOSE(CONTROL!$C$38, 0.0256, 0)</f>
        <v>66.920400000000001</v>
      </c>
      <c r="C921" s="14">
        <f>63.2687 * CHOOSE(CONTROL!$C$15, $E$9, 100%, $G$9) + CHOOSE(CONTROL!$C$38, 0.0347, 0)</f>
        <v>63.303400000000003</v>
      </c>
      <c r="D921" s="14">
        <f>63.2608 * CHOOSE(CONTROL!$C$15, $E$9, 100%, $G$9) + CHOOSE(CONTROL!$C$38, 0.0347, 0)</f>
        <v>63.295500000000004</v>
      </c>
      <c r="E921" s="46">
        <f>66.7385 * CHOOSE(CONTROL!$C$15, $E$9, 100%, $G$9) + CHOOSE(CONTROL!$C$38, 0.0347, 0)</f>
        <v>66.773200000000003</v>
      </c>
      <c r="F921" s="45">
        <f>66.7385 * CHOOSE(CONTROL!$C$15, $E$9, 100%, $G$9) + CHOOSE(CONTROL!$C$38, 0.0256, 0)</f>
        <v>66.764099999999999</v>
      </c>
      <c r="G921" s="14">
        <f>63.2671 * CHOOSE(CONTROL!$C$15, $E$9, 100%, $G$9) + CHOOSE(CONTROL!$C$38, 0.0347, 0)</f>
        <v>63.3018</v>
      </c>
      <c r="H921" s="14">
        <f>63.2671 * CHOOSE(CONTROL!$C$15, $E$9, 100%, $G$9) + CHOOSE(CONTROL!$C$38, 0.0347, 0)</f>
        <v>63.3018</v>
      </c>
      <c r="I921" s="14">
        <f>63.2687 * CHOOSE(CONTROL!$C$15, $E$9, 100%, $G$9) + CHOOSE(CONTROL!$C$38, 0.0347, 0)</f>
        <v>63.303400000000003</v>
      </c>
      <c r="J921" s="44">
        <f>627.0079</f>
        <v>627.00789999999995</v>
      </c>
    </row>
    <row r="922" spans="1:10" ht="15.75" x14ac:dyDescent="0.25">
      <c r="A922" s="32">
        <v>69002</v>
      </c>
      <c r="B922" s="14">
        <f>66.4225 * CHOOSE(CONTROL!$C$15, $E$9, 100%, $G$9) + CHOOSE(CONTROL!$C$38, 0.0256, 0)</f>
        <v>66.448099999999997</v>
      </c>
      <c r="C922" s="14">
        <f>62.8211 * CHOOSE(CONTROL!$C$15, $E$9, 100%, $G$9) + CHOOSE(CONTROL!$C$38, 0.0347, 0)</f>
        <v>62.855800000000002</v>
      </c>
      <c r="D922" s="14">
        <f>62.8133 * CHOOSE(CONTROL!$C$15, $E$9, 100%, $G$9) + CHOOSE(CONTROL!$C$38, 0.0347, 0)</f>
        <v>62.847999999999999</v>
      </c>
      <c r="E922" s="46">
        <f>66.2663 * CHOOSE(CONTROL!$C$15, $E$9, 100%, $G$9) + CHOOSE(CONTROL!$C$38, 0.0347, 0)</f>
        <v>66.301000000000002</v>
      </c>
      <c r="F922" s="45">
        <f>66.2663 * CHOOSE(CONTROL!$C$15, $E$9, 100%, $G$9) + CHOOSE(CONTROL!$C$38, 0.0256, 0)</f>
        <v>66.291899999999998</v>
      </c>
      <c r="G922" s="14">
        <f>62.8196 * CHOOSE(CONTROL!$C$15, $E$9, 100%, $G$9) + CHOOSE(CONTROL!$C$38, 0.0347, 0)</f>
        <v>62.854300000000002</v>
      </c>
      <c r="H922" s="14">
        <f>62.8196 * CHOOSE(CONTROL!$C$15, $E$9, 100%, $G$9) + CHOOSE(CONTROL!$C$38, 0.0347, 0)</f>
        <v>62.854300000000002</v>
      </c>
      <c r="I922" s="14">
        <f>62.8211 * CHOOSE(CONTROL!$C$15, $E$9, 100%, $G$9) + CHOOSE(CONTROL!$C$38, 0.0347, 0)</f>
        <v>62.855800000000002</v>
      </c>
      <c r="J922" s="44">
        <f>622.5403</f>
        <v>622.5403</v>
      </c>
    </row>
    <row r="923" spans="1:10" ht="15.75" x14ac:dyDescent="0.25">
      <c r="A923" s="32">
        <v>69033</v>
      </c>
      <c r="B923" s="14">
        <f>64.4697 * CHOOSE(CONTROL!$C$15, $E$9, 100%, $G$9) + CHOOSE(CONTROL!$C$38, 0.0256, 0)</f>
        <v>64.4953</v>
      </c>
      <c r="C923" s="14">
        <f>60.9706 * CHOOSE(CONTROL!$C$15, $E$9, 100%, $G$9) + CHOOSE(CONTROL!$C$38, 0.0347, 0)</f>
        <v>61.005299999999998</v>
      </c>
      <c r="D923" s="14">
        <f>60.9628 * CHOOSE(CONTROL!$C$15, $E$9, 100%, $G$9) + CHOOSE(CONTROL!$C$38, 0.0347, 0)</f>
        <v>60.997500000000002</v>
      </c>
      <c r="E923" s="46">
        <f>64.3135 * CHOOSE(CONTROL!$C$15, $E$9, 100%, $G$9) + CHOOSE(CONTROL!$C$38, 0.0347, 0)</f>
        <v>64.348200000000006</v>
      </c>
      <c r="F923" s="45">
        <f>64.3135 * CHOOSE(CONTROL!$C$15, $E$9, 100%, $G$9) + CHOOSE(CONTROL!$C$38, 0.0256, 0)</f>
        <v>64.339100000000002</v>
      </c>
      <c r="G923" s="14">
        <f>60.969 * CHOOSE(CONTROL!$C$15, $E$9, 100%, $G$9) + CHOOSE(CONTROL!$C$38, 0.0347, 0)</f>
        <v>61.003700000000002</v>
      </c>
      <c r="H923" s="14">
        <f>60.969 * CHOOSE(CONTROL!$C$15, $E$9, 100%, $G$9) + CHOOSE(CONTROL!$C$38, 0.0347, 0)</f>
        <v>61.003700000000002</v>
      </c>
      <c r="I923" s="14">
        <f>60.9706 * CHOOSE(CONTROL!$C$15, $E$9, 100%, $G$9) + CHOOSE(CONTROL!$C$38, 0.0347, 0)</f>
        <v>61.005299999999998</v>
      </c>
      <c r="J923" s="44">
        <f>604.0664</f>
        <v>604.06640000000004</v>
      </c>
    </row>
    <row r="924" spans="1:10" ht="15.75" x14ac:dyDescent="0.25">
      <c r="A924" s="32">
        <v>69064</v>
      </c>
      <c r="B924" s="14">
        <f>63.9848 * CHOOSE(CONTROL!$C$15, $E$9, 100%, $G$9) + CHOOSE(CONTROL!$C$38, 0.0256, 0)</f>
        <v>64.010400000000004</v>
      </c>
      <c r="C924" s="14">
        <f>60.511 * CHOOSE(CONTROL!$C$15, $E$9, 100%, $G$9) + CHOOSE(CONTROL!$C$38, 0.0347, 0)</f>
        <v>60.545700000000004</v>
      </c>
      <c r="D924" s="14">
        <f>60.5032 * CHOOSE(CONTROL!$C$15, $E$9, 100%, $G$9) + CHOOSE(CONTROL!$C$38, 0.0347, 0)</f>
        <v>60.5379</v>
      </c>
      <c r="E924" s="46">
        <f>63.8285 * CHOOSE(CONTROL!$C$15, $E$9, 100%, $G$9) + CHOOSE(CONTROL!$C$38, 0.0347, 0)</f>
        <v>63.863199999999999</v>
      </c>
      <c r="F924" s="45">
        <f>63.8285 * CHOOSE(CONTROL!$C$15, $E$9, 100%, $G$9) + CHOOSE(CONTROL!$C$38, 0.0256, 0)</f>
        <v>63.854099999999995</v>
      </c>
      <c r="G924" s="14">
        <f>60.5095 * CHOOSE(CONTROL!$C$15, $E$9, 100%, $G$9) + CHOOSE(CONTROL!$C$38, 0.0347, 0)</f>
        <v>60.544200000000004</v>
      </c>
      <c r="H924" s="14">
        <f>60.5095 * CHOOSE(CONTROL!$C$15, $E$9, 100%, $G$9) + CHOOSE(CONTROL!$C$38, 0.0347, 0)</f>
        <v>60.544200000000004</v>
      </c>
      <c r="I924" s="14">
        <f>60.511 * CHOOSE(CONTROL!$C$15, $E$9, 100%, $G$9) + CHOOSE(CONTROL!$C$38, 0.0347, 0)</f>
        <v>60.545700000000004</v>
      </c>
      <c r="J924" s="44">
        <f>603.2874</f>
        <v>603.28740000000005</v>
      </c>
    </row>
    <row r="925" spans="1:10" ht="15.75" x14ac:dyDescent="0.25">
      <c r="A925" s="32">
        <v>69092</v>
      </c>
      <c r="B925" s="14">
        <f>63.8087 * CHOOSE(CONTROL!$C$15, $E$9, 100%, $G$9) + CHOOSE(CONTROL!$C$38, 0.0256, 0)</f>
        <v>63.834299999999999</v>
      </c>
      <c r="C925" s="14">
        <f>60.3441 * CHOOSE(CONTROL!$C$15, $E$9, 100%, $G$9) + CHOOSE(CONTROL!$C$38, 0.0347, 0)</f>
        <v>60.378799999999998</v>
      </c>
      <c r="D925" s="14">
        <f>60.3363 * CHOOSE(CONTROL!$C$15, $E$9, 100%, $G$9) + CHOOSE(CONTROL!$C$38, 0.0347, 0)</f>
        <v>60.371000000000002</v>
      </c>
      <c r="E925" s="46">
        <f>63.6524 * CHOOSE(CONTROL!$C$15, $E$9, 100%, $G$9) + CHOOSE(CONTROL!$C$38, 0.0347, 0)</f>
        <v>63.687100000000001</v>
      </c>
      <c r="F925" s="45">
        <f>63.6524 * CHOOSE(CONTROL!$C$15, $E$9, 100%, $G$9) + CHOOSE(CONTROL!$C$38, 0.0256, 0)</f>
        <v>63.677999999999997</v>
      </c>
      <c r="G925" s="14">
        <f>60.3425 * CHOOSE(CONTROL!$C$15, $E$9, 100%, $G$9) + CHOOSE(CONTROL!$C$38, 0.0347, 0)</f>
        <v>60.377200000000002</v>
      </c>
      <c r="H925" s="14">
        <f>60.3425 * CHOOSE(CONTROL!$C$15, $E$9, 100%, $G$9) + CHOOSE(CONTROL!$C$38, 0.0347, 0)</f>
        <v>60.377200000000002</v>
      </c>
      <c r="I925" s="14">
        <f>60.3441 * CHOOSE(CONTROL!$C$15, $E$9, 100%, $G$9) + CHOOSE(CONTROL!$C$38, 0.0347, 0)</f>
        <v>60.378799999999998</v>
      </c>
      <c r="J925" s="44">
        <f>601.6105</f>
        <v>601.6105</v>
      </c>
    </row>
    <row r="926" spans="1:10" ht="15.75" x14ac:dyDescent="0.25">
      <c r="A926" s="32">
        <v>69123</v>
      </c>
      <c r="B926" s="14">
        <f>67.1392 * CHOOSE(CONTROL!$C$15, $E$9, 100%, $G$9) + CHOOSE(CONTROL!$C$38, 0.0256, 0)</f>
        <v>67.1648</v>
      </c>
      <c r="C926" s="14">
        <f>63.5003 * CHOOSE(CONTROL!$C$15, $E$9, 100%, $G$9) + CHOOSE(CONTROL!$C$38, 0.0347, 0)</f>
        <v>63.535000000000004</v>
      </c>
      <c r="D926" s="14">
        <f>63.4925 * CHOOSE(CONTROL!$C$15, $E$9, 100%, $G$9) + CHOOSE(CONTROL!$C$38, 0.0347, 0)</f>
        <v>63.527200000000001</v>
      </c>
      <c r="E926" s="46">
        <f>66.983 * CHOOSE(CONTROL!$C$15, $E$9, 100%, $G$9) + CHOOSE(CONTROL!$C$38, 0.0347, 0)</f>
        <v>67.017700000000005</v>
      </c>
      <c r="F926" s="45">
        <f>66.983 * CHOOSE(CONTROL!$C$15, $E$9, 100%, $G$9) + CHOOSE(CONTROL!$C$38, 0.0256, 0)</f>
        <v>67.008600000000001</v>
      </c>
      <c r="G926" s="14">
        <f>63.4987 * CHOOSE(CONTROL!$C$15, $E$9, 100%, $G$9) + CHOOSE(CONTROL!$C$38, 0.0347, 0)</f>
        <v>63.5334</v>
      </c>
      <c r="H926" s="14">
        <f>63.4987 * CHOOSE(CONTROL!$C$15, $E$9, 100%, $G$9) + CHOOSE(CONTROL!$C$38, 0.0347, 0)</f>
        <v>63.5334</v>
      </c>
      <c r="I926" s="14">
        <f>63.5003 * CHOOSE(CONTROL!$C$15, $E$9, 100%, $G$9) + CHOOSE(CONTROL!$C$38, 0.0347, 0)</f>
        <v>63.535000000000004</v>
      </c>
      <c r="J926" s="44">
        <f>633.3188</f>
        <v>633.31880000000001</v>
      </c>
    </row>
    <row r="927" spans="1:10" ht="15.75" x14ac:dyDescent="0.25">
      <c r="A927" s="32">
        <v>69153</v>
      </c>
      <c r="B927" s="14">
        <f>71.4581 * CHOOSE(CONTROL!$C$15, $E$9, 100%, $G$9) + CHOOSE(CONTROL!$C$38, 0.0256, 0)</f>
        <v>71.483699999999999</v>
      </c>
      <c r="C927" s="14">
        <f>67.5931 * CHOOSE(CONTROL!$C$15, $E$9, 100%, $G$9) + CHOOSE(CONTROL!$C$38, 0.0347, 0)</f>
        <v>67.627800000000008</v>
      </c>
      <c r="D927" s="14">
        <f>67.5853 * CHOOSE(CONTROL!$C$15, $E$9, 100%, $G$9) + CHOOSE(CONTROL!$C$38, 0.0347, 0)</f>
        <v>67.62</v>
      </c>
      <c r="E927" s="46">
        <f>71.3019 * CHOOSE(CONTROL!$C$15, $E$9, 100%, $G$9) + CHOOSE(CONTROL!$C$38, 0.0347, 0)</f>
        <v>71.336600000000004</v>
      </c>
      <c r="F927" s="45">
        <f>71.3019 * CHOOSE(CONTROL!$C$15, $E$9, 100%, $G$9) + CHOOSE(CONTROL!$C$38, 0.0256, 0)</f>
        <v>71.327500000000001</v>
      </c>
      <c r="G927" s="14">
        <f>67.5916 * CHOOSE(CONTROL!$C$15, $E$9, 100%, $G$9) + CHOOSE(CONTROL!$C$38, 0.0347, 0)</f>
        <v>67.626300000000001</v>
      </c>
      <c r="H927" s="14">
        <f>67.5916 * CHOOSE(CONTROL!$C$15, $E$9, 100%, $G$9) + CHOOSE(CONTROL!$C$38, 0.0347, 0)</f>
        <v>67.626300000000001</v>
      </c>
      <c r="I927" s="14">
        <f>67.5931 * CHOOSE(CONTROL!$C$15, $E$9, 100%, $G$9) + CHOOSE(CONTROL!$C$38, 0.0347, 0)</f>
        <v>67.627800000000008</v>
      </c>
      <c r="J927" s="44">
        <f>674.437</f>
        <v>674.43700000000001</v>
      </c>
    </row>
    <row r="928" spans="1:10" ht="15.75" x14ac:dyDescent="0.25">
      <c r="A928" s="32">
        <v>69184</v>
      </c>
      <c r="B928" s="14">
        <f>73.8354 * CHOOSE(CONTROL!$C$15, $E$9, 100%, $G$9) + CHOOSE(CONTROL!$C$38, 0.0278, 0)</f>
        <v>73.863200000000006</v>
      </c>
      <c r="C928" s="14">
        <f>69.8459 * CHOOSE(CONTROL!$C$15, $E$9, 100%, $G$9) + CHOOSE(CONTROL!$C$38, 0.0369, 0)</f>
        <v>69.882800000000003</v>
      </c>
      <c r="D928" s="14">
        <f>69.8381 * CHOOSE(CONTROL!$C$15, $E$9, 100%, $G$9) + CHOOSE(CONTROL!$C$38, 0.0369, 0)</f>
        <v>69.875</v>
      </c>
      <c r="E928" s="46">
        <f>73.6792 * CHOOSE(CONTROL!$C$15, $E$9, 100%, $G$9) + CHOOSE(CONTROL!$C$38, 0.0369, 0)</f>
        <v>73.716099999999997</v>
      </c>
      <c r="F928" s="45">
        <f>73.6792 * CHOOSE(CONTROL!$C$15, $E$9, 100%, $G$9) + CHOOSE(CONTROL!$C$38, 0.0278, 0)</f>
        <v>73.706999999999994</v>
      </c>
      <c r="G928" s="14">
        <f>69.8444 * CHOOSE(CONTROL!$C$15, $E$9, 100%, $G$9) + CHOOSE(CONTROL!$C$38, 0.0369, 0)</f>
        <v>69.881299999999996</v>
      </c>
      <c r="H928" s="14">
        <f>69.8444 * CHOOSE(CONTROL!$C$15, $E$9, 100%, $G$9) + CHOOSE(CONTROL!$C$38, 0.0369, 0)</f>
        <v>69.881299999999996</v>
      </c>
      <c r="I928" s="14">
        <f>69.8459 * CHOOSE(CONTROL!$C$15, $E$9, 100%, $G$9) + CHOOSE(CONTROL!$C$38, 0.0369, 0)</f>
        <v>69.882800000000003</v>
      </c>
      <c r="J928" s="44">
        <f>697.0697</f>
        <v>697.06970000000001</v>
      </c>
    </row>
    <row r="929" spans="1:10" ht="15.75" x14ac:dyDescent="0.25">
      <c r="A929" s="32">
        <v>69214</v>
      </c>
      <c r="B929" s="14">
        <f>74.8904 * CHOOSE(CONTROL!$C$15, $E$9, 100%, $G$9) + CHOOSE(CONTROL!$C$38, 0.0278, 0)</f>
        <v>74.918199999999999</v>
      </c>
      <c r="C929" s="14">
        <f>70.8457 * CHOOSE(CONTROL!$C$15, $E$9, 100%, $G$9) + CHOOSE(CONTROL!$C$38, 0.0369, 0)</f>
        <v>70.882599999999996</v>
      </c>
      <c r="D929" s="14">
        <f>70.8379 * CHOOSE(CONTROL!$C$15, $E$9, 100%, $G$9) + CHOOSE(CONTROL!$C$38, 0.0369, 0)</f>
        <v>70.874800000000008</v>
      </c>
      <c r="E929" s="46">
        <f>74.7342 * CHOOSE(CONTROL!$C$15, $E$9, 100%, $G$9) + CHOOSE(CONTROL!$C$38, 0.0369, 0)</f>
        <v>74.771100000000004</v>
      </c>
      <c r="F929" s="45">
        <f>74.7342 * CHOOSE(CONTROL!$C$15, $E$9, 100%, $G$9) + CHOOSE(CONTROL!$C$38, 0.0278, 0)</f>
        <v>74.762</v>
      </c>
      <c r="G929" s="14">
        <f>70.8441 * CHOOSE(CONTROL!$C$15, $E$9, 100%, $G$9) + CHOOSE(CONTROL!$C$38, 0.0369, 0)</f>
        <v>70.881</v>
      </c>
      <c r="H929" s="14">
        <f>70.8441 * CHOOSE(CONTROL!$C$15, $E$9, 100%, $G$9) + CHOOSE(CONTROL!$C$38, 0.0369, 0)</f>
        <v>70.881</v>
      </c>
      <c r="I929" s="14">
        <f>70.8457 * CHOOSE(CONTROL!$C$15, $E$9, 100%, $G$9) + CHOOSE(CONTROL!$C$38, 0.0369, 0)</f>
        <v>70.882599999999996</v>
      </c>
      <c r="J929" s="44">
        <f>707.1138</f>
        <v>707.11379999999997</v>
      </c>
    </row>
    <row r="930" spans="1:10" ht="15.75" x14ac:dyDescent="0.25">
      <c r="A930" s="32">
        <v>69245</v>
      </c>
      <c r="B930" s="14">
        <f>74.5431 * CHOOSE(CONTROL!$C$15, $E$9, 100%, $G$9) + CHOOSE(CONTROL!$C$38, 0.0278, 0)</f>
        <v>74.570899999999995</v>
      </c>
      <c r="C930" s="14">
        <f>70.5165 * CHOOSE(CONTROL!$C$15, $E$9, 100%, $G$9) + CHOOSE(CONTROL!$C$38, 0.0369, 0)</f>
        <v>70.553399999999996</v>
      </c>
      <c r="D930" s="14">
        <f>70.5087 * CHOOSE(CONTROL!$C$15, $E$9, 100%, $G$9) + CHOOSE(CONTROL!$C$38, 0.0369, 0)</f>
        <v>70.545600000000007</v>
      </c>
      <c r="E930" s="46">
        <f>74.3868 * CHOOSE(CONTROL!$C$15, $E$9, 100%, $G$9) + CHOOSE(CONTROL!$C$38, 0.0369, 0)</f>
        <v>74.423699999999997</v>
      </c>
      <c r="F930" s="45">
        <f>74.3868 * CHOOSE(CONTROL!$C$15, $E$9, 100%, $G$9) + CHOOSE(CONTROL!$C$38, 0.0278, 0)</f>
        <v>74.414599999999993</v>
      </c>
      <c r="G930" s="14">
        <f>70.515 * CHOOSE(CONTROL!$C$15, $E$9, 100%, $G$9) + CHOOSE(CONTROL!$C$38, 0.0369, 0)</f>
        <v>70.551900000000003</v>
      </c>
      <c r="H930" s="14">
        <f>70.515 * CHOOSE(CONTROL!$C$15, $E$9, 100%, $G$9) + CHOOSE(CONTROL!$C$38, 0.0369, 0)</f>
        <v>70.551900000000003</v>
      </c>
      <c r="I930" s="14">
        <f>70.5165 * CHOOSE(CONTROL!$C$15, $E$9, 100%, $G$9) + CHOOSE(CONTROL!$C$38, 0.0369, 0)</f>
        <v>70.553399999999996</v>
      </c>
      <c r="J930" s="44">
        <f>703.8068</f>
        <v>703.80679999999995</v>
      </c>
    </row>
    <row r="931" spans="1:10" ht="15.75" x14ac:dyDescent="0.25">
      <c r="A931" s="32">
        <v>69276</v>
      </c>
      <c r="B931" s="14">
        <f>72.8221 * CHOOSE(CONTROL!$C$15, $E$9, 100%, $G$9) + CHOOSE(CONTROL!$C$38, 0.0278, 0)</f>
        <v>72.849900000000005</v>
      </c>
      <c r="C931" s="14">
        <f>68.8857 * CHOOSE(CONTROL!$C$15, $E$9, 100%, $G$9) + CHOOSE(CONTROL!$C$38, 0.0369, 0)</f>
        <v>68.922600000000003</v>
      </c>
      <c r="D931" s="14">
        <f>68.8779 * CHOOSE(CONTROL!$C$15, $E$9, 100%, $G$9) + CHOOSE(CONTROL!$C$38, 0.0369, 0)</f>
        <v>68.9148</v>
      </c>
      <c r="E931" s="46">
        <f>72.6659 * CHOOSE(CONTROL!$C$15, $E$9, 100%, $G$9) + CHOOSE(CONTROL!$C$38, 0.0369, 0)</f>
        <v>72.702799999999996</v>
      </c>
      <c r="F931" s="45">
        <f>72.6659 * CHOOSE(CONTROL!$C$15, $E$9, 100%, $G$9) + CHOOSE(CONTROL!$C$38, 0.0278, 0)</f>
        <v>72.693699999999993</v>
      </c>
      <c r="G931" s="14">
        <f>68.8841 * CHOOSE(CONTROL!$C$15, $E$9, 100%, $G$9) + CHOOSE(CONTROL!$C$38, 0.0369, 0)</f>
        <v>68.921000000000006</v>
      </c>
      <c r="H931" s="14">
        <f>68.8841 * CHOOSE(CONTROL!$C$15, $E$9, 100%, $G$9) + CHOOSE(CONTROL!$C$38, 0.0369, 0)</f>
        <v>68.921000000000006</v>
      </c>
      <c r="I931" s="14">
        <f>68.8857 * CHOOSE(CONTROL!$C$15, $E$9, 100%, $G$9) + CHOOSE(CONTROL!$C$38, 0.0369, 0)</f>
        <v>68.922600000000003</v>
      </c>
      <c r="J931" s="44">
        <f>687.4225</f>
        <v>687.42250000000001</v>
      </c>
    </row>
    <row r="932" spans="1:10" ht="15.75" x14ac:dyDescent="0.25">
      <c r="A932" s="32">
        <v>69306</v>
      </c>
      <c r="B932" s="14">
        <f>70.4221 * CHOOSE(CONTROL!$C$15, $E$9, 100%, $G$9) + CHOOSE(CONTROL!$C$38, 0.0278, 0)</f>
        <v>70.4499</v>
      </c>
      <c r="C932" s="14">
        <f>66.6114 * CHOOSE(CONTROL!$C$15, $E$9, 100%, $G$9) + CHOOSE(CONTROL!$C$38, 0.0369, 0)</f>
        <v>66.648300000000006</v>
      </c>
      <c r="D932" s="14">
        <f>66.6035 * CHOOSE(CONTROL!$C$15, $E$9, 100%, $G$9) + CHOOSE(CONTROL!$C$38, 0.0369, 0)</f>
        <v>66.6404</v>
      </c>
      <c r="E932" s="46">
        <f>70.2659 * CHOOSE(CONTROL!$C$15, $E$9, 100%, $G$9) + CHOOSE(CONTROL!$C$38, 0.0369, 0)</f>
        <v>70.302800000000005</v>
      </c>
      <c r="F932" s="45">
        <f>70.2659 * CHOOSE(CONTROL!$C$15, $E$9, 100%, $G$9) + CHOOSE(CONTROL!$C$38, 0.0278, 0)</f>
        <v>70.293700000000001</v>
      </c>
      <c r="G932" s="14">
        <f>66.6098 * CHOOSE(CONTROL!$C$15, $E$9, 100%, $G$9) + CHOOSE(CONTROL!$C$38, 0.0369, 0)</f>
        <v>66.64670000000001</v>
      </c>
      <c r="H932" s="14">
        <f>66.6098 * CHOOSE(CONTROL!$C$15, $E$9, 100%, $G$9) + CHOOSE(CONTROL!$C$38, 0.0369, 0)</f>
        <v>66.64670000000001</v>
      </c>
      <c r="I932" s="14">
        <f>66.6114 * CHOOSE(CONTROL!$C$15, $E$9, 100%, $G$9) + CHOOSE(CONTROL!$C$38, 0.0369, 0)</f>
        <v>66.648300000000006</v>
      </c>
      <c r="J932" s="44">
        <f>664.5737</f>
        <v>664.57370000000003</v>
      </c>
    </row>
    <row r="933" spans="1:10" ht="15.75" x14ac:dyDescent="0.25">
      <c r="A933" s="32">
        <v>69337</v>
      </c>
      <c r="B933" s="14">
        <f>68.0082 * CHOOSE(CONTROL!$C$15, $E$9, 100%, $G$9) + CHOOSE(CONTROL!$C$38, 0.0256, 0)</f>
        <v>68.033799999999999</v>
      </c>
      <c r="C933" s="14">
        <f>64.3238 * CHOOSE(CONTROL!$C$15, $E$9, 100%, $G$9) + CHOOSE(CONTROL!$C$38, 0.0347, 0)</f>
        <v>64.358500000000006</v>
      </c>
      <c r="D933" s="14">
        <f>64.316 * CHOOSE(CONTROL!$C$15, $E$9, 100%, $G$9) + CHOOSE(CONTROL!$C$38, 0.0347, 0)</f>
        <v>64.350700000000003</v>
      </c>
      <c r="E933" s="46">
        <f>67.852 * CHOOSE(CONTROL!$C$15, $E$9, 100%, $G$9) + CHOOSE(CONTROL!$C$38, 0.0347, 0)</f>
        <v>67.886700000000005</v>
      </c>
      <c r="F933" s="45">
        <f>67.852 * CHOOSE(CONTROL!$C$15, $E$9, 100%, $G$9) + CHOOSE(CONTROL!$C$38, 0.0256, 0)</f>
        <v>67.877600000000001</v>
      </c>
      <c r="G933" s="14">
        <f>64.3222 * CHOOSE(CONTROL!$C$15, $E$9, 100%, $G$9) + CHOOSE(CONTROL!$C$38, 0.0347, 0)</f>
        <v>64.356899999999996</v>
      </c>
      <c r="H933" s="14">
        <f>64.3222 * CHOOSE(CONTROL!$C$15, $E$9, 100%, $G$9) + CHOOSE(CONTROL!$C$38, 0.0347, 0)</f>
        <v>64.356899999999996</v>
      </c>
      <c r="I933" s="14">
        <f>64.3238 * CHOOSE(CONTROL!$C$15, $E$9, 100%, $G$9) + CHOOSE(CONTROL!$C$38, 0.0347, 0)</f>
        <v>64.358500000000006</v>
      </c>
      <c r="J933" s="44">
        <f>641.5921</f>
        <v>641.59209999999996</v>
      </c>
    </row>
    <row r="934" spans="1:10" ht="15.75" x14ac:dyDescent="0.25">
      <c r="A934" s="32">
        <v>69367</v>
      </c>
      <c r="B934" s="14">
        <f>67.528 * CHOOSE(CONTROL!$C$15, $E$9, 100%, $G$9) + CHOOSE(CONTROL!$C$38, 0.0256, 0)</f>
        <v>67.553600000000003</v>
      </c>
      <c r="C934" s="14">
        <f>63.8688 * CHOOSE(CONTROL!$C$15, $E$9, 100%, $G$9) + CHOOSE(CONTROL!$C$38, 0.0347, 0)</f>
        <v>63.903500000000001</v>
      </c>
      <c r="D934" s="14">
        <f>63.861 * CHOOSE(CONTROL!$C$15, $E$9, 100%, $G$9) + CHOOSE(CONTROL!$C$38, 0.0347, 0)</f>
        <v>63.895699999999998</v>
      </c>
      <c r="E934" s="46">
        <f>67.3718 * CHOOSE(CONTROL!$C$15, $E$9, 100%, $G$9) + CHOOSE(CONTROL!$C$38, 0.0347, 0)</f>
        <v>67.406499999999994</v>
      </c>
      <c r="F934" s="45">
        <f>67.3718 * CHOOSE(CONTROL!$C$15, $E$9, 100%, $G$9) + CHOOSE(CONTROL!$C$38, 0.0256, 0)</f>
        <v>67.39739999999999</v>
      </c>
      <c r="G934" s="14">
        <f>63.8672 * CHOOSE(CONTROL!$C$15, $E$9, 100%, $G$9) + CHOOSE(CONTROL!$C$38, 0.0347, 0)</f>
        <v>63.901899999999998</v>
      </c>
      <c r="H934" s="14">
        <f>63.8672 * CHOOSE(CONTROL!$C$15, $E$9, 100%, $G$9) + CHOOSE(CONTROL!$C$38, 0.0347, 0)</f>
        <v>63.901899999999998</v>
      </c>
      <c r="I934" s="14">
        <f>63.8688 * CHOOSE(CONTROL!$C$15, $E$9, 100%, $G$9) + CHOOSE(CONTROL!$C$38, 0.0347, 0)</f>
        <v>63.903500000000001</v>
      </c>
      <c r="J934" s="44">
        <f>637.0206</f>
        <v>637.02059999999994</v>
      </c>
    </row>
    <row r="935" spans="1:10" ht="15.75" x14ac:dyDescent="0.25">
      <c r="A935" s="32">
        <v>69398</v>
      </c>
      <c r="B935" s="14">
        <f>65.5424 * CHOOSE(CONTROL!$C$15, $E$9, 100%, $G$9) + CHOOSE(CONTROL!$C$38, 0.0256, 0)</f>
        <v>65.567999999999998</v>
      </c>
      <c r="C935" s="14">
        <f>61.9871 * CHOOSE(CONTROL!$C$15, $E$9, 100%, $G$9) + CHOOSE(CONTROL!$C$38, 0.0347, 0)</f>
        <v>62.021799999999999</v>
      </c>
      <c r="D935" s="14">
        <f>61.9793 * CHOOSE(CONTROL!$C$15, $E$9, 100%, $G$9) + CHOOSE(CONTROL!$C$38, 0.0347, 0)</f>
        <v>62.014000000000003</v>
      </c>
      <c r="E935" s="46">
        <f>65.3862 * CHOOSE(CONTROL!$C$15, $E$9, 100%, $G$9) + CHOOSE(CONTROL!$C$38, 0.0347, 0)</f>
        <v>65.420900000000003</v>
      </c>
      <c r="F935" s="45">
        <f>65.3862 * CHOOSE(CONTROL!$C$15, $E$9, 100%, $G$9) + CHOOSE(CONTROL!$C$38, 0.0256, 0)</f>
        <v>65.411799999999999</v>
      </c>
      <c r="G935" s="14">
        <f>61.9856 * CHOOSE(CONTROL!$C$15, $E$9, 100%, $G$9) + CHOOSE(CONTROL!$C$38, 0.0347, 0)</f>
        <v>62.020299999999999</v>
      </c>
      <c r="H935" s="14">
        <f>61.9856 * CHOOSE(CONTROL!$C$15, $E$9, 100%, $G$9) + CHOOSE(CONTROL!$C$38, 0.0347, 0)</f>
        <v>62.020299999999999</v>
      </c>
      <c r="I935" s="14">
        <f>61.9871 * CHOOSE(CONTROL!$C$15, $E$9, 100%, $G$9) + CHOOSE(CONTROL!$C$38, 0.0347, 0)</f>
        <v>62.021799999999999</v>
      </c>
      <c r="J935" s="44">
        <f>618.1169</f>
        <v>618.11689999999999</v>
      </c>
    </row>
    <row r="936" spans="1:10" ht="15.75" x14ac:dyDescent="0.25">
      <c r="A936" s="32">
        <v>69429</v>
      </c>
      <c r="B936" s="14">
        <f>65.0494 * CHOOSE(CONTROL!$C$15, $E$9, 100%, $G$9) + CHOOSE(CONTROL!$C$38, 0.0256, 0)</f>
        <v>65.075000000000003</v>
      </c>
      <c r="C936" s="14">
        <f>61.5199 * CHOOSE(CONTROL!$C$15, $E$9, 100%, $G$9) + CHOOSE(CONTROL!$C$38, 0.0347, 0)</f>
        <v>61.554600000000001</v>
      </c>
      <c r="D936" s="14">
        <f>61.512 * CHOOSE(CONTROL!$C$15, $E$9, 100%, $G$9) + CHOOSE(CONTROL!$C$38, 0.0347, 0)</f>
        <v>61.546700000000001</v>
      </c>
      <c r="E936" s="46">
        <f>64.8931 * CHOOSE(CONTROL!$C$15, $E$9, 100%, $G$9) + CHOOSE(CONTROL!$C$38, 0.0347, 0)</f>
        <v>64.927800000000005</v>
      </c>
      <c r="F936" s="45">
        <f>64.8931 * CHOOSE(CONTROL!$C$15, $E$9, 100%, $G$9) + CHOOSE(CONTROL!$C$38, 0.0256, 0)</f>
        <v>64.918700000000001</v>
      </c>
      <c r="G936" s="14">
        <f>61.5183 * CHOOSE(CONTROL!$C$15, $E$9, 100%, $G$9) + CHOOSE(CONTROL!$C$38, 0.0347, 0)</f>
        <v>61.553000000000004</v>
      </c>
      <c r="H936" s="14">
        <f>61.5183 * CHOOSE(CONTROL!$C$15, $E$9, 100%, $G$9) + CHOOSE(CONTROL!$C$38, 0.0347, 0)</f>
        <v>61.553000000000004</v>
      </c>
      <c r="I936" s="14">
        <f>61.5199 * CHOOSE(CONTROL!$C$15, $E$9, 100%, $G$9) + CHOOSE(CONTROL!$C$38, 0.0347, 0)</f>
        <v>61.554600000000001</v>
      </c>
      <c r="J936" s="44">
        <f>617.3199</f>
        <v>617.31989999999996</v>
      </c>
    </row>
    <row r="937" spans="1:10" ht="15.75" x14ac:dyDescent="0.25">
      <c r="A937" s="32">
        <v>69457</v>
      </c>
      <c r="B937" s="14">
        <f>64.8703 * CHOOSE(CONTROL!$C$15, $E$9, 100%, $G$9) + CHOOSE(CONTROL!$C$38, 0.0256, 0)</f>
        <v>64.895899999999997</v>
      </c>
      <c r="C937" s="14">
        <f>61.3501 * CHOOSE(CONTROL!$C$15, $E$9, 100%, $G$9) + CHOOSE(CONTROL!$C$38, 0.0347, 0)</f>
        <v>61.384799999999998</v>
      </c>
      <c r="D937" s="14">
        <f>61.3423 * CHOOSE(CONTROL!$C$15, $E$9, 100%, $G$9) + CHOOSE(CONTROL!$C$38, 0.0347, 0)</f>
        <v>61.377000000000002</v>
      </c>
      <c r="E937" s="46">
        <f>64.714 * CHOOSE(CONTROL!$C$15, $E$9, 100%, $G$9) + CHOOSE(CONTROL!$C$38, 0.0347, 0)</f>
        <v>64.748699999999999</v>
      </c>
      <c r="F937" s="45">
        <f>64.714 * CHOOSE(CONTROL!$C$15, $E$9, 100%, $G$9) + CHOOSE(CONTROL!$C$38, 0.0256, 0)</f>
        <v>64.739599999999996</v>
      </c>
      <c r="G937" s="14">
        <f>61.3486 * CHOOSE(CONTROL!$C$15, $E$9, 100%, $G$9) + CHOOSE(CONTROL!$C$38, 0.0347, 0)</f>
        <v>61.383299999999998</v>
      </c>
      <c r="H937" s="14">
        <f>61.3486 * CHOOSE(CONTROL!$C$15, $E$9, 100%, $G$9) + CHOOSE(CONTROL!$C$38, 0.0347, 0)</f>
        <v>61.383299999999998</v>
      </c>
      <c r="I937" s="14">
        <f>61.3501 * CHOOSE(CONTROL!$C$15, $E$9, 100%, $G$9) + CHOOSE(CONTROL!$C$38, 0.0347, 0)</f>
        <v>61.384799999999998</v>
      </c>
      <c r="J937" s="44">
        <f>615.6039</f>
        <v>615.60389999999995</v>
      </c>
    </row>
    <row r="938" spans="1:10" ht="15.75" x14ac:dyDescent="0.25">
      <c r="A938" s="32">
        <v>69488</v>
      </c>
      <c r="B938" s="14">
        <f>68.2568 * CHOOSE(CONTROL!$C$15, $E$9, 100%, $G$9) + CHOOSE(CONTROL!$C$38, 0.0256, 0)</f>
        <v>68.282399999999996</v>
      </c>
      <c r="C938" s="14">
        <f>64.5593 * CHOOSE(CONTROL!$C$15, $E$9, 100%, $G$9) + CHOOSE(CONTROL!$C$38, 0.0347, 0)</f>
        <v>64.593999999999994</v>
      </c>
      <c r="D938" s="14">
        <f>64.5515 * CHOOSE(CONTROL!$C$15, $E$9, 100%, $G$9) + CHOOSE(CONTROL!$C$38, 0.0347, 0)</f>
        <v>64.586200000000005</v>
      </c>
      <c r="E938" s="46">
        <f>68.1005 * CHOOSE(CONTROL!$C$15, $E$9, 100%, $G$9) + CHOOSE(CONTROL!$C$38, 0.0347, 0)</f>
        <v>68.135199999999998</v>
      </c>
      <c r="F938" s="45">
        <f>68.1005 * CHOOSE(CONTROL!$C$15, $E$9, 100%, $G$9) + CHOOSE(CONTROL!$C$38, 0.0256, 0)</f>
        <v>68.126099999999994</v>
      </c>
      <c r="G938" s="14">
        <f>64.5578 * CHOOSE(CONTROL!$C$15, $E$9, 100%, $G$9) + CHOOSE(CONTROL!$C$38, 0.0347, 0)</f>
        <v>64.592500000000001</v>
      </c>
      <c r="H938" s="14">
        <f>64.5578 * CHOOSE(CONTROL!$C$15, $E$9, 100%, $G$9) + CHOOSE(CONTROL!$C$38, 0.0347, 0)</f>
        <v>64.592500000000001</v>
      </c>
      <c r="I938" s="14">
        <f>64.5593 * CHOOSE(CONTROL!$C$15, $E$9, 100%, $G$9) + CHOOSE(CONTROL!$C$38, 0.0347, 0)</f>
        <v>64.593999999999994</v>
      </c>
      <c r="J938" s="44">
        <f>648.0498</f>
        <v>648.0498</v>
      </c>
    </row>
    <row r="939" spans="1:10" ht="15.75" x14ac:dyDescent="0.25">
      <c r="A939" s="32">
        <v>69518</v>
      </c>
      <c r="B939" s="14">
        <f>72.6483 * CHOOSE(CONTROL!$C$15, $E$9, 100%, $G$9) + CHOOSE(CONTROL!$C$38, 0.0256, 0)</f>
        <v>72.673900000000003</v>
      </c>
      <c r="C939" s="14">
        <f>68.7209 * CHOOSE(CONTROL!$C$15, $E$9, 100%, $G$9) + CHOOSE(CONTROL!$C$38, 0.0347, 0)</f>
        <v>68.755600000000001</v>
      </c>
      <c r="D939" s="14">
        <f>68.7131 * CHOOSE(CONTROL!$C$15, $E$9, 100%, $G$9) + CHOOSE(CONTROL!$C$38, 0.0347, 0)</f>
        <v>68.747799999999998</v>
      </c>
      <c r="E939" s="46">
        <f>72.492 * CHOOSE(CONTROL!$C$15, $E$9, 100%, $G$9) + CHOOSE(CONTROL!$C$38, 0.0347, 0)</f>
        <v>72.526700000000005</v>
      </c>
      <c r="F939" s="45">
        <f>72.492 * CHOOSE(CONTROL!$C$15, $E$9, 100%, $G$9) + CHOOSE(CONTROL!$C$38, 0.0256, 0)</f>
        <v>72.517600000000002</v>
      </c>
      <c r="G939" s="14">
        <f>68.7194 * CHOOSE(CONTROL!$C$15, $E$9, 100%, $G$9) + CHOOSE(CONTROL!$C$38, 0.0347, 0)</f>
        <v>68.754099999999994</v>
      </c>
      <c r="H939" s="14">
        <f>68.7194 * CHOOSE(CONTROL!$C$15, $E$9, 100%, $G$9) + CHOOSE(CONTROL!$C$38, 0.0347, 0)</f>
        <v>68.754099999999994</v>
      </c>
      <c r="I939" s="14">
        <f>68.7209 * CHOOSE(CONTROL!$C$15, $E$9, 100%, $G$9) + CHOOSE(CONTROL!$C$38, 0.0347, 0)</f>
        <v>68.755600000000001</v>
      </c>
      <c r="J939" s="44">
        <f>690.1244</f>
        <v>690.12440000000004</v>
      </c>
    </row>
    <row r="940" spans="1:10" ht="15.75" x14ac:dyDescent="0.25">
      <c r="A940" s="32">
        <v>69549</v>
      </c>
      <c r="B940" s="14">
        <f>75.0655 * CHOOSE(CONTROL!$C$15, $E$9, 100%, $G$9) + CHOOSE(CONTROL!$C$38, 0.0278, 0)</f>
        <v>75.093299999999999</v>
      </c>
      <c r="C940" s="14">
        <f>71.0116 * CHOOSE(CONTROL!$C$15, $E$9, 100%, $G$9) + CHOOSE(CONTROL!$C$38, 0.0369, 0)</f>
        <v>71.048500000000004</v>
      </c>
      <c r="D940" s="14">
        <f>71.0038 * CHOOSE(CONTROL!$C$15, $E$9, 100%, $G$9) + CHOOSE(CONTROL!$C$38, 0.0369, 0)</f>
        <v>71.040700000000001</v>
      </c>
      <c r="E940" s="46">
        <f>74.9092 * CHOOSE(CONTROL!$C$15, $E$9, 100%, $G$9) + CHOOSE(CONTROL!$C$38, 0.0369, 0)</f>
        <v>74.946100000000001</v>
      </c>
      <c r="F940" s="45">
        <f>74.9092 * CHOOSE(CONTROL!$C$15, $E$9, 100%, $G$9) + CHOOSE(CONTROL!$C$38, 0.0278, 0)</f>
        <v>74.936999999999998</v>
      </c>
      <c r="G940" s="14">
        <f>71.01 * CHOOSE(CONTROL!$C$15, $E$9, 100%, $G$9) + CHOOSE(CONTROL!$C$38, 0.0369, 0)</f>
        <v>71.046900000000008</v>
      </c>
      <c r="H940" s="14">
        <f>71.01 * CHOOSE(CONTROL!$C$15, $E$9, 100%, $G$9) + CHOOSE(CONTROL!$C$38, 0.0369, 0)</f>
        <v>71.046900000000008</v>
      </c>
      <c r="I940" s="14">
        <f>71.0116 * CHOOSE(CONTROL!$C$15, $E$9, 100%, $G$9) + CHOOSE(CONTROL!$C$38, 0.0369, 0)</f>
        <v>71.048500000000004</v>
      </c>
      <c r="J940" s="44">
        <f>713.2836</f>
        <v>713.28359999999998</v>
      </c>
    </row>
    <row r="941" spans="1:10" ht="15.75" x14ac:dyDescent="0.25">
      <c r="A941" s="32">
        <v>69579</v>
      </c>
      <c r="B941" s="14">
        <f>76.1382 * CHOOSE(CONTROL!$C$15, $E$9, 100%, $G$9) + CHOOSE(CONTROL!$C$38, 0.0278, 0)</f>
        <v>76.165999999999997</v>
      </c>
      <c r="C941" s="14">
        <f>72.0282 * CHOOSE(CONTROL!$C$15, $E$9, 100%, $G$9) + CHOOSE(CONTROL!$C$38, 0.0369, 0)</f>
        <v>72.065100000000001</v>
      </c>
      <c r="D941" s="14">
        <f>72.0203 * CHOOSE(CONTROL!$C$15, $E$9, 100%, $G$9) + CHOOSE(CONTROL!$C$38, 0.0369, 0)</f>
        <v>72.057200000000009</v>
      </c>
      <c r="E941" s="46">
        <f>75.9819 * CHOOSE(CONTROL!$C$15, $E$9, 100%, $G$9) + CHOOSE(CONTROL!$C$38, 0.0369, 0)</f>
        <v>76.018799999999999</v>
      </c>
      <c r="F941" s="45">
        <f>75.9819 * CHOOSE(CONTROL!$C$15, $E$9, 100%, $G$9) + CHOOSE(CONTROL!$C$38, 0.0278, 0)</f>
        <v>76.009699999999995</v>
      </c>
      <c r="G941" s="14">
        <f>72.0266 * CHOOSE(CONTROL!$C$15, $E$9, 100%, $G$9) + CHOOSE(CONTROL!$C$38, 0.0369, 0)</f>
        <v>72.063500000000005</v>
      </c>
      <c r="H941" s="14">
        <f>72.0266 * CHOOSE(CONTROL!$C$15, $E$9, 100%, $G$9) + CHOOSE(CONTROL!$C$38, 0.0369, 0)</f>
        <v>72.063500000000005</v>
      </c>
      <c r="I941" s="14">
        <f>72.0282 * CHOOSE(CONTROL!$C$15, $E$9, 100%, $G$9) + CHOOSE(CONTROL!$C$38, 0.0369, 0)</f>
        <v>72.065100000000001</v>
      </c>
      <c r="J941" s="44">
        <f>723.5612</f>
        <v>723.56119999999999</v>
      </c>
    </row>
    <row r="942" spans="1:10" ht="15.75" x14ac:dyDescent="0.25">
      <c r="A942" s="32">
        <v>69610</v>
      </c>
      <c r="B942" s="14">
        <f>75.785 * CHOOSE(CONTROL!$C$15, $E$9, 100%, $G$9) + CHOOSE(CONTROL!$C$38, 0.0278, 0)</f>
        <v>75.812799999999996</v>
      </c>
      <c r="C942" s="14">
        <f>71.6935 * CHOOSE(CONTROL!$C$15, $E$9, 100%, $G$9) + CHOOSE(CONTROL!$C$38, 0.0369, 0)</f>
        <v>71.730400000000003</v>
      </c>
      <c r="D942" s="14">
        <f>71.6856 * CHOOSE(CONTROL!$C$15, $E$9, 100%, $G$9) + CHOOSE(CONTROL!$C$38, 0.0369, 0)</f>
        <v>71.722499999999997</v>
      </c>
      <c r="E942" s="46">
        <f>75.6288 * CHOOSE(CONTROL!$C$15, $E$9, 100%, $G$9) + CHOOSE(CONTROL!$C$38, 0.0369, 0)</f>
        <v>75.665700000000001</v>
      </c>
      <c r="F942" s="45">
        <f>75.6288 * CHOOSE(CONTROL!$C$15, $E$9, 100%, $G$9) + CHOOSE(CONTROL!$C$38, 0.0278, 0)</f>
        <v>75.656599999999997</v>
      </c>
      <c r="G942" s="14">
        <f>71.6919 * CHOOSE(CONTROL!$C$15, $E$9, 100%, $G$9) + CHOOSE(CONTROL!$C$38, 0.0369, 0)</f>
        <v>71.728800000000007</v>
      </c>
      <c r="H942" s="14">
        <f>71.6919 * CHOOSE(CONTROL!$C$15, $E$9, 100%, $G$9) + CHOOSE(CONTROL!$C$38, 0.0369, 0)</f>
        <v>71.728800000000007</v>
      </c>
      <c r="I942" s="14">
        <f>71.6935 * CHOOSE(CONTROL!$C$15, $E$9, 100%, $G$9) + CHOOSE(CONTROL!$C$38, 0.0369, 0)</f>
        <v>71.730400000000003</v>
      </c>
      <c r="J942" s="44">
        <f>720.1773</f>
        <v>720.17729999999995</v>
      </c>
    </row>
    <row r="943" spans="1:10" ht="15.75" x14ac:dyDescent="0.25">
      <c r="A943" s="32">
        <v>69641</v>
      </c>
      <c r="B943" s="14">
        <f>74.0351 * CHOOSE(CONTROL!$C$15, $E$9, 100%, $G$9) + CHOOSE(CONTROL!$C$38, 0.0278, 0)</f>
        <v>74.062899999999999</v>
      </c>
      <c r="C943" s="14">
        <f>70.0352 * CHOOSE(CONTROL!$C$15, $E$9, 100%, $G$9) + CHOOSE(CONTROL!$C$38, 0.0369, 0)</f>
        <v>70.072100000000006</v>
      </c>
      <c r="D943" s="14">
        <f>70.0274 * CHOOSE(CONTROL!$C$15, $E$9, 100%, $G$9) + CHOOSE(CONTROL!$C$38, 0.0369, 0)</f>
        <v>70.064300000000003</v>
      </c>
      <c r="E943" s="46">
        <f>73.8789 * CHOOSE(CONTROL!$C$15, $E$9, 100%, $G$9) + CHOOSE(CONTROL!$C$38, 0.0369, 0)</f>
        <v>73.915800000000004</v>
      </c>
      <c r="F943" s="45">
        <f>73.8789 * CHOOSE(CONTROL!$C$15, $E$9, 100%, $G$9) + CHOOSE(CONTROL!$C$38, 0.0278, 0)</f>
        <v>73.906700000000001</v>
      </c>
      <c r="G943" s="14">
        <f>70.0336 * CHOOSE(CONTROL!$C$15, $E$9, 100%, $G$9) + CHOOSE(CONTROL!$C$38, 0.0369, 0)</f>
        <v>70.07050000000001</v>
      </c>
      <c r="H943" s="14">
        <f>70.0336 * CHOOSE(CONTROL!$C$15, $E$9, 100%, $G$9) + CHOOSE(CONTROL!$C$38, 0.0369, 0)</f>
        <v>70.07050000000001</v>
      </c>
      <c r="I943" s="14">
        <f>70.0352 * CHOOSE(CONTROL!$C$15, $E$9, 100%, $G$9) + CHOOSE(CONTROL!$C$38, 0.0369, 0)</f>
        <v>70.072100000000006</v>
      </c>
      <c r="J943" s="44">
        <f>703.4119</f>
        <v>703.41189999999995</v>
      </c>
    </row>
    <row r="944" spans="1:10" ht="15.75" x14ac:dyDescent="0.25">
      <c r="A944" s="32">
        <v>69671</v>
      </c>
      <c r="B944" s="14">
        <f>71.5948 * CHOOSE(CONTROL!$C$15, $E$9, 100%, $G$9) + CHOOSE(CONTROL!$C$38, 0.0278, 0)</f>
        <v>71.622600000000006</v>
      </c>
      <c r="C944" s="14">
        <f>67.7227 * CHOOSE(CONTROL!$C$15, $E$9, 100%, $G$9) + CHOOSE(CONTROL!$C$38, 0.0369, 0)</f>
        <v>67.759600000000006</v>
      </c>
      <c r="D944" s="14">
        <f>67.7149 * CHOOSE(CONTROL!$C$15, $E$9, 100%, $G$9) + CHOOSE(CONTROL!$C$38, 0.0369, 0)</f>
        <v>67.751800000000003</v>
      </c>
      <c r="E944" s="46">
        <f>71.4386 * CHOOSE(CONTROL!$C$15, $E$9, 100%, $G$9) + CHOOSE(CONTROL!$C$38, 0.0369, 0)</f>
        <v>71.475499999999997</v>
      </c>
      <c r="F944" s="45">
        <f>71.4386 * CHOOSE(CONTROL!$C$15, $E$9, 100%, $G$9) + CHOOSE(CONTROL!$C$38, 0.0278, 0)</f>
        <v>71.466399999999993</v>
      </c>
      <c r="G944" s="14">
        <f>67.7211 * CHOOSE(CONTROL!$C$15, $E$9, 100%, $G$9) + CHOOSE(CONTROL!$C$38, 0.0369, 0)</f>
        <v>67.75800000000001</v>
      </c>
      <c r="H944" s="14">
        <f>67.7211 * CHOOSE(CONTROL!$C$15, $E$9, 100%, $G$9) + CHOOSE(CONTROL!$C$38, 0.0369, 0)</f>
        <v>67.75800000000001</v>
      </c>
      <c r="I944" s="14">
        <f>67.7227 * CHOOSE(CONTROL!$C$15, $E$9, 100%, $G$9) + CHOOSE(CONTROL!$C$38, 0.0369, 0)</f>
        <v>67.759600000000006</v>
      </c>
      <c r="J944" s="44">
        <f>680.0317</f>
        <v>680.0317</v>
      </c>
    </row>
    <row r="945" spans="1:10" ht="15.75" x14ac:dyDescent="0.25">
      <c r="A945" s="32">
        <v>69702</v>
      </c>
      <c r="B945" s="14">
        <f>69.1404 * CHOOSE(CONTROL!$C$15, $E$9, 100%, $G$9) + CHOOSE(CONTROL!$C$38, 0.0256, 0)</f>
        <v>69.165999999999997</v>
      </c>
      <c r="C945" s="14">
        <f>65.3967 * CHOOSE(CONTROL!$C$15, $E$9, 100%, $G$9) + CHOOSE(CONTROL!$C$38, 0.0347, 0)</f>
        <v>65.431399999999996</v>
      </c>
      <c r="D945" s="14">
        <f>65.3889 * CHOOSE(CONTROL!$C$15, $E$9, 100%, $G$9) + CHOOSE(CONTROL!$C$38, 0.0347, 0)</f>
        <v>65.423600000000008</v>
      </c>
      <c r="E945" s="46">
        <f>68.9841 * CHOOSE(CONTROL!$C$15, $E$9, 100%, $G$9) + CHOOSE(CONTROL!$C$38, 0.0347, 0)</f>
        <v>69.018799999999999</v>
      </c>
      <c r="F945" s="45">
        <f>68.9841 * CHOOSE(CONTROL!$C$15, $E$9, 100%, $G$9) + CHOOSE(CONTROL!$C$38, 0.0256, 0)</f>
        <v>69.009699999999995</v>
      </c>
      <c r="G945" s="14">
        <f>65.3951 * CHOOSE(CONTROL!$C$15, $E$9, 100%, $G$9) + CHOOSE(CONTROL!$C$38, 0.0347, 0)</f>
        <v>65.4298</v>
      </c>
      <c r="H945" s="14">
        <f>65.3951 * CHOOSE(CONTROL!$C$15, $E$9, 100%, $G$9) + CHOOSE(CONTROL!$C$38, 0.0347, 0)</f>
        <v>65.4298</v>
      </c>
      <c r="I945" s="14">
        <f>65.3967 * CHOOSE(CONTROL!$C$15, $E$9, 100%, $G$9) + CHOOSE(CONTROL!$C$38, 0.0347, 0)</f>
        <v>65.431399999999996</v>
      </c>
      <c r="J945" s="44">
        <f>656.5155</f>
        <v>656.51549999999997</v>
      </c>
    </row>
    <row r="946" spans="1:10" ht="15.75" x14ac:dyDescent="0.25">
      <c r="A946" s="32">
        <v>69732</v>
      </c>
      <c r="B946" s="14">
        <f>68.6521 * CHOOSE(CONTROL!$C$15, $E$9, 100%, $G$9) + CHOOSE(CONTROL!$C$38, 0.0256, 0)</f>
        <v>68.677700000000002</v>
      </c>
      <c r="C946" s="14">
        <f>64.934 * CHOOSE(CONTROL!$C$15, $E$9, 100%, $G$9) + CHOOSE(CONTROL!$C$38, 0.0347, 0)</f>
        <v>64.968699999999998</v>
      </c>
      <c r="D946" s="14">
        <f>64.9262 * CHOOSE(CONTROL!$C$15, $E$9, 100%, $G$9) + CHOOSE(CONTROL!$C$38, 0.0347, 0)</f>
        <v>64.960899999999995</v>
      </c>
      <c r="E946" s="46">
        <f>68.4959 * CHOOSE(CONTROL!$C$15, $E$9, 100%, $G$9) + CHOOSE(CONTROL!$C$38, 0.0347, 0)</f>
        <v>68.530600000000007</v>
      </c>
      <c r="F946" s="45">
        <f>68.4959 * CHOOSE(CONTROL!$C$15, $E$9, 100%, $G$9) + CHOOSE(CONTROL!$C$38, 0.0256, 0)</f>
        <v>68.521500000000003</v>
      </c>
      <c r="G946" s="14">
        <f>64.9324 * CHOOSE(CONTROL!$C$15, $E$9, 100%, $G$9) + CHOOSE(CONTROL!$C$38, 0.0347, 0)</f>
        <v>64.967100000000002</v>
      </c>
      <c r="H946" s="14">
        <f>64.9324 * CHOOSE(CONTROL!$C$15, $E$9, 100%, $G$9) + CHOOSE(CONTROL!$C$38, 0.0347, 0)</f>
        <v>64.967100000000002</v>
      </c>
      <c r="I946" s="14">
        <f>64.934 * CHOOSE(CONTROL!$C$15, $E$9, 100%, $G$9) + CHOOSE(CONTROL!$C$38, 0.0347, 0)</f>
        <v>64.968699999999998</v>
      </c>
      <c r="J946" s="44">
        <f>651.8377</f>
        <v>651.83770000000004</v>
      </c>
    </row>
    <row r="947" spans="1:10" ht="15.75" x14ac:dyDescent="0.25">
      <c r="A947" s="32">
        <v>69763</v>
      </c>
      <c r="B947" s="14">
        <f>66.6332 * CHOOSE(CONTROL!$C$15, $E$9, 100%, $G$9) + CHOOSE(CONTROL!$C$38, 0.0256, 0)</f>
        <v>66.658799999999999</v>
      </c>
      <c r="C947" s="14">
        <f>63.0208 * CHOOSE(CONTROL!$C$15, $E$9, 100%, $G$9) + CHOOSE(CONTROL!$C$38, 0.0347, 0)</f>
        <v>63.055500000000002</v>
      </c>
      <c r="D947" s="14">
        <f>63.0129 * CHOOSE(CONTROL!$C$15, $E$9, 100%, $G$9) + CHOOSE(CONTROL!$C$38, 0.0347, 0)</f>
        <v>63.047600000000003</v>
      </c>
      <c r="E947" s="46">
        <f>66.4769 * CHOOSE(CONTROL!$C$15, $E$9, 100%, $G$9) + CHOOSE(CONTROL!$C$38, 0.0347, 0)</f>
        <v>66.511600000000001</v>
      </c>
      <c r="F947" s="45">
        <f>66.4769 * CHOOSE(CONTROL!$C$15, $E$9, 100%, $G$9) + CHOOSE(CONTROL!$C$38, 0.0256, 0)</f>
        <v>66.502499999999998</v>
      </c>
      <c r="G947" s="14">
        <f>63.0192 * CHOOSE(CONTROL!$C$15, $E$9, 100%, $G$9) + CHOOSE(CONTROL!$C$38, 0.0347, 0)</f>
        <v>63.053899999999999</v>
      </c>
      <c r="H947" s="14">
        <f>63.0192 * CHOOSE(CONTROL!$C$15, $E$9, 100%, $G$9) + CHOOSE(CONTROL!$C$38, 0.0347, 0)</f>
        <v>63.053899999999999</v>
      </c>
      <c r="I947" s="14">
        <f>63.0208 * CHOOSE(CONTROL!$C$15, $E$9, 100%, $G$9) + CHOOSE(CONTROL!$C$38, 0.0347, 0)</f>
        <v>63.055500000000002</v>
      </c>
      <c r="J947" s="44">
        <f>632.4943</f>
        <v>632.49429999999995</v>
      </c>
    </row>
    <row r="948" spans="1:10" ht="15.75" x14ac:dyDescent="0.25">
      <c r="A948" s="32">
        <v>69794</v>
      </c>
      <c r="B948" s="14">
        <f>66.1318 * CHOOSE(CONTROL!$C$15, $E$9, 100%, $G$9) + CHOOSE(CONTROL!$C$38, 0.0256, 0)</f>
        <v>66.157399999999996</v>
      </c>
      <c r="C948" s="14">
        <f>62.5456 * CHOOSE(CONTROL!$C$15, $E$9, 100%, $G$9) + CHOOSE(CONTROL!$C$38, 0.0347, 0)</f>
        <v>62.580300000000001</v>
      </c>
      <c r="D948" s="14">
        <f>62.5378 * CHOOSE(CONTROL!$C$15, $E$9, 100%, $G$9) + CHOOSE(CONTROL!$C$38, 0.0347, 0)</f>
        <v>62.572499999999998</v>
      </c>
      <c r="E948" s="46">
        <f>65.9755 * CHOOSE(CONTROL!$C$15, $E$9, 100%, $G$9) + CHOOSE(CONTROL!$C$38, 0.0347, 0)</f>
        <v>66.010199999999998</v>
      </c>
      <c r="F948" s="45">
        <f>65.9755 * CHOOSE(CONTROL!$C$15, $E$9, 100%, $G$9) + CHOOSE(CONTROL!$C$38, 0.0256, 0)</f>
        <v>66.001099999999994</v>
      </c>
      <c r="G948" s="14">
        <f>62.5441 * CHOOSE(CONTROL!$C$15, $E$9, 100%, $G$9) + CHOOSE(CONTROL!$C$38, 0.0347, 0)</f>
        <v>62.578800000000001</v>
      </c>
      <c r="H948" s="14">
        <f>62.5441 * CHOOSE(CONTROL!$C$15, $E$9, 100%, $G$9) + CHOOSE(CONTROL!$C$38, 0.0347, 0)</f>
        <v>62.578800000000001</v>
      </c>
      <c r="I948" s="14">
        <f>62.5456 * CHOOSE(CONTROL!$C$15, $E$9, 100%, $G$9) + CHOOSE(CONTROL!$C$38, 0.0347, 0)</f>
        <v>62.580300000000001</v>
      </c>
      <c r="J948" s="44">
        <f>631.6787</f>
        <v>631.67870000000005</v>
      </c>
    </row>
    <row r="949" spans="1:10" ht="15.75" x14ac:dyDescent="0.25">
      <c r="A949" s="32">
        <v>69822</v>
      </c>
      <c r="B949" s="14">
        <f>65.9497 * CHOOSE(CONTROL!$C$15, $E$9, 100%, $G$9) + CHOOSE(CONTROL!$C$38, 0.0256, 0)</f>
        <v>65.975300000000004</v>
      </c>
      <c r="C949" s="14">
        <f>62.3731 * CHOOSE(CONTROL!$C$15, $E$9, 100%, $G$9) + CHOOSE(CONTROL!$C$38, 0.0347, 0)</f>
        <v>62.407800000000002</v>
      </c>
      <c r="D949" s="14">
        <f>62.3652 * CHOOSE(CONTROL!$C$15, $E$9, 100%, $G$9) + CHOOSE(CONTROL!$C$38, 0.0347, 0)</f>
        <v>62.399900000000002</v>
      </c>
      <c r="E949" s="46">
        <f>65.7934 * CHOOSE(CONTROL!$C$15, $E$9, 100%, $G$9) + CHOOSE(CONTROL!$C$38, 0.0347, 0)</f>
        <v>65.828100000000006</v>
      </c>
      <c r="F949" s="45">
        <f>65.7934 * CHOOSE(CONTROL!$C$15, $E$9, 100%, $G$9) + CHOOSE(CONTROL!$C$38, 0.0256, 0)</f>
        <v>65.819000000000003</v>
      </c>
      <c r="G949" s="14">
        <f>62.3715 * CHOOSE(CONTROL!$C$15, $E$9, 100%, $G$9) + CHOOSE(CONTROL!$C$38, 0.0347, 0)</f>
        <v>62.406199999999998</v>
      </c>
      <c r="H949" s="14">
        <f>62.3715 * CHOOSE(CONTROL!$C$15, $E$9, 100%, $G$9) + CHOOSE(CONTROL!$C$38, 0.0347, 0)</f>
        <v>62.406199999999998</v>
      </c>
      <c r="I949" s="14">
        <f>62.3731 * CHOOSE(CONTROL!$C$15, $E$9, 100%, $G$9) + CHOOSE(CONTROL!$C$38, 0.0347, 0)</f>
        <v>62.407800000000002</v>
      </c>
      <c r="J949" s="44">
        <f>629.9229</f>
        <v>629.92290000000003</v>
      </c>
    </row>
    <row r="950" spans="1:10" ht="15.75" x14ac:dyDescent="0.25">
      <c r="A950" s="32">
        <v>69853</v>
      </c>
      <c r="B950" s="14">
        <f>69.3931 * CHOOSE(CONTROL!$C$15, $E$9, 100%, $G$9) + CHOOSE(CONTROL!$C$38, 0.0256, 0)</f>
        <v>69.418700000000001</v>
      </c>
      <c r="C950" s="14">
        <f>65.6362 * CHOOSE(CONTROL!$C$15, $E$9, 100%, $G$9) + CHOOSE(CONTROL!$C$38, 0.0347, 0)</f>
        <v>65.670900000000003</v>
      </c>
      <c r="D950" s="14">
        <f>65.6284 * CHOOSE(CONTROL!$C$15, $E$9, 100%, $G$9) + CHOOSE(CONTROL!$C$38, 0.0347, 0)</f>
        <v>65.6631</v>
      </c>
      <c r="E950" s="46">
        <f>69.2368 * CHOOSE(CONTROL!$C$15, $E$9, 100%, $G$9) + CHOOSE(CONTROL!$C$38, 0.0347, 0)</f>
        <v>69.271500000000003</v>
      </c>
      <c r="F950" s="45">
        <f>69.2368 * CHOOSE(CONTROL!$C$15, $E$9, 100%, $G$9) + CHOOSE(CONTROL!$C$38, 0.0256, 0)</f>
        <v>69.2624</v>
      </c>
      <c r="G950" s="14">
        <f>65.6346 * CHOOSE(CONTROL!$C$15, $E$9, 100%, $G$9) + CHOOSE(CONTROL!$C$38, 0.0347, 0)</f>
        <v>65.669300000000007</v>
      </c>
      <c r="H950" s="14">
        <f>65.6346 * CHOOSE(CONTROL!$C$15, $E$9, 100%, $G$9) + CHOOSE(CONTROL!$C$38, 0.0347, 0)</f>
        <v>65.669300000000007</v>
      </c>
      <c r="I950" s="14">
        <f>65.6362 * CHOOSE(CONTROL!$C$15, $E$9, 100%, $G$9) + CHOOSE(CONTROL!$C$38, 0.0347, 0)</f>
        <v>65.670900000000003</v>
      </c>
      <c r="J950" s="44">
        <f>663.1235</f>
        <v>663.12350000000004</v>
      </c>
    </row>
    <row r="951" spans="1:10" ht="15.75" x14ac:dyDescent="0.25">
      <c r="A951" s="32">
        <v>69883</v>
      </c>
      <c r="B951" s="14">
        <f>73.8584 * CHOOSE(CONTROL!$C$15, $E$9, 100%, $G$9) + CHOOSE(CONTROL!$C$38, 0.0256, 0)</f>
        <v>73.884</v>
      </c>
      <c r="C951" s="14">
        <f>69.8677 * CHOOSE(CONTROL!$C$15, $E$9, 100%, $G$9) + CHOOSE(CONTROL!$C$38, 0.0347, 0)</f>
        <v>69.9024</v>
      </c>
      <c r="D951" s="14">
        <f>69.8599 * CHOOSE(CONTROL!$C$15, $E$9, 100%, $G$9) + CHOOSE(CONTROL!$C$38, 0.0347, 0)</f>
        <v>69.894599999999997</v>
      </c>
      <c r="E951" s="46">
        <f>73.7021 * CHOOSE(CONTROL!$C$15, $E$9, 100%, $G$9) + CHOOSE(CONTROL!$C$38, 0.0347, 0)</f>
        <v>73.736800000000002</v>
      </c>
      <c r="F951" s="45">
        <f>73.7021 * CHOOSE(CONTROL!$C$15, $E$9, 100%, $G$9) + CHOOSE(CONTROL!$C$38, 0.0256, 0)</f>
        <v>73.727699999999999</v>
      </c>
      <c r="G951" s="14">
        <f>69.8661 * CHOOSE(CONTROL!$C$15, $E$9, 100%, $G$9) + CHOOSE(CONTROL!$C$38, 0.0347, 0)</f>
        <v>69.900800000000004</v>
      </c>
      <c r="H951" s="14">
        <f>69.8661 * CHOOSE(CONTROL!$C$15, $E$9, 100%, $G$9) + CHOOSE(CONTROL!$C$38, 0.0347, 0)</f>
        <v>69.900800000000004</v>
      </c>
      <c r="I951" s="14">
        <f>69.8677 * CHOOSE(CONTROL!$C$15, $E$9, 100%, $G$9) + CHOOSE(CONTROL!$C$38, 0.0347, 0)</f>
        <v>69.9024</v>
      </c>
      <c r="J951" s="44">
        <f>706.1767</f>
        <v>706.17669999999998</v>
      </c>
    </row>
    <row r="952" spans="1:10" ht="15.75" x14ac:dyDescent="0.25">
      <c r="A952" s="32">
        <v>69914</v>
      </c>
      <c r="B952" s="14">
        <f>76.3162 * CHOOSE(CONTROL!$C$15, $E$9, 100%, $G$9) + CHOOSE(CONTROL!$C$38, 0.0278, 0)</f>
        <v>76.343999999999994</v>
      </c>
      <c r="C952" s="14">
        <f>72.1968 * CHOOSE(CONTROL!$C$15, $E$9, 100%, $G$9) + CHOOSE(CONTROL!$C$38, 0.0369, 0)</f>
        <v>72.233699999999999</v>
      </c>
      <c r="D952" s="14">
        <f>72.189 * CHOOSE(CONTROL!$C$15, $E$9, 100%, $G$9) + CHOOSE(CONTROL!$C$38, 0.0369, 0)</f>
        <v>72.225899999999996</v>
      </c>
      <c r="E952" s="46">
        <f>76.1599 * CHOOSE(CONTROL!$C$15, $E$9, 100%, $G$9) + CHOOSE(CONTROL!$C$38, 0.0369, 0)</f>
        <v>76.196799999999996</v>
      </c>
      <c r="F952" s="45">
        <f>76.1599 * CHOOSE(CONTROL!$C$15, $E$9, 100%, $G$9) + CHOOSE(CONTROL!$C$38, 0.0278, 0)</f>
        <v>76.187699999999992</v>
      </c>
      <c r="G952" s="14">
        <f>72.1953 * CHOOSE(CONTROL!$C$15, $E$9, 100%, $G$9) + CHOOSE(CONTROL!$C$38, 0.0369, 0)</f>
        <v>72.232200000000006</v>
      </c>
      <c r="H952" s="14">
        <f>72.1953 * CHOOSE(CONTROL!$C$15, $E$9, 100%, $G$9) + CHOOSE(CONTROL!$C$38, 0.0369, 0)</f>
        <v>72.232200000000006</v>
      </c>
      <c r="I952" s="14">
        <f>72.1968 * CHOOSE(CONTROL!$C$15, $E$9, 100%, $G$9) + CHOOSE(CONTROL!$C$38, 0.0369, 0)</f>
        <v>72.233699999999999</v>
      </c>
      <c r="J952" s="44">
        <f>729.8746</f>
        <v>729.87459999999999</v>
      </c>
    </row>
    <row r="953" spans="1:10" ht="15.75" x14ac:dyDescent="0.25">
      <c r="A953" s="32">
        <v>69944</v>
      </c>
      <c r="B953" s="14">
        <f>77.4069 * CHOOSE(CONTROL!$C$15, $E$9, 100%, $G$9) + CHOOSE(CONTROL!$C$38, 0.0278, 0)</f>
        <v>77.434699999999992</v>
      </c>
      <c r="C953" s="14">
        <f>73.2305 * CHOOSE(CONTROL!$C$15, $E$9, 100%, $G$9) + CHOOSE(CONTROL!$C$38, 0.0369, 0)</f>
        <v>73.267400000000009</v>
      </c>
      <c r="D953" s="14">
        <f>73.2227 * CHOOSE(CONTROL!$C$15, $E$9, 100%, $G$9) + CHOOSE(CONTROL!$C$38, 0.0369, 0)</f>
        <v>73.259600000000006</v>
      </c>
      <c r="E953" s="46">
        <f>77.2507 * CHOOSE(CONTROL!$C$15, $E$9, 100%, $G$9) + CHOOSE(CONTROL!$C$38, 0.0369, 0)</f>
        <v>77.287599999999998</v>
      </c>
      <c r="F953" s="45">
        <f>77.2507 * CHOOSE(CONTROL!$C$15, $E$9, 100%, $G$9) + CHOOSE(CONTROL!$C$38, 0.0278, 0)</f>
        <v>77.278499999999994</v>
      </c>
      <c r="G953" s="14">
        <f>73.2289 * CHOOSE(CONTROL!$C$15, $E$9, 100%, $G$9) + CHOOSE(CONTROL!$C$38, 0.0369, 0)</f>
        <v>73.265799999999999</v>
      </c>
      <c r="H953" s="14">
        <f>73.2289 * CHOOSE(CONTROL!$C$15, $E$9, 100%, $G$9) + CHOOSE(CONTROL!$C$38, 0.0369, 0)</f>
        <v>73.265799999999999</v>
      </c>
      <c r="I953" s="14">
        <f>73.2305 * CHOOSE(CONTROL!$C$15, $E$9, 100%, $G$9) + CHOOSE(CONTROL!$C$38, 0.0369, 0)</f>
        <v>73.267400000000009</v>
      </c>
      <c r="J953" s="44">
        <f>740.3913</f>
        <v>740.3913</v>
      </c>
    </row>
    <row r="954" spans="1:10" ht="15.75" x14ac:dyDescent="0.25">
      <c r="A954" s="32">
        <v>69975</v>
      </c>
      <c r="B954" s="14">
        <f>77.0478 * CHOOSE(CONTROL!$C$15, $E$9, 100%, $G$9) + CHOOSE(CONTROL!$C$38, 0.0278, 0)</f>
        <v>77.075599999999994</v>
      </c>
      <c r="C954" s="14">
        <f>72.8901 * CHOOSE(CONTROL!$C$15, $E$9, 100%, $G$9) + CHOOSE(CONTROL!$C$38, 0.0369, 0)</f>
        <v>72.927000000000007</v>
      </c>
      <c r="D954" s="14">
        <f>72.8823 * CHOOSE(CONTROL!$C$15, $E$9, 100%, $G$9) + CHOOSE(CONTROL!$C$38, 0.0369, 0)</f>
        <v>72.919200000000004</v>
      </c>
      <c r="E954" s="46">
        <f>76.8916 * CHOOSE(CONTROL!$C$15, $E$9, 100%, $G$9) + CHOOSE(CONTROL!$C$38, 0.0369, 0)</f>
        <v>76.9285</v>
      </c>
      <c r="F954" s="45">
        <f>76.8916 * CHOOSE(CONTROL!$C$15, $E$9, 100%, $G$9) + CHOOSE(CONTROL!$C$38, 0.0278, 0)</f>
        <v>76.919399999999996</v>
      </c>
      <c r="G954" s="14">
        <f>72.8886 * CHOOSE(CONTROL!$C$15, $E$9, 100%, $G$9) + CHOOSE(CONTROL!$C$38, 0.0369, 0)</f>
        <v>72.9255</v>
      </c>
      <c r="H954" s="14">
        <f>72.8886 * CHOOSE(CONTROL!$C$15, $E$9, 100%, $G$9) + CHOOSE(CONTROL!$C$38, 0.0369, 0)</f>
        <v>72.9255</v>
      </c>
      <c r="I954" s="14">
        <f>72.8901 * CHOOSE(CONTROL!$C$15, $E$9, 100%, $G$9) + CHOOSE(CONTROL!$C$38, 0.0369, 0)</f>
        <v>72.927000000000007</v>
      </c>
      <c r="J954" s="44">
        <f>736.9287</f>
        <v>736.92870000000005</v>
      </c>
    </row>
    <row r="955" spans="1:10" ht="15.75" x14ac:dyDescent="0.25">
      <c r="A955" s="32">
        <v>70006</v>
      </c>
      <c r="B955" s="14">
        <f>75.2685 * CHOOSE(CONTROL!$C$15, $E$9, 100%, $G$9) + CHOOSE(CONTROL!$C$38, 0.0278, 0)</f>
        <v>75.296300000000002</v>
      </c>
      <c r="C955" s="14">
        <f>71.204 * CHOOSE(CONTROL!$C$15, $E$9, 100%, $G$9) + CHOOSE(CONTROL!$C$38, 0.0369, 0)</f>
        <v>71.240899999999996</v>
      </c>
      <c r="D955" s="14">
        <f>71.1962 * CHOOSE(CONTROL!$C$15, $E$9, 100%, $G$9) + CHOOSE(CONTROL!$C$38, 0.0369, 0)</f>
        <v>71.233100000000007</v>
      </c>
      <c r="E955" s="46">
        <f>75.1123 * CHOOSE(CONTROL!$C$15, $E$9, 100%, $G$9) + CHOOSE(CONTROL!$C$38, 0.0369, 0)</f>
        <v>75.149200000000008</v>
      </c>
      <c r="F955" s="45">
        <f>75.1123 * CHOOSE(CONTROL!$C$15, $E$9, 100%, $G$9) + CHOOSE(CONTROL!$C$38, 0.0278, 0)</f>
        <v>75.140100000000004</v>
      </c>
      <c r="G955" s="14">
        <f>71.2025 * CHOOSE(CONTROL!$C$15, $E$9, 100%, $G$9) + CHOOSE(CONTROL!$C$38, 0.0369, 0)</f>
        <v>71.239400000000003</v>
      </c>
      <c r="H955" s="14">
        <f>71.2025 * CHOOSE(CONTROL!$C$15, $E$9, 100%, $G$9) + CHOOSE(CONTROL!$C$38, 0.0369, 0)</f>
        <v>71.239400000000003</v>
      </c>
      <c r="I955" s="14">
        <f>71.204 * CHOOSE(CONTROL!$C$15, $E$9, 100%, $G$9) + CHOOSE(CONTROL!$C$38, 0.0369, 0)</f>
        <v>71.240899999999996</v>
      </c>
      <c r="J955" s="44">
        <f>719.7733</f>
        <v>719.77329999999995</v>
      </c>
    </row>
    <row r="956" spans="1:10" ht="15.75" x14ac:dyDescent="0.25">
      <c r="A956" s="32">
        <v>70036</v>
      </c>
      <c r="B956" s="14">
        <f>72.7873 * CHOOSE(CONTROL!$C$15, $E$9, 100%, $G$9) + CHOOSE(CONTROL!$C$38, 0.0278, 0)</f>
        <v>72.815100000000001</v>
      </c>
      <c r="C956" s="14">
        <f>68.8526 * CHOOSE(CONTROL!$C$15, $E$9, 100%, $G$9) + CHOOSE(CONTROL!$C$38, 0.0369, 0)</f>
        <v>68.889499999999998</v>
      </c>
      <c r="D956" s="14">
        <f>68.8448 * CHOOSE(CONTROL!$C$15, $E$9, 100%, $G$9) + CHOOSE(CONTROL!$C$38, 0.0369, 0)</f>
        <v>68.881700000000009</v>
      </c>
      <c r="E956" s="46">
        <f>72.631 * CHOOSE(CONTROL!$C$15, $E$9, 100%, $G$9) + CHOOSE(CONTROL!$C$38, 0.0369, 0)</f>
        <v>72.667900000000003</v>
      </c>
      <c r="F956" s="45">
        <f>72.631 * CHOOSE(CONTROL!$C$15, $E$9, 100%, $G$9) + CHOOSE(CONTROL!$C$38, 0.0278, 0)</f>
        <v>72.658799999999999</v>
      </c>
      <c r="G956" s="14">
        <f>68.8511 * CHOOSE(CONTROL!$C$15, $E$9, 100%, $G$9) + CHOOSE(CONTROL!$C$38, 0.0369, 0)</f>
        <v>68.888000000000005</v>
      </c>
      <c r="H956" s="14">
        <f>68.8511 * CHOOSE(CONTROL!$C$15, $E$9, 100%, $G$9) + CHOOSE(CONTROL!$C$38, 0.0369, 0)</f>
        <v>68.888000000000005</v>
      </c>
      <c r="I956" s="14">
        <f>68.8526 * CHOOSE(CONTROL!$C$15, $E$9, 100%, $G$9) + CHOOSE(CONTROL!$C$38, 0.0369, 0)</f>
        <v>68.889499999999998</v>
      </c>
      <c r="J956" s="44">
        <f>695.8493</f>
        <v>695.84929999999997</v>
      </c>
    </row>
    <row r="957" spans="1:10" ht="15.75" x14ac:dyDescent="0.25">
      <c r="A957" s="32">
        <v>70067</v>
      </c>
      <c r="B957" s="14">
        <f>70.2915 * CHOOSE(CONTROL!$C$15, $E$9, 100%, $G$9) + CHOOSE(CONTROL!$C$38, 0.0256, 0)</f>
        <v>70.317099999999996</v>
      </c>
      <c r="C957" s="14">
        <f>66.4876 * CHOOSE(CONTROL!$C$15, $E$9, 100%, $G$9) + CHOOSE(CONTROL!$C$38, 0.0347, 0)</f>
        <v>66.522300000000001</v>
      </c>
      <c r="D957" s="14">
        <f>66.4798 * CHOOSE(CONTROL!$C$15, $E$9, 100%, $G$9) + CHOOSE(CONTROL!$C$38, 0.0347, 0)</f>
        <v>66.514499999999998</v>
      </c>
      <c r="E957" s="46">
        <f>70.1353 * CHOOSE(CONTROL!$C$15, $E$9, 100%, $G$9) + CHOOSE(CONTROL!$C$38, 0.0347, 0)</f>
        <v>70.17</v>
      </c>
      <c r="F957" s="45">
        <f>70.1353 * CHOOSE(CONTROL!$C$15, $E$9, 100%, $G$9) + CHOOSE(CONTROL!$C$38, 0.0256, 0)</f>
        <v>70.160899999999998</v>
      </c>
      <c r="G957" s="14">
        <f>66.486 * CHOOSE(CONTROL!$C$15, $E$9, 100%, $G$9) + CHOOSE(CONTROL!$C$38, 0.0347, 0)</f>
        <v>66.520700000000005</v>
      </c>
      <c r="H957" s="14">
        <f>66.486 * CHOOSE(CONTROL!$C$15, $E$9, 100%, $G$9) + CHOOSE(CONTROL!$C$38, 0.0347, 0)</f>
        <v>66.520700000000005</v>
      </c>
      <c r="I957" s="14">
        <f>66.4876 * CHOOSE(CONTROL!$C$15, $E$9, 100%, $G$9) + CHOOSE(CONTROL!$C$38, 0.0347, 0)</f>
        <v>66.522300000000001</v>
      </c>
      <c r="J957" s="44">
        <f>671.7861</f>
        <v>671.78610000000003</v>
      </c>
    </row>
    <row r="958" spans="1:10" ht="15.75" x14ac:dyDescent="0.25">
      <c r="A958" s="32">
        <v>70097</v>
      </c>
      <c r="B958" s="14">
        <f>69.7951 * CHOOSE(CONTROL!$C$15, $E$9, 100%, $G$9) + CHOOSE(CONTROL!$C$38, 0.0256, 0)</f>
        <v>69.820700000000002</v>
      </c>
      <c r="C958" s="14">
        <f>66.0171 * CHOOSE(CONTROL!$C$15, $E$9, 100%, $G$9) + CHOOSE(CONTROL!$C$38, 0.0347, 0)</f>
        <v>66.0518</v>
      </c>
      <c r="D958" s="14">
        <f>66.0093 * CHOOSE(CONTROL!$C$15, $E$9, 100%, $G$9) + CHOOSE(CONTROL!$C$38, 0.0347, 0)</f>
        <v>66.043999999999997</v>
      </c>
      <c r="E958" s="46">
        <f>69.6388 * CHOOSE(CONTROL!$C$15, $E$9, 100%, $G$9) + CHOOSE(CONTROL!$C$38, 0.0347, 0)</f>
        <v>69.673500000000004</v>
      </c>
      <c r="F958" s="45">
        <f>69.6388 * CHOOSE(CONTROL!$C$15, $E$9, 100%, $G$9) + CHOOSE(CONTROL!$C$38, 0.0256, 0)</f>
        <v>69.664400000000001</v>
      </c>
      <c r="G958" s="14">
        <f>66.0156 * CHOOSE(CONTROL!$C$15, $E$9, 100%, $G$9) + CHOOSE(CONTROL!$C$38, 0.0347, 0)</f>
        <v>66.050300000000007</v>
      </c>
      <c r="H958" s="14">
        <f>66.0156 * CHOOSE(CONTROL!$C$15, $E$9, 100%, $G$9) + CHOOSE(CONTROL!$C$38, 0.0347, 0)</f>
        <v>66.050300000000007</v>
      </c>
      <c r="I958" s="14">
        <f>66.0171 * CHOOSE(CONTROL!$C$15, $E$9, 100%, $G$9) + CHOOSE(CONTROL!$C$38, 0.0347, 0)</f>
        <v>66.0518</v>
      </c>
      <c r="J958" s="44">
        <f>666.9994</f>
        <v>666.99940000000004</v>
      </c>
    </row>
    <row r="959" spans="1:10" ht="15.75" x14ac:dyDescent="0.25">
      <c r="A959" s="32">
        <v>70128</v>
      </c>
      <c r="B959" s="14">
        <f>67.7422 * CHOOSE(CONTROL!$C$15, $E$9, 100%, $G$9) + CHOOSE(CONTROL!$C$38, 0.0256, 0)</f>
        <v>67.767799999999994</v>
      </c>
      <c r="C959" s="14">
        <f>64.0717 * CHOOSE(CONTROL!$C$15, $E$9, 100%, $G$9) + CHOOSE(CONTROL!$C$38, 0.0347, 0)</f>
        <v>64.106400000000008</v>
      </c>
      <c r="D959" s="14">
        <f>64.0639 * CHOOSE(CONTROL!$C$15, $E$9, 100%, $G$9) + CHOOSE(CONTROL!$C$38, 0.0347, 0)</f>
        <v>64.098600000000005</v>
      </c>
      <c r="E959" s="46">
        <f>67.586 * CHOOSE(CONTROL!$C$15, $E$9, 100%, $G$9) + CHOOSE(CONTROL!$C$38, 0.0347, 0)</f>
        <v>67.620699999999999</v>
      </c>
      <c r="F959" s="45">
        <f>67.586 * CHOOSE(CONTROL!$C$15, $E$9, 100%, $G$9) + CHOOSE(CONTROL!$C$38, 0.0256, 0)</f>
        <v>67.611599999999996</v>
      </c>
      <c r="G959" s="14">
        <f>64.0702 * CHOOSE(CONTROL!$C$15, $E$9, 100%, $G$9) + CHOOSE(CONTROL!$C$38, 0.0347, 0)</f>
        <v>64.104900000000001</v>
      </c>
      <c r="H959" s="14">
        <f>64.0702 * CHOOSE(CONTROL!$C$15, $E$9, 100%, $G$9) + CHOOSE(CONTROL!$C$38, 0.0347, 0)</f>
        <v>64.104900000000001</v>
      </c>
      <c r="I959" s="14">
        <f>64.0717 * CHOOSE(CONTROL!$C$15, $E$9, 100%, $G$9) + CHOOSE(CONTROL!$C$38, 0.0347, 0)</f>
        <v>64.106400000000008</v>
      </c>
      <c r="J959" s="44">
        <f>647.2062</f>
        <v>647.20619999999997</v>
      </c>
    </row>
    <row r="960" spans="1:10" ht="15.75" x14ac:dyDescent="0.25">
      <c r="A960" s="32">
        <v>70159</v>
      </c>
      <c r="B960" s="14">
        <f>67.2324 * CHOOSE(CONTROL!$C$15, $E$9, 100%, $G$9) + CHOOSE(CONTROL!$C$38, 0.0256, 0)</f>
        <v>67.257999999999996</v>
      </c>
      <c r="C960" s="14">
        <f>63.5886 * CHOOSE(CONTROL!$C$15, $E$9, 100%, $G$9) + CHOOSE(CONTROL!$C$38, 0.0347, 0)</f>
        <v>63.6233</v>
      </c>
      <c r="D960" s="14">
        <f>63.5808 * CHOOSE(CONTROL!$C$15, $E$9, 100%, $G$9) + CHOOSE(CONTROL!$C$38, 0.0347, 0)</f>
        <v>63.615500000000004</v>
      </c>
      <c r="E960" s="46">
        <f>67.0762 * CHOOSE(CONTROL!$C$15, $E$9, 100%, $G$9) + CHOOSE(CONTROL!$C$38, 0.0347, 0)</f>
        <v>67.110900000000001</v>
      </c>
      <c r="F960" s="45">
        <f>67.0762 * CHOOSE(CONTROL!$C$15, $E$9, 100%, $G$9) + CHOOSE(CONTROL!$C$38, 0.0256, 0)</f>
        <v>67.101799999999997</v>
      </c>
      <c r="G960" s="14">
        <f>63.5871 * CHOOSE(CONTROL!$C$15, $E$9, 100%, $G$9) + CHOOSE(CONTROL!$C$38, 0.0347, 0)</f>
        <v>63.6218</v>
      </c>
      <c r="H960" s="14">
        <f>63.5871 * CHOOSE(CONTROL!$C$15, $E$9, 100%, $G$9) + CHOOSE(CONTROL!$C$38, 0.0347, 0)</f>
        <v>63.6218</v>
      </c>
      <c r="I960" s="14">
        <f>63.5886 * CHOOSE(CONTROL!$C$15, $E$9, 100%, $G$9) + CHOOSE(CONTROL!$C$38, 0.0347, 0)</f>
        <v>63.6233</v>
      </c>
      <c r="J960" s="44">
        <f>646.3716</f>
        <v>646.37159999999994</v>
      </c>
    </row>
    <row r="961" spans="1:10" ht="15.75" x14ac:dyDescent="0.25">
      <c r="A961" s="32">
        <v>70188</v>
      </c>
      <c r="B961" s="14">
        <f>67.0473 * CHOOSE(CONTROL!$C$15, $E$9, 100%, $G$9) + CHOOSE(CONTROL!$C$38, 0.0256, 0)</f>
        <v>67.072900000000004</v>
      </c>
      <c r="C961" s="14">
        <f>63.4132 * CHOOSE(CONTROL!$C$15, $E$9, 100%, $G$9) + CHOOSE(CONTROL!$C$38, 0.0347, 0)</f>
        <v>63.447900000000004</v>
      </c>
      <c r="D961" s="14">
        <f>63.4054 * CHOOSE(CONTROL!$C$15, $E$9, 100%, $G$9) + CHOOSE(CONTROL!$C$38, 0.0347, 0)</f>
        <v>63.440100000000001</v>
      </c>
      <c r="E961" s="46">
        <f>66.891 * CHOOSE(CONTROL!$C$15, $E$9, 100%, $G$9) + CHOOSE(CONTROL!$C$38, 0.0347, 0)</f>
        <v>66.925700000000006</v>
      </c>
      <c r="F961" s="45">
        <f>66.891 * CHOOSE(CONTROL!$C$15, $E$9, 100%, $G$9) + CHOOSE(CONTROL!$C$38, 0.0256, 0)</f>
        <v>66.916600000000003</v>
      </c>
      <c r="G961" s="14">
        <f>63.4116 * CHOOSE(CONTROL!$C$15, $E$9, 100%, $G$9) + CHOOSE(CONTROL!$C$38, 0.0347, 0)</f>
        <v>63.446300000000001</v>
      </c>
      <c r="H961" s="14">
        <f>63.4116 * CHOOSE(CONTROL!$C$15, $E$9, 100%, $G$9) + CHOOSE(CONTROL!$C$38, 0.0347, 0)</f>
        <v>63.446300000000001</v>
      </c>
      <c r="I961" s="14">
        <f>63.4132 * CHOOSE(CONTROL!$C$15, $E$9, 100%, $G$9) + CHOOSE(CONTROL!$C$38, 0.0347, 0)</f>
        <v>63.447900000000004</v>
      </c>
      <c r="J961" s="44">
        <f>644.5749</f>
        <v>644.57489999999996</v>
      </c>
    </row>
    <row r="962" spans="1:10" ht="15.75" x14ac:dyDescent="0.25">
      <c r="A962" s="32">
        <v>70219</v>
      </c>
      <c r="B962" s="14">
        <f>70.5485 * CHOOSE(CONTROL!$C$15, $E$9, 100%, $G$9) + CHOOSE(CONTROL!$C$38, 0.0256, 0)</f>
        <v>70.574100000000001</v>
      </c>
      <c r="C962" s="14">
        <f>66.7311 * CHOOSE(CONTROL!$C$15, $E$9, 100%, $G$9) + CHOOSE(CONTROL!$C$38, 0.0347, 0)</f>
        <v>66.765799999999999</v>
      </c>
      <c r="D962" s="14">
        <f>66.7233 * CHOOSE(CONTROL!$C$15, $E$9, 100%, $G$9) + CHOOSE(CONTROL!$C$38, 0.0347, 0)</f>
        <v>66.757999999999996</v>
      </c>
      <c r="E962" s="46">
        <f>70.3923 * CHOOSE(CONTROL!$C$15, $E$9, 100%, $G$9) + CHOOSE(CONTROL!$C$38, 0.0347, 0)</f>
        <v>70.427000000000007</v>
      </c>
      <c r="F962" s="45">
        <f>70.3923 * CHOOSE(CONTROL!$C$15, $E$9, 100%, $G$9) + CHOOSE(CONTROL!$C$38, 0.0256, 0)</f>
        <v>70.417900000000003</v>
      </c>
      <c r="G962" s="14">
        <f>66.7295 * CHOOSE(CONTROL!$C$15, $E$9, 100%, $G$9) + CHOOSE(CONTROL!$C$38, 0.0347, 0)</f>
        <v>66.764200000000002</v>
      </c>
      <c r="H962" s="14">
        <f>66.7295 * CHOOSE(CONTROL!$C$15, $E$9, 100%, $G$9) + CHOOSE(CONTROL!$C$38, 0.0347, 0)</f>
        <v>66.764200000000002</v>
      </c>
      <c r="I962" s="14">
        <f>66.7311 * CHOOSE(CONTROL!$C$15, $E$9, 100%, $G$9) + CHOOSE(CONTROL!$C$38, 0.0347, 0)</f>
        <v>66.765799999999999</v>
      </c>
      <c r="J962" s="44">
        <f>678.5477</f>
        <v>678.54769999999996</v>
      </c>
    </row>
    <row r="963" spans="1:10" ht="15.75" x14ac:dyDescent="0.25">
      <c r="A963" s="32">
        <v>70249</v>
      </c>
      <c r="B963" s="14">
        <f>75.0888 * CHOOSE(CONTROL!$C$15, $E$9, 100%, $G$9) + CHOOSE(CONTROL!$C$38, 0.0256, 0)</f>
        <v>75.114400000000003</v>
      </c>
      <c r="C963" s="14">
        <f>71.0337 * CHOOSE(CONTROL!$C$15, $E$9, 100%, $G$9) + CHOOSE(CONTROL!$C$38, 0.0347, 0)</f>
        <v>71.068399999999997</v>
      </c>
      <c r="D963" s="14">
        <f>71.0259 * CHOOSE(CONTROL!$C$15, $E$9, 100%, $G$9) + CHOOSE(CONTROL!$C$38, 0.0347, 0)</f>
        <v>71.060599999999994</v>
      </c>
      <c r="E963" s="46">
        <f>74.9325 * CHOOSE(CONTROL!$C$15, $E$9, 100%, $G$9) + CHOOSE(CONTROL!$C$38, 0.0347, 0)</f>
        <v>74.967200000000005</v>
      </c>
      <c r="F963" s="45">
        <f>74.9325 * CHOOSE(CONTROL!$C$15, $E$9, 100%, $G$9) + CHOOSE(CONTROL!$C$38, 0.0256, 0)</f>
        <v>74.958100000000002</v>
      </c>
      <c r="G963" s="14">
        <f>71.0321 * CHOOSE(CONTROL!$C$15, $E$9, 100%, $G$9) + CHOOSE(CONTROL!$C$38, 0.0347, 0)</f>
        <v>71.066800000000001</v>
      </c>
      <c r="H963" s="14">
        <f>71.0321 * CHOOSE(CONTROL!$C$15, $E$9, 100%, $G$9) + CHOOSE(CONTROL!$C$38, 0.0347, 0)</f>
        <v>71.066800000000001</v>
      </c>
      <c r="I963" s="14">
        <f>71.0337 * CHOOSE(CONTROL!$C$15, $E$9, 100%, $G$9) + CHOOSE(CONTROL!$C$38, 0.0347, 0)</f>
        <v>71.068399999999997</v>
      </c>
      <c r="J963" s="44">
        <f>722.6023</f>
        <v>722.60230000000001</v>
      </c>
    </row>
    <row r="964" spans="1:10" ht="15.75" x14ac:dyDescent="0.25">
      <c r="A964" s="32">
        <v>70280</v>
      </c>
      <c r="B964" s="14">
        <f>77.5879 * CHOOSE(CONTROL!$C$15, $E$9, 100%, $G$9) + CHOOSE(CONTROL!$C$38, 0.0278, 0)</f>
        <v>77.615700000000004</v>
      </c>
      <c r="C964" s="14">
        <f>73.402 * CHOOSE(CONTROL!$C$15, $E$9, 100%, $G$9) + CHOOSE(CONTROL!$C$38, 0.0369, 0)</f>
        <v>73.438900000000004</v>
      </c>
      <c r="D964" s="14">
        <f>73.3942 * CHOOSE(CONTROL!$C$15, $E$9, 100%, $G$9) + CHOOSE(CONTROL!$C$38, 0.0369, 0)</f>
        <v>73.431100000000001</v>
      </c>
      <c r="E964" s="46">
        <f>77.4317 * CHOOSE(CONTROL!$C$15, $E$9, 100%, $G$9) + CHOOSE(CONTROL!$C$38, 0.0369, 0)</f>
        <v>77.468600000000009</v>
      </c>
      <c r="F964" s="45">
        <f>77.4317 * CHOOSE(CONTROL!$C$15, $E$9, 100%, $G$9) + CHOOSE(CONTROL!$C$38, 0.0278, 0)</f>
        <v>77.459500000000006</v>
      </c>
      <c r="G964" s="14">
        <f>73.4004 * CHOOSE(CONTROL!$C$15, $E$9, 100%, $G$9) + CHOOSE(CONTROL!$C$38, 0.0369, 0)</f>
        <v>73.437300000000008</v>
      </c>
      <c r="H964" s="14">
        <f>73.4004 * CHOOSE(CONTROL!$C$15, $E$9, 100%, $G$9) + CHOOSE(CONTROL!$C$38, 0.0369, 0)</f>
        <v>73.437300000000008</v>
      </c>
      <c r="I964" s="14">
        <f>73.402 * CHOOSE(CONTROL!$C$15, $E$9, 100%, $G$9) + CHOOSE(CONTROL!$C$38, 0.0369, 0)</f>
        <v>73.438900000000004</v>
      </c>
      <c r="J964" s="44">
        <f>746.8514</f>
        <v>746.85140000000001</v>
      </c>
    </row>
    <row r="965" spans="1:10" ht="15.75" x14ac:dyDescent="0.25">
      <c r="A965" s="32">
        <v>70310</v>
      </c>
      <c r="B965" s="14">
        <f>78.697 * CHOOSE(CONTROL!$C$15, $E$9, 100%, $G$9) + CHOOSE(CONTROL!$C$38, 0.0278, 0)</f>
        <v>78.724800000000002</v>
      </c>
      <c r="C965" s="14">
        <f>74.453 * CHOOSE(CONTROL!$C$15, $E$9, 100%, $G$9) + CHOOSE(CONTROL!$C$38, 0.0369, 0)</f>
        <v>74.489900000000006</v>
      </c>
      <c r="D965" s="14">
        <f>74.4452 * CHOOSE(CONTROL!$C$15, $E$9, 100%, $G$9) + CHOOSE(CONTROL!$C$38, 0.0369, 0)</f>
        <v>74.482100000000003</v>
      </c>
      <c r="E965" s="46">
        <f>78.5407 * CHOOSE(CONTROL!$C$15, $E$9, 100%, $G$9) + CHOOSE(CONTROL!$C$38, 0.0369, 0)</f>
        <v>78.577600000000004</v>
      </c>
      <c r="F965" s="45">
        <f>78.5407 * CHOOSE(CONTROL!$C$15, $E$9, 100%, $G$9) + CHOOSE(CONTROL!$C$38, 0.0278, 0)</f>
        <v>78.5685</v>
      </c>
      <c r="G965" s="14">
        <f>74.4514 * CHOOSE(CONTROL!$C$15, $E$9, 100%, $G$9) + CHOOSE(CONTROL!$C$38, 0.0369, 0)</f>
        <v>74.48830000000001</v>
      </c>
      <c r="H965" s="14">
        <f>74.4514 * CHOOSE(CONTROL!$C$15, $E$9, 100%, $G$9) + CHOOSE(CONTROL!$C$38, 0.0369, 0)</f>
        <v>74.48830000000001</v>
      </c>
      <c r="I965" s="14">
        <f>74.453 * CHOOSE(CONTROL!$C$15, $E$9, 100%, $G$9) + CHOOSE(CONTROL!$C$38, 0.0369, 0)</f>
        <v>74.489900000000006</v>
      </c>
      <c r="J965" s="44">
        <f>757.6128</f>
        <v>757.61279999999999</v>
      </c>
    </row>
    <row r="966" spans="1:10" ht="15.75" x14ac:dyDescent="0.25">
      <c r="A966" s="32">
        <v>70341</v>
      </c>
      <c r="B966" s="14">
        <f>78.3318 * CHOOSE(CONTROL!$C$15, $E$9, 100%, $G$9) + CHOOSE(CONTROL!$C$38, 0.0278, 0)</f>
        <v>78.3596</v>
      </c>
      <c r="C966" s="14">
        <f>74.1069 * CHOOSE(CONTROL!$C$15, $E$9, 100%, $G$9) + CHOOSE(CONTROL!$C$38, 0.0369, 0)</f>
        <v>74.143799999999999</v>
      </c>
      <c r="D966" s="14">
        <f>74.0991 * CHOOSE(CONTROL!$C$15, $E$9, 100%, $G$9) + CHOOSE(CONTROL!$C$38, 0.0369, 0)</f>
        <v>74.13600000000001</v>
      </c>
      <c r="E966" s="46">
        <f>78.1756 * CHOOSE(CONTROL!$C$15, $E$9, 100%, $G$9) + CHOOSE(CONTROL!$C$38, 0.0369, 0)</f>
        <v>78.212500000000006</v>
      </c>
      <c r="F966" s="45">
        <f>78.1756 * CHOOSE(CONTROL!$C$15, $E$9, 100%, $G$9) + CHOOSE(CONTROL!$C$38, 0.0278, 0)</f>
        <v>78.203400000000002</v>
      </c>
      <c r="G966" s="14">
        <f>74.1054 * CHOOSE(CONTROL!$C$15, $E$9, 100%, $G$9) + CHOOSE(CONTROL!$C$38, 0.0369, 0)</f>
        <v>74.142300000000006</v>
      </c>
      <c r="H966" s="14">
        <f>74.1054 * CHOOSE(CONTROL!$C$15, $E$9, 100%, $G$9) + CHOOSE(CONTROL!$C$38, 0.0369, 0)</f>
        <v>74.142300000000006</v>
      </c>
      <c r="I966" s="14">
        <f>74.1069 * CHOOSE(CONTROL!$C$15, $E$9, 100%, $G$9) + CHOOSE(CONTROL!$C$38, 0.0369, 0)</f>
        <v>74.143799999999999</v>
      </c>
      <c r="J966" s="44">
        <f>754.0696</f>
        <v>754.06960000000004</v>
      </c>
    </row>
    <row r="967" spans="1:10" ht="15.75" x14ac:dyDescent="0.25">
      <c r="A967" s="32">
        <v>70372</v>
      </c>
      <c r="B967" s="14">
        <f>76.5227 * CHOOSE(CONTROL!$C$15, $E$9, 100%, $G$9) + CHOOSE(CONTROL!$C$38, 0.0278, 0)</f>
        <v>76.5505</v>
      </c>
      <c r="C967" s="14">
        <f>72.3925 * CHOOSE(CONTROL!$C$15, $E$9, 100%, $G$9) + CHOOSE(CONTROL!$C$38, 0.0369, 0)</f>
        <v>72.429400000000001</v>
      </c>
      <c r="D967" s="14">
        <f>72.3847 * CHOOSE(CONTROL!$C$15, $E$9, 100%, $G$9) + CHOOSE(CONTROL!$C$38, 0.0369, 0)</f>
        <v>72.421599999999998</v>
      </c>
      <c r="E967" s="46">
        <f>76.3664 * CHOOSE(CONTROL!$C$15, $E$9, 100%, $G$9) + CHOOSE(CONTROL!$C$38, 0.0369, 0)</f>
        <v>76.403300000000002</v>
      </c>
      <c r="F967" s="45">
        <f>76.3664 * CHOOSE(CONTROL!$C$15, $E$9, 100%, $G$9) + CHOOSE(CONTROL!$C$38, 0.0278, 0)</f>
        <v>76.394199999999998</v>
      </c>
      <c r="G967" s="14">
        <f>72.3909 * CHOOSE(CONTROL!$C$15, $E$9, 100%, $G$9) + CHOOSE(CONTROL!$C$38, 0.0369, 0)</f>
        <v>72.427800000000005</v>
      </c>
      <c r="H967" s="14">
        <f>72.3909 * CHOOSE(CONTROL!$C$15, $E$9, 100%, $G$9) + CHOOSE(CONTROL!$C$38, 0.0369, 0)</f>
        <v>72.427800000000005</v>
      </c>
      <c r="I967" s="14">
        <f>72.3925 * CHOOSE(CONTROL!$C$15, $E$9, 100%, $G$9) + CHOOSE(CONTROL!$C$38, 0.0369, 0)</f>
        <v>72.429400000000001</v>
      </c>
      <c r="J967" s="44">
        <f>736.5152</f>
        <v>736.51520000000005</v>
      </c>
    </row>
    <row r="968" spans="1:10" ht="15.75" x14ac:dyDescent="0.25">
      <c r="A968" s="32">
        <v>70402</v>
      </c>
      <c r="B968" s="14">
        <f>73.9997 * CHOOSE(CONTROL!$C$15, $E$9, 100%, $G$9) + CHOOSE(CONTROL!$C$38, 0.0278, 0)</f>
        <v>74.027500000000003</v>
      </c>
      <c r="C968" s="14">
        <f>70.0016 * CHOOSE(CONTROL!$C$15, $E$9, 100%, $G$9) + CHOOSE(CONTROL!$C$38, 0.0369, 0)</f>
        <v>70.038499999999999</v>
      </c>
      <c r="D968" s="14">
        <f>69.9938 * CHOOSE(CONTROL!$C$15, $E$9, 100%, $G$9) + CHOOSE(CONTROL!$C$38, 0.0369, 0)</f>
        <v>70.030699999999996</v>
      </c>
      <c r="E968" s="46">
        <f>73.8434 * CHOOSE(CONTROL!$C$15, $E$9, 100%, $G$9) + CHOOSE(CONTROL!$C$38, 0.0369, 0)</f>
        <v>73.880300000000005</v>
      </c>
      <c r="F968" s="45">
        <f>73.8434 * CHOOSE(CONTROL!$C$15, $E$9, 100%, $G$9) + CHOOSE(CONTROL!$C$38, 0.0278, 0)</f>
        <v>73.871200000000002</v>
      </c>
      <c r="G968" s="14">
        <f>70 * CHOOSE(CONTROL!$C$15, $E$9, 100%, $G$9) + CHOOSE(CONTROL!$C$38, 0.0369, 0)</f>
        <v>70.036900000000003</v>
      </c>
      <c r="H968" s="14">
        <f>70 * CHOOSE(CONTROL!$C$15, $E$9, 100%, $G$9) + CHOOSE(CONTROL!$C$38, 0.0369, 0)</f>
        <v>70.036900000000003</v>
      </c>
      <c r="I968" s="14">
        <f>70.0016 * CHOOSE(CONTROL!$C$15, $E$9, 100%, $G$9) + CHOOSE(CONTROL!$C$38, 0.0369, 0)</f>
        <v>70.038499999999999</v>
      </c>
      <c r="J968" s="44">
        <f>712.0347</f>
        <v>712.03470000000004</v>
      </c>
    </row>
    <row r="969" spans="1:10" ht="15.75" x14ac:dyDescent="0.25">
      <c r="A969" s="32">
        <v>70433</v>
      </c>
      <c r="B969" s="14">
        <f>71.462 * CHOOSE(CONTROL!$C$15, $E$9, 100%, $G$9) + CHOOSE(CONTROL!$C$38, 0.0256, 0)</f>
        <v>71.4876</v>
      </c>
      <c r="C969" s="14">
        <f>67.5968 * CHOOSE(CONTROL!$C$15, $E$9, 100%, $G$9) + CHOOSE(CONTROL!$C$38, 0.0347, 0)</f>
        <v>67.631500000000003</v>
      </c>
      <c r="D969" s="14">
        <f>67.589 * CHOOSE(CONTROL!$C$15, $E$9, 100%, $G$9) + CHOOSE(CONTROL!$C$38, 0.0347, 0)</f>
        <v>67.623699999999999</v>
      </c>
      <c r="E969" s="46">
        <f>71.3058 * CHOOSE(CONTROL!$C$15, $E$9, 100%, $G$9) + CHOOSE(CONTROL!$C$38, 0.0347, 0)</f>
        <v>71.340500000000006</v>
      </c>
      <c r="F969" s="45">
        <f>71.3058 * CHOOSE(CONTROL!$C$15, $E$9, 100%, $G$9) + CHOOSE(CONTROL!$C$38, 0.0256, 0)</f>
        <v>71.331400000000002</v>
      </c>
      <c r="G969" s="14">
        <f>67.5953 * CHOOSE(CONTROL!$C$15, $E$9, 100%, $G$9) + CHOOSE(CONTROL!$C$38, 0.0347, 0)</f>
        <v>67.63</v>
      </c>
      <c r="H969" s="14">
        <f>67.5953 * CHOOSE(CONTROL!$C$15, $E$9, 100%, $G$9) + CHOOSE(CONTROL!$C$38, 0.0347, 0)</f>
        <v>67.63</v>
      </c>
      <c r="I969" s="14">
        <f>67.5968 * CHOOSE(CONTROL!$C$15, $E$9, 100%, $G$9) + CHOOSE(CONTROL!$C$38, 0.0347, 0)</f>
        <v>67.631500000000003</v>
      </c>
      <c r="J969" s="44">
        <f>687.4118</f>
        <v>687.41179999999997</v>
      </c>
    </row>
    <row r="970" spans="1:10" ht="15.75" x14ac:dyDescent="0.25">
      <c r="A970" s="32">
        <v>70463</v>
      </c>
      <c r="B970" s="14">
        <f>70.9573 * CHOOSE(CONTROL!$C$15, $E$9, 100%, $G$9) + CHOOSE(CONTROL!$C$38, 0.0256, 0)</f>
        <v>70.982900000000001</v>
      </c>
      <c r="C970" s="14">
        <f>67.1185 * CHOOSE(CONTROL!$C$15, $E$9, 100%, $G$9) + CHOOSE(CONTROL!$C$38, 0.0347, 0)</f>
        <v>67.153199999999998</v>
      </c>
      <c r="D970" s="14">
        <f>67.1107 * CHOOSE(CONTROL!$C$15, $E$9, 100%, $G$9) + CHOOSE(CONTROL!$C$38, 0.0347, 0)</f>
        <v>67.145399999999995</v>
      </c>
      <c r="E970" s="46">
        <f>70.801 * CHOOSE(CONTROL!$C$15, $E$9, 100%, $G$9) + CHOOSE(CONTROL!$C$38, 0.0347, 0)</f>
        <v>70.835700000000003</v>
      </c>
      <c r="F970" s="45">
        <f>70.801 * CHOOSE(CONTROL!$C$15, $E$9, 100%, $G$9) + CHOOSE(CONTROL!$C$38, 0.0256, 0)</f>
        <v>70.826599999999999</v>
      </c>
      <c r="G970" s="14">
        <f>67.1169 * CHOOSE(CONTROL!$C$15, $E$9, 100%, $G$9) + CHOOSE(CONTROL!$C$38, 0.0347, 0)</f>
        <v>67.151600000000002</v>
      </c>
      <c r="H970" s="14">
        <f>67.1169 * CHOOSE(CONTROL!$C$15, $E$9, 100%, $G$9) + CHOOSE(CONTROL!$C$38, 0.0347, 0)</f>
        <v>67.151600000000002</v>
      </c>
      <c r="I970" s="14">
        <f>67.1185 * CHOOSE(CONTROL!$C$15, $E$9, 100%, $G$9) + CHOOSE(CONTROL!$C$38, 0.0347, 0)</f>
        <v>67.153199999999998</v>
      </c>
      <c r="J970" s="44">
        <f>682.5138</f>
        <v>682.51379999999995</v>
      </c>
    </row>
    <row r="971" spans="1:10" ht="15.75" x14ac:dyDescent="0.25">
      <c r="A971" s="32">
        <v>70494</v>
      </c>
      <c r="B971" s="14">
        <f>68.8699 * CHOOSE(CONTROL!$C$15, $E$9, 100%, $G$9) + CHOOSE(CONTROL!$C$38, 0.0256, 0)</f>
        <v>68.895499999999998</v>
      </c>
      <c r="C971" s="14">
        <f>65.1404 * CHOOSE(CONTROL!$C$15, $E$9, 100%, $G$9) + CHOOSE(CONTROL!$C$38, 0.0347, 0)</f>
        <v>65.1751</v>
      </c>
      <c r="D971" s="14">
        <f>65.1326 * CHOOSE(CONTROL!$C$15, $E$9, 100%, $G$9) + CHOOSE(CONTROL!$C$38, 0.0347, 0)</f>
        <v>65.167299999999997</v>
      </c>
      <c r="E971" s="46">
        <f>68.7137 * CHOOSE(CONTROL!$C$15, $E$9, 100%, $G$9) + CHOOSE(CONTROL!$C$38, 0.0347, 0)</f>
        <v>68.748400000000004</v>
      </c>
      <c r="F971" s="45">
        <f>68.7137 * CHOOSE(CONTROL!$C$15, $E$9, 100%, $G$9) + CHOOSE(CONTROL!$C$38, 0.0256, 0)</f>
        <v>68.7393</v>
      </c>
      <c r="G971" s="14">
        <f>65.1388 * CHOOSE(CONTROL!$C$15, $E$9, 100%, $G$9) + CHOOSE(CONTROL!$C$38, 0.0347, 0)</f>
        <v>65.173500000000004</v>
      </c>
      <c r="H971" s="14">
        <f>65.1388 * CHOOSE(CONTROL!$C$15, $E$9, 100%, $G$9) + CHOOSE(CONTROL!$C$38, 0.0347, 0)</f>
        <v>65.173500000000004</v>
      </c>
      <c r="I971" s="14">
        <f>65.1404 * CHOOSE(CONTROL!$C$15, $E$9, 100%, $G$9) + CHOOSE(CONTROL!$C$38, 0.0347, 0)</f>
        <v>65.1751</v>
      </c>
      <c r="J971" s="44">
        <f>662.2602</f>
        <v>662.26020000000005</v>
      </c>
    </row>
    <row r="972" spans="1:10" ht="15.75" x14ac:dyDescent="0.25">
      <c r="A972" s="32">
        <v>70525</v>
      </c>
      <c r="B972" s="14">
        <f>68.3515 * CHOOSE(CONTROL!$C$15, $E$9, 100%, $G$9) + CHOOSE(CONTROL!$C$38, 0.0256, 0)</f>
        <v>68.377099999999999</v>
      </c>
      <c r="C972" s="14">
        <f>64.6492 * CHOOSE(CONTROL!$C$15, $E$9, 100%, $G$9) + CHOOSE(CONTROL!$C$38, 0.0347, 0)</f>
        <v>64.683899999999994</v>
      </c>
      <c r="D972" s="14">
        <f>64.6414 * CHOOSE(CONTROL!$C$15, $E$9, 100%, $G$9) + CHOOSE(CONTROL!$C$38, 0.0347, 0)</f>
        <v>64.676100000000005</v>
      </c>
      <c r="E972" s="46">
        <f>68.1953 * CHOOSE(CONTROL!$C$15, $E$9, 100%, $G$9) + CHOOSE(CONTROL!$C$38, 0.0347, 0)</f>
        <v>68.23</v>
      </c>
      <c r="F972" s="45">
        <f>68.1953 * CHOOSE(CONTROL!$C$15, $E$9, 100%, $G$9) + CHOOSE(CONTROL!$C$38, 0.0256, 0)</f>
        <v>68.2209</v>
      </c>
      <c r="G972" s="14">
        <f>64.6476 * CHOOSE(CONTROL!$C$15, $E$9, 100%, $G$9) + CHOOSE(CONTROL!$C$38, 0.0347, 0)</f>
        <v>64.682299999999998</v>
      </c>
      <c r="H972" s="14">
        <f>64.6476 * CHOOSE(CONTROL!$C$15, $E$9, 100%, $G$9) + CHOOSE(CONTROL!$C$38, 0.0347, 0)</f>
        <v>64.682299999999998</v>
      </c>
      <c r="I972" s="14">
        <f>64.6492 * CHOOSE(CONTROL!$C$15, $E$9, 100%, $G$9) + CHOOSE(CONTROL!$C$38, 0.0347, 0)</f>
        <v>64.683899999999994</v>
      </c>
      <c r="J972" s="44">
        <f>661.4062</f>
        <v>661.40620000000001</v>
      </c>
    </row>
    <row r="973" spans="1:10" ht="15.75" x14ac:dyDescent="0.25">
      <c r="A973" s="32">
        <v>70553</v>
      </c>
      <c r="B973" s="14">
        <f>68.1633 * CHOOSE(CONTROL!$C$15, $E$9, 100%, $G$9) + CHOOSE(CONTROL!$C$38, 0.0256, 0)</f>
        <v>68.188900000000004</v>
      </c>
      <c r="C973" s="14">
        <f>64.4707 * CHOOSE(CONTROL!$C$15, $E$9, 100%, $G$9) + CHOOSE(CONTROL!$C$38, 0.0347, 0)</f>
        <v>64.505399999999995</v>
      </c>
      <c r="D973" s="14">
        <f>64.4629 * CHOOSE(CONTROL!$C$15, $E$9, 100%, $G$9) + CHOOSE(CONTROL!$C$38, 0.0347, 0)</f>
        <v>64.497600000000006</v>
      </c>
      <c r="E973" s="46">
        <f>68.007 * CHOOSE(CONTROL!$C$15, $E$9, 100%, $G$9) + CHOOSE(CONTROL!$C$38, 0.0347, 0)</f>
        <v>68.041700000000006</v>
      </c>
      <c r="F973" s="45">
        <f>68.007 * CHOOSE(CONTROL!$C$15, $E$9, 100%, $G$9) + CHOOSE(CONTROL!$C$38, 0.0256, 0)</f>
        <v>68.032600000000002</v>
      </c>
      <c r="G973" s="14">
        <f>64.4692 * CHOOSE(CONTROL!$C$15, $E$9, 100%, $G$9) + CHOOSE(CONTROL!$C$38, 0.0347, 0)</f>
        <v>64.503900000000002</v>
      </c>
      <c r="H973" s="14">
        <f>64.4692 * CHOOSE(CONTROL!$C$15, $E$9, 100%, $G$9) + CHOOSE(CONTROL!$C$38, 0.0347, 0)</f>
        <v>64.503900000000002</v>
      </c>
      <c r="I973" s="14">
        <f>64.4707 * CHOOSE(CONTROL!$C$15, $E$9, 100%, $G$9) + CHOOSE(CONTROL!$C$38, 0.0347, 0)</f>
        <v>64.505399999999995</v>
      </c>
      <c r="J973" s="44">
        <f>659.5677</f>
        <v>659.56769999999995</v>
      </c>
    </row>
    <row r="974" spans="1:10" ht="15.75" x14ac:dyDescent="0.25">
      <c r="A974" s="32">
        <v>70584</v>
      </c>
      <c r="B974" s="14">
        <f>71.7233 * CHOOSE(CONTROL!$C$15, $E$9, 100%, $G$9) + CHOOSE(CONTROL!$C$38, 0.0256, 0)</f>
        <v>71.748899999999992</v>
      </c>
      <c r="C974" s="14">
        <f>67.8444 * CHOOSE(CONTROL!$C$15, $E$9, 100%, $G$9) + CHOOSE(CONTROL!$C$38, 0.0347, 0)</f>
        <v>67.879099999999994</v>
      </c>
      <c r="D974" s="14">
        <f>67.8366 * CHOOSE(CONTROL!$C$15, $E$9, 100%, $G$9) + CHOOSE(CONTROL!$C$38, 0.0347, 0)</f>
        <v>67.871300000000005</v>
      </c>
      <c r="E974" s="46">
        <f>71.5671 * CHOOSE(CONTROL!$C$15, $E$9, 100%, $G$9) + CHOOSE(CONTROL!$C$38, 0.0347, 0)</f>
        <v>71.601799999999997</v>
      </c>
      <c r="F974" s="45">
        <f>71.5671 * CHOOSE(CONTROL!$C$15, $E$9, 100%, $G$9) + CHOOSE(CONTROL!$C$38, 0.0256, 0)</f>
        <v>71.592699999999994</v>
      </c>
      <c r="G974" s="14">
        <f>67.8429 * CHOOSE(CONTROL!$C$15, $E$9, 100%, $G$9) + CHOOSE(CONTROL!$C$38, 0.0347, 0)</f>
        <v>67.877600000000001</v>
      </c>
      <c r="H974" s="14">
        <f>67.8429 * CHOOSE(CONTROL!$C$15, $E$9, 100%, $G$9) + CHOOSE(CONTROL!$C$38, 0.0347, 0)</f>
        <v>67.877600000000001</v>
      </c>
      <c r="I974" s="14">
        <f>67.8444 * CHOOSE(CONTROL!$C$15, $E$9, 100%, $G$9) + CHOOSE(CONTROL!$C$38, 0.0347, 0)</f>
        <v>67.879099999999994</v>
      </c>
      <c r="J974" s="44">
        <f>694.3307</f>
        <v>694.33069999999998</v>
      </c>
    </row>
    <row r="975" spans="1:10" ht="15.75" x14ac:dyDescent="0.25">
      <c r="A975" s="32">
        <v>70614</v>
      </c>
      <c r="B975" s="14">
        <f>76.3399 * CHOOSE(CONTROL!$C$15, $E$9, 100%, $G$9) + CHOOSE(CONTROL!$C$38, 0.0256, 0)</f>
        <v>76.365499999999997</v>
      </c>
      <c r="C975" s="14">
        <f>72.2193 * CHOOSE(CONTROL!$C$15, $E$9, 100%, $G$9) + CHOOSE(CONTROL!$C$38, 0.0347, 0)</f>
        <v>72.254000000000005</v>
      </c>
      <c r="D975" s="14">
        <f>72.2115 * CHOOSE(CONTROL!$C$15, $E$9, 100%, $G$9) + CHOOSE(CONTROL!$C$38, 0.0347, 0)</f>
        <v>72.246200000000002</v>
      </c>
      <c r="E975" s="46">
        <f>76.1836 * CHOOSE(CONTROL!$C$15, $E$9, 100%, $G$9) + CHOOSE(CONTROL!$C$38, 0.0347, 0)</f>
        <v>76.218299999999999</v>
      </c>
      <c r="F975" s="45">
        <f>76.1836 * CHOOSE(CONTROL!$C$15, $E$9, 100%, $G$9) + CHOOSE(CONTROL!$C$38, 0.0256, 0)</f>
        <v>76.209199999999996</v>
      </c>
      <c r="G975" s="14">
        <f>72.2177 * CHOOSE(CONTROL!$C$15, $E$9, 100%, $G$9) + CHOOSE(CONTROL!$C$38, 0.0347, 0)</f>
        <v>72.252399999999994</v>
      </c>
      <c r="H975" s="14">
        <f>72.2177 * CHOOSE(CONTROL!$C$15, $E$9, 100%, $G$9) + CHOOSE(CONTROL!$C$38, 0.0347, 0)</f>
        <v>72.252399999999994</v>
      </c>
      <c r="I975" s="14">
        <f>72.2193 * CHOOSE(CONTROL!$C$15, $E$9, 100%, $G$9) + CHOOSE(CONTROL!$C$38, 0.0347, 0)</f>
        <v>72.254000000000005</v>
      </c>
      <c r="J975" s="44">
        <f>739.4101</f>
        <v>739.41010000000006</v>
      </c>
    </row>
    <row r="976" spans="1:10" ht="15.75" x14ac:dyDescent="0.25">
      <c r="A976" s="32">
        <v>70645</v>
      </c>
      <c r="B976" s="14">
        <f>78.881 * CHOOSE(CONTROL!$C$15, $E$9, 100%, $G$9) + CHOOSE(CONTROL!$C$38, 0.0278, 0)</f>
        <v>78.908799999999999</v>
      </c>
      <c r="C976" s="14">
        <f>74.6274 * CHOOSE(CONTROL!$C$15, $E$9, 100%, $G$9) + CHOOSE(CONTROL!$C$38, 0.0369, 0)</f>
        <v>74.664299999999997</v>
      </c>
      <c r="D976" s="14">
        <f>74.6196 * CHOOSE(CONTROL!$C$15, $E$9, 100%, $G$9) + CHOOSE(CONTROL!$C$38, 0.0369, 0)</f>
        <v>74.656500000000008</v>
      </c>
      <c r="E976" s="46">
        <f>78.7248 * CHOOSE(CONTROL!$C$15, $E$9, 100%, $G$9) + CHOOSE(CONTROL!$C$38, 0.0369, 0)</f>
        <v>78.761700000000005</v>
      </c>
      <c r="F976" s="45">
        <f>78.7248 * CHOOSE(CONTROL!$C$15, $E$9, 100%, $G$9) + CHOOSE(CONTROL!$C$38, 0.0278, 0)</f>
        <v>78.752600000000001</v>
      </c>
      <c r="G976" s="14">
        <f>74.6258 * CHOOSE(CONTROL!$C$15, $E$9, 100%, $G$9) + CHOOSE(CONTROL!$C$38, 0.0369, 0)</f>
        <v>74.662700000000001</v>
      </c>
      <c r="H976" s="14">
        <f>74.6258 * CHOOSE(CONTROL!$C$15, $E$9, 100%, $G$9) + CHOOSE(CONTROL!$C$38, 0.0369, 0)</f>
        <v>74.662700000000001</v>
      </c>
      <c r="I976" s="14">
        <f>74.6274 * CHOOSE(CONTROL!$C$15, $E$9, 100%, $G$9) + CHOOSE(CONTROL!$C$38, 0.0369, 0)</f>
        <v>74.664299999999997</v>
      </c>
      <c r="J976" s="44">
        <f>764.2232</f>
        <v>764.22320000000002</v>
      </c>
    </row>
    <row r="977" spans="1:10" ht="15.75" x14ac:dyDescent="0.25">
      <c r="A977" s="32">
        <v>70675</v>
      </c>
      <c r="B977" s="14">
        <f>80.0087 * CHOOSE(CONTROL!$C$15, $E$9, 100%, $G$9) + CHOOSE(CONTROL!$C$38, 0.0278, 0)</f>
        <v>80.036500000000004</v>
      </c>
      <c r="C977" s="14">
        <f>75.696 * CHOOSE(CONTROL!$C$15, $E$9, 100%, $G$9) + CHOOSE(CONTROL!$C$38, 0.0369, 0)</f>
        <v>75.732900000000001</v>
      </c>
      <c r="D977" s="14">
        <f>75.6882 * CHOOSE(CONTROL!$C$15, $E$9, 100%, $G$9) + CHOOSE(CONTROL!$C$38, 0.0369, 0)</f>
        <v>75.725099999999998</v>
      </c>
      <c r="E977" s="46">
        <f>79.8524 * CHOOSE(CONTROL!$C$15, $E$9, 100%, $G$9) + CHOOSE(CONTROL!$C$38, 0.0369, 0)</f>
        <v>79.889300000000006</v>
      </c>
      <c r="F977" s="45">
        <f>79.8524 * CHOOSE(CONTROL!$C$15, $E$9, 100%, $G$9) + CHOOSE(CONTROL!$C$38, 0.0278, 0)</f>
        <v>79.880200000000002</v>
      </c>
      <c r="G977" s="14">
        <f>75.6945 * CHOOSE(CONTROL!$C$15, $E$9, 100%, $G$9) + CHOOSE(CONTROL!$C$38, 0.0369, 0)</f>
        <v>75.731400000000008</v>
      </c>
      <c r="H977" s="14">
        <f>75.6945 * CHOOSE(CONTROL!$C$15, $E$9, 100%, $G$9) + CHOOSE(CONTROL!$C$38, 0.0369, 0)</f>
        <v>75.731400000000008</v>
      </c>
      <c r="I977" s="14">
        <f>75.696 * CHOOSE(CONTROL!$C$15, $E$9, 100%, $G$9) + CHOOSE(CONTROL!$C$38, 0.0369, 0)</f>
        <v>75.732900000000001</v>
      </c>
      <c r="J977" s="44">
        <f>775.2348</f>
        <v>775.23479999999995</v>
      </c>
    </row>
    <row r="978" spans="1:10" ht="15.75" x14ac:dyDescent="0.25">
      <c r="A978" s="32">
        <v>70706</v>
      </c>
      <c r="B978" s="14">
        <f>79.6374 * CHOOSE(CONTROL!$C$15, $E$9, 100%, $G$9) + CHOOSE(CONTROL!$C$38, 0.0278, 0)</f>
        <v>79.665199999999999</v>
      </c>
      <c r="C978" s="14">
        <f>75.3442 * CHOOSE(CONTROL!$C$15, $E$9, 100%, $G$9) + CHOOSE(CONTROL!$C$38, 0.0369, 0)</f>
        <v>75.381100000000004</v>
      </c>
      <c r="D978" s="14">
        <f>75.3364 * CHOOSE(CONTROL!$C$15, $E$9, 100%, $G$9) + CHOOSE(CONTROL!$C$38, 0.0369, 0)</f>
        <v>75.3733</v>
      </c>
      <c r="E978" s="46">
        <f>79.4812 * CHOOSE(CONTROL!$C$15, $E$9, 100%, $G$9) + CHOOSE(CONTROL!$C$38, 0.0369, 0)</f>
        <v>79.518100000000004</v>
      </c>
      <c r="F978" s="45">
        <f>79.4812 * CHOOSE(CONTROL!$C$15, $E$9, 100%, $G$9) + CHOOSE(CONTROL!$C$38, 0.0278, 0)</f>
        <v>79.509</v>
      </c>
      <c r="G978" s="14">
        <f>75.3426 * CHOOSE(CONTROL!$C$15, $E$9, 100%, $G$9) + CHOOSE(CONTROL!$C$38, 0.0369, 0)</f>
        <v>75.379500000000007</v>
      </c>
      <c r="H978" s="14">
        <f>75.3426 * CHOOSE(CONTROL!$C$15, $E$9, 100%, $G$9) + CHOOSE(CONTROL!$C$38, 0.0369, 0)</f>
        <v>75.379500000000007</v>
      </c>
      <c r="I978" s="14">
        <f>75.3442 * CHOOSE(CONTROL!$C$15, $E$9, 100%, $G$9) + CHOOSE(CONTROL!$C$38, 0.0369, 0)</f>
        <v>75.381100000000004</v>
      </c>
      <c r="J978" s="44">
        <f>771.6093</f>
        <v>771.60929999999996</v>
      </c>
    </row>
    <row r="979" spans="1:10" ht="15.75" x14ac:dyDescent="0.25">
      <c r="A979" s="32">
        <v>70737</v>
      </c>
      <c r="B979" s="14">
        <f>77.7979 * CHOOSE(CONTROL!$C$15, $E$9, 100%, $G$9) + CHOOSE(CONTROL!$C$38, 0.0278, 0)</f>
        <v>77.825699999999998</v>
      </c>
      <c r="C979" s="14">
        <f>73.6009 * CHOOSE(CONTROL!$C$15, $E$9, 100%, $G$9) + CHOOSE(CONTROL!$C$38, 0.0369, 0)</f>
        <v>73.637799999999999</v>
      </c>
      <c r="D979" s="14">
        <f>73.5931 * CHOOSE(CONTROL!$C$15, $E$9, 100%, $G$9) + CHOOSE(CONTROL!$C$38, 0.0369, 0)</f>
        <v>73.63000000000001</v>
      </c>
      <c r="E979" s="46">
        <f>77.6416 * CHOOSE(CONTROL!$C$15, $E$9, 100%, $G$9) + CHOOSE(CONTROL!$C$38, 0.0369, 0)</f>
        <v>77.6785</v>
      </c>
      <c r="F979" s="45">
        <f>77.6416 * CHOOSE(CONTROL!$C$15, $E$9, 100%, $G$9) + CHOOSE(CONTROL!$C$38, 0.0278, 0)</f>
        <v>77.669399999999996</v>
      </c>
      <c r="G979" s="14">
        <f>73.5994 * CHOOSE(CONTROL!$C$15, $E$9, 100%, $G$9) + CHOOSE(CONTROL!$C$38, 0.0369, 0)</f>
        <v>73.636300000000006</v>
      </c>
      <c r="H979" s="14">
        <f>73.5994 * CHOOSE(CONTROL!$C$15, $E$9, 100%, $G$9) + CHOOSE(CONTROL!$C$38, 0.0369, 0)</f>
        <v>73.636300000000006</v>
      </c>
      <c r="I979" s="14">
        <f>73.6009 * CHOOSE(CONTROL!$C$15, $E$9, 100%, $G$9) + CHOOSE(CONTROL!$C$38, 0.0369, 0)</f>
        <v>73.637799999999999</v>
      </c>
      <c r="J979" s="44">
        <f>753.6466</f>
        <v>753.64660000000003</v>
      </c>
    </row>
    <row r="980" spans="1:10" ht="15.75" x14ac:dyDescent="0.25">
      <c r="A980" s="32">
        <v>70767</v>
      </c>
      <c r="B980" s="14">
        <f>75.2325 * CHOOSE(CONTROL!$C$15, $E$9, 100%, $G$9) + CHOOSE(CONTROL!$C$38, 0.0278, 0)</f>
        <v>75.260300000000001</v>
      </c>
      <c r="C980" s="14">
        <f>71.1699 * CHOOSE(CONTROL!$C$15, $E$9, 100%, $G$9) + CHOOSE(CONTROL!$C$38, 0.0369, 0)</f>
        <v>71.206800000000001</v>
      </c>
      <c r="D980" s="14">
        <f>71.1621 * CHOOSE(CONTROL!$C$15, $E$9, 100%, $G$9) + CHOOSE(CONTROL!$C$38, 0.0369, 0)</f>
        <v>71.198999999999998</v>
      </c>
      <c r="E980" s="46">
        <f>75.0762 * CHOOSE(CONTROL!$C$15, $E$9, 100%, $G$9) + CHOOSE(CONTROL!$C$38, 0.0369, 0)</f>
        <v>75.113100000000003</v>
      </c>
      <c r="F980" s="45">
        <f>75.0762 * CHOOSE(CONTROL!$C$15, $E$9, 100%, $G$9) + CHOOSE(CONTROL!$C$38, 0.0278, 0)</f>
        <v>75.103999999999999</v>
      </c>
      <c r="G980" s="14">
        <f>71.1683 * CHOOSE(CONTROL!$C$15, $E$9, 100%, $G$9) + CHOOSE(CONTROL!$C$38, 0.0369, 0)</f>
        <v>71.205200000000005</v>
      </c>
      <c r="H980" s="14">
        <f>71.1683 * CHOOSE(CONTROL!$C$15, $E$9, 100%, $G$9) + CHOOSE(CONTROL!$C$38, 0.0369, 0)</f>
        <v>71.205200000000005</v>
      </c>
      <c r="I980" s="14">
        <f>71.1699 * CHOOSE(CONTROL!$C$15, $E$9, 100%, $G$9) + CHOOSE(CONTROL!$C$38, 0.0369, 0)</f>
        <v>71.206800000000001</v>
      </c>
      <c r="J980" s="44">
        <f>728.5966</f>
        <v>728.59659999999997</v>
      </c>
    </row>
    <row r="981" spans="1:10" ht="15.75" x14ac:dyDescent="0.25">
      <c r="A981" s="32">
        <v>70798</v>
      </c>
      <c r="B981" s="14">
        <f>72.6522 * CHOOSE(CONTROL!$C$15, $E$9, 100%, $G$9) + CHOOSE(CONTROL!$C$38, 0.0256, 0)</f>
        <v>72.677799999999991</v>
      </c>
      <c r="C981" s="14">
        <f>68.7247 * CHOOSE(CONTROL!$C$15, $E$9, 100%, $G$9) + CHOOSE(CONTROL!$C$38, 0.0347, 0)</f>
        <v>68.759399999999999</v>
      </c>
      <c r="D981" s="14">
        <f>68.7169 * CHOOSE(CONTROL!$C$15, $E$9, 100%, $G$9) + CHOOSE(CONTROL!$C$38, 0.0347, 0)</f>
        <v>68.751599999999996</v>
      </c>
      <c r="E981" s="46">
        <f>72.496 * CHOOSE(CONTROL!$C$15, $E$9, 100%, $G$9) + CHOOSE(CONTROL!$C$38, 0.0347, 0)</f>
        <v>72.530699999999996</v>
      </c>
      <c r="F981" s="45">
        <f>72.496 * CHOOSE(CONTROL!$C$15, $E$9, 100%, $G$9) + CHOOSE(CONTROL!$C$38, 0.0256, 0)</f>
        <v>72.521599999999992</v>
      </c>
      <c r="G981" s="14">
        <f>68.7231 * CHOOSE(CONTROL!$C$15, $E$9, 100%, $G$9) + CHOOSE(CONTROL!$C$38, 0.0347, 0)</f>
        <v>68.757800000000003</v>
      </c>
      <c r="H981" s="14">
        <f>68.7231 * CHOOSE(CONTROL!$C$15, $E$9, 100%, $G$9) + CHOOSE(CONTROL!$C$38, 0.0347, 0)</f>
        <v>68.757800000000003</v>
      </c>
      <c r="I981" s="14">
        <f>68.7247 * CHOOSE(CONTROL!$C$15, $E$9, 100%, $G$9) + CHOOSE(CONTROL!$C$38, 0.0347, 0)</f>
        <v>68.759399999999999</v>
      </c>
      <c r="J981" s="44">
        <f>703.401</f>
        <v>703.40099999999995</v>
      </c>
    </row>
    <row r="982" spans="1:10" ht="15.75" x14ac:dyDescent="0.25">
      <c r="A982" s="32">
        <v>70828</v>
      </c>
      <c r="B982" s="14">
        <f>72.139 * CHOOSE(CONTROL!$C$15, $E$9, 100%, $G$9) + CHOOSE(CONTROL!$C$38, 0.0256, 0)</f>
        <v>72.164599999999993</v>
      </c>
      <c r="C982" s="14">
        <f>68.2383 * CHOOSE(CONTROL!$C$15, $E$9, 100%, $G$9) + CHOOSE(CONTROL!$C$38, 0.0347, 0)</f>
        <v>68.272999999999996</v>
      </c>
      <c r="D982" s="14">
        <f>68.2305 * CHOOSE(CONTROL!$C$15, $E$9, 100%, $G$9) + CHOOSE(CONTROL!$C$38, 0.0347, 0)</f>
        <v>68.265200000000007</v>
      </c>
      <c r="E982" s="46">
        <f>71.9827 * CHOOSE(CONTROL!$C$15, $E$9, 100%, $G$9) + CHOOSE(CONTROL!$C$38, 0.0347, 0)</f>
        <v>72.017399999999995</v>
      </c>
      <c r="F982" s="45">
        <f>71.9827 * CHOOSE(CONTROL!$C$15, $E$9, 100%, $G$9) + CHOOSE(CONTROL!$C$38, 0.0256, 0)</f>
        <v>72.008299999999991</v>
      </c>
      <c r="G982" s="14">
        <f>68.2367 * CHOOSE(CONTROL!$C$15, $E$9, 100%, $G$9) + CHOOSE(CONTROL!$C$38, 0.0347, 0)</f>
        <v>68.2714</v>
      </c>
      <c r="H982" s="14">
        <f>68.2367 * CHOOSE(CONTROL!$C$15, $E$9, 100%, $G$9) + CHOOSE(CONTROL!$C$38, 0.0347, 0)</f>
        <v>68.2714</v>
      </c>
      <c r="I982" s="14">
        <f>68.2383 * CHOOSE(CONTROL!$C$15, $E$9, 100%, $G$9) + CHOOSE(CONTROL!$C$38, 0.0347, 0)</f>
        <v>68.272999999999996</v>
      </c>
      <c r="J982" s="44">
        <f>698.3891</f>
        <v>698.38909999999998</v>
      </c>
    </row>
    <row r="983" spans="1:10" ht="15.75" x14ac:dyDescent="0.25">
      <c r="A983" s="32">
        <v>70859</v>
      </c>
      <c r="B983" s="14">
        <f>70.0165 * CHOOSE(CONTROL!$C$15, $E$9, 100%, $G$9) + CHOOSE(CONTROL!$C$38, 0.0256, 0)</f>
        <v>70.042099999999991</v>
      </c>
      <c r="C983" s="14">
        <f>66.227 * CHOOSE(CONTROL!$C$15, $E$9, 100%, $G$9) + CHOOSE(CONTROL!$C$38, 0.0347, 0)</f>
        <v>66.261700000000005</v>
      </c>
      <c r="D983" s="14">
        <f>66.2192 * CHOOSE(CONTROL!$C$15, $E$9, 100%, $G$9) + CHOOSE(CONTROL!$C$38, 0.0347, 0)</f>
        <v>66.253900000000002</v>
      </c>
      <c r="E983" s="46">
        <f>69.8603 * CHOOSE(CONTROL!$C$15, $E$9, 100%, $G$9) + CHOOSE(CONTROL!$C$38, 0.0347, 0)</f>
        <v>69.894999999999996</v>
      </c>
      <c r="F983" s="45">
        <f>69.8603 * CHOOSE(CONTROL!$C$15, $E$9, 100%, $G$9) + CHOOSE(CONTROL!$C$38, 0.0256, 0)</f>
        <v>69.885899999999992</v>
      </c>
      <c r="G983" s="14">
        <f>66.2254 * CHOOSE(CONTROL!$C$15, $E$9, 100%, $G$9) + CHOOSE(CONTROL!$C$38, 0.0347, 0)</f>
        <v>66.260099999999994</v>
      </c>
      <c r="H983" s="14">
        <f>66.2254 * CHOOSE(CONTROL!$C$15, $E$9, 100%, $G$9) + CHOOSE(CONTROL!$C$38, 0.0347, 0)</f>
        <v>66.260099999999994</v>
      </c>
      <c r="I983" s="14">
        <f>66.227 * CHOOSE(CONTROL!$C$15, $E$9, 100%, $G$9) + CHOOSE(CONTROL!$C$38, 0.0347, 0)</f>
        <v>66.261700000000005</v>
      </c>
      <c r="J983" s="44">
        <f>677.6644</f>
        <v>677.6644</v>
      </c>
    </row>
    <row r="984" spans="1:10" ht="15.75" x14ac:dyDescent="0.25">
      <c r="A984" s="32">
        <v>70890</v>
      </c>
      <c r="B984" s="14">
        <f>69.4895 * CHOOSE(CONTROL!$C$15, $E$9, 100%, $G$9) + CHOOSE(CONTROL!$C$38, 0.0256, 0)</f>
        <v>69.515100000000004</v>
      </c>
      <c r="C984" s="14">
        <f>65.7275 * CHOOSE(CONTROL!$C$15, $E$9, 100%, $G$9) + CHOOSE(CONTROL!$C$38, 0.0347, 0)</f>
        <v>65.762200000000007</v>
      </c>
      <c r="D984" s="14">
        <f>65.7197 * CHOOSE(CONTROL!$C$15, $E$9, 100%, $G$9) + CHOOSE(CONTROL!$C$38, 0.0347, 0)</f>
        <v>65.754400000000004</v>
      </c>
      <c r="E984" s="46">
        <f>69.3332 * CHOOSE(CONTROL!$C$15, $E$9, 100%, $G$9) + CHOOSE(CONTROL!$C$38, 0.0347, 0)</f>
        <v>69.367900000000006</v>
      </c>
      <c r="F984" s="45">
        <f>69.3332 * CHOOSE(CONTROL!$C$15, $E$9, 100%, $G$9) + CHOOSE(CONTROL!$C$38, 0.0256, 0)</f>
        <v>69.358800000000002</v>
      </c>
      <c r="G984" s="14">
        <f>65.726 * CHOOSE(CONTROL!$C$15, $E$9, 100%, $G$9) + CHOOSE(CONTROL!$C$38, 0.0347, 0)</f>
        <v>65.7607</v>
      </c>
      <c r="H984" s="14">
        <f>65.726 * CHOOSE(CONTROL!$C$15, $E$9, 100%, $G$9) + CHOOSE(CONTROL!$C$38, 0.0347, 0)</f>
        <v>65.7607</v>
      </c>
      <c r="I984" s="14">
        <f>65.7275 * CHOOSE(CONTROL!$C$15, $E$9, 100%, $G$9) + CHOOSE(CONTROL!$C$38, 0.0347, 0)</f>
        <v>65.762200000000007</v>
      </c>
      <c r="J984" s="44">
        <f>676.7905</f>
        <v>676.79049999999995</v>
      </c>
    </row>
    <row r="985" spans="1:10" ht="15.75" x14ac:dyDescent="0.25">
      <c r="A985" s="32">
        <v>70918</v>
      </c>
      <c r="B985" s="14">
        <f>69.298 * CHOOSE(CONTROL!$C$15, $E$9, 100%, $G$9) + CHOOSE(CONTROL!$C$38, 0.0256, 0)</f>
        <v>69.323599999999999</v>
      </c>
      <c r="C985" s="14">
        <f>65.5461 * CHOOSE(CONTROL!$C$15, $E$9, 100%, $G$9) + CHOOSE(CONTROL!$C$38, 0.0347, 0)</f>
        <v>65.580799999999996</v>
      </c>
      <c r="D985" s="14">
        <f>65.5383 * CHOOSE(CONTROL!$C$15, $E$9, 100%, $G$9) + CHOOSE(CONTROL!$C$38, 0.0347, 0)</f>
        <v>65.573000000000008</v>
      </c>
      <c r="E985" s="46">
        <f>69.1418 * CHOOSE(CONTROL!$C$15, $E$9, 100%, $G$9) + CHOOSE(CONTROL!$C$38, 0.0347, 0)</f>
        <v>69.176500000000004</v>
      </c>
      <c r="F985" s="45">
        <f>69.1418 * CHOOSE(CONTROL!$C$15, $E$9, 100%, $G$9) + CHOOSE(CONTROL!$C$38, 0.0256, 0)</f>
        <v>69.167400000000001</v>
      </c>
      <c r="G985" s="14">
        <f>65.5445 * CHOOSE(CONTROL!$C$15, $E$9, 100%, $G$9) + CHOOSE(CONTROL!$C$38, 0.0347, 0)</f>
        <v>65.5792</v>
      </c>
      <c r="H985" s="14">
        <f>65.5445 * CHOOSE(CONTROL!$C$15, $E$9, 100%, $G$9) + CHOOSE(CONTROL!$C$38, 0.0347, 0)</f>
        <v>65.5792</v>
      </c>
      <c r="I985" s="14">
        <f>65.5461 * CHOOSE(CONTROL!$C$15, $E$9, 100%, $G$9) + CHOOSE(CONTROL!$C$38, 0.0347, 0)</f>
        <v>65.580799999999996</v>
      </c>
      <c r="J985" s="44">
        <f>674.9092</f>
        <v>674.90920000000006</v>
      </c>
    </row>
    <row r="986" spans="1:10" ht="15.75" x14ac:dyDescent="0.25">
      <c r="A986" s="32">
        <v>70949</v>
      </c>
      <c r="B986" s="14">
        <f>72.9179 * CHOOSE(CONTROL!$C$15, $E$9, 100%, $G$9) + CHOOSE(CONTROL!$C$38, 0.0256, 0)</f>
        <v>72.9435</v>
      </c>
      <c r="C986" s="14">
        <f>68.9765 * CHOOSE(CONTROL!$C$15, $E$9, 100%, $G$9) + CHOOSE(CONTROL!$C$38, 0.0347, 0)</f>
        <v>69.011200000000002</v>
      </c>
      <c r="D986" s="14">
        <f>68.9686 * CHOOSE(CONTROL!$C$15, $E$9, 100%, $G$9) + CHOOSE(CONTROL!$C$38, 0.0347, 0)</f>
        <v>69.003299999999996</v>
      </c>
      <c r="E986" s="46">
        <f>72.7617 * CHOOSE(CONTROL!$C$15, $E$9, 100%, $G$9) + CHOOSE(CONTROL!$C$38, 0.0347, 0)</f>
        <v>72.796400000000006</v>
      </c>
      <c r="F986" s="45">
        <f>72.7617 * CHOOSE(CONTROL!$C$15, $E$9, 100%, $G$9) + CHOOSE(CONTROL!$C$38, 0.0256, 0)</f>
        <v>72.787300000000002</v>
      </c>
      <c r="G986" s="14">
        <f>68.9749 * CHOOSE(CONTROL!$C$15, $E$9, 100%, $G$9) + CHOOSE(CONTROL!$C$38, 0.0347, 0)</f>
        <v>69.009600000000006</v>
      </c>
      <c r="H986" s="14">
        <f>68.9749 * CHOOSE(CONTROL!$C$15, $E$9, 100%, $G$9) + CHOOSE(CONTROL!$C$38, 0.0347, 0)</f>
        <v>69.009600000000006</v>
      </c>
      <c r="I986" s="14">
        <f>68.9765 * CHOOSE(CONTROL!$C$15, $E$9, 100%, $G$9) + CHOOSE(CONTROL!$C$38, 0.0347, 0)</f>
        <v>69.011200000000002</v>
      </c>
      <c r="J986" s="44">
        <f>710.4809</f>
        <v>710.48090000000002</v>
      </c>
    </row>
    <row r="987" spans="1:10" ht="15.75" x14ac:dyDescent="0.25">
      <c r="A987" s="32">
        <v>70979</v>
      </c>
      <c r="B987" s="14">
        <f>77.612 * CHOOSE(CONTROL!$C$15, $E$9, 100%, $G$9) + CHOOSE(CONTROL!$C$38, 0.0256, 0)</f>
        <v>77.637599999999992</v>
      </c>
      <c r="C987" s="14">
        <f>73.4248 * CHOOSE(CONTROL!$C$15, $E$9, 100%, $G$9) + CHOOSE(CONTROL!$C$38, 0.0347, 0)</f>
        <v>73.459500000000006</v>
      </c>
      <c r="D987" s="14">
        <f>73.417 * CHOOSE(CONTROL!$C$15, $E$9, 100%, $G$9) + CHOOSE(CONTROL!$C$38, 0.0347, 0)</f>
        <v>73.451700000000002</v>
      </c>
      <c r="E987" s="46">
        <f>77.4558 * CHOOSE(CONTROL!$C$15, $E$9, 100%, $G$9) + CHOOSE(CONTROL!$C$38, 0.0347, 0)</f>
        <v>77.490499999999997</v>
      </c>
      <c r="F987" s="45">
        <f>77.4558 * CHOOSE(CONTROL!$C$15, $E$9, 100%, $G$9) + CHOOSE(CONTROL!$C$38, 0.0256, 0)</f>
        <v>77.481399999999994</v>
      </c>
      <c r="G987" s="14">
        <f>73.4233 * CHOOSE(CONTROL!$C$15, $E$9, 100%, $G$9) + CHOOSE(CONTROL!$C$38, 0.0347, 0)</f>
        <v>73.457999999999998</v>
      </c>
      <c r="H987" s="14">
        <f>73.4233 * CHOOSE(CONTROL!$C$15, $E$9, 100%, $G$9) + CHOOSE(CONTROL!$C$38, 0.0347, 0)</f>
        <v>73.457999999999998</v>
      </c>
      <c r="I987" s="14">
        <f>73.4248 * CHOOSE(CONTROL!$C$15, $E$9, 100%, $G$9) + CHOOSE(CONTROL!$C$38, 0.0347, 0)</f>
        <v>73.459500000000006</v>
      </c>
      <c r="J987" s="44">
        <f>756.6087</f>
        <v>756.6087</v>
      </c>
    </row>
    <row r="988" spans="1:10" ht="15.75" x14ac:dyDescent="0.25">
      <c r="A988" s="32">
        <v>71010</v>
      </c>
      <c r="B988" s="14">
        <f>80.1958 * CHOOSE(CONTROL!$C$15, $E$9, 100%, $G$9) + CHOOSE(CONTROL!$C$38, 0.0278, 0)</f>
        <v>80.223600000000005</v>
      </c>
      <c r="C988" s="14">
        <f>75.8733 * CHOOSE(CONTROL!$C$15, $E$9, 100%, $G$9) + CHOOSE(CONTROL!$C$38, 0.0369, 0)</f>
        <v>75.910200000000003</v>
      </c>
      <c r="D988" s="14">
        <f>75.8655 * CHOOSE(CONTROL!$C$15, $E$9, 100%, $G$9) + CHOOSE(CONTROL!$C$38, 0.0369, 0)</f>
        <v>75.9024</v>
      </c>
      <c r="E988" s="46">
        <f>80.0396 * CHOOSE(CONTROL!$C$15, $E$9, 100%, $G$9) + CHOOSE(CONTROL!$C$38, 0.0369, 0)</f>
        <v>80.076499999999996</v>
      </c>
      <c r="F988" s="45">
        <f>80.0396 * CHOOSE(CONTROL!$C$15, $E$9, 100%, $G$9) + CHOOSE(CONTROL!$C$38, 0.0278, 0)</f>
        <v>80.067399999999992</v>
      </c>
      <c r="G988" s="14">
        <f>75.8718 * CHOOSE(CONTROL!$C$15, $E$9, 100%, $G$9) + CHOOSE(CONTROL!$C$38, 0.0369, 0)</f>
        <v>75.908699999999996</v>
      </c>
      <c r="H988" s="14">
        <f>75.8718 * CHOOSE(CONTROL!$C$15, $E$9, 100%, $G$9) + CHOOSE(CONTROL!$C$38, 0.0369, 0)</f>
        <v>75.908699999999996</v>
      </c>
      <c r="I988" s="14">
        <f>75.8733 * CHOOSE(CONTROL!$C$15, $E$9, 100%, $G$9) + CHOOSE(CONTROL!$C$38, 0.0369, 0)</f>
        <v>75.910200000000003</v>
      </c>
      <c r="J988" s="44">
        <f>781.999</f>
        <v>781.99900000000002</v>
      </c>
    </row>
    <row r="989" spans="1:10" ht="15.75" x14ac:dyDescent="0.25">
      <c r="A989" s="32">
        <v>71040</v>
      </c>
      <c r="B989" s="14">
        <f>81.3425 * CHOOSE(CONTROL!$C$15, $E$9, 100%, $G$9) + CHOOSE(CONTROL!$C$38, 0.0278, 0)</f>
        <v>81.3703</v>
      </c>
      <c r="C989" s="14">
        <f>76.96 * CHOOSE(CONTROL!$C$15, $E$9, 100%, $G$9) + CHOOSE(CONTROL!$C$38, 0.0369, 0)</f>
        <v>76.996899999999997</v>
      </c>
      <c r="D989" s="14">
        <f>76.9521 * CHOOSE(CONTROL!$C$15, $E$9, 100%, $G$9) + CHOOSE(CONTROL!$C$38, 0.0369, 0)</f>
        <v>76.989000000000004</v>
      </c>
      <c r="E989" s="46">
        <f>81.1862 * CHOOSE(CONTROL!$C$15, $E$9, 100%, $G$9) + CHOOSE(CONTROL!$C$38, 0.0369, 0)</f>
        <v>81.223100000000002</v>
      </c>
      <c r="F989" s="45">
        <f>81.1862 * CHOOSE(CONTROL!$C$15, $E$9, 100%, $G$9) + CHOOSE(CONTROL!$C$38, 0.0278, 0)</f>
        <v>81.213999999999999</v>
      </c>
      <c r="G989" s="14">
        <f>76.9584 * CHOOSE(CONTROL!$C$15, $E$9, 100%, $G$9) + CHOOSE(CONTROL!$C$38, 0.0369, 0)</f>
        <v>76.9953</v>
      </c>
      <c r="H989" s="14">
        <f>76.9584 * CHOOSE(CONTROL!$C$15, $E$9, 100%, $G$9) + CHOOSE(CONTROL!$C$38, 0.0369, 0)</f>
        <v>76.9953</v>
      </c>
      <c r="I989" s="14">
        <f>76.96 * CHOOSE(CONTROL!$C$15, $E$9, 100%, $G$9) + CHOOSE(CONTROL!$C$38, 0.0369, 0)</f>
        <v>76.996899999999997</v>
      </c>
      <c r="J989" s="44">
        <f>793.2668</f>
        <v>793.26679999999999</v>
      </c>
    </row>
    <row r="990" spans="1:10" ht="15.75" x14ac:dyDescent="0.25">
      <c r="A990" s="32">
        <v>71071</v>
      </c>
      <c r="B990" s="14">
        <f>80.9649 * CHOOSE(CONTROL!$C$15, $E$9, 100%, $G$9) + CHOOSE(CONTROL!$C$38, 0.0278, 0)</f>
        <v>80.992699999999999</v>
      </c>
      <c r="C990" s="14">
        <f>76.6022 * CHOOSE(CONTROL!$C$15, $E$9, 100%, $G$9) + CHOOSE(CONTROL!$C$38, 0.0369, 0)</f>
        <v>76.639099999999999</v>
      </c>
      <c r="D990" s="14">
        <f>76.5944 * CHOOSE(CONTROL!$C$15, $E$9, 100%, $G$9) + CHOOSE(CONTROL!$C$38, 0.0369, 0)</f>
        <v>76.631299999999996</v>
      </c>
      <c r="E990" s="46">
        <f>80.8087 * CHOOSE(CONTROL!$C$15, $E$9, 100%, $G$9) + CHOOSE(CONTROL!$C$38, 0.0369, 0)</f>
        <v>80.845600000000005</v>
      </c>
      <c r="F990" s="45">
        <f>80.8087 * CHOOSE(CONTROL!$C$15, $E$9, 100%, $G$9) + CHOOSE(CONTROL!$C$38, 0.0278, 0)</f>
        <v>80.836500000000001</v>
      </c>
      <c r="G990" s="14">
        <f>76.6006 * CHOOSE(CONTROL!$C$15, $E$9, 100%, $G$9) + CHOOSE(CONTROL!$C$38, 0.0369, 0)</f>
        <v>76.637500000000003</v>
      </c>
      <c r="H990" s="14">
        <f>76.6006 * CHOOSE(CONTROL!$C$15, $E$9, 100%, $G$9) + CHOOSE(CONTROL!$C$38, 0.0369, 0)</f>
        <v>76.637500000000003</v>
      </c>
      <c r="I990" s="14">
        <f>76.6022 * CHOOSE(CONTROL!$C$15, $E$9, 100%, $G$9) + CHOOSE(CONTROL!$C$38, 0.0369, 0)</f>
        <v>76.639099999999999</v>
      </c>
      <c r="J990" s="44">
        <f>789.5569</f>
        <v>789.55690000000004</v>
      </c>
    </row>
    <row r="991" spans="1:10" ht="15.75" x14ac:dyDescent="0.25">
      <c r="A991" s="32">
        <v>71102</v>
      </c>
      <c r="B991" s="14">
        <f>79.0945 * CHOOSE(CONTROL!$C$15, $E$9, 100%, $G$9) + CHOOSE(CONTROL!$C$38, 0.0278, 0)</f>
        <v>79.122299999999996</v>
      </c>
      <c r="C991" s="14">
        <f>74.8297 * CHOOSE(CONTROL!$C$15, $E$9, 100%, $G$9) + CHOOSE(CONTROL!$C$38, 0.0369, 0)</f>
        <v>74.866600000000005</v>
      </c>
      <c r="D991" s="14">
        <f>74.8218 * CHOOSE(CONTROL!$C$15, $E$9, 100%, $G$9) + CHOOSE(CONTROL!$C$38, 0.0369, 0)</f>
        <v>74.858699999999999</v>
      </c>
      <c r="E991" s="46">
        <f>78.9382 * CHOOSE(CONTROL!$C$15, $E$9, 100%, $G$9) + CHOOSE(CONTROL!$C$38, 0.0369, 0)</f>
        <v>78.975099999999998</v>
      </c>
      <c r="F991" s="45">
        <f>78.9382 * CHOOSE(CONTROL!$C$15, $E$9, 100%, $G$9) + CHOOSE(CONTROL!$C$38, 0.0278, 0)</f>
        <v>78.965999999999994</v>
      </c>
      <c r="G991" s="14">
        <f>74.8281 * CHOOSE(CONTROL!$C$15, $E$9, 100%, $G$9) + CHOOSE(CONTROL!$C$38, 0.0369, 0)</f>
        <v>74.865000000000009</v>
      </c>
      <c r="H991" s="14">
        <f>74.8281 * CHOOSE(CONTROL!$C$15, $E$9, 100%, $G$9) + CHOOSE(CONTROL!$C$38, 0.0369, 0)</f>
        <v>74.865000000000009</v>
      </c>
      <c r="I991" s="14">
        <f>74.8297 * CHOOSE(CONTROL!$C$15, $E$9, 100%, $G$9) + CHOOSE(CONTROL!$C$38, 0.0369, 0)</f>
        <v>74.866600000000005</v>
      </c>
      <c r="J991" s="44">
        <f>771.1764</f>
        <v>771.17639999999994</v>
      </c>
    </row>
    <row r="992" spans="1:10" ht="15.75" x14ac:dyDescent="0.25">
      <c r="A992" s="32">
        <v>71132</v>
      </c>
      <c r="B992" s="14">
        <f>76.486 * CHOOSE(CONTROL!$C$15, $E$9, 100%, $G$9) + CHOOSE(CONTROL!$C$38, 0.0278, 0)</f>
        <v>76.513800000000003</v>
      </c>
      <c r="C992" s="14">
        <f>72.3578 * CHOOSE(CONTROL!$C$15, $E$9, 100%, $G$9) + CHOOSE(CONTROL!$C$38, 0.0369, 0)</f>
        <v>72.3947</v>
      </c>
      <c r="D992" s="14">
        <f>72.35 * CHOOSE(CONTROL!$C$15, $E$9, 100%, $G$9) + CHOOSE(CONTROL!$C$38, 0.0369, 0)</f>
        <v>72.386899999999997</v>
      </c>
      <c r="E992" s="46">
        <f>76.3298 * CHOOSE(CONTROL!$C$15, $E$9, 100%, $G$9) + CHOOSE(CONTROL!$C$38, 0.0369, 0)</f>
        <v>76.366700000000009</v>
      </c>
      <c r="F992" s="45">
        <f>76.3298 * CHOOSE(CONTROL!$C$15, $E$9, 100%, $G$9) + CHOOSE(CONTROL!$C$38, 0.0278, 0)</f>
        <v>76.357600000000005</v>
      </c>
      <c r="G992" s="14">
        <f>72.3562 * CHOOSE(CONTROL!$C$15, $E$9, 100%, $G$9) + CHOOSE(CONTROL!$C$38, 0.0369, 0)</f>
        <v>72.393100000000004</v>
      </c>
      <c r="H992" s="14">
        <f>72.3562 * CHOOSE(CONTROL!$C$15, $E$9, 100%, $G$9) + CHOOSE(CONTROL!$C$38, 0.0369, 0)</f>
        <v>72.393100000000004</v>
      </c>
      <c r="I992" s="14">
        <f>72.3578 * CHOOSE(CONTROL!$C$15, $E$9, 100%, $G$9) + CHOOSE(CONTROL!$C$38, 0.0369, 0)</f>
        <v>72.3947</v>
      </c>
      <c r="J992" s="44">
        <f>745.5438</f>
        <v>745.54380000000003</v>
      </c>
    </row>
    <row r="993" spans="1:10" ht="15.75" x14ac:dyDescent="0.25">
      <c r="A993" s="32">
        <v>71163</v>
      </c>
      <c r="B993" s="14">
        <f>73.8624 * CHOOSE(CONTROL!$C$15, $E$9, 100%, $G$9) + CHOOSE(CONTROL!$C$38, 0.0256, 0)</f>
        <v>73.887999999999991</v>
      </c>
      <c r="C993" s="14">
        <f>69.8715 * CHOOSE(CONTROL!$C$15, $E$9, 100%, $G$9) + CHOOSE(CONTROL!$C$38, 0.0347, 0)</f>
        <v>69.906199999999998</v>
      </c>
      <c r="D993" s="14">
        <f>69.8637 * CHOOSE(CONTROL!$C$15, $E$9, 100%, $G$9) + CHOOSE(CONTROL!$C$38, 0.0347, 0)</f>
        <v>69.898399999999995</v>
      </c>
      <c r="E993" s="46">
        <f>73.7061 * CHOOSE(CONTROL!$C$15, $E$9, 100%, $G$9) + CHOOSE(CONTROL!$C$38, 0.0347, 0)</f>
        <v>73.740800000000007</v>
      </c>
      <c r="F993" s="45">
        <f>73.7061 * CHOOSE(CONTROL!$C$15, $E$9, 100%, $G$9) + CHOOSE(CONTROL!$C$38, 0.0256, 0)</f>
        <v>73.731700000000004</v>
      </c>
      <c r="G993" s="14">
        <f>69.8699 * CHOOSE(CONTROL!$C$15, $E$9, 100%, $G$9) + CHOOSE(CONTROL!$C$38, 0.0347, 0)</f>
        <v>69.904600000000002</v>
      </c>
      <c r="H993" s="14">
        <f>69.8699 * CHOOSE(CONTROL!$C$15, $E$9, 100%, $G$9) + CHOOSE(CONTROL!$C$38, 0.0347, 0)</f>
        <v>69.904600000000002</v>
      </c>
      <c r="I993" s="14">
        <f>69.8715 * CHOOSE(CONTROL!$C$15, $E$9, 100%, $G$9) + CHOOSE(CONTROL!$C$38, 0.0347, 0)</f>
        <v>69.906199999999998</v>
      </c>
      <c r="J993" s="44">
        <f>719.7621</f>
        <v>719.76210000000003</v>
      </c>
    </row>
    <row r="994" spans="1:10" ht="15.75" x14ac:dyDescent="0.25">
      <c r="A994" s="32">
        <v>71193</v>
      </c>
      <c r="B994" s="14">
        <f>73.3405 * CHOOSE(CONTROL!$C$15, $E$9, 100%, $G$9) + CHOOSE(CONTROL!$C$38, 0.0256, 0)</f>
        <v>73.366100000000003</v>
      </c>
      <c r="C994" s="14">
        <f>69.3769 * CHOOSE(CONTROL!$C$15, $E$9, 100%, $G$9) + CHOOSE(CONTROL!$C$38, 0.0347, 0)</f>
        <v>69.411600000000007</v>
      </c>
      <c r="D994" s="14">
        <f>69.3691 * CHOOSE(CONTROL!$C$15, $E$9, 100%, $G$9) + CHOOSE(CONTROL!$C$38, 0.0347, 0)</f>
        <v>69.403800000000004</v>
      </c>
      <c r="E994" s="46">
        <f>73.1843 * CHOOSE(CONTROL!$C$15, $E$9, 100%, $G$9) + CHOOSE(CONTROL!$C$38, 0.0347, 0)</f>
        <v>73.218999999999994</v>
      </c>
      <c r="F994" s="45">
        <f>73.1843 * CHOOSE(CONTROL!$C$15, $E$9, 100%, $G$9) + CHOOSE(CONTROL!$C$38, 0.0256, 0)</f>
        <v>73.20989999999999</v>
      </c>
      <c r="G994" s="14">
        <f>69.3754 * CHOOSE(CONTROL!$C$15, $E$9, 100%, $G$9) + CHOOSE(CONTROL!$C$38, 0.0347, 0)</f>
        <v>69.4101</v>
      </c>
      <c r="H994" s="14">
        <f>69.3754 * CHOOSE(CONTROL!$C$15, $E$9, 100%, $G$9) + CHOOSE(CONTROL!$C$38, 0.0347, 0)</f>
        <v>69.4101</v>
      </c>
      <c r="I994" s="14">
        <f>69.3769 * CHOOSE(CONTROL!$C$15, $E$9, 100%, $G$9) + CHOOSE(CONTROL!$C$38, 0.0347, 0)</f>
        <v>69.411600000000007</v>
      </c>
      <c r="J994" s="44">
        <f>714.6336</f>
        <v>714.6336</v>
      </c>
    </row>
    <row r="995" spans="1:10" ht="15.75" x14ac:dyDescent="0.25">
      <c r="A995" s="32">
        <v>71224</v>
      </c>
      <c r="B995" s="14">
        <f>71.1824 * CHOOSE(CONTROL!$C$15, $E$9, 100%, $G$9) + CHOOSE(CONTROL!$C$38, 0.0256, 0)</f>
        <v>71.207999999999998</v>
      </c>
      <c r="C995" s="14">
        <f>67.3318 * CHOOSE(CONTROL!$C$15, $E$9, 100%, $G$9) + CHOOSE(CONTROL!$C$38, 0.0347, 0)</f>
        <v>67.366500000000002</v>
      </c>
      <c r="D995" s="14">
        <f>67.324 * CHOOSE(CONTROL!$C$15, $E$9, 100%, $G$9) + CHOOSE(CONTROL!$C$38, 0.0347, 0)</f>
        <v>67.358699999999999</v>
      </c>
      <c r="E995" s="46">
        <f>71.0262 * CHOOSE(CONTROL!$C$15, $E$9, 100%, $G$9) + CHOOSE(CONTROL!$C$38, 0.0347, 0)</f>
        <v>71.060900000000004</v>
      </c>
      <c r="F995" s="45">
        <f>71.0262 * CHOOSE(CONTROL!$C$15, $E$9, 100%, $G$9) + CHOOSE(CONTROL!$C$38, 0.0256, 0)</f>
        <v>71.0518</v>
      </c>
      <c r="G995" s="14">
        <f>67.3303 * CHOOSE(CONTROL!$C$15, $E$9, 100%, $G$9) + CHOOSE(CONTROL!$C$38, 0.0347, 0)</f>
        <v>67.364999999999995</v>
      </c>
      <c r="H995" s="14">
        <f>67.3303 * CHOOSE(CONTROL!$C$15, $E$9, 100%, $G$9) + CHOOSE(CONTROL!$C$38, 0.0347, 0)</f>
        <v>67.364999999999995</v>
      </c>
      <c r="I995" s="14">
        <f>67.3318 * CHOOSE(CONTROL!$C$15, $E$9, 100%, $G$9) + CHOOSE(CONTROL!$C$38, 0.0347, 0)</f>
        <v>67.366500000000002</v>
      </c>
      <c r="J995" s="44">
        <f>693.4268</f>
        <v>693.42679999999996</v>
      </c>
    </row>
    <row r="996" spans="1:10" ht="15.75" x14ac:dyDescent="0.25">
      <c r="A996" s="32">
        <v>71255</v>
      </c>
      <c r="B996" s="14">
        <f>70.6465 * CHOOSE(CONTROL!$C$15, $E$9, 100%, $G$9) + CHOOSE(CONTROL!$C$38, 0.0256, 0)</f>
        <v>70.6721</v>
      </c>
      <c r="C996" s="14">
        <f>66.824 * CHOOSE(CONTROL!$C$15, $E$9, 100%, $G$9) + CHOOSE(CONTROL!$C$38, 0.0347, 0)</f>
        <v>66.858699999999999</v>
      </c>
      <c r="D996" s="14">
        <f>66.8162 * CHOOSE(CONTROL!$C$15, $E$9, 100%, $G$9) + CHOOSE(CONTROL!$C$38, 0.0347, 0)</f>
        <v>66.850899999999996</v>
      </c>
      <c r="E996" s="46">
        <f>70.4903 * CHOOSE(CONTROL!$C$15, $E$9, 100%, $G$9) + CHOOSE(CONTROL!$C$38, 0.0347, 0)</f>
        <v>70.525000000000006</v>
      </c>
      <c r="F996" s="45">
        <f>70.4903 * CHOOSE(CONTROL!$C$15, $E$9, 100%, $G$9) + CHOOSE(CONTROL!$C$38, 0.0256, 0)</f>
        <v>70.515900000000002</v>
      </c>
      <c r="G996" s="14">
        <f>66.8224 * CHOOSE(CONTROL!$C$15, $E$9, 100%, $G$9) + CHOOSE(CONTROL!$C$38, 0.0347, 0)</f>
        <v>66.857100000000003</v>
      </c>
      <c r="H996" s="14">
        <f>66.8224 * CHOOSE(CONTROL!$C$15, $E$9, 100%, $G$9) + CHOOSE(CONTROL!$C$38, 0.0347, 0)</f>
        <v>66.857100000000003</v>
      </c>
      <c r="I996" s="14">
        <f>66.824 * CHOOSE(CONTROL!$C$15, $E$9, 100%, $G$9) + CHOOSE(CONTROL!$C$38, 0.0347, 0)</f>
        <v>66.858699999999999</v>
      </c>
      <c r="J996" s="44">
        <f>692.5326</f>
        <v>692.5326</v>
      </c>
    </row>
    <row r="997" spans="1:10" ht="15.75" x14ac:dyDescent="0.25">
      <c r="A997" s="32">
        <v>71283</v>
      </c>
      <c r="B997" s="14">
        <f>70.4518 * CHOOSE(CONTROL!$C$15, $E$9, 100%, $G$9) + CHOOSE(CONTROL!$C$38, 0.0256, 0)</f>
        <v>70.477400000000003</v>
      </c>
      <c r="C997" s="14">
        <f>66.6395 * CHOOSE(CONTROL!$C$15, $E$9, 100%, $G$9) + CHOOSE(CONTROL!$C$38, 0.0347, 0)</f>
        <v>66.674199999999999</v>
      </c>
      <c r="D997" s="14">
        <f>66.6317 * CHOOSE(CONTROL!$C$15, $E$9, 100%, $G$9) + CHOOSE(CONTROL!$C$38, 0.0347, 0)</f>
        <v>66.666399999999996</v>
      </c>
      <c r="E997" s="46">
        <f>70.2956 * CHOOSE(CONTROL!$C$15, $E$9, 100%, $G$9) + CHOOSE(CONTROL!$C$38, 0.0347, 0)</f>
        <v>70.330299999999994</v>
      </c>
      <c r="F997" s="45">
        <f>70.2956 * CHOOSE(CONTROL!$C$15, $E$9, 100%, $G$9) + CHOOSE(CONTROL!$C$38, 0.0256, 0)</f>
        <v>70.32119999999999</v>
      </c>
      <c r="G997" s="14">
        <f>66.6379 * CHOOSE(CONTROL!$C$15, $E$9, 100%, $G$9) + CHOOSE(CONTROL!$C$38, 0.0347, 0)</f>
        <v>66.672600000000003</v>
      </c>
      <c r="H997" s="14">
        <f>66.6379 * CHOOSE(CONTROL!$C$15, $E$9, 100%, $G$9) + CHOOSE(CONTROL!$C$38, 0.0347, 0)</f>
        <v>66.672600000000003</v>
      </c>
      <c r="I997" s="14">
        <f>66.6395 * CHOOSE(CONTROL!$C$15, $E$9, 100%, $G$9) + CHOOSE(CONTROL!$C$38, 0.0347, 0)</f>
        <v>66.674199999999999</v>
      </c>
      <c r="J997" s="44">
        <f>690.6076</f>
        <v>690.60760000000005</v>
      </c>
    </row>
    <row r="998" spans="1:10" ht="15.75" x14ac:dyDescent="0.25">
      <c r="A998" s="32">
        <v>71314</v>
      </c>
      <c r="B998" s="14">
        <f>74.1325 * CHOOSE(CONTROL!$C$15, $E$9, 100%, $G$9) + CHOOSE(CONTROL!$C$38, 0.0256, 0)</f>
        <v>74.15809999999999</v>
      </c>
      <c r="C998" s="14">
        <f>70.1275 * CHOOSE(CONTROL!$C$15, $E$9, 100%, $G$9) + CHOOSE(CONTROL!$C$38, 0.0347, 0)</f>
        <v>70.162199999999999</v>
      </c>
      <c r="D998" s="14">
        <f>70.1197 * CHOOSE(CONTROL!$C$15, $E$9, 100%, $G$9) + CHOOSE(CONTROL!$C$38, 0.0347, 0)</f>
        <v>70.154399999999995</v>
      </c>
      <c r="E998" s="46">
        <f>73.9763 * CHOOSE(CONTROL!$C$15, $E$9, 100%, $G$9) + CHOOSE(CONTROL!$C$38, 0.0347, 0)</f>
        <v>74.010999999999996</v>
      </c>
      <c r="F998" s="45">
        <f>73.9763 * CHOOSE(CONTROL!$C$15, $E$9, 100%, $G$9) + CHOOSE(CONTROL!$C$38, 0.0256, 0)</f>
        <v>74.001899999999992</v>
      </c>
      <c r="G998" s="14">
        <f>70.1259 * CHOOSE(CONTROL!$C$15, $E$9, 100%, $G$9) + CHOOSE(CONTROL!$C$38, 0.0347, 0)</f>
        <v>70.160600000000002</v>
      </c>
      <c r="H998" s="14">
        <f>70.1259 * CHOOSE(CONTROL!$C$15, $E$9, 100%, $G$9) + CHOOSE(CONTROL!$C$38, 0.0347, 0)</f>
        <v>70.160600000000002</v>
      </c>
      <c r="I998" s="14">
        <f>70.1275 * CHOOSE(CONTROL!$C$15, $E$9, 100%, $G$9) + CHOOSE(CONTROL!$C$38, 0.0347, 0)</f>
        <v>70.162199999999999</v>
      </c>
      <c r="J998" s="44">
        <f>727.0066</f>
        <v>727.00660000000005</v>
      </c>
    </row>
    <row r="999" spans="1:10" ht="15.75" x14ac:dyDescent="0.25">
      <c r="A999" s="32">
        <v>71344</v>
      </c>
      <c r="B999" s="14">
        <f>78.9055 * CHOOSE(CONTROL!$C$15, $E$9, 100%, $G$9) + CHOOSE(CONTROL!$C$38, 0.0256, 0)</f>
        <v>78.931100000000001</v>
      </c>
      <c r="C999" s="14">
        <f>74.6506 * CHOOSE(CONTROL!$C$15, $E$9, 100%, $G$9) + CHOOSE(CONTROL!$C$38, 0.0347, 0)</f>
        <v>74.685299999999998</v>
      </c>
      <c r="D999" s="14">
        <f>74.6428 * CHOOSE(CONTROL!$C$15, $E$9, 100%, $G$9) + CHOOSE(CONTROL!$C$38, 0.0347, 0)</f>
        <v>74.677499999999995</v>
      </c>
      <c r="E999" s="46">
        <f>78.7493 * CHOOSE(CONTROL!$C$15, $E$9, 100%, $G$9) + CHOOSE(CONTROL!$C$38, 0.0347, 0)</f>
        <v>78.784000000000006</v>
      </c>
      <c r="F999" s="45">
        <f>78.7493 * CHOOSE(CONTROL!$C$15, $E$9, 100%, $G$9) + CHOOSE(CONTROL!$C$38, 0.0256, 0)</f>
        <v>78.774900000000002</v>
      </c>
      <c r="G999" s="14">
        <f>74.649 * CHOOSE(CONTROL!$C$15, $E$9, 100%, $G$9) + CHOOSE(CONTROL!$C$38, 0.0347, 0)</f>
        <v>74.683700000000002</v>
      </c>
      <c r="H999" s="14">
        <f>74.649 * CHOOSE(CONTROL!$C$15, $E$9, 100%, $G$9) + CHOOSE(CONTROL!$C$38, 0.0347, 0)</f>
        <v>74.683700000000002</v>
      </c>
      <c r="I999" s="14">
        <f>74.6506 * CHOOSE(CONTROL!$C$15, $E$9, 100%, $G$9) + CHOOSE(CONTROL!$C$38, 0.0347, 0)</f>
        <v>74.685299999999998</v>
      </c>
      <c r="J999" s="44">
        <f>774.2075</f>
        <v>774.20749999999998</v>
      </c>
    </row>
    <row r="1000" spans="1:10" ht="15.75" x14ac:dyDescent="0.25">
      <c r="A1000" s="32">
        <v>71375</v>
      </c>
      <c r="B1000" s="14">
        <f>81.5327 * CHOOSE(CONTROL!$C$15, $E$9, 100%, $G$9) + CHOOSE(CONTROL!$C$38, 0.0278, 0)</f>
        <v>81.560500000000005</v>
      </c>
      <c r="C1000" s="14">
        <f>77.1403 * CHOOSE(CONTROL!$C$15, $E$9, 100%, $G$9) + CHOOSE(CONTROL!$C$38, 0.0369, 0)</f>
        <v>77.177199999999999</v>
      </c>
      <c r="D1000" s="14">
        <f>77.1324 * CHOOSE(CONTROL!$C$15, $E$9, 100%, $G$9) + CHOOSE(CONTROL!$C$38, 0.0369, 0)</f>
        <v>77.169300000000007</v>
      </c>
      <c r="E1000" s="46">
        <f>81.3765 * CHOOSE(CONTROL!$C$15, $E$9, 100%, $G$9) + CHOOSE(CONTROL!$C$38, 0.0369, 0)</f>
        <v>81.413399999999996</v>
      </c>
      <c r="F1000" s="45">
        <f>81.3765 * CHOOSE(CONTROL!$C$15, $E$9, 100%, $G$9) + CHOOSE(CONTROL!$C$38, 0.0278, 0)</f>
        <v>81.404299999999992</v>
      </c>
      <c r="G1000" s="14">
        <f>77.1387 * CHOOSE(CONTROL!$C$15, $E$9, 100%, $G$9) + CHOOSE(CONTROL!$C$38, 0.0369, 0)</f>
        <v>77.175600000000003</v>
      </c>
      <c r="H1000" s="14">
        <f>77.1387 * CHOOSE(CONTROL!$C$15, $E$9, 100%, $G$9) + CHOOSE(CONTROL!$C$38, 0.0369, 0)</f>
        <v>77.175600000000003</v>
      </c>
      <c r="I1000" s="14">
        <f>77.1403 * CHOOSE(CONTROL!$C$15, $E$9, 100%, $G$9) + CHOOSE(CONTROL!$C$38, 0.0369, 0)</f>
        <v>77.177199999999999</v>
      </c>
      <c r="J1000" s="44">
        <f>800.1883</f>
        <v>800.18830000000003</v>
      </c>
    </row>
    <row r="1001" spans="1:10" ht="15.75" x14ac:dyDescent="0.25">
      <c r="A1001" s="32">
        <v>71405</v>
      </c>
      <c r="B1001" s="14">
        <f>82.6986 * CHOOSE(CONTROL!$C$15, $E$9, 100%, $G$9) + CHOOSE(CONTROL!$C$38, 0.0278, 0)</f>
        <v>82.726399999999998</v>
      </c>
      <c r="C1001" s="14">
        <f>78.2451 * CHOOSE(CONTROL!$C$15, $E$9, 100%, $G$9) + CHOOSE(CONTROL!$C$38, 0.0369, 0)</f>
        <v>78.281999999999996</v>
      </c>
      <c r="D1001" s="14">
        <f>78.2373 * CHOOSE(CONTROL!$C$15, $E$9, 100%, $G$9) + CHOOSE(CONTROL!$C$38, 0.0369, 0)</f>
        <v>78.274200000000008</v>
      </c>
      <c r="E1001" s="46">
        <f>82.5424 * CHOOSE(CONTROL!$C$15, $E$9, 100%, $G$9) + CHOOSE(CONTROL!$C$38, 0.0369, 0)</f>
        <v>82.579300000000003</v>
      </c>
      <c r="F1001" s="45">
        <f>82.5424 * CHOOSE(CONTROL!$C$15, $E$9, 100%, $G$9) + CHOOSE(CONTROL!$C$38, 0.0278, 0)</f>
        <v>82.5702</v>
      </c>
      <c r="G1001" s="14">
        <f>78.2436 * CHOOSE(CONTROL!$C$15, $E$9, 100%, $G$9) + CHOOSE(CONTROL!$C$38, 0.0369, 0)</f>
        <v>78.280500000000004</v>
      </c>
      <c r="H1001" s="14">
        <f>78.2436 * CHOOSE(CONTROL!$C$15, $E$9, 100%, $G$9) + CHOOSE(CONTROL!$C$38, 0.0369, 0)</f>
        <v>78.280500000000004</v>
      </c>
      <c r="I1001" s="14">
        <f>78.2451 * CHOOSE(CONTROL!$C$15, $E$9, 100%, $G$9) + CHOOSE(CONTROL!$C$38, 0.0369, 0)</f>
        <v>78.281999999999996</v>
      </c>
      <c r="J1001" s="44">
        <f>811.7182</f>
        <v>811.71820000000002</v>
      </c>
    </row>
    <row r="1002" spans="1:10" ht="15.75" x14ac:dyDescent="0.25">
      <c r="A1002" s="32">
        <v>71436</v>
      </c>
      <c r="B1002" s="14">
        <f>82.3147 * CHOOSE(CONTROL!$C$15, $E$9, 100%, $G$9) + CHOOSE(CONTROL!$C$38, 0.0278, 0)</f>
        <v>82.342500000000001</v>
      </c>
      <c r="C1002" s="14">
        <f>77.8813 * CHOOSE(CONTROL!$C$15, $E$9, 100%, $G$9) + CHOOSE(CONTROL!$C$38, 0.0369, 0)</f>
        <v>77.918199999999999</v>
      </c>
      <c r="D1002" s="14">
        <f>77.8735 * CHOOSE(CONTROL!$C$15, $E$9, 100%, $G$9) + CHOOSE(CONTROL!$C$38, 0.0369, 0)</f>
        <v>77.91040000000001</v>
      </c>
      <c r="E1002" s="46">
        <f>82.1585 * CHOOSE(CONTROL!$C$15, $E$9, 100%, $G$9) + CHOOSE(CONTROL!$C$38, 0.0369, 0)</f>
        <v>82.195400000000006</v>
      </c>
      <c r="F1002" s="45">
        <f>82.1585 * CHOOSE(CONTROL!$C$15, $E$9, 100%, $G$9) + CHOOSE(CONTROL!$C$38, 0.0278, 0)</f>
        <v>82.186300000000003</v>
      </c>
      <c r="G1002" s="14">
        <f>77.8798 * CHOOSE(CONTROL!$C$15, $E$9, 100%, $G$9) + CHOOSE(CONTROL!$C$38, 0.0369, 0)</f>
        <v>77.916700000000006</v>
      </c>
      <c r="H1002" s="14">
        <f>77.8798 * CHOOSE(CONTROL!$C$15, $E$9, 100%, $G$9) + CHOOSE(CONTROL!$C$38, 0.0369, 0)</f>
        <v>77.916700000000006</v>
      </c>
      <c r="I1002" s="14">
        <f>77.8813 * CHOOSE(CONTROL!$C$15, $E$9, 100%, $G$9) + CHOOSE(CONTROL!$C$38, 0.0369, 0)</f>
        <v>77.918199999999999</v>
      </c>
      <c r="J1002" s="44">
        <f>807.922</f>
        <v>807.92200000000003</v>
      </c>
    </row>
    <row r="1003" spans="1:10" ht="15.75" x14ac:dyDescent="0.25">
      <c r="A1003" s="32">
        <v>71467</v>
      </c>
      <c r="B1003" s="14">
        <f>80.4129 * CHOOSE(CONTROL!$C$15, $E$9, 100%, $G$9) + CHOOSE(CONTROL!$C$38, 0.0278, 0)</f>
        <v>80.440699999999993</v>
      </c>
      <c r="C1003" s="14">
        <f>76.079 * CHOOSE(CONTROL!$C$15, $E$9, 100%, $G$9) + CHOOSE(CONTROL!$C$38, 0.0369, 0)</f>
        <v>76.115899999999996</v>
      </c>
      <c r="D1003" s="14">
        <f>76.0712 * CHOOSE(CONTROL!$C$15, $E$9, 100%, $G$9) + CHOOSE(CONTROL!$C$38, 0.0369, 0)</f>
        <v>76.108100000000007</v>
      </c>
      <c r="E1003" s="46">
        <f>80.2566 * CHOOSE(CONTROL!$C$15, $E$9, 100%, $G$9) + CHOOSE(CONTROL!$C$38, 0.0369, 0)</f>
        <v>80.293500000000009</v>
      </c>
      <c r="F1003" s="45">
        <f>80.2566 * CHOOSE(CONTROL!$C$15, $E$9, 100%, $G$9) + CHOOSE(CONTROL!$C$38, 0.0278, 0)</f>
        <v>80.284400000000005</v>
      </c>
      <c r="G1003" s="14">
        <f>76.0775 * CHOOSE(CONTROL!$C$15, $E$9, 100%, $G$9) + CHOOSE(CONTROL!$C$38, 0.0369, 0)</f>
        <v>76.114400000000003</v>
      </c>
      <c r="H1003" s="14">
        <f>76.0775 * CHOOSE(CONTROL!$C$15, $E$9, 100%, $G$9) + CHOOSE(CONTROL!$C$38, 0.0369, 0)</f>
        <v>76.114400000000003</v>
      </c>
      <c r="I1003" s="14">
        <f>76.079 * CHOOSE(CONTROL!$C$15, $E$9, 100%, $G$9) + CHOOSE(CONTROL!$C$38, 0.0369, 0)</f>
        <v>76.115899999999996</v>
      </c>
      <c r="J1003" s="44">
        <f>789.1139</f>
        <v>789.11389999999994</v>
      </c>
    </row>
    <row r="1004" spans="1:10" ht="15.75" x14ac:dyDescent="0.25">
      <c r="A1004" s="32">
        <v>71497</v>
      </c>
      <c r="B1004" s="14">
        <f>77.7606 * CHOOSE(CONTROL!$C$15, $E$9, 100%, $G$9) + CHOOSE(CONTROL!$C$38, 0.0278, 0)</f>
        <v>77.788399999999996</v>
      </c>
      <c r="C1004" s="14">
        <f>73.5656 * CHOOSE(CONTROL!$C$15, $E$9, 100%, $G$9) + CHOOSE(CONTROL!$C$38, 0.0369, 0)</f>
        <v>73.602500000000006</v>
      </c>
      <c r="D1004" s="14">
        <f>73.5578 * CHOOSE(CONTROL!$C$15, $E$9, 100%, $G$9) + CHOOSE(CONTROL!$C$38, 0.0369, 0)</f>
        <v>73.594700000000003</v>
      </c>
      <c r="E1004" s="46">
        <f>77.6043 * CHOOSE(CONTROL!$C$15, $E$9, 100%, $G$9) + CHOOSE(CONTROL!$C$38, 0.0369, 0)</f>
        <v>77.641199999999998</v>
      </c>
      <c r="F1004" s="45">
        <f>77.6043 * CHOOSE(CONTROL!$C$15, $E$9, 100%, $G$9) + CHOOSE(CONTROL!$C$38, 0.0278, 0)</f>
        <v>77.632099999999994</v>
      </c>
      <c r="G1004" s="14">
        <f>73.5641 * CHOOSE(CONTROL!$C$15, $E$9, 100%, $G$9) + CHOOSE(CONTROL!$C$38, 0.0369, 0)</f>
        <v>73.600999999999999</v>
      </c>
      <c r="H1004" s="14">
        <f>73.5641 * CHOOSE(CONTROL!$C$15, $E$9, 100%, $G$9) + CHOOSE(CONTROL!$C$38, 0.0369, 0)</f>
        <v>73.600999999999999</v>
      </c>
      <c r="I1004" s="14">
        <f>73.5656 * CHOOSE(CONTROL!$C$15, $E$9, 100%, $G$9) + CHOOSE(CONTROL!$C$38, 0.0369, 0)</f>
        <v>73.602500000000006</v>
      </c>
      <c r="J1004" s="44">
        <f>762.8851</f>
        <v>762.88509999999997</v>
      </c>
    </row>
    <row r="1005" spans="1:10" ht="15.75" x14ac:dyDescent="0.25">
      <c r="A1005" s="32">
        <v>71528</v>
      </c>
      <c r="B1005" s="14">
        <f>75.0929 * CHOOSE(CONTROL!$C$15, $E$9, 100%, $G$9) + CHOOSE(CONTROL!$C$38, 0.0256, 0)</f>
        <v>75.118499999999997</v>
      </c>
      <c r="C1005" s="14">
        <f>71.0376 * CHOOSE(CONTROL!$C$15, $E$9, 100%, $G$9) + CHOOSE(CONTROL!$C$38, 0.0347, 0)</f>
        <v>71.072299999999998</v>
      </c>
      <c r="D1005" s="14">
        <f>71.0298 * CHOOSE(CONTROL!$C$15, $E$9, 100%, $G$9) + CHOOSE(CONTROL!$C$38, 0.0347, 0)</f>
        <v>71.064499999999995</v>
      </c>
      <c r="E1005" s="46">
        <f>74.9366 * CHOOSE(CONTROL!$C$15, $E$9, 100%, $G$9) + CHOOSE(CONTROL!$C$38, 0.0347, 0)</f>
        <v>74.971299999999999</v>
      </c>
      <c r="F1005" s="45">
        <f>74.9366 * CHOOSE(CONTROL!$C$15, $E$9, 100%, $G$9) + CHOOSE(CONTROL!$C$38, 0.0256, 0)</f>
        <v>74.962199999999996</v>
      </c>
      <c r="G1005" s="14">
        <f>71.036 * CHOOSE(CONTROL!$C$15, $E$9, 100%, $G$9) + CHOOSE(CONTROL!$C$38, 0.0347, 0)</f>
        <v>71.070700000000002</v>
      </c>
      <c r="H1005" s="14">
        <f>71.036 * CHOOSE(CONTROL!$C$15, $E$9, 100%, $G$9) + CHOOSE(CONTROL!$C$38, 0.0347, 0)</f>
        <v>71.070700000000002</v>
      </c>
      <c r="I1005" s="14">
        <f>71.0376 * CHOOSE(CONTROL!$C$15, $E$9, 100%, $G$9) + CHOOSE(CONTROL!$C$38, 0.0347, 0)</f>
        <v>71.072299999999998</v>
      </c>
      <c r="J1005" s="44">
        <f>736.5038</f>
        <v>736.50379999999996</v>
      </c>
    </row>
    <row r="1006" spans="1:10" ht="15.75" x14ac:dyDescent="0.25">
      <c r="A1006" s="32">
        <v>71558</v>
      </c>
      <c r="B1006" s="14">
        <f>74.5622 * CHOOSE(CONTROL!$C$15, $E$9, 100%, $G$9) + CHOOSE(CONTROL!$C$38, 0.0256, 0)</f>
        <v>74.587800000000001</v>
      </c>
      <c r="C1006" s="14">
        <f>70.5347 * CHOOSE(CONTROL!$C$15, $E$9, 100%, $G$9) + CHOOSE(CONTROL!$C$38, 0.0347, 0)</f>
        <v>70.569400000000002</v>
      </c>
      <c r="D1006" s="14">
        <f>70.5269 * CHOOSE(CONTROL!$C$15, $E$9, 100%, $G$9) + CHOOSE(CONTROL!$C$38, 0.0347, 0)</f>
        <v>70.561599999999999</v>
      </c>
      <c r="E1006" s="46">
        <f>74.406 * CHOOSE(CONTROL!$C$15, $E$9, 100%, $G$9) + CHOOSE(CONTROL!$C$38, 0.0347, 0)</f>
        <v>74.440700000000007</v>
      </c>
      <c r="F1006" s="45">
        <f>74.406 * CHOOSE(CONTROL!$C$15, $E$9, 100%, $G$9) + CHOOSE(CONTROL!$C$38, 0.0256, 0)</f>
        <v>74.431600000000003</v>
      </c>
      <c r="G1006" s="14">
        <f>70.5331 * CHOOSE(CONTROL!$C$15, $E$9, 100%, $G$9) + CHOOSE(CONTROL!$C$38, 0.0347, 0)</f>
        <v>70.567800000000005</v>
      </c>
      <c r="H1006" s="14">
        <f>70.5331 * CHOOSE(CONTROL!$C$15, $E$9, 100%, $G$9) + CHOOSE(CONTROL!$C$38, 0.0347, 0)</f>
        <v>70.567800000000005</v>
      </c>
      <c r="I1006" s="14">
        <f>70.5347 * CHOOSE(CONTROL!$C$15, $E$9, 100%, $G$9) + CHOOSE(CONTROL!$C$38, 0.0347, 0)</f>
        <v>70.569400000000002</v>
      </c>
      <c r="J1006" s="44">
        <f>731.256</f>
        <v>731.25599999999997</v>
      </c>
    </row>
    <row r="1007" spans="1:10" ht="15.75" x14ac:dyDescent="0.25">
      <c r="A1007" s="32">
        <v>71589</v>
      </c>
      <c r="B1007" s="14">
        <f>72.3679 * CHOOSE(CONTROL!$C$15, $E$9, 100%, $G$9) + CHOOSE(CONTROL!$C$38, 0.0256, 0)</f>
        <v>72.393500000000003</v>
      </c>
      <c r="C1007" s="14">
        <f>68.4553 * CHOOSE(CONTROL!$C$15, $E$9, 100%, $G$9) + CHOOSE(CONTROL!$C$38, 0.0347, 0)</f>
        <v>68.489999999999995</v>
      </c>
      <c r="D1007" s="14">
        <f>68.4474 * CHOOSE(CONTROL!$C$15, $E$9, 100%, $G$9) + CHOOSE(CONTROL!$C$38, 0.0347, 0)</f>
        <v>68.482100000000003</v>
      </c>
      <c r="E1007" s="46">
        <f>72.2117 * CHOOSE(CONTROL!$C$15, $E$9, 100%, $G$9) + CHOOSE(CONTROL!$C$38, 0.0347, 0)</f>
        <v>72.246399999999994</v>
      </c>
      <c r="F1007" s="45">
        <f>72.2117 * CHOOSE(CONTROL!$C$15, $E$9, 100%, $G$9) + CHOOSE(CONTROL!$C$38, 0.0256, 0)</f>
        <v>72.237299999999991</v>
      </c>
      <c r="G1007" s="14">
        <f>68.4537 * CHOOSE(CONTROL!$C$15, $E$9, 100%, $G$9) + CHOOSE(CONTROL!$C$38, 0.0347, 0)</f>
        <v>68.488399999999999</v>
      </c>
      <c r="H1007" s="14">
        <f>68.4537 * CHOOSE(CONTROL!$C$15, $E$9, 100%, $G$9) + CHOOSE(CONTROL!$C$38, 0.0347, 0)</f>
        <v>68.488399999999999</v>
      </c>
      <c r="I1007" s="14">
        <f>68.4553 * CHOOSE(CONTROL!$C$15, $E$9, 100%, $G$9) + CHOOSE(CONTROL!$C$38, 0.0347, 0)</f>
        <v>68.489999999999995</v>
      </c>
      <c r="J1007" s="44">
        <f>709.5559</f>
        <v>709.55589999999995</v>
      </c>
    </row>
    <row r="1008" spans="1:10" ht="15.75" x14ac:dyDescent="0.25">
      <c r="A1008" s="32">
        <v>71620</v>
      </c>
      <c r="B1008" s="14">
        <f>71.823 * CHOOSE(CONTROL!$C$15, $E$9, 100%, $G$9) + CHOOSE(CONTROL!$C$38, 0.0256, 0)</f>
        <v>71.84859999999999</v>
      </c>
      <c r="C1008" s="14">
        <f>67.9389 * CHOOSE(CONTROL!$C$15, $E$9, 100%, $G$9) + CHOOSE(CONTROL!$C$38, 0.0347, 0)</f>
        <v>67.973600000000005</v>
      </c>
      <c r="D1008" s="14">
        <f>67.931 * CHOOSE(CONTROL!$C$15, $E$9, 100%, $G$9) + CHOOSE(CONTROL!$C$38, 0.0347, 0)</f>
        <v>67.965699999999998</v>
      </c>
      <c r="E1008" s="46">
        <f>71.6667 * CHOOSE(CONTROL!$C$15, $E$9, 100%, $G$9) + CHOOSE(CONTROL!$C$38, 0.0347, 0)</f>
        <v>71.701400000000007</v>
      </c>
      <c r="F1008" s="45">
        <f>71.6667 * CHOOSE(CONTROL!$C$15, $E$9, 100%, $G$9) + CHOOSE(CONTROL!$C$38, 0.0256, 0)</f>
        <v>71.692300000000003</v>
      </c>
      <c r="G1008" s="14">
        <f>67.9373 * CHOOSE(CONTROL!$C$15, $E$9, 100%, $G$9) + CHOOSE(CONTROL!$C$38, 0.0347, 0)</f>
        <v>67.971999999999994</v>
      </c>
      <c r="H1008" s="14">
        <f>67.9373 * CHOOSE(CONTROL!$C$15, $E$9, 100%, $G$9) + CHOOSE(CONTROL!$C$38, 0.0347, 0)</f>
        <v>67.971999999999994</v>
      </c>
      <c r="I1008" s="14">
        <f>67.9389 * CHOOSE(CONTROL!$C$15, $E$9, 100%, $G$9) + CHOOSE(CONTROL!$C$38, 0.0347, 0)</f>
        <v>67.973600000000005</v>
      </c>
      <c r="J1008" s="44">
        <f>708.6409</f>
        <v>708.64089999999999</v>
      </c>
    </row>
    <row r="1009" spans="1:10" ht="15.75" x14ac:dyDescent="0.25">
      <c r="A1009" s="32">
        <v>71649</v>
      </c>
      <c r="B1009" s="14">
        <f>71.6251 * CHOOSE(CONTROL!$C$15, $E$9, 100%, $G$9) + CHOOSE(CONTROL!$C$38, 0.0256, 0)</f>
        <v>71.650700000000001</v>
      </c>
      <c r="C1009" s="14">
        <f>67.7513 * CHOOSE(CONTROL!$C$15, $E$9, 100%, $G$9) + CHOOSE(CONTROL!$C$38, 0.0347, 0)</f>
        <v>67.786000000000001</v>
      </c>
      <c r="D1009" s="14">
        <f>67.7435 * CHOOSE(CONTROL!$C$15, $E$9, 100%, $G$9) + CHOOSE(CONTROL!$C$38, 0.0347, 0)</f>
        <v>67.778199999999998</v>
      </c>
      <c r="E1009" s="46">
        <f>71.4688 * CHOOSE(CONTROL!$C$15, $E$9, 100%, $G$9) + CHOOSE(CONTROL!$C$38, 0.0347, 0)</f>
        <v>71.503500000000003</v>
      </c>
      <c r="F1009" s="45">
        <f>71.4688 * CHOOSE(CONTROL!$C$15, $E$9, 100%, $G$9) + CHOOSE(CONTROL!$C$38, 0.0256, 0)</f>
        <v>71.494399999999999</v>
      </c>
      <c r="G1009" s="14">
        <f>67.7497 * CHOOSE(CONTROL!$C$15, $E$9, 100%, $G$9) + CHOOSE(CONTROL!$C$38, 0.0347, 0)</f>
        <v>67.784400000000005</v>
      </c>
      <c r="H1009" s="14">
        <f>67.7497 * CHOOSE(CONTROL!$C$15, $E$9, 100%, $G$9) + CHOOSE(CONTROL!$C$38, 0.0347, 0)</f>
        <v>67.784400000000005</v>
      </c>
      <c r="I1009" s="14">
        <f>67.7513 * CHOOSE(CONTROL!$C$15, $E$9, 100%, $G$9) + CHOOSE(CONTROL!$C$38, 0.0347, 0)</f>
        <v>67.786000000000001</v>
      </c>
      <c r="J1009" s="44">
        <f>706.6712</f>
        <v>706.6712</v>
      </c>
    </row>
    <row r="1010" spans="1:10" ht="15.75" x14ac:dyDescent="0.25">
      <c r="A1010" s="32">
        <v>71680</v>
      </c>
      <c r="B1010" s="14">
        <f>75.3676 * CHOOSE(CONTROL!$C$15, $E$9, 100%, $G$9) + CHOOSE(CONTROL!$C$38, 0.0256, 0)</f>
        <v>75.393199999999993</v>
      </c>
      <c r="C1010" s="14">
        <f>71.2979 * CHOOSE(CONTROL!$C$15, $E$9, 100%, $G$9) + CHOOSE(CONTROL!$C$38, 0.0347, 0)</f>
        <v>71.332599999999999</v>
      </c>
      <c r="D1010" s="14">
        <f>71.2901 * CHOOSE(CONTROL!$C$15, $E$9, 100%, $G$9) + CHOOSE(CONTROL!$C$38, 0.0347, 0)</f>
        <v>71.324799999999996</v>
      </c>
      <c r="E1010" s="46">
        <f>75.2113 * CHOOSE(CONTROL!$C$15, $E$9, 100%, $G$9) + CHOOSE(CONTROL!$C$38, 0.0347, 0)</f>
        <v>75.245999999999995</v>
      </c>
      <c r="F1010" s="45">
        <f>75.2113 * CHOOSE(CONTROL!$C$15, $E$9, 100%, $G$9) + CHOOSE(CONTROL!$C$38, 0.0256, 0)</f>
        <v>75.236899999999991</v>
      </c>
      <c r="G1010" s="14">
        <f>71.2963 * CHOOSE(CONTROL!$C$15, $E$9, 100%, $G$9) + CHOOSE(CONTROL!$C$38, 0.0347, 0)</f>
        <v>71.331000000000003</v>
      </c>
      <c r="H1010" s="14">
        <f>71.2963 * CHOOSE(CONTROL!$C$15, $E$9, 100%, $G$9) + CHOOSE(CONTROL!$C$38, 0.0347, 0)</f>
        <v>71.331000000000003</v>
      </c>
      <c r="I1010" s="14">
        <f>71.2979 * CHOOSE(CONTROL!$C$15, $E$9, 100%, $G$9) + CHOOSE(CONTROL!$C$38, 0.0347, 0)</f>
        <v>71.332599999999999</v>
      </c>
      <c r="J1010" s="44">
        <f>743.9168</f>
        <v>743.91679999999997</v>
      </c>
    </row>
    <row r="1011" spans="1:10" ht="15.75" x14ac:dyDescent="0.25">
      <c r="A1011" s="32">
        <v>71710</v>
      </c>
      <c r="B1011" s="14">
        <f>80.2207 * CHOOSE(CONTROL!$C$15, $E$9, 100%, $G$9) + CHOOSE(CONTROL!$C$38, 0.0256, 0)</f>
        <v>80.246299999999991</v>
      </c>
      <c r="C1011" s="14">
        <f>75.897 * CHOOSE(CONTROL!$C$15, $E$9, 100%, $G$9) + CHOOSE(CONTROL!$C$38, 0.0347, 0)</f>
        <v>75.931700000000006</v>
      </c>
      <c r="D1011" s="14">
        <f>75.8892 * CHOOSE(CONTROL!$C$15, $E$9, 100%, $G$9) + CHOOSE(CONTROL!$C$38, 0.0347, 0)</f>
        <v>75.923900000000003</v>
      </c>
      <c r="E1011" s="46">
        <f>80.0645 * CHOOSE(CONTROL!$C$15, $E$9, 100%, $G$9) + CHOOSE(CONTROL!$C$38, 0.0347, 0)</f>
        <v>80.099199999999996</v>
      </c>
      <c r="F1011" s="45">
        <f>80.0645 * CHOOSE(CONTROL!$C$15, $E$9, 100%, $G$9) + CHOOSE(CONTROL!$C$38, 0.0256, 0)</f>
        <v>80.090099999999993</v>
      </c>
      <c r="G1011" s="14">
        <f>75.8954 * CHOOSE(CONTROL!$C$15, $E$9, 100%, $G$9) + CHOOSE(CONTROL!$C$38, 0.0347, 0)</f>
        <v>75.930099999999996</v>
      </c>
      <c r="H1011" s="14">
        <f>75.8954 * CHOOSE(CONTROL!$C$15, $E$9, 100%, $G$9) + CHOOSE(CONTROL!$C$38, 0.0347, 0)</f>
        <v>75.930099999999996</v>
      </c>
      <c r="I1011" s="14">
        <f>75.897 * CHOOSE(CONTROL!$C$15, $E$9, 100%, $G$9) + CHOOSE(CONTROL!$C$38, 0.0347, 0)</f>
        <v>75.931700000000006</v>
      </c>
      <c r="J1011" s="44">
        <f>792.2155</f>
        <v>792.21550000000002</v>
      </c>
    </row>
    <row r="1012" spans="1:10" ht="15.75" x14ac:dyDescent="0.25">
      <c r="A1012" s="32">
        <v>71741</v>
      </c>
      <c r="B1012" s="14">
        <f>82.8921 * CHOOSE(CONTROL!$C$15, $E$9, 100%, $G$9) + CHOOSE(CONTROL!$C$38, 0.0278, 0)</f>
        <v>82.919899999999998</v>
      </c>
      <c r="C1012" s="14">
        <f>78.4284 * CHOOSE(CONTROL!$C$15, $E$9, 100%, $G$9) + CHOOSE(CONTROL!$C$38, 0.0369, 0)</f>
        <v>78.465299999999999</v>
      </c>
      <c r="D1012" s="14">
        <f>78.4206 * CHOOSE(CONTROL!$C$15, $E$9, 100%, $G$9) + CHOOSE(CONTROL!$C$38, 0.0369, 0)</f>
        <v>78.457499999999996</v>
      </c>
      <c r="E1012" s="46">
        <f>82.7358 * CHOOSE(CONTROL!$C$15, $E$9, 100%, $G$9) + CHOOSE(CONTROL!$C$38, 0.0369, 0)</f>
        <v>82.7727</v>
      </c>
      <c r="F1012" s="45">
        <f>82.7358 * CHOOSE(CONTROL!$C$15, $E$9, 100%, $G$9) + CHOOSE(CONTROL!$C$38, 0.0278, 0)</f>
        <v>82.763599999999997</v>
      </c>
      <c r="G1012" s="14">
        <f>78.4269 * CHOOSE(CONTROL!$C$15, $E$9, 100%, $G$9) + CHOOSE(CONTROL!$C$38, 0.0369, 0)</f>
        <v>78.463800000000006</v>
      </c>
      <c r="H1012" s="14">
        <f>78.4269 * CHOOSE(CONTROL!$C$15, $E$9, 100%, $G$9) + CHOOSE(CONTROL!$C$38, 0.0369, 0)</f>
        <v>78.463800000000006</v>
      </c>
      <c r="I1012" s="14">
        <f>78.4284 * CHOOSE(CONTROL!$C$15, $E$9, 100%, $G$9) + CHOOSE(CONTROL!$C$38, 0.0369, 0)</f>
        <v>78.465299999999999</v>
      </c>
      <c r="J1012" s="44">
        <f>818.8007</f>
        <v>818.80070000000001</v>
      </c>
    </row>
    <row r="1013" spans="1:10" ht="15.75" x14ac:dyDescent="0.25">
      <c r="A1013" s="32">
        <v>71771</v>
      </c>
      <c r="B1013" s="14">
        <f>84.0776 * CHOOSE(CONTROL!$C$15, $E$9, 100%, $G$9) + CHOOSE(CONTROL!$C$38, 0.0278, 0)</f>
        <v>84.105400000000003</v>
      </c>
      <c r="C1013" s="14">
        <f>79.5519 * CHOOSE(CONTROL!$C$15, $E$9, 100%, $G$9) + CHOOSE(CONTROL!$C$38, 0.0369, 0)</f>
        <v>79.588800000000006</v>
      </c>
      <c r="D1013" s="14">
        <f>79.5441 * CHOOSE(CONTROL!$C$15, $E$9, 100%, $G$9) + CHOOSE(CONTROL!$C$38, 0.0369, 0)</f>
        <v>79.581000000000003</v>
      </c>
      <c r="E1013" s="46">
        <f>83.9213 * CHOOSE(CONTROL!$C$15, $E$9, 100%, $G$9) + CHOOSE(CONTROL!$C$38, 0.0369, 0)</f>
        <v>83.958200000000005</v>
      </c>
      <c r="F1013" s="45">
        <f>83.9213 * CHOOSE(CONTROL!$C$15, $E$9, 100%, $G$9) + CHOOSE(CONTROL!$C$38, 0.0278, 0)</f>
        <v>83.949100000000001</v>
      </c>
      <c r="G1013" s="14">
        <f>79.5503 * CHOOSE(CONTROL!$C$15, $E$9, 100%, $G$9) + CHOOSE(CONTROL!$C$38, 0.0369, 0)</f>
        <v>79.587199999999996</v>
      </c>
      <c r="H1013" s="14">
        <f>79.5503 * CHOOSE(CONTROL!$C$15, $E$9, 100%, $G$9) + CHOOSE(CONTROL!$C$38, 0.0369, 0)</f>
        <v>79.587199999999996</v>
      </c>
      <c r="I1013" s="14">
        <f>79.5519 * CHOOSE(CONTROL!$C$15, $E$9, 100%, $G$9) + CHOOSE(CONTROL!$C$38, 0.0369, 0)</f>
        <v>79.588800000000006</v>
      </c>
      <c r="J1013" s="44">
        <f>830.5988</f>
        <v>830.59879999999998</v>
      </c>
    </row>
    <row r="1014" spans="1:10" ht="15.75" x14ac:dyDescent="0.25">
      <c r="A1014" s="32">
        <v>71802</v>
      </c>
      <c r="B1014" s="14">
        <f>83.6872 * CHOOSE(CONTROL!$C$15, $E$9, 100%, $G$9) + CHOOSE(CONTROL!$C$38, 0.0278, 0)</f>
        <v>83.715000000000003</v>
      </c>
      <c r="C1014" s="14">
        <f>79.182 * CHOOSE(CONTROL!$C$15, $E$9, 100%, $G$9) + CHOOSE(CONTROL!$C$38, 0.0369, 0)</f>
        <v>79.218900000000005</v>
      </c>
      <c r="D1014" s="14">
        <f>79.1742 * CHOOSE(CONTROL!$C$15, $E$9, 100%, $G$9) + CHOOSE(CONTROL!$C$38, 0.0369, 0)</f>
        <v>79.211100000000002</v>
      </c>
      <c r="E1014" s="46">
        <f>83.531 * CHOOSE(CONTROL!$C$15, $E$9, 100%, $G$9) + CHOOSE(CONTROL!$C$38, 0.0369, 0)</f>
        <v>83.567900000000009</v>
      </c>
      <c r="F1014" s="45">
        <f>83.531 * CHOOSE(CONTROL!$C$15, $E$9, 100%, $G$9) + CHOOSE(CONTROL!$C$38, 0.0278, 0)</f>
        <v>83.558800000000005</v>
      </c>
      <c r="G1014" s="14">
        <f>79.1804 * CHOOSE(CONTROL!$C$15, $E$9, 100%, $G$9) + CHOOSE(CONTROL!$C$38, 0.0369, 0)</f>
        <v>79.217300000000009</v>
      </c>
      <c r="H1014" s="14">
        <f>79.1804 * CHOOSE(CONTROL!$C$15, $E$9, 100%, $G$9) + CHOOSE(CONTROL!$C$38, 0.0369, 0)</f>
        <v>79.217300000000009</v>
      </c>
      <c r="I1014" s="14">
        <f>79.182 * CHOOSE(CONTROL!$C$15, $E$9, 100%, $G$9) + CHOOSE(CONTROL!$C$38, 0.0369, 0)</f>
        <v>79.218900000000005</v>
      </c>
      <c r="J1014" s="44">
        <f>826.7143</f>
        <v>826.71429999999998</v>
      </c>
    </row>
    <row r="1015" spans="1:10" ht="15.75" x14ac:dyDescent="0.25">
      <c r="A1015" s="32">
        <v>71833</v>
      </c>
      <c r="B1015" s="14">
        <f>81.7534 * CHOOSE(CONTROL!$C$15, $E$9, 100%, $G$9) + CHOOSE(CONTROL!$C$38, 0.0278, 0)</f>
        <v>81.781199999999998</v>
      </c>
      <c r="C1015" s="14">
        <f>77.3494 * CHOOSE(CONTROL!$C$15, $E$9, 100%, $G$9) + CHOOSE(CONTROL!$C$38, 0.0369, 0)</f>
        <v>77.386300000000006</v>
      </c>
      <c r="D1015" s="14">
        <f>77.3416 * CHOOSE(CONTROL!$C$15, $E$9, 100%, $G$9) + CHOOSE(CONTROL!$C$38, 0.0369, 0)</f>
        <v>77.378500000000003</v>
      </c>
      <c r="E1015" s="46">
        <f>81.5972 * CHOOSE(CONTROL!$C$15, $E$9, 100%, $G$9) + CHOOSE(CONTROL!$C$38, 0.0369, 0)</f>
        <v>81.634100000000004</v>
      </c>
      <c r="F1015" s="45">
        <f>81.5972 * CHOOSE(CONTROL!$C$15, $E$9, 100%, $G$9) + CHOOSE(CONTROL!$C$38, 0.0278, 0)</f>
        <v>81.625</v>
      </c>
      <c r="G1015" s="14">
        <f>77.3478 * CHOOSE(CONTROL!$C$15, $E$9, 100%, $G$9) + CHOOSE(CONTROL!$C$38, 0.0369, 0)</f>
        <v>77.384700000000009</v>
      </c>
      <c r="H1015" s="14">
        <f>77.3478 * CHOOSE(CONTROL!$C$15, $E$9, 100%, $G$9) + CHOOSE(CONTROL!$C$38, 0.0369, 0)</f>
        <v>77.384700000000009</v>
      </c>
      <c r="I1015" s="14">
        <f>77.3494 * CHOOSE(CONTROL!$C$15, $E$9, 100%, $G$9) + CHOOSE(CONTROL!$C$38, 0.0369, 0)</f>
        <v>77.386300000000006</v>
      </c>
      <c r="J1015" s="44">
        <f>807.4687</f>
        <v>807.46870000000001</v>
      </c>
    </row>
    <row r="1016" spans="1:10" ht="15.75" x14ac:dyDescent="0.25">
      <c r="A1016" s="32">
        <v>71863</v>
      </c>
      <c r="B1016" s="14">
        <f>79.0566 * CHOOSE(CONTROL!$C$15, $E$9, 100%, $G$9) + CHOOSE(CONTROL!$C$38, 0.0278, 0)</f>
        <v>79.084400000000002</v>
      </c>
      <c r="C1016" s="14">
        <f>74.7938 * CHOOSE(CONTROL!$C$15, $E$9, 100%, $G$9) + CHOOSE(CONTROL!$C$38, 0.0369, 0)</f>
        <v>74.830700000000007</v>
      </c>
      <c r="D1016" s="14">
        <f>74.7859 * CHOOSE(CONTROL!$C$15, $E$9, 100%, $G$9) + CHOOSE(CONTROL!$C$38, 0.0369, 0)</f>
        <v>74.822800000000001</v>
      </c>
      <c r="E1016" s="46">
        <f>78.9003 * CHOOSE(CONTROL!$C$15, $E$9, 100%, $G$9) + CHOOSE(CONTROL!$C$38, 0.0369, 0)</f>
        <v>78.937200000000004</v>
      </c>
      <c r="F1016" s="45">
        <f>78.9003 * CHOOSE(CONTROL!$C$15, $E$9, 100%, $G$9) + CHOOSE(CONTROL!$C$38, 0.0278, 0)</f>
        <v>78.928100000000001</v>
      </c>
      <c r="G1016" s="14">
        <f>74.7922 * CHOOSE(CONTROL!$C$15, $E$9, 100%, $G$9) + CHOOSE(CONTROL!$C$38, 0.0369, 0)</f>
        <v>74.829099999999997</v>
      </c>
      <c r="H1016" s="14">
        <f>74.7922 * CHOOSE(CONTROL!$C$15, $E$9, 100%, $G$9) + CHOOSE(CONTROL!$C$38, 0.0369, 0)</f>
        <v>74.829099999999997</v>
      </c>
      <c r="I1016" s="14">
        <f>74.7938 * CHOOSE(CONTROL!$C$15, $E$9, 100%, $G$9) + CHOOSE(CONTROL!$C$38, 0.0369, 0)</f>
        <v>74.830700000000007</v>
      </c>
      <c r="J1016" s="44">
        <f>780.6299</f>
        <v>780.62990000000002</v>
      </c>
    </row>
    <row r="1017" spans="1:10" ht="15.75" x14ac:dyDescent="0.25">
      <c r="A1017" s="32">
        <v>71894</v>
      </c>
      <c r="B1017" s="14">
        <f>76.3441 * CHOOSE(CONTROL!$C$15, $E$9, 100%, $G$9) + CHOOSE(CONTROL!$C$38, 0.0256, 0)</f>
        <v>76.369699999999995</v>
      </c>
      <c r="C1017" s="14">
        <f>72.2233 * CHOOSE(CONTROL!$C$15, $E$9, 100%, $G$9) + CHOOSE(CONTROL!$C$38, 0.0347, 0)</f>
        <v>72.257999999999996</v>
      </c>
      <c r="D1017" s="14">
        <f>72.2154 * CHOOSE(CONTROL!$C$15, $E$9, 100%, $G$9) + CHOOSE(CONTROL!$C$38, 0.0347, 0)</f>
        <v>72.250100000000003</v>
      </c>
      <c r="E1017" s="46">
        <f>76.1878 * CHOOSE(CONTROL!$C$15, $E$9, 100%, $G$9) + CHOOSE(CONTROL!$C$38, 0.0347, 0)</f>
        <v>76.222499999999997</v>
      </c>
      <c r="F1017" s="45">
        <f>76.1878 * CHOOSE(CONTROL!$C$15, $E$9, 100%, $G$9) + CHOOSE(CONTROL!$C$38, 0.0256, 0)</f>
        <v>76.213399999999993</v>
      </c>
      <c r="G1017" s="14">
        <f>72.2217 * CHOOSE(CONTROL!$C$15, $E$9, 100%, $G$9) + CHOOSE(CONTROL!$C$38, 0.0347, 0)</f>
        <v>72.256399999999999</v>
      </c>
      <c r="H1017" s="14">
        <f>72.2217 * CHOOSE(CONTROL!$C$15, $E$9, 100%, $G$9) + CHOOSE(CONTROL!$C$38, 0.0347, 0)</f>
        <v>72.256399999999999</v>
      </c>
      <c r="I1017" s="14">
        <f>72.2233 * CHOOSE(CONTROL!$C$15, $E$9, 100%, $G$9) + CHOOSE(CONTROL!$C$38, 0.0347, 0)</f>
        <v>72.257999999999996</v>
      </c>
      <c r="J1017" s="44">
        <f>753.6349</f>
        <v>753.63490000000002</v>
      </c>
    </row>
    <row r="1018" spans="1:10" ht="15.75" x14ac:dyDescent="0.25">
      <c r="A1018" s="32">
        <v>71924</v>
      </c>
      <c r="B1018" s="14">
        <f>75.8045 * CHOOSE(CONTROL!$C$15, $E$9, 100%, $G$9) + CHOOSE(CONTROL!$C$38, 0.0256, 0)</f>
        <v>75.830100000000002</v>
      </c>
      <c r="C1018" s="14">
        <f>71.7119 * CHOOSE(CONTROL!$C$15, $E$9, 100%, $G$9) + CHOOSE(CONTROL!$C$38, 0.0347, 0)</f>
        <v>71.746600000000001</v>
      </c>
      <c r="D1018" s="14">
        <f>71.7041 * CHOOSE(CONTROL!$C$15, $E$9, 100%, $G$9) + CHOOSE(CONTROL!$C$38, 0.0347, 0)</f>
        <v>71.738799999999998</v>
      </c>
      <c r="E1018" s="46">
        <f>75.6482 * CHOOSE(CONTROL!$C$15, $E$9, 100%, $G$9) + CHOOSE(CONTROL!$C$38, 0.0347, 0)</f>
        <v>75.682900000000004</v>
      </c>
      <c r="F1018" s="45">
        <f>75.6482 * CHOOSE(CONTROL!$C$15, $E$9, 100%, $G$9) + CHOOSE(CONTROL!$C$38, 0.0256, 0)</f>
        <v>75.6738</v>
      </c>
      <c r="G1018" s="14">
        <f>71.7104 * CHOOSE(CONTROL!$C$15, $E$9, 100%, $G$9) + CHOOSE(CONTROL!$C$38, 0.0347, 0)</f>
        <v>71.745100000000008</v>
      </c>
      <c r="H1018" s="14">
        <f>71.7104 * CHOOSE(CONTROL!$C$15, $E$9, 100%, $G$9) + CHOOSE(CONTROL!$C$38, 0.0347, 0)</f>
        <v>71.745100000000008</v>
      </c>
      <c r="I1018" s="14">
        <f>71.7119 * CHOOSE(CONTROL!$C$15, $E$9, 100%, $G$9) + CHOOSE(CONTROL!$C$38, 0.0347, 0)</f>
        <v>71.746600000000001</v>
      </c>
      <c r="J1018" s="44">
        <f>748.265</f>
        <v>748.26499999999999</v>
      </c>
    </row>
    <row r="1019" spans="1:10" ht="15.75" x14ac:dyDescent="0.25">
      <c r="A1019" s="32">
        <v>71955</v>
      </c>
      <c r="B1019" s="14">
        <f>73.5733 * CHOOSE(CONTROL!$C$15, $E$9, 100%, $G$9) + CHOOSE(CONTROL!$C$38, 0.0256, 0)</f>
        <v>73.5989</v>
      </c>
      <c r="C1019" s="14">
        <f>69.5975 * CHOOSE(CONTROL!$C$15, $E$9, 100%, $G$9) + CHOOSE(CONTROL!$C$38, 0.0347, 0)</f>
        <v>69.632199999999997</v>
      </c>
      <c r="D1019" s="14">
        <f>69.5897 * CHOOSE(CONTROL!$C$15, $E$9, 100%, $G$9) + CHOOSE(CONTROL!$C$38, 0.0347, 0)</f>
        <v>69.624399999999994</v>
      </c>
      <c r="E1019" s="46">
        <f>73.4171 * CHOOSE(CONTROL!$C$15, $E$9, 100%, $G$9) + CHOOSE(CONTROL!$C$38, 0.0347, 0)</f>
        <v>73.451800000000006</v>
      </c>
      <c r="F1019" s="45">
        <f>73.4171 * CHOOSE(CONTROL!$C$15, $E$9, 100%, $G$9) + CHOOSE(CONTROL!$C$38, 0.0256, 0)</f>
        <v>73.442700000000002</v>
      </c>
      <c r="G1019" s="14">
        <f>69.596 * CHOOSE(CONTROL!$C$15, $E$9, 100%, $G$9) + CHOOSE(CONTROL!$C$38, 0.0347, 0)</f>
        <v>69.630700000000004</v>
      </c>
      <c r="H1019" s="14">
        <f>69.596 * CHOOSE(CONTROL!$C$15, $E$9, 100%, $G$9) + CHOOSE(CONTROL!$C$38, 0.0347, 0)</f>
        <v>69.630700000000004</v>
      </c>
      <c r="I1019" s="14">
        <f>69.5975 * CHOOSE(CONTROL!$C$15, $E$9, 100%, $G$9) + CHOOSE(CONTROL!$C$38, 0.0347, 0)</f>
        <v>69.632199999999997</v>
      </c>
      <c r="J1019" s="44">
        <f>726.0602</f>
        <v>726.06020000000001</v>
      </c>
    </row>
    <row r="1020" spans="1:10" ht="15.75" x14ac:dyDescent="0.25">
      <c r="A1020" s="32">
        <v>71986</v>
      </c>
      <c r="B1020" s="14">
        <f>73.0192 * CHOOSE(CONTROL!$C$15, $E$9, 100%, $G$9) + CHOOSE(CONTROL!$C$38, 0.0256, 0)</f>
        <v>73.044799999999995</v>
      </c>
      <c r="C1020" s="14">
        <f>69.0725 * CHOOSE(CONTROL!$C$15, $E$9, 100%, $G$9) + CHOOSE(CONTROL!$C$38, 0.0347, 0)</f>
        <v>69.107200000000006</v>
      </c>
      <c r="D1020" s="14">
        <f>69.0647 * CHOOSE(CONTROL!$C$15, $E$9, 100%, $G$9) + CHOOSE(CONTROL!$C$38, 0.0347, 0)</f>
        <v>69.099400000000003</v>
      </c>
      <c r="E1020" s="46">
        <f>72.863 * CHOOSE(CONTROL!$C$15, $E$9, 100%, $G$9) + CHOOSE(CONTROL!$C$38, 0.0347, 0)</f>
        <v>72.8977</v>
      </c>
      <c r="F1020" s="45">
        <f>72.863 * CHOOSE(CONTROL!$C$15, $E$9, 100%, $G$9) + CHOOSE(CONTROL!$C$38, 0.0256, 0)</f>
        <v>72.888599999999997</v>
      </c>
      <c r="G1020" s="14">
        <f>69.0709 * CHOOSE(CONTROL!$C$15, $E$9, 100%, $G$9) + CHOOSE(CONTROL!$C$38, 0.0347, 0)</f>
        <v>69.105599999999995</v>
      </c>
      <c r="H1020" s="14">
        <f>69.0709 * CHOOSE(CONTROL!$C$15, $E$9, 100%, $G$9) + CHOOSE(CONTROL!$C$38, 0.0347, 0)</f>
        <v>69.105599999999995</v>
      </c>
      <c r="I1020" s="14">
        <f>69.0725 * CHOOSE(CONTROL!$C$15, $E$9, 100%, $G$9) + CHOOSE(CONTROL!$C$38, 0.0347, 0)</f>
        <v>69.107200000000006</v>
      </c>
      <c r="J1020" s="44">
        <f>725.1239</f>
        <v>725.12390000000005</v>
      </c>
    </row>
    <row r="1021" spans="1:10" ht="15.75" x14ac:dyDescent="0.25">
      <c r="A1021" s="32">
        <v>72014</v>
      </c>
      <c r="B1021" s="14">
        <f>72.818 * CHOOSE(CONTROL!$C$15, $E$9, 100%, $G$9) + CHOOSE(CONTROL!$C$38, 0.0256, 0)</f>
        <v>72.843599999999995</v>
      </c>
      <c r="C1021" s="14">
        <f>68.8818 * CHOOSE(CONTROL!$C$15, $E$9, 100%, $G$9) + CHOOSE(CONTROL!$C$38, 0.0347, 0)</f>
        <v>68.916499999999999</v>
      </c>
      <c r="D1021" s="14">
        <f>68.8739 * CHOOSE(CONTROL!$C$15, $E$9, 100%, $G$9) + CHOOSE(CONTROL!$C$38, 0.0347, 0)</f>
        <v>68.908600000000007</v>
      </c>
      <c r="E1021" s="46">
        <f>72.6617 * CHOOSE(CONTROL!$C$15, $E$9, 100%, $G$9) + CHOOSE(CONTROL!$C$38, 0.0347, 0)</f>
        <v>72.696399999999997</v>
      </c>
      <c r="F1021" s="45">
        <f>72.6617 * CHOOSE(CONTROL!$C$15, $E$9, 100%, $G$9) + CHOOSE(CONTROL!$C$38, 0.0256, 0)</f>
        <v>72.687299999999993</v>
      </c>
      <c r="G1021" s="14">
        <f>68.8802 * CHOOSE(CONTROL!$C$15, $E$9, 100%, $G$9) + CHOOSE(CONTROL!$C$38, 0.0347, 0)</f>
        <v>68.914900000000003</v>
      </c>
      <c r="H1021" s="14">
        <f>68.8802 * CHOOSE(CONTROL!$C$15, $E$9, 100%, $G$9) + CHOOSE(CONTROL!$C$38, 0.0347, 0)</f>
        <v>68.914900000000003</v>
      </c>
      <c r="I1021" s="14">
        <f>68.8818 * CHOOSE(CONTROL!$C$15, $E$9, 100%, $G$9) + CHOOSE(CONTROL!$C$38, 0.0347, 0)</f>
        <v>68.916499999999999</v>
      </c>
      <c r="J1021" s="44">
        <f>723.1083</f>
        <v>723.10829999999999</v>
      </c>
    </row>
    <row r="1022" spans="1:10" ht="15.75" x14ac:dyDescent="0.25">
      <c r="A1022" s="32">
        <v>72045</v>
      </c>
      <c r="B1022" s="14">
        <f>76.6234 * CHOOSE(CONTROL!$C$15, $E$9, 100%, $G$9) + CHOOSE(CONTROL!$C$38, 0.0256, 0)</f>
        <v>76.649000000000001</v>
      </c>
      <c r="C1022" s="14">
        <f>72.4879 * CHOOSE(CONTROL!$C$15, $E$9, 100%, $G$9) + CHOOSE(CONTROL!$C$38, 0.0347, 0)</f>
        <v>72.522599999999997</v>
      </c>
      <c r="D1022" s="14">
        <f>72.4801 * CHOOSE(CONTROL!$C$15, $E$9, 100%, $G$9) + CHOOSE(CONTROL!$C$38, 0.0347, 0)</f>
        <v>72.514799999999994</v>
      </c>
      <c r="E1022" s="46">
        <f>76.4671 * CHOOSE(CONTROL!$C$15, $E$9, 100%, $G$9) + CHOOSE(CONTROL!$C$38, 0.0347, 0)</f>
        <v>76.501800000000003</v>
      </c>
      <c r="F1022" s="45">
        <f>76.4671 * CHOOSE(CONTROL!$C$15, $E$9, 100%, $G$9) + CHOOSE(CONTROL!$C$38, 0.0256, 0)</f>
        <v>76.492699999999999</v>
      </c>
      <c r="G1022" s="14">
        <f>72.4864 * CHOOSE(CONTROL!$C$15, $E$9, 100%, $G$9) + CHOOSE(CONTROL!$C$38, 0.0347, 0)</f>
        <v>72.521100000000004</v>
      </c>
      <c r="H1022" s="14">
        <f>72.4864 * CHOOSE(CONTROL!$C$15, $E$9, 100%, $G$9) + CHOOSE(CONTROL!$C$38, 0.0347, 0)</f>
        <v>72.521100000000004</v>
      </c>
      <c r="I1022" s="14">
        <f>72.4879 * CHOOSE(CONTROL!$C$15, $E$9, 100%, $G$9) + CHOOSE(CONTROL!$C$38, 0.0347, 0)</f>
        <v>72.522599999999997</v>
      </c>
      <c r="J1022" s="44">
        <f>761.2203</f>
        <v>761.22029999999995</v>
      </c>
    </row>
    <row r="1023" spans="1:10" ht="15.75" x14ac:dyDescent="0.25">
      <c r="A1023" s="32">
        <v>72075</v>
      </c>
      <c r="B1023" s="14">
        <f>81.5581 * CHOOSE(CONTROL!$C$15, $E$9, 100%, $G$9) + CHOOSE(CONTROL!$C$38, 0.0256, 0)</f>
        <v>81.583699999999993</v>
      </c>
      <c r="C1023" s="14">
        <f>77.1643 * CHOOSE(CONTROL!$C$15, $E$9, 100%, $G$9) + CHOOSE(CONTROL!$C$38, 0.0347, 0)</f>
        <v>77.198999999999998</v>
      </c>
      <c r="D1023" s="14">
        <f>77.1565 * CHOOSE(CONTROL!$C$15, $E$9, 100%, $G$9) + CHOOSE(CONTROL!$C$38, 0.0347, 0)</f>
        <v>77.191199999999995</v>
      </c>
      <c r="E1023" s="46">
        <f>81.4018 * CHOOSE(CONTROL!$C$15, $E$9, 100%, $G$9) + CHOOSE(CONTROL!$C$38, 0.0347, 0)</f>
        <v>81.436499999999995</v>
      </c>
      <c r="F1023" s="45">
        <f>81.4018 * CHOOSE(CONTROL!$C$15, $E$9, 100%, $G$9) + CHOOSE(CONTROL!$C$38, 0.0256, 0)</f>
        <v>81.427399999999992</v>
      </c>
      <c r="G1023" s="14">
        <f>77.1627 * CHOOSE(CONTROL!$C$15, $E$9, 100%, $G$9) + CHOOSE(CONTROL!$C$38, 0.0347, 0)</f>
        <v>77.197400000000002</v>
      </c>
      <c r="H1023" s="14">
        <f>77.1627 * CHOOSE(CONTROL!$C$15, $E$9, 100%, $G$9) + CHOOSE(CONTROL!$C$38, 0.0347, 0)</f>
        <v>77.197400000000002</v>
      </c>
      <c r="I1023" s="14">
        <f>77.1643 * CHOOSE(CONTROL!$C$15, $E$9, 100%, $G$9) + CHOOSE(CONTROL!$C$38, 0.0347, 0)</f>
        <v>77.198999999999998</v>
      </c>
      <c r="J1023" s="44">
        <f>810.6425</f>
        <v>810.64250000000004</v>
      </c>
    </row>
    <row r="1024" spans="1:10" ht="15.75" x14ac:dyDescent="0.25">
      <c r="A1024" s="32">
        <v>72106</v>
      </c>
      <c r="B1024" s="14">
        <f>84.2743 * CHOOSE(CONTROL!$C$15, $E$9, 100%, $G$9) + CHOOSE(CONTROL!$C$38, 0.0278, 0)</f>
        <v>84.302099999999996</v>
      </c>
      <c r="C1024" s="14">
        <f>79.7383 * CHOOSE(CONTROL!$C$15, $E$9, 100%, $G$9) + CHOOSE(CONTROL!$C$38, 0.0369, 0)</f>
        <v>79.775199999999998</v>
      </c>
      <c r="D1024" s="14">
        <f>79.7305 * CHOOSE(CONTROL!$C$15, $E$9, 100%, $G$9) + CHOOSE(CONTROL!$C$38, 0.0369, 0)</f>
        <v>79.767400000000009</v>
      </c>
      <c r="E1024" s="46">
        <f>84.118 * CHOOSE(CONTROL!$C$15, $E$9, 100%, $G$9) + CHOOSE(CONTROL!$C$38, 0.0369, 0)</f>
        <v>84.154899999999998</v>
      </c>
      <c r="F1024" s="45">
        <f>84.118 * CHOOSE(CONTROL!$C$15, $E$9, 100%, $G$9) + CHOOSE(CONTROL!$C$38, 0.0278, 0)</f>
        <v>84.145799999999994</v>
      </c>
      <c r="G1024" s="14">
        <f>79.7367 * CHOOSE(CONTROL!$C$15, $E$9, 100%, $G$9) + CHOOSE(CONTROL!$C$38, 0.0369, 0)</f>
        <v>79.773600000000002</v>
      </c>
      <c r="H1024" s="14">
        <f>79.7367 * CHOOSE(CONTROL!$C$15, $E$9, 100%, $G$9) + CHOOSE(CONTROL!$C$38, 0.0369, 0)</f>
        <v>79.773600000000002</v>
      </c>
      <c r="I1024" s="14">
        <f>79.7383 * CHOOSE(CONTROL!$C$15, $E$9, 100%, $G$9) + CHOOSE(CONTROL!$C$38, 0.0369, 0)</f>
        <v>79.775199999999998</v>
      </c>
      <c r="J1024" s="44">
        <f>837.846</f>
        <v>837.846</v>
      </c>
    </row>
    <row r="1025" spans="1:10" ht="15.75" x14ac:dyDescent="0.25">
      <c r="A1025" s="32">
        <v>72136</v>
      </c>
      <c r="B1025" s="14">
        <f>85.4797 * CHOOSE(CONTROL!$C$15, $E$9, 100%, $G$9) + CHOOSE(CONTROL!$C$38, 0.0278, 0)</f>
        <v>85.507499999999993</v>
      </c>
      <c r="C1025" s="14">
        <f>80.8806 * CHOOSE(CONTROL!$C$15, $E$9, 100%, $G$9) + CHOOSE(CONTROL!$C$38, 0.0369, 0)</f>
        <v>80.917500000000004</v>
      </c>
      <c r="D1025" s="14">
        <f>80.8728 * CHOOSE(CONTROL!$C$15, $E$9, 100%, $G$9) + CHOOSE(CONTROL!$C$38, 0.0369, 0)</f>
        <v>80.909700000000001</v>
      </c>
      <c r="E1025" s="46">
        <f>85.3234 * CHOOSE(CONTROL!$C$15, $E$9, 100%, $G$9) + CHOOSE(CONTROL!$C$38, 0.0369, 0)</f>
        <v>85.360300000000009</v>
      </c>
      <c r="F1025" s="45">
        <f>85.3234 * CHOOSE(CONTROL!$C$15, $E$9, 100%, $G$9) + CHOOSE(CONTROL!$C$38, 0.0278, 0)</f>
        <v>85.351200000000006</v>
      </c>
      <c r="G1025" s="14">
        <f>80.879 * CHOOSE(CONTROL!$C$15, $E$9, 100%, $G$9) + CHOOSE(CONTROL!$C$38, 0.0369, 0)</f>
        <v>80.915900000000008</v>
      </c>
      <c r="H1025" s="14">
        <f>80.879 * CHOOSE(CONTROL!$C$15, $E$9, 100%, $G$9) + CHOOSE(CONTROL!$C$38, 0.0369, 0)</f>
        <v>80.915900000000008</v>
      </c>
      <c r="I1025" s="14">
        <f>80.8806 * CHOOSE(CONTROL!$C$15, $E$9, 100%, $G$9) + CHOOSE(CONTROL!$C$38, 0.0369, 0)</f>
        <v>80.917500000000004</v>
      </c>
      <c r="J1025" s="44">
        <f>849.9185</f>
        <v>849.91849999999999</v>
      </c>
    </row>
    <row r="1026" spans="1:10" ht="15.75" x14ac:dyDescent="0.25">
      <c r="A1026" s="32">
        <v>72167</v>
      </c>
      <c r="B1026" s="14">
        <f>85.0828 * CHOOSE(CONTROL!$C$15, $E$9, 100%, $G$9) + CHOOSE(CONTROL!$C$38, 0.0278, 0)</f>
        <v>85.110600000000005</v>
      </c>
      <c r="C1026" s="14">
        <f>80.5045 * CHOOSE(CONTROL!$C$15, $E$9, 100%, $G$9) + CHOOSE(CONTROL!$C$38, 0.0369, 0)</f>
        <v>80.541399999999996</v>
      </c>
      <c r="D1026" s="14">
        <f>80.4967 * CHOOSE(CONTROL!$C$15, $E$9, 100%, $G$9) + CHOOSE(CONTROL!$C$38, 0.0369, 0)</f>
        <v>80.533600000000007</v>
      </c>
      <c r="E1026" s="46">
        <f>84.9266 * CHOOSE(CONTROL!$C$15, $E$9, 100%, $G$9) + CHOOSE(CONTROL!$C$38, 0.0369, 0)</f>
        <v>84.963499999999996</v>
      </c>
      <c r="F1026" s="45">
        <f>84.9266 * CHOOSE(CONTROL!$C$15, $E$9, 100%, $G$9) + CHOOSE(CONTROL!$C$38, 0.0278, 0)</f>
        <v>84.954399999999993</v>
      </c>
      <c r="G1026" s="14">
        <f>80.5029 * CHOOSE(CONTROL!$C$15, $E$9, 100%, $G$9) + CHOOSE(CONTROL!$C$38, 0.0369, 0)</f>
        <v>80.5398</v>
      </c>
      <c r="H1026" s="14">
        <f>80.5029 * CHOOSE(CONTROL!$C$15, $E$9, 100%, $G$9) + CHOOSE(CONTROL!$C$38, 0.0369, 0)</f>
        <v>80.5398</v>
      </c>
      <c r="I1026" s="14">
        <f>80.5045 * CHOOSE(CONTROL!$C$15, $E$9, 100%, $G$9) + CHOOSE(CONTROL!$C$38, 0.0369, 0)</f>
        <v>80.541399999999996</v>
      </c>
      <c r="J1026" s="44">
        <f>845.9437</f>
        <v>845.94370000000004</v>
      </c>
    </row>
    <row r="1027" spans="1:10" ht="15.75" x14ac:dyDescent="0.25">
      <c r="A1027" s="32">
        <v>72198</v>
      </c>
      <c r="B1027" s="14">
        <f>83.1165 * CHOOSE(CONTROL!$C$15, $E$9, 100%, $G$9) + CHOOSE(CONTROL!$C$38, 0.0278, 0)</f>
        <v>83.144300000000001</v>
      </c>
      <c r="C1027" s="14">
        <f>78.6411 * CHOOSE(CONTROL!$C$15, $E$9, 100%, $G$9) + CHOOSE(CONTROL!$C$38, 0.0369, 0)</f>
        <v>78.677999999999997</v>
      </c>
      <c r="D1027" s="14">
        <f>78.6333 * CHOOSE(CONTROL!$C$15, $E$9, 100%, $G$9) + CHOOSE(CONTROL!$C$38, 0.0369, 0)</f>
        <v>78.670200000000008</v>
      </c>
      <c r="E1027" s="46">
        <f>82.9602 * CHOOSE(CONTROL!$C$15, $E$9, 100%, $G$9) + CHOOSE(CONTROL!$C$38, 0.0369, 0)</f>
        <v>82.997100000000003</v>
      </c>
      <c r="F1027" s="45">
        <f>82.9602 * CHOOSE(CONTROL!$C$15, $E$9, 100%, $G$9) + CHOOSE(CONTROL!$C$38, 0.0278, 0)</f>
        <v>82.988</v>
      </c>
      <c r="G1027" s="14">
        <f>78.6395 * CHOOSE(CONTROL!$C$15, $E$9, 100%, $G$9) + CHOOSE(CONTROL!$C$38, 0.0369, 0)</f>
        <v>78.676400000000001</v>
      </c>
      <c r="H1027" s="14">
        <f>78.6395 * CHOOSE(CONTROL!$C$15, $E$9, 100%, $G$9) + CHOOSE(CONTROL!$C$38, 0.0369, 0)</f>
        <v>78.676400000000001</v>
      </c>
      <c r="I1027" s="14">
        <f>78.6411 * CHOOSE(CONTROL!$C$15, $E$9, 100%, $G$9) + CHOOSE(CONTROL!$C$38, 0.0369, 0)</f>
        <v>78.677999999999997</v>
      </c>
      <c r="J1027" s="44">
        <f>826.2504</f>
        <v>826.25040000000001</v>
      </c>
    </row>
    <row r="1028" spans="1:10" ht="15.75" x14ac:dyDescent="0.25">
      <c r="A1028" s="32">
        <v>72228</v>
      </c>
      <c r="B1028" s="14">
        <f>80.3743 * CHOOSE(CONTROL!$C$15, $E$9, 100%, $G$9) + CHOOSE(CONTROL!$C$38, 0.0278, 0)</f>
        <v>80.402100000000004</v>
      </c>
      <c r="C1028" s="14">
        <f>76.0425 * CHOOSE(CONTROL!$C$15, $E$9, 100%, $G$9) + CHOOSE(CONTROL!$C$38, 0.0369, 0)</f>
        <v>76.079400000000007</v>
      </c>
      <c r="D1028" s="14">
        <f>76.0347 * CHOOSE(CONTROL!$C$15, $E$9, 100%, $G$9) + CHOOSE(CONTROL!$C$38, 0.0369, 0)</f>
        <v>76.071600000000004</v>
      </c>
      <c r="E1028" s="46">
        <f>80.2181 * CHOOSE(CONTROL!$C$15, $E$9, 100%, $G$9) + CHOOSE(CONTROL!$C$38, 0.0369, 0)</f>
        <v>80.25500000000001</v>
      </c>
      <c r="F1028" s="45">
        <f>80.2181 * CHOOSE(CONTROL!$C$15, $E$9, 100%, $G$9) + CHOOSE(CONTROL!$C$38, 0.0278, 0)</f>
        <v>80.245900000000006</v>
      </c>
      <c r="G1028" s="14">
        <f>76.041 * CHOOSE(CONTROL!$C$15, $E$9, 100%, $G$9) + CHOOSE(CONTROL!$C$38, 0.0369, 0)</f>
        <v>76.0779</v>
      </c>
      <c r="H1028" s="14">
        <f>76.041 * CHOOSE(CONTROL!$C$15, $E$9, 100%, $G$9) + CHOOSE(CONTROL!$C$38, 0.0369, 0)</f>
        <v>76.0779</v>
      </c>
      <c r="I1028" s="14">
        <f>76.0425 * CHOOSE(CONTROL!$C$15, $E$9, 100%, $G$9) + CHOOSE(CONTROL!$C$38, 0.0369, 0)</f>
        <v>76.079400000000007</v>
      </c>
      <c r="J1028" s="44">
        <f>798.7873</f>
        <v>798.78729999999996</v>
      </c>
    </row>
    <row r="1029" spans="1:10" ht="15.75" x14ac:dyDescent="0.25">
      <c r="A1029" s="32">
        <v>72259</v>
      </c>
      <c r="B1029" s="14">
        <f>77.6163 * CHOOSE(CONTROL!$C$15, $E$9, 100%, $G$9) + CHOOSE(CONTROL!$C$38, 0.0256, 0)</f>
        <v>77.641899999999993</v>
      </c>
      <c r="C1029" s="14">
        <f>73.4288 * CHOOSE(CONTROL!$C$15, $E$9, 100%, $G$9) + CHOOSE(CONTROL!$C$38, 0.0347, 0)</f>
        <v>73.463499999999996</v>
      </c>
      <c r="D1029" s="14">
        <f>73.421 * CHOOSE(CONTROL!$C$15, $E$9, 100%, $G$9) + CHOOSE(CONTROL!$C$38, 0.0347, 0)</f>
        <v>73.455700000000007</v>
      </c>
      <c r="E1029" s="46">
        <f>77.46 * CHOOSE(CONTROL!$C$15, $E$9, 100%, $G$9) + CHOOSE(CONTROL!$C$38, 0.0347, 0)</f>
        <v>77.494699999999995</v>
      </c>
      <c r="F1029" s="45">
        <f>77.46 * CHOOSE(CONTROL!$C$15, $E$9, 100%, $G$9) + CHOOSE(CONTROL!$C$38, 0.0256, 0)</f>
        <v>77.485599999999991</v>
      </c>
      <c r="G1029" s="14">
        <f>73.4273 * CHOOSE(CONTROL!$C$15, $E$9, 100%, $G$9) + CHOOSE(CONTROL!$C$38, 0.0347, 0)</f>
        <v>73.462000000000003</v>
      </c>
      <c r="H1029" s="14">
        <f>73.4273 * CHOOSE(CONTROL!$C$15, $E$9, 100%, $G$9) + CHOOSE(CONTROL!$C$38, 0.0347, 0)</f>
        <v>73.462000000000003</v>
      </c>
      <c r="I1029" s="14">
        <f>73.4288 * CHOOSE(CONTROL!$C$15, $E$9, 100%, $G$9) + CHOOSE(CONTROL!$C$38, 0.0347, 0)</f>
        <v>73.463499999999996</v>
      </c>
      <c r="J1029" s="44">
        <f>771.1644</f>
        <v>771.1644</v>
      </c>
    </row>
    <row r="1030" spans="1:10" ht="15.75" x14ac:dyDescent="0.25">
      <c r="A1030" s="32">
        <v>72289</v>
      </c>
      <c r="B1030" s="14">
        <f>77.0676 * CHOOSE(CONTROL!$C$15, $E$9, 100%, $G$9) + CHOOSE(CONTROL!$C$38, 0.0256, 0)</f>
        <v>77.093199999999996</v>
      </c>
      <c r="C1030" s="14">
        <f>72.9089 * CHOOSE(CONTROL!$C$15, $E$9, 100%, $G$9) + CHOOSE(CONTROL!$C$38, 0.0347, 0)</f>
        <v>72.943600000000004</v>
      </c>
      <c r="D1030" s="14">
        <f>72.9011 * CHOOSE(CONTROL!$C$15, $E$9, 100%, $G$9) + CHOOSE(CONTROL!$C$38, 0.0347, 0)</f>
        <v>72.9358</v>
      </c>
      <c r="E1030" s="46">
        <f>76.9114 * CHOOSE(CONTROL!$C$15, $E$9, 100%, $G$9) + CHOOSE(CONTROL!$C$38, 0.0347, 0)</f>
        <v>76.946100000000001</v>
      </c>
      <c r="F1030" s="45">
        <f>76.9114 * CHOOSE(CONTROL!$C$15, $E$9, 100%, $G$9) + CHOOSE(CONTROL!$C$38, 0.0256, 0)</f>
        <v>76.936999999999998</v>
      </c>
      <c r="G1030" s="14">
        <f>72.9074 * CHOOSE(CONTROL!$C$15, $E$9, 100%, $G$9) + CHOOSE(CONTROL!$C$38, 0.0347, 0)</f>
        <v>72.942099999999996</v>
      </c>
      <c r="H1030" s="14">
        <f>72.9074 * CHOOSE(CONTROL!$C$15, $E$9, 100%, $G$9) + CHOOSE(CONTROL!$C$38, 0.0347, 0)</f>
        <v>72.942099999999996</v>
      </c>
      <c r="I1030" s="14">
        <f>72.9089 * CHOOSE(CONTROL!$C$15, $E$9, 100%, $G$9) + CHOOSE(CONTROL!$C$38, 0.0347, 0)</f>
        <v>72.943600000000004</v>
      </c>
      <c r="J1030" s="44">
        <f>765.6697</f>
        <v>765.66970000000003</v>
      </c>
    </row>
    <row r="1031" spans="1:10" ht="15.75" x14ac:dyDescent="0.25">
      <c r="A1031" s="32">
        <v>72320</v>
      </c>
      <c r="B1031" s="14">
        <f>74.799 * CHOOSE(CONTROL!$C$15, $E$9, 100%, $G$9) + CHOOSE(CONTROL!$C$38, 0.0256, 0)</f>
        <v>74.824600000000004</v>
      </c>
      <c r="C1031" s="14">
        <f>70.759 * CHOOSE(CONTROL!$C$15, $E$9, 100%, $G$9) + CHOOSE(CONTROL!$C$38, 0.0347, 0)</f>
        <v>70.793700000000001</v>
      </c>
      <c r="D1031" s="14">
        <f>70.7512 * CHOOSE(CONTROL!$C$15, $E$9, 100%, $G$9) + CHOOSE(CONTROL!$C$38, 0.0347, 0)</f>
        <v>70.785899999999998</v>
      </c>
      <c r="E1031" s="46">
        <f>74.6427 * CHOOSE(CONTROL!$C$15, $E$9, 100%, $G$9) + CHOOSE(CONTROL!$C$38, 0.0347, 0)</f>
        <v>74.677400000000006</v>
      </c>
      <c r="F1031" s="45">
        <f>74.6427 * CHOOSE(CONTROL!$C$15, $E$9, 100%, $G$9) + CHOOSE(CONTROL!$C$38, 0.0256, 0)</f>
        <v>74.668300000000002</v>
      </c>
      <c r="G1031" s="14">
        <f>70.7575 * CHOOSE(CONTROL!$C$15, $E$9, 100%, $G$9) + CHOOSE(CONTROL!$C$38, 0.0347, 0)</f>
        <v>70.792199999999994</v>
      </c>
      <c r="H1031" s="14">
        <f>70.7575 * CHOOSE(CONTROL!$C$15, $E$9, 100%, $G$9) + CHOOSE(CONTROL!$C$38, 0.0347, 0)</f>
        <v>70.792199999999994</v>
      </c>
      <c r="I1031" s="14">
        <f>70.759 * CHOOSE(CONTROL!$C$15, $E$9, 100%, $G$9) + CHOOSE(CONTROL!$C$38, 0.0347, 0)</f>
        <v>70.793700000000001</v>
      </c>
      <c r="J1031" s="44">
        <f>742.9484</f>
        <v>742.94839999999999</v>
      </c>
    </row>
    <row r="1032" spans="1:10" ht="15.75" x14ac:dyDescent="0.25">
      <c r="A1032" s="32">
        <v>72351</v>
      </c>
      <c r="B1032" s="14">
        <f>74.2356 * CHOOSE(CONTROL!$C$15, $E$9, 100%, $G$9) + CHOOSE(CONTROL!$C$38, 0.0256, 0)</f>
        <v>74.261200000000002</v>
      </c>
      <c r="C1032" s="14">
        <f>70.2251 * CHOOSE(CONTROL!$C$15, $E$9, 100%, $G$9) + CHOOSE(CONTROL!$C$38, 0.0347, 0)</f>
        <v>70.259799999999998</v>
      </c>
      <c r="D1032" s="14">
        <f>70.2173 * CHOOSE(CONTROL!$C$15, $E$9, 100%, $G$9) + CHOOSE(CONTROL!$C$38, 0.0347, 0)</f>
        <v>70.251999999999995</v>
      </c>
      <c r="E1032" s="46">
        <f>74.0793 * CHOOSE(CONTROL!$C$15, $E$9, 100%, $G$9) + CHOOSE(CONTROL!$C$38, 0.0347, 0)</f>
        <v>74.114000000000004</v>
      </c>
      <c r="F1032" s="45">
        <f>74.0793 * CHOOSE(CONTROL!$C$15, $E$9, 100%, $G$9) + CHOOSE(CONTROL!$C$38, 0.0256, 0)</f>
        <v>74.104900000000001</v>
      </c>
      <c r="G1032" s="14">
        <f>70.2236 * CHOOSE(CONTROL!$C$15, $E$9, 100%, $G$9) + CHOOSE(CONTROL!$C$38, 0.0347, 0)</f>
        <v>70.258300000000006</v>
      </c>
      <c r="H1032" s="14">
        <f>70.2236 * CHOOSE(CONTROL!$C$15, $E$9, 100%, $G$9) + CHOOSE(CONTROL!$C$38, 0.0347, 0)</f>
        <v>70.258300000000006</v>
      </c>
      <c r="I1032" s="14">
        <f>70.2251 * CHOOSE(CONTROL!$C$15, $E$9, 100%, $G$9) + CHOOSE(CONTROL!$C$38, 0.0347, 0)</f>
        <v>70.259799999999998</v>
      </c>
      <c r="J1032" s="44">
        <f>741.9903</f>
        <v>741.99030000000005</v>
      </c>
    </row>
    <row r="1033" spans="1:10" ht="15.75" x14ac:dyDescent="0.25">
      <c r="A1033" s="32">
        <v>72379</v>
      </c>
      <c r="B1033" s="14">
        <f>74.0309 * CHOOSE(CONTROL!$C$15, $E$9, 100%, $G$9) + CHOOSE(CONTROL!$C$38, 0.0256, 0)</f>
        <v>74.0565</v>
      </c>
      <c r="C1033" s="14">
        <f>70.0312 * CHOOSE(CONTROL!$C$15, $E$9, 100%, $G$9) + CHOOSE(CONTROL!$C$38, 0.0347, 0)</f>
        <v>70.065899999999999</v>
      </c>
      <c r="D1033" s="14">
        <f>70.0234 * CHOOSE(CONTROL!$C$15, $E$9, 100%, $G$9) + CHOOSE(CONTROL!$C$38, 0.0347, 0)</f>
        <v>70.058099999999996</v>
      </c>
      <c r="E1033" s="46">
        <f>73.8747 * CHOOSE(CONTROL!$C$15, $E$9, 100%, $G$9) + CHOOSE(CONTROL!$C$38, 0.0347, 0)</f>
        <v>73.909400000000005</v>
      </c>
      <c r="F1033" s="45">
        <f>73.8747 * CHOOSE(CONTROL!$C$15, $E$9, 100%, $G$9) + CHOOSE(CONTROL!$C$38, 0.0256, 0)</f>
        <v>73.900300000000001</v>
      </c>
      <c r="G1033" s="14">
        <f>70.0296 * CHOOSE(CONTROL!$C$15, $E$9, 100%, $G$9) + CHOOSE(CONTROL!$C$38, 0.0347, 0)</f>
        <v>70.064300000000003</v>
      </c>
      <c r="H1033" s="14">
        <f>70.0296 * CHOOSE(CONTROL!$C$15, $E$9, 100%, $G$9) + CHOOSE(CONTROL!$C$38, 0.0347, 0)</f>
        <v>70.064300000000003</v>
      </c>
      <c r="I1033" s="14">
        <f>70.0312 * CHOOSE(CONTROL!$C$15, $E$9, 100%, $G$9) + CHOOSE(CONTROL!$C$38, 0.0347, 0)</f>
        <v>70.065899999999999</v>
      </c>
      <c r="J1033" s="44">
        <f>739.9278</f>
        <v>739.92780000000005</v>
      </c>
    </row>
    <row r="1034" spans="1:10" ht="15.75" x14ac:dyDescent="0.25">
      <c r="A1034" s="32">
        <v>72410</v>
      </c>
      <c r="B1034" s="14">
        <f>77.9003 * CHOOSE(CONTROL!$C$15, $E$9, 100%, $G$9) + CHOOSE(CONTROL!$C$38, 0.0256, 0)</f>
        <v>77.925899999999999</v>
      </c>
      <c r="C1034" s="14">
        <f>73.698 * CHOOSE(CONTROL!$C$15, $E$9, 100%, $G$9) + CHOOSE(CONTROL!$C$38, 0.0347, 0)</f>
        <v>73.732699999999994</v>
      </c>
      <c r="D1034" s="14">
        <f>73.6902 * CHOOSE(CONTROL!$C$15, $E$9, 100%, $G$9) + CHOOSE(CONTROL!$C$38, 0.0347, 0)</f>
        <v>73.724900000000005</v>
      </c>
      <c r="E1034" s="46">
        <f>77.744 * CHOOSE(CONTROL!$C$15, $E$9, 100%, $G$9) + CHOOSE(CONTROL!$C$38, 0.0347, 0)</f>
        <v>77.778700000000001</v>
      </c>
      <c r="F1034" s="45">
        <f>77.744 * CHOOSE(CONTROL!$C$15, $E$9, 100%, $G$9) + CHOOSE(CONTROL!$C$38, 0.0256, 0)</f>
        <v>77.769599999999997</v>
      </c>
      <c r="G1034" s="14">
        <f>73.6964 * CHOOSE(CONTROL!$C$15, $E$9, 100%, $G$9) + CHOOSE(CONTROL!$C$38, 0.0347, 0)</f>
        <v>73.731099999999998</v>
      </c>
      <c r="H1034" s="14">
        <f>73.6964 * CHOOSE(CONTROL!$C$15, $E$9, 100%, $G$9) + CHOOSE(CONTROL!$C$38, 0.0347, 0)</f>
        <v>73.731099999999998</v>
      </c>
      <c r="I1034" s="14">
        <f>73.698 * CHOOSE(CONTROL!$C$15, $E$9, 100%, $G$9) + CHOOSE(CONTROL!$C$38, 0.0347, 0)</f>
        <v>73.732699999999994</v>
      </c>
      <c r="J1034" s="44">
        <f>778.9263</f>
        <v>778.92629999999997</v>
      </c>
    </row>
    <row r="1035" spans="1:10" ht="15.75" x14ac:dyDescent="0.25">
      <c r="A1035" s="32">
        <v>72440</v>
      </c>
      <c r="B1035" s="14">
        <f>82.9178 * CHOOSE(CONTROL!$C$15, $E$9, 100%, $G$9) + CHOOSE(CONTROL!$C$38, 0.0256, 0)</f>
        <v>82.943399999999997</v>
      </c>
      <c r="C1035" s="14">
        <f>78.4529 * CHOOSE(CONTROL!$C$15, $E$9, 100%, $G$9) + CHOOSE(CONTROL!$C$38, 0.0347, 0)</f>
        <v>78.4876</v>
      </c>
      <c r="D1035" s="14">
        <f>78.4451 * CHOOSE(CONTROL!$C$15, $E$9, 100%, $G$9) + CHOOSE(CONTROL!$C$38, 0.0347, 0)</f>
        <v>78.479799999999997</v>
      </c>
      <c r="E1035" s="46">
        <f>82.7616 * CHOOSE(CONTROL!$C$15, $E$9, 100%, $G$9) + CHOOSE(CONTROL!$C$38, 0.0347, 0)</f>
        <v>82.796300000000002</v>
      </c>
      <c r="F1035" s="45">
        <f>82.7616 * CHOOSE(CONTROL!$C$15, $E$9, 100%, $G$9) + CHOOSE(CONTROL!$C$38, 0.0256, 0)</f>
        <v>82.787199999999999</v>
      </c>
      <c r="G1035" s="14">
        <f>78.4513 * CHOOSE(CONTROL!$C$15, $E$9, 100%, $G$9) + CHOOSE(CONTROL!$C$38, 0.0347, 0)</f>
        <v>78.486000000000004</v>
      </c>
      <c r="H1035" s="14">
        <f>78.4513 * CHOOSE(CONTROL!$C$15, $E$9, 100%, $G$9) + CHOOSE(CONTROL!$C$38, 0.0347, 0)</f>
        <v>78.486000000000004</v>
      </c>
      <c r="I1035" s="14">
        <f>78.4529 * CHOOSE(CONTROL!$C$15, $E$9, 100%, $G$9) + CHOOSE(CONTROL!$C$38, 0.0347, 0)</f>
        <v>78.4876</v>
      </c>
      <c r="J1035" s="44">
        <f>829.498</f>
        <v>829.49800000000005</v>
      </c>
    </row>
    <row r="1036" spans="1:10" ht="15.75" x14ac:dyDescent="0.25">
      <c r="A1036" s="32">
        <v>72471</v>
      </c>
      <c r="B1036" s="14">
        <f>85.6797 * CHOOSE(CONTROL!$C$15, $E$9, 100%, $G$9) + CHOOSE(CONTROL!$C$38, 0.0278, 0)</f>
        <v>85.707499999999996</v>
      </c>
      <c r="C1036" s="14">
        <f>81.0701 * CHOOSE(CONTROL!$C$15, $E$9, 100%, $G$9) + CHOOSE(CONTROL!$C$38, 0.0369, 0)</f>
        <v>81.106999999999999</v>
      </c>
      <c r="D1036" s="14">
        <f>81.0623 * CHOOSE(CONTROL!$C$15, $E$9, 100%, $G$9) + CHOOSE(CONTROL!$C$38, 0.0369, 0)</f>
        <v>81.099199999999996</v>
      </c>
      <c r="E1036" s="46">
        <f>85.5234 * CHOOSE(CONTROL!$C$15, $E$9, 100%, $G$9) + CHOOSE(CONTROL!$C$38, 0.0369, 0)</f>
        <v>85.560299999999998</v>
      </c>
      <c r="F1036" s="45">
        <f>85.5234 * CHOOSE(CONTROL!$C$15, $E$9, 100%, $G$9) + CHOOSE(CONTROL!$C$38, 0.0278, 0)</f>
        <v>85.551199999999994</v>
      </c>
      <c r="G1036" s="14">
        <f>81.0686 * CHOOSE(CONTROL!$C$15, $E$9, 100%, $G$9) + CHOOSE(CONTROL!$C$38, 0.0369, 0)</f>
        <v>81.105500000000006</v>
      </c>
      <c r="H1036" s="14">
        <f>81.0686 * CHOOSE(CONTROL!$C$15, $E$9, 100%, $G$9) + CHOOSE(CONTROL!$C$38, 0.0369, 0)</f>
        <v>81.105500000000006</v>
      </c>
      <c r="I1036" s="14">
        <f>81.0701 * CHOOSE(CONTROL!$C$15, $E$9, 100%, $G$9) + CHOOSE(CONTROL!$C$38, 0.0369, 0)</f>
        <v>81.106999999999999</v>
      </c>
      <c r="J1036" s="44">
        <f>857.3343</f>
        <v>857.33429999999998</v>
      </c>
    </row>
    <row r="1037" spans="1:10" ht="15.75" x14ac:dyDescent="0.25">
      <c r="A1037" s="32">
        <v>72501</v>
      </c>
      <c r="B1037" s="14">
        <f>86.9054 * CHOOSE(CONTROL!$C$15, $E$9, 100%, $G$9) + CHOOSE(CONTROL!$C$38, 0.0278, 0)</f>
        <v>86.933199999999999</v>
      </c>
      <c r="C1037" s="14">
        <f>82.2316 * CHOOSE(CONTROL!$C$15, $E$9, 100%, $G$9) + CHOOSE(CONTROL!$C$38, 0.0369, 0)</f>
        <v>82.268500000000003</v>
      </c>
      <c r="D1037" s="14">
        <f>82.2238 * CHOOSE(CONTROL!$C$15, $E$9, 100%, $G$9) + CHOOSE(CONTROL!$C$38, 0.0369, 0)</f>
        <v>82.2607</v>
      </c>
      <c r="E1037" s="46">
        <f>86.7491 * CHOOSE(CONTROL!$C$15, $E$9, 100%, $G$9) + CHOOSE(CONTROL!$C$38, 0.0369, 0)</f>
        <v>86.786000000000001</v>
      </c>
      <c r="F1037" s="45">
        <f>86.7491 * CHOOSE(CONTROL!$C$15, $E$9, 100%, $G$9) + CHOOSE(CONTROL!$C$38, 0.0278, 0)</f>
        <v>86.776899999999998</v>
      </c>
      <c r="G1037" s="14">
        <f>82.2301 * CHOOSE(CONTROL!$C$15, $E$9, 100%, $G$9) + CHOOSE(CONTROL!$C$38, 0.0369, 0)</f>
        <v>82.266999999999996</v>
      </c>
      <c r="H1037" s="14">
        <f>82.2301 * CHOOSE(CONTROL!$C$15, $E$9, 100%, $G$9) + CHOOSE(CONTROL!$C$38, 0.0369, 0)</f>
        <v>82.266999999999996</v>
      </c>
      <c r="I1037" s="14">
        <f>82.2316 * CHOOSE(CONTROL!$C$15, $E$9, 100%, $G$9) + CHOOSE(CONTROL!$C$38, 0.0369, 0)</f>
        <v>82.268500000000003</v>
      </c>
      <c r="J1037" s="44">
        <f>869.6876</f>
        <v>869.68759999999997</v>
      </c>
    </row>
    <row r="1038" spans="1:10" ht="15.75" x14ac:dyDescent="0.25">
      <c r="A1038" s="32">
        <v>72532</v>
      </c>
      <c r="B1038" s="14">
        <f>86.5018 * CHOOSE(CONTROL!$C$15, $E$9, 100%, $G$9) + CHOOSE(CONTROL!$C$38, 0.0278, 0)</f>
        <v>86.529600000000002</v>
      </c>
      <c r="C1038" s="14">
        <f>81.8492 * CHOOSE(CONTROL!$C$15, $E$9, 100%, $G$9) + CHOOSE(CONTROL!$C$38, 0.0369, 0)</f>
        <v>81.886099999999999</v>
      </c>
      <c r="D1038" s="14">
        <f>81.8414 * CHOOSE(CONTROL!$C$15, $E$9, 100%, $G$9) + CHOOSE(CONTROL!$C$38, 0.0369, 0)</f>
        <v>81.878299999999996</v>
      </c>
      <c r="E1038" s="46">
        <f>86.3456 * CHOOSE(CONTROL!$C$15, $E$9, 100%, $G$9) + CHOOSE(CONTROL!$C$38, 0.0369, 0)</f>
        <v>86.382500000000007</v>
      </c>
      <c r="F1038" s="45">
        <f>86.3456 * CHOOSE(CONTROL!$C$15, $E$9, 100%, $G$9) + CHOOSE(CONTROL!$C$38, 0.0278, 0)</f>
        <v>86.373400000000004</v>
      </c>
      <c r="G1038" s="14">
        <f>81.8476 * CHOOSE(CONTROL!$C$15, $E$9, 100%, $G$9) + CHOOSE(CONTROL!$C$38, 0.0369, 0)</f>
        <v>81.884500000000003</v>
      </c>
      <c r="H1038" s="14">
        <f>81.8476 * CHOOSE(CONTROL!$C$15, $E$9, 100%, $G$9) + CHOOSE(CONTROL!$C$38, 0.0369, 0)</f>
        <v>81.884500000000003</v>
      </c>
      <c r="I1038" s="14">
        <f>81.8492 * CHOOSE(CONTROL!$C$15, $E$9, 100%, $G$9) + CHOOSE(CONTROL!$C$38, 0.0369, 0)</f>
        <v>81.886099999999999</v>
      </c>
      <c r="J1038" s="44">
        <f>865.6203</f>
        <v>865.62030000000004</v>
      </c>
    </row>
    <row r="1039" spans="1:10" ht="15.75" x14ac:dyDescent="0.25">
      <c r="A1039" s="32">
        <v>72563</v>
      </c>
      <c r="B1039" s="14">
        <f>84.5024 * CHOOSE(CONTROL!$C$15, $E$9, 100%, $G$9) + CHOOSE(CONTROL!$C$38, 0.0278, 0)</f>
        <v>84.530199999999994</v>
      </c>
      <c r="C1039" s="14">
        <f>79.9545 * CHOOSE(CONTROL!$C$15, $E$9, 100%, $G$9) + CHOOSE(CONTROL!$C$38, 0.0369, 0)</f>
        <v>79.991399999999999</v>
      </c>
      <c r="D1039" s="14">
        <f>79.9467 * CHOOSE(CONTROL!$C$15, $E$9, 100%, $G$9) + CHOOSE(CONTROL!$C$38, 0.0369, 0)</f>
        <v>79.98360000000001</v>
      </c>
      <c r="E1039" s="46">
        <f>84.3462 * CHOOSE(CONTROL!$C$15, $E$9, 100%, $G$9) + CHOOSE(CONTROL!$C$38, 0.0369, 0)</f>
        <v>84.383099999999999</v>
      </c>
      <c r="F1039" s="45">
        <f>84.3462 * CHOOSE(CONTROL!$C$15, $E$9, 100%, $G$9) + CHOOSE(CONTROL!$C$38, 0.0278, 0)</f>
        <v>84.373999999999995</v>
      </c>
      <c r="G1039" s="14">
        <f>79.953 * CHOOSE(CONTROL!$C$15, $E$9, 100%, $G$9) + CHOOSE(CONTROL!$C$38, 0.0369, 0)</f>
        <v>79.989900000000006</v>
      </c>
      <c r="H1039" s="14">
        <f>79.953 * CHOOSE(CONTROL!$C$15, $E$9, 100%, $G$9) + CHOOSE(CONTROL!$C$38, 0.0369, 0)</f>
        <v>79.989900000000006</v>
      </c>
      <c r="I1039" s="14">
        <f>79.9545 * CHOOSE(CONTROL!$C$15, $E$9, 100%, $G$9) + CHOOSE(CONTROL!$C$38, 0.0369, 0)</f>
        <v>79.991399999999999</v>
      </c>
      <c r="J1039" s="44">
        <f>845.469</f>
        <v>845.46900000000005</v>
      </c>
    </row>
    <row r="1040" spans="1:10" ht="15.75" x14ac:dyDescent="0.25">
      <c r="A1040" s="32">
        <v>72593</v>
      </c>
      <c r="B1040" s="14">
        <f>81.7142 * CHOOSE(CONTROL!$C$15, $E$9, 100%, $G$9) + CHOOSE(CONTROL!$C$38, 0.0278, 0)</f>
        <v>81.742000000000004</v>
      </c>
      <c r="C1040" s="14">
        <f>77.3123 * CHOOSE(CONTROL!$C$15, $E$9, 100%, $G$9) + CHOOSE(CONTROL!$C$38, 0.0369, 0)</f>
        <v>77.349199999999996</v>
      </c>
      <c r="D1040" s="14">
        <f>77.3045 * CHOOSE(CONTROL!$C$15, $E$9, 100%, $G$9) + CHOOSE(CONTROL!$C$38, 0.0369, 0)</f>
        <v>77.341400000000007</v>
      </c>
      <c r="E1040" s="46">
        <f>81.558 * CHOOSE(CONTROL!$C$15, $E$9, 100%, $G$9) + CHOOSE(CONTROL!$C$38, 0.0369, 0)</f>
        <v>81.59490000000001</v>
      </c>
      <c r="F1040" s="45">
        <f>81.558 * CHOOSE(CONTROL!$C$15, $E$9, 100%, $G$9) + CHOOSE(CONTROL!$C$38, 0.0278, 0)</f>
        <v>81.585800000000006</v>
      </c>
      <c r="G1040" s="14">
        <f>77.3107 * CHOOSE(CONTROL!$C$15, $E$9, 100%, $G$9) + CHOOSE(CONTROL!$C$38, 0.0369, 0)</f>
        <v>77.3476</v>
      </c>
      <c r="H1040" s="14">
        <f>77.3107 * CHOOSE(CONTROL!$C$15, $E$9, 100%, $G$9) + CHOOSE(CONTROL!$C$38, 0.0369, 0)</f>
        <v>77.3476</v>
      </c>
      <c r="I1040" s="14">
        <f>77.3123 * CHOOSE(CONTROL!$C$15, $E$9, 100%, $G$9) + CHOOSE(CONTROL!$C$38, 0.0369, 0)</f>
        <v>77.349199999999996</v>
      </c>
      <c r="J1040" s="44">
        <f>817.3671</f>
        <v>817.36710000000005</v>
      </c>
    </row>
    <row r="1041" spans="1:10" ht="15.75" x14ac:dyDescent="0.25">
      <c r="A1041" s="32">
        <v>72624</v>
      </c>
      <c r="B1041" s="14">
        <f>78.9098 * CHOOSE(CONTROL!$C$15, $E$9, 100%, $G$9) + CHOOSE(CONTROL!$C$38, 0.0256, 0)</f>
        <v>78.935400000000001</v>
      </c>
      <c r="C1041" s="14">
        <f>74.6547 * CHOOSE(CONTROL!$C$15, $E$9, 100%, $G$9) + CHOOSE(CONTROL!$C$38, 0.0347, 0)</f>
        <v>74.689400000000006</v>
      </c>
      <c r="D1041" s="14">
        <f>74.6469 * CHOOSE(CONTROL!$C$15, $E$9, 100%, $G$9) + CHOOSE(CONTROL!$C$38, 0.0347, 0)</f>
        <v>74.681600000000003</v>
      </c>
      <c r="E1041" s="46">
        <f>78.7536 * CHOOSE(CONTROL!$C$15, $E$9, 100%, $G$9) + CHOOSE(CONTROL!$C$38, 0.0347, 0)</f>
        <v>78.788300000000007</v>
      </c>
      <c r="F1041" s="45">
        <f>78.7536 * CHOOSE(CONTROL!$C$15, $E$9, 100%, $G$9) + CHOOSE(CONTROL!$C$38, 0.0256, 0)</f>
        <v>78.779200000000003</v>
      </c>
      <c r="G1041" s="14">
        <f>74.6531 * CHOOSE(CONTROL!$C$15, $E$9, 100%, $G$9) + CHOOSE(CONTROL!$C$38, 0.0347, 0)</f>
        <v>74.687799999999996</v>
      </c>
      <c r="H1041" s="14">
        <f>74.6531 * CHOOSE(CONTROL!$C$15, $E$9, 100%, $G$9) + CHOOSE(CONTROL!$C$38, 0.0347, 0)</f>
        <v>74.687799999999996</v>
      </c>
      <c r="I1041" s="14">
        <f>74.6547 * CHOOSE(CONTROL!$C$15, $E$9, 100%, $G$9) + CHOOSE(CONTROL!$C$38, 0.0347, 0)</f>
        <v>74.689400000000006</v>
      </c>
      <c r="J1041" s="44">
        <f>789.1017</f>
        <v>789.10170000000005</v>
      </c>
    </row>
    <row r="1042" spans="1:10" ht="15.75" x14ac:dyDescent="0.25">
      <c r="A1042" s="32">
        <v>72654</v>
      </c>
      <c r="B1042" s="14">
        <f>78.352 * CHOOSE(CONTROL!$C$15, $E$9, 100%, $G$9) + CHOOSE(CONTROL!$C$38, 0.0256, 0)</f>
        <v>78.377600000000001</v>
      </c>
      <c r="C1042" s="14">
        <f>74.126 * CHOOSE(CONTROL!$C$15, $E$9, 100%, $G$9) + CHOOSE(CONTROL!$C$38, 0.0347, 0)</f>
        <v>74.160700000000006</v>
      </c>
      <c r="D1042" s="14">
        <f>74.1182 * CHOOSE(CONTROL!$C$15, $E$9, 100%, $G$9) + CHOOSE(CONTROL!$C$38, 0.0347, 0)</f>
        <v>74.152900000000002</v>
      </c>
      <c r="E1042" s="46">
        <f>78.1957 * CHOOSE(CONTROL!$C$15, $E$9, 100%, $G$9) + CHOOSE(CONTROL!$C$38, 0.0347, 0)</f>
        <v>78.230400000000003</v>
      </c>
      <c r="F1042" s="45">
        <f>78.1957 * CHOOSE(CONTROL!$C$15, $E$9, 100%, $G$9) + CHOOSE(CONTROL!$C$38, 0.0256, 0)</f>
        <v>78.221299999999999</v>
      </c>
      <c r="G1042" s="14">
        <f>74.1245 * CHOOSE(CONTROL!$C$15, $E$9, 100%, $G$9) + CHOOSE(CONTROL!$C$38, 0.0347, 0)</f>
        <v>74.159199999999998</v>
      </c>
      <c r="H1042" s="14">
        <f>74.1245 * CHOOSE(CONTROL!$C$15, $E$9, 100%, $G$9) + CHOOSE(CONTROL!$C$38, 0.0347, 0)</f>
        <v>74.159199999999998</v>
      </c>
      <c r="I1042" s="14">
        <f>74.126 * CHOOSE(CONTROL!$C$15, $E$9, 100%, $G$9) + CHOOSE(CONTROL!$C$38, 0.0347, 0)</f>
        <v>74.160700000000006</v>
      </c>
      <c r="J1042" s="44">
        <f>783.4792</f>
        <v>783.47919999999999</v>
      </c>
    </row>
    <row r="1043" spans="1:10" ht="15.75" x14ac:dyDescent="0.25">
      <c r="A1043" s="32">
        <v>72685</v>
      </c>
      <c r="B1043" s="14">
        <f>76.0452 * CHOOSE(CONTROL!$C$15, $E$9, 100%, $G$9) + CHOOSE(CONTROL!$C$38, 0.0256, 0)</f>
        <v>76.070799999999991</v>
      </c>
      <c r="C1043" s="14">
        <f>71.94 * CHOOSE(CONTROL!$C$15, $E$9, 100%, $G$9) + CHOOSE(CONTROL!$C$38, 0.0347, 0)</f>
        <v>71.974699999999999</v>
      </c>
      <c r="D1043" s="14">
        <f>71.9322 * CHOOSE(CONTROL!$C$15, $E$9, 100%, $G$9) + CHOOSE(CONTROL!$C$38, 0.0347, 0)</f>
        <v>71.966899999999995</v>
      </c>
      <c r="E1043" s="46">
        <f>75.8889 * CHOOSE(CONTROL!$C$15, $E$9, 100%, $G$9) + CHOOSE(CONTROL!$C$38, 0.0347, 0)</f>
        <v>75.923600000000008</v>
      </c>
      <c r="F1043" s="45">
        <f>75.8889 * CHOOSE(CONTROL!$C$15, $E$9, 100%, $G$9) + CHOOSE(CONTROL!$C$38, 0.0256, 0)</f>
        <v>75.914500000000004</v>
      </c>
      <c r="G1043" s="14">
        <f>71.9385 * CHOOSE(CONTROL!$C$15, $E$9, 100%, $G$9) + CHOOSE(CONTROL!$C$38, 0.0347, 0)</f>
        <v>71.973200000000006</v>
      </c>
      <c r="H1043" s="14">
        <f>71.9385 * CHOOSE(CONTROL!$C$15, $E$9, 100%, $G$9) + CHOOSE(CONTROL!$C$38, 0.0347, 0)</f>
        <v>71.973200000000006</v>
      </c>
      <c r="I1043" s="14">
        <f>71.94 * CHOOSE(CONTROL!$C$15, $E$9, 100%, $G$9) + CHOOSE(CONTROL!$C$38, 0.0347, 0)</f>
        <v>71.974699999999999</v>
      </c>
      <c r="J1043" s="44">
        <f>760.2293</f>
        <v>760.22929999999997</v>
      </c>
    </row>
    <row r="1044" spans="1:10" ht="15.75" x14ac:dyDescent="0.25">
      <c r="A1044" s="32">
        <v>72716</v>
      </c>
      <c r="B1044" s="14">
        <f>75.4723 * CHOOSE(CONTROL!$C$15, $E$9, 100%, $G$9) + CHOOSE(CONTROL!$C$38, 0.0256, 0)</f>
        <v>75.497900000000001</v>
      </c>
      <c r="C1044" s="14">
        <f>71.3971 * CHOOSE(CONTROL!$C$15, $E$9, 100%, $G$9) + CHOOSE(CONTROL!$C$38, 0.0347, 0)</f>
        <v>71.431799999999996</v>
      </c>
      <c r="D1044" s="14">
        <f>71.3893 * CHOOSE(CONTROL!$C$15, $E$9, 100%, $G$9) + CHOOSE(CONTROL!$C$38, 0.0347, 0)</f>
        <v>71.424000000000007</v>
      </c>
      <c r="E1044" s="46">
        <f>75.3161 * CHOOSE(CONTROL!$C$15, $E$9, 100%, $G$9) + CHOOSE(CONTROL!$C$38, 0.0347, 0)</f>
        <v>75.350800000000007</v>
      </c>
      <c r="F1044" s="45">
        <f>75.3161 * CHOOSE(CONTROL!$C$15, $E$9, 100%, $G$9) + CHOOSE(CONTROL!$C$38, 0.0256, 0)</f>
        <v>75.341700000000003</v>
      </c>
      <c r="G1044" s="14">
        <f>71.3956 * CHOOSE(CONTROL!$C$15, $E$9, 100%, $G$9) + CHOOSE(CONTROL!$C$38, 0.0347, 0)</f>
        <v>71.430300000000003</v>
      </c>
      <c r="H1044" s="14">
        <f>71.3956 * CHOOSE(CONTROL!$C$15, $E$9, 100%, $G$9) + CHOOSE(CONTROL!$C$38, 0.0347, 0)</f>
        <v>71.430300000000003</v>
      </c>
      <c r="I1044" s="14">
        <f>71.3971 * CHOOSE(CONTROL!$C$15, $E$9, 100%, $G$9) + CHOOSE(CONTROL!$C$38, 0.0347, 0)</f>
        <v>71.431799999999996</v>
      </c>
      <c r="J1044" s="44">
        <f>759.249</f>
        <v>759.24900000000002</v>
      </c>
    </row>
    <row r="1045" spans="1:10" ht="15.75" x14ac:dyDescent="0.25">
      <c r="A1045" s="32">
        <v>72744</v>
      </c>
      <c r="B1045" s="14">
        <f>75.2643 * CHOOSE(CONTROL!$C$15, $E$9, 100%, $G$9) + CHOOSE(CONTROL!$C$38, 0.0256, 0)</f>
        <v>75.289900000000003</v>
      </c>
      <c r="C1045" s="14">
        <f>71.2 * CHOOSE(CONTROL!$C$15, $E$9, 100%, $G$9) + CHOOSE(CONTROL!$C$38, 0.0347, 0)</f>
        <v>71.234700000000004</v>
      </c>
      <c r="D1045" s="14">
        <f>71.1922 * CHOOSE(CONTROL!$C$15, $E$9, 100%, $G$9) + CHOOSE(CONTROL!$C$38, 0.0347, 0)</f>
        <v>71.226900000000001</v>
      </c>
      <c r="E1045" s="46">
        <f>75.108 * CHOOSE(CONTROL!$C$15, $E$9, 100%, $G$9) + CHOOSE(CONTROL!$C$38, 0.0347, 0)</f>
        <v>75.142700000000005</v>
      </c>
      <c r="F1045" s="45">
        <f>75.108 * CHOOSE(CONTROL!$C$15, $E$9, 100%, $G$9) + CHOOSE(CONTROL!$C$38, 0.0256, 0)</f>
        <v>75.133600000000001</v>
      </c>
      <c r="G1045" s="14">
        <f>71.1984 * CHOOSE(CONTROL!$C$15, $E$9, 100%, $G$9) + CHOOSE(CONTROL!$C$38, 0.0347, 0)</f>
        <v>71.233100000000007</v>
      </c>
      <c r="H1045" s="14">
        <f>71.1984 * CHOOSE(CONTROL!$C$15, $E$9, 100%, $G$9) + CHOOSE(CONTROL!$C$38, 0.0347, 0)</f>
        <v>71.233100000000007</v>
      </c>
      <c r="I1045" s="14">
        <f>71.2 * CHOOSE(CONTROL!$C$15, $E$9, 100%, $G$9) + CHOOSE(CONTROL!$C$38, 0.0347, 0)</f>
        <v>71.234700000000004</v>
      </c>
      <c r="J1045" s="44">
        <f>757.1385</f>
        <v>757.13850000000002</v>
      </c>
    </row>
    <row r="1046" spans="1:10" ht="15.75" x14ac:dyDescent="0.25">
      <c r="A1046" s="32">
        <v>72775</v>
      </c>
      <c r="B1046" s="14">
        <f>79.1986 * CHOOSE(CONTROL!$C$15, $E$9, 100%, $G$9) + CHOOSE(CONTROL!$C$38, 0.0256, 0)</f>
        <v>79.224199999999996</v>
      </c>
      <c r="C1046" s="14">
        <f>74.9283 * CHOOSE(CONTROL!$C$15, $E$9, 100%, $G$9) + CHOOSE(CONTROL!$C$38, 0.0347, 0)</f>
        <v>74.962999999999994</v>
      </c>
      <c r="D1046" s="14">
        <f>74.9205 * CHOOSE(CONTROL!$C$15, $E$9, 100%, $G$9) + CHOOSE(CONTROL!$C$38, 0.0347, 0)</f>
        <v>74.955200000000005</v>
      </c>
      <c r="E1046" s="46">
        <f>79.0423 * CHOOSE(CONTROL!$C$15, $E$9, 100%, $G$9) + CHOOSE(CONTROL!$C$38, 0.0347, 0)</f>
        <v>79.076999999999998</v>
      </c>
      <c r="F1046" s="45">
        <f>79.0423 * CHOOSE(CONTROL!$C$15, $E$9, 100%, $G$9) + CHOOSE(CONTROL!$C$38, 0.0256, 0)</f>
        <v>79.067899999999995</v>
      </c>
      <c r="G1046" s="14">
        <f>74.9268 * CHOOSE(CONTROL!$C$15, $E$9, 100%, $G$9) + CHOOSE(CONTROL!$C$38, 0.0347, 0)</f>
        <v>74.961500000000001</v>
      </c>
      <c r="H1046" s="14">
        <f>74.9268 * CHOOSE(CONTROL!$C$15, $E$9, 100%, $G$9) + CHOOSE(CONTROL!$C$38, 0.0347, 0)</f>
        <v>74.961500000000001</v>
      </c>
      <c r="I1046" s="14">
        <f>74.9283 * CHOOSE(CONTROL!$C$15, $E$9, 100%, $G$9) + CHOOSE(CONTROL!$C$38, 0.0347, 0)</f>
        <v>74.962999999999994</v>
      </c>
      <c r="J1046" s="44">
        <f>797.0441</f>
        <v>797.04409999999996</v>
      </c>
    </row>
    <row r="1047" spans="1:10" ht="15.75" x14ac:dyDescent="0.25">
      <c r="A1047" s="32">
        <v>72805</v>
      </c>
      <c r="B1047" s="14">
        <f>84.3005 * CHOOSE(CONTROL!$C$15, $E$9, 100%, $G$9) + CHOOSE(CONTROL!$C$38, 0.0256, 0)</f>
        <v>84.326099999999997</v>
      </c>
      <c r="C1047" s="14">
        <f>79.7631 * CHOOSE(CONTROL!$C$15, $E$9, 100%, $G$9) + CHOOSE(CONTROL!$C$38, 0.0347, 0)</f>
        <v>79.797799999999995</v>
      </c>
      <c r="D1047" s="14">
        <f>79.7553 * CHOOSE(CONTROL!$C$15, $E$9, 100%, $G$9) + CHOOSE(CONTROL!$C$38, 0.0347, 0)</f>
        <v>79.790000000000006</v>
      </c>
      <c r="E1047" s="46">
        <f>84.1442 * CHOOSE(CONTROL!$C$15, $E$9, 100%, $G$9) + CHOOSE(CONTROL!$C$38, 0.0347, 0)</f>
        <v>84.178899999999999</v>
      </c>
      <c r="F1047" s="45">
        <f>84.1442 * CHOOSE(CONTROL!$C$15, $E$9, 100%, $G$9) + CHOOSE(CONTROL!$C$38, 0.0256, 0)</f>
        <v>84.169799999999995</v>
      </c>
      <c r="G1047" s="14">
        <f>79.7616 * CHOOSE(CONTROL!$C$15, $E$9, 100%, $G$9) + CHOOSE(CONTROL!$C$38, 0.0347, 0)</f>
        <v>79.796300000000002</v>
      </c>
      <c r="H1047" s="14">
        <f>79.7616 * CHOOSE(CONTROL!$C$15, $E$9, 100%, $G$9) + CHOOSE(CONTROL!$C$38, 0.0347, 0)</f>
        <v>79.796300000000002</v>
      </c>
      <c r="I1047" s="14">
        <f>79.7631 * CHOOSE(CONTROL!$C$15, $E$9, 100%, $G$9) + CHOOSE(CONTROL!$C$38, 0.0347, 0)</f>
        <v>79.797799999999995</v>
      </c>
      <c r="J1047" s="44">
        <f>848.7921</f>
        <v>848.7921</v>
      </c>
    </row>
    <row r="1048" spans="1:10" ht="15.75" x14ac:dyDescent="0.25">
      <c r="A1048" s="32">
        <v>72836</v>
      </c>
      <c r="B1048" s="14">
        <f>87.1087 * CHOOSE(CONTROL!$C$15, $E$9, 100%, $G$9) + CHOOSE(CONTROL!$C$38, 0.0278, 0)</f>
        <v>87.136499999999998</v>
      </c>
      <c r="C1048" s="14">
        <f>82.4243 * CHOOSE(CONTROL!$C$15, $E$9, 100%, $G$9) + CHOOSE(CONTROL!$C$38, 0.0369, 0)</f>
        <v>82.461200000000005</v>
      </c>
      <c r="D1048" s="14">
        <f>82.4165 * CHOOSE(CONTROL!$C$15, $E$9, 100%, $G$9) + CHOOSE(CONTROL!$C$38, 0.0369, 0)</f>
        <v>82.453400000000002</v>
      </c>
      <c r="E1048" s="46">
        <f>86.9525 * CHOOSE(CONTROL!$C$15, $E$9, 100%, $G$9) + CHOOSE(CONTROL!$C$38, 0.0369, 0)</f>
        <v>86.989400000000003</v>
      </c>
      <c r="F1048" s="45">
        <f>86.9525 * CHOOSE(CONTROL!$C$15, $E$9, 100%, $G$9) + CHOOSE(CONTROL!$C$38, 0.0278, 0)</f>
        <v>86.9803</v>
      </c>
      <c r="G1048" s="14">
        <f>82.4228 * CHOOSE(CONTROL!$C$15, $E$9, 100%, $G$9) + CHOOSE(CONTROL!$C$38, 0.0369, 0)</f>
        <v>82.459699999999998</v>
      </c>
      <c r="H1048" s="14">
        <f>82.4228 * CHOOSE(CONTROL!$C$15, $E$9, 100%, $G$9) + CHOOSE(CONTROL!$C$38, 0.0369, 0)</f>
        <v>82.459699999999998</v>
      </c>
      <c r="I1048" s="14">
        <f>82.4243 * CHOOSE(CONTROL!$C$15, $E$9, 100%, $G$9) + CHOOSE(CONTROL!$C$38, 0.0369, 0)</f>
        <v>82.461200000000005</v>
      </c>
      <c r="J1048" s="44">
        <f>877.2759</f>
        <v>877.27589999999998</v>
      </c>
    </row>
    <row r="1049" spans="1:10" ht="15.75" x14ac:dyDescent="0.25">
      <c r="A1049" s="32">
        <v>72866</v>
      </c>
      <c r="B1049" s="14">
        <f>88.355 * CHOOSE(CONTROL!$C$15, $E$9, 100%, $G$9) + CHOOSE(CONTROL!$C$38, 0.0278, 0)</f>
        <v>88.382800000000003</v>
      </c>
      <c r="C1049" s="14">
        <f>83.6053 * CHOOSE(CONTROL!$C$15, $E$9, 100%, $G$9) + CHOOSE(CONTROL!$C$38, 0.0369, 0)</f>
        <v>83.642200000000003</v>
      </c>
      <c r="D1049" s="14">
        <f>83.5975 * CHOOSE(CONTROL!$C$15, $E$9, 100%, $G$9) + CHOOSE(CONTROL!$C$38, 0.0369, 0)</f>
        <v>83.634399999999999</v>
      </c>
      <c r="E1049" s="46">
        <f>88.1987 * CHOOSE(CONTROL!$C$15, $E$9, 100%, $G$9) + CHOOSE(CONTROL!$C$38, 0.0369, 0)</f>
        <v>88.235600000000005</v>
      </c>
      <c r="F1049" s="45">
        <f>88.1987 * CHOOSE(CONTROL!$C$15, $E$9, 100%, $G$9) + CHOOSE(CONTROL!$C$38, 0.0278, 0)</f>
        <v>88.226500000000001</v>
      </c>
      <c r="G1049" s="14">
        <f>83.6038 * CHOOSE(CONTROL!$C$15, $E$9, 100%, $G$9) + CHOOSE(CONTROL!$C$38, 0.0369, 0)</f>
        <v>83.64070000000001</v>
      </c>
      <c r="H1049" s="14">
        <f>83.6038 * CHOOSE(CONTROL!$C$15, $E$9, 100%, $G$9) + CHOOSE(CONTROL!$C$38, 0.0369, 0)</f>
        <v>83.64070000000001</v>
      </c>
      <c r="I1049" s="14">
        <f>83.6053 * CHOOSE(CONTROL!$C$15, $E$9, 100%, $G$9) + CHOOSE(CONTROL!$C$38, 0.0369, 0)</f>
        <v>83.642200000000003</v>
      </c>
      <c r="J1049" s="44">
        <f>889.9165</f>
        <v>889.91650000000004</v>
      </c>
    </row>
    <row r="1050" spans="1:10" ht="15.75" x14ac:dyDescent="0.25">
      <c r="A1050" s="32">
        <v>72897</v>
      </c>
      <c r="B1050" s="14">
        <f>87.9446 * CHOOSE(CONTROL!$C$15, $E$9, 100%, $G$9) + CHOOSE(CONTROL!$C$38, 0.0278, 0)</f>
        <v>87.972399999999993</v>
      </c>
      <c r="C1050" s="14">
        <f>83.2165 * CHOOSE(CONTROL!$C$15, $E$9, 100%, $G$9) + CHOOSE(CONTROL!$C$38, 0.0369, 0)</f>
        <v>83.253399999999999</v>
      </c>
      <c r="D1050" s="14">
        <f>83.2087 * CHOOSE(CONTROL!$C$15, $E$9, 100%, $G$9) + CHOOSE(CONTROL!$C$38, 0.0369, 0)</f>
        <v>83.245599999999996</v>
      </c>
      <c r="E1050" s="46">
        <f>87.7884 * CHOOSE(CONTROL!$C$15, $E$9, 100%, $G$9) + CHOOSE(CONTROL!$C$38, 0.0369, 0)</f>
        <v>87.825299999999999</v>
      </c>
      <c r="F1050" s="45">
        <f>87.7884 * CHOOSE(CONTROL!$C$15, $E$9, 100%, $G$9) + CHOOSE(CONTROL!$C$38, 0.0278, 0)</f>
        <v>87.816199999999995</v>
      </c>
      <c r="G1050" s="14">
        <f>83.2149 * CHOOSE(CONTROL!$C$15, $E$9, 100%, $G$9) + CHOOSE(CONTROL!$C$38, 0.0369, 0)</f>
        <v>83.251800000000003</v>
      </c>
      <c r="H1050" s="14">
        <f>83.2149 * CHOOSE(CONTROL!$C$15, $E$9, 100%, $G$9) + CHOOSE(CONTROL!$C$38, 0.0369, 0)</f>
        <v>83.251800000000003</v>
      </c>
      <c r="I1050" s="14">
        <f>83.2165 * CHOOSE(CONTROL!$C$15, $E$9, 100%, $G$9) + CHOOSE(CONTROL!$C$38, 0.0369, 0)</f>
        <v>83.253399999999999</v>
      </c>
      <c r="J1050" s="44">
        <f>885.7546</f>
        <v>885.75459999999998</v>
      </c>
    </row>
    <row r="1051" spans="1:10" ht="15.75" x14ac:dyDescent="0.25">
      <c r="A1051" s="32">
        <v>72928</v>
      </c>
      <c r="B1051" s="14">
        <f>85.9117 * CHOOSE(CONTROL!$C$15, $E$9, 100%, $G$9) + CHOOSE(CONTROL!$C$38, 0.0278, 0)</f>
        <v>85.939499999999995</v>
      </c>
      <c r="C1051" s="14">
        <f>81.29 * CHOOSE(CONTROL!$C$15, $E$9, 100%, $G$9) + CHOOSE(CONTROL!$C$38, 0.0369, 0)</f>
        <v>81.326900000000009</v>
      </c>
      <c r="D1051" s="14">
        <f>81.2822 * CHOOSE(CONTROL!$C$15, $E$9, 100%, $G$9) + CHOOSE(CONTROL!$C$38, 0.0369, 0)</f>
        <v>81.319100000000006</v>
      </c>
      <c r="E1051" s="46">
        <f>85.7554 * CHOOSE(CONTROL!$C$15, $E$9, 100%, $G$9) + CHOOSE(CONTROL!$C$38, 0.0369, 0)</f>
        <v>85.792299999999997</v>
      </c>
      <c r="F1051" s="45">
        <f>85.7554 * CHOOSE(CONTROL!$C$15, $E$9, 100%, $G$9) + CHOOSE(CONTROL!$C$38, 0.0278, 0)</f>
        <v>85.783199999999994</v>
      </c>
      <c r="G1051" s="14">
        <f>81.2884 * CHOOSE(CONTROL!$C$15, $E$9, 100%, $G$9) + CHOOSE(CONTROL!$C$38, 0.0369, 0)</f>
        <v>81.325299999999999</v>
      </c>
      <c r="H1051" s="14">
        <f>81.2884 * CHOOSE(CONTROL!$C$15, $E$9, 100%, $G$9) + CHOOSE(CONTROL!$C$38, 0.0369, 0)</f>
        <v>81.325299999999999</v>
      </c>
      <c r="I1051" s="14">
        <f>81.29 * CHOOSE(CONTROL!$C$15, $E$9, 100%, $G$9) + CHOOSE(CONTROL!$C$38, 0.0369, 0)</f>
        <v>81.326900000000009</v>
      </c>
      <c r="J1051" s="44">
        <f>865.1346</f>
        <v>865.13459999999998</v>
      </c>
    </row>
    <row r="1052" spans="1:10" ht="15.75" x14ac:dyDescent="0.25">
      <c r="A1052" s="32">
        <v>72958</v>
      </c>
      <c r="B1052" s="14">
        <f>83.0767 * CHOOSE(CONTROL!$C$15, $E$9, 100%, $G$9) + CHOOSE(CONTROL!$C$38, 0.0278, 0)</f>
        <v>83.104500000000002</v>
      </c>
      <c r="C1052" s="14">
        <f>78.6034 * CHOOSE(CONTROL!$C$15, $E$9, 100%, $G$9) + CHOOSE(CONTROL!$C$38, 0.0369, 0)</f>
        <v>78.640299999999996</v>
      </c>
      <c r="D1052" s="14">
        <f>78.5956 * CHOOSE(CONTROL!$C$15, $E$9, 100%, $G$9) + CHOOSE(CONTROL!$C$38, 0.0369, 0)</f>
        <v>78.632500000000007</v>
      </c>
      <c r="E1052" s="46">
        <f>82.9204 * CHOOSE(CONTROL!$C$15, $E$9, 100%, $G$9) + CHOOSE(CONTROL!$C$38, 0.0369, 0)</f>
        <v>82.957300000000004</v>
      </c>
      <c r="F1052" s="45">
        <f>82.9204 * CHOOSE(CONTROL!$C$15, $E$9, 100%, $G$9) + CHOOSE(CONTROL!$C$38, 0.0278, 0)</f>
        <v>82.9482</v>
      </c>
      <c r="G1052" s="14">
        <f>78.6018 * CHOOSE(CONTROL!$C$15, $E$9, 100%, $G$9) + CHOOSE(CONTROL!$C$38, 0.0369, 0)</f>
        <v>78.6387</v>
      </c>
      <c r="H1052" s="14">
        <f>78.6018 * CHOOSE(CONTROL!$C$15, $E$9, 100%, $G$9) + CHOOSE(CONTROL!$C$38, 0.0369, 0)</f>
        <v>78.6387</v>
      </c>
      <c r="I1052" s="14">
        <f>78.6034 * CHOOSE(CONTROL!$C$15, $E$9, 100%, $G$9) + CHOOSE(CONTROL!$C$38, 0.0369, 0)</f>
        <v>78.640299999999996</v>
      </c>
      <c r="J1052" s="44">
        <f>836.3791</f>
        <v>836.37909999999999</v>
      </c>
    </row>
    <row r="1053" spans="1:10" ht="15.75" x14ac:dyDescent="0.25">
      <c r="A1053" s="32">
        <v>72989</v>
      </c>
      <c r="B1053" s="14">
        <f>80.2251 * CHOOSE(CONTROL!$C$15, $E$9, 100%, $G$9) + CHOOSE(CONTROL!$C$38, 0.0256, 0)</f>
        <v>80.250699999999995</v>
      </c>
      <c r="C1053" s="14">
        <f>75.9011 * CHOOSE(CONTROL!$C$15, $E$9, 100%, $G$9) + CHOOSE(CONTROL!$C$38, 0.0347, 0)</f>
        <v>75.9358</v>
      </c>
      <c r="D1053" s="14">
        <f>75.8933 * CHOOSE(CONTROL!$C$15, $E$9, 100%, $G$9) + CHOOSE(CONTROL!$C$38, 0.0347, 0)</f>
        <v>75.927999999999997</v>
      </c>
      <c r="E1053" s="46">
        <f>80.0689 * CHOOSE(CONTROL!$C$15, $E$9, 100%, $G$9) + CHOOSE(CONTROL!$C$38, 0.0347, 0)</f>
        <v>80.1036</v>
      </c>
      <c r="F1053" s="45">
        <f>80.0689 * CHOOSE(CONTROL!$C$15, $E$9, 100%, $G$9) + CHOOSE(CONTROL!$C$38, 0.0256, 0)</f>
        <v>80.094499999999996</v>
      </c>
      <c r="G1053" s="14">
        <f>75.8996 * CHOOSE(CONTROL!$C$15, $E$9, 100%, $G$9) + CHOOSE(CONTROL!$C$38, 0.0347, 0)</f>
        <v>75.934300000000007</v>
      </c>
      <c r="H1053" s="14">
        <f>75.8996 * CHOOSE(CONTROL!$C$15, $E$9, 100%, $G$9) + CHOOSE(CONTROL!$C$38, 0.0347, 0)</f>
        <v>75.934300000000007</v>
      </c>
      <c r="I1053" s="14">
        <f>75.9011 * CHOOSE(CONTROL!$C$15, $E$9, 100%, $G$9) + CHOOSE(CONTROL!$C$38, 0.0347, 0)</f>
        <v>75.9358</v>
      </c>
      <c r="J1053" s="44">
        <f>807.4562</f>
        <v>807.45619999999997</v>
      </c>
    </row>
    <row r="1054" spans="1:10" ht="15.75" x14ac:dyDescent="0.25">
      <c r="A1054" s="32">
        <v>73019</v>
      </c>
      <c r="B1054" s="14">
        <f>79.6579 * CHOOSE(CONTROL!$C$15, $E$9, 100%, $G$9) + CHOOSE(CONTROL!$C$38, 0.0256, 0)</f>
        <v>79.683499999999995</v>
      </c>
      <c r="C1054" s="14">
        <f>75.3636 * CHOOSE(CONTROL!$C$15, $E$9, 100%, $G$9) + CHOOSE(CONTROL!$C$38, 0.0347, 0)</f>
        <v>75.398300000000006</v>
      </c>
      <c r="D1054" s="14">
        <f>75.3558 * CHOOSE(CONTROL!$C$15, $E$9, 100%, $G$9) + CHOOSE(CONTROL!$C$38, 0.0347, 0)</f>
        <v>75.390500000000003</v>
      </c>
      <c r="E1054" s="46">
        <f>79.5016 * CHOOSE(CONTROL!$C$15, $E$9, 100%, $G$9) + CHOOSE(CONTROL!$C$38, 0.0347, 0)</f>
        <v>79.536299999999997</v>
      </c>
      <c r="F1054" s="45">
        <f>79.5016 * CHOOSE(CONTROL!$C$15, $E$9, 100%, $G$9) + CHOOSE(CONTROL!$C$38, 0.0256, 0)</f>
        <v>79.527199999999993</v>
      </c>
      <c r="G1054" s="14">
        <f>75.362 * CHOOSE(CONTROL!$C$15, $E$9, 100%, $G$9) + CHOOSE(CONTROL!$C$38, 0.0347, 0)</f>
        <v>75.396699999999996</v>
      </c>
      <c r="H1054" s="14">
        <f>75.362 * CHOOSE(CONTROL!$C$15, $E$9, 100%, $G$9) + CHOOSE(CONTROL!$C$38, 0.0347, 0)</f>
        <v>75.396699999999996</v>
      </c>
      <c r="I1054" s="14">
        <f>75.3636 * CHOOSE(CONTROL!$C$15, $E$9, 100%, $G$9) + CHOOSE(CONTROL!$C$38, 0.0347, 0)</f>
        <v>75.398300000000006</v>
      </c>
      <c r="J1054" s="44">
        <f>801.7029</f>
        <v>801.7029</v>
      </c>
    </row>
    <row r="1055" spans="1:10" ht="15.75" x14ac:dyDescent="0.25">
      <c r="A1055" s="32">
        <v>73050</v>
      </c>
      <c r="B1055" s="14">
        <f>77.3124 * CHOOSE(CONTROL!$C$15, $E$9, 100%, $G$9) + CHOOSE(CONTROL!$C$38, 0.0256, 0)</f>
        <v>77.337999999999994</v>
      </c>
      <c r="C1055" s="14">
        <f>73.1408 * CHOOSE(CONTROL!$C$15, $E$9, 100%, $G$9) + CHOOSE(CONTROL!$C$38, 0.0347, 0)</f>
        <v>73.1755</v>
      </c>
      <c r="D1055" s="14">
        <f>73.133 * CHOOSE(CONTROL!$C$15, $E$9, 100%, $G$9) + CHOOSE(CONTROL!$C$38, 0.0347, 0)</f>
        <v>73.167699999999996</v>
      </c>
      <c r="E1055" s="46">
        <f>77.1561 * CHOOSE(CONTROL!$C$15, $E$9, 100%, $G$9) + CHOOSE(CONTROL!$C$38, 0.0347, 0)</f>
        <v>77.190799999999996</v>
      </c>
      <c r="F1055" s="45">
        <f>77.1561 * CHOOSE(CONTROL!$C$15, $E$9, 100%, $G$9) + CHOOSE(CONTROL!$C$38, 0.0256, 0)</f>
        <v>77.181699999999992</v>
      </c>
      <c r="G1055" s="14">
        <f>73.1393 * CHOOSE(CONTROL!$C$15, $E$9, 100%, $G$9) + CHOOSE(CONTROL!$C$38, 0.0347, 0)</f>
        <v>73.174000000000007</v>
      </c>
      <c r="H1055" s="14">
        <f>73.1393 * CHOOSE(CONTROL!$C$15, $E$9, 100%, $G$9) + CHOOSE(CONTROL!$C$38, 0.0347, 0)</f>
        <v>73.174000000000007</v>
      </c>
      <c r="I1055" s="14">
        <f>73.1408 * CHOOSE(CONTROL!$C$15, $E$9, 100%, $G$9) + CHOOSE(CONTROL!$C$38, 0.0347, 0)</f>
        <v>73.1755</v>
      </c>
      <c r="J1055" s="44">
        <f>777.9123</f>
        <v>777.91229999999996</v>
      </c>
    </row>
    <row r="1056" spans="1:10" ht="15.75" x14ac:dyDescent="0.25">
      <c r="A1056" s="32">
        <v>73081</v>
      </c>
      <c r="B1056" s="14">
        <f>76.7299 * CHOOSE(CONTROL!$C$15, $E$9, 100%, $G$9) + CHOOSE(CONTROL!$C$38, 0.0256, 0)</f>
        <v>76.755499999999998</v>
      </c>
      <c r="C1056" s="14">
        <f>72.5889 * CHOOSE(CONTROL!$C$15, $E$9, 100%, $G$9) + CHOOSE(CONTROL!$C$38, 0.0347, 0)</f>
        <v>72.623599999999996</v>
      </c>
      <c r="D1056" s="14">
        <f>72.581 * CHOOSE(CONTROL!$C$15, $E$9, 100%, $G$9) + CHOOSE(CONTROL!$C$38, 0.0347, 0)</f>
        <v>72.615700000000004</v>
      </c>
      <c r="E1056" s="46">
        <f>76.5736 * CHOOSE(CONTROL!$C$15, $E$9, 100%, $G$9) + CHOOSE(CONTROL!$C$38, 0.0347, 0)</f>
        <v>76.6083</v>
      </c>
      <c r="F1056" s="45">
        <f>76.5736 * CHOOSE(CONTROL!$C$15, $E$9, 100%, $G$9) + CHOOSE(CONTROL!$C$38, 0.0256, 0)</f>
        <v>76.599199999999996</v>
      </c>
      <c r="G1056" s="14">
        <f>72.5873 * CHOOSE(CONTROL!$C$15, $E$9, 100%, $G$9) + CHOOSE(CONTROL!$C$38, 0.0347, 0)</f>
        <v>72.622</v>
      </c>
      <c r="H1056" s="14">
        <f>72.5873 * CHOOSE(CONTROL!$C$15, $E$9, 100%, $G$9) + CHOOSE(CONTROL!$C$38, 0.0347, 0)</f>
        <v>72.622</v>
      </c>
      <c r="I1056" s="14">
        <f>72.5889 * CHOOSE(CONTROL!$C$15, $E$9, 100%, $G$9) + CHOOSE(CONTROL!$C$38, 0.0347, 0)</f>
        <v>72.623599999999996</v>
      </c>
      <c r="J1056" s="44">
        <f>776.9091</f>
        <v>776.90909999999997</v>
      </c>
    </row>
    <row r="1057" spans="1:11" ht="15.75" x14ac:dyDescent="0.25">
      <c r="A1057" s="32">
        <v>73109</v>
      </c>
      <c r="B1057" s="14">
        <f>76.5183 * CHOOSE(CONTROL!$C$15, $E$9, 100%, $G$9) + CHOOSE(CONTROL!$C$38, 0.0256, 0)</f>
        <v>76.543899999999994</v>
      </c>
      <c r="C1057" s="14">
        <f>72.3884 * CHOOSE(CONTROL!$C$15, $E$9, 100%, $G$9) + CHOOSE(CONTROL!$C$38, 0.0347, 0)</f>
        <v>72.423100000000005</v>
      </c>
      <c r="D1057" s="14">
        <f>72.3806 * CHOOSE(CONTROL!$C$15, $E$9, 100%, $G$9) + CHOOSE(CONTROL!$C$38, 0.0347, 0)</f>
        <v>72.415300000000002</v>
      </c>
      <c r="E1057" s="46">
        <f>76.3621 * CHOOSE(CONTROL!$C$15, $E$9, 100%, $G$9) + CHOOSE(CONTROL!$C$38, 0.0347, 0)</f>
        <v>76.396799999999999</v>
      </c>
      <c r="F1057" s="45">
        <f>76.3621 * CHOOSE(CONTROL!$C$15, $E$9, 100%, $G$9) + CHOOSE(CONTROL!$C$38, 0.0256, 0)</f>
        <v>76.387699999999995</v>
      </c>
      <c r="G1057" s="14">
        <f>72.3868 * CHOOSE(CONTROL!$C$15, $E$9, 100%, $G$9) + CHOOSE(CONTROL!$C$38, 0.0347, 0)</f>
        <v>72.421499999999995</v>
      </c>
      <c r="H1057" s="14">
        <f>72.3868 * CHOOSE(CONTROL!$C$15, $E$9, 100%, $G$9) + CHOOSE(CONTROL!$C$38, 0.0347, 0)</f>
        <v>72.421499999999995</v>
      </c>
      <c r="I1057" s="14">
        <f>72.3884 * CHOOSE(CONTROL!$C$15, $E$9, 100%, $G$9) + CHOOSE(CONTROL!$C$38, 0.0347, 0)</f>
        <v>72.423100000000005</v>
      </c>
      <c r="J1057" s="44">
        <f>774.7496</f>
        <v>774.74959999999999</v>
      </c>
    </row>
    <row r="1058" spans="1:11" ht="15.75" x14ac:dyDescent="0.25">
      <c r="A1058" s="32">
        <v>73140</v>
      </c>
      <c r="B1058" s="14">
        <f>80.5187 * CHOOSE(CONTROL!$C$15, $E$9, 100%, $G$9) + CHOOSE(CONTROL!$C$38, 0.0256, 0)</f>
        <v>80.544299999999993</v>
      </c>
      <c r="C1058" s="14">
        <f>76.1794 * CHOOSE(CONTROL!$C$15, $E$9, 100%, $G$9) + CHOOSE(CONTROL!$C$38, 0.0347, 0)</f>
        <v>76.214100000000002</v>
      </c>
      <c r="D1058" s="14">
        <f>76.1715 * CHOOSE(CONTROL!$C$15, $E$9, 100%, $G$9) + CHOOSE(CONTROL!$C$38, 0.0347, 0)</f>
        <v>76.206199999999995</v>
      </c>
      <c r="E1058" s="46">
        <f>80.3625 * CHOOSE(CONTROL!$C$15, $E$9, 100%, $G$9) + CHOOSE(CONTROL!$C$38, 0.0347, 0)</f>
        <v>80.397199999999998</v>
      </c>
      <c r="F1058" s="45">
        <f>80.3625 * CHOOSE(CONTROL!$C$15, $E$9, 100%, $G$9) + CHOOSE(CONTROL!$C$38, 0.0256, 0)</f>
        <v>80.388099999999994</v>
      </c>
      <c r="G1058" s="14">
        <f>76.1778 * CHOOSE(CONTROL!$C$15, $E$9, 100%, $G$9) + CHOOSE(CONTROL!$C$38, 0.0347, 0)</f>
        <v>76.212500000000006</v>
      </c>
      <c r="H1058" s="14">
        <f>76.1778 * CHOOSE(CONTROL!$C$15, $E$9, 100%, $G$9) + CHOOSE(CONTROL!$C$38, 0.0347, 0)</f>
        <v>76.212500000000006</v>
      </c>
      <c r="I1058" s="14">
        <f>76.1794 * CHOOSE(CONTROL!$C$15, $E$9, 100%, $G$9) + CHOOSE(CONTROL!$C$38, 0.0347, 0)</f>
        <v>76.214100000000002</v>
      </c>
      <c r="J1058" s="44">
        <f>815.5834</f>
        <v>815.58339999999998</v>
      </c>
    </row>
    <row r="1059" spans="1:11" ht="15.75" x14ac:dyDescent="0.25">
      <c r="A1059" s="32">
        <v>73170</v>
      </c>
      <c r="B1059" s="14">
        <f>85.7063 * CHOOSE(CONTROL!$C$15, $E$9, 100%, $G$9) + CHOOSE(CONTROL!$C$38, 0.0256, 0)</f>
        <v>85.731899999999996</v>
      </c>
      <c r="C1059" s="14">
        <f>81.0954 * CHOOSE(CONTROL!$C$15, $E$9, 100%, $G$9) + CHOOSE(CONTROL!$C$38, 0.0347, 0)</f>
        <v>81.130099999999999</v>
      </c>
      <c r="D1059" s="14">
        <f>81.0876 * CHOOSE(CONTROL!$C$15, $E$9, 100%, $G$9) + CHOOSE(CONTROL!$C$38, 0.0347, 0)</f>
        <v>81.122299999999996</v>
      </c>
      <c r="E1059" s="46">
        <f>85.5501 * CHOOSE(CONTROL!$C$15, $E$9, 100%, $G$9) + CHOOSE(CONTROL!$C$38, 0.0347, 0)</f>
        <v>85.584800000000001</v>
      </c>
      <c r="F1059" s="45">
        <f>85.5501 * CHOOSE(CONTROL!$C$15, $E$9, 100%, $G$9) + CHOOSE(CONTROL!$C$38, 0.0256, 0)</f>
        <v>85.575699999999998</v>
      </c>
      <c r="G1059" s="14">
        <f>81.0938 * CHOOSE(CONTROL!$C$15, $E$9, 100%, $G$9) + CHOOSE(CONTROL!$C$38, 0.0347, 0)</f>
        <v>81.128500000000003</v>
      </c>
      <c r="H1059" s="14">
        <f>81.0938 * CHOOSE(CONTROL!$C$15, $E$9, 100%, $G$9) + CHOOSE(CONTROL!$C$38, 0.0347, 0)</f>
        <v>81.128500000000003</v>
      </c>
      <c r="I1059" s="14">
        <f>81.0954 * CHOOSE(CONTROL!$C$15, $E$9, 100%, $G$9) + CHOOSE(CONTROL!$C$38, 0.0347, 0)</f>
        <v>81.130099999999999</v>
      </c>
      <c r="J1059" s="44">
        <f>868.535</f>
        <v>868.53499999999997</v>
      </c>
    </row>
    <row r="1060" spans="1:11" ht="15.75" x14ac:dyDescent="0.25">
      <c r="A1060" s="32">
        <v>73201</v>
      </c>
      <c r="B1060" s="14">
        <f>88.5618 * CHOOSE(CONTROL!$C$15, $E$9, 100%, $G$9) + CHOOSE(CONTROL!$C$38, 0.0278, 0)</f>
        <v>88.589600000000004</v>
      </c>
      <c r="C1060" s="14">
        <f>83.8013 * CHOOSE(CONTROL!$C$15, $E$9, 100%, $G$9) + CHOOSE(CONTROL!$C$38, 0.0369, 0)</f>
        <v>83.838200000000001</v>
      </c>
      <c r="D1060" s="14">
        <f>83.7935 * CHOOSE(CONTROL!$C$15, $E$9, 100%, $G$9) + CHOOSE(CONTROL!$C$38, 0.0369, 0)</f>
        <v>83.830399999999997</v>
      </c>
      <c r="E1060" s="46">
        <f>88.4055 * CHOOSE(CONTROL!$C$15, $E$9, 100%, $G$9) + CHOOSE(CONTROL!$C$38, 0.0369, 0)</f>
        <v>88.442400000000006</v>
      </c>
      <c r="F1060" s="45">
        <f>88.4055 * CHOOSE(CONTROL!$C$15, $E$9, 100%, $G$9) + CHOOSE(CONTROL!$C$38, 0.0278, 0)</f>
        <v>88.433300000000003</v>
      </c>
      <c r="G1060" s="14">
        <f>83.7997 * CHOOSE(CONTROL!$C$15, $E$9, 100%, $G$9) + CHOOSE(CONTROL!$C$38, 0.0369, 0)</f>
        <v>83.836600000000004</v>
      </c>
      <c r="H1060" s="14">
        <f>83.7997 * CHOOSE(CONTROL!$C$15, $E$9, 100%, $G$9) + CHOOSE(CONTROL!$C$38, 0.0369, 0)</f>
        <v>83.836600000000004</v>
      </c>
      <c r="I1060" s="14">
        <f>83.8013 * CHOOSE(CONTROL!$C$15, $E$9, 100%, $G$9) + CHOOSE(CONTROL!$C$38, 0.0369, 0)</f>
        <v>83.838200000000001</v>
      </c>
      <c r="J1060" s="44">
        <f>897.6814</f>
        <v>897.68140000000005</v>
      </c>
    </row>
    <row r="1061" spans="1:11" ht="15.75" x14ac:dyDescent="0.25">
      <c r="A1061" s="32">
        <v>73231</v>
      </c>
      <c r="B1061" s="14">
        <f>89.8289 * CHOOSE(CONTROL!$C$15, $E$9, 100%, $G$9) + CHOOSE(CONTROL!$C$38, 0.0278, 0)</f>
        <v>89.856700000000004</v>
      </c>
      <c r="C1061" s="14">
        <f>85.0021 * CHOOSE(CONTROL!$C$15, $E$9, 100%, $G$9) + CHOOSE(CONTROL!$C$38, 0.0369, 0)</f>
        <v>85.039000000000001</v>
      </c>
      <c r="D1061" s="14">
        <f>84.9943 * CHOOSE(CONTROL!$C$15, $E$9, 100%, $G$9) + CHOOSE(CONTROL!$C$38, 0.0369, 0)</f>
        <v>85.031199999999998</v>
      </c>
      <c r="E1061" s="46">
        <f>89.6727 * CHOOSE(CONTROL!$C$15, $E$9, 100%, $G$9) + CHOOSE(CONTROL!$C$38, 0.0369, 0)</f>
        <v>89.709600000000009</v>
      </c>
      <c r="F1061" s="45">
        <f>89.6727 * CHOOSE(CONTROL!$C$15, $E$9, 100%, $G$9) + CHOOSE(CONTROL!$C$38, 0.0278, 0)</f>
        <v>89.700500000000005</v>
      </c>
      <c r="G1061" s="14">
        <f>85.0006 * CHOOSE(CONTROL!$C$15, $E$9, 100%, $G$9) + CHOOSE(CONTROL!$C$38, 0.0369, 0)</f>
        <v>85.037500000000009</v>
      </c>
      <c r="H1061" s="14">
        <f>85.0006 * CHOOSE(CONTROL!$C$15, $E$9, 100%, $G$9) + CHOOSE(CONTROL!$C$38, 0.0369, 0)</f>
        <v>85.037500000000009</v>
      </c>
      <c r="I1061" s="14">
        <f>85.0021 * CHOOSE(CONTROL!$C$15, $E$9, 100%, $G$9) + CHOOSE(CONTROL!$C$38, 0.0369, 0)</f>
        <v>85.039000000000001</v>
      </c>
      <c r="J1061" s="44">
        <f>910.616</f>
        <v>910.61599999999999</v>
      </c>
    </row>
    <row r="1062" spans="1:11" ht="15.75" x14ac:dyDescent="0.25">
      <c r="A1062" s="32">
        <v>73262</v>
      </c>
      <c r="B1062" s="14">
        <f>89.4117 * CHOOSE(CONTROL!$C$15, $E$9, 100%, $G$9) + CHOOSE(CONTROL!$C$38, 0.0278, 0)</f>
        <v>89.439499999999995</v>
      </c>
      <c r="C1062" s="14">
        <f>84.6068 * CHOOSE(CONTROL!$C$15, $E$9, 100%, $G$9) + CHOOSE(CONTROL!$C$38, 0.0369, 0)</f>
        <v>84.64370000000001</v>
      </c>
      <c r="D1062" s="14">
        <f>84.599 * CHOOSE(CONTROL!$C$15, $E$9, 100%, $G$9) + CHOOSE(CONTROL!$C$38, 0.0369, 0)</f>
        <v>84.635900000000007</v>
      </c>
      <c r="E1062" s="46">
        <f>89.2555 * CHOOSE(CONTROL!$C$15, $E$9, 100%, $G$9) + CHOOSE(CONTROL!$C$38, 0.0369, 0)</f>
        <v>89.292400000000001</v>
      </c>
      <c r="F1062" s="45">
        <f>89.2555 * CHOOSE(CONTROL!$C$15, $E$9, 100%, $G$9) + CHOOSE(CONTROL!$C$38, 0.0278, 0)</f>
        <v>89.283299999999997</v>
      </c>
      <c r="G1062" s="14">
        <f>84.6052 * CHOOSE(CONTROL!$C$15, $E$9, 100%, $G$9) + CHOOSE(CONTROL!$C$38, 0.0369, 0)</f>
        <v>84.642099999999999</v>
      </c>
      <c r="H1062" s="14">
        <f>84.6052 * CHOOSE(CONTROL!$C$15, $E$9, 100%, $G$9) + CHOOSE(CONTROL!$C$38, 0.0369, 0)</f>
        <v>84.642099999999999</v>
      </c>
      <c r="I1062" s="14">
        <f>84.6068 * CHOOSE(CONTROL!$C$15, $E$9, 100%, $G$9) + CHOOSE(CONTROL!$C$38, 0.0369, 0)</f>
        <v>84.64370000000001</v>
      </c>
      <c r="J1062" s="44">
        <f>906.3573</f>
        <v>906.35730000000001</v>
      </c>
    </row>
    <row r="1063" spans="1:11" ht="15.75" x14ac:dyDescent="0.25">
      <c r="A1063" s="32">
        <v>73293</v>
      </c>
      <c r="B1063" s="14">
        <f>87.3446 * CHOOSE(CONTROL!$C$15, $E$9, 100%, $G$9) + CHOOSE(CONTROL!$C$38, 0.0278, 0)</f>
        <v>87.372399999999999</v>
      </c>
      <c r="C1063" s="14">
        <f>82.6479 * CHOOSE(CONTROL!$C$15, $E$9, 100%, $G$9) + CHOOSE(CONTROL!$C$38, 0.0369, 0)</f>
        <v>82.68480000000001</v>
      </c>
      <c r="D1063" s="14">
        <f>82.6401 * CHOOSE(CONTROL!$C$15, $E$9, 100%, $G$9) + CHOOSE(CONTROL!$C$38, 0.0369, 0)</f>
        <v>82.677000000000007</v>
      </c>
      <c r="E1063" s="46">
        <f>87.1884 * CHOOSE(CONTROL!$C$15, $E$9, 100%, $G$9) + CHOOSE(CONTROL!$C$38, 0.0369, 0)</f>
        <v>87.225300000000004</v>
      </c>
      <c r="F1063" s="45">
        <f>87.1884 * CHOOSE(CONTROL!$C$15, $E$9, 100%, $G$9) + CHOOSE(CONTROL!$C$38, 0.0278, 0)</f>
        <v>87.216200000000001</v>
      </c>
      <c r="G1063" s="14">
        <f>82.6463 * CHOOSE(CONTROL!$C$15, $E$9, 100%, $G$9) + CHOOSE(CONTROL!$C$38, 0.0369, 0)</f>
        <v>82.683199999999999</v>
      </c>
      <c r="H1063" s="14">
        <f>82.6463 * CHOOSE(CONTROL!$C$15, $E$9, 100%, $G$9) + CHOOSE(CONTROL!$C$38, 0.0369, 0)</f>
        <v>82.683199999999999</v>
      </c>
      <c r="I1063" s="14">
        <f>82.6479 * CHOOSE(CONTROL!$C$15, $E$9, 100%, $G$9) + CHOOSE(CONTROL!$C$38, 0.0369, 0)</f>
        <v>82.68480000000001</v>
      </c>
      <c r="J1063" s="44">
        <f>885.2577</f>
        <v>885.2577</v>
      </c>
    </row>
    <row r="1064" spans="1:11" ht="15.75" x14ac:dyDescent="0.25">
      <c r="A1064" s="32">
        <v>73323</v>
      </c>
      <c r="B1064" s="14">
        <f>84.462 * CHOOSE(CONTROL!$C$15, $E$9, 100%, $G$9) + CHOOSE(CONTROL!$C$38, 0.0278, 0)</f>
        <v>84.489800000000002</v>
      </c>
      <c r="C1064" s="14">
        <f>79.9161 * CHOOSE(CONTROL!$C$15, $E$9, 100%, $G$9) + CHOOSE(CONTROL!$C$38, 0.0369, 0)</f>
        <v>79.953000000000003</v>
      </c>
      <c r="D1064" s="14">
        <f>79.9083 * CHOOSE(CONTROL!$C$15, $E$9, 100%, $G$9) + CHOOSE(CONTROL!$C$38, 0.0369, 0)</f>
        <v>79.9452</v>
      </c>
      <c r="E1064" s="46">
        <f>84.3057 * CHOOSE(CONTROL!$C$15, $E$9, 100%, $G$9) + CHOOSE(CONTROL!$C$38, 0.0369, 0)</f>
        <v>84.342600000000004</v>
      </c>
      <c r="F1064" s="45">
        <f>84.3057 * CHOOSE(CONTROL!$C$15, $E$9, 100%, $G$9) + CHOOSE(CONTROL!$C$38, 0.0278, 0)</f>
        <v>84.333500000000001</v>
      </c>
      <c r="G1064" s="14">
        <f>79.9146 * CHOOSE(CONTROL!$C$15, $E$9, 100%, $G$9) + CHOOSE(CONTROL!$C$38, 0.0369, 0)</f>
        <v>79.951499999999996</v>
      </c>
      <c r="H1064" s="14">
        <f>79.9146 * CHOOSE(CONTROL!$C$15, $E$9, 100%, $G$9) + CHOOSE(CONTROL!$C$38, 0.0369, 0)</f>
        <v>79.951499999999996</v>
      </c>
      <c r="I1064" s="14">
        <f>79.9161 * CHOOSE(CONTROL!$C$15, $E$9, 100%, $G$9) + CHOOSE(CONTROL!$C$38, 0.0369, 0)</f>
        <v>79.953000000000003</v>
      </c>
      <c r="J1064" s="44">
        <f>855.8332</f>
        <v>855.83320000000003</v>
      </c>
    </row>
    <row r="1065" spans="1:11" ht="15.75" x14ac:dyDescent="0.25">
      <c r="A1065" s="32">
        <v>73354</v>
      </c>
      <c r="B1065" s="14">
        <f>81.5625 * CHOOSE(CONTROL!$C$15, $E$9, 100%, $G$9) + CHOOSE(CONTROL!$C$38, 0.0256, 0)</f>
        <v>81.588099999999997</v>
      </c>
      <c r="C1065" s="14">
        <f>77.1685 * CHOOSE(CONTROL!$C$15, $E$9, 100%, $G$9) + CHOOSE(CONTROL!$C$38, 0.0347, 0)</f>
        <v>77.203199999999995</v>
      </c>
      <c r="D1065" s="14">
        <f>77.1607 * CHOOSE(CONTROL!$C$15, $E$9, 100%, $G$9) + CHOOSE(CONTROL!$C$38, 0.0347, 0)</f>
        <v>77.195400000000006</v>
      </c>
      <c r="E1065" s="46">
        <f>81.4063 * CHOOSE(CONTROL!$C$15, $E$9, 100%, $G$9) + CHOOSE(CONTROL!$C$38, 0.0347, 0)</f>
        <v>81.441000000000003</v>
      </c>
      <c r="F1065" s="45">
        <f>81.4063 * CHOOSE(CONTROL!$C$15, $E$9, 100%, $G$9) + CHOOSE(CONTROL!$C$38, 0.0256, 0)</f>
        <v>81.431899999999999</v>
      </c>
      <c r="G1065" s="14">
        <f>77.1669 * CHOOSE(CONTROL!$C$15, $E$9, 100%, $G$9) + CHOOSE(CONTROL!$C$38, 0.0347, 0)</f>
        <v>77.201599999999999</v>
      </c>
      <c r="H1065" s="14">
        <f>77.1669 * CHOOSE(CONTROL!$C$15, $E$9, 100%, $G$9) + CHOOSE(CONTROL!$C$38, 0.0347, 0)</f>
        <v>77.201599999999999</v>
      </c>
      <c r="I1065" s="14">
        <f>77.1685 * CHOOSE(CONTROL!$C$15, $E$9, 100%, $G$9) + CHOOSE(CONTROL!$C$38, 0.0347, 0)</f>
        <v>77.203199999999995</v>
      </c>
      <c r="J1065" s="44">
        <f>826.2376</f>
        <v>826.23760000000004</v>
      </c>
    </row>
    <row r="1066" spans="1:11" ht="15.75" x14ac:dyDescent="0.25">
      <c r="A1066" s="32">
        <v>73384</v>
      </c>
      <c r="B1066" s="14">
        <f>80.9858 * CHOOSE(CONTROL!$C$15, $E$9, 100%, $G$9) + CHOOSE(CONTROL!$C$38, 0.0256, 0)</f>
        <v>81.011399999999995</v>
      </c>
      <c r="C1066" s="14">
        <f>76.6219 * CHOOSE(CONTROL!$C$15, $E$9, 100%, $G$9) + CHOOSE(CONTROL!$C$38, 0.0347, 0)</f>
        <v>76.656599999999997</v>
      </c>
      <c r="D1066" s="14">
        <f>76.6141 * CHOOSE(CONTROL!$C$15, $E$9, 100%, $G$9) + CHOOSE(CONTROL!$C$38, 0.0347, 0)</f>
        <v>76.648799999999994</v>
      </c>
      <c r="E1066" s="46">
        <f>80.8295 * CHOOSE(CONTROL!$C$15, $E$9, 100%, $G$9) + CHOOSE(CONTROL!$C$38, 0.0347, 0)</f>
        <v>80.864199999999997</v>
      </c>
      <c r="F1066" s="45">
        <f>80.8295 * CHOOSE(CONTROL!$C$15, $E$9, 100%, $G$9) + CHOOSE(CONTROL!$C$38, 0.0256, 0)</f>
        <v>80.855099999999993</v>
      </c>
      <c r="G1066" s="14">
        <f>76.6204 * CHOOSE(CONTROL!$C$15, $E$9, 100%, $G$9) + CHOOSE(CONTROL!$C$38, 0.0347, 0)</f>
        <v>76.655100000000004</v>
      </c>
      <c r="H1066" s="14">
        <f>76.6204 * CHOOSE(CONTROL!$C$15, $E$9, 100%, $G$9) + CHOOSE(CONTROL!$C$38, 0.0347, 0)</f>
        <v>76.655100000000004</v>
      </c>
      <c r="I1066" s="14">
        <f>76.6219 * CHOOSE(CONTROL!$C$15, $E$9, 100%, $G$9) + CHOOSE(CONTROL!$C$38, 0.0347, 0)</f>
        <v>76.656599999999997</v>
      </c>
      <c r="J1066" s="44">
        <f>820.3505</f>
        <v>820.35050000000001</v>
      </c>
    </row>
    <row r="1067" spans="1:11" ht="15.75" x14ac:dyDescent="0.25">
      <c r="A1067" s="32">
        <v>73415</v>
      </c>
      <c r="B1067" s="14">
        <f>78.6008 * CHOOSE(CONTROL!$C$15, $E$9, 100%, $G$9) + CHOOSE(CONTROL!$C$38, 0.0256, 0)</f>
        <v>78.626400000000004</v>
      </c>
      <c r="C1067" s="14">
        <f>74.3619 * CHOOSE(CONTROL!$C$15, $E$9, 100%, $G$9) + CHOOSE(CONTROL!$C$38, 0.0347, 0)</f>
        <v>74.396600000000007</v>
      </c>
      <c r="D1067" s="14">
        <f>74.354 * CHOOSE(CONTROL!$C$15, $E$9, 100%, $G$9) + CHOOSE(CONTROL!$C$38, 0.0347, 0)</f>
        <v>74.3887</v>
      </c>
      <c r="E1067" s="46">
        <f>78.4446 * CHOOSE(CONTROL!$C$15, $E$9, 100%, $G$9) + CHOOSE(CONTROL!$C$38, 0.0347, 0)</f>
        <v>78.479299999999995</v>
      </c>
      <c r="F1067" s="45">
        <f>78.4446 * CHOOSE(CONTROL!$C$15, $E$9, 100%, $G$9) + CHOOSE(CONTROL!$C$38, 0.0256, 0)</f>
        <v>78.470199999999991</v>
      </c>
      <c r="G1067" s="14">
        <f>74.3603 * CHOOSE(CONTROL!$C$15, $E$9, 100%, $G$9) + CHOOSE(CONTROL!$C$38, 0.0347, 0)</f>
        <v>74.394999999999996</v>
      </c>
      <c r="H1067" s="14">
        <f>74.3603 * CHOOSE(CONTROL!$C$15, $E$9, 100%, $G$9) + CHOOSE(CONTROL!$C$38, 0.0347, 0)</f>
        <v>74.394999999999996</v>
      </c>
      <c r="I1067" s="14">
        <f>74.3619 * CHOOSE(CONTROL!$C$15, $E$9, 100%, $G$9) + CHOOSE(CONTROL!$C$38, 0.0347, 0)</f>
        <v>74.396600000000007</v>
      </c>
      <c r="J1067" s="44">
        <f>796.0065</f>
        <v>796.00649999999996</v>
      </c>
    </row>
    <row r="1068" spans="1:11" ht="15" x14ac:dyDescent="0.2">
      <c r="A1068" s="12"/>
      <c r="B1068" s="14"/>
      <c r="C1068" s="14"/>
      <c r="D1068" s="14"/>
      <c r="E1068" s="14"/>
      <c r="F1068" s="14"/>
      <c r="G1068" s="14"/>
      <c r="H1068" s="14"/>
      <c r="I1068" s="14"/>
    </row>
    <row r="1069" spans="1:11" ht="15" x14ac:dyDescent="0.2">
      <c r="A1069" s="10">
        <v>2013</v>
      </c>
      <c r="B1069" s="14">
        <f t="shared" ref="B1069:J1069" si="0">AVERAGE(B12:B23)</f>
        <v>16.233217007997272</v>
      </c>
      <c r="C1069" s="14">
        <f t="shared" si="0"/>
        <v>15.606320593079197</v>
      </c>
      <c r="D1069" s="14">
        <f t="shared" si="0"/>
        <v>15.598503926412528</v>
      </c>
      <c r="E1069" s="14">
        <f t="shared" si="0"/>
        <v>15.598503926412528</v>
      </c>
      <c r="F1069" s="14">
        <f t="shared" si="0"/>
        <v>15.943944449591035</v>
      </c>
      <c r="G1069" s="14">
        <f t="shared" si="0"/>
        <v>15.604753926412528</v>
      </c>
      <c r="H1069" s="14">
        <f t="shared" si="0"/>
        <v>15.604753926412528</v>
      </c>
      <c r="I1069" s="14">
        <f t="shared" si="0"/>
        <v>15.606320593079197</v>
      </c>
      <c r="J1069" s="14">
        <f t="shared" si="0"/>
        <v>98.370833333333323</v>
      </c>
      <c r="K1069" s="14"/>
    </row>
    <row r="1070" spans="1:11" ht="15" x14ac:dyDescent="0.2">
      <c r="A1070" s="10">
        <v>2014</v>
      </c>
      <c r="B1070" s="14">
        <f t="shared" ref="B1070:J1070" si="1">AVERAGE(B24:B35)</f>
        <v>15.987441666666667</v>
      </c>
      <c r="C1070" s="14">
        <f t="shared" si="1"/>
        <v>15.215291666666664</v>
      </c>
      <c r="D1070" s="14">
        <f t="shared" si="1"/>
        <v>15.207491666666664</v>
      </c>
      <c r="E1070" s="14">
        <f t="shared" si="1"/>
        <v>15.840316666666668</v>
      </c>
      <c r="F1070" s="14">
        <f t="shared" si="1"/>
        <v>15.83121666666667</v>
      </c>
      <c r="G1070" s="14">
        <f t="shared" si="1"/>
        <v>15.213716666666665</v>
      </c>
      <c r="H1070" s="14">
        <f t="shared" si="1"/>
        <v>15.213716666666665</v>
      </c>
      <c r="I1070" s="14">
        <f t="shared" si="1"/>
        <v>15.215291666666664</v>
      </c>
      <c r="J1070" s="14">
        <f t="shared" si="1"/>
        <v>96.713333333333324</v>
      </c>
      <c r="K1070" s="14"/>
    </row>
    <row r="1071" spans="1:11" ht="15" x14ac:dyDescent="0.2">
      <c r="A1071" s="10">
        <v>2015</v>
      </c>
      <c r="B1071" s="14">
        <f t="shared" ref="B1071:J1071" si="2">AVERAGE(B36:B47)</f>
        <v>14.940616666666664</v>
      </c>
      <c r="C1071" s="14">
        <f t="shared" si="2"/>
        <v>15.312216666666664</v>
      </c>
      <c r="D1071" s="14">
        <f t="shared" si="2"/>
        <v>15.30431666666667</v>
      </c>
      <c r="E1071" s="14">
        <f t="shared" si="2"/>
        <v>14.793416666666666</v>
      </c>
      <c r="F1071" s="14">
        <f t="shared" si="2"/>
        <v>14.784316666666667</v>
      </c>
      <c r="G1071" s="14">
        <f t="shared" si="2"/>
        <v>15.310616666666663</v>
      </c>
      <c r="H1071" s="14">
        <f t="shared" si="2"/>
        <v>15.310616666666663</v>
      </c>
      <c r="I1071" s="14">
        <f t="shared" si="2"/>
        <v>15.312216666666664</v>
      </c>
      <c r="J1071" s="14">
        <f t="shared" si="2"/>
        <v>90.013333333333335</v>
      </c>
      <c r="K1071" s="14"/>
    </row>
    <row r="1072" spans="1:11" ht="15" x14ac:dyDescent="0.2">
      <c r="A1072" s="10">
        <v>2016</v>
      </c>
      <c r="B1072" s="14">
        <f t="shared" ref="B1072:J1072" si="3">AVERAGE(B48:B59)</f>
        <v>15.413741666666667</v>
      </c>
      <c r="C1072" s="14">
        <f t="shared" si="3"/>
        <v>15.366800000000003</v>
      </c>
      <c r="D1072" s="14">
        <f t="shared" si="3"/>
        <v>15.358975000000001</v>
      </c>
      <c r="E1072" s="14">
        <f t="shared" si="3"/>
        <v>15.266583333333331</v>
      </c>
      <c r="F1072" s="14">
        <f t="shared" si="3"/>
        <v>15.257483333333333</v>
      </c>
      <c r="G1072" s="14">
        <f t="shared" si="3"/>
        <v>15.365250000000001</v>
      </c>
      <c r="H1072" s="14">
        <f t="shared" si="3"/>
        <v>15.365250000000001</v>
      </c>
      <c r="I1072" s="14">
        <f t="shared" si="3"/>
        <v>15.366800000000003</v>
      </c>
      <c r="J1072" s="14">
        <f t="shared" si="3"/>
        <v>95.942041666666668</v>
      </c>
      <c r="K1072" s="14"/>
    </row>
    <row r="1073" spans="1:11" ht="15" x14ac:dyDescent="0.2">
      <c r="A1073" s="10">
        <v>2017</v>
      </c>
      <c r="B1073" s="14">
        <f t="shared" ref="B1073:J1073" si="4">AVERAGE(B60:B71)</f>
        <v>15.405775</v>
      </c>
      <c r="C1073" s="14">
        <f t="shared" si="4"/>
        <v>15.358433333333332</v>
      </c>
      <c r="D1073" s="14">
        <f t="shared" si="4"/>
        <v>15.350633333333333</v>
      </c>
      <c r="E1073" s="14">
        <f t="shared" si="4"/>
        <v>15.258625</v>
      </c>
      <c r="F1073" s="14">
        <f t="shared" si="4"/>
        <v>15.249524999999998</v>
      </c>
      <c r="G1073" s="14">
        <f t="shared" si="4"/>
        <v>15.356891666666664</v>
      </c>
      <c r="H1073" s="14">
        <f t="shared" si="4"/>
        <v>15.356891666666664</v>
      </c>
      <c r="I1073" s="14">
        <f t="shared" si="4"/>
        <v>15.358433333333332</v>
      </c>
      <c r="J1073" s="14">
        <f t="shared" si="4"/>
        <v>96.117599999999982</v>
      </c>
      <c r="K1073" s="14"/>
    </row>
    <row r="1074" spans="1:11" ht="15" x14ac:dyDescent="0.2">
      <c r="A1074" s="10">
        <v>2018</v>
      </c>
      <c r="B1074" s="14">
        <f t="shared" ref="B1074:J1074" si="5">AVERAGE(B72:B83)</f>
        <v>17.207683333333332</v>
      </c>
      <c r="C1074" s="14">
        <f t="shared" si="5"/>
        <v>16.741183333333332</v>
      </c>
      <c r="D1074" s="14">
        <f t="shared" si="5"/>
        <v>16.733383333333332</v>
      </c>
      <c r="E1074" s="14">
        <f t="shared" si="5"/>
        <v>17.060549999999999</v>
      </c>
      <c r="F1074" s="14">
        <f t="shared" si="5"/>
        <v>17.051449999999999</v>
      </c>
      <c r="G1074" s="14">
        <f t="shared" si="5"/>
        <v>16.739591666666666</v>
      </c>
      <c r="H1074" s="14">
        <f t="shared" si="5"/>
        <v>16.739591666666666</v>
      </c>
      <c r="I1074" s="14">
        <f t="shared" si="5"/>
        <v>16.741183333333332</v>
      </c>
      <c r="J1074" s="14">
        <f t="shared" si="5"/>
        <v>110.98133333333332</v>
      </c>
      <c r="K1074" s="14"/>
    </row>
    <row r="1075" spans="1:11" ht="15" x14ac:dyDescent="0.2">
      <c r="A1075" s="10">
        <v>2019</v>
      </c>
      <c r="B1075" s="14">
        <f t="shared" ref="B1075:J1075" si="6">AVERAGE(B84:B95)</f>
        <v>17.665025</v>
      </c>
      <c r="C1075" s="14">
        <f t="shared" si="6"/>
        <v>17.165708333333331</v>
      </c>
      <c r="D1075" s="14">
        <f t="shared" si="6"/>
        <v>17.157900000000001</v>
      </c>
      <c r="E1075" s="14">
        <f t="shared" si="6"/>
        <v>17.517883333333334</v>
      </c>
      <c r="F1075" s="14">
        <f t="shared" si="6"/>
        <v>17.50878333333333</v>
      </c>
      <c r="G1075" s="14">
        <f t="shared" si="6"/>
        <v>17.164149999999999</v>
      </c>
      <c r="H1075" s="14">
        <f t="shared" si="6"/>
        <v>17.164149999999999</v>
      </c>
      <c r="I1075" s="14">
        <f t="shared" si="6"/>
        <v>17.165708333333331</v>
      </c>
      <c r="J1075" s="14">
        <f t="shared" si="6"/>
        <v>113.54180833333335</v>
      </c>
      <c r="K1075" s="14"/>
    </row>
    <row r="1076" spans="1:11" ht="15" x14ac:dyDescent="0.2">
      <c r="A1076" s="10">
        <v>2020</v>
      </c>
      <c r="B1076" s="14">
        <f t="shared" ref="B1076:J1076" si="7">AVERAGE(B96:B107)</f>
        <v>18.24145</v>
      </c>
      <c r="C1076" s="14">
        <f t="shared" si="7"/>
        <v>17.588825</v>
      </c>
      <c r="D1076" s="14">
        <f t="shared" si="7"/>
        <v>17.581025</v>
      </c>
      <c r="E1076" s="14">
        <f t="shared" si="7"/>
        <v>18.094316666666668</v>
      </c>
      <c r="F1076" s="14">
        <f t="shared" si="7"/>
        <v>18.085216666666668</v>
      </c>
      <c r="G1076" s="14">
        <f t="shared" si="7"/>
        <v>17.587283333333335</v>
      </c>
      <c r="H1076" s="14">
        <f t="shared" si="7"/>
        <v>17.587283333333335</v>
      </c>
      <c r="I1076" s="14">
        <f t="shared" si="7"/>
        <v>17.588825</v>
      </c>
      <c r="J1076" s="14">
        <f t="shared" si="7"/>
        <v>116.24608333333332</v>
      </c>
      <c r="K1076" s="14"/>
    </row>
    <row r="1077" spans="1:11" ht="15" x14ac:dyDescent="0.2">
      <c r="A1077" s="10">
        <v>2021</v>
      </c>
      <c r="B1077" s="14">
        <f t="shared" ref="B1077:J1077" si="8">AVERAGE(B108:B119)</f>
        <v>19.228674999999999</v>
      </c>
      <c r="C1077" s="14">
        <f t="shared" si="8"/>
        <v>18.355875000000001</v>
      </c>
      <c r="D1077" s="14">
        <f t="shared" si="8"/>
        <v>18.348066666666671</v>
      </c>
      <c r="E1077" s="14">
        <f t="shared" si="8"/>
        <v>19.08154166666667</v>
      </c>
      <c r="F1077" s="14">
        <f t="shared" si="8"/>
        <v>19.072441666666673</v>
      </c>
      <c r="G1077" s="14">
        <f t="shared" si="8"/>
        <v>18.354325000000003</v>
      </c>
      <c r="H1077" s="14">
        <f t="shared" si="8"/>
        <v>18.354325000000003</v>
      </c>
      <c r="I1077" s="14">
        <f t="shared" si="8"/>
        <v>18.355875000000001</v>
      </c>
      <c r="J1077" s="14">
        <f t="shared" si="8"/>
        <v>122.03735833333333</v>
      </c>
      <c r="K1077" s="14"/>
    </row>
    <row r="1078" spans="1:11" ht="15" x14ac:dyDescent="0.2">
      <c r="A1078" s="10">
        <v>2022</v>
      </c>
      <c r="B1078" s="14">
        <f t="shared" ref="B1078:J1078" si="9">AVERAGE(B120:B131)</f>
        <v>20.143941666666667</v>
      </c>
      <c r="C1078" s="14">
        <f t="shared" si="9"/>
        <v>19.186549999999997</v>
      </c>
      <c r="D1078" s="14">
        <f t="shared" si="9"/>
        <v>19.178725000000004</v>
      </c>
      <c r="E1078" s="14">
        <f t="shared" si="9"/>
        <v>19.996766666666662</v>
      </c>
      <c r="F1078" s="14">
        <f t="shared" si="9"/>
        <v>19.987666666666669</v>
      </c>
      <c r="G1078" s="14">
        <f t="shared" si="9"/>
        <v>19.184991666666665</v>
      </c>
      <c r="H1078" s="14">
        <f t="shared" si="9"/>
        <v>19.184991666666665</v>
      </c>
      <c r="I1078" s="14">
        <f t="shared" si="9"/>
        <v>19.186549999999997</v>
      </c>
      <c r="J1078" s="14">
        <f t="shared" si="9"/>
        <v>128.27124999999998</v>
      </c>
      <c r="K1078" s="14"/>
    </row>
    <row r="1079" spans="1:11" ht="15" x14ac:dyDescent="0.2">
      <c r="A1079" s="10">
        <v>2023</v>
      </c>
      <c r="B1079" s="14">
        <f t="shared" ref="B1079:J1079" si="10">AVERAGE(B132:B143)</f>
        <v>21.23845833333333</v>
      </c>
      <c r="C1079" s="14">
        <f t="shared" si="10"/>
        <v>20.114266666666669</v>
      </c>
      <c r="D1079" s="14">
        <f t="shared" si="10"/>
        <v>20.106458333333332</v>
      </c>
      <c r="E1079" s="14">
        <f t="shared" si="10"/>
        <v>21.091308333333334</v>
      </c>
      <c r="F1079" s="14">
        <f t="shared" si="10"/>
        <v>21.08220833333333</v>
      </c>
      <c r="G1079" s="14">
        <f t="shared" si="10"/>
        <v>20.1127</v>
      </c>
      <c r="H1079" s="14">
        <f t="shared" si="10"/>
        <v>20.1127</v>
      </c>
      <c r="I1079" s="14">
        <f t="shared" si="10"/>
        <v>20.114266666666669</v>
      </c>
      <c r="J1079" s="14">
        <f t="shared" si="10"/>
        <v>134.81665833333332</v>
      </c>
      <c r="K1079" s="14"/>
    </row>
    <row r="1080" spans="1:11" ht="15" x14ac:dyDescent="0.2">
      <c r="A1080" s="10">
        <v>2024</v>
      </c>
      <c r="B1080" s="14">
        <f t="shared" ref="B1080:J1080" si="11">AVERAGE(B144:B155)</f>
        <v>22.369383333333335</v>
      </c>
      <c r="C1080" s="14">
        <f t="shared" si="11"/>
        <v>21.076766666666671</v>
      </c>
      <c r="D1080" s="14">
        <f t="shared" si="11"/>
        <v>21.068958333333335</v>
      </c>
      <c r="E1080" s="14">
        <f t="shared" si="11"/>
        <v>22.222233333333332</v>
      </c>
      <c r="F1080" s="14">
        <f t="shared" si="11"/>
        <v>22.213133333333332</v>
      </c>
      <c r="G1080" s="14">
        <f t="shared" si="11"/>
        <v>21.075208333333336</v>
      </c>
      <c r="H1080" s="14">
        <f t="shared" si="11"/>
        <v>21.075208333333336</v>
      </c>
      <c r="I1080" s="14">
        <f t="shared" si="11"/>
        <v>21.076766666666671</v>
      </c>
      <c r="J1080" s="14">
        <f t="shared" si="11"/>
        <v>141.68893333333332</v>
      </c>
      <c r="K1080" s="14"/>
    </row>
    <row r="1081" spans="1:11" ht="15" x14ac:dyDescent="0.2">
      <c r="A1081" s="10">
        <v>2025</v>
      </c>
      <c r="B1081" s="14">
        <f t="shared" ref="B1081:J1081" si="12">AVERAGE(B156:B167)</f>
        <v>23.506199999999996</v>
      </c>
      <c r="C1081" s="14">
        <f t="shared" si="12"/>
        <v>22.043524999999999</v>
      </c>
      <c r="D1081" s="14">
        <f t="shared" si="12"/>
        <v>22.035700000000002</v>
      </c>
      <c r="E1081" s="14">
        <f t="shared" si="12"/>
        <v>23.35905</v>
      </c>
      <c r="F1081" s="14">
        <f t="shared" si="12"/>
        <v>23.349949999999996</v>
      </c>
      <c r="G1081" s="14">
        <f t="shared" si="12"/>
        <v>22.04195</v>
      </c>
      <c r="H1081" s="14">
        <f t="shared" si="12"/>
        <v>22.04195</v>
      </c>
      <c r="I1081" s="14">
        <f t="shared" si="12"/>
        <v>22.043524999999999</v>
      </c>
      <c r="J1081" s="14">
        <f t="shared" si="12"/>
        <v>148.90432500000003</v>
      </c>
      <c r="K1081" s="14"/>
    </row>
    <row r="1082" spans="1:11" ht="15" x14ac:dyDescent="0.2">
      <c r="A1082" s="10">
        <v>2026</v>
      </c>
      <c r="B1082" s="14">
        <f t="shared" ref="B1082:J1082" si="13">AVERAGE(B168:B179)</f>
        <v>24.041966666666664</v>
      </c>
      <c r="C1082" s="14">
        <f t="shared" si="13"/>
        <v>22.572833333333332</v>
      </c>
      <c r="D1082" s="14">
        <f t="shared" si="13"/>
        <v>22.565024999999995</v>
      </c>
      <c r="E1082" s="14">
        <f t="shared" si="13"/>
        <v>23.894825000000001</v>
      </c>
      <c r="F1082" s="14">
        <f t="shared" si="13"/>
        <v>23.885724999999997</v>
      </c>
      <c r="G1082" s="14">
        <f t="shared" si="13"/>
        <v>22.57126666666667</v>
      </c>
      <c r="H1082" s="14">
        <f t="shared" si="13"/>
        <v>22.57126666666667</v>
      </c>
      <c r="I1082" s="14">
        <f t="shared" si="13"/>
        <v>22.572833333333332</v>
      </c>
      <c r="J1082" s="14">
        <f t="shared" si="13"/>
        <v>152.65531666666666</v>
      </c>
      <c r="K1082" s="14"/>
    </row>
    <row r="1083" spans="1:11" ht="15" x14ac:dyDescent="0.2">
      <c r="A1083" s="10">
        <v>2027</v>
      </c>
      <c r="B1083" s="14">
        <f t="shared" ref="B1083:J1083" si="14">AVERAGE(B180:B191)</f>
        <v>24.634258333333335</v>
      </c>
      <c r="C1083" s="14">
        <f t="shared" si="14"/>
        <v>23.158641666666668</v>
      </c>
      <c r="D1083" s="14">
        <f t="shared" si="14"/>
        <v>23.150825000000001</v>
      </c>
      <c r="E1083" s="14">
        <f t="shared" si="14"/>
        <v>24.487108333333328</v>
      </c>
      <c r="F1083" s="14">
        <f t="shared" si="14"/>
        <v>24.478008333333339</v>
      </c>
      <c r="G1083" s="14">
        <f t="shared" si="14"/>
        <v>23.157091666666673</v>
      </c>
      <c r="H1083" s="14">
        <f t="shared" si="14"/>
        <v>23.157091666666673</v>
      </c>
      <c r="I1083" s="14">
        <f t="shared" si="14"/>
        <v>23.158641666666668</v>
      </c>
      <c r="J1083" s="14">
        <f t="shared" si="14"/>
        <v>156.50068333333334</v>
      </c>
      <c r="K1083" s="14"/>
    </row>
    <row r="1084" spans="1:11" ht="15" x14ac:dyDescent="0.2">
      <c r="A1084" s="10">
        <v>2028</v>
      </c>
      <c r="B1084" s="14">
        <f t="shared" ref="B1084:J1084" si="15">AVERAGE(B192:B203)</f>
        <v>25.175616666666667</v>
      </c>
      <c r="C1084" s="14">
        <f t="shared" si="15"/>
        <v>23.69350833333333</v>
      </c>
      <c r="D1084" s="14">
        <f t="shared" si="15"/>
        <v>23.685666666666666</v>
      </c>
      <c r="E1084" s="14">
        <f t="shared" si="15"/>
        <v>25.028466666666663</v>
      </c>
      <c r="F1084" s="14">
        <f t="shared" si="15"/>
        <v>25.019366666666667</v>
      </c>
      <c r="G1084" s="14">
        <f t="shared" si="15"/>
        <v>23.691933333333328</v>
      </c>
      <c r="H1084" s="14">
        <f t="shared" si="15"/>
        <v>23.691933333333328</v>
      </c>
      <c r="I1084" s="14">
        <f t="shared" si="15"/>
        <v>23.69350833333333</v>
      </c>
      <c r="J1084" s="14">
        <f t="shared" si="15"/>
        <v>160.44282500000003</v>
      </c>
      <c r="K1084" s="14"/>
    </row>
    <row r="1085" spans="1:11" ht="15" x14ac:dyDescent="0.2">
      <c r="A1085" s="10">
        <v>2029</v>
      </c>
      <c r="B1085" s="14">
        <f t="shared" ref="B1085:J1085" si="16">AVERAGE(B204:B215)</f>
        <v>25.79964166666667</v>
      </c>
      <c r="C1085" s="14">
        <f t="shared" si="16"/>
        <v>24.310975000000003</v>
      </c>
      <c r="D1085" s="14">
        <f t="shared" si="16"/>
        <v>24.303158333333332</v>
      </c>
      <c r="E1085" s="14">
        <f t="shared" si="16"/>
        <v>25.6525</v>
      </c>
      <c r="F1085" s="14">
        <f t="shared" si="16"/>
        <v>25.643399999999996</v>
      </c>
      <c r="G1085" s="14">
        <f t="shared" si="16"/>
        <v>24.3094</v>
      </c>
      <c r="H1085" s="14">
        <f t="shared" si="16"/>
        <v>24.3094</v>
      </c>
      <c r="I1085" s="14">
        <f t="shared" si="16"/>
        <v>24.310975000000003</v>
      </c>
      <c r="J1085" s="14">
        <f t="shared" si="16"/>
        <v>164.48420000000002</v>
      </c>
      <c r="K1085" s="14"/>
    </row>
    <row r="1086" spans="1:11" ht="15" x14ac:dyDescent="0.2">
      <c r="A1086" s="10">
        <v>2030</v>
      </c>
      <c r="B1086" s="14">
        <f t="shared" ref="B1086:J1086" si="17">AVERAGE(B216:B227)</f>
        <v>26.323366666666669</v>
      </c>
      <c r="C1086" s="14">
        <f t="shared" si="17"/>
        <v>24.831608333333335</v>
      </c>
      <c r="D1086" s="14">
        <f t="shared" si="17"/>
        <v>24.823800000000002</v>
      </c>
      <c r="E1086" s="14">
        <f t="shared" si="17"/>
        <v>26.176216666666662</v>
      </c>
      <c r="F1086" s="14">
        <f t="shared" si="17"/>
        <v>26.167116666666669</v>
      </c>
      <c r="G1086" s="14">
        <f t="shared" si="17"/>
        <v>24.830024999999996</v>
      </c>
      <c r="H1086" s="14">
        <f t="shared" si="17"/>
        <v>24.830024999999996</v>
      </c>
      <c r="I1086" s="14">
        <f t="shared" si="17"/>
        <v>24.831608333333335</v>
      </c>
      <c r="J1086" s="14">
        <f t="shared" si="17"/>
        <v>168.20285833333332</v>
      </c>
      <c r="K1086" s="14"/>
    </row>
    <row r="1087" spans="1:11" ht="15" x14ac:dyDescent="0.2">
      <c r="A1087" s="10">
        <v>2031</v>
      </c>
      <c r="B1087" s="14">
        <f t="shared" ref="B1087:J1087" si="18">AVERAGE(B228:B239)</f>
        <v>26.852483333333335</v>
      </c>
      <c r="C1087" s="14">
        <f t="shared" si="18"/>
        <v>25.333224999999999</v>
      </c>
      <c r="D1087" s="14">
        <f t="shared" si="18"/>
        <v>25.325391666666672</v>
      </c>
      <c r="E1087" s="14">
        <f t="shared" si="18"/>
        <v>26.705325000000002</v>
      </c>
      <c r="F1087" s="14">
        <f t="shared" si="18"/>
        <v>26.696224999999998</v>
      </c>
      <c r="G1087" s="14">
        <f t="shared" si="18"/>
        <v>25.33164166666667</v>
      </c>
      <c r="H1087" s="14">
        <f t="shared" si="18"/>
        <v>25.33164166666667</v>
      </c>
      <c r="I1087" s="14">
        <f t="shared" si="18"/>
        <v>25.333224999999999</v>
      </c>
      <c r="J1087" s="14">
        <f t="shared" si="18"/>
        <v>172.81079166666663</v>
      </c>
      <c r="K1087" s="14"/>
    </row>
    <row r="1088" spans="1:11" ht="15" x14ac:dyDescent="0.2">
      <c r="A1088" s="10">
        <v>2032</v>
      </c>
      <c r="B1088" s="14">
        <f t="shared" ref="B1088:J1088" si="19">AVERAGE(B240:B251)</f>
        <v>27.292783333333333</v>
      </c>
      <c r="C1088" s="14">
        <f t="shared" si="19"/>
        <v>25.750458333333331</v>
      </c>
      <c r="D1088" s="14">
        <f t="shared" si="19"/>
        <v>25.742641666666671</v>
      </c>
      <c r="E1088" s="14">
        <f t="shared" si="19"/>
        <v>27.145625000000006</v>
      </c>
      <c r="F1088" s="14">
        <f t="shared" si="19"/>
        <v>27.136525000000002</v>
      </c>
      <c r="G1088" s="14">
        <f t="shared" si="19"/>
        <v>25.748891666666665</v>
      </c>
      <c r="H1088" s="14">
        <f t="shared" si="19"/>
        <v>25.748891666666665</v>
      </c>
      <c r="I1088" s="14">
        <f t="shared" si="19"/>
        <v>25.750458333333331</v>
      </c>
      <c r="J1088" s="14">
        <f t="shared" si="19"/>
        <v>176.830375</v>
      </c>
      <c r="K1088" s="14"/>
    </row>
    <row r="1089" spans="1:11" ht="15" x14ac:dyDescent="0.2">
      <c r="A1089" s="10">
        <v>2033</v>
      </c>
      <c r="B1089" s="14">
        <f t="shared" ref="B1089:J1089" si="20">AVERAGE(B252:B263)</f>
        <v>27.740483333333334</v>
      </c>
      <c r="C1089" s="14">
        <f t="shared" si="20"/>
        <v>26.174725000000006</v>
      </c>
      <c r="D1089" s="14">
        <f t="shared" si="20"/>
        <v>26.166916666666669</v>
      </c>
      <c r="E1089" s="14">
        <f t="shared" si="20"/>
        <v>27.593325000000004</v>
      </c>
      <c r="F1089" s="14">
        <f t="shared" si="20"/>
        <v>27.584225</v>
      </c>
      <c r="G1089" s="14">
        <f t="shared" si="20"/>
        <v>26.173158333333337</v>
      </c>
      <c r="H1089" s="14">
        <f t="shared" si="20"/>
        <v>26.173158333333337</v>
      </c>
      <c r="I1089" s="14">
        <f t="shared" si="20"/>
        <v>26.174725000000006</v>
      </c>
      <c r="J1089" s="14">
        <f t="shared" si="20"/>
        <v>180.94344166666667</v>
      </c>
      <c r="K1089" s="14"/>
    </row>
    <row r="1090" spans="1:11" ht="15" x14ac:dyDescent="0.2">
      <c r="A1090" s="10">
        <v>2034</v>
      </c>
      <c r="B1090" s="14">
        <f t="shared" ref="B1090:J1090" si="21">AVERAGE(B264:B275)</f>
        <v>28.195691666666665</v>
      </c>
      <c r="C1090" s="14">
        <f t="shared" si="21"/>
        <v>26.606116666666669</v>
      </c>
      <c r="D1090" s="14">
        <f t="shared" si="21"/>
        <v>26.598291666666668</v>
      </c>
      <c r="E1090" s="14">
        <f t="shared" si="21"/>
        <v>28.048541666666669</v>
      </c>
      <c r="F1090" s="14">
        <f t="shared" si="21"/>
        <v>28.039441666666665</v>
      </c>
      <c r="G1090" s="14">
        <f t="shared" si="21"/>
        <v>26.604541666666666</v>
      </c>
      <c r="H1090" s="14">
        <f t="shared" si="21"/>
        <v>26.604541666666666</v>
      </c>
      <c r="I1090" s="14">
        <f t="shared" si="21"/>
        <v>26.606116666666669</v>
      </c>
      <c r="J1090" s="14">
        <f t="shared" si="21"/>
        <v>185.15218333333334</v>
      </c>
      <c r="K1090" s="14"/>
    </row>
    <row r="1091" spans="1:11" ht="15" x14ac:dyDescent="0.2">
      <c r="A1091" s="10">
        <v>2035</v>
      </c>
      <c r="B1091" s="14">
        <f t="shared" ref="B1091:J1091" si="22">AVERAGE(B276:B287)</f>
        <v>28.658566666666662</v>
      </c>
      <c r="C1091" s="14">
        <f t="shared" si="22"/>
        <v>27.044741666666667</v>
      </c>
      <c r="D1091" s="14">
        <f t="shared" si="22"/>
        <v>27.036925000000007</v>
      </c>
      <c r="E1091" s="14">
        <f t="shared" si="22"/>
        <v>28.511424999999999</v>
      </c>
      <c r="F1091" s="14">
        <f t="shared" si="22"/>
        <v>28.502325000000003</v>
      </c>
      <c r="G1091" s="14">
        <f t="shared" si="22"/>
        <v>27.043183333333332</v>
      </c>
      <c r="H1091" s="14">
        <f t="shared" si="22"/>
        <v>27.043183333333332</v>
      </c>
      <c r="I1091" s="14">
        <f t="shared" si="22"/>
        <v>27.044741666666667</v>
      </c>
      <c r="J1091" s="14">
        <f t="shared" si="22"/>
        <v>189.45881666666671</v>
      </c>
      <c r="K1091" s="14"/>
    </row>
    <row r="1092" spans="1:11" ht="15" x14ac:dyDescent="0.2">
      <c r="A1092" s="10">
        <v>2036</v>
      </c>
      <c r="B1092" s="14">
        <f t="shared" ref="B1092:J1092" si="23">AVERAGE(B288:B299)</f>
        <v>29.129216666666668</v>
      </c>
      <c r="C1092" s="14">
        <f t="shared" si="23"/>
        <v>27.490741666666668</v>
      </c>
      <c r="D1092" s="14">
        <f t="shared" si="23"/>
        <v>27.482924999999998</v>
      </c>
      <c r="E1092" s="14">
        <f t="shared" si="23"/>
        <v>28.982058333333331</v>
      </c>
      <c r="F1092" s="14">
        <f t="shared" si="23"/>
        <v>28.972958333333334</v>
      </c>
      <c r="G1092" s="14">
        <f t="shared" si="23"/>
        <v>27.48918333333333</v>
      </c>
      <c r="H1092" s="14">
        <f t="shared" si="23"/>
        <v>27.48918333333333</v>
      </c>
      <c r="I1092" s="14">
        <f t="shared" si="23"/>
        <v>27.490741666666668</v>
      </c>
      <c r="J1092" s="14">
        <f t="shared" si="23"/>
        <v>193.86563333333334</v>
      </c>
      <c r="K1092" s="14"/>
    </row>
    <row r="1093" spans="1:11" ht="15" x14ac:dyDescent="0.2">
      <c r="A1093" s="10">
        <v>2037</v>
      </c>
      <c r="B1093" s="14">
        <f t="shared" ref="B1093:J1093" si="24">AVERAGE(B300:B311)</f>
        <v>29.607758333333337</v>
      </c>
      <c r="C1093" s="14">
        <f t="shared" si="24"/>
        <v>27.944241666666667</v>
      </c>
      <c r="D1093" s="14">
        <f t="shared" si="24"/>
        <v>27.936425</v>
      </c>
      <c r="E1093" s="14">
        <f t="shared" si="24"/>
        <v>29.460616666666667</v>
      </c>
      <c r="F1093" s="14">
        <f t="shared" si="24"/>
        <v>29.451516666666667</v>
      </c>
      <c r="G1093" s="14">
        <f t="shared" si="24"/>
        <v>27.942683333333335</v>
      </c>
      <c r="H1093" s="14">
        <f t="shared" si="24"/>
        <v>27.942683333333335</v>
      </c>
      <c r="I1093" s="14">
        <f t="shared" si="24"/>
        <v>27.944241666666667</v>
      </c>
      <c r="J1093" s="14">
        <f t="shared" si="24"/>
        <v>198.37495000000001</v>
      </c>
      <c r="K1093" s="14"/>
    </row>
    <row r="1094" spans="1:11" ht="15" x14ac:dyDescent="0.2">
      <c r="A1094" s="10">
        <f t="shared" ref="A1094:A1125" si="25">A1093+1</f>
        <v>2038</v>
      </c>
      <c r="B1094" s="14">
        <f t="shared" ref="B1094:J1094" si="26">AVERAGE(B312:B323)</f>
        <v>30.094341666666669</v>
      </c>
      <c r="C1094" s="14">
        <f t="shared" si="26"/>
        <v>28.405341666666661</v>
      </c>
      <c r="D1094" s="14">
        <f t="shared" si="26"/>
        <v>28.397541666666669</v>
      </c>
      <c r="E1094" s="14">
        <f t="shared" si="26"/>
        <v>29.947191666666669</v>
      </c>
      <c r="F1094" s="14">
        <f t="shared" si="26"/>
        <v>29.938091666666665</v>
      </c>
      <c r="G1094" s="14">
        <f t="shared" si="26"/>
        <v>28.403791666666667</v>
      </c>
      <c r="H1094" s="14">
        <f t="shared" si="26"/>
        <v>28.403791666666667</v>
      </c>
      <c r="I1094" s="14">
        <f t="shared" si="26"/>
        <v>28.405341666666661</v>
      </c>
      <c r="J1094" s="14">
        <f t="shared" si="26"/>
        <v>202.98915</v>
      </c>
    </row>
    <row r="1095" spans="1:11" ht="15" x14ac:dyDescent="0.2">
      <c r="A1095" s="10">
        <f t="shared" si="25"/>
        <v>2039</v>
      </c>
      <c r="B1095" s="14">
        <f t="shared" ref="B1095:J1095" si="27">AVERAGE(B324:B335)</f>
        <v>30.589124999999996</v>
      </c>
      <c r="C1095" s="14">
        <f t="shared" si="27"/>
        <v>28.874224999999999</v>
      </c>
      <c r="D1095" s="14">
        <f t="shared" si="27"/>
        <v>28.866408333333339</v>
      </c>
      <c r="E1095" s="14">
        <f t="shared" si="27"/>
        <v>30.441958333333336</v>
      </c>
      <c r="F1095" s="14">
        <f t="shared" si="27"/>
        <v>30.432858333333332</v>
      </c>
      <c r="G1095" s="14">
        <f t="shared" si="27"/>
        <v>28.87264166666667</v>
      </c>
      <c r="H1095" s="14">
        <f t="shared" si="27"/>
        <v>28.87264166666667</v>
      </c>
      <c r="I1095" s="14">
        <f t="shared" si="27"/>
        <v>28.874224999999999</v>
      </c>
      <c r="J1095" s="14">
        <f t="shared" si="27"/>
        <v>207.71068333333332</v>
      </c>
    </row>
    <row r="1096" spans="1:11" ht="15" x14ac:dyDescent="0.2">
      <c r="A1096" s="10">
        <f t="shared" si="25"/>
        <v>2040</v>
      </c>
      <c r="B1096" s="14">
        <f t="shared" ref="B1096:J1096" si="28">AVERAGE(B336:B347)</f>
        <v>31.092183333333335</v>
      </c>
      <c r="C1096" s="14">
        <f t="shared" si="28"/>
        <v>29.350941666666667</v>
      </c>
      <c r="D1096" s="14">
        <f t="shared" si="28"/>
        <v>29.343141666666668</v>
      </c>
      <c r="E1096" s="14">
        <f t="shared" si="28"/>
        <v>30.945033333333338</v>
      </c>
      <c r="F1096" s="14">
        <f t="shared" si="28"/>
        <v>30.935933333333338</v>
      </c>
      <c r="G1096" s="14">
        <f t="shared" si="28"/>
        <v>29.349383333333339</v>
      </c>
      <c r="H1096" s="14">
        <f t="shared" si="28"/>
        <v>29.349383333333339</v>
      </c>
      <c r="I1096" s="14">
        <f t="shared" si="28"/>
        <v>29.350941666666667</v>
      </c>
      <c r="J1096" s="14">
        <f t="shared" si="28"/>
        <v>212.54203333333331</v>
      </c>
    </row>
    <row r="1097" spans="1:11" ht="15" x14ac:dyDescent="0.2">
      <c r="A1097" s="10">
        <f t="shared" si="25"/>
        <v>2041</v>
      </c>
      <c r="B1097" s="14">
        <f t="shared" ref="B1097:J1097" si="29">AVERAGE(B348:B359)</f>
        <v>31.603725000000008</v>
      </c>
      <c r="C1097" s="14">
        <f t="shared" si="29"/>
        <v>29.835691666666666</v>
      </c>
      <c r="D1097" s="14">
        <f t="shared" si="29"/>
        <v>29.827883333333336</v>
      </c>
      <c r="E1097" s="14">
        <f t="shared" si="29"/>
        <v>31.456558333333334</v>
      </c>
      <c r="F1097" s="14">
        <f t="shared" si="29"/>
        <v>31.44745833333333</v>
      </c>
      <c r="G1097" s="14">
        <f t="shared" si="29"/>
        <v>29.83413333333333</v>
      </c>
      <c r="H1097" s="14">
        <f t="shared" si="29"/>
        <v>29.83413333333333</v>
      </c>
      <c r="I1097" s="14">
        <f t="shared" si="29"/>
        <v>29.835691666666666</v>
      </c>
      <c r="J1097" s="14">
        <f t="shared" si="29"/>
        <v>217.48576666666668</v>
      </c>
    </row>
    <row r="1098" spans="1:11" ht="15" x14ac:dyDescent="0.2">
      <c r="A1098" s="10">
        <f t="shared" si="25"/>
        <v>2042</v>
      </c>
      <c r="B1098" s="14">
        <f t="shared" ref="B1098:J1098" si="30">AVERAGE(B360:B371)</f>
        <v>32.123824999999997</v>
      </c>
      <c r="C1098" s="14">
        <f t="shared" si="30"/>
        <v>30.328583333333338</v>
      </c>
      <c r="D1098" s="14">
        <f t="shared" si="30"/>
        <v>30.320783333333335</v>
      </c>
      <c r="E1098" s="14">
        <f t="shared" si="30"/>
        <v>31.976683333333337</v>
      </c>
      <c r="F1098" s="14">
        <f t="shared" si="30"/>
        <v>31.967583333333337</v>
      </c>
      <c r="G1098" s="14">
        <f t="shared" si="30"/>
        <v>30.327025000000003</v>
      </c>
      <c r="H1098" s="14">
        <f t="shared" si="30"/>
        <v>30.327025000000003</v>
      </c>
      <c r="I1098" s="14">
        <f t="shared" si="30"/>
        <v>30.328583333333338</v>
      </c>
      <c r="J1098" s="14">
        <f t="shared" si="30"/>
        <v>222.54445833333332</v>
      </c>
    </row>
    <row r="1099" spans="1:11" ht="15" x14ac:dyDescent="0.2">
      <c r="A1099" s="10">
        <f t="shared" si="25"/>
        <v>2043</v>
      </c>
      <c r="B1099" s="14">
        <f t="shared" ref="B1099:J1099" si="31">AVERAGE(B372:B383)</f>
        <v>32.652691666666662</v>
      </c>
      <c r="C1099" s="14">
        <f t="shared" si="31"/>
        <v>30.829758333333334</v>
      </c>
      <c r="D1099" s="14">
        <f t="shared" si="31"/>
        <v>30.821941666666664</v>
      </c>
      <c r="E1099" s="14">
        <f t="shared" si="31"/>
        <v>32.505541666666666</v>
      </c>
      <c r="F1099" s="14">
        <f t="shared" si="31"/>
        <v>32.496441666666662</v>
      </c>
      <c r="G1099" s="14">
        <f t="shared" si="31"/>
        <v>30.828191666666665</v>
      </c>
      <c r="H1099" s="14">
        <f t="shared" si="31"/>
        <v>30.828191666666665</v>
      </c>
      <c r="I1099" s="14">
        <f t="shared" si="31"/>
        <v>30.829758333333334</v>
      </c>
      <c r="J1099" s="14">
        <f t="shared" si="31"/>
        <v>227.72084999999996</v>
      </c>
    </row>
    <row r="1100" spans="1:11" ht="15" x14ac:dyDescent="0.2">
      <c r="A1100" s="10">
        <f t="shared" si="25"/>
        <v>2044</v>
      </c>
      <c r="B1100" s="14">
        <f t="shared" ref="B1100:J1100" si="32">AVERAGE(B384:B395)</f>
        <v>33.190433333333331</v>
      </c>
      <c r="C1100" s="14">
        <f t="shared" si="32"/>
        <v>31.33934166666667</v>
      </c>
      <c r="D1100" s="14">
        <f t="shared" si="32"/>
        <v>31.33154166666667</v>
      </c>
      <c r="E1100" s="14">
        <f t="shared" si="32"/>
        <v>33.043283333333328</v>
      </c>
      <c r="F1100" s="14">
        <f t="shared" si="32"/>
        <v>33.034183333333338</v>
      </c>
      <c r="G1100" s="14">
        <f t="shared" si="32"/>
        <v>31.337783333333331</v>
      </c>
      <c r="H1100" s="14">
        <f t="shared" si="32"/>
        <v>31.337783333333331</v>
      </c>
      <c r="I1100" s="14">
        <f t="shared" si="32"/>
        <v>31.33934166666667</v>
      </c>
      <c r="J1100" s="14">
        <f t="shared" si="32"/>
        <v>233.01764999999997</v>
      </c>
    </row>
    <row r="1101" spans="1:11" ht="15" x14ac:dyDescent="0.2">
      <c r="A1101" s="10">
        <f t="shared" si="25"/>
        <v>2045</v>
      </c>
      <c r="B1101" s="14">
        <f t="shared" ref="B1101:J1101" si="33">AVERAGE(B396:B407)</f>
        <v>33.737224999999995</v>
      </c>
      <c r="C1101" s="14">
        <f t="shared" si="33"/>
        <v>31.857499999999998</v>
      </c>
      <c r="D1101" s="14">
        <f t="shared" si="33"/>
        <v>31.849683333333331</v>
      </c>
      <c r="E1101" s="14">
        <f t="shared" si="33"/>
        <v>33.590058333333339</v>
      </c>
      <c r="F1101" s="14">
        <f t="shared" si="33"/>
        <v>33.580958333333328</v>
      </c>
      <c r="G1101" s="14">
        <f t="shared" si="33"/>
        <v>31.855941666666666</v>
      </c>
      <c r="H1101" s="14">
        <f t="shared" si="33"/>
        <v>31.855941666666666</v>
      </c>
      <c r="I1101" s="14">
        <f t="shared" si="33"/>
        <v>31.857499999999998</v>
      </c>
      <c r="J1101" s="14">
        <f t="shared" si="33"/>
        <v>238.43764166666668</v>
      </c>
    </row>
    <row r="1102" spans="1:11" ht="15" x14ac:dyDescent="0.2">
      <c r="A1102" s="10">
        <f t="shared" si="25"/>
        <v>2046</v>
      </c>
      <c r="B1102" s="14">
        <f t="shared" ref="B1102:J1102" si="34">AVERAGE(B408:B419)</f>
        <v>34.293183333333324</v>
      </c>
      <c r="C1102" s="14">
        <f t="shared" si="34"/>
        <v>32.384358333333331</v>
      </c>
      <c r="D1102" s="14">
        <f t="shared" si="34"/>
        <v>32.376541666666668</v>
      </c>
      <c r="E1102" s="14">
        <f t="shared" si="34"/>
        <v>34.146024999999995</v>
      </c>
      <c r="F1102" s="14">
        <f t="shared" si="34"/>
        <v>34.136924999999998</v>
      </c>
      <c r="G1102" s="14">
        <f t="shared" si="34"/>
        <v>32.38279166666667</v>
      </c>
      <c r="H1102" s="14">
        <f t="shared" si="34"/>
        <v>32.38279166666667</v>
      </c>
      <c r="I1102" s="14">
        <f t="shared" si="34"/>
        <v>32.384358333333331</v>
      </c>
      <c r="J1102" s="14">
        <f t="shared" si="34"/>
        <v>243.98370000000003</v>
      </c>
    </row>
    <row r="1103" spans="1:11" ht="15" x14ac:dyDescent="0.2">
      <c r="A1103" s="10">
        <f t="shared" si="25"/>
        <v>2047</v>
      </c>
      <c r="B1103" s="14">
        <f t="shared" ref="B1103:J1103" si="35">AVERAGE(B420:B431)</f>
        <v>34.858483333333332</v>
      </c>
      <c r="C1103" s="14">
        <f t="shared" si="35"/>
        <v>32.920066666666663</v>
      </c>
      <c r="D1103" s="14">
        <f t="shared" si="35"/>
        <v>32.912241666666667</v>
      </c>
      <c r="E1103" s="14">
        <f t="shared" si="35"/>
        <v>34.711325000000002</v>
      </c>
      <c r="F1103" s="14">
        <f t="shared" si="35"/>
        <v>34.702225000000006</v>
      </c>
      <c r="G1103" s="14">
        <f t="shared" si="35"/>
        <v>32.918508333333335</v>
      </c>
      <c r="H1103" s="14">
        <f t="shared" si="35"/>
        <v>32.918508333333335</v>
      </c>
      <c r="I1103" s="14">
        <f t="shared" si="35"/>
        <v>32.920066666666663</v>
      </c>
      <c r="J1103" s="14">
        <f t="shared" si="35"/>
        <v>249.65876666666668</v>
      </c>
    </row>
    <row r="1104" spans="1:11" ht="15" x14ac:dyDescent="0.2">
      <c r="A1104" s="10">
        <f t="shared" si="25"/>
        <v>2048</v>
      </c>
      <c r="B1104" s="14">
        <f t="shared" ref="B1104:J1104" si="36">AVERAGE(B432:B443)</f>
        <v>35.433283333333328</v>
      </c>
      <c r="C1104" s="14">
        <f t="shared" si="36"/>
        <v>33.464783333333337</v>
      </c>
      <c r="D1104" s="14">
        <f t="shared" si="36"/>
        <v>33.456958333333333</v>
      </c>
      <c r="E1104" s="14">
        <f t="shared" si="36"/>
        <v>35.286124999999998</v>
      </c>
      <c r="F1104" s="14">
        <f t="shared" si="36"/>
        <v>35.277025000000002</v>
      </c>
      <c r="G1104" s="14">
        <f t="shared" si="36"/>
        <v>33.463216666666675</v>
      </c>
      <c r="H1104" s="14">
        <f t="shared" si="36"/>
        <v>33.463216666666675</v>
      </c>
      <c r="I1104" s="14">
        <f t="shared" si="36"/>
        <v>33.464783333333337</v>
      </c>
      <c r="J1104" s="14">
        <f t="shared" si="36"/>
        <v>255.46581666666665</v>
      </c>
    </row>
    <row r="1105" spans="1:10" ht="15" x14ac:dyDescent="0.2">
      <c r="A1105" s="10">
        <f t="shared" si="25"/>
        <v>2049</v>
      </c>
      <c r="B1105" s="14">
        <f t="shared" ref="B1105:J1105" si="37">AVERAGE(B444:B455)</f>
        <v>36.017724999999999</v>
      </c>
      <c r="C1105" s="14">
        <f t="shared" si="37"/>
        <v>34.018625</v>
      </c>
      <c r="D1105" s="14">
        <f t="shared" si="37"/>
        <v>34.010824999999997</v>
      </c>
      <c r="E1105" s="14">
        <f t="shared" si="37"/>
        <v>35.870583333333336</v>
      </c>
      <c r="F1105" s="14">
        <f t="shared" si="37"/>
        <v>35.861483333333332</v>
      </c>
      <c r="G1105" s="14">
        <f t="shared" si="37"/>
        <v>34.017066666666665</v>
      </c>
      <c r="H1105" s="14">
        <f t="shared" si="37"/>
        <v>34.017066666666665</v>
      </c>
      <c r="I1105" s="14">
        <f t="shared" si="37"/>
        <v>34.018625</v>
      </c>
      <c r="J1105" s="14">
        <f t="shared" si="37"/>
        <v>261.40795000000003</v>
      </c>
    </row>
    <row r="1106" spans="1:10" ht="15" x14ac:dyDescent="0.2">
      <c r="A1106" s="10">
        <f t="shared" si="25"/>
        <v>2050</v>
      </c>
      <c r="B1106" s="14">
        <f t="shared" ref="B1106:J1106" si="38">AVERAGE(B456:B467)</f>
        <v>36.612016666666662</v>
      </c>
      <c r="C1106" s="14">
        <f t="shared" si="38"/>
        <v>34.581791666666668</v>
      </c>
      <c r="D1106" s="14">
        <f t="shared" si="38"/>
        <v>34.573983333333338</v>
      </c>
      <c r="E1106" s="14">
        <f t="shared" si="38"/>
        <v>36.464858333333332</v>
      </c>
      <c r="F1106" s="14">
        <f t="shared" si="38"/>
        <v>36.455758333333328</v>
      </c>
      <c r="G1106" s="14">
        <f t="shared" si="38"/>
        <v>34.580224999999999</v>
      </c>
      <c r="H1106" s="14">
        <f t="shared" si="38"/>
        <v>34.580224999999999</v>
      </c>
      <c r="I1106" s="14">
        <f t="shared" si="38"/>
        <v>34.581791666666668</v>
      </c>
      <c r="J1106" s="14">
        <f t="shared" si="38"/>
        <v>267.48830833333335</v>
      </c>
    </row>
    <row r="1107" spans="1:10" ht="15" x14ac:dyDescent="0.2">
      <c r="A1107" s="10">
        <f t="shared" si="25"/>
        <v>2051</v>
      </c>
      <c r="B1107" s="14">
        <f t="shared" ref="B1107:J1107" si="39">AVERAGE(B468:B479)</f>
        <v>37.216266666666662</v>
      </c>
      <c r="C1107" s="14">
        <f t="shared" si="39"/>
        <v>35.15442500000001</v>
      </c>
      <c r="D1107" s="14">
        <f t="shared" si="39"/>
        <v>35.146616666666667</v>
      </c>
      <c r="E1107" s="14">
        <f t="shared" si="39"/>
        <v>37.069125</v>
      </c>
      <c r="F1107" s="14">
        <f t="shared" si="39"/>
        <v>37.060025000000003</v>
      </c>
      <c r="G1107" s="14">
        <f t="shared" si="39"/>
        <v>35.152841666666667</v>
      </c>
      <c r="H1107" s="14">
        <f t="shared" si="39"/>
        <v>35.152841666666667</v>
      </c>
      <c r="I1107" s="14">
        <f t="shared" si="39"/>
        <v>35.15442500000001</v>
      </c>
      <c r="J1107" s="14">
        <f t="shared" si="39"/>
        <v>273.71009166666664</v>
      </c>
    </row>
    <row r="1108" spans="1:10" ht="15" x14ac:dyDescent="0.2">
      <c r="A1108" s="10">
        <f t="shared" si="25"/>
        <v>2052</v>
      </c>
      <c r="B1108" s="14">
        <f t="shared" ref="B1108:J1108" si="40">AVERAGE(B480:B491)</f>
        <v>37.830683333333333</v>
      </c>
      <c r="C1108" s="14">
        <f t="shared" si="40"/>
        <v>35.736658333333338</v>
      </c>
      <c r="D1108" s="14">
        <f t="shared" si="40"/>
        <v>35.728841666666675</v>
      </c>
      <c r="E1108" s="14">
        <f t="shared" si="40"/>
        <v>37.683524999999996</v>
      </c>
      <c r="F1108" s="14">
        <f t="shared" si="40"/>
        <v>37.674424999999999</v>
      </c>
      <c r="G1108" s="14">
        <f t="shared" si="40"/>
        <v>35.735091666666669</v>
      </c>
      <c r="H1108" s="14">
        <f t="shared" si="40"/>
        <v>35.735091666666669</v>
      </c>
      <c r="I1108" s="14">
        <f t="shared" si="40"/>
        <v>35.736658333333338</v>
      </c>
      <c r="J1108" s="14">
        <f t="shared" si="40"/>
        <v>280.07656666666668</v>
      </c>
    </row>
    <row r="1109" spans="1:10" ht="15" x14ac:dyDescent="0.2">
      <c r="A1109" s="10">
        <f t="shared" si="25"/>
        <v>2053</v>
      </c>
      <c r="B1109" s="14">
        <f t="shared" ref="B1109:J1109" si="41">AVERAGE(B492:B503)</f>
        <v>38.455416666666657</v>
      </c>
      <c r="C1109" s="14">
        <f t="shared" si="41"/>
        <v>36.328683333333338</v>
      </c>
      <c r="D1109" s="14">
        <f t="shared" si="41"/>
        <v>36.320883333333335</v>
      </c>
      <c r="E1109" s="14">
        <f t="shared" si="41"/>
        <v>38.308258333333335</v>
      </c>
      <c r="F1109" s="14">
        <f t="shared" si="41"/>
        <v>38.299158333333331</v>
      </c>
      <c r="G1109" s="14">
        <f t="shared" si="41"/>
        <v>36.327125000000002</v>
      </c>
      <c r="H1109" s="14">
        <f t="shared" si="41"/>
        <v>36.327125000000002</v>
      </c>
      <c r="I1109" s="14">
        <f t="shared" si="41"/>
        <v>36.328683333333338</v>
      </c>
      <c r="J1109" s="14">
        <f t="shared" si="41"/>
        <v>286.59116666666665</v>
      </c>
    </row>
    <row r="1110" spans="1:10" ht="15" x14ac:dyDescent="0.2">
      <c r="A1110" s="10">
        <f t="shared" si="25"/>
        <v>2054</v>
      </c>
      <c r="B1110" s="14">
        <f t="shared" ref="B1110:J1110" si="42">AVERAGE(B504:B515)</f>
        <v>39.090633333333336</v>
      </c>
      <c r="C1110" s="14">
        <f t="shared" si="42"/>
        <v>36.93065</v>
      </c>
      <c r="D1110" s="14">
        <f t="shared" si="42"/>
        <v>36.92284166666667</v>
      </c>
      <c r="E1110" s="14">
        <f t="shared" si="42"/>
        <v>38.943483333333333</v>
      </c>
      <c r="F1110" s="14">
        <f t="shared" si="42"/>
        <v>38.934383333333336</v>
      </c>
      <c r="G1110" s="14">
        <f t="shared" si="42"/>
        <v>36.929091666666672</v>
      </c>
      <c r="H1110" s="14">
        <f t="shared" si="42"/>
        <v>36.929091666666672</v>
      </c>
      <c r="I1110" s="14">
        <f t="shared" si="42"/>
        <v>36.93065</v>
      </c>
      <c r="J1110" s="14">
        <f t="shared" si="42"/>
        <v>293.25725833333337</v>
      </c>
    </row>
    <row r="1111" spans="1:10" ht="15" x14ac:dyDescent="0.2">
      <c r="A1111" s="10">
        <f t="shared" si="25"/>
        <v>2055</v>
      </c>
      <c r="B1111" s="14">
        <f t="shared" ref="B1111:J1111" si="43">AVERAGE(B516:B527)</f>
        <v>39.736524999999993</v>
      </c>
      <c r="C1111" s="14">
        <f t="shared" si="43"/>
        <v>37.542741666666672</v>
      </c>
      <c r="D1111" s="14">
        <f t="shared" si="43"/>
        <v>37.534925000000001</v>
      </c>
      <c r="E1111" s="14">
        <f t="shared" si="43"/>
        <v>39.589383333333323</v>
      </c>
      <c r="F1111" s="14">
        <f t="shared" si="43"/>
        <v>39.580283333333334</v>
      </c>
      <c r="G1111" s="14">
        <f t="shared" si="43"/>
        <v>37.541183333333343</v>
      </c>
      <c r="H1111" s="14">
        <f t="shared" si="43"/>
        <v>37.541183333333343</v>
      </c>
      <c r="I1111" s="14">
        <f t="shared" si="43"/>
        <v>37.542741666666672</v>
      </c>
      <c r="J1111" s="14">
        <f t="shared" si="43"/>
        <v>300.07844166666666</v>
      </c>
    </row>
    <row r="1112" spans="1:10" ht="15" x14ac:dyDescent="0.2">
      <c r="A1112" s="10">
        <f t="shared" si="25"/>
        <v>2056</v>
      </c>
      <c r="B1112" s="14">
        <f t="shared" ref="B1112:J1112" si="44">AVERAGE(B528:B539)</f>
        <v>40.393283333333322</v>
      </c>
      <c r="C1112" s="14">
        <f t="shared" si="44"/>
        <v>38.16511666666667</v>
      </c>
      <c r="D1112" s="14">
        <f t="shared" si="44"/>
        <v>38.157291666666666</v>
      </c>
      <c r="E1112" s="14">
        <f t="shared" si="44"/>
        <v>40.246124999999992</v>
      </c>
      <c r="F1112" s="14">
        <f t="shared" si="44"/>
        <v>40.237024999999996</v>
      </c>
      <c r="G1112" s="14">
        <f t="shared" si="44"/>
        <v>38.163541666666667</v>
      </c>
      <c r="H1112" s="14">
        <f t="shared" si="44"/>
        <v>38.163541666666667</v>
      </c>
      <c r="I1112" s="14">
        <f t="shared" si="44"/>
        <v>38.16511666666667</v>
      </c>
      <c r="J1112" s="14">
        <f t="shared" si="44"/>
        <v>307.05824999999999</v>
      </c>
    </row>
    <row r="1113" spans="1:10" ht="15" x14ac:dyDescent="0.2">
      <c r="A1113" s="10">
        <f t="shared" si="25"/>
        <v>2057</v>
      </c>
      <c r="B1113" s="14">
        <f t="shared" ref="B1113:J1113" si="45">AVERAGE(B540:B551)</f>
        <v>41.061066666666662</v>
      </c>
      <c r="C1113" s="14">
        <f t="shared" si="45"/>
        <v>38.797924999999999</v>
      </c>
      <c r="D1113" s="14">
        <f t="shared" si="45"/>
        <v>38.790125000000003</v>
      </c>
      <c r="E1113" s="14">
        <f t="shared" si="45"/>
        <v>40.913924999999992</v>
      </c>
      <c r="F1113" s="14">
        <f t="shared" si="45"/>
        <v>40.904824999999995</v>
      </c>
      <c r="G1113" s="14">
        <f t="shared" si="45"/>
        <v>38.796366666666664</v>
      </c>
      <c r="H1113" s="14">
        <f t="shared" si="45"/>
        <v>38.796366666666664</v>
      </c>
      <c r="I1113" s="14">
        <f t="shared" si="45"/>
        <v>38.797924999999999</v>
      </c>
      <c r="J1113" s="14">
        <f t="shared" si="45"/>
        <v>314.20045000000005</v>
      </c>
    </row>
    <row r="1114" spans="1:10" ht="15" x14ac:dyDescent="0.2">
      <c r="A1114" s="10">
        <f t="shared" si="25"/>
        <v>2058</v>
      </c>
      <c r="B1114" s="14">
        <f t="shared" ref="B1114:J1114" si="46">AVERAGE(B552:B563)</f>
        <v>41.740066666666671</v>
      </c>
      <c r="C1114" s="14">
        <f t="shared" si="46"/>
        <v>39.441383333333341</v>
      </c>
      <c r="D1114" s="14">
        <f t="shared" si="46"/>
        <v>39.433566666666664</v>
      </c>
      <c r="E1114" s="14">
        <f t="shared" si="46"/>
        <v>41.592925000000001</v>
      </c>
      <c r="F1114" s="14">
        <f t="shared" si="46"/>
        <v>41.583825000000004</v>
      </c>
      <c r="G1114" s="14">
        <f t="shared" si="46"/>
        <v>39.439824999999999</v>
      </c>
      <c r="H1114" s="14">
        <f t="shared" si="46"/>
        <v>39.439824999999999</v>
      </c>
      <c r="I1114" s="14">
        <f t="shared" si="46"/>
        <v>39.441383333333341</v>
      </c>
      <c r="J1114" s="14">
        <f t="shared" si="46"/>
        <v>321.50875000000002</v>
      </c>
    </row>
    <row r="1115" spans="1:10" ht="15" x14ac:dyDescent="0.2">
      <c r="A1115" s="10">
        <f t="shared" si="25"/>
        <v>2059</v>
      </c>
      <c r="B1115" s="14">
        <f t="shared" ref="B1115:J1115" si="47">AVERAGE(B564:B575)</f>
        <v>42.430483333333335</v>
      </c>
      <c r="C1115" s="14">
        <f t="shared" si="47"/>
        <v>40.095641666666673</v>
      </c>
      <c r="D1115" s="14">
        <f t="shared" si="47"/>
        <v>40.087824999999995</v>
      </c>
      <c r="E1115" s="14">
        <f t="shared" si="47"/>
        <v>42.283325000000005</v>
      </c>
      <c r="F1115" s="14">
        <f t="shared" si="47"/>
        <v>42.274224999999994</v>
      </c>
      <c r="G1115" s="14">
        <f t="shared" si="47"/>
        <v>40.094083333333337</v>
      </c>
      <c r="H1115" s="14">
        <f t="shared" si="47"/>
        <v>40.094083333333337</v>
      </c>
      <c r="I1115" s="14">
        <f t="shared" si="47"/>
        <v>40.095641666666673</v>
      </c>
      <c r="J1115" s="14">
        <f t="shared" si="47"/>
        <v>328.98701666666665</v>
      </c>
    </row>
    <row r="1116" spans="1:10" ht="15" x14ac:dyDescent="0.2">
      <c r="A1116" s="10">
        <f t="shared" si="25"/>
        <v>2060</v>
      </c>
      <c r="B1116" s="14">
        <f t="shared" ref="B1116:J1116" si="48">AVERAGE(B576:B587)</f>
        <v>43.132483333333333</v>
      </c>
      <c r="C1116" s="14">
        <f t="shared" si="48"/>
        <v>40.760891666666666</v>
      </c>
      <c r="D1116" s="14">
        <f t="shared" si="48"/>
        <v>40.753083333333329</v>
      </c>
      <c r="E1116" s="14">
        <f t="shared" si="48"/>
        <v>42.985324999999996</v>
      </c>
      <c r="F1116" s="14">
        <f t="shared" si="48"/>
        <v>42.976224999999999</v>
      </c>
      <c r="G1116" s="14">
        <f t="shared" si="48"/>
        <v>40.759333333333338</v>
      </c>
      <c r="H1116" s="14">
        <f t="shared" si="48"/>
        <v>40.759333333333338</v>
      </c>
      <c r="I1116" s="14">
        <f t="shared" si="48"/>
        <v>40.760891666666666</v>
      </c>
      <c r="J1116" s="14">
        <f t="shared" si="48"/>
        <v>336.63926666666663</v>
      </c>
    </row>
    <row r="1117" spans="1:10" ht="15" x14ac:dyDescent="0.2">
      <c r="A1117" s="10">
        <f t="shared" si="25"/>
        <v>2061</v>
      </c>
      <c r="B1117" s="14">
        <f t="shared" ref="B1117:J1117" si="49">AVERAGE(B588:B599)</f>
        <v>43.846283333333332</v>
      </c>
      <c r="C1117" s="14">
        <f t="shared" si="49"/>
        <v>41.437325000000001</v>
      </c>
      <c r="D1117" s="14">
        <f t="shared" si="49"/>
        <v>41.429524999999998</v>
      </c>
      <c r="E1117" s="14">
        <f t="shared" si="49"/>
        <v>43.699133333333329</v>
      </c>
      <c r="F1117" s="14">
        <f t="shared" si="49"/>
        <v>43.690033333333332</v>
      </c>
      <c r="G1117" s="14">
        <f t="shared" si="49"/>
        <v>41.435766666666673</v>
      </c>
      <c r="H1117" s="14">
        <f t="shared" si="49"/>
        <v>41.435766666666673</v>
      </c>
      <c r="I1117" s="14">
        <f t="shared" si="49"/>
        <v>41.437325000000001</v>
      </c>
      <c r="J1117" s="14">
        <f t="shared" si="49"/>
        <v>344.46949999999993</v>
      </c>
    </row>
    <row r="1118" spans="1:10" ht="15" x14ac:dyDescent="0.2">
      <c r="A1118" s="10">
        <f t="shared" si="25"/>
        <v>2062</v>
      </c>
      <c r="B1118" s="14">
        <f t="shared" ref="B1118:J1127" ca="1" si="50">AVERAGE(OFFSET(B$600,($A1118-$A$1118)*12,0,12,1))</f>
        <v>44.572083333333332</v>
      </c>
      <c r="C1118" s="14">
        <f t="shared" ca="1" si="50"/>
        <v>42.125124999999997</v>
      </c>
      <c r="D1118" s="14">
        <f t="shared" ca="1" si="50"/>
        <v>42.117316666666667</v>
      </c>
      <c r="E1118" s="14">
        <f t="shared" ca="1" si="50"/>
        <v>44.424924999999995</v>
      </c>
      <c r="F1118" s="14">
        <f t="shared" ca="1" si="50"/>
        <v>44.415824999999991</v>
      </c>
      <c r="G1118" s="14">
        <f t="shared" ca="1" si="50"/>
        <v>42.123558333333335</v>
      </c>
      <c r="H1118" s="14">
        <f t="shared" ca="1" si="50"/>
        <v>42.123558333333335</v>
      </c>
      <c r="I1118" s="14">
        <f t="shared" ca="1" si="50"/>
        <v>42.125124999999997</v>
      </c>
      <c r="J1118" s="14">
        <f t="shared" ca="1" si="50"/>
        <v>352.48185000000007</v>
      </c>
    </row>
    <row r="1119" spans="1:10" ht="15" x14ac:dyDescent="0.2">
      <c r="A1119" s="10">
        <f t="shared" si="25"/>
        <v>2063</v>
      </c>
      <c r="B1119" s="14">
        <f t="shared" ca="1" si="50"/>
        <v>45.31005833333333</v>
      </c>
      <c r="C1119" s="14">
        <f t="shared" ca="1" si="50"/>
        <v>42.824466666666673</v>
      </c>
      <c r="D1119" s="14">
        <f t="shared" ca="1" si="50"/>
        <v>42.816666666666663</v>
      </c>
      <c r="E1119" s="14">
        <f t="shared" ca="1" si="50"/>
        <v>45.162925000000001</v>
      </c>
      <c r="F1119" s="14">
        <f t="shared" ca="1" si="50"/>
        <v>45.153824999999991</v>
      </c>
      <c r="G1119" s="14">
        <f t="shared" ca="1" si="50"/>
        <v>42.822908333333345</v>
      </c>
      <c r="H1119" s="14">
        <f t="shared" ca="1" si="50"/>
        <v>42.822908333333345</v>
      </c>
      <c r="I1119" s="14">
        <f t="shared" ca="1" si="50"/>
        <v>42.824466666666673</v>
      </c>
      <c r="J1119" s="14">
        <f t="shared" ca="1" si="50"/>
        <v>360.68059999999997</v>
      </c>
    </row>
    <row r="1120" spans="1:10" ht="15" x14ac:dyDescent="0.2">
      <c r="A1120" s="10">
        <f t="shared" si="25"/>
        <v>2064</v>
      </c>
      <c r="B1120" s="14">
        <f t="shared" ca="1" si="50"/>
        <v>46.060441666666669</v>
      </c>
      <c r="C1120" s="14">
        <f t="shared" ca="1" si="50"/>
        <v>43.535566666666675</v>
      </c>
      <c r="D1120" s="14">
        <f t="shared" ca="1" si="50"/>
        <v>43.527758333333331</v>
      </c>
      <c r="E1120" s="14">
        <f t="shared" ca="1" si="50"/>
        <v>45.9133</v>
      </c>
      <c r="F1120" s="14">
        <f t="shared" ca="1" si="50"/>
        <v>45.904200000000003</v>
      </c>
      <c r="G1120" s="14">
        <f t="shared" ca="1" si="50"/>
        <v>43.534008333333333</v>
      </c>
      <c r="H1120" s="14">
        <f t="shared" ca="1" si="50"/>
        <v>43.534008333333333</v>
      </c>
      <c r="I1120" s="14">
        <f t="shared" ca="1" si="50"/>
        <v>43.535566666666675</v>
      </c>
      <c r="J1120" s="14">
        <f t="shared" ca="1" si="50"/>
        <v>369.07001666666662</v>
      </c>
    </row>
    <row r="1121" spans="1:10" ht="15" x14ac:dyDescent="0.2">
      <c r="A1121" s="10">
        <f t="shared" si="25"/>
        <v>2065</v>
      </c>
      <c r="B1121" s="14">
        <f t="shared" ca="1" si="50"/>
        <v>46.823458333333342</v>
      </c>
      <c r="C1121" s="14">
        <f t="shared" ca="1" si="50"/>
        <v>44.258625000000002</v>
      </c>
      <c r="D1121" s="14">
        <f t="shared" ca="1" si="50"/>
        <v>44.250816666666672</v>
      </c>
      <c r="E1121" s="14">
        <f t="shared" ca="1" si="50"/>
        <v>46.676283333333338</v>
      </c>
      <c r="F1121" s="14">
        <f t="shared" ca="1" si="50"/>
        <v>46.667183333333327</v>
      </c>
      <c r="G1121" s="14">
        <f t="shared" ca="1" si="50"/>
        <v>44.25705</v>
      </c>
      <c r="H1121" s="14">
        <f t="shared" ca="1" si="50"/>
        <v>44.25705</v>
      </c>
      <c r="I1121" s="14">
        <f t="shared" ca="1" si="50"/>
        <v>44.258625000000002</v>
      </c>
      <c r="J1121" s="14">
        <f t="shared" ca="1" si="50"/>
        <v>377.65460000000002</v>
      </c>
    </row>
    <row r="1122" spans="1:10" ht="15" x14ac:dyDescent="0.2">
      <c r="A1122" s="10">
        <f t="shared" si="25"/>
        <v>2066</v>
      </c>
      <c r="B1122" s="14">
        <f t="shared" ca="1" si="50"/>
        <v>47.599258333333331</v>
      </c>
      <c r="C1122" s="14">
        <f t="shared" ca="1" si="50"/>
        <v>44.9938</v>
      </c>
      <c r="D1122" s="14">
        <f t="shared" ca="1" si="50"/>
        <v>44.985983333333337</v>
      </c>
      <c r="E1122" s="14">
        <f t="shared" ca="1" si="50"/>
        <v>47.452091666666668</v>
      </c>
      <c r="F1122" s="14">
        <f t="shared" ca="1" si="50"/>
        <v>47.442991666666671</v>
      </c>
      <c r="G1122" s="14">
        <f t="shared" ca="1" si="50"/>
        <v>44.992258333333325</v>
      </c>
      <c r="H1122" s="14">
        <f t="shared" ca="1" si="50"/>
        <v>44.992258333333325</v>
      </c>
      <c r="I1122" s="14">
        <f t="shared" ca="1" si="50"/>
        <v>44.9938</v>
      </c>
      <c r="J1122" s="14">
        <f t="shared" ca="1" si="50"/>
        <v>386.43882500000001</v>
      </c>
    </row>
    <row r="1123" spans="1:10" ht="15" x14ac:dyDescent="0.2">
      <c r="A1123" s="10">
        <f t="shared" si="25"/>
        <v>2067</v>
      </c>
      <c r="B1123" s="14">
        <f t="shared" ca="1" si="50"/>
        <v>48.388083333333327</v>
      </c>
      <c r="C1123" s="14">
        <f t="shared" ca="1" si="50"/>
        <v>45.741350000000004</v>
      </c>
      <c r="D1123" s="14">
        <f t="shared" ca="1" si="50"/>
        <v>45.733550000000001</v>
      </c>
      <c r="E1123" s="14">
        <f t="shared" ca="1" si="50"/>
        <v>48.240941666666664</v>
      </c>
      <c r="F1123" s="14">
        <f t="shared" ca="1" si="50"/>
        <v>48.231841666666661</v>
      </c>
      <c r="G1123" s="14">
        <f t="shared" ca="1" si="50"/>
        <v>45.739791666666669</v>
      </c>
      <c r="H1123" s="14">
        <f t="shared" ca="1" si="50"/>
        <v>45.739791666666669</v>
      </c>
      <c r="I1123" s="14">
        <f t="shared" ca="1" si="50"/>
        <v>45.741350000000004</v>
      </c>
      <c r="J1123" s="14">
        <f t="shared" ca="1" si="50"/>
        <v>395.42739999999998</v>
      </c>
    </row>
    <row r="1124" spans="1:10" ht="15" x14ac:dyDescent="0.2">
      <c r="A1124" s="10">
        <f t="shared" si="25"/>
        <v>2068</v>
      </c>
      <c r="B1124" s="14">
        <f t="shared" ca="1" si="50"/>
        <v>49.190191666666671</v>
      </c>
      <c r="C1124" s="14">
        <f t="shared" ca="1" si="50"/>
        <v>46.501466666666666</v>
      </c>
      <c r="D1124" s="14">
        <f t="shared" ca="1" si="50"/>
        <v>46.493650000000002</v>
      </c>
      <c r="E1124" s="14">
        <f t="shared" ca="1" si="50"/>
        <v>49.043025000000007</v>
      </c>
      <c r="F1124" s="14">
        <f t="shared" ca="1" si="50"/>
        <v>49.033925000000011</v>
      </c>
      <c r="G1124" s="14">
        <f t="shared" ca="1" si="50"/>
        <v>46.499883333333337</v>
      </c>
      <c r="H1124" s="14">
        <f t="shared" ca="1" si="50"/>
        <v>46.499883333333337</v>
      </c>
      <c r="I1124" s="14">
        <f t="shared" ca="1" si="50"/>
        <v>46.501466666666666</v>
      </c>
      <c r="J1124" s="14">
        <f t="shared" ca="1" si="50"/>
        <v>404.62503333333331</v>
      </c>
    </row>
    <row r="1125" spans="1:10" ht="15" x14ac:dyDescent="0.2">
      <c r="A1125" s="10">
        <f t="shared" si="25"/>
        <v>2069</v>
      </c>
      <c r="B1125" s="14">
        <f t="shared" ca="1" si="50"/>
        <v>50.005749999999999</v>
      </c>
      <c r="C1125" s="14">
        <f t="shared" ca="1" si="50"/>
        <v>47.274341666666665</v>
      </c>
      <c r="D1125" s="14">
        <f t="shared" ca="1" si="50"/>
        <v>47.266508333333327</v>
      </c>
      <c r="E1125" s="14">
        <f t="shared" ca="1" si="50"/>
        <v>49.858599999999996</v>
      </c>
      <c r="F1125" s="14">
        <f t="shared" ca="1" si="50"/>
        <v>49.849500000000006</v>
      </c>
      <c r="G1125" s="14">
        <f t="shared" ca="1" si="50"/>
        <v>47.272758333333336</v>
      </c>
      <c r="H1125" s="14">
        <f t="shared" ca="1" si="50"/>
        <v>47.272758333333336</v>
      </c>
      <c r="I1125" s="14">
        <f t="shared" ca="1" si="50"/>
        <v>47.274341666666665</v>
      </c>
      <c r="J1125" s="14">
        <f t="shared" ca="1" si="50"/>
        <v>414.03663333333333</v>
      </c>
    </row>
    <row r="1126" spans="1:10" ht="15" x14ac:dyDescent="0.2">
      <c r="A1126" s="10">
        <f t="shared" ref="A1126:A1156" si="51">A1125+1</f>
        <v>2070</v>
      </c>
      <c r="B1126" s="14">
        <f t="shared" ca="1" si="50"/>
        <v>50.835024999999995</v>
      </c>
      <c r="C1126" s="14">
        <f t="shared" ca="1" si="50"/>
        <v>48.060175000000008</v>
      </c>
      <c r="D1126" s="14">
        <f t="shared" ca="1" si="50"/>
        <v>48.052366666666671</v>
      </c>
      <c r="E1126" s="14">
        <f t="shared" ca="1" si="50"/>
        <v>50.687866666666672</v>
      </c>
      <c r="F1126" s="14">
        <f t="shared" ca="1" si="50"/>
        <v>50.678766666666668</v>
      </c>
      <c r="G1126" s="14">
        <f t="shared" ca="1" si="50"/>
        <v>48.058608333333332</v>
      </c>
      <c r="H1126" s="14">
        <f t="shared" ca="1" si="50"/>
        <v>48.058608333333332</v>
      </c>
      <c r="I1126" s="14">
        <f t="shared" ca="1" si="50"/>
        <v>48.060175000000008</v>
      </c>
      <c r="J1126" s="14">
        <f t="shared" ca="1" si="50"/>
        <v>423.66712499999994</v>
      </c>
    </row>
    <row r="1127" spans="1:10" ht="15" x14ac:dyDescent="0.2">
      <c r="A1127" s="10">
        <f t="shared" si="51"/>
        <v>2071</v>
      </c>
      <c r="B1127" s="14">
        <f t="shared" ca="1" si="50"/>
        <v>51.678216666666678</v>
      </c>
      <c r="C1127" s="14">
        <f t="shared" ca="1" si="50"/>
        <v>48.859241666666669</v>
      </c>
      <c r="D1127" s="14">
        <f t="shared" ca="1" si="50"/>
        <v>48.851424999999999</v>
      </c>
      <c r="E1127" s="14">
        <f t="shared" ca="1" si="50"/>
        <v>51.531083333333335</v>
      </c>
      <c r="F1127" s="14">
        <f t="shared" ca="1" si="50"/>
        <v>51.521983333333331</v>
      </c>
      <c r="G1127" s="14">
        <f t="shared" ca="1" si="50"/>
        <v>48.857675000000008</v>
      </c>
      <c r="H1127" s="14">
        <f t="shared" ca="1" si="50"/>
        <v>48.857675000000008</v>
      </c>
      <c r="I1127" s="14">
        <f t="shared" ca="1" si="50"/>
        <v>48.859241666666669</v>
      </c>
      <c r="J1127" s="14">
        <f t="shared" ca="1" si="50"/>
        <v>433.52161666666672</v>
      </c>
    </row>
    <row r="1128" spans="1:10" ht="15" x14ac:dyDescent="0.2">
      <c r="A1128" s="10">
        <f t="shared" si="51"/>
        <v>2072</v>
      </c>
      <c r="B1128" s="14">
        <f t="shared" ref="B1128:J1137" ca="1" si="52">AVERAGE(OFFSET(B$600,($A1128-$A$1118)*12,0,12,1))</f>
        <v>52.535599999999995</v>
      </c>
      <c r="C1128" s="14">
        <f t="shared" ca="1" si="52"/>
        <v>49.671708333333335</v>
      </c>
      <c r="D1128" s="14">
        <f t="shared" ca="1" si="52"/>
        <v>49.663900000000005</v>
      </c>
      <c r="E1128" s="14">
        <f t="shared" ca="1" si="52"/>
        <v>52.388433333333332</v>
      </c>
      <c r="F1128" s="14">
        <f t="shared" ca="1" si="52"/>
        <v>52.379333333333335</v>
      </c>
      <c r="G1128" s="14">
        <f t="shared" ca="1" si="52"/>
        <v>49.670175000000008</v>
      </c>
      <c r="H1128" s="14">
        <f t="shared" ca="1" si="52"/>
        <v>49.670175000000008</v>
      </c>
      <c r="I1128" s="14">
        <f t="shared" ca="1" si="52"/>
        <v>49.671708333333335</v>
      </c>
      <c r="J1128" s="14">
        <f t="shared" ca="1" si="52"/>
        <v>443.60532499999994</v>
      </c>
    </row>
    <row r="1129" spans="1:10" ht="15" x14ac:dyDescent="0.2">
      <c r="A1129" s="10">
        <f t="shared" si="51"/>
        <v>2073</v>
      </c>
      <c r="B1129" s="14">
        <f t="shared" ca="1" si="52"/>
        <v>53.407358333333342</v>
      </c>
      <c r="C1129" s="14">
        <f t="shared" ca="1" si="52"/>
        <v>50.497858333333333</v>
      </c>
      <c r="D1129" s="14">
        <f t="shared" ca="1" si="52"/>
        <v>50.490058333333337</v>
      </c>
      <c r="E1129" s="14">
        <f t="shared" ca="1" si="52"/>
        <v>53.260224999999998</v>
      </c>
      <c r="F1129" s="14">
        <f t="shared" ca="1" si="52"/>
        <v>53.251125000000002</v>
      </c>
      <c r="G1129" s="14">
        <f t="shared" ca="1" si="52"/>
        <v>50.496274999999997</v>
      </c>
      <c r="H1129" s="14">
        <f t="shared" ca="1" si="52"/>
        <v>50.496274999999997</v>
      </c>
      <c r="I1129" s="14">
        <f t="shared" ca="1" si="52"/>
        <v>50.497858333333333</v>
      </c>
      <c r="J1129" s="14">
        <f t="shared" ca="1" si="52"/>
        <v>453.9235833333334</v>
      </c>
    </row>
    <row r="1130" spans="1:10" ht="15" x14ac:dyDescent="0.2">
      <c r="A1130" s="10">
        <f t="shared" si="51"/>
        <v>2074</v>
      </c>
      <c r="B1130" s="14">
        <f t="shared" ca="1" si="52"/>
        <v>54.29376666666667</v>
      </c>
      <c r="C1130" s="14">
        <f t="shared" ca="1" si="52"/>
        <v>51.337850000000003</v>
      </c>
      <c r="D1130" s="14">
        <f t="shared" ca="1" si="52"/>
        <v>51.330041666666659</v>
      </c>
      <c r="E1130" s="14">
        <f t="shared" ca="1" si="52"/>
        <v>54.146633333333334</v>
      </c>
      <c r="F1130" s="14">
        <f t="shared" ca="1" si="52"/>
        <v>54.13753333333333</v>
      </c>
      <c r="G1130" s="14">
        <f t="shared" ca="1" si="52"/>
        <v>51.336299999999994</v>
      </c>
      <c r="H1130" s="14">
        <f t="shared" ca="1" si="52"/>
        <v>51.336299999999994</v>
      </c>
      <c r="I1130" s="14">
        <f t="shared" ca="1" si="52"/>
        <v>51.337850000000003</v>
      </c>
      <c r="J1130" s="14">
        <f t="shared" ca="1" si="52"/>
        <v>464.48185833333338</v>
      </c>
    </row>
    <row r="1131" spans="1:10" ht="15" x14ac:dyDescent="0.2">
      <c r="A1131" s="10">
        <f t="shared" si="51"/>
        <v>2075</v>
      </c>
      <c r="B1131" s="14">
        <f t="shared" ca="1" si="52"/>
        <v>55.195091666666663</v>
      </c>
      <c r="C1131" s="14">
        <f t="shared" ca="1" si="52"/>
        <v>52.191991666666667</v>
      </c>
      <c r="D1131" s="14">
        <f t="shared" ca="1" si="52"/>
        <v>52.184175000000003</v>
      </c>
      <c r="E1131" s="14">
        <f t="shared" ca="1" si="52"/>
        <v>55.047925000000014</v>
      </c>
      <c r="F1131" s="14">
        <f t="shared" ca="1" si="52"/>
        <v>55.038824999999996</v>
      </c>
      <c r="G1131" s="14">
        <f t="shared" ca="1" si="52"/>
        <v>52.190400000000004</v>
      </c>
      <c r="H1131" s="14">
        <f t="shared" ca="1" si="52"/>
        <v>52.190400000000004</v>
      </c>
      <c r="I1131" s="14">
        <f t="shared" ca="1" si="52"/>
        <v>52.191991666666667</v>
      </c>
      <c r="J1131" s="14">
        <f t="shared" ca="1" si="52"/>
        <v>475.28570000000008</v>
      </c>
    </row>
    <row r="1132" spans="1:10" ht="15" x14ac:dyDescent="0.2">
      <c r="A1132" s="10">
        <f t="shared" si="51"/>
        <v>2076</v>
      </c>
      <c r="B1132" s="14">
        <f t="shared" ca="1" si="52"/>
        <v>56.11153333333332</v>
      </c>
      <c r="C1132" s="14">
        <f t="shared" ca="1" si="52"/>
        <v>53.060433333333343</v>
      </c>
      <c r="D1132" s="14">
        <f t="shared" ca="1" si="52"/>
        <v>53.052624999999999</v>
      </c>
      <c r="E1132" s="14">
        <f t="shared" ca="1" si="52"/>
        <v>55.964383333333338</v>
      </c>
      <c r="F1132" s="14">
        <f t="shared" ca="1" si="52"/>
        <v>55.955283333333334</v>
      </c>
      <c r="G1132" s="14">
        <f t="shared" ca="1" si="52"/>
        <v>53.058883333333334</v>
      </c>
      <c r="H1132" s="14">
        <f t="shared" ca="1" si="52"/>
        <v>53.058883333333334</v>
      </c>
      <c r="I1132" s="14">
        <f t="shared" ca="1" si="52"/>
        <v>53.060433333333343</v>
      </c>
      <c r="J1132" s="14">
        <f t="shared" ca="1" si="52"/>
        <v>486.34084166666662</v>
      </c>
    </row>
    <row r="1133" spans="1:10" ht="15" x14ac:dyDescent="0.2">
      <c r="A1133" s="10">
        <f t="shared" si="51"/>
        <v>2077</v>
      </c>
      <c r="B1133" s="14">
        <f t="shared" ca="1" si="52"/>
        <v>57.043383333333317</v>
      </c>
      <c r="C1133" s="14">
        <f t="shared" ca="1" si="52"/>
        <v>53.943499999999993</v>
      </c>
      <c r="D1133" s="14">
        <f t="shared" ca="1" si="52"/>
        <v>53.935699999999997</v>
      </c>
      <c r="E1133" s="14">
        <f t="shared" ca="1" si="52"/>
        <v>56.896224999999994</v>
      </c>
      <c r="F1133" s="14">
        <f t="shared" ca="1" si="52"/>
        <v>56.887124999999997</v>
      </c>
      <c r="G1133" s="14">
        <f t="shared" ca="1" si="52"/>
        <v>53.941941666666672</v>
      </c>
      <c r="H1133" s="14">
        <f t="shared" ca="1" si="52"/>
        <v>53.941941666666672</v>
      </c>
      <c r="I1133" s="14">
        <f t="shared" ca="1" si="52"/>
        <v>53.943499999999993</v>
      </c>
      <c r="J1133" s="14">
        <f t="shared" ca="1" si="52"/>
        <v>497.65312500000005</v>
      </c>
    </row>
    <row r="1134" spans="1:10" ht="15" x14ac:dyDescent="0.2">
      <c r="A1134" s="10">
        <f t="shared" si="51"/>
        <v>2078</v>
      </c>
      <c r="B1134" s="14">
        <f t="shared" ca="1" si="52"/>
        <v>57.990883333333329</v>
      </c>
      <c r="C1134" s="14">
        <f t="shared" ca="1" si="52"/>
        <v>54.841408333333334</v>
      </c>
      <c r="D1134" s="14">
        <f t="shared" ca="1" si="52"/>
        <v>54.833583333333337</v>
      </c>
      <c r="E1134" s="14">
        <f t="shared" ca="1" si="52"/>
        <v>57.843725000000006</v>
      </c>
      <c r="F1134" s="14">
        <f t="shared" ca="1" si="52"/>
        <v>57.834624999999996</v>
      </c>
      <c r="G1134" s="14">
        <f t="shared" ca="1" si="52"/>
        <v>54.839858333333346</v>
      </c>
      <c r="H1134" s="14">
        <f t="shared" ca="1" si="52"/>
        <v>54.839858333333346</v>
      </c>
      <c r="I1134" s="14">
        <f t="shared" ca="1" si="52"/>
        <v>54.841408333333334</v>
      </c>
      <c r="J1134" s="14">
        <f t="shared" ca="1" si="52"/>
        <v>509.22853333333336</v>
      </c>
    </row>
    <row r="1135" spans="1:10" ht="15" x14ac:dyDescent="0.2">
      <c r="A1135" s="10">
        <f t="shared" si="51"/>
        <v>2079</v>
      </c>
      <c r="B1135" s="14">
        <f t="shared" ca="1" si="52"/>
        <v>58.954291666666656</v>
      </c>
      <c r="C1135" s="14">
        <f t="shared" ca="1" si="52"/>
        <v>55.754391666666663</v>
      </c>
      <c r="D1135" s="14">
        <f t="shared" ca="1" si="52"/>
        <v>55.746583333333348</v>
      </c>
      <c r="E1135" s="14">
        <f t="shared" ca="1" si="52"/>
        <v>58.807141666666666</v>
      </c>
      <c r="F1135" s="14">
        <f t="shared" ca="1" si="52"/>
        <v>58.798041666666656</v>
      </c>
      <c r="G1135" s="14">
        <f t="shared" ca="1" si="52"/>
        <v>55.752816666666668</v>
      </c>
      <c r="H1135" s="14">
        <f t="shared" ca="1" si="52"/>
        <v>55.752816666666668</v>
      </c>
      <c r="I1135" s="14">
        <f t="shared" ca="1" si="52"/>
        <v>55.754391666666663</v>
      </c>
      <c r="J1135" s="14">
        <f t="shared" ca="1" si="52"/>
        <v>521.07319999999993</v>
      </c>
    </row>
    <row r="1136" spans="1:10" ht="15" x14ac:dyDescent="0.2">
      <c r="A1136" s="10">
        <f t="shared" si="51"/>
        <v>2080</v>
      </c>
      <c r="B1136" s="14">
        <f t="shared" ca="1" si="52"/>
        <v>59.933916666666669</v>
      </c>
      <c r="C1136" s="14">
        <f t="shared" ca="1" si="52"/>
        <v>56.68269166666667</v>
      </c>
      <c r="D1136" s="14">
        <f t="shared" ca="1" si="52"/>
        <v>56.674891666666667</v>
      </c>
      <c r="E1136" s="14">
        <f t="shared" ca="1" si="52"/>
        <v>59.786741666666671</v>
      </c>
      <c r="F1136" s="14">
        <f t="shared" ca="1" si="52"/>
        <v>59.777641666666661</v>
      </c>
      <c r="G1136" s="14">
        <f t="shared" ca="1" si="52"/>
        <v>56.681133333333342</v>
      </c>
      <c r="H1136" s="14">
        <f t="shared" ca="1" si="52"/>
        <v>56.681133333333342</v>
      </c>
      <c r="I1136" s="14">
        <f t="shared" ca="1" si="52"/>
        <v>56.68269166666667</v>
      </c>
      <c r="J1136" s="14">
        <f t="shared" ca="1" si="52"/>
        <v>533.19335833333332</v>
      </c>
    </row>
    <row r="1137" spans="1:10" ht="15" x14ac:dyDescent="0.2">
      <c r="A1137" s="10">
        <f t="shared" si="51"/>
        <v>2081</v>
      </c>
      <c r="B1137" s="14">
        <f t="shared" ca="1" si="52"/>
        <v>60.929966666666665</v>
      </c>
      <c r="C1137" s="14">
        <f t="shared" ca="1" si="52"/>
        <v>57.626616666666671</v>
      </c>
      <c r="D1137" s="14">
        <f t="shared" ca="1" si="52"/>
        <v>57.618808333333334</v>
      </c>
      <c r="E1137" s="14">
        <f t="shared" ca="1" si="52"/>
        <v>60.782808333333328</v>
      </c>
      <c r="F1137" s="14">
        <f t="shared" ca="1" si="52"/>
        <v>60.773708333333325</v>
      </c>
      <c r="G1137" s="14">
        <f t="shared" ca="1" si="52"/>
        <v>57.625033333333334</v>
      </c>
      <c r="H1137" s="14">
        <f t="shared" ca="1" si="52"/>
        <v>57.625033333333334</v>
      </c>
      <c r="I1137" s="14">
        <f t="shared" ca="1" si="52"/>
        <v>57.626616666666671</v>
      </c>
      <c r="J1137" s="14">
        <f t="shared" ca="1" si="52"/>
        <v>545.5954333333334</v>
      </c>
    </row>
    <row r="1138" spans="1:10" ht="15" x14ac:dyDescent="0.2">
      <c r="A1138" s="10">
        <f t="shared" si="51"/>
        <v>2082</v>
      </c>
      <c r="B1138" s="14">
        <f t="shared" ref="B1138:J1147" ca="1" si="53">AVERAGE(OFFSET(B$600,($A1138-$A$1118)*12,0,12,1))</f>
        <v>61.94274999999999</v>
      </c>
      <c r="C1138" s="14">
        <f t="shared" ca="1" si="53"/>
        <v>58.586400000000005</v>
      </c>
      <c r="D1138" s="14">
        <f t="shared" ca="1" si="53"/>
        <v>58.57856666666666</v>
      </c>
      <c r="E1138" s="14">
        <f t="shared" ca="1" si="53"/>
        <v>61.79561666666666</v>
      </c>
      <c r="F1138" s="14">
        <f t="shared" ca="1" si="53"/>
        <v>61.786516666666671</v>
      </c>
      <c r="G1138" s="14">
        <f t="shared" ca="1" si="53"/>
        <v>58.584825000000002</v>
      </c>
      <c r="H1138" s="14">
        <f t="shared" ca="1" si="53"/>
        <v>58.584825000000002</v>
      </c>
      <c r="I1138" s="14">
        <f t="shared" ca="1" si="53"/>
        <v>58.586400000000005</v>
      </c>
      <c r="J1138" s="14">
        <f t="shared" ca="1" si="53"/>
        <v>558.28599166666652</v>
      </c>
    </row>
    <row r="1139" spans="1:10" ht="15" x14ac:dyDescent="0.2">
      <c r="A1139" s="10">
        <f t="shared" si="51"/>
        <v>2083</v>
      </c>
      <c r="B1139" s="14">
        <f t="shared" ca="1" si="53"/>
        <v>62.972566666666665</v>
      </c>
      <c r="C1139" s="14">
        <f t="shared" ca="1" si="53"/>
        <v>59.56226666666668</v>
      </c>
      <c r="D1139" s="14">
        <f t="shared" ca="1" si="53"/>
        <v>59.554466666666677</v>
      </c>
      <c r="E1139" s="14">
        <f t="shared" ca="1" si="53"/>
        <v>62.825408333333336</v>
      </c>
      <c r="F1139" s="14">
        <f t="shared" ca="1" si="53"/>
        <v>62.816308333333325</v>
      </c>
      <c r="G1139" s="14">
        <f t="shared" ca="1" si="53"/>
        <v>59.560716666666671</v>
      </c>
      <c r="H1139" s="14">
        <f t="shared" ca="1" si="53"/>
        <v>59.560716666666671</v>
      </c>
      <c r="I1139" s="14">
        <f t="shared" ca="1" si="53"/>
        <v>59.56226666666668</v>
      </c>
      <c r="J1139" s="14">
        <f t="shared" ca="1" si="53"/>
        <v>571.27171666666663</v>
      </c>
    </row>
    <row r="1140" spans="1:10" ht="15" x14ac:dyDescent="0.2">
      <c r="A1140" s="10">
        <f t="shared" si="51"/>
        <v>2084</v>
      </c>
      <c r="B1140" s="14">
        <f t="shared" ca="1" si="53"/>
        <v>64.019666666666652</v>
      </c>
      <c r="C1140" s="14">
        <f t="shared" ca="1" si="53"/>
        <v>60.554566666666666</v>
      </c>
      <c r="D1140" s="14">
        <f t="shared" ca="1" si="53"/>
        <v>60.546758333333337</v>
      </c>
      <c r="E1140" s="14">
        <f t="shared" ca="1" si="53"/>
        <v>63.872525000000003</v>
      </c>
      <c r="F1140" s="14">
        <f t="shared" ca="1" si="53"/>
        <v>63.863425000000007</v>
      </c>
      <c r="G1140" s="14">
        <f t="shared" ca="1" si="53"/>
        <v>60.553008333333338</v>
      </c>
      <c r="H1140" s="14">
        <f t="shared" ca="1" si="53"/>
        <v>60.553008333333338</v>
      </c>
      <c r="I1140" s="14">
        <f t="shared" ca="1" si="53"/>
        <v>60.554566666666666</v>
      </c>
      <c r="J1140" s="14">
        <f t="shared" ca="1" si="53"/>
        <v>584.55948333333333</v>
      </c>
    </row>
    <row r="1141" spans="1:10" ht="15" x14ac:dyDescent="0.2">
      <c r="A1141" s="10">
        <f t="shared" si="51"/>
        <v>2085</v>
      </c>
      <c r="B1141" s="14">
        <f t="shared" ca="1" si="53"/>
        <v>65.084375000000009</v>
      </c>
      <c r="C1141" s="14">
        <f t="shared" ca="1" si="53"/>
        <v>61.563516666666679</v>
      </c>
      <c r="D1141" s="14">
        <f t="shared" ca="1" si="53"/>
        <v>61.555716666666683</v>
      </c>
      <c r="E1141" s="14">
        <f t="shared" ca="1" si="53"/>
        <v>64.937216666666671</v>
      </c>
      <c r="F1141" s="14">
        <f t="shared" ca="1" si="53"/>
        <v>64.928116666666668</v>
      </c>
      <c r="G1141" s="14">
        <f t="shared" ca="1" si="53"/>
        <v>61.561983333333337</v>
      </c>
      <c r="H1141" s="14">
        <f t="shared" ca="1" si="53"/>
        <v>61.561983333333337</v>
      </c>
      <c r="I1141" s="14">
        <f t="shared" ca="1" si="53"/>
        <v>61.563516666666679</v>
      </c>
      <c r="J1141" s="14">
        <f t="shared" ca="1" si="53"/>
        <v>598.15634999999997</v>
      </c>
    </row>
    <row r="1142" spans="1:10" ht="15" x14ac:dyDescent="0.2">
      <c r="A1142" s="10">
        <f t="shared" si="51"/>
        <v>2086</v>
      </c>
      <c r="B1142" s="14">
        <f t="shared" ca="1" si="53"/>
        <v>66.166958333333326</v>
      </c>
      <c r="C1142" s="14">
        <f t="shared" ca="1" si="53"/>
        <v>62.589449999999992</v>
      </c>
      <c r="D1142" s="14">
        <f t="shared" ca="1" si="53"/>
        <v>62.581633333333336</v>
      </c>
      <c r="E1142" s="14">
        <f t="shared" ca="1" si="53"/>
        <v>66.019808333333344</v>
      </c>
      <c r="F1142" s="14">
        <f t="shared" ca="1" si="53"/>
        <v>66.010708333333326</v>
      </c>
      <c r="G1142" s="14">
        <f t="shared" ca="1" si="53"/>
        <v>62.587858333333344</v>
      </c>
      <c r="H1142" s="14">
        <f t="shared" ca="1" si="53"/>
        <v>62.587858333333344</v>
      </c>
      <c r="I1142" s="14">
        <f t="shared" ca="1" si="53"/>
        <v>62.589449999999992</v>
      </c>
      <c r="J1142" s="14">
        <f t="shared" ca="1" si="53"/>
        <v>612.06947500000001</v>
      </c>
    </row>
    <row r="1143" spans="1:10" ht="15" x14ac:dyDescent="0.2">
      <c r="A1143" s="10">
        <f t="shared" si="51"/>
        <v>2087</v>
      </c>
      <c r="B1143" s="14">
        <f t="shared" ca="1" si="53"/>
        <v>67.267749999999992</v>
      </c>
      <c r="C1143" s="14">
        <f t="shared" ca="1" si="53"/>
        <v>63.632575000000003</v>
      </c>
      <c r="D1143" s="14">
        <f t="shared" ca="1" si="53"/>
        <v>63.624766666666659</v>
      </c>
      <c r="E1143" s="14">
        <f t="shared" ca="1" si="53"/>
        <v>67.120575000000002</v>
      </c>
      <c r="F1143" s="14">
        <f t="shared" ca="1" si="53"/>
        <v>67.111474999999999</v>
      </c>
      <c r="G1143" s="14">
        <f t="shared" ca="1" si="53"/>
        <v>63.63101666666666</v>
      </c>
      <c r="H1143" s="14">
        <f t="shared" ca="1" si="53"/>
        <v>63.63101666666666</v>
      </c>
      <c r="I1143" s="14">
        <f t="shared" ca="1" si="53"/>
        <v>63.632575000000003</v>
      </c>
      <c r="J1143" s="14">
        <f t="shared" ca="1" si="53"/>
        <v>626.30619999999988</v>
      </c>
    </row>
    <row r="1144" spans="1:10" ht="15" x14ac:dyDescent="0.2">
      <c r="A1144" s="10">
        <f t="shared" si="51"/>
        <v>2088</v>
      </c>
      <c r="B1144" s="14">
        <f t="shared" ca="1" si="53"/>
        <v>68.387</v>
      </c>
      <c r="C1144" s="14">
        <f t="shared" ca="1" si="53"/>
        <v>64.693275000000014</v>
      </c>
      <c r="D1144" s="14">
        <f t="shared" ca="1" si="53"/>
        <v>64.685433333333336</v>
      </c>
      <c r="E1144" s="14">
        <f t="shared" ca="1" si="53"/>
        <v>68.239858333333345</v>
      </c>
      <c r="F1144" s="14">
        <f t="shared" ca="1" si="53"/>
        <v>68.230758333333341</v>
      </c>
      <c r="G1144" s="14">
        <f t="shared" ca="1" si="53"/>
        <v>64.69168333333333</v>
      </c>
      <c r="H1144" s="14">
        <f t="shared" ca="1" si="53"/>
        <v>64.69168333333333</v>
      </c>
      <c r="I1144" s="14">
        <f t="shared" ca="1" si="53"/>
        <v>64.693275000000014</v>
      </c>
      <c r="J1144" s="14">
        <f t="shared" ca="1" si="53"/>
        <v>640.8741</v>
      </c>
    </row>
    <row r="1145" spans="1:10" ht="15" x14ac:dyDescent="0.2">
      <c r="A1145" s="10">
        <f t="shared" si="51"/>
        <v>2089</v>
      </c>
      <c r="B1145" s="14">
        <f t="shared" ca="1" si="53"/>
        <v>69.525058333333334</v>
      </c>
      <c r="C1145" s="14">
        <f t="shared" ca="1" si="53"/>
        <v>65.771733333333344</v>
      </c>
      <c r="D1145" s="14">
        <f t="shared" ca="1" si="53"/>
        <v>65.763925</v>
      </c>
      <c r="E1145" s="14">
        <f t="shared" ca="1" si="53"/>
        <v>69.377933333333331</v>
      </c>
      <c r="F1145" s="14">
        <f t="shared" ca="1" si="53"/>
        <v>69.368833333333328</v>
      </c>
      <c r="G1145" s="14">
        <f t="shared" ca="1" si="53"/>
        <v>65.770174999999995</v>
      </c>
      <c r="H1145" s="14">
        <f t="shared" ca="1" si="53"/>
        <v>65.770174999999995</v>
      </c>
      <c r="I1145" s="14">
        <f t="shared" ca="1" si="53"/>
        <v>65.771733333333344</v>
      </c>
      <c r="J1145" s="14">
        <f t="shared" ca="1" si="53"/>
        <v>655.78081666666662</v>
      </c>
    </row>
    <row r="1146" spans="1:10" ht="15" x14ac:dyDescent="0.2">
      <c r="A1146" s="10">
        <f t="shared" si="51"/>
        <v>2090</v>
      </c>
      <c r="B1146" s="14">
        <f t="shared" ca="1" si="53"/>
        <v>70.68227499999999</v>
      </c>
      <c r="C1146" s="14">
        <f t="shared" ca="1" si="53"/>
        <v>66.868358333333333</v>
      </c>
      <c r="D1146" s="14">
        <f t="shared" ca="1" si="53"/>
        <v>66.86052500000001</v>
      </c>
      <c r="E1146" s="14">
        <f t="shared" ca="1" si="53"/>
        <v>70.535108333333355</v>
      </c>
      <c r="F1146" s="14">
        <f t="shared" ca="1" si="53"/>
        <v>70.526008333333337</v>
      </c>
      <c r="G1146" s="14">
        <f t="shared" ca="1" si="53"/>
        <v>66.866783333333331</v>
      </c>
      <c r="H1146" s="14">
        <f t="shared" ca="1" si="53"/>
        <v>66.866783333333331</v>
      </c>
      <c r="I1146" s="14">
        <f t="shared" ca="1" si="53"/>
        <v>66.868358333333333</v>
      </c>
      <c r="J1146" s="14">
        <f t="shared" ca="1" si="53"/>
        <v>671.03426666666667</v>
      </c>
    </row>
    <row r="1147" spans="1:10" ht="15" x14ac:dyDescent="0.2">
      <c r="A1147" s="10">
        <f t="shared" si="51"/>
        <v>2091</v>
      </c>
      <c r="B1147" s="14">
        <f t="shared" ca="1" si="53"/>
        <v>71.858891666666665</v>
      </c>
      <c r="C1147" s="14">
        <f t="shared" ca="1" si="53"/>
        <v>67.983366666666669</v>
      </c>
      <c r="D1147" s="14">
        <f t="shared" ca="1" si="53"/>
        <v>67.975558333333325</v>
      </c>
      <c r="E1147" s="14">
        <f t="shared" ca="1" si="53"/>
        <v>71.711733333333328</v>
      </c>
      <c r="F1147" s="14">
        <f t="shared" ca="1" si="53"/>
        <v>71.702633333333338</v>
      </c>
      <c r="G1147" s="14">
        <f t="shared" ca="1" si="53"/>
        <v>67.981825000000015</v>
      </c>
      <c r="H1147" s="14">
        <f t="shared" ca="1" si="53"/>
        <v>67.981825000000015</v>
      </c>
      <c r="I1147" s="14">
        <f t="shared" ca="1" si="53"/>
        <v>67.983366666666669</v>
      </c>
      <c r="J1147" s="14">
        <f t="shared" ca="1" si="53"/>
        <v>686.64255833333334</v>
      </c>
    </row>
    <row r="1148" spans="1:10" ht="15" x14ac:dyDescent="0.2">
      <c r="A1148" s="10">
        <f t="shared" si="51"/>
        <v>2092</v>
      </c>
      <c r="B1148" s="14">
        <f t="shared" ref="B1148:J1156" ca="1" si="54">AVERAGE(OFFSET(B$600,($A1148-$A$1118)*12,0,12,1))</f>
        <v>73.055291666666662</v>
      </c>
      <c r="C1148" s="14">
        <f t="shared" ca="1" si="54"/>
        <v>69.117141666666669</v>
      </c>
      <c r="D1148" s="14">
        <f t="shared" ca="1" si="54"/>
        <v>69.109341666666666</v>
      </c>
      <c r="E1148" s="14">
        <f t="shared" ca="1" si="54"/>
        <v>72.90814166666668</v>
      </c>
      <c r="F1148" s="14">
        <f t="shared" ca="1" si="54"/>
        <v>72.899041666666662</v>
      </c>
      <c r="G1148" s="14">
        <f t="shared" ca="1" si="54"/>
        <v>69.11556666666668</v>
      </c>
      <c r="H1148" s="14">
        <f t="shared" ca="1" si="54"/>
        <v>69.11556666666668</v>
      </c>
      <c r="I1148" s="14">
        <f t="shared" ca="1" si="54"/>
        <v>69.117141666666669</v>
      </c>
      <c r="J1148" s="14">
        <f t="shared" ca="1" si="54"/>
        <v>702.61383333333333</v>
      </c>
    </row>
    <row r="1149" spans="1:10" ht="15" x14ac:dyDescent="0.2">
      <c r="A1149" s="10">
        <f t="shared" si="51"/>
        <v>2093</v>
      </c>
      <c r="B1149" s="14">
        <f t="shared" ca="1" si="54"/>
        <v>74.271783333333318</v>
      </c>
      <c r="C1149" s="14">
        <f t="shared" ca="1" si="54"/>
        <v>70.269950000000009</v>
      </c>
      <c r="D1149" s="14">
        <f t="shared" ca="1" si="54"/>
        <v>70.262150000000005</v>
      </c>
      <c r="E1149" s="14">
        <f t="shared" ca="1" si="54"/>
        <v>74.124633333333335</v>
      </c>
      <c r="F1149" s="14">
        <f t="shared" ca="1" si="54"/>
        <v>74.115533333333332</v>
      </c>
      <c r="G1149" s="14">
        <f t="shared" ca="1" si="54"/>
        <v>70.268383333333318</v>
      </c>
      <c r="H1149" s="14">
        <f t="shared" ca="1" si="54"/>
        <v>70.268383333333318</v>
      </c>
      <c r="I1149" s="14">
        <f t="shared" ca="1" si="54"/>
        <v>70.269950000000009</v>
      </c>
      <c r="J1149" s="14">
        <f t="shared" ca="1" si="54"/>
        <v>718.95664166666666</v>
      </c>
    </row>
    <row r="1150" spans="1:10" ht="15" x14ac:dyDescent="0.2">
      <c r="A1150" s="10">
        <f t="shared" si="51"/>
        <v>2094</v>
      </c>
      <c r="B1150" s="14">
        <f t="shared" ca="1" si="54"/>
        <v>75.508716666666658</v>
      </c>
      <c r="C1150" s="14">
        <f t="shared" ca="1" si="54"/>
        <v>71.442125000000004</v>
      </c>
      <c r="D1150" s="14">
        <f t="shared" ca="1" si="54"/>
        <v>71.434300000000007</v>
      </c>
      <c r="E1150" s="14">
        <f t="shared" ca="1" si="54"/>
        <v>75.361583333333328</v>
      </c>
      <c r="F1150" s="14">
        <f t="shared" ca="1" si="54"/>
        <v>75.352483333333339</v>
      </c>
      <c r="G1150" s="14">
        <f t="shared" ca="1" si="54"/>
        <v>71.440566666666655</v>
      </c>
      <c r="H1150" s="14">
        <f t="shared" ca="1" si="54"/>
        <v>71.440566666666655</v>
      </c>
      <c r="I1150" s="14">
        <f t="shared" ca="1" si="54"/>
        <v>71.442125000000004</v>
      </c>
      <c r="J1150" s="14">
        <f t="shared" ca="1" si="54"/>
        <v>735.67955833333338</v>
      </c>
    </row>
    <row r="1151" spans="1:10" ht="15" x14ac:dyDescent="0.2">
      <c r="A1151" s="10">
        <f t="shared" si="51"/>
        <v>2095</v>
      </c>
      <c r="B1151" s="14">
        <f t="shared" ca="1" si="54"/>
        <v>76.766416666666672</v>
      </c>
      <c r="C1151" s="14">
        <f t="shared" ca="1" si="54"/>
        <v>72.63399166666666</v>
      </c>
      <c r="D1151" s="14">
        <f t="shared" ca="1" si="54"/>
        <v>72.626175000000003</v>
      </c>
      <c r="E1151" s="14">
        <f t="shared" ca="1" si="54"/>
        <v>76.619291666666683</v>
      </c>
      <c r="F1151" s="14">
        <f t="shared" ca="1" si="54"/>
        <v>76.610191666666665</v>
      </c>
      <c r="G1151" s="14">
        <f t="shared" ca="1" si="54"/>
        <v>72.632424999999998</v>
      </c>
      <c r="H1151" s="14">
        <f t="shared" ca="1" si="54"/>
        <v>72.632424999999998</v>
      </c>
      <c r="I1151" s="14">
        <f t="shared" ca="1" si="54"/>
        <v>72.63399166666666</v>
      </c>
      <c r="J1151" s="14">
        <f t="shared" ca="1" si="54"/>
        <v>752.79145833333325</v>
      </c>
    </row>
    <row r="1152" spans="1:10" ht="15" x14ac:dyDescent="0.2">
      <c r="A1152" s="10">
        <f t="shared" si="51"/>
        <v>2096</v>
      </c>
      <c r="B1152" s="14">
        <f t="shared" ca="1" si="54"/>
        <v>78.04528333333333</v>
      </c>
      <c r="C1152" s="14">
        <f t="shared" ca="1" si="54"/>
        <v>73.845891666666674</v>
      </c>
      <c r="D1152" s="14">
        <f t="shared" ca="1" si="54"/>
        <v>73.838066666666677</v>
      </c>
      <c r="E1152" s="14">
        <f t="shared" ca="1" si="54"/>
        <v>77.898116666666667</v>
      </c>
      <c r="F1152" s="14">
        <f t="shared" ca="1" si="54"/>
        <v>77.889016666666649</v>
      </c>
      <c r="G1152" s="14">
        <f t="shared" ca="1" si="54"/>
        <v>73.844316666666671</v>
      </c>
      <c r="H1152" s="14">
        <f t="shared" ca="1" si="54"/>
        <v>73.844316666666671</v>
      </c>
      <c r="I1152" s="14">
        <f t="shared" ca="1" si="54"/>
        <v>73.845891666666674</v>
      </c>
      <c r="J1152" s="14">
        <f t="shared" ca="1" si="54"/>
        <v>770.30140833333326</v>
      </c>
    </row>
    <row r="1153" spans="1:10" ht="15" x14ac:dyDescent="0.2">
      <c r="A1153" s="10">
        <f t="shared" si="51"/>
        <v>2097</v>
      </c>
      <c r="B1153" s="14">
        <f t="shared" ca="1" si="54"/>
        <v>79.345616666666672</v>
      </c>
      <c r="C1153" s="14">
        <f t="shared" ca="1" si="54"/>
        <v>75.078133333333327</v>
      </c>
      <c r="D1153" s="14">
        <f t="shared" ca="1" si="54"/>
        <v>75.070324999999997</v>
      </c>
      <c r="E1153" s="14">
        <f t="shared" ca="1" si="54"/>
        <v>79.198449999999994</v>
      </c>
      <c r="F1153" s="14">
        <f t="shared" ca="1" si="54"/>
        <v>79.189350000000005</v>
      </c>
      <c r="G1153" s="14">
        <f t="shared" ca="1" si="54"/>
        <v>75.076575000000005</v>
      </c>
      <c r="H1153" s="14">
        <f t="shared" ca="1" si="54"/>
        <v>75.076575000000005</v>
      </c>
      <c r="I1153" s="14">
        <f t="shared" ca="1" si="54"/>
        <v>75.078133333333327</v>
      </c>
      <c r="J1153" s="14">
        <f t="shared" ca="1" si="54"/>
        <v>788.21861666666655</v>
      </c>
    </row>
    <row r="1154" spans="1:10" ht="15" x14ac:dyDescent="0.2">
      <c r="A1154" s="10">
        <f t="shared" si="51"/>
        <v>2098</v>
      </c>
      <c r="B1154" s="14">
        <f t="shared" ca="1" si="54"/>
        <v>80.667774999999992</v>
      </c>
      <c r="C1154" s="14">
        <f t="shared" ca="1" si="54"/>
        <v>76.331083333333339</v>
      </c>
      <c r="D1154" s="14">
        <f t="shared" ca="1" si="54"/>
        <v>76.323283333333336</v>
      </c>
      <c r="E1154" s="14">
        <f t="shared" ca="1" si="54"/>
        <v>80.52062500000001</v>
      </c>
      <c r="F1154" s="14">
        <f t="shared" ca="1" si="54"/>
        <v>80.511525000000006</v>
      </c>
      <c r="G1154" s="14">
        <f t="shared" ca="1" si="54"/>
        <v>76.329533333333345</v>
      </c>
      <c r="H1154" s="14">
        <f t="shared" ca="1" si="54"/>
        <v>76.329533333333345</v>
      </c>
      <c r="I1154" s="14">
        <f t="shared" ca="1" si="54"/>
        <v>76.331083333333339</v>
      </c>
      <c r="J1154" s="14">
        <f t="shared" ca="1" si="54"/>
        <v>806.55257500000005</v>
      </c>
    </row>
    <row r="1155" spans="1:10" ht="15" x14ac:dyDescent="0.2">
      <c r="A1155" s="10">
        <f t="shared" si="51"/>
        <v>2099</v>
      </c>
      <c r="B1155" s="14">
        <f t="shared" ca="1" si="54"/>
        <v>82.012166666666658</v>
      </c>
      <c r="C1155" s="14">
        <f t="shared" ca="1" si="54"/>
        <v>77.605074999999999</v>
      </c>
      <c r="D1155" s="14">
        <f t="shared" ca="1" si="54"/>
        <v>77.59727500000001</v>
      </c>
      <c r="E1155" s="14">
        <f t="shared" ca="1" si="54"/>
        <v>81.864999999999995</v>
      </c>
      <c r="F1155" s="14">
        <f t="shared" ca="1" si="54"/>
        <v>81.855900000000005</v>
      </c>
      <c r="G1155" s="14">
        <f t="shared" ca="1" si="54"/>
        <v>77.603533333333331</v>
      </c>
      <c r="H1155" s="14">
        <f t="shared" ca="1" si="54"/>
        <v>77.603533333333331</v>
      </c>
      <c r="I1155" s="14">
        <f t="shared" ca="1" si="54"/>
        <v>77.605074999999999</v>
      </c>
      <c r="J1155" s="14">
        <f t="shared" ca="1" si="54"/>
        <v>825.31298333333336</v>
      </c>
    </row>
    <row r="1156" spans="1:10" ht="15" x14ac:dyDescent="0.2">
      <c r="A1156" s="10">
        <f t="shared" si="51"/>
        <v>2100</v>
      </c>
      <c r="B1156" s="14">
        <f t="shared" ca="1" si="54"/>
        <v>83.379124999999988</v>
      </c>
      <c r="C1156" s="14">
        <f t="shared" ca="1" si="54"/>
        <v>78.900500000000008</v>
      </c>
      <c r="D1156" s="14">
        <f t="shared" ca="1" si="54"/>
        <v>78.892674999999997</v>
      </c>
      <c r="E1156" s="14">
        <f t="shared" ca="1" si="54"/>
        <v>83.231991666666659</v>
      </c>
      <c r="F1156" s="14">
        <f t="shared" ca="1" si="54"/>
        <v>83.222891666666655</v>
      </c>
      <c r="G1156" s="14">
        <f t="shared" ca="1" si="54"/>
        <v>78.898925000000006</v>
      </c>
      <c r="H1156" s="14">
        <f t="shared" ca="1" si="54"/>
        <v>78.898925000000006</v>
      </c>
      <c r="I1156" s="14">
        <f t="shared" ca="1" si="54"/>
        <v>78.900500000000008</v>
      </c>
      <c r="J1156" s="14">
        <f t="shared" ca="1" si="54"/>
        <v>844.50977499999999</v>
      </c>
    </row>
    <row r="1157" spans="1:10" x14ac:dyDescent="0.2">
      <c r="A1157" s="8"/>
    </row>
    <row r="1158" spans="1:10" x14ac:dyDescent="0.2">
      <c r="A1158" s="8"/>
    </row>
    <row r="1159" spans="1:10" x14ac:dyDescent="0.2">
      <c r="A1159" s="8"/>
    </row>
    <row r="1160" spans="1:10" x14ac:dyDescent="0.2">
      <c r="A1160" s="8"/>
    </row>
    <row r="1161" spans="1:10" x14ac:dyDescent="0.2">
      <c r="A1161" s="8"/>
    </row>
    <row r="1162" spans="1:10" x14ac:dyDescent="0.2">
      <c r="A1162" s="8"/>
    </row>
    <row r="1163" spans="1:10" x14ac:dyDescent="0.2">
      <c r="A1163" s="8"/>
    </row>
    <row r="1164" spans="1:10" x14ac:dyDescent="0.2">
      <c r="A1164" s="8"/>
    </row>
    <row r="1165" spans="1:10" x14ac:dyDescent="0.2">
      <c r="A1165" s="8"/>
    </row>
    <row r="1166" spans="1:10" x14ac:dyDescent="0.2">
      <c r="A1166" s="8"/>
    </row>
    <row r="1167" spans="1:10" x14ac:dyDescent="0.2">
      <c r="A1167" s="8"/>
    </row>
    <row r="1168" spans="1:10" x14ac:dyDescent="0.2">
      <c r="A1168" s="8"/>
    </row>
    <row r="1169" spans="1:1" x14ac:dyDescent="0.2">
      <c r="A1169" s="8"/>
    </row>
    <row r="1170" spans="1:1" x14ac:dyDescent="0.2">
      <c r="A1170" s="8"/>
    </row>
    <row r="1171" spans="1:1" x14ac:dyDescent="0.2">
      <c r="A1171" s="8"/>
    </row>
    <row r="1172" spans="1:1" x14ac:dyDescent="0.2">
      <c r="A1172" s="8"/>
    </row>
    <row r="1173" spans="1:1" x14ac:dyDescent="0.2">
      <c r="A1173" s="8"/>
    </row>
    <row r="1174" spans="1:1" x14ac:dyDescent="0.2">
      <c r="A1174" s="8"/>
    </row>
    <row r="1175" spans="1:1" x14ac:dyDescent="0.2">
      <c r="A1175" s="8"/>
    </row>
    <row r="1176" spans="1:1" x14ac:dyDescent="0.2">
      <c r="A1176" s="8"/>
    </row>
  </sheetData>
  <pageMargins left="0.25" right="0.25" top="0.5" bottom="0.5" header="0.25" footer="0.25"/>
  <pageSetup paperSize="5" scale="95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locked="0" defaultSize="0" autoLine="0" autoPict="0">
                <anchor moveWithCells="1">
                  <from>
                    <xdr:col>7</xdr:col>
                    <xdr:colOff>171450</xdr:colOff>
                    <xdr:row>7</xdr:row>
                    <xdr:rowOff>133350</xdr:rowOff>
                  </from>
                  <to>
                    <xdr:col>8</xdr:col>
                    <xdr:colOff>304800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Drop Down 2">
              <controlPr locked="0" defaultSize="0" autoLine="0" autoPict="0">
                <anchor moveWithCells="1">
                  <from>
                    <xdr:col>8</xdr:col>
                    <xdr:colOff>438150</xdr:colOff>
                    <xdr:row>7</xdr:row>
                    <xdr:rowOff>133350</xdr:rowOff>
                  </from>
                  <to>
                    <xdr:col>9</xdr:col>
                    <xdr:colOff>571500</xdr:colOff>
                    <xdr:row>9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AC1172"/>
  <sheetViews>
    <sheetView zoomScale="70" zoomScaleNormal="70" workbookViewId="0">
      <pane xSplit="1" ySplit="12" topLeftCell="B13" activePane="bottomRight" state="frozen"/>
      <selection activeCell="A4" sqref="A4:XFD6"/>
      <selection pane="topRight" activeCell="A4" sqref="A4:XFD6"/>
      <selection pane="bottomLeft" activeCell="A4" sqref="A4:XFD6"/>
      <selection pane="bottomRight" activeCell="B13" sqref="B13"/>
    </sheetView>
  </sheetViews>
  <sheetFormatPr defaultColWidth="7.109375" defaultRowHeight="12.75" x14ac:dyDescent="0.2"/>
  <cols>
    <col min="1" max="1" width="18.21875" style="31" customWidth="1"/>
    <col min="2" max="10" width="13" style="31" customWidth="1"/>
    <col min="11" max="11" width="18.6640625" style="31" customWidth="1"/>
    <col min="12" max="12" width="13" style="31" customWidth="1"/>
    <col min="13" max="16" width="20.6640625" style="31" customWidth="1"/>
    <col min="17" max="17" width="15.5546875" style="31" customWidth="1"/>
    <col min="18" max="18" width="16.21875" style="31" customWidth="1"/>
    <col min="19" max="19" width="13" style="8" customWidth="1"/>
    <col min="20" max="25" width="19.77734375" style="8" customWidth="1"/>
    <col min="26" max="26" width="15.5546875" style="8" customWidth="1"/>
    <col min="27" max="27" width="16.88671875" style="8" customWidth="1"/>
    <col min="28" max="29" width="14.77734375" style="8" customWidth="1"/>
    <col min="30" max="30" width="14" style="8" customWidth="1"/>
    <col min="31" max="31" width="10.21875" style="8" customWidth="1"/>
    <col min="32" max="32" width="11.77734375" style="8" customWidth="1"/>
    <col min="33" max="33" width="7.109375" style="8" customWidth="1"/>
    <col min="34" max="34" width="8.77734375" style="8" customWidth="1"/>
    <col min="35" max="35" width="9.21875" style="8" customWidth="1"/>
    <col min="36" max="36" width="11.77734375" style="8" customWidth="1"/>
    <col min="37" max="37" width="7.109375" style="8" customWidth="1"/>
    <col min="38" max="38" width="9.21875" style="8" customWidth="1"/>
    <col min="39" max="39" width="9.33203125" style="8" customWidth="1"/>
    <col min="40" max="40" width="8.21875" style="8" customWidth="1"/>
    <col min="41" max="41" width="9" style="8" customWidth="1"/>
    <col min="42" max="16384" width="7.109375" style="8"/>
  </cols>
  <sheetData>
    <row r="1" spans="1:29" ht="15.75" x14ac:dyDescent="0.25">
      <c r="A1" s="108" t="s">
        <v>91</v>
      </c>
    </row>
    <row r="2" spans="1:29" ht="15.75" x14ac:dyDescent="0.25">
      <c r="A2" s="108" t="s">
        <v>92</v>
      </c>
    </row>
    <row r="3" spans="1:29" ht="15.75" x14ac:dyDescent="0.25">
      <c r="A3" s="108" t="s">
        <v>93</v>
      </c>
    </row>
    <row r="4" spans="1:29" ht="15.75" x14ac:dyDescent="0.25">
      <c r="A4" s="108" t="s">
        <v>94</v>
      </c>
    </row>
    <row r="5" spans="1:29" ht="15.75" x14ac:dyDescent="0.25">
      <c r="A5" s="108" t="s">
        <v>96</v>
      </c>
    </row>
    <row r="6" spans="1:29" ht="15.75" x14ac:dyDescent="0.25">
      <c r="A6" s="108" t="s">
        <v>100</v>
      </c>
    </row>
    <row r="8" spans="1:29" ht="15.75" x14ac:dyDescent="0.25">
      <c r="A8" s="43" t="s">
        <v>27</v>
      </c>
      <c r="M8" s="82"/>
      <c r="N8" s="82"/>
      <c r="O8" s="78"/>
      <c r="P8" s="78"/>
      <c r="T8" s="117" t="s">
        <v>79</v>
      </c>
      <c r="U8" s="117"/>
      <c r="V8" s="117"/>
      <c r="W8" s="117"/>
      <c r="X8" s="117"/>
      <c r="Y8" s="117"/>
    </row>
    <row r="9" spans="1:29" ht="16.5" thickBot="1" x14ac:dyDescent="0.3">
      <c r="A9" s="43"/>
      <c r="B9" s="41" t="s">
        <v>25</v>
      </c>
      <c r="C9" s="81">
        <f>1-0.216</f>
        <v>0.78400000000000003</v>
      </c>
      <c r="D9" s="41"/>
      <c r="E9" s="81">
        <f>1+0.216</f>
        <v>1.216</v>
      </c>
      <c r="F9" s="81"/>
      <c r="G9" s="81"/>
      <c r="H9" s="1"/>
      <c r="I9" s="1"/>
      <c r="J9" s="1"/>
      <c r="K9" s="1"/>
      <c r="L9" s="1"/>
      <c r="M9" s="1"/>
      <c r="N9" s="1"/>
      <c r="O9" s="1"/>
      <c r="P9" s="1"/>
      <c r="T9" s="117" t="s">
        <v>78</v>
      </c>
      <c r="U9" s="117"/>
      <c r="V9" s="117"/>
      <c r="W9" s="117"/>
      <c r="X9" s="117"/>
      <c r="Y9" s="117"/>
      <c r="Z9" s="113"/>
      <c r="AA9" s="113"/>
      <c r="AB9" s="1"/>
    </row>
    <row r="10" spans="1:29" ht="21.75" thickTop="1" thickBot="1" x14ac:dyDescent="0.35">
      <c r="B10" s="80"/>
      <c r="C10" s="79"/>
      <c r="D10" s="80"/>
      <c r="E10" s="79"/>
      <c r="F10" s="79"/>
      <c r="G10" s="79"/>
      <c r="H10" s="1"/>
      <c r="I10" s="1"/>
      <c r="J10" s="1"/>
      <c r="K10" s="1"/>
      <c r="L10" s="1"/>
      <c r="M10" s="1"/>
      <c r="N10" s="1"/>
      <c r="O10" s="1"/>
      <c r="P10" s="1"/>
      <c r="T10" s="118" t="s">
        <v>77</v>
      </c>
      <c r="U10" s="119"/>
      <c r="V10" s="119"/>
      <c r="W10" s="119"/>
      <c r="X10" s="119"/>
      <c r="Y10" s="120"/>
      <c r="Z10" s="78"/>
      <c r="AA10" s="78"/>
      <c r="AB10" s="1"/>
    </row>
    <row r="11" spans="1:29" s="36" customFormat="1" ht="112.5" customHeight="1" thickTop="1" x14ac:dyDescent="0.25">
      <c r="B11" s="73" t="s">
        <v>76</v>
      </c>
      <c r="C11" s="77" t="s">
        <v>75</v>
      </c>
      <c r="D11" s="73" t="s">
        <v>74</v>
      </c>
      <c r="E11" s="73" t="s">
        <v>73</v>
      </c>
      <c r="F11" s="77" t="s">
        <v>72</v>
      </c>
      <c r="G11" s="77" t="s">
        <v>71</v>
      </c>
      <c r="H11" s="77" t="s">
        <v>70</v>
      </c>
      <c r="I11" s="77" t="s">
        <v>69</v>
      </c>
      <c r="J11" s="77" t="s">
        <v>68</v>
      </c>
      <c r="K11" s="74" t="s">
        <v>67</v>
      </c>
      <c r="L11" s="37" t="s">
        <v>66</v>
      </c>
      <c r="M11" s="76" t="s">
        <v>65</v>
      </c>
      <c r="N11" s="76" t="s">
        <v>64</v>
      </c>
      <c r="O11" s="76" t="s">
        <v>63</v>
      </c>
      <c r="P11" s="76" t="s">
        <v>62</v>
      </c>
      <c r="Q11" s="37" t="s">
        <v>61</v>
      </c>
      <c r="R11" s="39" t="s">
        <v>60</v>
      </c>
      <c r="S11" s="37" t="s">
        <v>59</v>
      </c>
      <c r="T11" s="72" t="s">
        <v>58</v>
      </c>
      <c r="U11" s="72" t="s">
        <v>57</v>
      </c>
      <c r="V11" s="72" t="s">
        <v>56</v>
      </c>
      <c r="W11" s="72" t="s">
        <v>55</v>
      </c>
      <c r="X11" s="72" t="s">
        <v>54</v>
      </c>
      <c r="Y11" s="72" t="s">
        <v>53</v>
      </c>
      <c r="Z11" s="39" t="s">
        <v>52</v>
      </c>
      <c r="AA11" s="39" t="s">
        <v>51</v>
      </c>
      <c r="AB11" s="73" t="s">
        <v>50</v>
      </c>
      <c r="AC11" s="75" t="s">
        <v>49</v>
      </c>
    </row>
    <row r="12" spans="1:29" s="36" customFormat="1" ht="15.75" x14ac:dyDescent="0.25">
      <c r="A12" s="38" t="s">
        <v>15</v>
      </c>
      <c r="B12" s="37" t="s">
        <v>14</v>
      </c>
      <c r="C12" s="37" t="s">
        <v>14</v>
      </c>
      <c r="D12" s="37" t="s">
        <v>14</v>
      </c>
      <c r="E12" s="37" t="s">
        <v>14</v>
      </c>
      <c r="F12" s="37" t="s">
        <v>14</v>
      </c>
      <c r="G12" s="37" t="s">
        <v>14</v>
      </c>
      <c r="H12" s="37" t="s">
        <v>14</v>
      </c>
      <c r="I12" s="37" t="s">
        <v>14</v>
      </c>
      <c r="J12" s="37" t="s">
        <v>14</v>
      </c>
      <c r="K12" s="74" t="s">
        <v>14</v>
      </c>
      <c r="L12" s="37" t="s">
        <v>14</v>
      </c>
      <c r="M12" s="37" t="s">
        <v>14</v>
      </c>
      <c r="N12" s="37" t="s">
        <v>14</v>
      </c>
      <c r="O12" s="37" t="s">
        <v>14</v>
      </c>
      <c r="P12" s="37" t="s">
        <v>14</v>
      </c>
      <c r="Q12" s="37" t="s">
        <v>14</v>
      </c>
      <c r="R12" s="37" t="s">
        <v>14</v>
      </c>
      <c r="S12" s="37" t="s">
        <v>14</v>
      </c>
      <c r="T12" s="72" t="s">
        <v>48</v>
      </c>
      <c r="U12" s="72" t="s">
        <v>48</v>
      </c>
      <c r="V12" s="72" t="s">
        <v>48</v>
      </c>
      <c r="W12" s="72" t="s">
        <v>48</v>
      </c>
      <c r="X12" s="72" t="s">
        <v>48</v>
      </c>
      <c r="Y12" s="72" t="s">
        <v>48</v>
      </c>
      <c r="Z12" s="37" t="s">
        <v>14</v>
      </c>
      <c r="AA12" s="37" t="s">
        <v>48</v>
      </c>
      <c r="AB12" s="73" t="s">
        <v>14</v>
      </c>
      <c r="AC12" s="72" t="s">
        <v>14</v>
      </c>
    </row>
    <row r="13" spans="1:29" ht="15.75" x14ac:dyDescent="0.25">
      <c r="A13" s="13">
        <v>41275</v>
      </c>
      <c r="B13" s="69">
        <v>3.4693411405589898</v>
      </c>
      <c r="C13" s="69">
        <v>3.47442538832698</v>
      </c>
      <c r="D13" s="69">
        <v>3.5918799851734899</v>
      </c>
      <c r="E13" s="69">
        <v>3.62563976038513</v>
      </c>
      <c r="F13" s="69">
        <v>3.4827097294503502</v>
      </c>
      <c r="G13" s="69">
        <v>3.4975364689593298</v>
      </c>
      <c r="H13" s="69">
        <v>3.6145177663942398</v>
      </c>
      <c r="I13" s="69">
        <v>3.5091919375943799</v>
      </c>
      <c r="J13" s="69">
        <v>3.4753097294503501</v>
      </c>
      <c r="K13" s="71"/>
      <c r="L13" s="69">
        <v>4.2015177663942396</v>
      </c>
      <c r="M13" s="69">
        <v>3.4510577257516601</v>
      </c>
      <c r="N13" s="69">
        <v>3.46575112309643</v>
      </c>
      <c r="O13" s="69">
        <v>3.5890138150970801</v>
      </c>
      <c r="P13" s="69">
        <v>3.4845926581983502</v>
      </c>
      <c r="Q13" s="69">
        <v>4.1837138150970796</v>
      </c>
      <c r="R13" s="69">
        <v>4.7811730996348203</v>
      </c>
      <c r="S13" s="69">
        <v>3.3547069680724899</v>
      </c>
      <c r="T13" s="70">
        <v>29.034112</v>
      </c>
      <c r="U13" s="70">
        <v>12.063650000000001</v>
      </c>
      <c r="V13" s="70">
        <v>4.9444999999999997</v>
      </c>
      <c r="W13" s="70">
        <v>0.56798199999999999</v>
      </c>
      <c r="X13" s="70">
        <v>0</v>
      </c>
      <c r="Y13" s="70">
        <v>0.39</v>
      </c>
      <c r="Z13" s="69">
        <v>3.49160559679886</v>
      </c>
      <c r="AA13" s="68">
        <v>0.78900000000000003</v>
      </c>
      <c r="AB13" s="67">
        <v>3.5128713827202498</v>
      </c>
      <c r="AC13" s="66">
        <v>3.5263496753376899</v>
      </c>
    </row>
    <row r="14" spans="1:29" ht="15.75" x14ac:dyDescent="0.25">
      <c r="A14" s="13">
        <v>41306</v>
      </c>
      <c r="B14" s="14">
        <v>3.3373871192168498</v>
      </c>
      <c r="C14" s="14">
        <v>3.34247136698484</v>
      </c>
      <c r="D14" s="14">
        <v>3.4274416903447098</v>
      </c>
      <c r="E14" s="14">
        <v>3.4612014655563499</v>
      </c>
      <c r="F14" s="14">
        <v>3.32921003516193</v>
      </c>
      <c r="G14" s="14">
        <v>3.3428860878936399</v>
      </c>
      <c r="H14" s="14">
        <v>3.4500794715654499</v>
      </c>
      <c r="I14" s="14">
        <v>3.3623461586604102</v>
      </c>
      <c r="J14" s="14">
        <v>3.32181003516193</v>
      </c>
      <c r="K14" s="53"/>
      <c r="L14" s="14">
        <v>4.0370794715654501</v>
      </c>
      <c r="M14" s="14">
        <v>3.2989385090408998</v>
      </c>
      <c r="N14" s="14">
        <v>3.3124915681456</v>
      </c>
      <c r="O14" s="14">
        <v>3.42605437258766</v>
      </c>
      <c r="P14" s="14">
        <v>3.3390715772188799</v>
      </c>
      <c r="Q14" s="14">
        <v>4.0207543725876604</v>
      </c>
      <c r="R14" s="14">
        <v>4.6178062585191304</v>
      </c>
      <c r="S14" s="14">
        <v>3.2267511535770201</v>
      </c>
      <c r="T14" s="57">
        <v>26.280478500000001</v>
      </c>
      <c r="U14" s="57">
        <v>10.8962</v>
      </c>
      <c r="V14" s="57">
        <v>4.4660000000000002</v>
      </c>
      <c r="W14" s="57">
        <v>0.51301600000000003</v>
      </c>
      <c r="X14" s="57">
        <v>0</v>
      </c>
      <c r="Y14" s="57">
        <v>0.39</v>
      </c>
      <c r="Z14" s="14">
        <v>3.3376078337533501</v>
      </c>
      <c r="AA14" s="56">
        <v>0.78900000000000003</v>
      </c>
      <c r="AB14" s="50">
        <v>3.3650754313211002</v>
      </c>
      <c r="AC14" s="45">
        <v>3.36964273692133</v>
      </c>
    </row>
    <row r="15" spans="1:29" ht="15.75" x14ac:dyDescent="0.25">
      <c r="A15" s="13">
        <v>41334</v>
      </c>
      <c r="B15" s="14">
        <v>3.5446221553058099</v>
      </c>
      <c r="C15" s="14">
        <v>3.5497064030738099</v>
      </c>
      <c r="D15" s="14">
        <v>3.6259111288261701</v>
      </c>
      <c r="E15" s="14">
        <v>3.6596709040378101</v>
      </c>
      <c r="F15" s="14">
        <v>3.5438843996438298</v>
      </c>
      <c r="G15" s="14">
        <v>3.5577092992119201</v>
      </c>
      <c r="H15" s="14">
        <v>3.6485489100469102</v>
      </c>
      <c r="I15" s="14">
        <v>3.55729372718785</v>
      </c>
      <c r="J15" s="14">
        <v>3.5364843996438302</v>
      </c>
      <c r="K15" s="53"/>
      <c r="L15" s="14">
        <v>4.2355489100469104</v>
      </c>
      <c r="M15" s="14">
        <v>3.5116822302857602</v>
      </c>
      <c r="N15" s="14">
        <v>3.5253827975940699</v>
      </c>
      <c r="O15" s="14">
        <v>3.6227389045196601</v>
      </c>
      <c r="P15" s="14">
        <v>3.5322605208328999</v>
      </c>
      <c r="Q15" s="14">
        <v>4.2174389045196596</v>
      </c>
      <c r="R15" s="14">
        <v>4.8149825017809604</v>
      </c>
      <c r="S15" s="14">
        <v>3.4277069680724899</v>
      </c>
      <c r="T15" s="57">
        <v>29.128712</v>
      </c>
      <c r="U15" s="57">
        <v>12.063650000000001</v>
      </c>
      <c r="V15" s="57">
        <v>4.9444999999999997</v>
      </c>
      <c r="W15" s="57">
        <v>0.71033400000000002</v>
      </c>
      <c r="X15" s="57">
        <v>0</v>
      </c>
      <c r="Y15" s="57">
        <v>0.39</v>
      </c>
      <c r="Z15" s="14">
        <v>3.51872944531473</v>
      </c>
      <c r="AA15" s="56">
        <v>0.78900000000000003</v>
      </c>
      <c r="AB15" s="50">
        <v>3.5712349617297399</v>
      </c>
      <c r="AC15" s="45">
        <v>3.5713699258364802</v>
      </c>
    </row>
    <row r="16" spans="1:29" ht="15.75" x14ac:dyDescent="0.25">
      <c r="A16" s="13">
        <v>41365</v>
      </c>
      <c r="B16" s="14">
        <v>4.1484240687378904</v>
      </c>
      <c r="C16" s="14">
        <v>4.1529056348026501</v>
      </c>
      <c r="D16" s="14">
        <v>4.3764270426620504</v>
      </c>
      <c r="E16" s="14">
        <v>4.4085325011284802</v>
      </c>
      <c r="F16" s="14">
        <v>4.15877359890011</v>
      </c>
      <c r="G16" s="14">
        <v>4.1735123563116101</v>
      </c>
      <c r="H16" s="14">
        <v>4.3983177600115999</v>
      </c>
      <c r="I16" s="14">
        <v>4.1790239832917297</v>
      </c>
      <c r="J16" s="14">
        <v>4.1517735989001103</v>
      </c>
      <c r="K16" s="53"/>
      <c r="L16" s="14">
        <v>4.9853177600115997</v>
      </c>
      <c r="M16" s="14">
        <v>4.0847896384088997</v>
      </c>
      <c r="N16" s="14">
        <v>4.09926329400085</v>
      </c>
      <c r="O16" s="14">
        <v>4.3268992801176704</v>
      </c>
      <c r="P16" s="14">
        <v>4.1113948289032702</v>
      </c>
      <c r="Q16" s="14">
        <v>4.92159928011767</v>
      </c>
      <c r="R16" s="14">
        <v>5.5209032783179701</v>
      </c>
      <c r="S16" s="14">
        <v>3.9769278955951401</v>
      </c>
      <c r="T16" s="57">
        <v>29.897007500000001</v>
      </c>
      <c r="U16" s="57">
        <v>11.6745</v>
      </c>
      <c r="V16" s="57">
        <v>4.7850000000000001</v>
      </c>
      <c r="W16" s="57">
        <v>0.68742000000000003</v>
      </c>
      <c r="X16" s="57">
        <v>0.77903628000000003</v>
      </c>
      <c r="Y16" s="57">
        <v>0.4</v>
      </c>
      <c r="Z16" s="14">
        <v>4.09674472425296</v>
      </c>
      <c r="AA16" s="56">
        <v>0.78900000000000003</v>
      </c>
      <c r="AB16" s="50">
        <v>4.2271001079906796</v>
      </c>
      <c r="AC16" s="45">
        <v>4.1729811830449197</v>
      </c>
    </row>
    <row r="17" spans="1:29" ht="15.75" x14ac:dyDescent="0.25">
      <c r="A17" s="13">
        <v>41395</v>
      </c>
      <c r="B17" s="14">
        <v>4.3329812441523696</v>
      </c>
      <c r="C17" s="14">
        <v>4.3410072762624203</v>
      </c>
      <c r="D17" s="14">
        <v>4.5615906242399502</v>
      </c>
      <c r="E17" s="14">
        <v>4.5930548614354496</v>
      </c>
      <c r="F17" s="14">
        <v>4.3524466929221504</v>
      </c>
      <c r="G17" s="14">
        <v>4.3691468189663398</v>
      </c>
      <c r="H17" s="14">
        <v>4.5816875175305896</v>
      </c>
      <c r="I17" s="14">
        <v>4.36869293934142</v>
      </c>
      <c r="J17" s="14">
        <v>4.3454466929221498</v>
      </c>
      <c r="K17" s="53"/>
      <c r="L17" s="14">
        <v>5.1686875175305902</v>
      </c>
      <c r="M17" s="14">
        <v>4.2749791898098</v>
      </c>
      <c r="N17" s="14">
        <v>4.2913789354570904</v>
      </c>
      <c r="O17" s="14">
        <v>4.5069708181861499</v>
      </c>
      <c r="P17" s="14">
        <v>4.2976358181395602</v>
      </c>
      <c r="Q17" s="14">
        <v>5.1016708181861503</v>
      </c>
      <c r="R17" s="14">
        <v>5.7014249952316103</v>
      </c>
      <c r="S17" s="14">
        <v>4.1529278955951403</v>
      </c>
      <c r="T17" s="59">
        <v>31.3819585</v>
      </c>
      <c r="U17" s="57">
        <v>12.063650000000001</v>
      </c>
      <c r="V17" s="57">
        <v>4.9444999999999997</v>
      </c>
      <c r="W17" s="57">
        <v>0.71033400000000002</v>
      </c>
      <c r="X17" s="57">
        <v>0.80500415599999997</v>
      </c>
      <c r="Y17" s="57">
        <v>0.4</v>
      </c>
      <c r="Z17" s="14">
        <v>4.2804704151434398</v>
      </c>
      <c r="AA17" s="56">
        <v>0.78900000000000003</v>
      </c>
      <c r="AB17" s="50">
        <v>4.4132889274089298</v>
      </c>
      <c r="AC17" s="45">
        <v>4.3595139595638903</v>
      </c>
    </row>
    <row r="18" spans="1:29" ht="15.75" x14ac:dyDescent="0.25">
      <c r="A18" s="13">
        <v>41426</v>
      </c>
      <c r="B18" s="14">
        <v>4.32881848007702</v>
      </c>
      <c r="C18" s="14">
        <v>4.3368445121870796</v>
      </c>
      <c r="D18" s="14">
        <v>4.4403501205455003</v>
      </c>
      <c r="E18" s="14">
        <v>4.4718143577409899</v>
      </c>
      <c r="F18" s="14">
        <v>4.3429599926592797</v>
      </c>
      <c r="G18" s="14">
        <v>4.35962830355016</v>
      </c>
      <c r="H18" s="14">
        <v>4.4604470138361396</v>
      </c>
      <c r="I18" s="14">
        <v>4.3634731878015902</v>
      </c>
      <c r="J18" s="14">
        <v>4.33595999265928</v>
      </c>
      <c r="K18" s="53"/>
      <c r="L18" s="14">
        <v>5.0474470138361403</v>
      </c>
      <c r="M18" s="14">
        <v>4.2548110264488299</v>
      </c>
      <c r="N18" s="14">
        <v>4.2711378153734403</v>
      </c>
      <c r="O18" s="14">
        <v>4.3767473961214503</v>
      </c>
      <c r="P18" s="14">
        <v>4.2815661713651796</v>
      </c>
      <c r="Q18" s="14">
        <v>4.9714473961214498</v>
      </c>
      <c r="R18" s="14">
        <v>5.57087601461176</v>
      </c>
      <c r="S18" s="14">
        <v>4.1489278955951399</v>
      </c>
      <c r="T18" s="59">
        <v>30.856738499999999</v>
      </c>
      <c r="U18" s="57">
        <v>11.6745</v>
      </c>
      <c r="V18" s="57">
        <v>4.7850000000000001</v>
      </c>
      <c r="W18" s="57">
        <v>0.68742000000000003</v>
      </c>
      <c r="X18" s="57">
        <v>0.77903628000000003</v>
      </c>
      <c r="Y18" s="57">
        <v>0.4</v>
      </c>
      <c r="Z18" s="14">
        <v>4.2635819811618703</v>
      </c>
      <c r="AA18" s="56">
        <v>0.78900000000000003</v>
      </c>
      <c r="AB18" s="50">
        <v>4.3736763494942696</v>
      </c>
      <c r="AC18" s="45">
        <v>4.30270998477351</v>
      </c>
    </row>
    <row r="19" spans="1:29" ht="15.75" x14ac:dyDescent="0.25">
      <c r="A19" s="13">
        <v>41456</v>
      </c>
      <c r="B19" s="14">
        <v>3.86987374077012</v>
      </c>
      <c r="C19" s="14">
        <v>3.8778997728801801</v>
      </c>
      <c r="D19" s="14">
        <v>4.0828727555751598</v>
      </c>
      <c r="E19" s="14">
        <v>4.1143369927706503</v>
      </c>
      <c r="F19" s="14">
        <v>3.8837475175894101</v>
      </c>
      <c r="G19" s="14">
        <v>3.9003451281395698</v>
      </c>
      <c r="H19" s="14">
        <v>4.1029696488658001</v>
      </c>
      <c r="I19" s="14">
        <v>3.9057009777587899</v>
      </c>
      <c r="J19" s="14">
        <v>3.8767475175894099</v>
      </c>
      <c r="K19" s="53"/>
      <c r="L19" s="14">
        <v>4.6899696488657998</v>
      </c>
      <c r="M19" s="14">
        <v>3.8050074919996599</v>
      </c>
      <c r="N19" s="14">
        <v>3.8212650291838099</v>
      </c>
      <c r="O19" s="14">
        <v>4.0265944909226699</v>
      </c>
      <c r="P19" s="14">
        <v>3.83320216318522</v>
      </c>
      <c r="Q19" s="14">
        <v>4.6212944909226703</v>
      </c>
      <c r="R19" s="14">
        <v>5.2198477271499799</v>
      </c>
      <c r="S19" s="14">
        <v>3.70792789559514</v>
      </c>
      <c r="T19" s="59">
        <v>31.8711175</v>
      </c>
      <c r="U19" s="57">
        <v>12.063650000000001</v>
      </c>
      <c r="V19" s="57">
        <v>4.9444999999999997</v>
      </c>
      <c r="W19" s="57">
        <v>0.71033400000000002</v>
      </c>
      <c r="X19" s="57">
        <v>0.80500415599999997</v>
      </c>
      <c r="Y19" s="57">
        <v>0.4</v>
      </c>
      <c r="Z19" s="14">
        <v>3.82345915618746</v>
      </c>
      <c r="AA19" s="56">
        <v>0.78900000000000003</v>
      </c>
      <c r="AB19" s="50">
        <v>3.9441061076992199</v>
      </c>
      <c r="AC19" s="45">
        <v>3.8867964363558598</v>
      </c>
    </row>
    <row r="20" spans="1:29" ht="15.75" x14ac:dyDescent="0.25">
      <c r="A20" s="13">
        <v>41487</v>
      </c>
      <c r="B20" s="14">
        <v>3.61219621921822</v>
      </c>
      <c r="C20" s="14">
        <v>3.62022225132828</v>
      </c>
      <c r="D20" s="14">
        <v>3.8642211472296299</v>
      </c>
      <c r="E20" s="14">
        <v>3.89568538442512</v>
      </c>
      <c r="F20" s="14">
        <v>3.5994463096042302</v>
      </c>
      <c r="G20" s="14">
        <v>3.6149235738804899</v>
      </c>
      <c r="H20" s="14">
        <v>3.88431804052026</v>
      </c>
      <c r="I20" s="14">
        <v>3.6247715170016899</v>
      </c>
      <c r="J20" s="14">
        <v>3.5924463096042301</v>
      </c>
      <c r="K20" s="53"/>
      <c r="L20" s="14">
        <v>4.4713180405202602</v>
      </c>
      <c r="M20" s="14">
        <v>3.5265314157988898</v>
      </c>
      <c r="N20" s="14">
        <v>3.5416915618162701</v>
      </c>
      <c r="O20" s="14">
        <v>3.8124229002404899</v>
      </c>
      <c r="P20" s="14">
        <v>3.5580464060694501</v>
      </c>
      <c r="Q20" s="14">
        <v>4.4071229002404904</v>
      </c>
      <c r="R20" s="14">
        <v>5.0051407074910896</v>
      </c>
      <c r="S20" s="14">
        <v>3.4603255651359199</v>
      </c>
      <c r="T20" s="59">
        <v>31.898197499999998</v>
      </c>
      <c r="U20" s="57">
        <v>12.063650000000001</v>
      </c>
      <c r="V20" s="57">
        <v>4.9444999999999997</v>
      </c>
      <c r="W20" s="57">
        <v>0.71033400000000002</v>
      </c>
      <c r="X20" s="57">
        <v>0.80500415599999997</v>
      </c>
      <c r="Y20" s="57">
        <v>0.4</v>
      </c>
      <c r="Z20" s="14">
        <v>3.56235134609613</v>
      </c>
      <c r="AA20" s="56">
        <v>0.78900000000000003</v>
      </c>
      <c r="AB20" s="50">
        <v>3.68846444556352</v>
      </c>
      <c r="AC20" s="45">
        <v>3.6303518696016499</v>
      </c>
    </row>
    <row r="21" spans="1:29" ht="15.75" x14ac:dyDescent="0.25">
      <c r="A21" s="13">
        <v>41518</v>
      </c>
      <c r="B21" s="14">
        <f>CHOOSE(CONTROL!$C$42, 3.4659, 3.4659) * CHOOSE(CONTROL!$C$21, $C$9, 100%, $E$9)</f>
        <v>3.4659</v>
      </c>
      <c r="C21" s="14">
        <f>CHOOSE(CONTROL!$C$42, 3.474, 3.474) * CHOOSE(CONTROL!$C$21, $C$9, 100%, $E$9)</f>
        <v>3.4740000000000002</v>
      </c>
      <c r="D21" s="14">
        <f>CHOOSE(CONTROL!$C$42, 3.5853, 3.5853) * CHOOSE(CONTROL!$C$21, $C$9, 100%, $E$9)</f>
        <v>3.5853000000000002</v>
      </c>
      <c r="E21" s="14">
        <f>CHOOSE(CONTROL!$C$42, 3.6167, 3.6167) * CHOOSE(CONTROL!$C$21, $C$9, 100%, $E$9)</f>
        <v>3.6166999999999998</v>
      </c>
      <c r="F21" s="14">
        <f>CHOOSE(CONTROL!$C$42, 3.4392, 3.4392)*CHOOSE(CONTROL!$C$21, $C$9, 100%, $E$9)</f>
        <v>3.4392</v>
      </c>
      <c r="G21" s="14">
        <f>CHOOSE(CONTROL!$C$42, 3.4536, 3.4536)*CHOOSE(CONTROL!$C$21, $C$9, 100%, $E$9)</f>
        <v>3.4535999999999998</v>
      </c>
      <c r="H21" s="14">
        <f>CHOOSE(CONTROL!$C$42, 3.6054, 3.6054) * CHOOSE(CONTROL!$C$21, $C$9, 100%, $E$9)</f>
        <v>3.6053999999999999</v>
      </c>
      <c r="I21" s="14">
        <f>CHOOSE(CONTROL!$C$42, 3.4452, 3.4452)* CHOOSE(CONTROL!$C$21, $C$9, 100%, $E$9)</f>
        <v>3.4451999999999998</v>
      </c>
      <c r="J21" s="14">
        <f>CHOOSE(CONTROL!$C$42, 3.4322, 3.4322)* CHOOSE(CONTROL!$C$21, $C$9, 100%, $E$9)</f>
        <v>3.4321999999999999</v>
      </c>
      <c r="K21" s="53"/>
      <c r="L21" s="14">
        <f>CHOOSE(CONTROL!$C$42, 4.1924, 4.1924) * CHOOSE(CONTROL!$C$21, $C$9, 100%, $E$9)</f>
        <v>4.1924000000000001</v>
      </c>
      <c r="M21" s="14">
        <f>CHOOSE(CONTROL!$C$42, 3.3696, 3.3696) * CHOOSE(CONTROL!$C$21, $C$9, 100%, $E$9)</f>
        <v>3.3696000000000002</v>
      </c>
      <c r="N21" s="14">
        <f>CHOOSE(CONTROL!$C$42, 3.3837, 3.3837) * CHOOSE(CONTROL!$C$21, $C$9, 100%, $E$9)</f>
        <v>3.3837000000000002</v>
      </c>
      <c r="O21" s="14">
        <f>CHOOSE(CONTROL!$C$42, 3.5392, 3.5392) * CHOOSE(CONTROL!$C$21, $C$9, 100%, $E$9)</f>
        <v>3.5392000000000001</v>
      </c>
      <c r="P21" s="14">
        <f>CHOOSE(CONTROL!$C$42, 3.3821, 3.3821) * CHOOSE(CONTROL!$C$21, $C$9, 100%, $E$9)</f>
        <v>3.3820999999999999</v>
      </c>
      <c r="Q21" s="14">
        <f>CHOOSE(CONTROL!$C$42, 4.1339, 4.1339) * CHOOSE(CONTROL!$C$21, $C$9, 100%, $E$9)</f>
        <v>4.1338999999999997</v>
      </c>
      <c r="R21" s="14">
        <f>CHOOSE(CONTROL!$C$42, 4.7312, 4.7312) * CHOOSE(CONTROL!$C$21, $C$9, 100%, $E$9)</f>
        <v>4.7312000000000003</v>
      </c>
      <c r="S21" s="14">
        <f>CHOOSE(CONTROL!$C$42, 3.3198, 3.3198) * CHOOSE(CONTROL!$C$21, $C$9, 100%, $E$9)</f>
        <v>3.3197999999999999</v>
      </c>
      <c r="T21" s="59">
        <f>((((430000*CHOOSE(CONTROL!$C$42, 0.4694, 0.4694)+(874000-430000)*CHOOSE(CONTROL!$C$42, 0.7185, 0.7185)+400000*CHOOSE(CONTROL!$C$42, 1.14, 1.14)+30000*0.98)*CHOOSE(CONTROL!$C$42, 30, 30))/1000000))+CHOOSE(CONTROL!$C$42, 0.1717, 0.1717)+CHOOSE(CONTROL!$C$42, 0.4923, 0.4923)</f>
        <v>30.851680000000002</v>
      </c>
      <c r="U21" s="57">
        <f>(1000*CHOOSE(CONTROL!$C$42, 695, 695)*CHOOSE(CONTROL!$C$42, 0.5599, 0.5599)*CHOOSE(CONTROL!$C$42, 30, 30))/1000000</f>
        <v>11.673914999999997</v>
      </c>
      <c r="V21" s="57">
        <f>(1000*CHOOSE(CONTROL!$C$42, 580, 580)*CHOOSE(CONTROL!$C$42, 0.275, 0.275)*CHOOSE(CONTROL!$C$42, 30, 30))/1000000</f>
        <v>4.7850000000000001</v>
      </c>
      <c r="W21" s="57">
        <f>(1000*CHOOSE(CONTROL!$C$42, 0.1146, 0.1146)*CHOOSE(CONTROL!$C$42, 200, 200)*CHOOSE(CONTROL!$C$42, 30, 30))/1000000</f>
        <v>0.68759999999999999</v>
      </c>
      <c r="X21" s="57">
        <f>30*0.1790888*145000/1000000</f>
        <v>0.77903627999999991</v>
      </c>
      <c r="Y21" s="57">
        <f t="shared" ref="Y21:Y27" si="0">(0.16*2500000)/1000000</f>
        <v>0.4</v>
      </c>
      <c r="Z21" s="14">
        <f>CHOOSE(CONTROL!$C$42, 3.3893, 3.3893) * CHOOSE(CONTROL!$C$21, $C$9, 100%, $E$9)</f>
        <v>3.3893</v>
      </c>
      <c r="AA21" s="65">
        <f>(30*((6.43*31500+6.4*100000)/30))/1000000</f>
        <v>0.84254499999999999</v>
      </c>
      <c r="AB21" s="50">
        <f>(B21*194.205+C21*267.466+D21*133.845+E21*213.484+F21*40+G21*25+H21*30+I21*100+J21*300)/(194.205+267.466+133.845+213.484+30+40+25+100+300)</f>
        <v>3.4973190604294477</v>
      </c>
      <c r="AC21" s="45">
        <f>(M21*240+N21*120+O21*235+P21*100)/(240+120+235+100)</f>
        <v>3.4311798561151079</v>
      </c>
    </row>
    <row r="22" spans="1:29" ht="15.75" x14ac:dyDescent="0.25">
      <c r="A22" s="13">
        <v>41548</v>
      </c>
      <c r="B22" s="14">
        <f>CHOOSE(CONTROL!$C$42, 3.4923, 3.4923) * CHOOSE(CONTROL!$C$21, $C$9, 100%, $E$9)</f>
        <v>3.4923000000000002</v>
      </c>
      <c r="C22" s="14">
        <f>CHOOSE(CONTROL!$C$42, 3.4976, 3.4976) * CHOOSE(CONTROL!$C$21, $C$9, 100%, $E$9)</f>
        <v>3.4975999999999998</v>
      </c>
      <c r="D22" s="14">
        <f>CHOOSE(CONTROL!$C$42, 3.6061, 3.6061) * CHOOSE(CONTROL!$C$21, $C$9, 100%, $E$9)</f>
        <v>3.6061000000000001</v>
      </c>
      <c r="E22" s="14">
        <f>CHOOSE(CONTROL!$C$42, 3.6352, 3.6352) * CHOOSE(CONTROL!$C$21, $C$9, 100%, $E$9)</f>
        <v>3.6352000000000002</v>
      </c>
      <c r="F22" s="14">
        <f>CHOOSE(CONTROL!$C$42, 3.4677, 3.4677)*CHOOSE(CONTROL!$C$21, $C$9, 100%, $E$9)</f>
        <v>3.4676999999999998</v>
      </c>
      <c r="G22" s="14">
        <f>CHOOSE(CONTROL!$C$42, 3.4817, 3.4817)*CHOOSE(CONTROL!$C$21, $C$9, 100%, $E$9)</f>
        <v>3.4817</v>
      </c>
      <c r="H22" s="14">
        <f>CHOOSE(CONTROL!$C$42, 3.6257, 3.6257) * CHOOSE(CONTROL!$C$21, $C$9, 100%, $E$9)</f>
        <v>3.6257000000000001</v>
      </c>
      <c r="I22" s="14">
        <f>CHOOSE(CONTROL!$C$42, 3.4723, 3.4723)* CHOOSE(CONTROL!$C$21, $C$9, 100%, $E$9)</f>
        <v>3.4723000000000002</v>
      </c>
      <c r="J22" s="14">
        <f>CHOOSE(CONTROL!$C$42, 3.4607, 3.4607)* CHOOSE(CONTROL!$C$21, $C$9, 100%, $E$9)</f>
        <v>3.4607000000000001</v>
      </c>
      <c r="K22" s="53"/>
      <c r="L22" s="14">
        <f>CHOOSE(CONTROL!$C$42, 4.2127, 4.2127) * CHOOSE(CONTROL!$C$21, $C$9, 100%, $E$9)</f>
        <v>4.2126999999999999</v>
      </c>
      <c r="M22" s="14">
        <f>CHOOSE(CONTROL!$C$42, 3.3974, 3.3974) * CHOOSE(CONTROL!$C$21, $C$9, 100%, $E$9)</f>
        <v>3.3974000000000002</v>
      </c>
      <c r="N22" s="14">
        <f>CHOOSE(CONTROL!$C$42, 3.4112, 3.4112) * CHOOSE(CONTROL!$C$21, $C$9, 100%, $E$9)</f>
        <v>3.4112</v>
      </c>
      <c r="O22" s="14">
        <f>CHOOSE(CONTROL!$C$42, 3.5591, 3.5591) * CHOOSE(CONTROL!$C$21, $C$9, 100%, $E$9)</f>
        <v>3.5590999999999999</v>
      </c>
      <c r="P22" s="14">
        <f>CHOOSE(CONTROL!$C$42, 3.4087, 3.4087) * CHOOSE(CONTROL!$C$21, $C$9, 100%, $E$9)</f>
        <v>3.4087000000000001</v>
      </c>
      <c r="Q22" s="14">
        <f>CHOOSE(CONTROL!$C$42, 4.1538, 4.1538) * CHOOSE(CONTROL!$C$21, $C$9, 100%, $E$9)</f>
        <v>4.1538000000000004</v>
      </c>
      <c r="R22" s="14">
        <f>CHOOSE(CONTROL!$C$42, 4.7512, 4.7512) * CHOOSE(CONTROL!$C$21, $C$9, 100%, $E$9)</f>
        <v>4.7511999999999999</v>
      </c>
      <c r="S22" s="14">
        <f>CHOOSE(CONTROL!$C$42, 3.3468, 3.3468) * CHOOSE(CONTROL!$C$21, $C$9, 100%, $E$9)</f>
        <v>3.3468</v>
      </c>
      <c r="T22" s="57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22" s="57">
        <f>(1000*CHOOSE(CONTROL!$C$42, 695, 695)*CHOOSE(CONTROL!$C$42, 0.5599, 0.5599)*CHOOSE(CONTROL!$C$42, 31, 31))/1000000</f>
        <v>12.063045499999998</v>
      </c>
      <c r="V22" s="57">
        <f>(1000*CHOOSE(CONTROL!$C$42, 580, 580)*CHOOSE(CONTROL!$C$42, 0.275, 0.275)*CHOOSE(CONTROL!$C$42, 31, 31))/1000000</f>
        <v>4.9444999999999997</v>
      </c>
      <c r="W22" s="57">
        <f>(1000*CHOOSE(CONTROL!$C$42, 0.1146, 0.1146)*CHOOSE(CONTROL!$C$42, 200, 200)*CHOOSE(CONTROL!$C$42, 31, 31))/1000000</f>
        <v>0.71052000000000004</v>
      </c>
      <c r="X22" s="57">
        <f>31*0.1790888*145000/1000000</f>
        <v>0.80500415599999997</v>
      </c>
      <c r="Y22" s="57">
        <f t="shared" si="0"/>
        <v>0.4</v>
      </c>
      <c r="Z22" s="14">
        <f>CHOOSE(CONTROL!$C$42, 3.4098, 3.4098) * CHOOSE(CONTROL!$C$21, $C$9, 100%, $E$9)</f>
        <v>3.4098000000000002</v>
      </c>
      <c r="AA22" s="65">
        <f>(31*((6.43*31500+6.4*100000)/31))/1000000</f>
        <v>0.84254499999999999</v>
      </c>
      <c r="AB22" s="50">
        <f>(B22*131.881+C22*277.167+D22*79.08+E22*285.872+F22*40+G22*25+H22*0+I22*100+J22*300)/(131.881+277.167+79.08+285.872+0+40+25+100+300)</f>
        <v>3.5234464066989513</v>
      </c>
      <c r="AC22" s="45">
        <f>(M22*240+N22*120+O22*235+P22*100)/(240+120+235+100)</f>
        <v>3.4560841726618707</v>
      </c>
    </row>
    <row r="23" spans="1:29" ht="15.75" x14ac:dyDescent="0.25">
      <c r="A23" s="13">
        <v>41579</v>
      </c>
      <c r="B23" s="14">
        <f>CHOOSE(CONTROL!$C$42, 3.6043, 3.6043) * CHOOSE(CONTROL!$C$21, $C$9, 100%, $E$9)</f>
        <v>3.6042999999999998</v>
      </c>
      <c r="C23" s="14">
        <f>CHOOSE(CONTROL!$C$42, 3.6093, 3.6093) * CHOOSE(CONTROL!$C$21, $C$9, 100%, $E$9)</f>
        <v>3.6093000000000002</v>
      </c>
      <c r="D23" s="14">
        <f>CHOOSE(CONTROL!$C$42, 3.6757, 3.6757) * CHOOSE(CONTROL!$C$21, $C$9, 100%, $E$9)</f>
        <v>3.6757</v>
      </c>
      <c r="E23" s="14">
        <f>CHOOSE(CONTROL!$C$42, 3.7098, 3.7098) * CHOOSE(CONTROL!$C$21, $C$9, 100%, $E$9)</f>
        <v>3.7098</v>
      </c>
      <c r="F23" s="14">
        <f>CHOOSE(CONTROL!$C$42, 3.5878, 3.5878)*CHOOSE(CONTROL!$C$21, $C$9, 100%, $E$9)</f>
        <v>3.5878000000000001</v>
      </c>
      <c r="G23" s="14">
        <f>CHOOSE(CONTROL!$C$42, 3.6023, 3.6023)*CHOOSE(CONTROL!$C$21, $C$9, 100%, $E$9)</f>
        <v>3.6023000000000001</v>
      </c>
      <c r="H23" s="14">
        <f>CHOOSE(CONTROL!$C$42, 3.699, 3.699) * CHOOSE(CONTROL!$C$21, $C$9, 100%, $E$9)</f>
        <v>3.6989999999999998</v>
      </c>
      <c r="I23" s="14">
        <f>CHOOSE(CONTROL!$C$42, 3.6232, 3.6232)* CHOOSE(CONTROL!$C$21, $C$9, 100%, $E$9)</f>
        <v>3.6232000000000002</v>
      </c>
      <c r="J23" s="14">
        <f>CHOOSE(CONTROL!$C$42, 3.5808, 3.5808)* CHOOSE(CONTROL!$C$21, $C$9, 100%, $E$9)</f>
        <v>3.5808</v>
      </c>
      <c r="K23" s="53"/>
      <c r="L23" s="14">
        <f>CHOOSE(CONTROL!$C$42, 4.286, 4.286) * CHOOSE(CONTROL!$C$21, $C$9, 100%, $E$9)</f>
        <v>4.2859999999999996</v>
      </c>
      <c r="M23" s="14">
        <f>CHOOSE(CONTROL!$C$42, 3.5152, 3.5152) * CHOOSE(CONTROL!$C$21, $C$9, 100%, $E$9)</f>
        <v>3.5152000000000001</v>
      </c>
      <c r="N23" s="14">
        <f>CHOOSE(CONTROL!$C$42, 3.5293, 3.5293) * CHOOSE(CONTROL!$C$21, $C$9, 100%, $E$9)</f>
        <v>3.5293000000000001</v>
      </c>
      <c r="O23" s="14">
        <f>CHOOSE(CONTROL!$C$42, 3.6309, 3.6309) * CHOOSE(CONTROL!$C$21, $C$9, 100%, $E$9)</f>
        <v>3.6309</v>
      </c>
      <c r="P23" s="14">
        <f>CHOOSE(CONTROL!$C$42, 3.5565, 3.5565) * CHOOSE(CONTROL!$C$21, $C$9, 100%, $E$9)</f>
        <v>3.5565000000000002</v>
      </c>
      <c r="Q23" s="14">
        <f>CHOOSE(CONTROL!$C$42, 4.2256, 4.2256) * CHOOSE(CONTROL!$C$21, $C$9, 100%, $E$9)</f>
        <v>4.2256</v>
      </c>
      <c r="R23" s="14">
        <f>CHOOSE(CONTROL!$C$42, 4.8232, 4.8232) * CHOOSE(CONTROL!$C$21, $C$9, 100%, $E$9)</f>
        <v>4.8231999999999999</v>
      </c>
      <c r="S23" s="14">
        <f>CHOOSE(CONTROL!$C$42, 3.4548, 3.4548) * CHOOSE(CONTROL!$C$21, $C$9, 100%, $E$9)</f>
        <v>3.4548000000000001</v>
      </c>
      <c r="T23" s="57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23" s="57">
        <f>(1000*CHOOSE(CONTROL!$C$42, 695, 695)*CHOOSE(CONTROL!$C$42, 0.5599, 0.5599)*CHOOSE(CONTROL!$C$42, 30, 30))/1000000</f>
        <v>11.673914999999997</v>
      </c>
      <c r="V23" s="57">
        <f>(1000*CHOOSE(CONTROL!$C$42, 580, 580)*CHOOSE(CONTROL!$C$42, 0.275, 0.275)*CHOOSE(CONTROL!$C$42, 30, 30))/1000000</f>
        <v>4.7850000000000001</v>
      </c>
      <c r="W23" s="57">
        <f>(1000*CHOOSE(CONTROL!$C$42, 0.1146, 0.1146)*CHOOSE(CONTROL!$C$42, 200, 200)*CHOOSE(CONTROL!$C$42, 30, 30))/1000000</f>
        <v>0.68759999999999999</v>
      </c>
      <c r="X23" s="57">
        <v>0</v>
      </c>
      <c r="Y23" s="57">
        <f t="shared" si="0"/>
        <v>0.4</v>
      </c>
      <c r="Z23" s="14">
        <f>CHOOSE(CONTROL!$C$42, 3.549, 3.549) * CHOOSE(CONTROL!$C$21, $C$9, 100%, $E$9)</f>
        <v>3.5489999999999999</v>
      </c>
      <c r="AA23" s="64">
        <f>(30*((7.89*31500+7.95*100000)/30))/1000000</f>
        <v>1.0435350000000001</v>
      </c>
      <c r="AB23" s="50">
        <f>(B23*122.58+C23*297.941+D23*89.177+E23*200.302+F23*40+G23*0+H23*0+I23*100+J23*300)/(122.58+297.941+89.177+200.302+0+40+0+100+300)</f>
        <v>3.6244467859130443</v>
      </c>
      <c r="AC23" s="45">
        <f>(M23*240+N23*0+O23*355+P23*100)/(240+0+355+100)</f>
        <v>3.5802410071942443</v>
      </c>
    </row>
    <row r="24" spans="1:29" ht="15.75" x14ac:dyDescent="0.25">
      <c r="A24" s="13">
        <v>41609</v>
      </c>
      <c r="B24" s="14">
        <f>CHOOSE(CONTROL!$C$42, 3.801, 3.801) * CHOOSE(CONTROL!$C$21, $C$9, 100%, $E$9)</f>
        <v>3.8010000000000002</v>
      </c>
      <c r="C24" s="14">
        <f>CHOOSE(CONTROL!$C$42, 3.806, 3.806) * CHOOSE(CONTROL!$C$21, $C$9, 100%, $E$9)</f>
        <v>3.806</v>
      </c>
      <c r="D24" s="14">
        <f>CHOOSE(CONTROL!$C$42, 3.8724, 3.8724) * CHOOSE(CONTROL!$C$21, $C$9, 100%, $E$9)</f>
        <v>3.8723999999999998</v>
      </c>
      <c r="E24" s="14">
        <f>CHOOSE(CONTROL!$C$42, 3.9065, 3.9065) * CHOOSE(CONTROL!$C$21, $C$9, 100%, $E$9)</f>
        <v>3.9064999999999999</v>
      </c>
      <c r="F24" s="14">
        <f>CHOOSE(CONTROL!$C$42, 3.787, 3.787)*CHOOSE(CONTROL!$C$21, $C$9, 100%, $E$9)</f>
        <v>3.7869999999999999</v>
      </c>
      <c r="G24" s="14">
        <f>CHOOSE(CONTROL!$C$42, 3.8022, 3.8022)*CHOOSE(CONTROL!$C$21, $C$9, 100%, $E$9)</f>
        <v>3.8022</v>
      </c>
      <c r="H24" s="14">
        <f>CHOOSE(CONTROL!$C$42, 3.8957, 3.8957) * CHOOSE(CONTROL!$C$21, $C$9, 100%, $E$9)</f>
        <v>3.8957000000000002</v>
      </c>
      <c r="I24" s="14">
        <f>CHOOSE(CONTROL!$C$42, 3.8205, 3.8205)* CHOOSE(CONTROL!$C$21, $C$9, 100%, $E$9)</f>
        <v>3.8205</v>
      </c>
      <c r="J24" s="14">
        <f>CHOOSE(CONTROL!$C$42, 3.78, 3.78)* CHOOSE(CONTROL!$C$21, $C$9, 100%, $E$9)</f>
        <v>3.78</v>
      </c>
      <c r="K24" s="53"/>
      <c r="L24" s="14">
        <f>CHOOSE(CONTROL!$C$42, 4.4827, 4.4827) * CHOOSE(CONTROL!$C$21, $C$9, 100%, $E$9)</f>
        <v>4.4827000000000004</v>
      </c>
      <c r="M24" s="14">
        <f>CHOOSE(CONTROL!$C$42, 3.7103, 3.7103) * CHOOSE(CONTROL!$C$21, $C$9, 100%, $E$9)</f>
        <v>3.7103000000000002</v>
      </c>
      <c r="N24" s="14">
        <f>CHOOSE(CONTROL!$C$42, 3.7251, 3.7251) * CHOOSE(CONTROL!$C$21, $C$9, 100%, $E$9)</f>
        <v>3.7250999999999999</v>
      </c>
      <c r="O24" s="14">
        <f>CHOOSE(CONTROL!$C$42, 3.8236, 3.8236) * CHOOSE(CONTROL!$C$21, $C$9, 100%, $E$9)</f>
        <v>3.8235999999999999</v>
      </c>
      <c r="P24" s="14">
        <f>CHOOSE(CONTROL!$C$42, 3.7497, 3.7497) * CHOOSE(CONTROL!$C$21, $C$9, 100%, $E$9)</f>
        <v>3.7496999999999998</v>
      </c>
      <c r="Q24" s="14">
        <f>CHOOSE(CONTROL!$C$42, 4.4183, 4.4183) * CHOOSE(CONTROL!$C$21, $C$9, 100%, $E$9)</f>
        <v>4.4183000000000003</v>
      </c>
      <c r="R24" s="14">
        <f>CHOOSE(CONTROL!$C$42, 5.0164, 5.0164) * CHOOSE(CONTROL!$C$21, $C$9, 100%, $E$9)</f>
        <v>5.0164</v>
      </c>
      <c r="S24" s="14">
        <f>CHOOSE(CONTROL!$C$42, 3.6438, 3.6438) * CHOOSE(CONTROL!$C$21, $C$9, 100%, $E$9)</f>
        <v>3.6438000000000001</v>
      </c>
      <c r="T24" s="57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24" s="57">
        <f>(1000*CHOOSE(CONTROL!$C$42, 695, 695)*CHOOSE(CONTROL!$C$42, 0.5599, 0.5599)*CHOOSE(CONTROL!$C$42, 31, 31))/1000000</f>
        <v>12.063045499999998</v>
      </c>
      <c r="V24" s="57">
        <f>(1000*CHOOSE(CONTROL!$C$42, 580, 580)*CHOOSE(CONTROL!$C$42, 0.275, 0.275)*CHOOSE(CONTROL!$C$42, 31, 31))/1000000</f>
        <v>4.9444999999999997</v>
      </c>
      <c r="W24" s="57">
        <f>(1000*CHOOSE(CONTROL!$C$42, 0.1146, 0.1146)*CHOOSE(CONTROL!$C$42, 200, 200)*CHOOSE(CONTROL!$C$42, 31, 31))/1000000</f>
        <v>0.71052000000000004</v>
      </c>
      <c r="X24" s="57">
        <v>0</v>
      </c>
      <c r="Y24" s="57">
        <f t="shared" si="0"/>
        <v>0.4</v>
      </c>
      <c r="Z24" s="14">
        <f>CHOOSE(CONTROL!$C$42, 3.7425, 3.7425) * CHOOSE(CONTROL!$C$21, $C$9, 100%, $E$9)</f>
        <v>3.7425000000000002</v>
      </c>
      <c r="AA24" s="64">
        <f>(31*((7.89*31500+7.95*100000)/31))/1000000</f>
        <v>1.0435350000000001</v>
      </c>
      <c r="AB24" s="50">
        <f>(B24*122.58+C24*297.941+D24*89.177+E24*200.302+F24*40+G24*0+H24*0+I24*100+J24*300)/(122.58+297.941+89.177+200.302+0+40+0+100+300)</f>
        <v>3.8219380902608702</v>
      </c>
      <c r="AC24" s="45">
        <f>(M24*240+N24*0+O24*355+P24*100)/(240+0+355+100)</f>
        <v>3.7738417266187048</v>
      </c>
    </row>
    <row r="25" spans="1:29" ht="15" x14ac:dyDescent="0.2">
      <c r="A25" s="13">
        <v>41640</v>
      </c>
      <c r="B25" s="14">
        <f>CHOOSE(CONTROL!$C$42, 3.8967, 3.8967) * CHOOSE(CONTROL!$C$21, $C$9, 100%, $E$9)</f>
        <v>3.8967000000000001</v>
      </c>
      <c r="C25" s="14">
        <f>CHOOSE(CONTROL!$C$42, 3.9018, 3.9018) * CHOOSE(CONTROL!$C$21, $C$9, 100%, $E$9)</f>
        <v>3.9018000000000002</v>
      </c>
      <c r="D25" s="14">
        <f>CHOOSE(CONTROL!$C$42, 3.9682, 3.9682) * CHOOSE(CONTROL!$C$21, $C$9, 100%, $E$9)</f>
        <v>3.9681999999999999</v>
      </c>
      <c r="E25" s="14">
        <f>CHOOSE(CONTROL!$C$42, 4.0023, 4.0023) * CHOOSE(CONTROL!$C$21, $C$9, 100%, $E$9)</f>
        <v>4.0023</v>
      </c>
      <c r="F25" s="14">
        <f>CHOOSE(CONTROL!$C$42, 3.884, 3.884)*CHOOSE(CONTROL!$C$21, $C$9, 100%, $E$9)</f>
        <v>3.8839999999999999</v>
      </c>
      <c r="G25" s="14">
        <f>CHOOSE(CONTROL!$C$42, 3.8995, 3.8995)*CHOOSE(CONTROL!$C$21, $C$9, 100%, $E$9)</f>
        <v>3.8995000000000002</v>
      </c>
      <c r="H25" s="14">
        <f>CHOOSE(CONTROL!$C$42, 3.9915, 3.9915) * CHOOSE(CONTROL!$C$21, $C$9, 100%, $E$9)</f>
        <v>3.9914999999999998</v>
      </c>
      <c r="I25" s="14">
        <f>CHOOSE(CONTROL!$C$42, 3.9165, 3.9165)* CHOOSE(CONTROL!$C$21, $C$9, 100%, $E$9)</f>
        <v>3.9165000000000001</v>
      </c>
      <c r="J25" s="14">
        <f>CHOOSE(CONTROL!$C$42, 3.877, 3.877)* CHOOSE(CONTROL!$C$21, $C$9, 100%, $E$9)</f>
        <v>3.8769999999999998</v>
      </c>
      <c r="K25" s="62"/>
      <c r="L25" s="14">
        <f>CHOOSE(CONTROL!$C$42, 4.5785, 4.5785) * CHOOSE(CONTROL!$C$21, $C$9, 100%, $E$9)</f>
        <v>4.5785</v>
      </c>
      <c r="M25" s="14">
        <f>CHOOSE(CONTROL!$C$42, 3.8053, 3.8053) * CHOOSE(CONTROL!$C$21, $C$9, 100%, $E$9)</f>
        <v>3.8052999999999999</v>
      </c>
      <c r="N25" s="14">
        <f>CHOOSE(CONTROL!$C$42, 3.8204, 3.8204) * CHOOSE(CONTROL!$C$21, $C$9, 100%, $E$9)</f>
        <v>3.8203999999999998</v>
      </c>
      <c r="O25" s="14">
        <f>CHOOSE(CONTROL!$C$42, 3.9174, 3.9174) * CHOOSE(CONTROL!$C$21, $C$9, 100%, $E$9)</f>
        <v>3.9174000000000002</v>
      </c>
      <c r="P25" s="14">
        <f>CHOOSE(CONTROL!$C$42, 3.8438, 3.8438) * CHOOSE(CONTROL!$C$21, $C$9, 100%, $E$9)</f>
        <v>3.8437999999999999</v>
      </c>
      <c r="Q25" s="14">
        <f>CHOOSE(CONTROL!$C$42, 4.5121, 4.5121) * CHOOSE(CONTROL!$C$21, $C$9, 100%, $E$9)</f>
        <v>4.5121000000000002</v>
      </c>
      <c r="R25" s="14">
        <f>CHOOSE(CONTROL!$C$42, 5.1104, 5.1104) * CHOOSE(CONTROL!$C$21, $C$9, 100%, $E$9)</f>
        <v>5.1104000000000003</v>
      </c>
      <c r="S25" s="14">
        <f>CHOOSE(CONTROL!$C$42, 3.7358, 3.7358) * CHOOSE(CONTROL!$C$21, $C$9, 100%, $E$9)</f>
        <v>3.7357999999999998</v>
      </c>
      <c r="T2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5" s="57">
        <f>(1000*CHOOSE(CONTROL!$C$42, 695, 695)*CHOOSE(CONTROL!$C$42, 0.5599, 0.5599)*CHOOSE(CONTROL!$C$42, 31, 31))/1000000</f>
        <v>12.063045499999998</v>
      </c>
      <c r="V25" s="57">
        <f>(1000*CHOOSE(CONTROL!$C$42, 580, 580)*CHOOSE(CONTROL!$C$42, 0.275, 0.275)*CHOOSE(CONTROL!$C$42, 31, 31))/1000000</f>
        <v>4.9444999999999997</v>
      </c>
      <c r="W25" s="57">
        <f>(1000*CHOOSE(CONTROL!$C$42, 0.1146, 0.1146)*CHOOSE(CONTROL!$C$42, 200, 200)*CHOOSE(CONTROL!$C$42, 31, 31))/1000000</f>
        <v>0.71052000000000004</v>
      </c>
      <c r="X25" s="57">
        <v>0</v>
      </c>
      <c r="Y25" s="57">
        <f t="shared" si="0"/>
        <v>0.4</v>
      </c>
      <c r="Z25" s="14">
        <f>CHOOSE(CONTROL!$C$42, 3.8366, 3.8366) * CHOOSE(CONTROL!$C$21, $C$9, 100%, $E$9)</f>
        <v>3.8365999999999998</v>
      </c>
      <c r="AA25" s="64">
        <f>(31*((7.89*31500+7.95*100000)/31))/1000000</f>
        <v>1.0435350000000001</v>
      </c>
      <c r="AB25" s="50">
        <f>(B25*122.58+C25*297.941+D25*89.177+E25*200.302+F25*40+G25*0+H25*0+I25*100+J25*300)/(122.58+297.941+89.177+200.302+0+40+0+100+300)</f>
        <v>3.9180996050434782</v>
      </c>
      <c r="AC25" s="45">
        <f>(M25*240+N25*0+O25*355+P25*100)/(240+0+355+100)</f>
        <v>3.8680992805755396</v>
      </c>
    </row>
    <row r="26" spans="1:29" ht="15" x14ac:dyDescent="0.2">
      <c r="A26" s="13">
        <v>41671</v>
      </c>
      <c r="B26" s="14">
        <f>CHOOSE(CONTROL!$C$42, 3.9029, 3.9029) * CHOOSE(CONTROL!$C$21, $C$9, 100%, $E$9)</f>
        <v>3.9028999999999998</v>
      </c>
      <c r="C26" s="14">
        <f>CHOOSE(CONTROL!$C$42, 3.908, 3.908) * CHOOSE(CONTROL!$C$21, $C$9, 100%, $E$9)</f>
        <v>3.9079999999999999</v>
      </c>
      <c r="D26" s="14">
        <f>CHOOSE(CONTROL!$C$42, 3.9744, 3.9744) * CHOOSE(CONTROL!$C$21, $C$9, 100%, $E$9)</f>
        <v>3.9744000000000002</v>
      </c>
      <c r="E26" s="14">
        <f>CHOOSE(CONTROL!$C$42, 4.0085, 4.0085) * CHOOSE(CONTROL!$C$21, $C$9, 100%, $E$9)</f>
        <v>4.0084999999999997</v>
      </c>
      <c r="F26" s="14">
        <f>CHOOSE(CONTROL!$C$42, 3.8903, 3.8903)*CHOOSE(CONTROL!$C$21, $C$9, 100%, $E$9)</f>
        <v>3.8902999999999999</v>
      </c>
      <c r="G26" s="14">
        <f>CHOOSE(CONTROL!$C$42, 3.9058, 3.9058)*CHOOSE(CONTROL!$C$21, $C$9, 100%, $E$9)</f>
        <v>3.9058000000000002</v>
      </c>
      <c r="H26" s="14">
        <f>CHOOSE(CONTROL!$C$42, 3.9977, 3.9977) * CHOOSE(CONTROL!$C$21, $C$9, 100%, $E$9)</f>
        <v>3.9977</v>
      </c>
      <c r="I26" s="14">
        <f>CHOOSE(CONTROL!$C$42, 3.9228, 3.9228)* CHOOSE(CONTROL!$C$21, $C$9, 100%, $E$9)</f>
        <v>3.9228000000000001</v>
      </c>
      <c r="J26" s="14">
        <f>CHOOSE(CONTROL!$C$42, 3.8833, 3.8833)* CHOOSE(CONTROL!$C$21, $C$9, 100%, $E$9)</f>
        <v>3.8833000000000002</v>
      </c>
      <c r="K26" s="62"/>
      <c r="L26" s="14">
        <f>CHOOSE(CONTROL!$C$42, 4.5847, 4.5847) * CHOOSE(CONTROL!$C$21, $C$9, 100%, $E$9)</f>
        <v>4.5846999999999998</v>
      </c>
      <c r="M26" s="14">
        <f>CHOOSE(CONTROL!$C$42, 3.8115, 3.8115) * CHOOSE(CONTROL!$C$21, $C$9, 100%, $E$9)</f>
        <v>3.8115000000000001</v>
      </c>
      <c r="N26" s="14">
        <f>CHOOSE(CONTROL!$C$42, 3.8266, 3.8266) * CHOOSE(CONTROL!$C$21, $C$9, 100%, $E$9)</f>
        <v>3.8266</v>
      </c>
      <c r="O26" s="14">
        <f>CHOOSE(CONTROL!$C$42, 3.9235, 3.9235) * CHOOSE(CONTROL!$C$21, $C$9, 100%, $E$9)</f>
        <v>3.9235000000000002</v>
      </c>
      <c r="P26" s="14">
        <f>CHOOSE(CONTROL!$C$42, 3.8499, 3.8499) * CHOOSE(CONTROL!$C$21, $C$9, 100%, $E$9)</f>
        <v>3.8498999999999999</v>
      </c>
      <c r="Q26" s="14">
        <f>CHOOSE(CONTROL!$C$42, 4.5182, 4.5182) * CHOOSE(CONTROL!$C$21, $C$9, 100%, $E$9)</f>
        <v>4.5182000000000002</v>
      </c>
      <c r="R26" s="14">
        <f>CHOOSE(CONTROL!$C$42, 5.1165, 5.1165) * CHOOSE(CONTROL!$C$21, $C$9, 100%, $E$9)</f>
        <v>5.1165000000000003</v>
      </c>
      <c r="S26" s="14">
        <f>CHOOSE(CONTROL!$C$42, 3.7418, 3.7418) * CHOOSE(CONTROL!$C$21, $C$9, 100%, $E$9)</f>
        <v>3.7418</v>
      </c>
      <c r="T2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6" s="57">
        <f>(1000*CHOOSE(CONTROL!$C$42, 695, 695)*CHOOSE(CONTROL!$C$42, 0.5599, 0.5599)*CHOOSE(CONTROL!$C$42, 28, 28))/1000000</f>
        <v>10.895653999999999</v>
      </c>
      <c r="V26" s="57">
        <f>(1000*CHOOSE(CONTROL!$C$42, 580, 580)*CHOOSE(CONTROL!$C$42, 0.275, 0.275)*CHOOSE(CONTROL!$C$42, 28, 28))/1000000</f>
        <v>4.4660000000000002</v>
      </c>
      <c r="W26" s="57">
        <f>(1000*CHOOSE(CONTROL!$C$42, 0.1146, 0.1146)*CHOOSE(CONTROL!$C$42, 200, 200)*CHOOSE(CONTROL!$C$42, 28, 28))/1000000</f>
        <v>0.64176</v>
      </c>
      <c r="X26" s="57">
        <v>0</v>
      </c>
      <c r="Y26" s="57">
        <f t="shared" si="0"/>
        <v>0.4</v>
      </c>
      <c r="Z26" s="14">
        <f>CHOOSE(CONTROL!$C$42, 3.8428, 3.8428) * CHOOSE(CONTROL!$C$21, $C$9, 100%, $E$9)</f>
        <v>3.8428</v>
      </c>
      <c r="AA26" s="64">
        <f>(28*((7.89*31500+7.95*100000)/28))/1000000</f>
        <v>1.0435350000000001</v>
      </c>
      <c r="AB26" s="50">
        <f>(B26*122.58+C26*297.941+D26*89.177+E26*200.302+F26*40+G26*0+H26*0+I26*100+J26*300)/(122.58+297.941+89.177+200.302+0+40+0+100+300)</f>
        <v>3.9243378659130435</v>
      </c>
      <c r="AC26" s="45">
        <f>(M26*240+N26*0+O26*355+P26*100)/(240+0+355+100)</f>
        <v>3.8742338129496399</v>
      </c>
    </row>
    <row r="27" spans="1:29" ht="15" x14ac:dyDescent="0.2">
      <c r="A27" s="13">
        <v>41699</v>
      </c>
      <c r="B27" s="14">
        <f>CHOOSE(CONTROL!$C$42, 3.8717, 3.8717) * CHOOSE(CONTROL!$C$21, $C$9, 100%, $E$9)</f>
        <v>3.8717000000000001</v>
      </c>
      <c r="C27" s="14">
        <f>CHOOSE(CONTROL!$C$42, 3.8768, 3.8768) * CHOOSE(CONTROL!$C$21, $C$9, 100%, $E$9)</f>
        <v>3.8767999999999998</v>
      </c>
      <c r="D27" s="14">
        <f>CHOOSE(CONTROL!$C$42, 3.9432, 3.9432) * CHOOSE(CONTROL!$C$21, $C$9, 100%, $E$9)</f>
        <v>3.9432</v>
      </c>
      <c r="E27" s="14">
        <f>CHOOSE(CONTROL!$C$42, 3.9773, 3.9773) * CHOOSE(CONTROL!$C$21, $C$9, 100%, $E$9)</f>
        <v>3.9773000000000001</v>
      </c>
      <c r="F27" s="14">
        <f>CHOOSE(CONTROL!$C$42, 3.8587, 3.8587)*CHOOSE(CONTROL!$C$21, $C$9, 100%, $E$9)</f>
        <v>3.8586999999999998</v>
      </c>
      <c r="G27" s="14">
        <f>CHOOSE(CONTROL!$C$42, 3.8741, 3.8741)*CHOOSE(CONTROL!$C$21, $C$9, 100%, $E$9)</f>
        <v>3.8740999999999999</v>
      </c>
      <c r="H27" s="14">
        <f>CHOOSE(CONTROL!$C$42, 3.9665, 3.9665) * CHOOSE(CONTROL!$C$21, $C$9, 100%, $E$9)</f>
        <v>3.9664999999999999</v>
      </c>
      <c r="I27" s="14">
        <f>CHOOSE(CONTROL!$C$42, 3.8915, 3.8915)* CHOOSE(CONTROL!$C$21, $C$9, 100%, $E$9)</f>
        <v>3.8915000000000002</v>
      </c>
      <c r="J27" s="14">
        <f>CHOOSE(CONTROL!$C$42, 3.8517, 3.8517)* CHOOSE(CONTROL!$C$21, $C$9, 100%, $E$9)</f>
        <v>3.8517000000000001</v>
      </c>
      <c r="K27" s="62"/>
      <c r="L27" s="14">
        <f>CHOOSE(CONTROL!$C$42, 4.5535, 4.5535) * CHOOSE(CONTROL!$C$21, $C$9, 100%, $E$9)</f>
        <v>4.5534999999999997</v>
      </c>
      <c r="M27" s="14">
        <f>CHOOSE(CONTROL!$C$42, 3.7805, 3.7805) * CHOOSE(CONTROL!$C$21, $C$9, 100%, $E$9)</f>
        <v>3.7805</v>
      </c>
      <c r="N27" s="14">
        <f>CHOOSE(CONTROL!$C$42, 3.7956, 3.7956) * CHOOSE(CONTROL!$C$21, $C$9, 100%, $E$9)</f>
        <v>3.7955999999999999</v>
      </c>
      <c r="O27" s="14">
        <f>CHOOSE(CONTROL!$C$42, 3.8929, 3.8929) * CHOOSE(CONTROL!$C$21, $C$9, 100%, $E$9)</f>
        <v>3.8929</v>
      </c>
      <c r="P27" s="14">
        <f>CHOOSE(CONTROL!$C$42, 3.8193, 3.8193) * CHOOSE(CONTROL!$C$21, $C$9, 100%, $E$9)</f>
        <v>3.8193000000000001</v>
      </c>
      <c r="Q27" s="14">
        <f>CHOOSE(CONTROL!$C$42, 4.4876, 4.4876) * CHOOSE(CONTROL!$C$21, $C$9, 100%, $E$9)</f>
        <v>4.4875999999999996</v>
      </c>
      <c r="R27" s="14">
        <f>CHOOSE(CONTROL!$C$42, 5.0858, 5.0858) * CHOOSE(CONTROL!$C$21, $C$9, 100%, $E$9)</f>
        <v>5.0857999999999999</v>
      </c>
      <c r="S27" s="14">
        <f>CHOOSE(CONTROL!$C$42, 3.7118, 3.7118) * CHOOSE(CONTROL!$C$21, $C$9, 100%, $E$9)</f>
        <v>3.7118000000000002</v>
      </c>
      <c r="T2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7" s="57">
        <f>(1000*CHOOSE(CONTROL!$C$42, 695, 695)*CHOOSE(CONTROL!$C$42, 0.5599, 0.5599)*CHOOSE(CONTROL!$C$42, 31, 31))/1000000</f>
        <v>12.063045499999998</v>
      </c>
      <c r="V27" s="57">
        <f>(1000*CHOOSE(CONTROL!$C$42, 580, 580)*CHOOSE(CONTROL!$C$42, 0.275, 0.275)*CHOOSE(CONTROL!$C$42, 31, 31))/1000000</f>
        <v>4.9444999999999997</v>
      </c>
      <c r="W27" s="57">
        <f>(1000*CHOOSE(CONTROL!$C$42, 0.1146, 0.1146)*CHOOSE(CONTROL!$C$42, 200, 200)*CHOOSE(CONTROL!$C$42, 31, 31))/1000000</f>
        <v>0.71052000000000004</v>
      </c>
      <c r="X27" s="57">
        <v>0</v>
      </c>
      <c r="Y27" s="57">
        <f t="shared" si="0"/>
        <v>0.4</v>
      </c>
      <c r="Z27" s="14">
        <f>CHOOSE(CONTROL!$C$42, 3.8121, 3.8121) * CHOOSE(CONTROL!$C$21, $C$9, 100%, $E$9)</f>
        <v>3.8121</v>
      </c>
      <c r="AA27" s="64">
        <f>(31*((7.89*31500+7.95*100000)/31))/1000000</f>
        <v>1.0435350000000001</v>
      </c>
      <c r="AB27" s="50">
        <f>(B27*122.58+C27*297.941+D27*89.177+E27*200.302+F27*40+G27*0+H27*0+I27*100+J27*300)/(122.58+297.941+89.177+200.302+0+40+0+100+300)</f>
        <v>3.8930109093913043</v>
      </c>
      <c r="AC27" s="45">
        <f>(M27*240+N27*0+O27*355+P27*100)/(240+0+355+100)</f>
        <v>3.8434956834532374</v>
      </c>
    </row>
    <row r="28" spans="1:29" ht="15" x14ac:dyDescent="0.2">
      <c r="A28" s="13">
        <v>41730</v>
      </c>
      <c r="B28" s="14">
        <f>CHOOSE(CONTROL!$C$42, 3.8219, 3.8219) * CHOOSE(CONTROL!$C$21, $C$9, 100%, $E$9)</f>
        <v>3.8218999999999999</v>
      </c>
      <c r="C28" s="14">
        <f>CHOOSE(CONTROL!$C$42, 3.8264, 3.8264) * CHOOSE(CONTROL!$C$21, $C$9, 100%, $E$9)</f>
        <v>3.8264</v>
      </c>
      <c r="D28" s="14">
        <f>CHOOSE(CONTROL!$C$42, 4.0335, 4.0335) * CHOOSE(CONTROL!$C$21, $C$9, 100%, $E$9)</f>
        <v>4.0335000000000001</v>
      </c>
      <c r="E28" s="14">
        <f>CHOOSE(CONTROL!$C$42, 4.0656, 4.0656) * CHOOSE(CONTROL!$C$21, $C$9, 100%, $E$9)</f>
        <v>4.0655999999999999</v>
      </c>
      <c r="F28" s="14">
        <f>CHOOSE(CONTROL!$C$42, 3.8038, 3.8038)*CHOOSE(CONTROL!$C$21, $C$9, 100%, $E$9)</f>
        <v>3.8037999999999998</v>
      </c>
      <c r="G28" s="14">
        <f>CHOOSE(CONTROL!$C$42, 3.819, 3.819)*CHOOSE(CONTROL!$C$21, $C$9, 100%, $E$9)</f>
        <v>3.819</v>
      </c>
      <c r="H28" s="14">
        <f>CHOOSE(CONTROL!$C$42, 4.0554, 4.0554) * CHOOSE(CONTROL!$C$21, $C$9, 100%, $E$9)</f>
        <v>4.0553999999999997</v>
      </c>
      <c r="I28" s="14">
        <f>CHOOSE(CONTROL!$C$42, 3.8407, 3.8407)* CHOOSE(CONTROL!$C$21, $C$9, 100%, $E$9)</f>
        <v>3.8407</v>
      </c>
      <c r="J28" s="14">
        <f>CHOOSE(CONTROL!$C$42, 3.7968, 3.7968)* CHOOSE(CONTROL!$C$21, $C$9, 100%, $E$9)</f>
        <v>3.7968000000000002</v>
      </c>
      <c r="K28" s="62"/>
      <c r="L28" s="14">
        <f>CHOOSE(CONTROL!$C$42, 4.6424, 4.6424) * CHOOSE(CONTROL!$C$21, $C$9, 100%, $E$9)</f>
        <v>4.6424000000000003</v>
      </c>
      <c r="M28" s="14">
        <f>CHOOSE(CONTROL!$C$42, 3.7267, 3.7267) * CHOOSE(CONTROL!$C$21, $C$9, 100%, $E$9)</f>
        <v>3.7267000000000001</v>
      </c>
      <c r="N28" s="14">
        <f>CHOOSE(CONTROL!$C$42, 3.7416, 3.7416) * CHOOSE(CONTROL!$C$21, $C$9, 100%, $E$9)</f>
        <v>3.7416</v>
      </c>
      <c r="O28" s="14">
        <f>CHOOSE(CONTROL!$C$42, 3.98, 3.98) * CHOOSE(CONTROL!$C$21, $C$9, 100%, $E$9)</f>
        <v>3.98</v>
      </c>
      <c r="P28" s="14">
        <f>CHOOSE(CONTROL!$C$42, 3.7695, 3.7695) * CHOOSE(CONTROL!$C$21, $C$9, 100%, $E$9)</f>
        <v>3.7694999999999999</v>
      </c>
      <c r="Q28" s="14">
        <f>CHOOSE(CONTROL!$C$42, 4.5747, 4.5747) * CHOOSE(CONTROL!$C$21, $C$9, 100%, $E$9)</f>
        <v>4.5747</v>
      </c>
      <c r="R28" s="14">
        <f>CHOOSE(CONTROL!$C$42, 5.1731, 5.1731) * CHOOSE(CONTROL!$C$21, $C$9, 100%, $E$9)</f>
        <v>5.1730999999999998</v>
      </c>
      <c r="S28" s="14">
        <f>CHOOSE(CONTROL!$C$42, 3.6632, 3.6632) * CHOOSE(CONTROL!$C$21, $C$9, 100%, $E$9)</f>
        <v>3.6631999999999998</v>
      </c>
      <c r="T2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8" s="57">
        <f>(1000*CHOOSE(CONTROL!$C$42, 695, 695)*CHOOSE(CONTROL!$C$42, 0.5599, 0.5599)*CHOOSE(CONTROL!$C$42, 30, 30))/1000000</f>
        <v>11.673914999999997</v>
      </c>
      <c r="V28" s="57">
        <f>(1000*CHOOSE(CONTROL!$C$42, 580, 580)*CHOOSE(CONTROL!$C$42, 0.275, 0.275)*CHOOSE(CONTROL!$C$42, 30, 30))/1000000</f>
        <v>4.7850000000000001</v>
      </c>
      <c r="W28" s="57">
        <f>(1000*CHOOSE(CONTROL!$C$42, 0.1146, 0.1146)*CHOOSE(CONTROL!$C$42, 200, 200)*CHOOSE(CONTROL!$C$42, 30, 30))/1000000</f>
        <v>0.68759999999999999</v>
      </c>
      <c r="X28" s="57">
        <f>30*0.1790888*145000/1000000</f>
        <v>0.77903627999999991</v>
      </c>
      <c r="Y28" s="57"/>
      <c r="Z28" s="14">
        <f>CHOOSE(CONTROL!$C$42, 3.7638, 3.7638) * CHOOSE(CONTROL!$C$21, $C$9, 100%, $E$9)</f>
        <v>3.7637999999999998</v>
      </c>
      <c r="AA28" s="64">
        <f>(30*((7.89*31500+7.95*100000)/30))/1000000</f>
        <v>1.0435350000000001</v>
      </c>
      <c r="AB28" s="50">
        <f>(B28*141.293+C28*267.993+D28*115.016+E28*249.698+F28*40+G28*25+H28*0+I28*100+J28*300)/(141.293+267.993+115.016+249.698+0+40+25+100+300)</f>
        <v>3.8864264380145275</v>
      </c>
      <c r="AC28" s="45">
        <f t="shared" ref="AC28:AC34" si="1">(M28*240+N28*120+O28*235+P28*100)/(240+120+235+100)</f>
        <v>3.8210791366906469</v>
      </c>
    </row>
    <row r="29" spans="1:29" ht="15" x14ac:dyDescent="0.2">
      <c r="A29" s="13">
        <v>41760</v>
      </c>
      <c r="B29" s="14">
        <f>CHOOSE(CONTROL!$C$42, 3.8431, 3.8431) * CHOOSE(CONTROL!$C$21, $C$9, 100%, $E$9)</f>
        <v>3.8431000000000002</v>
      </c>
      <c r="C29" s="14">
        <f>CHOOSE(CONTROL!$C$42, 3.8511, 3.8511) * CHOOSE(CONTROL!$C$21, $C$9, 100%, $E$9)</f>
        <v>3.8511000000000002</v>
      </c>
      <c r="D29" s="14">
        <f>CHOOSE(CONTROL!$C$42, 4.055, 4.055) * CHOOSE(CONTROL!$C$21, $C$9, 100%, $E$9)</f>
        <v>4.0549999999999997</v>
      </c>
      <c r="E29" s="14">
        <f>CHOOSE(CONTROL!$C$42, 4.0865, 4.0865) * CHOOSE(CONTROL!$C$21, $C$9, 100%, $E$9)</f>
        <v>4.0865</v>
      </c>
      <c r="F29" s="14">
        <f>CHOOSE(CONTROL!$C$42, 3.8238, 3.8238)*CHOOSE(CONTROL!$C$21, $C$9, 100%, $E$9)</f>
        <v>3.8237999999999999</v>
      </c>
      <c r="G29" s="14">
        <f>CHOOSE(CONTROL!$C$42, 3.8395, 3.8395)*CHOOSE(CONTROL!$C$21, $C$9, 100%, $E$9)</f>
        <v>3.8395000000000001</v>
      </c>
      <c r="H29" s="14">
        <f>CHOOSE(CONTROL!$C$42, 4.0751, 4.0751) * CHOOSE(CONTROL!$C$21, $C$9, 100%, $E$9)</f>
        <v>4.0750999999999999</v>
      </c>
      <c r="I29" s="14">
        <f>CHOOSE(CONTROL!$C$42, 3.8605, 3.8605)* CHOOSE(CONTROL!$C$21, $C$9, 100%, $E$9)</f>
        <v>3.8605</v>
      </c>
      <c r="J29" s="14">
        <f>CHOOSE(CONTROL!$C$42, 3.8168, 3.8168)* CHOOSE(CONTROL!$C$21, $C$9, 100%, $E$9)</f>
        <v>3.8168000000000002</v>
      </c>
      <c r="K29" s="62"/>
      <c r="L29" s="14">
        <f>CHOOSE(CONTROL!$C$42, 4.6621, 4.6621) * CHOOSE(CONTROL!$C$21, $C$9, 100%, $E$9)</f>
        <v>4.6620999999999997</v>
      </c>
      <c r="M29" s="14">
        <f>CHOOSE(CONTROL!$C$42, 3.7463, 3.7463) * CHOOSE(CONTROL!$C$21, $C$9, 100%, $E$9)</f>
        <v>3.7463000000000002</v>
      </c>
      <c r="N29" s="14">
        <f>CHOOSE(CONTROL!$C$42, 3.7616, 3.7616) * CHOOSE(CONTROL!$C$21, $C$9, 100%, $E$9)</f>
        <v>3.7616000000000001</v>
      </c>
      <c r="O29" s="14">
        <f>CHOOSE(CONTROL!$C$42, 3.9993, 3.9993) * CHOOSE(CONTROL!$C$21, $C$9, 100%, $E$9)</f>
        <v>3.9992999999999999</v>
      </c>
      <c r="P29" s="14">
        <f>CHOOSE(CONTROL!$C$42, 3.789, 3.789) * CHOOSE(CONTROL!$C$21, $C$9, 100%, $E$9)</f>
        <v>3.7890000000000001</v>
      </c>
      <c r="Q29" s="14">
        <f>CHOOSE(CONTROL!$C$42, 4.594, 4.594) * CHOOSE(CONTROL!$C$21, $C$9, 100%, $E$9)</f>
        <v>4.5940000000000003</v>
      </c>
      <c r="R29" s="14">
        <f>CHOOSE(CONTROL!$C$42, 5.1925, 5.1925) * CHOOSE(CONTROL!$C$21, $C$9, 100%, $E$9)</f>
        <v>5.1924999999999999</v>
      </c>
      <c r="S29" s="14">
        <f>CHOOSE(CONTROL!$C$42, 3.6822, 3.6822) * CHOOSE(CONTROL!$C$21, $C$9, 100%, $E$9)</f>
        <v>3.6821999999999999</v>
      </c>
      <c r="T29" s="59">
        <f>((((430000*CHOOSE(CONTROL!$C$42, 0.4694, 0.4694)+(874000-430000)*CHOOSE(CONTROL!$C$42, 0.7185, 0.7185)+400000*CHOOSE(CONTROL!$C$42, 1.14, 1.14)+50000*0.98)*CHOOSE(CONTROL!$C$42, 31, 31))/1000000))+CHOOSE(CONTROL!$C$42, 0.1662, 0.1662)+CHOOSE(CONTROL!$C$42, 0.6286, 0.6286)</f>
        <v>32.596336000000001</v>
      </c>
      <c r="U29" s="57">
        <f>(1000*CHOOSE(CONTROL!$C$42, 695, 695)*CHOOSE(CONTROL!$C$42, 0.5599, 0.5599)*CHOOSE(CONTROL!$C$42, 31, 31))/1000000</f>
        <v>12.063045499999998</v>
      </c>
      <c r="V29" s="57">
        <f>(1000*CHOOSE(CONTROL!$C$42, 580, 580)*CHOOSE(CONTROL!$C$42, 0.275, 0.275)*CHOOSE(CONTROL!$C$42, 31, 31))/1000000</f>
        <v>4.9444999999999997</v>
      </c>
      <c r="W29" s="57">
        <f>(1000*CHOOSE(CONTROL!$C$42, 0.1146, 0.1146)*CHOOSE(CONTROL!$C$42, 200, 200)*CHOOSE(CONTROL!$C$42, 31, 31))/1000000</f>
        <v>0.71052000000000004</v>
      </c>
      <c r="X29" s="57">
        <f>31*0.1790888*145000/1000000</f>
        <v>0.80500415599999997</v>
      </c>
      <c r="Y29" s="57"/>
      <c r="Z29" s="14">
        <f>CHOOSE(CONTROL!$C$42, 3.7833, 3.7833) * CHOOSE(CONTROL!$C$21, $C$9, 100%, $E$9)</f>
        <v>3.7833000000000001</v>
      </c>
      <c r="AA29" s="64">
        <f>(31*((7.89*31500+7.95*100000)/31))/1000000</f>
        <v>1.0435350000000001</v>
      </c>
      <c r="AB29" s="50">
        <f>(B29*194.205+C29*267.466+D29*133.845+E29*213.484+F29*40+G29*25+H29*50+I29*100+J29*300)/(194.205+267.466+133.845+213.484+50+40+25+100+300)</f>
        <v>3.9088488588368588</v>
      </c>
      <c r="AC29" s="45">
        <f t="shared" si="1"/>
        <v>3.8406323741007196</v>
      </c>
    </row>
    <row r="30" spans="1:29" ht="15" x14ac:dyDescent="0.2">
      <c r="A30" s="13">
        <v>41791</v>
      </c>
      <c r="B30" s="14">
        <f>CHOOSE(CONTROL!$C$42, 3.8764, 3.8764) * CHOOSE(CONTROL!$C$21, $C$9, 100%, $E$9)</f>
        <v>3.8763999999999998</v>
      </c>
      <c r="C30" s="14">
        <f>CHOOSE(CONTROL!$C$42, 3.8844, 3.8844) * CHOOSE(CONTROL!$C$21, $C$9, 100%, $E$9)</f>
        <v>3.8843999999999999</v>
      </c>
      <c r="D30" s="14">
        <f>CHOOSE(CONTROL!$C$42, 4.0883, 4.0883) * CHOOSE(CONTROL!$C$21, $C$9, 100%, $E$9)</f>
        <v>4.0883000000000003</v>
      </c>
      <c r="E30" s="14">
        <f>CHOOSE(CONTROL!$C$42, 4.1198, 4.1198) * CHOOSE(CONTROL!$C$21, $C$9, 100%, $E$9)</f>
        <v>4.1197999999999997</v>
      </c>
      <c r="F30" s="14">
        <f>CHOOSE(CONTROL!$C$42, 3.8575, 3.8575)*CHOOSE(CONTROL!$C$21, $C$9, 100%, $E$9)</f>
        <v>3.8574999999999999</v>
      </c>
      <c r="G30" s="14">
        <f>CHOOSE(CONTROL!$C$42, 3.8733, 3.8733)*CHOOSE(CONTROL!$C$21, $C$9, 100%, $E$9)</f>
        <v>3.8733</v>
      </c>
      <c r="H30" s="14">
        <f>CHOOSE(CONTROL!$C$42, 4.1084, 4.1084) * CHOOSE(CONTROL!$C$21, $C$9, 100%, $E$9)</f>
        <v>4.1083999999999996</v>
      </c>
      <c r="I30" s="14">
        <f>CHOOSE(CONTROL!$C$42, 3.894, 3.894)* CHOOSE(CONTROL!$C$21, $C$9, 100%, $E$9)</f>
        <v>3.8940000000000001</v>
      </c>
      <c r="J30" s="14">
        <f>CHOOSE(CONTROL!$C$42, 3.8505, 3.8505)* CHOOSE(CONTROL!$C$21, $C$9, 100%, $E$9)</f>
        <v>3.8504999999999998</v>
      </c>
      <c r="K30" s="62"/>
      <c r="L30" s="14">
        <f>CHOOSE(CONTROL!$C$42, 4.6954, 4.6954) * CHOOSE(CONTROL!$C$21, $C$9, 100%, $E$9)</f>
        <v>4.6954000000000002</v>
      </c>
      <c r="M30" s="14">
        <f>CHOOSE(CONTROL!$C$42, 3.7793, 3.7793) * CHOOSE(CONTROL!$C$21, $C$9, 100%, $E$9)</f>
        <v>3.7793000000000001</v>
      </c>
      <c r="N30" s="14">
        <f>CHOOSE(CONTROL!$C$42, 3.7948, 3.7948) * CHOOSE(CONTROL!$C$21, $C$9, 100%, $E$9)</f>
        <v>3.7948</v>
      </c>
      <c r="O30" s="14">
        <f>CHOOSE(CONTROL!$C$42, 4.0319, 4.0319) * CHOOSE(CONTROL!$C$21, $C$9, 100%, $E$9)</f>
        <v>4.0319000000000003</v>
      </c>
      <c r="P30" s="14">
        <f>CHOOSE(CONTROL!$C$42, 3.8217, 3.8217) * CHOOSE(CONTROL!$C$21, $C$9, 100%, $E$9)</f>
        <v>3.8216999999999999</v>
      </c>
      <c r="Q30" s="14">
        <f>CHOOSE(CONTROL!$C$42, 4.6266, 4.6266) * CHOOSE(CONTROL!$C$21, $C$9, 100%, $E$9)</f>
        <v>4.6265999999999998</v>
      </c>
      <c r="R30" s="14">
        <f>CHOOSE(CONTROL!$C$42, 5.2252, 5.2252) * CHOOSE(CONTROL!$C$21, $C$9, 100%, $E$9)</f>
        <v>5.2252000000000001</v>
      </c>
      <c r="S30" s="14">
        <f>CHOOSE(CONTROL!$C$42, 3.7142, 3.7142) * CHOOSE(CONTROL!$C$21, $C$9, 100%, $E$9)</f>
        <v>3.7141999999999999</v>
      </c>
      <c r="T30" s="59">
        <f>((((430000*CHOOSE(CONTROL!$C$42, 0.4694, 0.4694)+(874000-430000)*CHOOSE(CONTROL!$C$42, 0.7185, 0.7185)+400000*CHOOSE(CONTROL!$C$42, 1.14, 1.14)+50000*0.98)*CHOOSE(CONTROL!$C$42, 30, 30))/1000000))+CHOOSE(CONTROL!$C$42, 0.1573, 0.1573)+CHOOSE(CONTROL!$C$42, 0.6376, 0.6376)</f>
        <v>31.57058</v>
      </c>
      <c r="U30" s="57">
        <f>(1000*CHOOSE(CONTROL!$C$42, 695, 695)*CHOOSE(CONTROL!$C$42, 0.5599, 0.5599)*CHOOSE(CONTROL!$C$42, 30, 30))/1000000</f>
        <v>11.673914999999997</v>
      </c>
      <c r="V30" s="57">
        <f>(1000*CHOOSE(CONTROL!$C$42, 580, 580)*CHOOSE(CONTROL!$C$42, 0.275, 0.275)*CHOOSE(CONTROL!$C$42, 30, 30))/1000000</f>
        <v>4.7850000000000001</v>
      </c>
      <c r="W30" s="57">
        <f>(1000*CHOOSE(CONTROL!$C$42, 0.1146, 0.1146)*CHOOSE(CONTROL!$C$42, 200, 200)*CHOOSE(CONTROL!$C$42, 30, 30))/1000000</f>
        <v>0.68759999999999999</v>
      </c>
      <c r="X30" s="57">
        <f>30*0.1790888*145000/1000000</f>
        <v>0.77903627999999991</v>
      </c>
      <c r="Y30" s="57"/>
      <c r="Z30" s="14">
        <f>CHOOSE(CONTROL!$C$42, 3.816, 3.816) * CHOOSE(CONTROL!$C$21, $C$9, 100%, $E$9)</f>
        <v>3.8159999999999998</v>
      </c>
      <c r="AA30" s="63">
        <f>(30*((7.95*31500+8.07*100000)/30))/1000000</f>
        <v>1.0574250000000001</v>
      </c>
      <c r="AB30" s="50">
        <f>(B30*194.205+C30*267.466+D30*133.845+E30*213.484+F30*40+G30*25+H30*50+I30*100+J30*300)/(194.205+267.466+133.845+213.484+50+40+25+100+300)</f>
        <v>3.942276124697885</v>
      </c>
      <c r="AC30" s="45">
        <f t="shared" si="1"/>
        <v>3.8734884892086332</v>
      </c>
    </row>
    <row r="31" spans="1:29" ht="15" x14ac:dyDescent="0.2">
      <c r="A31" s="13">
        <v>41821</v>
      </c>
      <c r="B31" s="14">
        <f>CHOOSE(CONTROL!$C$42, 3.9118, 3.9118) * CHOOSE(CONTROL!$C$21, $C$9, 100%, $E$9)</f>
        <v>3.9117999999999999</v>
      </c>
      <c r="C31" s="14">
        <f>CHOOSE(CONTROL!$C$42, 3.9198, 3.9198) * CHOOSE(CONTROL!$C$21, $C$9, 100%, $E$9)</f>
        <v>3.9198</v>
      </c>
      <c r="D31" s="14">
        <f>CHOOSE(CONTROL!$C$42, 4.1237, 4.1237) * CHOOSE(CONTROL!$C$21, $C$9, 100%, $E$9)</f>
        <v>4.1237000000000004</v>
      </c>
      <c r="E31" s="14">
        <f>CHOOSE(CONTROL!$C$42, 4.1552, 4.1552) * CHOOSE(CONTROL!$C$21, $C$9, 100%, $E$9)</f>
        <v>4.1551999999999998</v>
      </c>
      <c r="F31" s="14">
        <f>CHOOSE(CONTROL!$C$42, 3.8934, 3.8934)*CHOOSE(CONTROL!$C$21, $C$9, 100%, $E$9)</f>
        <v>3.8934000000000002</v>
      </c>
      <c r="G31" s="14">
        <f>CHOOSE(CONTROL!$C$42, 3.9093, 3.9093)*CHOOSE(CONTROL!$C$21, $C$9, 100%, $E$9)</f>
        <v>3.9093</v>
      </c>
      <c r="H31" s="14">
        <f>CHOOSE(CONTROL!$C$42, 4.1438, 4.1438) * CHOOSE(CONTROL!$C$21, $C$9, 100%, $E$9)</f>
        <v>4.1437999999999997</v>
      </c>
      <c r="I31" s="14">
        <f>CHOOSE(CONTROL!$C$42, 3.9294, 3.9294)* CHOOSE(CONTROL!$C$21, $C$9, 100%, $E$9)</f>
        <v>3.9293999999999998</v>
      </c>
      <c r="J31" s="14">
        <f>CHOOSE(CONTROL!$C$42, 3.8864, 3.8864)* CHOOSE(CONTROL!$C$21, $C$9, 100%, $E$9)</f>
        <v>3.8864000000000001</v>
      </c>
      <c r="K31" s="62"/>
      <c r="L31" s="14">
        <f>CHOOSE(CONTROL!$C$42, 4.7308, 4.7308) * CHOOSE(CONTROL!$C$21, $C$9, 100%, $E$9)</f>
        <v>4.7308000000000003</v>
      </c>
      <c r="M31" s="14">
        <f>CHOOSE(CONTROL!$C$42, 3.8144, 3.8144) * CHOOSE(CONTROL!$C$21, $C$9, 100%, $E$9)</f>
        <v>3.8144</v>
      </c>
      <c r="N31" s="14">
        <f>CHOOSE(CONTROL!$C$42, 3.83, 3.83) * CHOOSE(CONTROL!$C$21, $C$9, 100%, $E$9)</f>
        <v>3.83</v>
      </c>
      <c r="O31" s="14">
        <f>CHOOSE(CONTROL!$C$42, 4.0666, 4.0666) * CHOOSE(CONTROL!$C$21, $C$9, 100%, $E$9)</f>
        <v>4.0666000000000002</v>
      </c>
      <c r="P31" s="14">
        <f>CHOOSE(CONTROL!$C$42, 3.8565, 3.8565) * CHOOSE(CONTROL!$C$21, $C$9, 100%, $E$9)</f>
        <v>3.8565</v>
      </c>
      <c r="Q31" s="14">
        <f>CHOOSE(CONTROL!$C$42, 4.6613, 4.6613) * CHOOSE(CONTROL!$C$21, $C$9, 100%, $E$9)</f>
        <v>4.6612999999999998</v>
      </c>
      <c r="R31" s="14">
        <f>CHOOSE(CONTROL!$C$42, 5.26, 5.26) * CHOOSE(CONTROL!$C$21, $C$9, 100%, $E$9)</f>
        <v>5.26</v>
      </c>
      <c r="S31" s="14">
        <f>CHOOSE(CONTROL!$C$42, 3.7482, 3.7482) * CHOOSE(CONTROL!$C$21, $C$9, 100%, $E$9)</f>
        <v>3.7482000000000002</v>
      </c>
      <c r="T31" s="59">
        <f>((((430000*CHOOSE(CONTROL!$C$42, 0.4694, 0.4694)+(874000-430000)*CHOOSE(CONTROL!$C$42, 0.7185, 0.7185)+400000*CHOOSE(CONTROL!$C$42, 1.14, 1.14)+50000*0.98)*CHOOSE(CONTROL!$C$42, 31, 31))/1000000))+CHOOSE(CONTROL!$C$42, 0.1519, 0.1519)+CHOOSE(CONTROL!$C$42, 0.626, 0.626)</f>
        <v>32.579436000000001</v>
      </c>
      <c r="U31" s="57">
        <f>(1000*CHOOSE(CONTROL!$C$42, 695, 695)*CHOOSE(CONTROL!$C$42, 0.5599, 0.5599)*CHOOSE(CONTROL!$C$42, 31, 31))/1000000</f>
        <v>12.063045499999998</v>
      </c>
      <c r="V31" s="57">
        <f>(1000*CHOOSE(CONTROL!$C$42, 580, 580)*CHOOSE(CONTROL!$C$42, 0.275, 0.275)*CHOOSE(CONTROL!$C$42, 31, 31))/1000000</f>
        <v>4.9444999999999997</v>
      </c>
      <c r="W31" s="57">
        <f>(1000*CHOOSE(CONTROL!$C$42, 0.1146, 0.1146)*CHOOSE(CONTROL!$C$42, 200, 200)*CHOOSE(CONTROL!$C$42, 31, 31))/1000000</f>
        <v>0.71052000000000004</v>
      </c>
      <c r="X31" s="57">
        <f>31*0.1790888*145000/1000000</f>
        <v>0.80500415599999997</v>
      </c>
      <c r="Y31" s="57"/>
      <c r="Z31" s="14">
        <f>CHOOSE(CONTROL!$C$42, 3.8508, 3.8508) * CHOOSE(CONTROL!$C$21, $C$9, 100%, $E$9)</f>
        <v>3.8508</v>
      </c>
      <c r="AA31" s="61">
        <f>(31*((8.01*31500+8.07*100000)/31))/1000000</f>
        <v>1.059315</v>
      </c>
      <c r="AB31" s="50">
        <f>(B31*194.205+C31*267.466+D31*133.845+E31*213.484+F31*40+G31*25+H31*50+I31*100+J31*300)/(194.205+267.466+133.845+213.484+50+40+25+100+300)</f>
        <v>3.9778158527945617</v>
      </c>
      <c r="AC31" s="45">
        <f t="shared" si="1"/>
        <v>3.9084273381294969</v>
      </c>
    </row>
    <row r="32" spans="1:29" ht="15" x14ac:dyDescent="0.2">
      <c r="A32" s="13">
        <v>41852</v>
      </c>
      <c r="B32" s="14">
        <f>CHOOSE(CONTROL!$C$42, 3.9295, 3.9295) * CHOOSE(CONTROL!$C$21, $C$9, 100%, $E$9)</f>
        <v>3.9295</v>
      </c>
      <c r="C32" s="14">
        <f>CHOOSE(CONTROL!$C$42, 3.9375, 3.9375) * CHOOSE(CONTROL!$C$21, $C$9, 100%, $E$9)</f>
        <v>3.9375</v>
      </c>
      <c r="D32" s="14">
        <f>CHOOSE(CONTROL!$C$42, 4.1414, 4.1414) * CHOOSE(CONTROL!$C$21, $C$9, 100%, $E$9)</f>
        <v>4.1414</v>
      </c>
      <c r="E32" s="14">
        <f>CHOOSE(CONTROL!$C$42, 4.1729, 4.1729) * CHOOSE(CONTROL!$C$21, $C$9, 100%, $E$9)</f>
        <v>4.1729000000000003</v>
      </c>
      <c r="F32" s="14">
        <f>CHOOSE(CONTROL!$C$42, 3.9113, 3.9113)*CHOOSE(CONTROL!$C$21, $C$9, 100%, $E$9)</f>
        <v>3.9113000000000002</v>
      </c>
      <c r="G32" s="14">
        <f>CHOOSE(CONTROL!$C$42, 3.9273, 3.9273)*CHOOSE(CONTROL!$C$21, $C$9, 100%, $E$9)</f>
        <v>3.9272999999999998</v>
      </c>
      <c r="H32" s="14">
        <f>CHOOSE(CONTROL!$C$42, 4.1615, 4.1615) * CHOOSE(CONTROL!$C$21, $C$9, 100%, $E$9)</f>
        <v>4.1615000000000002</v>
      </c>
      <c r="I32" s="14">
        <f>CHOOSE(CONTROL!$C$42, 3.9472, 3.9472)* CHOOSE(CONTROL!$C$21, $C$9, 100%, $E$9)</f>
        <v>3.9472</v>
      </c>
      <c r="J32" s="14">
        <f>CHOOSE(CONTROL!$C$42, 3.9043, 3.9043)* CHOOSE(CONTROL!$C$21, $C$9, 100%, $E$9)</f>
        <v>3.9043000000000001</v>
      </c>
      <c r="K32" s="62"/>
      <c r="L32" s="14">
        <f>CHOOSE(CONTROL!$C$42, 4.7485, 4.7485) * CHOOSE(CONTROL!$C$21, $C$9, 100%, $E$9)</f>
        <v>4.7484999999999999</v>
      </c>
      <c r="M32" s="14">
        <f>CHOOSE(CONTROL!$C$42, 3.832, 3.832) * CHOOSE(CONTROL!$C$21, $C$9, 100%, $E$9)</f>
        <v>3.8319999999999999</v>
      </c>
      <c r="N32" s="14">
        <f>CHOOSE(CONTROL!$C$42, 3.8476, 3.8476) * CHOOSE(CONTROL!$C$21, $C$9, 100%, $E$9)</f>
        <v>3.8475999999999999</v>
      </c>
      <c r="O32" s="14">
        <f>CHOOSE(CONTROL!$C$42, 4.0839, 4.0839) * CHOOSE(CONTROL!$C$21, $C$9, 100%, $E$9)</f>
        <v>4.0838999999999999</v>
      </c>
      <c r="P32" s="14">
        <f>CHOOSE(CONTROL!$C$42, 3.8738, 3.8738) * CHOOSE(CONTROL!$C$21, $C$9, 100%, $E$9)</f>
        <v>3.8738000000000001</v>
      </c>
      <c r="Q32" s="14">
        <f>CHOOSE(CONTROL!$C$42, 4.6786, 4.6786) * CHOOSE(CONTROL!$C$21, $C$9, 100%, $E$9)</f>
        <v>4.6786000000000003</v>
      </c>
      <c r="R32" s="14">
        <f>CHOOSE(CONTROL!$C$42, 5.2773, 5.2773) * CHOOSE(CONTROL!$C$21, $C$9, 100%, $E$9)</f>
        <v>5.2773000000000003</v>
      </c>
      <c r="S32" s="14">
        <f>CHOOSE(CONTROL!$C$42, 3.7652, 3.7652) * CHOOSE(CONTROL!$C$21, $C$9, 100%, $E$9)</f>
        <v>3.7652000000000001</v>
      </c>
      <c r="T32" s="59">
        <f>((((430000*CHOOSE(CONTROL!$C$42, 0.4694, 0.4694)+(874000-430000)*CHOOSE(CONTROL!$C$42, 0.7185, 0.7185)+400000*CHOOSE(CONTROL!$C$42, 1.14, 1.14)+50000*0.98)*CHOOSE(CONTROL!$C$42, 31, 31))/1000000))+CHOOSE(CONTROL!$C$42, 0.1868, 0.1868)+CHOOSE(CONTROL!$C$42, 0.6257, 0.6257)</f>
        <v>32.614035999999999</v>
      </c>
      <c r="U32" s="57">
        <f>(1000*CHOOSE(CONTROL!$C$42, 695, 695)*CHOOSE(CONTROL!$C$42, 0.5599, 0.5599)*CHOOSE(CONTROL!$C$42, 31, 31))/1000000</f>
        <v>12.063045499999998</v>
      </c>
      <c r="V32" s="57">
        <f>(1000*CHOOSE(CONTROL!$C$42, 580, 580)*CHOOSE(CONTROL!$C$42, 0.275, 0.275)*CHOOSE(CONTROL!$C$42, 31, 31))/1000000</f>
        <v>4.9444999999999997</v>
      </c>
      <c r="W32" s="57">
        <f>(1000*CHOOSE(CONTROL!$C$42, 0.1146, 0.1146)*CHOOSE(CONTROL!$C$42, 200, 200)*CHOOSE(CONTROL!$C$42, 31, 31))/1000000</f>
        <v>0.71052000000000004</v>
      </c>
      <c r="X32" s="57">
        <f>31*0.1790888*145000/1000000</f>
        <v>0.80500415599999997</v>
      </c>
      <c r="Y32" s="57"/>
      <c r="Z32" s="14">
        <f>CHOOSE(CONTROL!$C$42, 3.8682, 3.8682) * CHOOSE(CONTROL!$C$21, $C$9, 100%, $E$9)</f>
        <v>3.8681999999999999</v>
      </c>
      <c r="AA32" s="61">
        <f>(31*((8.01*31500+8.07*100000)/31))/1000000</f>
        <v>1.059315</v>
      </c>
      <c r="AB32" s="50">
        <f>(B32*194.205+C32*267.466+D32*133.845+E32*213.484+F32*40+G32*25+H32*50+I32*100+J32*300)/(194.205+267.466+133.845+213.484+50+40+25+100+300)</f>
        <v>3.9955804298338369</v>
      </c>
      <c r="AC32" s="45">
        <f t="shared" si="1"/>
        <v>3.9258827338129496</v>
      </c>
    </row>
    <row r="33" spans="1:29" ht="15" x14ac:dyDescent="0.2">
      <c r="A33" s="13">
        <v>41883</v>
      </c>
      <c r="B33" s="14">
        <f>CHOOSE(CONTROL!$C$42, 3.9332, 3.9332) * CHOOSE(CONTROL!$C$21, $C$9, 100%, $E$9)</f>
        <v>3.9331999999999998</v>
      </c>
      <c r="C33" s="14">
        <f>CHOOSE(CONTROL!$C$42, 3.9412, 3.9412) * CHOOSE(CONTROL!$C$21, $C$9, 100%, $E$9)</f>
        <v>3.9411999999999998</v>
      </c>
      <c r="D33" s="14">
        <f>CHOOSE(CONTROL!$C$42, 4.1452, 4.1452) * CHOOSE(CONTROL!$C$21, $C$9, 100%, $E$9)</f>
        <v>4.1452</v>
      </c>
      <c r="E33" s="14">
        <f>CHOOSE(CONTROL!$C$42, 4.1766, 4.1766) * CHOOSE(CONTROL!$C$21, $C$9, 100%, $E$9)</f>
        <v>4.1765999999999996</v>
      </c>
      <c r="F33" s="14">
        <f>CHOOSE(CONTROL!$C$42, 3.9151, 3.9151)*CHOOSE(CONTROL!$C$21, $C$9, 100%, $E$9)</f>
        <v>3.9150999999999998</v>
      </c>
      <c r="G33" s="14">
        <f>CHOOSE(CONTROL!$C$42, 3.9311, 3.9311)*CHOOSE(CONTROL!$C$21, $C$9, 100%, $E$9)</f>
        <v>3.9310999999999998</v>
      </c>
      <c r="H33" s="14">
        <f>CHOOSE(CONTROL!$C$42, 4.1653, 4.1653) * CHOOSE(CONTROL!$C$21, $C$9, 100%, $E$9)</f>
        <v>4.1653000000000002</v>
      </c>
      <c r="I33" s="14">
        <f>CHOOSE(CONTROL!$C$42, 3.951, 3.951)* CHOOSE(CONTROL!$C$21, $C$9, 100%, $E$9)</f>
        <v>3.9510000000000001</v>
      </c>
      <c r="J33" s="14">
        <f>CHOOSE(CONTROL!$C$42, 3.9081, 3.9081)* CHOOSE(CONTROL!$C$21, $C$9, 100%, $E$9)</f>
        <v>3.9081000000000001</v>
      </c>
      <c r="K33" s="62"/>
      <c r="L33" s="14">
        <f>CHOOSE(CONTROL!$C$42, 4.7523, 4.7523) * CHOOSE(CONTROL!$C$21, $C$9, 100%, $E$9)</f>
        <v>4.7523</v>
      </c>
      <c r="M33" s="14">
        <f>CHOOSE(CONTROL!$C$42, 3.8357, 3.8357) * CHOOSE(CONTROL!$C$21, $C$9, 100%, $E$9)</f>
        <v>3.8357000000000001</v>
      </c>
      <c r="N33" s="14">
        <f>CHOOSE(CONTROL!$C$42, 3.8514, 3.8514) * CHOOSE(CONTROL!$C$21, $C$9, 100%, $E$9)</f>
        <v>3.8513999999999999</v>
      </c>
      <c r="O33" s="14">
        <f>CHOOSE(CONTROL!$C$42, 4.0876, 4.0876) * CHOOSE(CONTROL!$C$21, $C$9, 100%, $E$9)</f>
        <v>4.0876000000000001</v>
      </c>
      <c r="P33" s="14">
        <f>CHOOSE(CONTROL!$C$42, 3.8775, 3.8775) * CHOOSE(CONTROL!$C$21, $C$9, 100%, $E$9)</f>
        <v>3.8774999999999999</v>
      </c>
      <c r="Q33" s="14">
        <f>CHOOSE(CONTROL!$C$42, 4.6823, 4.6823) * CHOOSE(CONTROL!$C$21, $C$9, 100%, $E$9)</f>
        <v>4.6822999999999997</v>
      </c>
      <c r="R33" s="14">
        <f>CHOOSE(CONTROL!$C$42, 5.281, 5.281) * CHOOSE(CONTROL!$C$21, $C$9, 100%, $E$9)</f>
        <v>5.2809999999999997</v>
      </c>
      <c r="S33" s="14">
        <f>CHOOSE(CONTROL!$C$42, 3.7688, 3.7688) * CHOOSE(CONTROL!$C$21, $C$9, 100%, $E$9)</f>
        <v>3.7688000000000001</v>
      </c>
      <c r="T33" s="59">
        <f>((((430000*CHOOSE(CONTROL!$C$42, 0.4694, 0.4694)+(874000-430000)*CHOOSE(CONTROL!$C$42, 0.7185, 0.7185)+400000*CHOOSE(CONTROL!$C$42, 1.14, 1.14)+50000*0.98)*CHOOSE(CONTROL!$C$42, 30, 30))/1000000))+CHOOSE(CONTROL!$C$42, 0.1677, 0.1677)+CHOOSE(CONTROL!$C$42, 0.1997, 0.1997)</f>
        <v>31.143080000000001</v>
      </c>
      <c r="U33" s="57">
        <f>(1000*CHOOSE(CONTROL!$C$42, 695, 695)*CHOOSE(CONTROL!$C$42, 0.5599, 0.5599)*CHOOSE(CONTROL!$C$42, 30, 30))/1000000</f>
        <v>11.673914999999997</v>
      </c>
      <c r="V33" s="57">
        <f>(1000*CHOOSE(CONTROL!$C$42, 580, 580)*CHOOSE(CONTROL!$C$42, 0.275, 0.275)*CHOOSE(CONTROL!$C$42, 30, 30))/1000000</f>
        <v>4.7850000000000001</v>
      </c>
      <c r="W33" s="57">
        <f>(1000*CHOOSE(CONTROL!$C$42, 0.1146, 0.1146)*CHOOSE(CONTROL!$C$42, 200, 200)*CHOOSE(CONTROL!$C$42, 30, 30))/1000000</f>
        <v>0.68759999999999999</v>
      </c>
      <c r="X33" s="57">
        <f>30*0.1790888*145000/1000000</f>
        <v>0.77903627999999991</v>
      </c>
      <c r="Y33" s="57"/>
      <c r="Z33" s="14">
        <f>CHOOSE(CONTROL!$C$42, 3.8719, 3.8719) * CHOOSE(CONTROL!$C$21, $C$9, 100%, $E$9)</f>
        <v>3.8719000000000001</v>
      </c>
      <c r="AA33" s="61">
        <f>(30*((8.01*31500+8.07*100000)/30))/1000000</f>
        <v>1.059315</v>
      </c>
      <c r="AB33" s="50">
        <f>(B33*194.205+C33*267.466+D33*133.845+E33*213.484+F33*40+G33*25+H33*50+I33*100+J33*300)/(194.205+267.466+133.845+213.484+50+40+25+100+300)</f>
        <v>3.9993294362537766</v>
      </c>
      <c r="AC33" s="45">
        <f t="shared" si="1"/>
        <v>3.9296000000000002</v>
      </c>
    </row>
    <row r="34" spans="1:29" ht="15" x14ac:dyDescent="0.2">
      <c r="A34" s="13">
        <v>41913</v>
      </c>
      <c r="B34" s="14">
        <f>CHOOSE(CONTROL!$C$42, 3.9564, 3.9564) * CHOOSE(CONTROL!$C$21, $C$9, 100%, $E$9)</f>
        <v>3.9563999999999999</v>
      </c>
      <c r="C34" s="14">
        <f>CHOOSE(CONTROL!$C$42, 3.9618, 3.9618) * CHOOSE(CONTROL!$C$21, $C$9, 100%, $E$9)</f>
        <v>3.9618000000000002</v>
      </c>
      <c r="D34" s="14">
        <f>CHOOSE(CONTROL!$C$42, 4.1707, 4.1707) * CHOOSE(CONTROL!$C$21, $C$9, 100%, $E$9)</f>
        <v>4.1707000000000001</v>
      </c>
      <c r="E34" s="14">
        <f>CHOOSE(CONTROL!$C$42, 4.1998, 4.1998) * CHOOSE(CONTROL!$C$21, $C$9, 100%, $E$9)</f>
        <v>4.1997999999999998</v>
      </c>
      <c r="F34" s="14">
        <f>CHOOSE(CONTROL!$C$42, 3.9404, 3.9404)*CHOOSE(CONTROL!$C$21, $C$9, 100%, $E$9)</f>
        <v>3.9403999999999999</v>
      </c>
      <c r="G34" s="14">
        <f>CHOOSE(CONTROL!$C$42, 3.9561, 3.9561)*CHOOSE(CONTROL!$C$21, $C$9, 100%, $E$9)</f>
        <v>3.9561000000000002</v>
      </c>
      <c r="H34" s="14">
        <f>CHOOSE(CONTROL!$C$42, 4.1902, 4.1902) * CHOOSE(CONTROL!$C$21, $C$9, 100%, $E$9)</f>
        <v>4.1901999999999999</v>
      </c>
      <c r="I34" s="14">
        <f>CHOOSE(CONTROL!$C$42, 3.976, 3.976)* CHOOSE(CONTROL!$C$21, $C$9, 100%, $E$9)</f>
        <v>3.976</v>
      </c>
      <c r="J34" s="14">
        <f>CHOOSE(CONTROL!$C$42, 3.9334, 3.9334)* CHOOSE(CONTROL!$C$21, $C$9, 100%, $E$9)</f>
        <v>3.9333999999999998</v>
      </c>
      <c r="K34" s="62"/>
      <c r="L34" s="14">
        <f>CHOOSE(CONTROL!$C$42, 4.7772, 4.7772) * CHOOSE(CONTROL!$C$21, $C$9, 100%, $E$9)</f>
        <v>4.7771999999999997</v>
      </c>
      <c r="M34" s="14">
        <f>CHOOSE(CONTROL!$C$42, 3.8605, 3.8605) * CHOOSE(CONTROL!$C$21, $C$9, 100%, $E$9)</f>
        <v>3.8605</v>
      </c>
      <c r="N34" s="14">
        <f>CHOOSE(CONTROL!$C$42, 3.8759, 3.8759) * CHOOSE(CONTROL!$C$21, $C$9, 100%, $E$9)</f>
        <v>3.8759000000000001</v>
      </c>
      <c r="O34" s="14">
        <f>CHOOSE(CONTROL!$C$42, 4.1121, 4.1121) * CHOOSE(CONTROL!$C$21, $C$9, 100%, $E$9)</f>
        <v>4.1120999999999999</v>
      </c>
      <c r="P34" s="14">
        <f>CHOOSE(CONTROL!$C$42, 3.9021, 3.9021) * CHOOSE(CONTROL!$C$21, $C$9, 100%, $E$9)</f>
        <v>3.9020999999999999</v>
      </c>
      <c r="Q34" s="14">
        <f>CHOOSE(CONTROL!$C$42, 4.7068, 4.7068) * CHOOSE(CONTROL!$C$21, $C$9, 100%, $E$9)</f>
        <v>4.7068000000000003</v>
      </c>
      <c r="R34" s="14">
        <f>CHOOSE(CONTROL!$C$42, 5.3056, 5.3056) * CHOOSE(CONTROL!$C$21, $C$9, 100%, $E$9)</f>
        <v>5.3056000000000001</v>
      </c>
      <c r="S34" s="14">
        <f>CHOOSE(CONTROL!$C$42, 3.7928, 3.7928) * CHOOSE(CONTROL!$C$21, $C$9, 100%, $E$9)</f>
        <v>3.7928000000000002</v>
      </c>
      <c r="T3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4" s="57">
        <f>(1000*CHOOSE(CONTROL!$C$42, 695, 695)*CHOOSE(CONTROL!$C$42, 0.5599, 0.5599)*CHOOSE(CONTROL!$C$42, 31, 31))/1000000</f>
        <v>12.063045499999998</v>
      </c>
      <c r="V34" s="57">
        <f>(1000*CHOOSE(CONTROL!$C$42, 580, 580)*CHOOSE(CONTROL!$C$42, 0.275, 0.275)*CHOOSE(CONTROL!$C$42, 31, 31))/1000000</f>
        <v>4.9444999999999997</v>
      </c>
      <c r="W34" s="57">
        <f>(1000*CHOOSE(CONTROL!$C$42, 0.1146, 0.1146)*CHOOSE(CONTROL!$C$42, 200, 200)*CHOOSE(CONTROL!$C$42, 31, 31))/1000000</f>
        <v>0.71052000000000004</v>
      </c>
      <c r="X34" s="57">
        <f>31*0.1790888*145000/1000000</f>
        <v>0.80500415599999997</v>
      </c>
      <c r="Y34" s="57"/>
      <c r="Z34" s="14">
        <f>CHOOSE(CONTROL!$C$42, 3.8965, 3.8965) * CHOOSE(CONTROL!$C$21, $C$9, 100%, $E$9)</f>
        <v>3.8965000000000001</v>
      </c>
      <c r="AA34" s="61">
        <f>(31*((8.01*31500+8.07*100000)/31))/1000000</f>
        <v>1.059315</v>
      </c>
      <c r="AB34" s="50">
        <f>(B34*131.881+C34*277.167+D34*79.08+E34*285.872+F34*40+G34*25+H34*0+I34*100+J34*300)/(131.881+277.167+79.08+285.872+0+40+25+100+300)</f>
        <v>4.0229353435028248</v>
      </c>
      <c r="AC34" s="45">
        <f t="shared" si="1"/>
        <v>3.9542179856115105</v>
      </c>
    </row>
    <row r="35" spans="1:29" ht="15" x14ac:dyDescent="0.2">
      <c r="A35" s="13">
        <v>41944</v>
      </c>
      <c r="B35" s="14">
        <f>CHOOSE(CONTROL!$C$42, 4.0434, 4.0434) * CHOOSE(CONTROL!$C$21, $C$9, 100%, $E$9)</f>
        <v>4.0434000000000001</v>
      </c>
      <c r="C35" s="14">
        <f>CHOOSE(CONTROL!$C$42, 4.0485, 4.0485) * CHOOSE(CONTROL!$C$21, $C$9, 100%, $E$9)</f>
        <v>4.0484999999999998</v>
      </c>
      <c r="D35" s="14">
        <f>CHOOSE(CONTROL!$C$42, 4.1123, 4.1123) * CHOOSE(CONTROL!$C$21, $C$9, 100%, $E$9)</f>
        <v>4.1123000000000003</v>
      </c>
      <c r="E35" s="14">
        <f>CHOOSE(CONTROL!$C$42, 4.1464, 4.1464) * CHOOSE(CONTROL!$C$21, $C$9, 100%, $E$9)</f>
        <v>4.1463999999999999</v>
      </c>
      <c r="F35" s="14">
        <f>CHOOSE(CONTROL!$C$42, 4.0458, 4.0458)*CHOOSE(CONTROL!$C$21, $C$9, 100%, $E$9)</f>
        <v>4.0457999999999998</v>
      </c>
      <c r="G35" s="14">
        <f>CHOOSE(CONTROL!$C$42, 4.0618, 4.0618)*CHOOSE(CONTROL!$C$21, $C$9, 100%, $E$9)</f>
        <v>4.0617999999999999</v>
      </c>
      <c r="H35" s="14">
        <f>CHOOSE(CONTROL!$C$42, 4.1356, 4.1356) * CHOOSE(CONTROL!$C$21, $C$9, 100%, $E$9)</f>
        <v>4.1356000000000002</v>
      </c>
      <c r="I35" s="14">
        <f>CHOOSE(CONTROL!$C$42, 4.0689, 4.0689)* CHOOSE(CONTROL!$C$21, $C$9, 100%, $E$9)</f>
        <v>4.0689000000000002</v>
      </c>
      <c r="J35" s="14">
        <f>CHOOSE(CONTROL!$C$42, 4.0388, 4.0388)* CHOOSE(CONTROL!$C$21, $C$9, 100%, $E$9)</f>
        <v>4.0388000000000002</v>
      </c>
      <c r="K35" s="62"/>
      <c r="L35" s="14">
        <f>CHOOSE(CONTROL!$C$42, 4.7226, 4.7226) * CHOOSE(CONTROL!$C$21, $C$9, 100%, $E$9)</f>
        <v>4.7225999999999999</v>
      </c>
      <c r="M35" s="14">
        <f>CHOOSE(CONTROL!$C$42, 3.9638, 3.9638) * CHOOSE(CONTROL!$C$21, $C$9, 100%, $E$9)</f>
        <v>3.9638</v>
      </c>
      <c r="N35" s="14">
        <f>CHOOSE(CONTROL!$C$42, 3.9794, 3.9794) * CHOOSE(CONTROL!$C$21, $C$9, 100%, $E$9)</f>
        <v>3.9794</v>
      </c>
      <c r="O35" s="14">
        <f>CHOOSE(CONTROL!$C$42, 4.0586, 4.0586) * CHOOSE(CONTROL!$C$21, $C$9, 100%, $E$9)</f>
        <v>4.0586000000000002</v>
      </c>
      <c r="P35" s="14">
        <f>CHOOSE(CONTROL!$C$42, 3.9931, 3.9931) * CHOOSE(CONTROL!$C$21, $C$9, 100%, $E$9)</f>
        <v>3.9931000000000001</v>
      </c>
      <c r="Q35" s="14">
        <f>CHOOSE(CONTROL!$C$42, 4.6533, 4.6533) * CHOOSE(CONTROL!$C$21, $C$9, 100%, $E$9)</f>
        <v>4.6532999999999998</v>
      </c>
      <c r="R35" s="14">
        <f>CHOOSE(CONTROL!$C$42, 5.2519, 5.2519) * CHOOSE(CONTROL!$C$21, $C$9, 100%, $E$9)</f>
        <v>5.2519</v>
      </c>
      <c r="S35" s="14">
        <f>CHOOSE(CONTROL!$C$42, 3.8768, 3.8768) * CHOOSE(CONTROL!$C$21, $C$9, 100%, $E$9)</f>
        <v>3.8767999999999998</v>
      </c>
      <c r="T3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5" s="57">
        <f>(1000*CHOOSE(CONTROL!$C$42, 695, 695)*CHOOSE(CONTROL!$C$42, 0.5599, 0.5599)*CHOOSE(CONTROL!$C$42, 30, 30))/1000000</f>
        <v>11.673914999999997</v>
      </c>
      <c r="V35" s="57">
        <f>(1000*CHOOSE(CONTROL!$C$42, 580, 580)*CHOOSE(CONTROL!$C$42, 0.275, 0.275)*CHOOSE(CONTROL!$C$42, 30, 30))/1000000</f>
        <v>4.7850000000000001</v>
      </c>
      <c r="W35" s="57">
        <f>(1000*CHOOSE(CONTROL!$C$42, 0.1146, 0.1146)*CHOOSE(CONTROL!$C$42, 200, 200)*CHOOSE(CONTROL!$C$42, 30, 30))/1000000</f>
        <v>0.68759999999999999</v>
      </c>
      <c r="X35" s="57">
        <v>0</v>
      </c>
      <c r="Y35" s="57"/>
      <c r="Z35" s="14">
        <f>CHOOSE(CONTROL!$C$42, 3.9809, 3.9809) * CHOOSE(CONTROL!$C$21, $C$9, 100%, $E$9)</f>
        <v>3.9809000000000001</v>
      </c>
      <c r="AA35" s="61">
        <f>(30*((8.01*31500+8.07*100000)/30))/1000000</f>
        <v>1.059315</v>
      </c>
      <c r="AB35" s="50">
        <f>(B35*122.58+C35*297.941+D35*89.177+E35*200.302+F35*40+G35*0+H35*0+I35*100+J35*300)/(122.58+297.941+89.177+200.302+0+40+0+100+300)</f>
        <v>4.0691051307826083</v>
      </c>
      <c r="AC35" s="45">
        <f>(M35*240+N35*0+O35*355+P35*100)/(240+0+355+100)</f>
        <v>4.0164388489208633</v>
      </c>
    </row>
    <row r="36" spans="1:29" ht="15" x14ac:dyDescent="0.2">
      <c r="A36" s="13">
        <v>41974</v>
      </c>
      <c r="B36" s="14">
        <f>CHOOSE(CONTROL!$C$42, 4.2183, 4.2183) * CHOOSE(CONTROL!$C$21, $C$9, 100%, $E$9)</f>
        <v>4.2183000000000002</v>
      </c>
      <c r="C36" s="14">
        <f>CHOOSE(CONTROL!$C$42, 4.2233, 4.2233) * CHOOSE(CONTROL!$C$21, $C$9, 100%, $E$9)</f>
        <v>4.2233000000000001</v>
      </c>
      <c r="D36" s="14">
        <f>CHOOSE(CONTROL!$C$42, 4.2871, 4.2871) * CHOOSE(CONTROL!$C$21, $C$9, 100%, $E$9)</f>
        <v>4.2870999999999997</v>
      </c>
      <c r="E36" s="14">
        <f>CHOOSE(CONTROL!$C$42, 4.3213, 4.3213) * CHOOSE(CONTROL!$C$21, $C$9, 100%, $E$9)</f>
        <v>4.3212999999999999</v>
      </c>
      <c r="F36" s="14">
        <f>CHOOSE(CONTROL!$C$42, 4.2229, 4.2229)*CHOOSE(CONTROL!$C$21, $C$9, 100%, $E$9)</f>
        <v>4.2229000000000001</v>
      </c>
      <c r="G36" s="14">
        <f>CHOOSE(CONTROL!$C$42, 4.2395, 4.2395)*CHOOSE(CONTROL!$C$21, $C$9, 100%, $E$9)</f>
        <v>4.2394999999999996</v>
      </c>
      <c r="H36" s="14">
        <f>CHOOSE(CONTROL!$C$42, 4.3104, 4.3104) * CHOOSE(CONTROL!$C$21, $C$9, 100%, $E$9)</f>
        <v>4.3103999999999996</v>
      </c>
      <c r="I36" s="14">
        <f>CHOOSE(CONTROL!$C$42, 4.2443, 4.2443)* CHOOSE(CONTROL!$C$21, $C$9, 100%, $E$9)</f>
        <v>4.2443</v>
      </c>
      <c r="J36" s="14">
        <f>CHOOSE(CONTROL!$C$42, 4.2159, 4.2159)* CHOOSE(CONTROL!$C$21, $C$9, 100%, $E$9)</f>
        <v>4.2159000000000004</v>
      </c>
      <c r="K36" s="62"/>
      <c r="L36" s="14">
        <f>CHOOSE(CONTROL!$C$42, 4.8974, 4.8974) * CHOOSE(CONTROL!$C$21, $C$9, 100%, $E$9)</f>
        <v>4.8974000000000002</v>
      </c>
      <c r="M36" s="14">
        <f>CHOOSE(CONTROL!$C$42, 4.1372, 4.1372) * CHOOSE(CONTROL!$C$21, $C$9, 100%, $E$9)</f>
        <v>4.1372</v>
      </c>
      <c r="N36" s="14">
        <f>CHOOSE(CONTROL!$C$42, 4.1535, 4.1535) * CHOOSE(CONTROL!$C$21, $C$9, 100%, $E$9)</f>
        <v>4.1535000000000002</v>
      </c>
      <c r="O36" s="14">
        <f>CHOOSE(CONTROL!$C$42, 4.2298, 4.2298) * CHOOSE(CONTROL!$C$21, $C$9, 100%, $E$9)</f>
        <v>4.2298</v>
      </c>
      <c r="P36" s="14">
        <f>CHOOSE(CONTROL!$C$42, 4.1649, 4.1649) * CHOOSE(CONTROL!$C$21, $C$9, 100%, $E$9)</f>
        <v>4.1649000000000003</v>
      </c>
      <c r="Q36" s="14">
        <f>CHOOSE(CONTROL!$C$42, 4.8245, 4.8245) * CHOOSE(CONTROL!$C$21, $C$9, 100%, $E$9)</f>
        <v>4.8244999999999996</v>
      </c>
      <c r="R36" s="14">
        <f>CHOOSE(CONTROL!$C$42, 5.4236, 5.4236) * CHOOSE(CONTROL!$C$21, $C$9, 100%, $E$9)</f>
        <v>5.4236000000000004</v>
      </c>
      <c r="S36" s="14">
        <f>CHOOSE(CONTROL!$C$42, 4.0448, 4.0448) * CHOOSE(CONTROL!$C$21, $C$9, 100%, $E$9)</f>
        <v>4.0448000000000004</v>
      </c>
      <c r="T3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6" s="57">
        <f>(1000*CHOOSE(CONTROL!$C$42, 695, 695)*CHOOSE(CONTROL!$C$42, 0.5599, 0.5599)*CHOOSE(CONTROL!$C$42, 31, 31))/1000000</f>
        <v>12.063045499999998</v>
      </c>
      <c r="V36" s="57">
        <f>(1000*CHOOSE(CONTROL!$C$42, 580, 580)*CHOOSE(CONTROL!$C$42, 0.275, 0.275)*CHOOSE(CONTROL!$C$42, 31, 31))/1000000</f>
        <v>4.9444999999999997</v>
      </c>
      <c r="W36" s="57">
        <f>(1000*CHOOSE(CONTROL!$C$42, 0.1146, 0.1146)*CHOOSE(CONTROL!$C$42, 200, 200)*CHOOSE(CONTROL!$C$42, 31, 31))/1000000</f>
        <v>0.71052000000000004</v>
      </c>
      <c r="X36" s="57">
        <v>0</v>
      </c>
      <c r="Y36" s="57"/>
      <c r="Z36" s="14">
        <f>CHOOSE(CONTROL!$C$42, 4.1529, 4.1529) * CHOOSE(CONTROL!$C$21, $C$9, 100%, $E$9)</f>
        <v>4.1528999999999998</v>
      </c>
      <c r="AA36" s="61">
        <f>(31*((8.01*31500+8.07*100000)/31))/1000000</f>
        <v>1.059315</v>
      </c>
      <c r="AB36" s="50">
        <f>(B36*122.58+C36*297.941+D36*89.177+E36*200.302+F36*40+G36*0+H36*0+I36*100+J36*300)/(122.58+297.941+89.177+200.302+0+40+0+100+300)</f>
        <v>4.2446653813913038</v>
      </c>
      <c r="AC36" s="45">
        <f>(M36*240+N36*0+O36*355+P36*100)/(240+0+355+100)</f>
        <v>4.1884848920863318</v>
      </c>
    </row>
    <row r="37" spans="1:29" ht="15.75" x14ac:dyDescent="0.25">
      <c r="A37" s="13">
        <v>42005</v>
      </c>
      <c r="B37" s="14">
        <f>CHOOSE(CONTROL!$C$42, 4.3088, 4.3088) * CHOOSE(CONTROL!$C$21, $C$9, 100%, $E$9)</f>
        <v>4.3087999999999997</v>
      </c>
      <c r="C37" s="14">
        <f>CHOOSE(CONTROL!$C$42, 4.3139, 4.3139) * CHOOSE(CONTROL!$C$21, $C$9, 100%, $E$9)</f>
        <v>4.3139000000000003</v>
      </c>
      <c r="D37" s="14">
        <f>CHOOSE(CONTROL!$C$42, 4.3803, 4.3803) * CHOOSE(CONTROL!$C$21, $C$9, 100%, $E$9)</f>
        <v>4.3803000000000001</v>
      </c>
      <c r="E37" s="14">
        <f>CHOOSE(CONTROL!$C$42, 4.4144, 4.4144) * CHOOSE(CONTROL!$C$21, $C$9, 100%, $E$9)</f>
        <v>4.4143999999999997</v>
      </c>
      <c r="F37" s="14">
        <f>CHOOSE(CONTROL!$C$42, 4.2961, 4.2961)*CHOOSE(CONTROL!$C$21, $C$9, 100%, $E$9)</f>
        <v>4.2961</v>
      </c>
      <c r="G37" s="14">
        <f>CHOOSE(CONTROL!$C$42, 4.3116, 4.3116)*CHOOSE(CONTROL!$C$21, $C$9, 100%, $E$9)</f>
        <v>4.3116000000000003</v>
      </c>
      <c r="H37" s="14">
        <f>CHOOSE(CONTROL!$C$42, 4.4036, 4.4036) * CHOOSE(CONTROL!$C$21, $C$9, 100%, $E$9)</f>
        <v>4.4036</v>
      </c>
      <c r="I37" s="14">
        <f>CHOOSE(CONTROL!$C$42, 4.3299, 4.3299)* CHOOSE(CONTROL!$C$21, $C$9, 100%, $E$9)</f>
        <v>4.3299000000000003</v>
      </c>
      <c r="J37" s="14">
        <f>CHOOSE(CONTROL!$C$42, 4.2891, 4.2891)* CHOOSE(CONTROL!$C$21, $C$9, 100%, $E$9)</f>
        <v>4.2891000000000004</v>
      </c>
      <c r="K37" s="53"/>
      <c r="L37" s="14">
        <f>CHOOSE(CONTROL!$C$42, 4.9906, 4.9906) * CHOOSE(CONTROL!$C$21, $C$9, 100%, $E$9)</f>
        <v>4.9905999999999997</v>
      </c>
      <c r="M37" s="14">
        <f>CHOOSE(CONTROL!$C$42, 4.2089, 4.2089) * CHOOSE(CONTROL!$C$21, $C$9, 100%, $E$9)</f>
        <v>4.2088999999999999</v>
      </c>
      <c r="N37" s="14">
        <f>CHOOSE(CONTROL!$C$42, 4.2241, 4.2241) * CHOOSE(CONTROL!$C$21, $C$9, 100%, $E$9)</f>
        <v>4.2241</v>
      </c>
      <c r="O37" s="14">
        <f>CHOOSE(CONTROL!$C$42, 4.3211, 4.3211) * CHOOSE(CONTROL!$C$21, $C$9, 100%, $E$9)</f>
        <v>4.3211000000000004</v>
      </c>
      <c r="P37" s="14">
        <f>CHOOSE(CONTROL!$C$42, 4.2487, 4.2487) * CHOOSE(CONTROL!$C$21, $C$9, 100%, $E$9)</f>
        <v>4.2487000000000004</v>
      </c>
      <c r="Q37" s="14">
        <f>CHOOSE(CONTROL!$C$42, 4.9158, 4.9158) * CHOOSE(CONTROL!$C$21, $C$9, 100%, $E$9)</f>
        <v>4.9157999999999999</v>
      </c>
      <c r="R37" s="14">
        <f>CHOOSE(CONTROL!$C$42, 5.515, 5.515) * CHOOSE(CONTROL!$C$21, $C$9, 100%, $E$9)</f>
        <v>5.5149999999999997</v>
      </c>
      <c r="S37" s="14">
        <f>CHOOSE(CONTROL!$C$42, 4.1318, 4.1318) * CHOOSE(CONTROL!$C$21, $C$9, 100%, $E$9)</f>
        <v>4.1318000000000001</v>
      </c>
      <c r="T3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7" s="57">
        <f>(1000*CHOOSE(CONTROL!$C$42, 695, 695)*CHOOSE(CONTROL!$C$42, 0.5599, 0.5599)*CHOOSE(CONTROL!$C$42, 31, 31))/1000000</f>
        <v>12.063045499999998</v>
      </c>
      <c r="V37" s="57">
        <f>(1000*CHOOSE(CONTROL!$C$42, 580, 580)*CHOOSE(CONTROL!$C$42, 0.275, 0.275)*CHOOSE(CONTROL!$C$42, 31, 31))/1000000</f>
        <v>4.9444999999999997</v>
      </c>
      <c r="W37" s="57">
        <f>(1000*CHOOSE(CONTROL!$C$42, 0.1146, 0.1146)*CHOOSE(CONTROL!$C$42, 200, 200)*CHOOSE(CONTROL!$C$42, 31, 31))/1000000</f>
        <v>0.71052000000000004</v>
      </c>
      <c r="X37" s="57">
        <v>0</v>
      </c>
      <c r="Y37" s="57"/>
      <c r="Z37" s="14">
        <f>CHOOSE(CONTROL!$C$42, 4.242, 4.242) * CHOOSE(CONTROL!$C$21, $C$9, 100%, $E$9)</f>
        <v>4.242</v>
      </c>
      <c r="AA37" s="61">
        <f>(31*((8.01*31500+8.07*100000)/31))/1000000</f>
        <v>1.059315</v>
      </c>
      <c r="AB37" s="50">
        <f>(B37*122.58+C37*297.941+D37*89.177+E37*200.302+F37*40+G37*0+H37*0+I37*100+J37*300)/(122.58+297.941+89.177+200.302+0+40+0+100+300)</f>
        <v>4.3303126485217387</v>
      </c>
      <c r="AC37" s="45">
        <f>(M37*240+N37*0+O37*355+P37*100)/(240+0+355+100)</f>
        <v>4.2719374100719429</v>
      </c>
    </row>
    <row r="38" spans="1:29" ht="15.75" x14ac:dyDescent="0.25">
      <c r="A38" s="13">
        <v>42036</v>
      </c>
      <c r="B38" s="14">
        <f>CHOOSE(CONTROL!$C$42, 4.2932, 4.2932) * CHOOSE(CONTROL!$C$21, $C$9, 100%, $E$9)</f>
        <v>4.2931999999999997</v>
      </c>
      <c r="C38" s="14">
        <f>CHOOSE(CONTROL!$C$42, 4.2983, 4.2983) * CHOOSE(CONTROL!$C$21, $C$9, 100%, $E$9)</f>
        <v>4.2983000000000002</v>
      </c>
      <c r="D38" s="14">
        <f>CHOOSE(CONTROL!$C$42, 4.3647, 4.3647) * CHOOSE(CONTROL!$C$21, $C$9, 100%, $E$9)</f>
        <v>4.3647</v>
      </c>
      <c r="E38" s="14">
        <f>CHOOSE(CONTROL!$C$42, 4.3988, 4.3988) * CHOOSE(CONTROL!$C$21, $C$9, 100%, $E$9)</f>
        <v>4.3987999999999996</v>
      </c>
      <c r="F38" s="14">
        <f>CHOOSE(CONTROL!$C$42, 4.2806, 4.2806)*CHOOSE(CONTROL!$C$21, $C$9, 100%, $E$9)</f>
        <v>4.2805999999999997</v>
      </c>
      <c r="G38" s="14">
        <f>CHOOSE(CONTROL!$C$42, 4.2961, 4.2961)*CHOOSE(CONTROL!$C$21, $C$9, 100%, $E$9)</f>
        <v>4.2961</v>
      </c>
      <c r="H38" s="14">
        <f>CHOOSE(CONTROL!$C$42, 4.388, 4.388) * CHOOSE(CONTROL!$C$21, $C$9, 100%, $E$9)</f>
        <v>4.3879999999999999</v>
      </c>
      <c r="I38" s="14">
        <f>CHOOSE(CONTROL!$C$42, 4.3143, 4.3143)* CHOOSE(CONTROL!$C$21, $C$9, 100%, $E$9)</f>
        <v>4.3143000000000002</v>
      </c>
      <c r="J38" s="14">
        <f>CHOOSE(CONTROL!$C$42, 4.2736, 4.2736)* CHOOSE(CONTROL!$C$21, $C$9, 100%, $E$9)</f>
        <v>4.2736000000000001</v>
      </c>
      <c r="K38" s="53"/>
      <c r="L38" s="14">
        <f>CHOOSE(CONTROL!$C$42, 4.975, 4.975) * CHOOSE(CONTROL!$C$21, $C$9, 100%, $E$9)</f>
        <v>4.9749999999999996</v>
      </c>
      <c r="M38" s="14">
        <f>CHOOSE(CONTROL!$C$42, 4.1937, 4.1937) * CHOOSE(CONTROL!$C$21, $C$9, 100%, $E$9)</f>
        <v>4.1936999999999998</v>
      </c>
      <c r="N38" s="14">
        <f>CHOOSE(CONTROL!$C$42, 4.2089, 4.2089) * CHOOSE(CONTROL!$C$21, $C$9, 100%, $E$9)</f>
        <v>4.2088999999999999</v>
      </c>
      <c r="O38" s="14">
        <f>CHOOSE(CONTROL!$C$42, 4.3058, 4.3058) * CHOOSE(CONTROL!$C$21, $C$9, 100%, $E$9)</f>
        <v>4.3057999999999996</v>
      </c>
      <c r="P38" s="14">
        <f>CHOOSE(CONTROL!$C$42, 4.2334, 4.2334) * CHOOSE(CONTROL!$C$21, $C$9, 100%, $E$9)</f>
        <v>4.2333999999999996</v>
      </c>
      <c r="Q38" s="14">
        <f>CHOOSE(CONTROL!$C$42, 4.9005, 4.9005) * CHOOSE(CONTROL!$C$21, $C$9, 100%, $E$9)</f>
        <v>4.9005000000000001</v>
      </c>
      <c r="R38" s="14">
        <f>CHOOSE(CONTROL!$C$42, 5.4997, 5.4997) * CHOOSE(CONTROL!$C$21, $C$9, 100%, $E$9)</f>
        <v>5.4996999999999998</v>
      </c>
      <c r="S38" s="14">
        <f>CHOOSE(CONTROL!$C$42, 4.1168, 4.1168) * CHOOSE(CONTROL!$C$21, $C$9, 100%, $E$9)</f>
        <v>4.1167999999999996</v>
      </c>
      <c r="T3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8" s="57">
        <f>(1000*CHOOSE(CONTROL!$C$42, 695, 695)*CHOOSE(CONTROL!$C$42, 0.5599, 0.5599)*CHOOSE(CONTROL!$C$42, 28, 28))/1000000</f>
        <v>10.895653999999999</v>
      </c>
      <c r="V38" s="57">
        <f>(1000*CHOOSE(CONTROL!$C$42, 580, 580)*CHOOSE(CONTROL!$C$42, 0.275, 0.275)*CHOOSE(CONTROL!$C$42, 28, 28))/1000000</f>
        <v>4.4660000000000002</v>
      </c>
      <c r="W38" s="57">
        <f>(1000*CHOOSE(CONTROL!$C$42, 0.1146, 0.1146)*CHOOSE(CONTROL!$C$42, 200, 200)*CHOOSE(CONTROL!$C$42, 28, 28))/1000000</f>
        <v>0.64176</v>
      </c>
      <c r="X38" s="57">
        <v>0</v>
      </c>
      <c r="Y38" s="57"/>
      <c r="Z38" s="14">
        <f>CHOOSE(CONTROL!$C$42, 4.2266, 4.2266) * CHOOSE(CONTROL!$C$21, $C$9, 100%, $E$9)</f>
        <v>4.2266000000000004</v>
      </c>
      <c r="AA38" s="61">
        <f>(28*((8.01*31500+8.07*100000)/28))/1000000</f>
        <v>1.059315</v>
      </c>
      <c r="AB38" s="50">
        <f>(B38*122.58+C38*297.941+D38*89.177+E38*200.302+F38*40+G38*0+H38*0+I38*100+J38*300)/(122.58+297.941+89.177+200.302+0+40+0+100+300)</f>
        <v>4.3147422137391294</v>
      </c>
      <c r="AC38" s="45">
        <f>(M38*240+N38*0+O38*355+P38*100)/(240+0+355+100)</f>
        <v>4.2566719424460437</v>
      </c>
    </row>
    <row r="39" spans="1:29" ht="15.75" x14ac:dyDescent="0.25">
      <c r="A39" s="13">
        <v>42064</v>
      </c>
      <c r="B39" s="14">
        <f>CHOOSE(CONTROL!$C$42, 4.238, 4.238) * CHOOSE(CONTROL!$C$21, $C$9, 100%, $E$9)</f>
        <v>4.2380000000000004</v>
      </c>
      <c r="C39" s="14">
        <f>CHOOSE(CONTROL!$C$42, 4.2431, 4.2431) * CHOOSE(CONTROL!$C$21, $C$9, 100%, $E$9)</f>
        <v>4.2431000000000001</v>
      </c>
      <c r="D39" s="14">
        <f>CHOOSE(CONTROL!$C$42, 4.3095, 4.3095) * CHOOSE(CONTROL!$C$21, $C$9, 100%, $E$9)</f>
        <v>4.3094999999999999</v>
      </c>
      <c r="E39" s="14">
        <f>CHOOSE(CONTROL!$C$42, 4.3436, 4.3436) * CHOOSE(CONTROL!$C$21, $C$9, 100%, $E$9)</f>
        <v>4.3436000000000003</v>
      </c>
      <c r="F39" s="14">
        <f>CHOOSE(CONTROL!$C$42, 4.225, 4.225)*CHOOSE(CONTROL!$C$21, $C$9, 100%, $E$9)</f>
        <v>4.2249999999999996</v>
      </c>
      <c r="G39" s="14">
        <f>CHOOSE(CONTROL!$C$42, 4.2404, 4.2404)*CHOOSE(CONTROL!$C$21, $C$9, 100%, $E$9)</f>
        <v>4.2404000000000002</v>
      </c>
      <c r="H39" s="14">
        <f>CHOOSE(CONTROL!$C$42, 4.3328, 4.3328) * CHOOSE(CONTROL!$C$21, $C$9, 100%, $E$9)</f>
        <v>4.3327999999999998</v>
      </c>
      <c r="I39" s="14">
        <f>CHOOSE(CONTROL!$C$42, 4.2589, 4.2589)* CHOOSE(CONTROL!$C$21, $C$9, 100%, $E$9)</f>
        <v>4.2588999999999997</v>
      </c>
      <c r="J39" s="14">
        <f>CHOOSE(CONTROL!$C$42, 4.218, 4.218)* CHOOSE(CONTROL!$C$21, $C$9, 100%, $E$9)</f>
        <v>4.218</v>
      </c>
      <c r="K39" s="53"/>
      <c r="L39" s="14">
        <f>CHOOSE(CONTROL!$C$42, 4.9198, 4.9198) * CHOOSE(CONTROL!$C$21, $C$9, 100%, $E$9)</f>
        <v>4.9198000000000004</v>
      </c>
      <c r="M39" s="14">
        <f>CHOOSE(CONTROL!$C$42, 4.1393, 4.1393) * CHOOSE(CONTROL!$C$21, $C$9, 100%, $E$9)</f>
        <v>4.1393000000000004</v>
      </c>
      <c r="N39" s="14">
        <f>CHOOSE(CONTROL!$C$42, 4.1544, 4.1544) * CHOOSE(CONTROL!$C$21, $C$9, 100%, $E$9)</f>
        <v>4.1543999999999999</v>
      </c>
      <c r="O39" s="14">
        <f>CHOOSE(CONTROL!$C$42, 4.2517, 4.2517) * CHOOSE(CONTROL!$C$21, $C$9, 100%, $E$9)</f>
        <v>4.2516999999999996</v>
      </c>
      <c r="P39" s="14">
        <f>CHOOSE(CONTROL!$C$42, 4.1792, 4.1792) * CHOOSE(CONTROL!$C$21, $C$9, 100%, $E$9)</f>
        <v>4.1791999999999998</v>
      </c>
      <c r="Q39" s="14">
        <f>CHOOSE(CONTROL!$C$42, 4.8464, 4.8464) * CHOOSE(CONTROL!$C$21, $C$9, 100%, $E$9)</f>
        <v>4.8464</v>
      </c>
      <c r="R39" s="14">
        <f>CHOOSE(CONTROL!$C$42, 5.4456, 5.4456) * CHOOSE(CONTROL!$C$21, $C$9, 100%, $E$9)</f>
        <v>5.4455999999999998</v>
      </c>
      <c r="S39" s="14">
        <f>CHOOSE(CONTROL!$C$42, 4.0638, 4.0638) * CHOOSE(CONTROL!$C$21, $C$9, 100%, $E$9)</f>
        <v>4.0637999999999996</v>
      </c>
      <c r="T3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9" s="57">
        <f>(1000*CHOOSE(CONTROL!$C$42, 695, 695)*CHOOSE(CONTROL!$C$42, 0.5599, 0.5599)*CHOOSE(CONTROL!$C$42, 31, 31))/1000000</f>
        <v>12.063045499999998</v>
      </c>
      <c r="V39" s="57">
        <f>(1000*CHOOSE(CONTROL!$C$42, 580, 580)*CHOOSE(CONTROL!$C$42, 0.275, 0.275)*CHOOSE(CONTROL!$C$42, 31, 31))/1000000</f>
        <v>4.9444999999999997</v>
      </c>
      <c r="W39" s="57">
        <f>(1000*CHOOSE(CONTROL!$C$42, 0.1146, 0.1146)*CHOOSE(CONTROL!$C$42, 200, 200)*CHOOSE(CONTROL!$C$42, 31, 31))/1000000</f>
        <v>0.71052000000000004</v>
      </c>
      <c r="X39" s="57">
        <v>0</v>
      </c>
      <c r="Y39" s="57"/>
      <c r="Z39" s="14">
        <f>CHOOSE(CONTROL!$C$42, 4.1724, 4.1724) * CHOOSE(CONTROL!$C$21, $C$9, 100%, $E$9)</f>
        <v>4.1723999999999997</v>
      </c>
      <c r="AA39" s="61">
        <f>(31*((8.01*31500+8.07*100000)/31))/1000000</f>
        <v>1.059315</v>
      </c>
      <c r="AB39" s="50">
        <f>(B39*122.58+C39*297.941+D39*89.177+E39*200.302+F39*40+G39*0+H39*0+I39*100+J39*300)/(122.58+297.941+89.177+200.302+0+40+0+100+300)</f>
        <v>4.2594065615652177</v>
      </c>
      <c r="AC39" s="45">
        <f>(M39*240+N39*0+O39*355+P39*100)/(240+0+355+100)</f>
        <v>4.2024539568345327</v>
      </c>
    </row>
    <row r="40" spans="1:29" ht="15.75" x14ac:dyDescent="0.25">
      <c r="A40" s="13">
        <v>42095</v>
      </c>
      <c r="B40" s="14">
        <f>CHOOSE(CONTROL!$C$42, 4.0644, 4.0644) * CHOOSE(CONTROL!$C$21, $C$9, 100%, $E$9)</f>
        <v>4.0644</v>
      </c>
      <c r="C40" s="14">
        <f>CHOOSE(CONTROL!$C$42, 4.0689, 4.0689) * CHOOSE(CONTROL!$C$21, $C$9, 100%, $E$9)</f>
        <v>4.0689000000000002</v>
      </c>
      <c r="D40" s="14">
        <f>CHOOSE(CONTROL!$C$42, 4.2759, 4.2759) * CHOOSE(CONTROL!$C$21, $C$9, 100%, $E$9)</f>
        <v>4.2759</v>
      </c>
      <c r="E40" s="14">
        <f>CHOOSE(CONTROL!$C$42, 4.3081, 4.3081) * CHOOSE(CONTROL!$C$21, $C$9, 100%, $E$9)</f>
        <v>4.3080999999999996</v>
      </c>
      <c r="F40" s="14">
        <f>CHOOSE(CONTROL!$C$42, 4.0463, 4.0463)*CHOOSE(CONTROL!$C$21, $C$9, 100%, $E$9)</f>
        <v>4.0462999999999996</v>
      </c>
      <c r="G40" s="14">
        <f>CHOOSE(CONTROL!$C$42, 4.0615, 4.0615)*CHOOSE(CONTROL!$C$21, $C$9, 100%, $E$9)</f>
        <v>4.0614999999999997</v>
      </c>
      <c r="H40" s="14">
        <f>CHOOSE(CONTROL!$C$42, 4.2978, 4.2978) * CHOOSE(CONTROL!$C$21, $C$9, 100%, $E$9)</f>
        <v>4.2977999999999996</v>
      </c>
      <c r="I40" s="14">
        <f>CHOOSE(CONTROL!$C$42, 4.084, 4.084)* CHOOSE(CONTROL!$C$21, $C$9, 100%, $E$9)</f>
        <v>4.0839999999999996</v>
      </c>
      <c r="J40" s="14">
        <f>CHOOSE(CONTROL!$C$42, 4.0393, 4.0393)* CHOOSE(CONTROL!$C$21, $C$9, 100%, $E$9)</f>
        <v>4.0392999999999999</v>
      </c>
      <c r="K40" s="53"/>
      <c r="L40" s="14">
        <f>CHOOSE(CONTROL!$C$42, 4.8848, 4.8848) * CHOOSE(CONTROL!$C$21, $C$9, 100%, $E$9)</f>
        <v>4.8848000000000003</v>
      </c>
      <c r="M40" s="14">
        <f>CHOOSE(CONTROL!$C$42, 3.9642, 3.9642) * CHOOSE(CONTROL!$C$21, $C$9, 100%, $E$9)</f>
        <v>3.9641999999999999</v>
      </c>
      <c r="N40" s="14">
        <f>CHOOSE(CONTROL!$C$42, 3.9791, 3.9791) * CHOOSE(CONTROL!$C$21, $C$9, 100%, $E$9)</f>
        <v>3.9790999999999999</v>
      </c>
      <c r="O40" s="14">
        <f>CHOOSE(CONTROL!$C$42, 4.2175, 4.2175) * CHOOSE(CONTROL!$C$21, $C$9, 100%, $E$9)</f>
        <v>4.2175000000000002</v>
      </c>
      <c r="P40" s="14">
        <f>CHOOSE(CONTROL!$C$42, 4.0078, 4.0078) * CHOOSE(CONTROL!$C$21, $C$9, 100%, $E$9)</f>
        <v>4.0077999999999996</v>
      </c>
      <c r="Q40" s="14">
        <f>CHOOSE(CONTROL!$C$42, 4.8122, 4.8122) * CHOOSE(CONTROL!$C$21, $C$9, 100%, $E$9)</f>
        <v>4.8121999999999998</v>
      </c>
      <c r="R40" s="14">
        <f>CHOOSE(CONTROL!$C$42, 5.4112, 5.4112) * CHOOSE(CONTROL!$C$21, $C$9, 100%, $E$9)</f>
        <v>5.4112</v>
      </c>
      <c r="S40" s="14">
        <f>CHOOSE(CONTROL!$C$42, 3.8962, 3.8962) * CHOOSE(CONTROL!$C$21, $C$9, 100%, $E$9)</f>
        <v>3.8961999999999999</v>
      </c>
      <c r="T4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0" s="57">
        <f>(1000*CHOOSE(CONTROL!$C$42, 695, 695)*CHOOSE(CONTROL!$C$42, 0.5599, 0.5599)*CHOOSE(CONTROL!$C$42, 30, 30))/1000000</f>
        <v>11.673914999999997</v>
      </c>
      <c r="V40" s="57">
        <f>(1000*CHOOSE(CONTROL!$C$42, 580, 580)*CHOOSE(CONTROL!$C$42, 0.275, 0.275)*CHOOSE(CONTROL!$C$42, 30, 30))/1000000</f>
        <v>4.7850000000000001</v>
      </c>
      <c r="W40" s="57">
        <f>(1000*CHOOSE(CONTROL!$C$42, 0.1146, 0.1146)*CHOOSE(CONTROL!$C$42, 200, 200)*CHOOSE(CONTROL!$C$42, 30, 30))/1000000</f>
        <v>0.68759999999999999</v>
      </c>
      <c r="X40" s="57">
        <f>(30*0.1790888*245000/1000000)+(30*0.2374*100000/1000000)</f>
        <v>2.0285026799999999</v>
      </c>
      <c r="Y40" s="57"/>
      <c r="Z40" s="14">
        <f>CHOOSE(CONTROL!$C$42, 4.0023, 4.0023) * CHOOSE(CONTROL!$C$21, $C$9, 100%, $E$9)</f>
        <v>4.0023</v>
      </c>
      <c r="AA40" s="61">
        <f>(30*((8.01*31500+8.07*100000)/30))/1000000</f>
        <v>1.059315</v>
      </c>
      <c r="AB40" s="50">
        <f>(B40*141.293+C40*267.993+D40*115.016+E40*89.698+F40*40+G40*185+H40*0+I40*100+J40*300)/(141.293+267.993+115.016+89.698+0+40+185+100+300)</f>
        <v>4.097136686924939</v>
      </c>
      <c r="AC40" s="45">
        <f t="shared" ref="AC40:AC46" si="2">(M40*240+N40*160+O40*195+P40*100)/(240+160+195+100)</f>
        <v>4.0449733812949633</v>
      </c>
    </row>
    <row r="41" spans="1:29" ht="15.75" x14ac:dyDescent="0.25">
      <c r="A41" s="13">
        <v>42125</v>
      </c>
      <c r="B41" s="14">
        <f>CHOOSE(CONTROL!$C$42, 4.0814, 4.0814) * CHOOSE(CONTROL!$C$21, $C$9, 100%, $E$9)</f>
        <v>4.0814000000000004</v>
      </c>
      <c r="C41" s="14">
        <f>CHOOSE(CONTROL!$C$42, 4.0894, 4.0894) * CHOOSE(CONTROL!$C$21, $C$9, 100%, $E$9)</f>
        <v>4.0894000000000004</v>
      </c>
      <c r="D41" s="14">
        <f>CHOOSE(CONTROL!$C$42, 4.2933, 4.2933) * CHOOSE(CONTROL!$C$21, $C$9, 100%, $E$9)</f>
        <v>4.2933000000000003</v>
      </c>
      <c r="E41" s="14">
        <f>CHOOSE(CONTROL!$C$42, 4.3248, 4.3248) * CHOOSE(CONTROL!$C$21, $C$9, 100%, $E$9)</f>
        <v>4.3247999999999998</v>
      </c>
      <c r="F41" s="14">
        <f>CHOOSE(CONTROL!$C$42, 4.0621, 4.0621)*CHOOSE(CONTROL!$C$21, $C$9, 100%, $E$9)</f>
        <v>4.0621</v>
      </c>
      <c r="G41" s="14">
        <f>CHOOSE(CONTROL!$C$42, 4.0778, 4.0778)*CHOOSE(CONTROL!$C$21, $C$9, 100%, $E$9)</f>
        <v>4.0777999999999999</v>
      </c>
      <c r="H41" s="14">
        <f>CHOOSE(CONTROL!$C$42, 4.3134, 4.3134) * CHOOSE(CONTROL!$C$21, $C$9, 100%, $E$9)</f>
        <v>4.3133999999999997</v>
      </c>
      <c r="I41" s="14">
        <f>CHOOSE(CONTROL!$C$42, 4.0996, 4.0996)* CHOOSE(CONTROL!$C$21, $C$9, 100%, $E$9)</f>
        <v>4.0995999999999997</v>
      </c>
      <c r="J41" s="14">
        <f>CHOOSE(CONTROL!$C$42, 4.0551, 4.0551)* CHOOSE(CONTROL!$C$21, $C$9, 100%, $E$9)</f>
        <v>4.0551000000000004</v>
      </c>
      <c r="K41" s="53"/>
      <c r="L41" s="14">
        <f>CHOOSE(CONTROL!$C$42, 4.9004, 4.9004) * CHOOSE(CONTROL!$C$21, $C$9, 100%, $E$9)</f>
        <v>4.9004000000000003</v>
      </c>
      <c r="M41" s="14">
        <f>CHOOSE(CONTROL!$C$42, 3.9797, 3.9797) * CHOOSE(CONTROL!$C$21, $C$9, 100%, $E$9)</f>
        <v>3.9796999999999998</v>
      </c>
      <c r="N41" s="14">
        <f>CHOOSE(CONTROL!$C$42, 3.9951, 3.9951) * CHOOSE(CONTROL!$C$21, $C$9, 100%, $E$9)</f>
        <v>3.9950999999999999</v>
      </c>
      <c r="O41" s="14">
        <f>CHOOSE(CONTROL!$C$42, 4.2328, 4.2328) * CHOOSE(CONTROL!$C$21, $C$9, 100%, $E$9)</f>
        <v>4.2328000000000001</v>
      </c>
      <c r="P41" s="14">
        <f>CHOOSE(CONTROL!$C$42, 4.0231, 4.0231) * CHOOSE(CONTROL!$C$21, $C$9, 100%, $E$9)</f>
        <v>4.0231000000000003</v>
      </c>
      <c r="Q41" s="14">
        <f>CHOOSE(CONTROL!$C$42, 4.8275, 4.8275) * CHOOSE(CONTROL!$C$21, $C$9, 100%, $E$9)</f>
        <v>4.8274999999999997</v>
      </c>
      <c r="R41" s="14">
        <f>CHOOSE(CONTROL!$C$42, 5.4265, 5.4265) * CHOOSE(CONTROL!$C$21, $C$9, 100%, $E$9)</f>
        <v>5.4264999999999999</v>
      </c>
      <c r="S41" s="14">
        <f>CHOOSE(CONTROL!$C$42, 3.9112, 3.9112) * CHOOSE(CONTROL!$C$21, $C$9, 100%, $E$9)</f>
        <v>3.9112</v>
      </c>
      <c r="T41" s="59">
        <f>((((430000*CHOOSE(CONTROL!$C$42, 0.4694, 0.4694)+(874000-430000)*CHOOSE(CONTROL!$C$42, 0.7185, 0.7185)+400000*CHOOSE(CONTROL!$C$42, 1.14, 1.14)+50000*0.98)*CHOOSE(CONTROL!$C$42, 31, 31))/1000000))+CHOOSE(CONTROL!$C$42, 0.1662, 0.1662)+CHOOSE(CONTROL!$C$42, 0.6286, 0.6286)</f>
        <v>32.596336000000001</v>
      </c>
      <c r="U41" s="57">
        <f>(1000*CHOOSE(CONTROL!$C$42, 695, 695)*CHOOSE(CONTROL!$C$42, 0.5599, 0.5599)*CHOOSE(CONTROL!$C$42, 31, 31))/1000000</f>
        <v>12.063045499999998</v>
      </c>
      <c r="V41" s="57">
        <f>(1000*CHOOSE(CONTROL!$C$42, 580, 580)*CHOOSE(CONTROL!$C$42, 0.275, 0.275)*CHOOSE(CONTROL!$C$42, 31, 31))/1000000</f>
        <v>4.9444999999999997</v>
      </c>
      <c r="W41" s="57">
        <f>(1000*CHOOSE(CONTROL!$C$42, 0.1146, 0.1146)*CHOOSE(CONTROL!$C$42, 200, 200)*CHOOSE(CONTROL!$C$42, 31, 31))/1000000</f>
        <v>0.71052000000000004</v>
      </c>
      <c r="X41" s="57">
        <f>(31*0.1790888*245000/1000000)+(31*0.2374*100000/1000000)</f>
        <v>2.0961194359999999</v>
      </c>
      <c r="Y41" s="57"/>
      <c r="Z41" s="14">
        <f>CHOOSE(CONTROL!$C$42, 4.0177, 4.0177) * CHOOSE(CONTROL!$C$21, $C$9, 100%, $E$9)</f>
        <v>4.0176999999999996</v>
      </c>
      <c r="AA41" s="61">
        <f>(31*((8.01*31500+8.07*100000)/31))/1000000</f>
        <v>1.059315</v>
      </c>
      <c r="AB41" s="50">
        <f>(B41*194.205+C41*267.466+D41*133.845+E41*53.484+F41*40+G41*185+H41*50+I41*100+J41*300)/(194.205+267.466+133.845+53.484+50+40+185+100+300)</f>
        <v>4.1173603391993963</v>
      </c>
      <c r="AC41" s="45">
        <f t="shared" si="2"/>
        <v>4.0605035971223025</v>
      </c>
    </row>
    <row r="42" spans="1:29" ht="15.75" x14ac:dyDescent="0.25">
      <c r="A42" s="13">
        <v>42156</v>
      </c>
      <c r="B42" s="14">
        <f>CHOOSE(CONTROL!$C$42, 4.1105, 4.1105) * CHOOSE(CONTROL!$C$21, $C$9, 100%, $E$9)</f>
        <v>4.1105</v>
      </c>
      <c r="C42" s="14">
        <f>CHOOSE(CONTROL!$C$42, 4.1186, 4.1186) * CHOOSE(CONTROL!$C$21, $C$9, 100%, $E$9)</f>
        <v>4.1185999999999998</v>
      </c>
      <c r="D42" s="14">
        <f>CHOOSE(CONTROL!$C$42, 4.3225, 4.3225) * CHOOSE(CONTROL!$C$21, $C$9, 100%, $E$9)</f>
        <v>4.3224999999999998</v>
      </c>
      <c r="E42" s="14">
        <f>CHOOSE(CONTROL!$C$42, 4.354, 4.354) * CHOOSE(CONTROL!$C$21, $C$9, 100%, $E$9)</f>
        <v>4.3540000000000001</v>
      </c>
      <c r="F42" s="14">
        <f>CHOOSE(CONTROL!$C$42, 4.0917, 4.0917)*CHOOSE(CONTROL!$C$21, $C$9, 100%, $E$9)</f>
        <v>4.0917000000000003</v>
      </c>
      <c r="G42" s="14">
        <f>CHOOSE(CONTROL!$C$42, 4.1075, 4.1075)*CHOOSE(CONTROL!$C$21, $C$9, 100%, $E$9)</f>
        <v>4.1074999999999999</v>
      </c>
      <c r="H42" s="14">
        <f>CHOOSE(CONTROL!$C$42, 4.3426, 4.3426) * CHOOSE(CONTROL!$C$21, $C$9, 100%, $E$9)</f>
        <v>4.3426</v>
      </c>
      <c r="I42" s="14">
        <f>CHOOSE(CONTROL!$C$42, 4.1288, 4.1288)* CHOOSE(CONTROL!$C$21, $C$9, 100%, $E$9)</f>
        <v>4.1288</v>
      </c>
      <c r="J42" s="14">
        <f>CHOOSE(CONTROL!$C$42, 4.0847, 4.0847)* CHOOSE(CONTROL!$C$21, $C$9, 100%, $E$9)</f>
        <v>4.0846999999999998</v>
      </c>
      <c r="K42" s="53"/>
      <c r="L42" s="14">
        <f>CHOOSE(CONTROL!$C$42, 4.9296, 4.9296) * CHOOSE(CONTROL!$C$21, $C$9, 100%, $E$9)</f>
        <v>4.9295999999999998</v>
      </c>
      <c r="M42" s="14">
        <f>CHOOSE(CONTROL!$C$42, 4.0087, 4.0087) * CHOOSE(CONTROL!$C$21, $C$9, 100%, $E$9)</f>
        <v>4.0087000000000002</v>
      </c>
      <c r="N42" s="14">
        <f>CHOOSE(CONTROL!$C$42, 4.0241, 4.0241) * CHOOSE(CONTROL!$C$21, $C$9, 100%, $E$9)</f>
        <v>4.0240999999999998</v>
      </c>
      <c r="O42" s="14">
        <f>CHOOSE(CONTROL!$C$42, 4.2613, 4.2613) * CHOOSE(CONTROL!$C$21, $C$9, 100%, $E$9)</f>
        <v>4.2613000000000003</v>
      </c>
      <c r="P42" s="14">
        <f>CHOOSE(CONTROL!$C$42, 4.0518, 4.0518) * CHOOSE(CONTROL!$C$21, $C$9, 100%, $E$9)</f>
        <v>4.0518000000000001</v>
      </c>
      <c r="Q42" s="14">
        <f>CHOOSE(CONTROL!$C$42, 4.856, 4.856) * CHOOSE(CONTROL!$C$21, $C$9, 100%, $E$9)</f>
        <v>4.8559999999999999</v>
      </c>
      <c r="R42" s="14">
        <f>CHOOSE(CONTROL!$C$42, 5.4551, 5.4551) * CHOOSE(CONTROL!$C$21, $C$9, 100%, $E$9)</f>
        <v>5.4550999999999998</v>
      </c>
      <c r="S42" s="14">
        <f>CHOOSE(CONTROL!$C$42, 3.9392, 3.9392) * CHOOSE(CONTROL!$C$21, $C$9, 100%, $E$9)</f>
        <v>3.9392</v>
      </c>
      <c r="T42" s="59">
        <f>((((430000*CHOOSE(CONTROL!$C$42, 0.4694, 0.4694)+(874000-430000)*CHOOSE(CONTROL!$C$42, 0.7185, 0.7185)+400000*CHOOSE(CONTROL!$C$42, 1.14, 1.14)+50000*0.98)*CHOOSE(CONTROL!$C$42, 30, 30))/1000000))+CHOOSE(CONTROL!$C$42, 0.1573, 0.1573)+CHOOSE(CONTROL!$C$42, 0.6376, 0.6376)</f>
        <v>31.57058</v>
      </c>
      <c r="U42" s="57">
        <f>(1000*CHOOSE(CONTROL!$C$42, 695, 695)*CHOOSE(CONTROL!$C$42, 0.5599, 0.5599)*CHOOSE(CONTROL!$C$42, 30, 30))/1000000</f>
        <v>11.673914999999997</v>
      </c>
      <c r="V42" s="57">
        <f>(1000*CHOOSE(CONTROL!$C$42, 580, 580)*CHOOSE(CONTROL!$C$42, 0.275, 0.275)*CHOOSE(CONTROL!$C$42, 30, 30))/1000000</f>
        <v>4.7850000000000001</v>
      </c>
      <c r="W42" s="57">
        <f>(1000*CHOOSE(CONTROL!$C$42, 0.1146, 0.1146)*CHOOSE(CONTROL!$C$42, 200, 200)*CHOOSE(CONTROL!$C$42, 30, 30))/1000000</f>
        <v>0.68759999999999999</v>
      </c>
      <c r="X42" s="57">
        <f>(30*0.1790888*245000/1000000)+(30*0.2374*100000/1000000)</f>
        <v>2.0285026799999999</v>
      </c>
      <c r="Y42" s="57"/>
      <c r="Z42" s="14">
        <f>CHOOSE(CONTROL!$C$42, 4.0463, 4.0463) * CHOOSE(CONTROL!$C$21, $C$9, 100%, $E$9)</f>
        <v>4.0462999999999996</v>
      </c>
      <c r="AA42" s="60">
        <f>(30*((8.07*31500+8.18*100000)/30))/1000000</f>
        <v>1.0722050000000001</v>
      </c>
      <c r="AB42" s="50">
        <f>(B42*194.205+C42*267.466+D42*133.845+E42*53.484+F42*40+G42*185+H42*50+I42*100+J42*300)/(194.205+267.466+133.845+53.484+50+40+185+100+300)</f>
        <v>4.146718254229607</v>
      </c>
      <c r="AC42" s="45">
        <f t="shared" si="2"/>
        <v>4.0893201438848923</v>
      </c>
    </row>
    <row r="43" spans="1:29" ht="15.75" x14ac:dyDescent="0.25">
      <c r="A43" s="13">
        <v>42186</v>
      </c>
      <c r="B43" s="14">
        <f>CHOOSE(CONTROL!$C$42, 4.1449, 4.1449) * CHOOSE(CONTROL!$C$21, $C$9, 100%, $E$9)</f>
        <v>4.1448999999999998</v>
      </c>
      <c r="C43" s="14">
        <f>CHOOSE(CONTROL!$C$42, 4.1529, 4.1529) * CHOOSE(CONTROL!$C$21, $C$9, 100%, $E$9)</f>
        <v>4.1528999999999998</v>
      </c>
      <c r="D43" s="14">
        <f>CHOOSE(CONTROL!$C$42, 4.3568, 4.3568) * CHOOSE(CONTROL!$C$21, $C$9, 100%, $E$9)</f>
        <v>4.3567999999999998</v>
      </c>
      <c r="E43" s="14">
        <f>CHOOSE(CONTROL!$C$42, 4.3883, 4.3883) * CHOOSE(CONTROL!$C$21, $C$9, 100%, $E$9)</f>
        <v>4.3883000000000001</v>
      </c>
      <c r="F43" s="14">
        <f>CHOOSE(CONTROL!$C$42, 4.1265, 4.1265)*CHOOSE(CONTROL!$C$21, $C$9, 100%, $E$9)</f>
        <v>4.1265000000000001</v>
      </c>
      <c r="G43" s="14">
        <f>CHOOSE(CONTROL!$C$42, 4.1424, 4.1424)*CHOOSE(CONTROL!$C$21, $C$9, 100%, $E$9)</f>
        <v>4.1424000000000003</v>
      </c>
      <c r="H43" s="14">
        <f>CHOOSE(CONTROL!$C$42, 4.3769, 4.3769) * CHOOSE(CONTROL!$C$21, $C$9, 100%, $E$9)</f>
        <v>4.3769</v>
      </c>
      <c r="I43" s="14">
        <f>CHOOSE(CONTROL!$C$42, 4.1633, 4.1633)* CHOOSE(CONTROL!$C$21, $C$9, 100%, $E$9)</f>
        <v>4.1632999999999996</v>
      </c>
      <c r="J43" s="14">
        <f>CHOOSE(CONTROL!$C$42, 4.1195, 4.1195)* CHOOSE(CONTROL!$C$21, $C$9, 100%, $E$9)</f>
        <v>4.1195000000000004</v>
      </c>
      <c r="K43" s="53"/>
      <c r="L43" s="14">
        <f>CHOOSE(CONTROL!$C$42, 4.9639, 4.9639) * CHOOSE(CONTROL!$C$21, $C$9, 100%, $E$9)</f>
        <v>4.9638999999999998</v>
      </c>
      <c r="M43" s="14">
        <f>CHOOSE(CONTROL!$C$42, 4.0428, 4.0428) * CHOOSE(CONTROL!$C$21, $C$9, 100%, $E$9)</f>
        <v>4.0427999999999997</v>
      </c>
      <c r="N43" s="14">
        <f>CHOOSE(CONTROL!$C$42, 4.0583, 4.0583) * CHOOSE(CONTROL!$C$21, $C$9, 100%, $E$9)</f>
        <v>4.0583</v>
      </c>
      <c r="O43" s="14">
        <f>CHOOSE(CONTROL!$C$42, 4.2949, 4.2949) * CHOOSE(CONTROL!$C$21, $C$9, 100%, $E$9)</f>
        <v>4.2949000000000002</v>
      </c>
      <c r="P43" s="14">
        <f>CHOOSE(CONTROL!$C$42, 4.0855, 4.0855) * CHOOSE(CONTROL!$C$21, $C$9, 100%, $E$9)</f>
        <v>4.0854999999999997</v>
      </c>
      <c r="Q43" s="14">
        <f>CHOOSE(CONTROL!$C$42, 4.8896, 4.8896) * CHOOSE(CONTROL!$C$21, $C$9, 100%, $E$9)</f>
        <v>4.8895999999999997</v>
      </c>
      <c r="R43" s="14">
        <f>CHOOSE(CONTROL!$C$42, 5.4889, 5.4889) * CHOOSE(CONTROL!$C$21, $C$9, 100%, $E$9)</f>
        <v>5.4889000000000001</v>
      </c>
      <c r="S43" s="14">
        <f>CHOOSE(CONTROL!$C$42, 3.9722, 3.9722) * CHOOSE(CONTROL!$C$21, $C$9, 100%, $E$9)</f>
        <v>3.9722</v>
      </c>
      <c r="T43" s="59">
        <f>((((430000*CHOOSE(CONTROL!$C$42, 0.4694, 0.4694)+(874000-430000)*CHOOSE(CONTROL!$C$42, 0.7185, 0.7185)+400000*CHOOSE(CONTROL!$C$42, 1.14, 1.14)+50000*0.98)*CHOOSE(CONTROL!$C$42, 31, 31))/1000000))+CHOOSE(CONTROL!$C$42, 0.1519, 0.1519)+CHOOSE(CONTROL!$C$42, 0.626, 0.626)</f>
        <v>32.579436000000001</v>
      </c>
      <c r="U43" s="57">
        <f>(1000*CHOOSE(CONTROL!$C$42, 695, 695)*CHOOSE(CONTROL!$C$42, 0.5599, 0.5599)*CHOOSE(CONTROL!$C$42, 31, 31))/1000000</f>
        <v>12.063045499999998</v>
      </c>
      <c r="V43" s="57">
        <f>(1000*CHOOSE(CONTROL!$C$42, 580, 580)*CHOOSE(CONTROL!$C$42, 0.275, 0.275)*CHOOSE(CONTROL!$C$42, 31, 31))/1000000</f>
        <v>4.9444999999999997</v>
      </c>
      <c r="W43" s="57">
        <f>(1000*CHOOSE(CONTROL!$C$42, 0.1146, 0.1146)*CHOOSE(CONTROL!$C$42, 200, 200)*CHOOSE(CONTROL!$C$42, 31, 31))/1000000</f>
        <v>0.71052000000000004</v>
      </c>
      <c r="X43" s="57">
        <f>(31*0.1790888*245000/1000000)+(31*0.2374*100000/1000000)</f>
        <v>2.0961194359999999</v>
      </c>
      <c r="Y43" s="57"/>
      <c r="Z43" s="14">
        <f>CHOOSE(CONTROL!$C$42, 4.0801, 4.0801) * CHOOSE(CONTROL!$C$21, $C$9, 100%, $E$9)</f>
        <v>4.0800999999999998</v>
      </c>
      <c r="AA43" s="58">
        <f>(31*((8.12*31500+8.18*100000)/31))/1000000</f>
        <v>1.07378</v>
      </c>
      <c r="AB43" s="50">
        <f>(B43*194.205+C43*267.466+D43*133.845+E43*53.484+F43*40+G43*185+H43*50+I43*100+J43*300)/(194.205+267.466+133.845+53.484+50+40+185+100+300)</f>
        <v>4.1812602636706941</v>
      </c>
      <c r="AC43" s="45">
        <f t="shared" si="2"/>
        <v>4.1232453237410072</v>
      </c>
    </row>
    <row r="44" spans="1:29" ht="15.75" x14ac:dyDescent="0.25">
      <c r="A44" s="13">
        <v>42217</v>
      </c>
      <c r="B44" s="14">
        <f>CHOOSE(CONTROL!$C$42, 4.1636, 4.1636) * CHOOSE(CONTROL!$C$21, $C$9, 100%, $E$9)</f>
        <v>4.1635999999999997</v>
      </c>
      <c r="C44" s="14">
        <f>CHOOSE(CONTROL!$C$42, 4.1716, 4.1716) * CHOOSE(CONTROL!$C$21, $C$9, 100%, $E$9)</f>
        <v>4.1715999999999998</v>
      </c>
      <c r="D44" s="14">
        <f>CHOOSE(CONTROL!$C$42, 4.3756, 4.3756) * CHOOSE(CONTROL!$C$21, $C$9, 100%, $E$9)</f>
        <v>4.3756000000000004</v>
      </c>
      <c r="E44" s="14">
        <f>CHOOSE(CONTROL!$C$42, 4.407, 4.407) * CHOOSE(CONTROL!$C$21, $C$9, 100%, $E$9)</f>
        <v>4.407</v>
      </c>
      <c r="F44" s="14">
        <f>CHOOSE(CONTROL!$C$42, 4.1455, 4.1455)*CHOOSE(CONTROL!$C$21, $C$9, 100%, $E$9)</f>
        <v>4.1455000000000002</v>
      </c>
      <c r="G44" s="14">
        <f>CHOOSE(CONTROL!$C$42, 4.1614, 4.1614)*CHOOSE(CONTROL!$C$21, $C$9, 100%, $E$9)</f>
        <v>4.1614000000000004</v>
      </c>
      <c r="H44" s="14">
        <f>CHOOSE(CONTROL!$C$42, 4.3957, 4.3957) * CHOOSE(CONTROL!$C$21, $C$9, 100%, $E$9)</f>
        <v>4.3956999999999997</v>
      </c>
      <c r="I44" s="14">
        <f>CHOOSE(CONTROL!$C$42, 4.1821, 4.1821)* CHOOSE(CONTROL!$C$21, $C$9, 100%, $E$9)</f>
        <v>4.1821000000000002</v>
      </c>
      <c r="J44" s="14">
        <f>CHOOSE(CONTROL!$C$42, 4.1385, 4.1385)* CHOOSE(CONTROL!$C$21, $C$9, 100%, $E$9)</f>
        <v>4.1384999999999996</v>
      </c>
      <c r="K44" s="53"/>
      <c r="L44" s="14">
        <f>CHOOSE(CONTROL!$C$42, 4.9827, 4.9827) * CHOOSE(CONTROL!$C$21, $C$9, 100%, $E$9)</f>
        <v>4.9827000000000004</v>
      </c>
      <c r="M44" s="14">
        <f>CHOOSE(CONTROL!$C$42, 4.0614, 4.0614) * CHOOSE(CONTROL!$C$21, $C$9, 100%, $E$9)</f>
        <v>4.0613999999999999</v>
      </c>
      <c r="N44" s="14">
        <f>CHOOSE(CONTROL!$C$42, 4.077, 4.077) * CHOOSE(CONTROL!$C$21, $C$9, 100%, $E$9)</f>
        <v>4.077</v>
      </c>
      <c r="O44" s="14">
        <f>CHOOSE(CONTROL!$C$42, 4.3133, 4.3133) * CHOOSE(CONTROL!$C$21, $C$9, 100%, $E$9)</f>
        <v>4.3132999999999999</v>
      </c>
      <c r="P44" s="14">
        <f>CHOOSE(CONTROL!$C$42, 4.1039, 4.1039) * CHOOSE(CONTROL!$C$21, $C$9, 100%, $E$9)</f>
        <v>4.1039000000000003</v>
      </c>
      <c r="Q44" s="14">
        <f>CHOOSE(CONTROL!$C$42, 4.908, 4.908) * CHOOSE(CONTROL!$C$21, $C$9, 100%, $E$9)</f>
        <v>4.9080000000000004</v>
      </c>
      <c r="R44" s="14">
        <f>CHOOSE(CONTROL!$C$42, 5.5073, 5.5073) * CHOOSE(CONTROL!$C$21, $C$9, 100%, $E$9)</f>
        <v>5.5072999999999999</v>
      </c>
      <c r="S44" s="14">
        <f>CHOOSE(CONTROL!$C$42, 3.9902, 3.9902) * CHOOSE(CONTROL!$C$21, $C$9, 100%, $E$9)</f>
        <v>3.9902000000000002</v>
      </c>
      <c r="T44" s="59">
        <f>((((430000*CHOOSE(CONTROL!$C$42, 0.4694, 0.4694)+(874000-430000)*CHOOSE(CONTROL!$C$42, 0.7185, 0.7185)+400000*CHOOSE(CONTROL!$C$42, 1.14, 1.14)+50000*0.98)*CHOOSE(CONTROL!$C$42, 31, 31))/1000000))+CHOOSE(CONTROL!$C$42, 0.1868, 0.1868)+CHOOSE(CONTROL!$C$42, 0.6257, 0.6257)</f>
        <v>32.614035999999999</v>
      </c>
      <c r="U44" s="57">
        <f>(1000*CHOOSE(CONTROL!$C$42, 695, 695)*CHOOSE(CONTROL!$C$42, 0.5599, 0.5599)*CHOOSE(CONTROL!$C$42, 31, 31))/1000000</f>
        <v>12.063045499999998</v>
      </c>
      <c r="V44" s="57">
        <f>(1000*CHOOSE(CONTROL!$C$42, 580, 580)*CHOOSE(CONTROL!$C$42, 0.275, 0.275)*CHOOSE(CONTROL!$C$42, 31, 31))/1000000</f>
        <v>4.9444999999999997</v>
      </c>
      <c r="W44" s="57">
        <f>(1000*CHOOSE(CONTROL!$C$42, 0.1146, 0.1146)*CHOOSE(CONTROL!$C$42, 200, 200)*CHOOSE(CONTROL!$C$42, 31, 31))/1000000</f>
        <v>0.71052000000000004</v>
      </c>
      <c r="X44" s="57">
        <f>(31*0.1790888*245000/1000000)+(31*0.2374*100000/1000000)</f>
        <v>2.0961194359999999</v>
      </c>
      <c r="Y44" s="57"/>
      <c r="Z44" s="14">
        <f>CHOOSE(CONTROL!$C$42, 4.0985, 4.0985) * CHOOSE(CONTROL!$C$21, $C$9, 100%, $E$9)</f>
        <v>4.0984999999999996</v>
      </c>
      <c r="AA44" s="58">
        <f>(31*((8.12*31500+8.18*100000)/31))/1000000</f>
        <v>1.07378</v>
      </c>
      <c r="AB44" s="50">
        <f>(B44*194.205+C44*267.466+D44*133.845+E44*53.484+F44*40+G44*185+H44*50+I44*100+J44*300)/(194.205+267.466+133.845+53.484+50+40+185+100+300)</f>
        <v>4.2001006598187312</v>
      </c>
      <c r="AC44" s="45">
        <f t="shared" si="2"/>
        <v>4.1417834532374096</v>
      </c>
    </row>
    <row r="45" spans="1:29" ht="15.75" x14ac:dyDescent="0.25">
      <c r="A45" s="13">
        <v>42248</v>
      </c>
      <c r="B45" s="14">
        <f>CHOOSE(CONTROL!$C$42, 4.1632, 4.1632) * CHOOSE(CONTROL!$C$21, $C$9, 100%, $E$9)</f>
        <v>4.1631999999999998</v>
      </c>
      <c r="C45" s="14">
        <f>CHOOSE(CONTROL!$C$42, 4.1712, 4.1712) * CHOOSE(CONTROL!$C$21, $C$9, 100%, $E$9)</f>
        <v>4.1711999999999998</v>
      </c>
      <c r="D45" s="14">
        <f>CHOOSE(CONTROL!$C$42, 4.3752, 4.3752) * CHOOSE(CONTROL!$C$21, $C$9, 100%, $E$9)</f>
        <v>4.3752000000000004</v>
      </c>
      <c r="E45" s="14">
        <f>CHOOSE(CONTROL!$C$42, 4.4066, 4.4066) * CHOOSE(CONTROL!$C$21, $C$9, 100%, $E$9)</f>
        <v>4.4066000000000001</v>
      </c>
      <c r="F45" s="14">
        <f>CHOOSE(CONTROL!$C$42, 4.1451, 4.1451)*CHOOSE(CONTROL!$C$21, $C$9, 100%, $E$9)</f>
        <v>4.1451000000000002</v>
      </c>
      <c r="G45" s="14">
        <f>CHOOSE(CONTROL!$C$42, 4.1611, 4.1611)*CHOOSE(CONTROL!$C$21, $C$9, 100%, $E$9)</f>
        <v>4.1611000000000002</v>
      </c>
      <c r="H45" s="14">
        <f>CHOOSE(CONTROL!$C$42, 4.3953, 4.3953) * CHOOSE(CONTROL!$C$21, $C$9, 100%, $E$9)</f>
        <v>4.3952999999999998</v>
      </c>
      <c r="I45" s="14">
        <f>CHOOSE(CONTROL!$C$42, 4.1817, 4.1817)* CHOOSE(CONTROL!$C$21, $C$9, 100%, $E$9)</f>
        <v>4.1817000000000002</v>
      </c>
      <c r="J45" s="14">
        <f>CHOOSE(CONTROL!$C$42, 4.1381, 4.1381)* CHOOSE(CONTROL!$C$21, $C$9, 100%, $E$9)</f>
        <v>4.1380999999999997</v>
      </c>
      <c r="K45" s="53"/>
      <c r="L45" s="14">
        <f>CHOOSE(CONTROL!$C$42, 4.9823, 4.9823) * CHOOSE(CONTROL!$C$21, $C$9, 100%, $E$9)</f>
        <v>4.9823000000000004</v>
      </c>
      <c r="M45" s="14">
        <f>CHOOSE(CONTROL!$C$42, 4.061, 4.061) * CHOOSE(CONTROL!$C$21, $C$9, 100%, $E$9)</f>
        <v>4.0609999999999999</v>
      </c>
      <c r="N45" s="14">
        <f>CHOOSE(CONTROL!$C$42, 4.0767, 4.0767) * CHOOSE(CONTROL!$C$21, $C$9, 100%, $E$9)</f>
        <v>4.0766999999999998</v>
      </c>
      <c r="O45" s="14">
        <f>CHOOSE(CONTROL!$C$42, 4.3129, 4.3129) * CHOOSE(CONTROL!$C$21, $C$9, 100%, $E$9)</f>
        <v>4.3129</v>
      </c>
      <c r="P45" s="14">
        <f>CHOOSE(CONTROL!$C$42, 4.1035, 4.1035) * CHOOSE(CONTROL!$C$21, $C$9, 100%, $E$9)</f>
        <v>4.1035000000000004</v>
      </c>
      <c r="Q45" s="14">
        <f>CHOOSE(CONTROL!$C$42, 4.9076, 4.9076) * CHOOSE(CONTROL!$C$21, $C$9, 100%, $E$9)</f>
        <v>4.9076000000000004</v>
      </c>
      <c r="R45" s="14">
        <f>CHOOSE(CONTROL!$C$42, 5.5069, 5.5069) * CHOOSE(CONTROL!$C$21, $C$9, 100%, $E$9)</f>
        <v>5.5068999999999999</v>
      </c>
      <c r="S45" s="14">
        <f>CHOOSE(CONTROL!$C$42, 3.9898, 3.9898) * CHOOSE(CONTROL!$C$21, $C$9, 100%, $E$9)</f>
        <v>3.9897999999999998</v>
      </c>
      <c r="T45" s="59">
        <f>((((430000*CHOOSE(CONTROL!$C$42, 0.4694, 0.4694)+(874000-430000)*CHOOSE(CONTROL!$C$42, 0.7185, 0.7185)+400000*CHOOSE(CONTROL!$C$42, 1.14, 1.14)+50000*0.98)*CHOOSE(CONTROL!$C$42, 30, 30))/1000000))+CHOOSE(CONTROL!$C$42, 0.1677, 0.1677)+CHOOSE(CONTROL!$C$42, 0.1997, 0.1997)</f>
        <v>31.143080000000001</v>
      </c>
      <c r="U45" s="57">
        <f>(1000*CHOOSE(CONTROL!$C$42, 695, 695)*CHOOSE(CONTROL!$C$42, 0.5599, 0.5599)*CHOOSE(CONTROL!$C$42, 30, 30))/1000000</f>
        <v>11.673914999999997</v>
      </c>
      <c r="V45" s="57">
        <f>(1000*CHOOSE(CONTROL!$C$42, 580, 580)*CHOOSE(CONTROL!$C$42, 0.275, 0.275)*CHOOSE(CONTROL!$C$42, 30, 30))/1000000</f>
        <v>4.7850000000000001</v>
      </c>
      <c r="W45" s="57">
        <f>(1000*CHOOSE(CONTROL!$C$42, 0.1146, 0.1146)*CHOOSE(CONTROL!$C$42, 200, 200)*CHOOSE(CONTROL!$C$42, 30, 30))/1000000</f>
        <v>0.68759999999999999</v>
      </c>
      <c r="X45" s="57">
        <f>(30*0.1790888*245000/1000000)+(30*0.2374*100000/1000000)</f>
        <v>2.0285026799999999</v>
      </c>
      <c r="Y45" s="57"/>
      <c r="Z45" s="14">
        <f>CHOOSE(CONTROL!$C$42, 4.0981, 4.0981) * CHOOSE(CONTROL!$C$21, $C$9, 100%, $E$9)</f>
        <v>4.0980999999999996</v>
      </c>
      <c r="AA45" s="58">
        <f>(30*((8.12*31500+8.18*100000)/30))/1000000</f>
        <v>1.07378</v>
      </c>
      <c r="AB45" s="50">
        <f>(B45*194.205+C45*267.466+D45*133.845+E45*53.484+F45*40+G45*185+H45*50+I45*100+J45*300)/(194.205+267.466+133.845+53.484+50+40+185+100+300)</f>
        <v>4.1997146326283987</v>
      </c>
      <c r="AC45" s="45">
        <f t="shared" si="2"/>
        <v>4.1414064748201431</v>
      </c>
    </row>
    <row r="46" spans="1:29" ht="15.75" x14ac:dyDescent="0.25">
      <c r="A46" s="13">
        <v>42278</v>
      </c>
      <c r="B46" s="14">
        <f>CHOOSE(CONTROL!$C$42, 4.1823, 4.1823) * CHOOSE(CONTROL!$C$21, $C$9, 100%, $E$9)</f>
        <v>4.1822999999999997</v>
      </c>
      <c r="C46" s="14">
        <f>CHOOSE(CONTROL!$C$42, 4.1876, 4.1876) * CHOOSE(CONTROL!$C$21, $C$9, 100%, $E$9)</f>
        <v>4.1875999999999998</v>
      </c>
      <c r="D46" s="14">
        <f>CHOOSE(CONTROL!$C$42, 4.3965, 4.3965) * CHOOSE(CONTROL!$C$21, $C$9, 100%, $E$9)</f>
        <v>4.3964999999999996</v>
      </c>
      <c r="E46" s="14">
        <f>CHOOSE(CONTROL!$C$42, 4.4256, 4.4256) * CHOOSE(CONTROL!$C$21, $C$9, 100%, $E$9)</f>
        <v>4.4256000000000002</v>
      </c>
      <c r="F46" s="14">
        <f>CHOOSE(CONTROL!$C$42, 4.1662, 4.1662)*CHOOSE(CONTROL!$C$21, $C$9, 100%, $E$9)</f>
        <v>4.1661999999999999</v>
      </c>
      <c r="G46" s="14">
        <f>CHOOSE(CONTROL!$C$42, 4.1819, 4.1819)*CHOOSE(CONTROL!$C$21, $C$9, 100%, $E$9)</f>
        <v>4.1818999999999997</v>
      </c>
      <c r="H46" s="14">
        <f>CHOOSE(CONTROL!$C$42, 4.4161, 4.4161) * CHOOSE(CONTROL!$C$21, $C$9, 100%, $E$9)</f>
        <v>4.4161000000000001</v>
      </c>
      <c r="I46" s="14">
        <f>CHOOSE(CONTROL!$C$42, 4.2026, 4.2026)* CHOOSE(CONTROL!$C$21, $C$9, 100%, $E$9)</f>
        <v>4.2026000000000003</v>
      </c>
      <c r="J46" s="14">
        <f>CHOOSE(CONTROL!$C$42, 4.1592, 4.1592)* CHOOSE(CONTROL!$C$21, $C$9, 100%, $E$9)</f>
        <v>4.1592000000000002</v>
      </c>
      <c r="K46" s="53"/>
      <c r="L46" s="14">
        <f>CHOOSE(CONTROL!$C$42, 5.0031, 5.0031) * CHOOSE(CONTROL!$C$21, $C$9, 100%, $E$9)</f>
        <v>5.0030999999999999</v>
      </c>
      <c r="M46" s="14">
        <f>CHOOSE(CONTROL!$C$42, 4.0817, 4.0817) * CHOOSE(CONTROL!$C$21, $C$9, 100%, $E$9)</f>
        <v>4.0816999999999997</v>
      </c>
      <c r="N46" s="14">
        <f>CHOOSE(CONTROL!$C$42, 4.0971, 4.0971) * CHOOSE(CONTROL!$C$21, $C$9, 100%, $E$9)</f>
        <v>4.0971000000000002</v>
      </c>
      <c r="O46" s="14">
        <f>CHOOSE(CONTROL!$C$42, 4.3333, 4.3333) * CHOOSE(CONTROL!$C$21, $C$9, 100%, $E$9)</f>
        <v>4.3333000000000004</v>
      </c>
      <c r="P46" s="14">
        <f>CHOOSE(CONTROL!$C$42, 4.124, 4.124) * CHOOSE(CONTROL!$C$21, $C$9, 100%, $E$9)</f>
        <v>4.1239999999999997</v>
      </c>
      <c r="Q46" s="14">
        <f>CHOOSE(CONTROL!$C$42, 4.928, 4.928) * CHOOSE(CONTROL!$C$21, $C$9, 100%, $E$9)</f>
        <v>4.9279999999999999</v>
      </c>
      <c r="R46" s="14">
        <f>CHOOSE(CONTROL!$C$42, 5.5273, 5.5273) * CHOOSE(CONTROL!$C$21, $C$9, 100%, $E$9)</f>
        <v>5.5273000000000003</v>
      </c>
      <c r="S46" s="14">
        <f>CHOOSE(CONTROL!$C$42, 4.0098, 4.0098) * CHOOSE(CONTROL!$C$21, $C$9, 100%, $E$9)</f>
        <v>4.0098000000000003</v>
      </c>
      <c r="T4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6" s="57">
        <f>(1000*CHOOSE(CONTROL!$C$42, 695, 695)*CHOOSE(CONTROL!$C$42, 0.5599, 0.5599)*CHOOSE(CONTROL!$C$42, 31, 31))/1000000</f>
        <v>12.063045499999998</v>
      </c>
      <c r="V46" s="57">
        <f>(1000*CHOOSE(CONTROL!$C$42, 580, 580)*CHOOSE(CONTROL!$C$42, 0.275, 0.275)*CHOOSE(CONTROL!$C$42, 31, 31))/1000000</f>
        <v>4.9444999999999997</v>
      </c>
      <c r="W46" s="57">
        <f>(1000*CHOOSE(CONTROL!$C$42, 0.1146, 0.1146)*CHOOSE(CONTROL!$C$42, 200, 200)*CHOOSE(CONTROL!$C$42, 31, 31))/1000000</f>
        <v>0.71052000000000004</v>
      </c>
      <c r="X46" s="57">
        <f>(31*0.1790888*245000/1000000)+(31*0.2374*100000/1000000)</f>
        <v>2.0961194359999999</v>
      </c>
      <c r="Y46" s="57"/>
      <c r="Z46" s="14">
        <f>CHOOSE(CONTROL!$C$42, 4.1186, 4.1186) * CHOOSE(CONTROL!$C$21, $C$9, 100%, $E$9)</f>
        <v>4.1185999999999998</v>
      </c>
      <c r="AA46" s="58">
        <f>(31*((8.12*31500+8.18*100000)/31))/1000000</f>
        <v>1.07378</v>
      </c>
      <c r="AB46" s="50">
        <f>(B46*131.881+C46*277.167+D46*79.08+E46*125.872+F46*40+G46*185+H46*0+I46*100+J46*300)/(131.881+277.167+79.08+125.872+0+40+185+100+300)</f>
        <v>4.2173400150928169</v>
      </c>
      <c r="AC46" s="45">
        <f t="shared" si="2"/>
        <v>4.1619244604316545</v>
      </c>
    </row>
    <row r="47" spans="1:29" ht="15.75" x14ac:dyDescent="0.25">
      <c r="A47" s="13">
        <v>42309</v>
      </c>
      <c r="B47" s="14">
        <f>CHOOSE(CONTROL!$C$42, 4.2589, 4.2589) * CHOOSE(CONTROL!$C$21, $C$9, 100%, $E$9)</f>
        <v>4.2588999999999997</v>
      </c>
      <c r="C47" s="14">
        <f>CHOOSE(CONTROL!$C$42, 4.2639, 4.2639) * CHOOSE(CONTROL!$C$21, $C$9, 100%, $E$9)</f>
        <v>4.2638999999999996</v>
      </c>
      <c r="D47" s="14">
        <f>CHOOSE(CONTROL!$C$42, 4.3277, 4.3277) * CHOOSE(CONTROL!$C$21, $C$9, 100%, $E$9)</f>
        <v>4.3277000000000001</v>
      </c>
      <c r="E47" s="14">
        <f>CHOOSE(CONTROL!$C$42, 4.3618, 4.3618) * CHOOSE(CONTROL!$C$21, $C$9, 100%, $E$9)</f>
        <v>4.3617999999999997</v>
      </c>
      <c r="F47" s="14">
        <f>CHOOSE(CONTROL!$C$42, 4.2612, 4.2612)*CHOOSE(CONTROL!$C$21, $C$9, 100%, $E$9)</f>
        <v>4.2611999999999997</v>
      </c>
      <c r="G47" s="14">
        <f>CHOOSE(CONTROL!$C$42, 4.2773, 4.2773)*CHOOSE(CONTROL!$C$21, $C$9, 100%, $E$9)</f>
        <v>4.2773000000000003</v>
      </c>
      <c r="H47" s="14">
        <f>CHOOSE(CONTROL!$C$42, 4.351, 4.351) * CHOOSE(CONTROL!$C$21, $C$9, 100%, $E$9)</f>
        <v>4.351</v>
      </c>
      <c r="I47" s="14">
        <f>CHOOSE(CONTROL!$C$42, 4.285, 4.285)* CHOOSE(CONTROL!$C$21, $C$9, 100%, $E$9)</f>
        <v>4.2850000000000001</v>
      </c>
      <c r="J47" s="14">
        <f>CHOOSE(CONTROL!$C$42, 4.2542, 4.2542)* CHOOSE(CONTROL!$C$21, $C$9, 100%, $E$9)</f>
        <v>4.2542</v>
      </c>
      <c r="K47" s="53"/>
      <c r="L47" s="14">
        <f>CHOOSE(CONTROL!$C$42, 4.938, 4.938) * CHOOSE(CONTROL!$C$21, $C$9, 100%, $E$9)</f>
        <v>4.9379999999999997</v>
      </c>
      <c r="M47" s="14">
        <f>CHOOSE(CONTROL!$C$42, 4.1748, 4.1748) * CHOOSE(CONTROL!$C$21, $C$9, 100%, $E$9)</f>
        <v>4.1748000000000003</v>
      </c>
      <c r="N47" s="14">
        <f>CHOOSE(CONTROL!$C$42, 4.1905, 4.1905) * CHOOSE(CONTROL!$C$21, $C$9, 100%, $E$9)</f>
        <v>4.1905000000000001</v>
      </c>
      <c r="O47" s="14">
        <f>CHOOSE(CONTROL!$C$42, 4.2696, 4.2696) * CHOOSE(CONTROL!$C$21, $C$9, 100%, $E$9)</f>
        <v>4.2695999999999996</v>
      </c>
      <c r="P47" s="14">
        <f>CHOOSE(CONTROL!$C$42, 4.2047, 4.2047) * CHOOSE(CONTROL!$C$21, $C$9, 100%, $E$9)</f>
        <v>4.2046999999999999</v>
      </c>
      <c r="Q47" s="14">
        <f>CHOOSE(CONTROL!$C$42, 4.8643, 4.8643) * CHOOSE(CONTROL!$C$21, $C$9, 100%, $E$9)</f>
        <v>4.8643000000000001</v>
      </c>
      <c r="R47" s="14">
        <f>CHOOSE(CONTROL!$C$42, 5.4634, 5.4634) * CHOOSE(CONTROL!$C$21, $C$9, 100%, $E$9)</f>
        <v>5.4634</v>
      </c>
      <c r="S47" s="14">
        <f>CHOOSE(CONTROL!$C$42, 4.0838, 4.0838) * CHOOSE(CONTROL!$C$21, $C$9, 100%, $E$9)</f>
        <v>4.0838000000000001</v>
      </c>
      <c r="T4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7" s="57">
        <f>(1000*CHOOSE(CONTROL!$C$42, 695, 695)*CHOOSE(CONTROL!$C$42, 0.5599, 0.5599)*CHOOSE(CONTROL!$C$42, 30, 30))/1000000</f>
        <v>11.673914999999997</v>
      </c>
      <c r="V47" s="57">
        <f>(1000*CHOOSE(CONTROL!$C$42, 580, 580)*CHOOSE(CONTROL!$C$42, 0.275, 0.275)*CHOOSE(CONTROL!$C$42, 30, 30))/1000000</f>
        <v>4.7850000000000001</v>
      </c>
      <c r="W47" s="57">
        <f>(1000*CHOOSE(CONTROL!$C$42, 0.1146, 0.1146)*CHOOSE(CONTROL!$C$42, 200, 200)*CHOOSE(CONTROL!$C$42, 30, 30))/1000000</f>
        <v>0.68759999999999999</v>
      </c>
      <c r="X47" s="57">
        <f>(30*0.1790888*100000/1000000)+(30*0.2374*100000/1000000)</f>
        <v>1.2494664</v>
      </c>
      <c r="Y47" s="57"/>
      <c r="Z47" s="14">
        <f>CHOOSE(CONTROL!$C$42, 4.1928, 4.1928) * CHOOSE(CONTROL!$C$21, $C$9, 100%, $E$9)</f>
        <v>4.1928000000000001</v>
      </c>
      <c r="AA47" s="58">
        <f>(30*((8.12*31500+8.18*100000)/30))/1000000</f>
        <v>1.07378</v>
      </c>
      <c r="AB47" s="50">
        <f>(B47*122.58+C47*297.941+D47*89.177+E47*40.302+F47*40+G47*160+H47*0+I47*100+J47*300)/(122.58+297.941+89.177+40.302+0+40+160+100+300)</f>
        <v>4.2728201377391297</v>
      </c>
      <c r="AC47" s="45">
        <f>(M47*240+N47*40+O47*315+P47*100)/(240+40+315+100)</f>
        <v>4.2229726618705037</v>
      </c>
    </row>
    <row r="48" spans="1:29" ht="15.75" x14ac:dyDescent="0.25">
      <c r="A48" s="13">
        <v>42339</v>
      </c>
      <c r="B48" s="14">
        <f>CHOOSE(CONTROL!$C$42, 4.4379, 4.4379) * CHOOSE(CONTROL!$C$21, $C$9, 100%, $E$9)</f>
        <v>4.4379</v>
      </c>
      <c r="C48" s="14">
        <f>CHOOSE(CONTROL!$C$42, 4.4429, 4.4429) * CHOOSE(CONTROL!$C$21, $C$9, 100%, $E$9)</f>
        <v>4.4428999999999998</v>
      </c>
      <c r="D48" s="14">
        <f>CHOOSE(CONTROL!$C$42, 4.5067, 4.5067) * CHOOSE(CONTROL!$C$21, $C$9, 100%, $E$9)</f>
        <v>4.5067000000000004</v>
      </c>
      <c r="E48" s="14">
        <f>CHOOSE(CONTROL!$C$42, 4.5408, 4.5408) * CHOOSE(CONTROL!$C$21, $C$9, 100%, $E$9)</f>
        <v>4.5407999999999999</v>
      </c>
      <c r="F48" s="14">
        <f>CHOOSE(CONTROL!$C$42, 4.4425, 4.4425)*CHOOSE(CONTROL!$C$21, $C$9, 100%, $E$9)</f>
        <v>4.4424999999999999</v>
      </c>
      <c r="G48" s="14">
        <f>CHOOSE(CONTROL!$C$42, 4.4591, 4.4591)*CHOOSE(CONTROL!$C$21, $C$9, 100%, $E$9)</f>
        <v>4.4591000000000003</v>
      </c>
      <c r="H48" s="14">
        <f>CHOOSE(CONTROL!$C$42, 4.53, 4.53) * CHOOSE(CONTROL!$C$21, $C$9, 100%, $E$9)</f>
        <v>4.53</v>
      </c>
      <c r="I48" s="14">
        <f>CHOOSE(CONTROL!$C$42, 4.4646, 4.4646)* CHOOSE(CONTROL!$C$21, $C$9, 100%, $E$9)</f>
        <v>4.4645999999999999</v>
      </c>
      <c r="J48" s="14">
        <f>CHOOSE(CONTROL!$C$42, 4.4355, 4.4355)* CHOOSE(CONTROL!$C$21, $C$9, 100%, $E$9)</f>
        <v>4.4355000000000002</v>
      </c>
      <c r="K48" s="53"/>
      <c r="L48" s="14">
        <f>CHOOSE(CONTROL!$C$42, 5.117, 5.117) * CHOOSE(CONTROL!$C$21, $C$9, 100%, $E$9)</f>
        <v>5.117</v>
      </c>
      <c r="M48" s="14">
        <f>CHOOSE(CONTROL!$C$42, 4.3523, 4.3523) * CHOOSE(CONTROL!$C$21, $C$9, 100%, $E$9)</f>
        <v>4.3522999999999996</v>
      </c>
      <c r="N48" s="14">
        <f>CHOOSE(CONTROL!$C$42, 4.3686, 4.3686) * CHOOSE(CONTROL!$C$21, $C$9, 100%, $E$9)</f>
        <v>4.3685999999999998</v>
      </c>
      <c r="O48" s="14">
        <f>CHOOSE(CONTROL!$C$42, 4.4449, 4.4449) * CHOOSE(CONTROL!$C$21, $C$9, 100%, $E$9)</f>
        <v>4.4448999999999996</v>
      </c>
      <c r="P48" s="14">
        <f>CHOOSE(CONTROL!$C$42, 4.3806, 4.3806) * CHOOSE(CONTROL!$C$21, $C$9, 100%, $E$9)</f>
        <v>4.3806000000000003</v>
      </c>
      <c r="Q48" s="14">
        <f>CHOOSE(CONTROL!$C$42, 5.0396, 5.0396) * CHOOSE(CONTROL!$C$21, $C$9, 100%, $E$9)</f>
        <v>5.0396000000000001</v>
      </c>
      <c r="R48" s="14">
        <f>CHOOSE(CONTROL!$C$42, 5.6392, 5.6392) * CHOOSE(CONTROL!$C$21, $C$9, 100%, $E$9)</f>
        <v>5.6391999999999998</v>
      </c>
      <c r="S48" s="14">
        <f>CHOOSE(CONTROL!$C$42, 4.2558, 4.2558) * CHOOSE(CONTROL!$C$21, $C$9, 100%, $E$9)</f>
        <v>4.2557999999999998</v>
      </c>
      <c r="T4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8" s="57">
        <f>(1000*CHOOSE(CONTROL!$C$42, 695, 695)*CHOOSE(CONTROL!$C$42, 0.5599, 0.5599)*CHOOSE(CONTROL!$C$42, 31, 31))/1000000</f>
        <v>12.063045499999998</v>
      </c>
      <c r="V48" s="57">
        <f>(1000*CHOOSE(CONTROL!$C$42, 580, 580)*CHOOSE(CONTROL!$C$42, 0.275, 0.275)*CHOOSE(CONTROL!$C$42, 31, 31))/1000000</f>
        <v>4.9444999999999997</v>
      </c>
      <c r="W48" s="57">
        <f>(1000*CHOOSE(CONTROL!$C$42, 0.1146, 0.1146)*CHOOSE(CONTROL!$C$42, 200, 200)*CHOOSE(CONTROL!$C$42, 31, 31))/1000000</f>
        <v>0.71052000000000004</v>
      </c>
      <c r="X48" s="57">
        <f>(31*0.1790888*100000/1000000)+(31*0.2374*100000/1000000)</f>
        <v>1.2911152800000001</v>
      </c>
      <c r="Y48" s="57"/>
      <c r="Z48" s="14">
        <f>CHOOSE(CONTROL!$C$42, 4.3689, 4.3689) * CHOOSE(CONTROL!$C$21, $C$9, 100%, $E$9)</f>
        <v>4.3689</v>
      </c>
      <c r="AA48" s="58">
        <f>(31*((8.12*31500+8.18*100000)/31))/1000000</f>
        <v>1.07378</v>
      </c>
      <c r="AB48" s="50">
        <f>(B48*122.58+C48*297.941+D48*89.177+E48*40.302+F48*40+G48*160+H48*0+I48*100+J48*300)/(122.58+297.941+89.177+40.302+0+40+160+100+300)</f>
        <v>4.4529418768695654</v>
      </c>
      <c r="AC48" s="45">
        <f>(M48*240+N48*40+O48*315+P48*100)/(240+40+315+100)</f>
        <v>4.3992798561151067</v>
      </c>
    </row>
    <row r="49" spans="1:29" ht="15.75" x14ac:dyDescent="0.25">
      <c r="A49" s="13">
        <v>42370</v>
      </c>
      <c r="B49" s="14">
        <f>CHOOSE(CONTROL!$C$42, 4.6749, 4.6749) * CHOOSE(CONTROL!$C$21, $C$9, 100%, $E$9)</f>
        <v>4.6749000000000001</v>
      </c>
      <c r="C49" s="14">
        <f>CHOOSE(CONTROL!$C$42, 4.6799, 4.6799) * CHOOSE(CONTROL!$C$21, $C$9, 100%, $E$9)</f>
        <v>4.6798999999999999</v>
      </c>
      <c r="D49" s="14">
        <f>CHOOSE(CONTROL!$C$42, 4.7463, 4.7463) * CHOOSE(CONTROL!$C$21, $C$9, 100%, $E$9)</f>
        <v>4.7462999999999997</v>
      </c>
      <c r="E49" s="14">
        <f>CHOOSE(CONTROL!$C$42, 4.7804, 4.7804) * CHOOSE(CONTROL!$C$21, $C$9, 100%, $E$9)</f>
        <v>4.7804000000000002</v>
      </c>
      <c r="F49" s="14">
        <f>CHOOSE(CONTROL!$C$42, 4.6622, 4.6622)*CHOOSE(CONTROL!$C$21, $C$9, 100%, $E$9)</f>
        <v>4.6622000000000003</v>
      </c>
      <c r="G49" s="14">
        <f>CHOOSE(CONTROL!$C$42, 4.6777, 4.6777)*CHOOSE(CONTROL!$C$21, $C$9, 100%, $E$9)</f>
        <v>4.6776999999999997</v>
      </c>
      <c r="H49" s="14">
        <f>CHOOSE(CONTROL!$C$42, 4.7696, 4.7696) * CHOOSE(CONTROL!$C$21, $C$9, 100%, $E$9)</f>
        <v>4.7695999999999996</v>
      </c>
      <c r="I49" s="14">
        <f>CHOOSE(CONTROL!$C$42, 4.6971, 4.6971)* CHOOSE(CONTROL!$C$21, $C$9, 100%, $E$9)</f>
        <v>4.6970999999999998</v>
      </c>
      <c r="J49" s="14">
        <f>CHOOSE(CONTROL!$C$42, 4.6552, 4.6552)* CHOOSE(CONTROL!$C$21, $C$9, 100%, $E$9)</f>
        <v>4.6551999999999998</v>
      </c>
      <c r="K49" s="53"/>
      <c r="L49" s="14">
        <f>CHOOSE(CONTROL!$C$42, 5.3566, 5.3566) * CHOOSE(CONTROL!$C$21, $C$9, 100%, $E$9)</f>
        <v>5.3566000000000003</v>
      </c>
      <c r="M49" s="14">
        <f>CHOOSE(CONTROL!$C$42, 4.5675, 4.5675) * CHOOSE(CONTROL!$C$21, $C$9, 100%, $E$9)</f>
        <v>4.5674999999999999</v>
      </c>
      <c r="N49" s="14">
        <f>CHOOSE(CONTROL!$C$42, 4.5826, 4.5826) * CHOOSE(CONTROL!$C$21, $C$9, 100%, $E$9)</f>
        <v>4.5826000000000002</v>
      </c>
      <c r="O49" s="14">
        <f>CHOOSE(CONTROL!$C$42, 4.6796, 4.6796) * CHOOSE(CONTROL!$C$21, $C$9, 100%, $E$9)</f>
        <v>4.6795999999999998</v>
      </c>
      <c r="P49" s="14">
        <f>CHOOSE(CONTROL!$C$42, 4.6084, 4.6084) * CHOOSE(CONTROL!$C$21, $C$9, 100%, $E$9)</f>
        <v>4.6083999999999996</v>
      </c>
      <c r="Q49" s="14">
        <f>CHOOSE(CONTROL!$C$42, 5.2743, 5.2743) * CHOOSE(CONTROL!$C$21, $C$9, 100%, $E$9)</f>
        <v>5.2743000000000002</v>
      </c>
      <c r="R49" s="14">
        <f>CHOOSE(CONTROL!$C$42, 5.8745, 5.8745) * CHOOSE(CONTROL!$C$21, $C$9, 100%, $E$9)</f>
        <v>5.8745000000000003</v>
      </c>
      <c r="S49" s="14">
        <f>CHOOSE(CONTROL!$C$42, 4.4835, 4.4835) * CHOOSE(CONTROL!$C$21, $C$9, 100%, $E$9)</f>
        <v>4.4835000000000003</v>
      </c>
      <c r="T4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9" s="57">
        <f>(1000*CHOOSE(CONTROL!$C$42, 695, 695)*CHOOSE(CONTROL!$C$42, 0.5599, 0.5599)*CHOOSE(CONTROL!$C$42, 31, 31))/1000000</f>
        <v>12.063045499999998</v>
      </c>
      <c r="V49" s="57">
        <f>(1000*CHOOSE(CONTROL!$C$42, 580, 580)*CHOOSE(CONTROL!$C$42, 0.275, 0.275)*CHOOSE(CONTROL!$C$42, 31, 31))/1000000</f>
        <v>4.9444999999999997</v>
      </c>
      <c r="W49" s="57">
        <f>(1000*CHOOSE(CONTROL!$C$42, 0.1146, 0.1146)*CHOOSE(CONTROL!$C$42, 200, 200)*CHOOSE(CONTROL!$C$42, 31, 31))/1000000</f>
        <v>0.71052000000000004</v>
      </c>
      <c r="X49" s="57">
        <f>(31*0.1790888*100000/1000000)+(31*0.2374*100000/1000000)</f>
        <v>1.2911152800000001</v>
      </c>
      <c r="Y49" s="57"/>
      <c r="Z49" s="14"/>
      <c r="AA49" s="56"/>
      <c r="AB49" s="50">
        <f>(B49*122.58+C49*297.941+D49*89.177+E49*40.302+F49*40+G49*160+H49*0+I49*100+J49*300)/(122.58+297.941+89.177+40.302+0+40+160+100+300)</f>
        <v>4.6821685250434779</v>
      </c>
      <c r="AC49" s="45">
        <f>(M49*'RAP TEMPLATE-GAS AVAILABILITY'!O48+N49*'RAP TEMPLATE-GAS AVAILABILITY'!P48+O49*'RAP TEMPLATE-GAS AVAILABILITY'!Q48+P49*'RAP TEMPLATE-GAS AVAILABILITY'!R48)/('RAP TEMPLATE-GAS AVAILABILITY'!O48+'RAP TEMPLATE-GAS AVAILABILITY'!P48+'RAP TEMPLATE-GAS AVAILABILITY'!Q48+'RAP TEMPLATE-GAS AVAILABILITY'!R48)</f>
        <v>4.6250618705035977</v>
      </c>
    </row>
    <row r="50" spans="1:29" ht="15.75" x14ac:dyDescent="0.25">
      <c r="A50" s="13">
        <v>42401</v>
      </c>
      <c r="B50" s="14">
        <f>CHOOSE(CONTROL!$C$42, 4.7677, 4.7677) * CHOOSE(CONTROL!$C$21, $C$9, 100%, $E$9)</f>
        <v>4.7676999999999996</v>
      </c>
      <c r="C50" s="14">
        <f>CHOOSE(CONTROL!$C$42, 4.7727, 4.7727) * CHOOSE(CONTROL!$C$21, $C$9, 100%, $E$9)</f>
        <v>4.7727000000000004</v>
      </c>
      <c r="D50" s="14">
        <f>CHOOSE(CONTROL!$C$42, 4.8392, 4.8392) * CHOOSE(CONTROL!$C$21, $C$9, 100%, $E$9)</f>
        <v>4.8391999999999999</v>
      </c>
      <c r="E50" s="14">
        <f>CHOOSE(CONTROL!$C$42, 4.8733, 4.8733) * CHOOSE(CONTROL!$C$21, $C$9, 100%, $E$9)</f>
        <v>4.8733000000000004</v>
      </c>
      <c r="F50" s="14">
        <f>CHOOSE(CONTROL!$C$42, 4.7551, 4.7551)*CHOOSE(CONTROL!$C$21, $C$9, 100%, $E$9)</f>
        <v>4.7550999999999997</v>
      </c>
      <c r="G50" s="14">
        <f>CHOOSE(CONTROL!$C$42, 4.7706, 4.7706)*CHOOSE(CONTROL!$C$21, $C$9, 100%, $E$9)</f>
        <v>4.7706</v>
      </c>
      <c r="H50" s="14">
        <f>CHOOSE(CONTROL!$C$42, 4.8625, 4.8625) * CHOOSE(CONTROL!$C$21, $C$9, 100%, $E$9)</f>
        <v>4.8624999999999998</v>
      </c>
      <c r="I50" s="14">
        <f>CHOOSE(CONTROL!$C$42, 4.7902, 4.7902)* CHOOSE(CONTROL!$C$21, $C$9, 100%, $E$9)</f>
        <v>4.7901999999999996</v>
      </c>
      <c r="J50" s="14">
        <f>CHOOSE(CONTROL!$C$42, 4.7481, 4.7481)* CHOOSE(CONTROL!$C$21, $C$9, 100%, $E$9)</f>
        <v>4.7481</v>
      </c>
      <c r="K50" s="53"/>
      <c r="L50" s="14">
        <f>CHOOSE(CONTROL!$C$42, 5.4495, 5.4495) * CHOOSE(CONTROL!$C$21, $C$9, 100%, $E$9)</f>
        <v>5.4494999999999996</v>
      </c>
      <c r="M50" s="14">
        <f>CHOOSE(CONTROL!$C$42, 4.6585, 4.6585) * CHOOSE(CONTROL!$C$21, $C$9, 100%, $E$9)</f>
        <v>4.6585000000000001</v>
      </c>
      <c r="N50" s="14">
        <f>CHOOSE(CONTROL!$C$42, 4.6737, 4.6737) * CHOOSE(CONTROL!$C$21, $C$9, 100%, $E$9)</f>
        <v>4.6737000000000002</v>
      </c>
      <c r="O50" s="14">
        <f>CHOOSE(CONTROL!$C$42, 4.7705, 4.7705) * CHOOSE(CONTROL!$C$21, $C$9, 100%, $E$9)</f>
        <v>4.7705000000000002</v>
      </c>
      <c r="P50" s="14">
        <f>CHOOSE(CONTROL!$C$42, 4.6996, 4.6996) * CHOOSE(CONTROL!$C$21, $C$9, 100%, $E$9)</f>
        <v>4.6996000000000002</v>
      </c>
      <c r="Q50" s="14">
        <f>CHOOSE(CONTROL!$C$42, 5.3652, 5.3652) * CHOOSE(CONTROL!$C$21, $C$9, 100%, $E$9)</f>
        <v>5.3651999999999997</v>
      </c>
      <c r="R50" s="14">
        <f>CHOOSE(CONTROL!$C$42, 5.9656, 5.9656) * CHOOSE(CONTROL!$C$21, $C$9, 100%, $E$9)</f>
        <v>5.9656000000000002</v>
      </c>
      <c r="S50" s="14">
        <f>CHOOSE(CONTROL!$C$42, 4.5727, 4.5727) * CHOOSE(CONTROL!$C$21, $C$9, 100%, $E$9)</f>
        <v>4.5727000000000002</v>
      </c>
      <c r="T50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50" s="57">
        <f>(1000*CHOOSE(CONTROL!$C$42, 695, 695)*CHOOSE(CONTROL!$C$42, 0.5599, 0.5599)*CHOOSE(CONTROL!$C$42, 29, 29))/1000000</f>
        <v>11.284784499999999</v>
      </c>
      <c r="V50" s="57">
        <f>(1000*CHOOSE(CONTROL!$C$42, 580, 580)*CHOOSE(CONTROL!$C$42, 0.275, 0.275)*CHOOSE(CONTROL!$C$42, 29, 29))/1000000</f>
        <v>4.6254999999999997</v>
      </c>
      <c r="W50" s="57">
        <f>(1000*CHOOSE(CONTROL!$C$42, 0.1146, 0.1146)*CHOOSE(CONTROL!$C$42, 200, 200)*CHOOSE(CONTROL!$C$42, 29, 29))/1000000</f>
        <v>0.66468000000000005</v>
      </c>
      <c r="X50" s="57">
        <f>(29*0.1790888*100000/1000000)+(29*0.2374*100000/1000000)</f>
        <v>1.2078175199999999</v>
      </c>
      <c r="Y50" s="57"/>
      <c r="Z50" s="14"/>
      <c r="AA50" s="56"/>
      <c r="AB50" s="50">
        <f>(B50*122.58+C50*297.941+D50*89.177+E50*40.302+F50*40+G50*160+H50*0+I50*100+J50*300)/(122.58+297.941+89.177+40.302+0+40+160+100+300)</f>
        <v>4.7750493493043482</v>
      </c>
      <c r="AC50" s="45">
        <f>(M50*'RAP TEMPLATE-GAS AVAILABILITY'!O49+N50*'RAP TEMPLATE-GAS AVAILABILITY'!P49+O50*'RAP TEMPLATE-GAS AVAILABILITY'!Q49+P50*'RAP TEMPLATE-GAS AVAILABILITY'!R49)/('RAP TEMPLATE-GAS AVAILABILITY'!O49+'RAP TEMPLATE-GAS AVAILABILITY'!P49+'RAP TEMPLATE-GAS AVAILABILITY'!Q49+'RAP TEMPLATE-GAS AVAILABILITY'!R49)</f>
        <v>4.7160510791366903</v>
      </c>
    </row>
    <row r="51" spans="1:29" ht="15.75" x14ac:dyDescent="0.25">
      <c r="A51" s="13">
        <v>42430</v>
      </c>
      <c r="B51" s="14">
        <f>CHOOSE(CONTROL!$C$42, 4.6421, 4.6421) * CHOOSE(CONTROL!$C$21, $C$9, 100%, $E$9)</f>
        <v>4.6421000000000001</v>
      </c>
      <c r="C51" s="14">
        <f>CHOOSE(CONTROL!$C$42, 4.6472, 4.6472) * CHOOSE(CONTROL!$C$21, $C$9, 100%, $E$9)</f>
        <v>4.6471999999999998</v>
      </c>
      <c r="D51" s="14">
        <f>CHOOSE(CONTROL!$C$42, 4.7136, 4.7136) * CHOOSE(CONTROL!$C$21, $C$9, 100%, $E$9)</f>
        <v>4.7135999999999996</v>
      </c>
      <c r="E51" s="14">
        <f>CHOOSE(CONTROL!$C$42, 4.7477, 4.7477) * CHOOSE(CONTROL!$C$21, $C$9, 100%, $E$9)</f>
        <v>4.7477</v>
      </c>
      <c r="F51" s="14">
        <f>CHOOSE(CONTROL!$C$42, 4.6291, 4.6291)*CHOOSE(CONTROL!$C$21, $C$9, 100%, $E$9)</f>
        <v>4.6291000000000002</v>
      </c>
      <c r="G51" s="14">
        <f>CHOOSE(CONTROL!$C$42, 4.6445, 4.6445)*CHOOSE(CONTROL!$C$21, $C$9, 100%, $E$9)</f>
        <v>4.6444999999999999</v>
      </c>
      <c r="H51" s="14">
        <f>CHOOSE(CONTROL!$C$42, 4.7369, 4.7369) * CHOOSE(CONTROL!$C$21, $C$9, 100%, $E$9)</f>
        <v>4.7369000000000003</v>
      </c>
      <c r="I51" s="14">
        <f>CHOOSE(CONTROL!$C$42, 4.6643, 4.6643)* CHOOSE(CONTROL!$C$21, $C$9, 100%, $E$9)</f>
        <v>4.6642999999999999</v>
      </c>
      <c r="J51" s="14">
        <f>CHOOSE(CONTROL!$C$42, 4.6221, 4.6221)* CHOOSE(CONTROL!$C$21, $C$9, 100%, $E$9)</f>
        <v>4.6220999999999997</v>
      </c>
      <c r="K51" s="53"/>
      <c r="L51" s="14">
        <f>CHOOSE(CONTROL!$C$42, 5.3239, 5.3239) * CHOOSE(CONTROL!$C$21, $C$9, 100%, $E$9)</f>
        <v>5.3239000000000001</v>
      </c>
      <c r="M51" s="14">
        <f>CHOOSE(CONTROL!$C$42, 4.5351, 4.5351) * CHOOSE(CONTROL!$C$21, $C$9, 100%, $E$9)</f>
        <v>4.5350999999999999</v>
      </c>
      <c r="N51" s="14">
        <f>CHOOSE(CONTROL!$C$42, 4.5502, 4.5502) * CHOOSE(CONTROL!$C$21, $C$9, 100%, $E$9)</f>
        <v>4.5502000000000002</v>
      </c>
      <c r="O51" s="14">
        <f>CHOOSE(CONTROL!$C$42, 4.6475, 4.6475) * CHOOSE(CONTROL!$C$21, $C$9, 100%, $E$9)</f>
        <v>4.6475</v>
      </c>
      <c r="P51" s="14">
        <f>CHOOSE(CONTROL!$C$42, 4.5762, 4.5762) * CHOOSE(CONTROL!$C$21, $C$9, 100%, $E$9)</f>
        <v>4.5762</v>
      </c>
      <c r="Q51" s="14">
        <f>CHOOSE(CONTROL!$C$42, 5.2422, 5.2422) * CHOOSE(CONTROL!$C$21, $C$9, 100%, $E$9)</f>
        <v>5.2422000000000004</v>
      </c>
      <c r="R51" s="14">
        <f>CHOOSE(CONTROL!$C$42, 5.8423, 5.8423) * CHOOSE(CONTROL!$C$21, $C$9, 100%, $E$9)</f>
        <v>5.8422999999999998</v>
      </c>
      <c r="S51" s="14">
        <f>CHOOSE(CONTROL!$C$42, 4.4521, 4.4521) * CHOOSE(CONTROL!$C$21, $C$9, 100%, $E$9)</f>
        <v>4.4520999999999997</v>
      </c>
      <c r="T5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1" s="57">
        <f>(1000*CHOOSE(CONTROL!$C$42, 695, 695)*CHOOSE(CONTROL!$C$42, 0.5599, 0.5599)*CHOOSE(CONTROL!$C$42, 31, 31))/1000000</f>
        <v>12.063045499999998</v>
      </c>
      <c r="V51" s="57">
        <f>(1000*CHOOSE(CONTROL!$C$42, 580, 580)*CHOOSE(CONTROL!$C$42, 0.275, 0.275)*CHOOSE(CONTROL!$C$42, 31, 31))/1000000</f>
        <v>4.9444999999999997</v>
      </c>
      <c r="W51" s="57">
        <f>(1000*CHOOSE(CONTROL!$C$42, 0.1146, 0.1146)*CHOOSE(CONTROL!$C$42, 200, 200)*CHOOSE(CONTROL!$C$42, 31, 31))/1000000</f>
        <v>0.71052000000000004</v>
      </c>
      <c r="X51" s="57">
        <f>(31*0.1790888*100000/1000000)+(31*0.2374*100000/1000000)</f>
        <v>1.2911152800000001</v>
      </c>
      <c r="Y51" s="57"/>
      <c r="Z51" s="14"/>
      <c r="AA51" s="56"/>
      <c r="AB51" s="50">
        <f>(B51*122.58+C51*297.941+D51*89.177+E51*40.302+F51*40+G51*160+H51*0+I51*100+J51*300)/(122.58+297.941+89.177+40.302+0+40+160+100+300)</f>
        <v>4.6492613441739126</v>
      </c>
      <c r="AC51" s="45">
        <f>(M51*'RAP TEMPLATE-GAS AVAILABILITY'!O50+N51*'RAP TEMPLATE-GAS AVAILABILITY'!P50+O51*'RAP TEMPLATE-GAS AVAILABILITY'!Q50+P51*'RAP TEMPLATE-GAS AVAILABILITY'!R50)/('RAP TEMPLATE-GAS AVAILABILITY'!O50+'RAP TEMPLATE-GAS AVAILABILITY'!P50+'RAP TEMPLATE-GAS AVAILABILITY'!Q50+'RAP TEMPLATE-GAS AVAILABILITY'!R50)</f>
        <v>4.5928266187050362</v>
      </c>
    </row>
    <row r="52" spans="1:29" ht="15.75" x14ac:dyDescent="0.25">
      <c r="A52" s="13">
        <v>42461</v>
      </c>
      <c r="B52" s="14">
        <f>CHOOSE(CONTROL!$C$42, 4.6389, 4.6389) * CHOOSE(CONTROL!$C$21, $C$9, 100%, $E$9)</f>
        <v>4.6388999999999996</v>
      </c>
      <c r="C52" s="14">
        <f>CHOOSE(CONTROL!$C$42, 4.6434, 4.6434) * CHOOSE(CONTROL!$C$21, $C$9, 100%, $E$9)</f>
        <v>4.6433999999999997</v>
      </c>
      <c r="D52" s="14">
        <f>CHOOSE(CONTROL!$C$42, 4.8505, 4.8505) * CHOOSE(CONTROL!$C$21, $C$9, 100%, $E$9)</f>
        <v>4.8505000000000003</v>
      </c>
      <c r="E52" s="14">
        <f>CHOOSE(CONTROL!$C$42, 4.8826, 4.8826) * CHOOSE(CONTROL!$C$21, $C$9, 100%, $E$9)</f>
        <v>4.8826000000000001</v>
      </c>
      <c r="F52" s="14">
        <f>CHOOSE(CONTROL!$C$42, 4.6208, 4.6208)*CHOOSE(CONTROL!$C$21, $C$9, 100%, $E$9)</f>
        <v>4.6208</v>
      </c>
      <c r="G52" s="14">
        <f>CHOOSE(CONTROL!$C$42, 4.636, 4.636)*CHOOSE(CONTROL!$C$21, $C$9, 100%, $E$9)</f>
        <v>4.6360000000000001</v>
      </c>
      <c r="H52" s="14">
        <f>CHOOSE(CONTROL!$C$42, 4.8724, 4.8724) * CHOOSE(CONTROL!$C$21, $C$9, 100%, $E$9)</f>
        <v>4.8723999999999998</v>
      </c>
      <c r="I52" s="14">
        <f>CHOOSE(CONTROL!$C$42, 4.6603, 4.6603)* CHOOSE(CONTROL!$C$21, $C$9, 100%, $E$9)</f>
        <v>4.6603000000000003</v>
      </c>
      <c r="J52" s="14">
        <f>CHOOSE(CONTROL!$C$42, 4.6138, 4.6138)* CHOOSE(CONTROL!$C$21, $C$9, 100%, $E$9)</f>
        <v>4.6138000000000003</v>
      </c>
      <c r="K52" s="53"/>
      <c r="L52" s="14">
        <f>CHOOSE(CONTROL!$C$42, 5.4594, 5.4594) * CHOOSE(CONTROL!$C$21, $C$9, 100%, $E$9)</f>
        <v>5.4593999999999996</v>
      </c>
      <c r="M52" s="14">
        <f>CHOOSE(CONTROL!$C$42, 4.527, 4.527) * CHOOSE(CONTROL!$C$21, $C$9, 100%, $E$9)</f>
        <v>4.5270000000000001</v>
      </c>
      <c r="N52" s="14">
        <f>CHOOSE(CONTROL!$C$42, 4.5419, 4.5419) * CHOOSE(CONTROL!$C$21, $C$9, 100%, $E$9)</f>
        <v>4.5419</v>
      </c>
      <c r="O52" s="14">
        <f>CHOOSE(CONTROL!$C$42, 4.7803, 4.7803) * CHOOSE(CONTROL!$C$21, $C$9, 100%, $E$9)</f>
        <v>4.7803000000000004</v>
      </c>
      <c r="P52" s="14">
        <f>CHOOSE(CONTROL!$C$42, 4.5723, 4.5723) * CHOOSE(CONTROL!$C$21, $C$9, 100%, $E$9)</f>
        <v>4.5723000000000003</v>
      </c>
      <c r="Q52" s="14">
        <f>CHOOSE(CONTROL!$C$42, 5.375, 5.375) * CHOOSE(CONTROL!$C$21, $C$9, 100%, $E$9)</f>
        <v>5.375</v>
      </c>
      <c r="R52" s="14">
        <f>CHOOSE(CONTROL!$C$42, 5.9754, 5.9754) * CHOOSE(CONTROL!$C$21, $C$9, 100%, $E$9)</f>
        <v>5.9753999999999996</v>
      </c>
      <c r="S52" s="14">
        <f>CHOOSE(CONTROL!$C$42, 4.4483, 4.4483) * CHOOSE(CONTROL!$C$21, $C$9, 100%, $E$9)</f>
        <v>4.4482999999999997</v>
      </c>
      <c r="T5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2" s="57">
        <f>(1000*CHOOSE(CONTROL!$C$42, 695, 695)*CHOOSE(CONTROL!$C$42, 0.5599, 0.5599)*CHOOSE(CONTROL!$C$42, 30, 30))/1000000</f>
        <v>11.673914999999997</v>
      </c>
      <c r="V52" s="57">
        <f>(1000*CHOOSE(CONTROL!$C$42, 580, 580)*CHOOSE(CONTROL!$C$42, 0.275, 0.275)*CHOOSE(CONTROL!$C$42, 30, 30))/1000000</f>
        <v>4.7850000000000001</v>
      </c>
      <c r="W52" s="57">
        <f>(1000*CHOOSE(CONTROL!$C$42, 0.1146, 0.1146)*CHOOSE(CONTROL!$C$42, 200, 200)*CHOOSE(CONTROL!$C$42, 30, 30))/1000000</f>
        <v>0.68759999999999999</v>
      </c>
      <c r="X52" s="57">
        <f>(30*0.1790888*245000/1000000)+(30*0.2374*100000/1000000)</f>
        <v>2.0285026799999999</v>
      </c>
      <c r="Y52" s="57"/>
      <c r="Z52" s="14"/>
      <c r="AA52" s="56"/>
      <c r="AB52" s="50">
        <f>(B52*141.293+C52*267.993+D52*115.016+E52*89.698+F52*40+G52*185+H52*0+I52*100+J52*300)/(141.293+267.993+115.016+89.698+0+40+185+100+300)</f>
        <v>4.6717912483454391</v>
      </c>
      <c r="AC52" s="45">
        <f>(M52*'RAP TEMPLATE-GAS AVAILABILITY'!O51+N52*'RAP TEMPLATE-GAS AVAILABILITY'!P51+O52*'RAP TEMPLATE-GAS AVAILABILITY'!Q51+P52*'RAP TEMPLATE-GAS AVAILABILITY'!R51)/('RAP TEMPLATE-GAS AVAILABILITY'!O51+'RAP TEMPLATE-GAS AVAILABILITY'!P51+'RAP TEMPLATE-GAS AVAILABILITY'!Q51+'RAP TEMPLATE-GAS AVAILABILITY'!R51)</f>
        <v>4.6080179856115109</v>
      </c>
    </row>
    <row r="53" spans="1:29" ht="15.75" x14ac:dyDescent="0.25">
      <c r="A53" s="13">
        <v>42491</v>
      </c>
      <c r="B53" s="14">
        <f>CHOOSE(CONTROL!$C$42, 4.6908, 4.6908) * CHOOSE(CONTROL!$C$21, $C$9, 100%, $E$9)</f>
        <v>4.6908000000000003</v>
      </c>
      <c r="C53" s="14">
        <f>CHOOSE(CONTROL!$C$42, 4.6988, 4.6988) * CHOOSE(CONTROL!$C$21, $C$9, 100%, $E$9)</f>
        <v>4.6988000000000003</v>
      </c>
      <c r="D53" s="14">
        <f>CHOOSE(CONTROL!$C$42, 4.9028, 4.9028) * CHOOSE(CONTROL!$C$21, $C$9, 100%, $E$9)</f>
        <v>4.9028</v>
      </c>
      <c r="E53" s="14">
        <f>CHOOSE(CONTROL!$C$42, 4.9342, 4.9342) * CHOOSE(CONTROL!$C$21, $C$9, 100%, $E$9)</f>
        <v>4.9341999999999997</v>
      </c>
      <c r="F53" s="14">
        <f>CHOOSE(CONTROL!$C$42, 4.6715, 4.6715)*CHOOSE(CONTROL!$C$21, $C$9, 100%, $E$9)</f>
        <v>4.6715</v>
      </c>
      <c r="G53" s="14">
        <f>CHOOSE(CONTROL!$C$42, 4.6872, 4.6872)*CHOOSE(CONTROL!$C$21, $C$9, 100%, $E$9)</f>
        <v>4.6871999999999998</v>
      </c>
      <c r="H53" s="14">
        <f>CHOOSE(CONTROL!$C$42, 4.9229, 4.9229) * CHOOSE(CONTROL!$C$21, $C$9, 100%, $E$9)</f>
        <v>4.9229000000000003</v>
      </c>
      <c r="I53" s="14">
        <f>CHOOSE(CONTROL!$C$42, 4.7109, 4.7109)* CHOOSE(CONTROL!$C$21, $C$9, 100%, $E$9)</f>
        <v>4.7108999999999996</v>
      </c>
      <c r="J53" s="14">
        <f>CHOOSE(CONTROL!$C$42, 4.6645, 4.6645)* CHOOSE(CONTROL!$C$21, $C$9, 100%, $E$9)</f>
        <v>4.6645000000000003</v>
      </c>
      <c r="K53" s="53"/>
      <c r="L53" s="14">
        <f>CHOOSE(CONTROL!$C$42, 5.5099, 5.5099) * CHOOSE(CONTROL!$C$21, $C$9, 100%, $E$9)</f>
        <v>5.5099</v>
      </c>
      <c r="M53" s="14">
        <f>CHOOSE(CONTROL!$C$42, 4.5767, 4.5767) * CHOOSE(CONTROL!$C$21, $C$9, 100%, $E$9)</f>
        <v>4.5766999999999998</v>
      </c>
      <c r="N53" s="14">
        <f>CHOOSE(CONTROL!$C$42, 4.592, 4.592) * CHOOSE(CONTROL!$C$21, $C$9, 100%, $E$9)</f>
        <v>4.5919999999999996</v>
      </c>
      <c r="O53" s="14">
        <f>CHOOSE(CONTROL!$C$42, 4.8297, 4.8297) * CHOOSE(CONTROL!$C$21, $C$9, 100%, $E$9)</f>
        <v>4.8296999999999999</v>
      </c>
      <c r="P53" s="14">
        <f>CHOOSE(CONTROL!$C$42, 4.6219, 4.6219) * CHOOSE(CONTROL!$C$21, $C$9, 100%, $E$9)</f>
        <v>4.6219000000000001</v>
      </c>
      <c r="Q53" s="14">
        <f>CHOOSE(CONTROL!$C$42, 5.4244, 5.4244) * CHOOSE(CONTROL!$C$21, $C$9, 100%, $E$9)</f>
        <v>5.4244000000000003</v>
      </c>
      <c r="R53" s="14">
        <f>CHOOSE(CONTROL!$C$42, 6.0249, 6.0249) * CHOOSE(CONTROL!$C$21, $C$9, 100%, $E$9)</f>
        <v>6.0248999999999997</v>
      </c>
      <c r="S53" s="14">
        <f>CHOOSE(CONTROL!$C$42, 4.4968, 4.4968) * CHOOSE(CONTROL!$C$21, $C$9, 100%, $E$9)</f>
        <v>4.4968000000000004</v>
      </c>
      <c r="T5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3" s="57">
        <f>(1000*CHOOSE(CONTROL!$C$42, 695, 695)*CHOOSE(CONTROL!$C$42, 0.5599, 0.5599)*CHOOSE(CONTROL!$C$42, 31, 31))/1000000</f>
        <v>12.063045499999998</v>
      </c>
      <c r="V53" s="57">
        <f>(1000*CHOOSE(CONTROL!$C$42, 580, 580)*CHOOSE(CONTROL!$C$42, 0.275, 0.275)*CHOOSE(CONTROL!$C$42, 31, 31))/1000000</f>
        <v>4.9444999999999997</v>
      </c>
      <c r="W53" s="57">
        <f>(1000*CHOOSE(CONTROL!$C$42, 0.1146, 0.1146)*CHOOSE(CONTROL!$C$42, 121.5, 121.5)*CHOOSE(CONTROL!$C$42, 31, 31))/1000000</f>
        <v>0.43164089999999994</v>
      </c>
      <c r="X53" s="57">
        <f>(31*0.1790888*245000/1000000)+(31*0.2374*100000/1000000)</f>
        <v>2.0961194359999999</v>
      </c>
      <c r="Y53" s="57"/>
      <c r="Z53" s="14"/>
      <c r="AA53" s="56"/>
      <c r="AB53" s="50">
        <f>(B53*194.205+C53*267.466+D53*133.845+E53*53.484+F53*40+G53*185+H53*0+I53*100+J53*300)/(194.205+267.466+133.845+53.484+0+40+185+100+300)</f>
        <v>4.7192261174254329</v>
      </c>
      <c r="AC53" s="45">
        <f>(M53*'RAP TEMPLATE-GAS AVAILABILITY'!O52+N53*'RAP TEMPLATE-GAS AVAILABILITY'!P52+O53*'RAP TEMPLATE-GAS AVAILABILITY'!Q52+P53*'RAP TEMPLATE-GAS AVAILABILITY'!R52)/('RAP TEMPLATE-GAS AVAILABILITY'!O52+'RAP TEMPLATE-GAS AVAILABILITY'!P52+'RAP TEMPLATE-GAS AVAILABILITY'!Q52+'RAP TEMPLATE-GAS AVAILABILITY'!R52)</f>
        <v>4.6577115107913665</v>
      </c>
    </row>
    <row r="54" spans="1:29" ht="15.75" x14ac:dyDescent="0.25">
      <c r="A54" s="13">
        <v>42522</v>
      </c>
      <c r="B54" s="14">
        <f>CHOOSE(CONTROL!$C$42, 4.8334, 4.8334) * CHOOSE(CONTROL!$C$21, $C$9, 100%, $E$9)</f>
        <v>4.8334000000000001</v>
      </c>
      <c r="C54" s="14">
        <f>CHOOSE(CONTROL!$C$42, 4.8415, 4.8415) * CHOOSE(CONTROL!$C$21, $C$9, 100%, $E$9)</f>
        <v>4.8414999999999999</v>
      </c>
      <c r="D54" s="14">
        <f>CHOOSE(CONTROL!$C$42, 5.0454, 5.0454) * CHOOSE(CONTROL!$C$21, $C$9, 100%, $E$9)</f>
        <v>5.0453999999999999</v>
      </c>
      <c r="E54" s="14">
        <f>CHOOSE(CONTROL!$C$42, 5.0768, 5.0768) * CHOOSE(CONTROL!$C$21, $C$9, 100%, $E$9)</f>
        <v>5.0768000000000004</v>
      </c>
      <c r="F54" s="14">
        <f>CHOOSE(CONTROL!$C$42, 4.8146, 4.8146)*CHOOSE(CONTROL!$C$21, $C$9, 100%, $E$9)</f>
        <v>4.8146000000000004</v>
      </c>
      <c r="G54" s="14">
        <f>CHOOSE(CONTROL!$C$42, 4.8304, 4.8304)*CHOOSE(CONTROL!$C$21, $C$9, 100%, $E$9)</f>
        <v>4.8304</v>
      </c>
      <c r="H54" s="14">
        <f>CHOOSE(CONTROL!$C$42, 5.0655, 5.0655) * CHOOSE(CONTROL!$C$21, $C$9, 100%, $E$9)</f>
        <v>5.0655000000000001</v>
      </c>
      <c r="I54" s="14">
        <f>CHOOSE(CONTROL!$C$42, 4.854, 4.854)* CHOOSE(CONTROL!$C$21, $C$9, 100%, $E$9)</f>
        <v>4.8540000000000001</v>
      </c>
      <c r="J54" s="14">
        <f>CHOOSE(CONTROL!$C$42, 4.8076, 4.8076)* CHOOSE(CONTROL!$C$21, $C$9, 100%, $E$9)</f>
        <v>4.8075999999999999</v>
      </c>
      <c r="K54" s="53"/>
      <c r="L54" s="14">
        <f>CHOOSE(CONTROL!$C$42, 5.6525, 5.6525) * CHOOSE(CONTROL!$C$21, $C$9, 100%, $E$9)</f>
        <v>5.6524999999999999</v>
      </c>
      <c r="M54" s="14">
        <f>CHOOSE(CONTROL!$C$42, 4.7168, 4.7168) * CHOOSE(CONTROL!$C$21, $C$9, 100%, $E$9)</f>
        <v>4.7168000000000001</v>
      </c>
      <c r="N54" s="14">
        <f>CHOOSE(CONTROL!$C$42, 4.7322, 4.7322) * CHOOSE(CONTROL!$C$21, $C$9, 100%, $E$9)</f>
        <v>4.7321999999999997</v>
      </c>
      <c r="O54" s="14">
        <f>CHOOSE(CONTROL!$C$42, 4.9694, 4.9694) * CHOOSE(CONTROL!$C$21, $C$9, 100%, $E$9)</f>
        <v>4.9694000000000003</v>
      </c>
      <c r="P54" s="14">
        <f>CHOOSE(CONTROL!$C$42, 4.762, 4.762) * CHOOSE(CONTROL!$C$21, $C$9, 100%, $E$9)</f>
        <v>4.7619999999999996</v>
      </c>
      <c r="Q54" s="14">
        <f>CHOOSE(CONTROL!$C$42, 5.5641, 5.5641) * CHOOSE(CONTROL!$C$21, $C$9, 100%, $E$9)</f>
        <v>5.5640999999999998</v>
      </c>
      <c r="R54" s="14">
        <f>CHOOSE(CONTROL!$C$42, 6.165, 6.165) * CHOOSE(CONTROL!$C$21, $C$9, 100%, $E$9)</f>
        <v>6.165</v>
      </c>
      <c r="S54" s="14">
        <f>CHOOSE(CONTROL!$C$42, 4.6338, 4.6338) * CHOOSE(CONTROL!$C$21, $C$9, 100%, $E$9)</f>
        <v>4.6337999999999999</v>
      </c>
      <c r="T5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4" s="57">
        <f>(1000*CHOOSE(CONTROL!$C$42, 695, 695)*CHOOSE(CONTROL!$C$42, 0.5599, 0.5599)*CHOOSE(CONTROL!$C$42, 30, 30))/1000000</f>
        <v>11.673914999999997</v>
      </c>
      <c r="V54" s="57">
        <f>(1000*CHOOSE(CONTROL!$C$42, 580, 580)*CHOOSE(CONTROL!$C$42, 0.275, 0.275)*CHOOSE(CONTROL!$C$42, 30, 30))/1000000</f>
        <v>4.7850000000000001</v>
      </c>
      <c r="W54" s="57">
        <f>(1000*CHOOSE(CONTROL!$C$42, 0.1146, 0.1146)*CHOOSE(CONTROL!$C$42, 121.5, 121.5)*CHOOSE(CONTROL!$C$42, 30, 30))/1000000</f>
        <v>0.417717</v>
      </c>
      <c r="X54" s="57">
        <f>(30*0.1790888*245000/1000000)+(30*0.2374*100000/1000000)</f>
        <v>2.0285026799999999</v>
      </c>
      <c r="Y54" s="57"/>
      <c r="Z54" s="14"/>
      <c r="AA54" s="56"/>
      <c r="AB54" s="50">
        <f>(B54*194.205+C54*267.466+D54*133.845+E54*53.484+F54*40+G54*185+H54*0+I54*100+J54*300)/(194.205+267.466+133.845+53.484+0+40+185+100+300)</f>
        <v>4.8621069232339087</v>
      </c>
      <c r="AC54" s="45">
        <f>(M54*'RAP TEMPLATE-GAS AVAILABILITY'!O53+N54*'RAP TEMPLATE-GAS AVAILABILITY'!P53+O54*'RAP TEMPLATE-GAS AVAILABILITY'!Q53+P54*'RAP TEMPLATE-GAS AVAILABILITY'!R53)/('RAP TEMPLATE-GAS AVAILABILITY'!O53+'RAP TEMPLATE-GAS AVAILABILITY'!P53+'RAP TEMPLATE-GAS AVAILABILITY'!Q53+'RAP TEMPLATE-GAS AVAILABILITY'!R53)</f>
        <v>4.7977223021582729</v>
      </c>
    </row>
    <row r="55" spans="1:29" ht="15.75" x14ac:dyDescent="0.25">
      <c r="A55" s="13">
        <v>42552</v>
      </c>
      <c r="B55" s="14">
        <f>CHOOSE(CONTROL!$C$42, 4.7507, 4.7507) * CHOOSE(CONTROL!$C$21, $C$9, 100%, $E$9)</f>
        <v>4.7507000000000001</v>
      </c>
      <c r="C55" s="14">
        <f>CHOOSE(CONTROL!$C$42, 4.7587, 4.7587) * CHOOSE(CONTROL!$C$21, $C$9, 100%, $E$9)</f>
        <v>4.7587000000000002</v>
      </c>
      <c r="D55" s="14">
        <f>CHOOSE(CONTROL!$C$42, 4.9626, 4.9626) * CHOOSE(CONTROL!$C$21, $C$9, 100%, $E$9)</f>
        <v>4.9626000000000001</v>
      </c>
      <c r="E55" s="14">
        <f>CHOOSE(CONTROL!$C$42, 4.9941, 4.9941) * CHOOSE(CONTROL!$C$21, $C$9, 100%, $E$9)</f>
        <v>4.9941000000000004</v>
      </c>
      <c r="F55" s="14">
        <f>CHOOSE(CONTROL!$C$42, 4.7323, 4.7323)*CHOOSE(CONTROL!$C$21, $C$9, 100%, $E$9)</f>
        <v>4.7323000000000004</v>
      </c>
      <c r="G55" s="14">
        <f>CHOOSE(CONTROL!$C$42, 4.7482, 4.7482)*CHOOSE(CONTROL!$C$21, $C$9, 100%, $E$9)</f>
        <v>4.7481999999999998</v>
      </c>
      <c r="H55" s="14">
        <f>CHOOSE(CONTROL!$C$42, 4.9827, 4.9827) * CHOOSE(CONTROL!$C$21, $C$9, 100%, $E$9)</f>
        <v>4.9827000000000004</v>
      </c>
      <c r="I55" s="14">
        <f>CHOOSE(CONTROL!$C$42, 4.771, 4.771)* CHOOSE(CONTROL!$C$21, $C$9, 100%, $E$9)</f>
        <v>4.7709999999999999</v>
      </c>
      <c r="J55" s="14">
        <f>CHOOSE(CONTROL!$C$42, 4.7253, 4.7253)* CHOOSE(CONTROL!$C$21, $C$9, 100%, $E$9)</f>
        <v>4.7252999999999998</v>
      </c>
      <c r="K55" s="53"/>
      <c r="L55" s="14">
        <f>CHOOSE(CONTROL!$C$42, 5.5697, 5.5697) * CHOOSE(CONTROL!$C$21, $C$9, 100%, $E$9)</f>
        <v>5.5697000000000001</v>
      </c>
      <c r="M55" s="14">
        <f>CHOOSE(CONTROL!$C$42, 4.6362, 4.6362) * CHOOSE(CONTROL!$C$21, $C$9, 100%, $E$9)</f>
        <v>4.6361999999999997</v>
      </c>
      <c r="N55" s="14">
        <f>CHOOSE(CONTROL!$C$42, 4.6517, 4.6517) * CHOOSE(CONTROL!$C$21, $C$9, 100%, $E$9)</f>
        <v>4.6516999999999999</v>
      </c>
      <c r="O55" s="14">
        <f>CHOOSE(CONTROL!$C$42, 4.8883, 4.8883) * CHOOSE(CONTROL!$C$21, $C$9, 100%, $E$9)</f>
        <v>4.8883000000000001</v>
      </c>
      <c r="P55" s="14">
        <f>CHOOSE(CONTROL!$C$42, 4.6807, 4.6807) * CHOOSE(CONTROL!$C$21, $C$9, 100%, $E$9)</f>
        <v>4.6806999999999999</v>
      </c>
      <c r="Q55" s="14">
        <f>CHOOSE(CONTROL!$C$42, 5.483, 5.483) * CHOOSE(CONTROL!$C$21, $C$9, 100%, $E$9)</f>
        <v>5.4829999999999997</v>
      </c>
      <c r="R55" s="14">
        <f>CHOOSE(CONTROL!$C$42, 6.0837, 6.0837) * CHOOSE(CONTROL!$C$21, $C$9, 100%, $E$9)</f>
        <v>6.0837000000000003</v>
      </c>
      <c r="S55" s="14">
        <f>CHOOSE(CONTROL!$C$42, 4.5543, 4.5543) * CHOOSE(CONTROL!$C$21, $C$9, 100%, $E$9)</f>
        <v>4.5542999999999996</v>
      </c>
      <c r="T5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5" s="57">
        <f>(1000*CHOOSE(CONTROL!$C$42, 695, 695)*CHOOSE(CONTROL!$C$42, 0.5599, 0.5599)*CHOOSE(CONTROL!$C$42, 31, 31))/1000000</f>
        <v>12.063045499999998</v>
      </c>
      <c r="V55" s="57">
        <f>(1000*CHOOSE(CONTROL!$C$42, 580, 580)*CHOOSE(CONTROL!$C$42, 0.275, 0.275)*CHOOSE(CONTROL!$C$42, 31, 31))/1000000</f>
        <v>4.9444999999999997</v>
      </c>
      <c r="W55" s="57">
        <f>(1000*CHOOSE(CONTROL!$C$42, 0.1146, 0.1146)*CHOOSE(CONTROL!$C$42, 121.5, 121.5)*CHOOSE(CONTROL!$C$42, 31, 31))/1000000</f>
        <v>0.43164089999999994</v>
      </c>
      <c r="X55" s="57">
        <f>(31*0.1790888*245000/1000000)+(31*0.2374*100000/1000000)</f>
        <v>2.0961194359999999</v>
      </c>
      <c r="Y55" s="57"/>
      <c r="Z55" s="14"/>
      <c r="AA55" s="56"/>
      <c r="AB55" s="50">
        <f>(B55*194.205+C55*267.466+D55*133.845+E55*53.484+F55*40+G55*185+H55*0+I55*100+J55*300)/(194.205+267.466+133.845+53.484+0+40+185+100+300)</f>
        <v>4.779531231632653</v>
      </c>
      <c r="AC55" s="45">
        <f>(M55*'RAP TEMPLATE-GAS AVAILABILITY'!O54+N55*'RAP TEMPLATE-GAS AVAILABILITY'!P54+O55*'RAP TEMPLATE-GAS AVAILABILITY'!Q54+P55*'RAP TEMPLATE-GAS AVAILABILITY'!R54)/('RAP TEMPLATE-GAS AVAILABILITY'!O54+'RAP TEMPLATE-GAS AVAILABILITY'!P54+'RAP TEMPLATE-GAS AVAILABILITY'!Q54+'RAP TEMPLATE-GAS AVAILABILITY'!R54)</f>
        <v>4.7169043165467626</v>
      </c>
    </row>
    <row r="56" spans="1:29" ht="15.75" x14ac:dyDescent="0.25">
      <c r="A56" s="13">
        <v>42583</v>
      </c>
      <c r="B56" s="14">
        <f>CHOOSE(CONTROL!$C$42, 4.5259, 4.5259) * CHOOSE(CONTROL!$C$21, $C$9, 100%, $E$9)</f>
        <v>4.5259</v>
      </c>
      <c r="C56" s="14">
        <f>CHOOSE(CONTROL!$C$42, 4.5339, 4.5339) * CHOOSE(CONTROL!$C$21, $C$9, 100%, $E$9)</f>
        <v>4.5339</v>
      </c>
      <c r="D56" s="14">
        <f>CHOOSE(CONTROL!$C$42, 4.7379, 4.7379) * CHOOSE(CONTROL!$C$21, $C$9, 100%, $E$9)</f>
        <v>4.7378999999999998</v>
      </c>
      <c r="E56" s="14">
        <f>CHOOSE(CONTROL!$C$42, 4.7693, 4.7693) * CHOOSE(CONTROL!$C$21, $C$9, 100%, $E$9)</f>
        <v>4.7693000000000003</v>
      </c>
      <c r="F56" s="14">
        <f>CHOOSE(CONTROL!$C$42, 4.5077, 4.5077)*CHOOSE(CONTROL!$C$21, $C$9, 100%, $E$9)</f>
        <v>4.5076999999999998</v>
      </c>
      <c r="G56" s="14">
        <f>CHOOSE(CONTROL!$C$42, 4.5237, 4.5237)*CHOOSE(CONTROL!$C$21, $C$9, 100%, $E$9)</f>
        <v>4.5236999999999998</v>
      </c>
      <c r="H56" s="14">
        <f>CHOOSE(CONTROL!$C$42, 4.758, 4.758) * CHOOSE(CONTROL!$C$21, $C$9, 100%, $E$9)</f>
        <v>4.758</v>
      </c>
      <c r="I56" s="14">
        <f>CHOOSE(CONTROL!$C$42, 4.5455, 4.5455)* CHOOSE(CONTROL!$C$21, $C$9, 100%, $E$9)</f>
        <v>4.5454999999999997</v>
      </c>
      <c r="J56" s="14">
        <f>CHOOSE(CONTROL!$C$42, 4.5007, 4.5007)* CHOOSE(CONTROL!$C$21, $C$9, 100%, $E$9)</f>
        <v>4.5007000000000001</v>
      </c>
      <c r="K56" s="53"/>
      <c r="L56" s="14">
        <f>CHOOSE(CONTROL!$C$42, 5.345, 5.345) * CHOOSE(CONTROL!$C$21, $C$9, 100%, $E$9)</f>
        <v>5.3449999999999998</v>
      </c>
      <c r="M56" s="14">
        <f>CHOOSE(CONTROL!$C$42, 4.4162, 4.4162) * CHOOSE(CONTROL!$C$21, $C$9, 100%, $E$9)</f>
        <v>4.4161999999999999</v>
      </c>
      <c r="N56" s="14">
        <f>CHOOSE(CONTROL!$C$42, 4.4318, 4.4318) * CHOOSE(CONTROL!$C$21, $C$9, 100%, $E$9)</f>
        <v>4.4318</v>
      </c>
      <c r="O56" s="14">
        <f>CHOOSE(CONTROL!$C$42, 4.6682, 4.6682) * CHOOSE(CONTROL!$C$21, $C$9, 100%, $E$9)</f>
        <v>4.6681999999999997</v>
      </c>
      <c r="P56" s="14">
        <f>CHOOSE(CONTROL!$C$42, 4.4599, 4.4599) * CHOOSE(CONTROL!$C$21, $C$9, 100%, $E$9)</f>
        <v>4.4599000000000002</v>
      </c>
      <c r="Q56" s="14">
        <f>CHOOSE(CONTROL!$C$42, 5.2629, 5.2629) * CHOOSE(CONTROL!$C$21, $C$9, 100%, $E$9)</f>
        <v>5.2629000000000001</v>
      </c>
      <c r="R56" s="14">
        <f>CHOOSE(CONTROL!$C$42, 5.863, 5.863) * CHOOSE(CONTROL!$C$21, $C$9, 100%, $E$9)</f>
        <v>5.8630000000000004</v>
      </c>
      <c r="S56" s="14">
        <f>CHOOSE(CONTROL!$C$42, 4.3383, 4.3383) * CHOOSE(CONTROL!$C$21, $C$9, 100%, $E$9)</f>
        <v>4.3383000000000003</v>
      </c>
      <c r="T5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6" s="57">
        <f>(1000*CHOOSE(CONTROL!$C$42, 695, 695)*CHOOSE(CONTROL!$C$42, 0.5599, 0.5599)*CHOOSE(CONTROL!$C$42, 31, 31))/1000000</f>
        <v>12.063045499999998</v>
      </c>
      <c r="V56" s="57">
        <f>(1000*CHOOSE(CONTROL!$C$42, 580, 580)*CHOOSE(CONTROL!$C$42, 0.275, 0.275)*CHOOSE(CONTROL!$C$42, 31, 31))/1000000</f>
        <v>4.9444999999999997</v>
      </c>
      <c r="W56" s="57">
        <f>(1000*CHOOSE(CONTROL!$C$42, 0.1146, 0.1146)*CHOOSE(CONTROL!$C$42, 121.5, 121.5)*CHOOSE(CONTROL!$C$42, 31, 31))/1000000</f>
        <v>0.43164089999999994</v>
      </c>
      <c r="X56" s="57">
        <f>(31*0.1790888*245000/1000000)+(31*0.2374*100000/1000000)</f>
        <v>2.0961194359999999</v>
      </c>
      <c r="Y56" s="57"/>
      <c r="Z56" s="14"/>
      <c r="AA56" s="56"/>
      <c r="AB56" s="50">
        <f>(B56*194.205+C56*267.466+D56*133.845+E56*53.484+F56*40+G56*185+H56*0+I56*100+J56*300)/(194.205+267.466+133.845+53.484+0+40+185+100+300)</f>
        <v>4.554783731240188</v>
      </c>
      <c r="AC56" s="45">
        <f>(M56*'RAP TEMPLATE-GAS AVAILABILITY'!O55+N56*'RAP TEMPLATE-GAS AVAILABILITY'!P55+O56*'RAP TEMPLATE-GAS AVAILABILITY'!Q55+P56*'RAP TEMPLATE-GAS AVAILABILITY'!R55)/('RAP TEMPLATE-GAS AVAILABILITY'!O55+'RAP TEMPLATE-GAS AVAILABILITY'!P55+'RAP TEMPLATE-GAS AVAILABILITY'!Q55+'RAP TEMPLATE-GAS AVAILABILITY'!R55)</f>
        <v>4.4967841726618696</v>
      </c>
    </row>
    <row r="57" spans="1:29" ht="15.75" x14ac:dyDescent="0.25">
      <c r="A57" s="13">
        <v>42614</v>
      </c>
      <c r="B57" s="14">
        <f>CHOOSE(CONTROL!$C$42, 4.2476, 4.2476) * CHOOSE(CONTROL!$C$21, $C$9, 100%, $E$9)</f>
        <v>4.2476000000000003</v>
      </c>
      <c r="C57" s="14">
        <f>CHOOSE(CONTROL!$C$42, 4.2557, 4.2557) * CHOOSE(CONTROL!$C$21, $C$9, 100%, $E$9)</f>
        <v>4.2557</v>
      </c>
      <c r="D57" s="14">
        <f>CHOOSE(CONTROL!$C$42, 4.4596, 4.4596) * CHOOSE(CONTROL!$C$21, $C$9, 100%, $E$9)</f>
        <v>4.4596</v>
      </c>
      <c r="E57" s="14">
        <f>CHOOSE(CONTROL!$C$42, 4.4911, 4.4911) * CHOOSE(CONTROL!$C$21, $C$9, 100%, $E$9)</f>
        <v>4.4911000000000003</v>
      </c>
      <c r="F57" s="14">
        <f>CHOOSE(CONTROL!$C$42, 4.2296, 4.2296)*CHOOSE(CONTROL!$C$21, $C$9, 100%, $E$9)</f>
        <v>4.2295999999999996</v>
      </c>
      <c r="G57" s="14">
        <f>CHOOSE(CONTROL!$C$42, 4.2455, 4.2455)*CHOOSE(CONTROL!$C$21, $C$9, 100%, $E$9)</f>
        <v>4.2454999999999998</v>
      </c>
      <c r="H57" s="14">
        <f>CHOOSE(CONTROL!$C$42, 4.4797, 4.4797) * CHOOSE(CONTROL!$C$21, $C$9, 100%, $E$9)</f>
        <v>4.4797000000000002</v>
      </c>
      <c r="I57" s="14">
        <f>CHOOSE(CONTROL!$C$42, 4.2664, 4.2664)* CHOOSE(CONTROL!$C$21, $C$9, 100%, $E$9)</f>
        <v>4.2664</v>
      </c>
      <c r="J57" s="14">
        <f>CHOOSE(CONTROL!$C$42, 4.2226, 4.2226)* CHOOSE(CONTROL!$C$21, $C$9, 100%, $E$9)</f>
        <v>4.2225999999999999</v>
      </c>
      <c r="K57" s="53"/>
      <c r="L57" s="14">
        <f>CHOOSE(CONTROL!$C$42, 5.0667, 5.0667) * CHOOSE(CONTROL!$C$21, $C$9, 100%, $E$9)</f>
        <v>5.0667</v>
      </c>
      <c r="M57" s="14">
        <f>CHOOSE(CONTROL!$C$42, 4.1437, 4.1437) * CHOOSE(CONTROL!$C$21, $C$9, 100%, $E$9)</f>
        <v>4.1436999999999999</v>
      </c>
      <c r="N57" s="14">
        <f>CHOOSE(CONTROL!$C$42, 4.1594, 4.1594) * CHOOSE(CONTROL!$C$21, $C$9, 100%, $E$9)</f>
        <v>4.1593999999999998</v>
      </c>
      <c r="O57" s="14">
        <f>CHOOSE(CONTROL!$C$42, 4.3956, 4.3956) * CHOOSE(CONTROL!$C$21, $C$9, 100%, $E$9)</f>
        <v>4.3956</v>
      </c>
      <c r="P57" s="14">
        <f>CHOOSE(CONTROL!$C$42, 4.1865, 4.1865) * CHOOSE(CONTROL!$C$21, $C$9, 100%, $E$9)</f>
        <v>4.1864999999999997</v>
      </c>
      <c r="Q57" s="14">
        <f>CHOOSE(CONTROL!$C$42, 4.9903, 4.9903) * CHOOSE(CONTROL!$C$21, $C$9, 100%, $E$9)</f>
        <v>4.9903000000000004</v>
      </c>
      <c r="R57" s="14">
        <f>CHOOSE(CONTROL!$C$42, 5.5898, 5.5898) * CHOOSE(CONTROL!$C$21, $C$9, 100%, $E$9)</f>
        <v>5.5898000000000003</v>
      </c>
      <c r="S57" s="14">
        <f>CHOOSE(CONTROL!$C$42, 4.0709, 4.0709) * CHOOSE(CONTROL!$C$21, $C$9, 100%, $E$9)</f>
        <v>4.0709</v>
      </c>
      <c r="T5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7" s="57">
        <f>(1000*CHOOSE(CONTROL!$C$42, 695, 695)*CHOOSE(CONTROL!$C$42, 0.5599, 0.5599)*CHOOSE(CONTROL!$C$42, 30, 30))/1000000</f>
        <v>11.673914999999997</v>
      </c>
      <c r="V57" s="57">
        <f>(1000*CHOOSE(CONTROL!$C$42, 580, 580)*CHOOSE(CONTROL!$C$42, 0.275, 0.275)*CHOOSE(CONTROL!$C$42, 30, 30))/1000000</f>
        <v>4.7850000000000001</v>
      </c>
      <c r="W57" s="57">
        <f>(1000*CHOOSE(CONTROL!$C$42, 0.1146, 0.1146)*CHOOSE(CONTROL!$C$42, 121.5, 121.5)*CHOOSE(CONTROL!$C$42, 30, 30))/1000000</f>
        <v>0.417717</v>
      </c>
      <c r="X57" s="57">
        <f>(30*0.1790888*245000/1000000)+(30*0.2374*100000/1000000)</f>
        <v>2.0285026799999999</v>
      </c>
      <c r="Y57" s="57"/>
      <c r="Z57" s="14"/>
      <c r="AA57" s="56"/>
      <c r="AB57" s="50">
        <f>(B57*194.205+C57*267.466+D57*133.845+E57*53.484+F57*40+G57*185+H57*0+I57*100+J57*300)/(194.205+267.466+133.845+53.484+0+40+185+100+300)</f>
        <v>4.2765140255886962</v>
      </c>
      <c r="AC57" s="45">
        <f>(M57*'RAP TEMPLATE-GAS AVAILABILITY'!O56+N57*'RAP TEMPLATE-GAS AVAILABILITY'!P56+O57*'RAP TEMPLATE-GAS AVAILABILITY'!Q56+P57*'RAP TEMPLATE-GAS AVAILABILITY'!R56)/('RAP TEMPLATE-GAS AVAILABILITY'!O56+'RAP TEMPLATE-GAS AVAILABILITY'!P56+'RAP TEMPLATE-GAS AVAILABILITY'!Q56+'RAP TEMPLATE-GAS AVAILABILITY'!R56)</f>
        <v>4.2241496402877692</v>
      </c>
    </row>
    <row r="58" spans="1:29" ht="15.75" x14ac:dyDescent="0.25">
      <c r="A58" s="13">
        <v>42644</v>
      </c>
      <c r="B58" s="14">
        <f>CHOOSE(CONTROL!$C$42, 4.1684, 4.1684) * CHOOSE(CONTROL!$C$21, $C$9, 100%, $E$9)</f>
        <v>4.1684000000000001</v>
      </c>
      <c r="C58" s="14">
        <f>CHOOSE(CONTROL!$C$42, 4.1738, 4.1738) * CHOOSE(CONTROL!$C$21, $C$9, 100%, $E$9)</f>
        <v>4.1738</v>
      </c>
      <c r="D58" s="14">
        <f>CHOOSE(CONTROL!$C$42, 4.3827, 4.3827) * CHOOSE(CONTROL!$C$21, $C$9, 100%, $E$9)</f>
        <v>4.3826999999999998</v>
      </c>
      <c r="E58" s="14">
        <f>CHOOSE(CONTROL!$C$42, 4.4118, 4.4118) * CHOOSE(CONTROL!$C$21, $C$9, 100%, $E$9)</f>
        <v>4.4118000000000004</v>
      </c>
      <c r="F58" s="14">
        <f>CHOOSE(CONTROL!$C$42, 4.1524, 4.1524)*CHOOSE(CONTROL!$C$21, $C$9, 100%, $E$9)</f>
        <v>4.1524000000000001</v>
      </c>
      <c r="G58" s="14">
        <f>CHOOSE(CONTROL!$C$42, 4.1681, 4.1681)*CHOOSE(CONTROL!$C$21, $C$9, 100%, $E$9)</f>
        <v>4.1680999999999999</v>
      </c>
      <c r="H58" s="14">
        <f>CHOOSE(CONTROL!$C$42, 4.4022, 4.4022) * CHOOSE(CONTROL!$C$21, $C$9, 100%, $E$9)</f>
        <v>4.4021999999999997</v>
      </c>
      <c r="I58" s="14">
        <f>CHOOSE(CONTROL!$C$42, 4.1887, 4.1887)* CHOOSE(CONTROL!$C$21, $C$9, 100%, $E$9)</f>
        <v>4.1886999999999999</v>
      </c>
      <c r="J58" s="14">
        <f>CHOOSE(CONTROL!$C$42, 4.1454, 4.1454)* CHOOSE(CONTROL!$C$21, $C$9, 100%, $E$9)</f>
        <v>4.1454000000000004</v>
      </c>
      <c r="K58" s="53"/>
      <c r="L58" s="14">
        <f>CHOOSE(CONTROL!$C$42, 4.9892, 4.9892) * CHOOSE(CONTROL!$C$21, $C$9, 100%, $E$9)</f>
        <v>4.9892000000000003</v>
      </c>
      <c r="M58" s="14">
        <f>CHOOSE(CONTROL!$C$42, 4.0682, 4.0682) * CHOOSE(CONTROL!$C$21, $C$9, 100%, $E$9)</f>
        <v>4.0682</v>
      </c>
      <c r="N58" s="14">
        <f>CHOOSE(CONTROL!$C$42, 4.0835, 4.0835) * CHOOSE(CONTROL!$C$21, $C$9, 100%, $E$9)</f>
        <v>4.0834999999999999</v>
      </c>
      <c r="O58" s="14">
        <f>CHOOSE(CONTROL!$C$42, 4.3197, 4.3197) * CHOOSE(CONTROL!$C$21, $C$9, 100%, $E$9)</f>
        <v>4.3197000000000001</v>
      </c>
      <c r="P58" s="14">
        <f>CHOOSE(CONTROL!$C$42, 4.1104, 4.1104) * CHOOSE(CONTROL!$C$21, $C$9, 100%, $E$9)</f>
        <v>4.1104000000000003</v>
      </c>
      <c r="Q58" s="14">
        <f>CHOOSE(CONTROL!$C$42, 4.9144, 4.9144) * CHOOSE(CONTROL!$C$21, $C$9, 100%, $E$9)</f>
        <v>4.9143999999999997</v>
      </c>
      <c r="R58" s="14">
        <f>CHOOSE(CONTROL!$C$42, 5.5137, 5.5137) * CHOOSE(CONTROL!$C$21, $C$9, 100%, $E$9)</f>
        <v>5.5137</v>
      </c>
      <c r="S58" s="14">
        <f>CHOOSE(CONTROL!$C$42, 3.9965, 3.9965) * CHOOSE(CONTROL!$C$21, $C$9, 100%, $E$9)</f>
        <v>3.9965000000000002</v>
      </c>
      <c r="T5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8" s="57">
        <f>(1000*CHOOSE(CONTROL!$C$42, 695, 695)*CHOOSE(CONTROL!$C$42, 0.5599, 0.5599)*CHOOSE(CONTROL!$C$42, 31, 31))/1000000</f>
        <v>12.063045499999998</v>
      </c>
      <c r="V58" s="57">
        <f>(1000*CHOOSE(CONTROL!$C$42, 580, 580)*CHOOSE(CONTROL!$C$42, 0.275, 0.275)*CHOOSE(CONTROL!$C$42, 31, 31))/1000000</f>
        <v>4.9444999999999997</v>
      </c>
      <c r="W58" s="57">
        <f>(1000*CHOOSE(CONTROL!$C$42, 0.1146, 0.1146)*CHOOSE(CONTROL!$C$42, 121.5, 121.5)*CHOOSE(CONTROL!$C$42, 31, 31))/1000000</f>
        <v>0.43164089999999994</v>
      </c>
      <c r="X58" s="57">
        <f>(31*0.1790888*245000/1000000)+(31*0.2374*100000/1000000)</f>
        <v>2.0961194359999999</v>
      </c>
      <c r="Y58" s="57"/>
      <c r="Z58" s="14"/>
      <c r="AA58" s="56"/>
      <c r="AB58" s="50">
        <f>(B58*131.881+C58*277.167+D58*79.08+E58*125.872+F58*40+G58*185+H58*0+I58*100+J58*300)/(131.881+277.167+79.08+125.872+0+40+185+100+300)</f>
        <v>4.2035212999192906</v>
      </c>
      <c r="AC58" s="45">
        <f>(M58*'RAP TEMPLATE-GAS AVAILABILITY'!O57+N58*'RAP TEMPLATE-GAS AVAILABILITY'!P57+O58*'RAP TEMPLATE-GAS AVAILABILITY'!Q57+P58*'RAP TEMPLATE-GAS AVAILABILITY'!R57)/('RAP TEMPLATE-GAS AVAILABILITY'!O57+'RAP TEMPLATE-GAS AVAILABILITY'!P57+'RAP TEMPLATE-GAS AVAILABILITY'!Q57+'RAP TEMPLATE-GAS AVAILABILITY'!R57)</f>
        <v>4.1483589928057558</v>
      </c>
    </row>
    <row r="59" spans="1:29" ht="15.75" x14ac:dyDescent="0.25">
      <c r="A59" s="13">
        <v>42675</v>
      </c>
      <c r="B59" s="14">
        <f>CHOOSE(CONTROL!$C$42, 4.2864, 4.2864) * CHOOSE(CONTROL!$C$21, $C$9, 100%, $E$9)</f>
        <v>4.2864000000000004</v>
      </c>
      <c r="C59" s="14">
        <f>CHOOSE(CONTROL!$C$42, 4.2914, 4.2914) * CHOOSE(CONTROL!$C$21, $C$9, 100%, $E$9)</f>
        <v>4.2914000000000003</v>
      </c>
      <c r="D59" s="14">
        <f>CHOOSE(CONTROL!$C$42, 4.3552, 4.3552) * CHOOSE(CONTROL!$C$21, $C$9, 100%, $E$9)</f>
        <v>4.3552</v>
      </c>
      <c r="E59" s="14">
        <f>CHOOSE(CONTROL!$C$42, 4.3893, 4.3893) * CHOOSE(CONTROL!$C$21, $C$9, 100%, $E$9)</f>
        <v>4.3893000000000004</v>
      </c>
      <c r="F59" s="14">
        <f>CHOOSE(CONTROL!$C$42, 4.2887, 4.2887)*CHOOSE(CONTROL!$C$21, $C$9, 100%, $E$9)</f>
        <v>4.2887000000000004</v>
      </c>
      <c r="G59" s="14">
        <f>CHOOSE(CONTROL!$C$42, 4.3048, 4.3048)*CHOOSE(CONTROL!$C$21, $C$9, 100%, $E$9)</f>
        <v>4.3048000000000002</v>
      </c>
      <c r="H59" s="14">
        <f>CHOOSE(CONTROL!$C$42, 4.3785, 4.3785) * CHOOSE(CONTROL!$C$21, $C$9, 100%, $E$9)</f>
        <v>4.3784999999999998</v>
      </c>
      <c r="I59" s="14">
        <f>CHOOSE(CONTROL!$C$42, 4.3126, 4.3126)* CHOOSE(CONTROL!$C$21, $C$9, 100%, $E$9)</f>
        <v>4.3125999999999998</v>
      </c>
      <c r="J59" s="14">
        <f>CHOOSE(CONTROL!$C$42, 4.2817, 4.2817)* CHOOSE(CONTROL!$C$21, $C$9, 100%, $E$9)</f>
        <v>4.2816999999999998</v>
      </c>
      <c r="K59" s="53"/>
      <c r="L59" s="14">
        <f>CHOOSE(CONTROL!$C$42, 4.9655, 4.9655) * CHOOSE(CONTROL!$C$21, $C$9, 100%, $E$9)</f>
        <v>4.9654999999999996</v>
      </c>
      <c r="M59" s="14">
        <f>CHOOSE(CONTROL!$C$42, 4.2017, 4.2017) * CHOOSE(CONTROL!$C$21, $C$9, 100%, $E$9)</f>
        <v>4.2016999999999998</v>
      </c>
      <c r="N59" s="14">
        <f>CHOOSE(CONTROL!$C$42, 4.2174, 4.2174) * CHOOSE(CONTROL!$C$21, $C$9, 100%, $E$9)</f>
        <v>4.2173999999999996</v>
      </c>
      <c r="O59" s="14">
        <f>CHOOSE(CONTROL!$C$42, 4.2965, 4.2965) * CHOOSE(CONTROL!$C$21, $C$9, 100%, $E$9)</f>
        <v>4.2965</v>
      </c>
      <c r="P59" s="14">
        <f>CHOOSE(CONTROL!$C$42, 4.2318, 4.2318) * CHOOSE(CONTROL!$C$21, $C$9, 100%, $E$9)</f>
        <v>4.2317999999999998</v>
      </c>
      <c r="Q59" s="14">
        <f>CHOOSE(CONTROL!$C$42, 4.8912, 4.8912) * CHOOSE(CONTROL!$C$21, $C$9, 100%, $E$9)</f>
        <v>4.8912000000000004</v>
      </c>
      <c r="R59" s="14">
        <f>CHOOSE(CONTROL!$C$42, 5.4904, 5.4904) * CHOOSE(CONTROL!$C$21, $C$9, 100%, $E$9)</f>
        <v>5.4904000000000002</v>
      </c>
      <c r="S59" s="14">
        <f>CHOOSE(CONTROL!$C$42, 4.1102, 4.1102) * CHOOSE(CONTROL!$C$21, $C$9, 100%, $E$9)</f>
        <v>4.1101999999999999</v>
      </c>
      <c r="T5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9" s="57">
        <f>(1000*CHOOSE(CONTROL!$C$42, 695, 695)*CHOOSE(CONTROL!$C$42, 0.5599, 0.5599)*CHOOSE(CONTROL!$C$42, 30, 30))/1000000</f>
        <v>11.673914999999997</v>
      </c>
      <c r="V59" s="57">
        <f>(1000*CHOOSE(CONTROL!$C$42, 580, 580)*CHOOSE(CONTROL!$C$42, 0.275, 0.275)*CHOOSE(CONTROL!$C$42, 30, 30))/1000000</f>
        <v>4.7850000000000001</v>
      </c>
      <c r="W59" s="57">
        <f>(1000*CHOOSE(CONTROL!$C$42, 0.1146, 0.1146)*CHOOSE(CONTROL!$C$42, 121.5, 121.5)*CHOOSE(CONTROL!$C$42, 30, 30))/1000000</f>
        <v>0.417717</v>
      </c>
      <c r="X59" s="57">
        <f>(30*0.1790888*100000/1000000)+(30*0.2374*100000/1000000)</f>
        <v>1.2494664</v>
      </c>
      <c r="Y59" s="57"/>
      <c r="Z59" s="14"/>
      <c r="AA59" s="56"/>
      <c r="AB59" s="50">
        <f>(B59*122.58+C59*297.941+D59*89.177+E59*40.302+F59*40+G59*160+H59*0+I59*100+J59*300)/(122.58+297.941+89.177+40.302+0+40+160+100+300)</f>
        <v>4.3003288333913048</v>
      </c>
      <c r="AC59" s="45">
        <f>(M59*'RAP TEMPLATE-GAS AVAILABILITY'!O58+N59*'RAP TEMPLATE-GAS AVAILABILITY'!P58+O59*'RAP TEMPLATE-GAS AVAILABILITY'!Q58+P59*'RAP TEMPLATE-GAS AVAILABILITY'!R58)/('RAP TEMPLATE-GAS AVAILABILITY'!O58+'RAP TEMPLATE-GAS AVAILABILITY'!P58+'RAP TEMPLATE-GAS AVAILABILITY'!Q58+'RAP TEMPLATE-GAS AVAILABILITY'!R58)</f>
        <v>4.2499014388489202</v>
      </c>
    </row>
    <row r="60" spans="1:29" ht="15.75" x14ac:dyDescent="0.25">
      <c r="A60" s="13">
        <v>42705</v>
      </c>
      <c r="B60" s="14">
        <f>CHOOSE(CONTROL!$C$42, 4.5873, 4.5873) * CHOOSE(CONTROL!$C$21, $C$9, 100%, $E$9)</f>
        <v>4.5872999999999999</v>
      </c>
      <c r="C60" s="14">
        <f>CHOOSE(CONTROL!$C$42, 4.5924, 4.5924) * CHOOSE(CONTROL!$C$21, $C$9, 100%, $E$9)</f>
        <v>4.5923999999999996</v>
      </c>
      <c r="D60" s="14">
        <f>CHOOSE(CONTROL!$C$42, 4.6562, 4.6562) * CHOOSE(CONTROL!$C$21, $C$9, 100%, $E$9)</f>
        <v>4.6562000000000001</v>
      </c>
      <c r="E60" s="14">
        <f>CHOOSE(CONTROL!$C$42, 4.6903, 4.6903) * CHOOSE(CONTROL!$C$21, $C$9, 100%, $E$9)</f>
        <v>4.6902999999999997</v>
      </c>
      <c r="F60" s="14">
        <f>CHOOSE(CONTROL!$C$42, 4.592, 4.592)*CHOOSE(CONTROL!$C$21, $C$9, 100%, $E$9)</f>
        <v>4.5919999999999996</v>
      </c>
      <c r="G60" s="14">
        <f>CHOOSE(CONTROL!$C$42, 4.6086, 4.6086)*CHOOSE(CONTROL!$C$21, $C$9, 100%, $E$9)</f>
        <v>4.6086</v>
      </c>
      <c r="H60" s="14">
        <f>CHOOSE(CONTROL!$C$42, 4.6795, 4.6795) * CHOOSE(CONTROL!$C$21, $C$9, 100%, $E$9)</f>
        <v>4.6795</v>
      </c>
      <c r="I60" s="14">
        <f>CHOOSE(CONTROL!$C$42, 4.6146, 4.6146)* CHOOSE(CONTROL!$C$21, $C$9, 100%, $E$9)</f>
        <v>4.6146000000000003</v>
      </c>
      <c r="J60" s="14">
        <f>CHOOSE(CONTROL!$C$42, 4.585, 4.585)* CHOOSE(CONTROL!$C$21, $C$9, 100%, $E$9)</f>
        <v>4.585</v>
      </c>
      <c r="K60" s="53"/>
      <c r="L60" s="14">
        <f>CHOOSE(CONTROL!$C$42, 5.2665, 5.2665) * CHOOSE(CONTROL!$C$21, $C$9, 100%, $E$9)</f>
        <v>5.2664999999999997</v>
      </c>
      <c r="M60" s="14">
        <f>CHOOSE(CONTROL!$C$42, 4.4987, 4.4987) * CHOOSE(CONTROL!$C$21, $C$9, 100%, $E$9)</f>
        <v>4.4987000000000004</v>
      </c>
      <c r="N60" s="14">
        <f>CHOOSE(CONTROL!$C$42, 4.515, 4.515) * CHOOSE(CONTROL!$C$21, $C$9, 100%, $E$9)</f>
        <v>4.5149999999999997</v>
      </c>
      <c r="O60" s="14">
        <f>CHOOSE(CONTROL!$C$42, 4.5913, 4.5913) * CHOOSE(CONTROL!$C$21, $C$9, 100%, $E$9)</f>
        <v>4.5913000000000004</v>
      </c>
      <c r="P60" s="14">
        <f>CHOOSE(CONTROL!$C$42, 4.5275, 4.5275) * CHOOSE(CONTROL!$C$21, $C$9, 100%, $E$9)</f>
        <v>4.5274999999999999</v>
      </c>
      <c r="Q60" s="14">
        <f>CHOOSE(CONTROL!$C$42, 5.186, 5.186) * CHOOSE(CONTROL!$C$21, $C$9, 100%, $E$9)</f>
        <v>5.1859999999999999</v>
      </c>
      <c r="R60" s="14">
        <f>CHOOSE(CONTROL!$C$42, 5.786, 5.786) * CHOOSE(CONTROL!$C$21, $C$9, 100%, $E$9)</f>
        <v>5.7859999999999996</v>
      </c>
      <c r="S60" s="14">
        <f>CHOOSE(CONTROL!$C$42, 4.3994, 4.3994) * CHOOSE(CONTROL!$C$21, $C$9, 100%, $E$9)</f>
        <v>4.3994</v>
      </c>
      <c r="T6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0" s="57">
        <f>(1000*CHOOSE(CONTROL!$C$42, 695, 695)*CHOOSE(CONTROL!$C$42, 0.5599, 0.5599)*CHOOSE(CONTROL!$C$42, 31, 31))/1000000</f>
        <v>12.063045499999998</v>
      </c>
      <c r="V60" s="57">
        <f>(1000*CHOOSE(CONTROL!$C$42, 580, 580)*CHOOSE(CONTROL!$C$42, 0.275, 0.275)*CHOOSE(CONTROL!$C$42, 31, 31))/1000000</f>
        <v>4.9444999999999997</v>
      </c>
      <c r="W60" s="57">
        <f>(1000*CHOOSE(CONTROL!$C$42, 0.1146, 0.1146)*CHOOSE(CONTROL!$C$42, 121.5, 121.5)*CHOOSE(CONTROL!$C$42, 31, 31))/1000000</f>
        <v>0.43164089999999994</v>
      </c>
      <c r="X60" s="57">
        <f>(31*0.1790888*100000/1000000)+(31*0.2374*100000/1000000)</f>
        <v>1.2911152800000001</v>
      </c>
      <c r="Y60" s="57"/>
      <c r="Z60" s="14"/>
      <c r="AA60" s="56"/>
      <c r="AB60" s="50">
        <f>(B60*122.58+C60*297.941+D60*89.177+E60*40.302+F60*40+G60*160+H60*0+I60*100+J60*300)/(122.58+297.941+89.177+40.302+0+40+160+100+300)</f>
        <v>4.6024746959999998</v>
      </c>
      <c r="AC60" s="45">
        <f>(M60*'RAP TEMPLATE-GAS AVAILABILITY'!O59+N60*'RAP TEMPLATE-GAS AVAILABILITY'!P59+O60*'RAP TEMPLATE-GAS AVAILABILITY'!Q59+P60*'RAP TEMPLATE-GAS AVAILABILITY'!R59)/('RAP TEMPLATE-GAS AVAILABILITY'!O59+'RAP TEMPLATE-GAS AVAILABILITY'!P59+'RAP TEMPLATE-GAS AVAILABILITY'!Q59+'RAP TEMPLATE-GAS AVAILABILITY'!R59)</f>
        <v>4.5457517985611515</v>
      </c>
    </row>
    <row r="61" spans="1:29" ht="15.75" x14ac:dyDescent="0.25">
      <c r="A61" s="13">
        <v>42736</v>
      </c>
      <c r="B61" s="14">
        <f>CHOOSE(CONTROL!$C$42, 5.0508, 5.0508) * CHOOSE(CONTROL!$C$21, $C$9, 100%, $E$9)</f>
        <v>5.0507999999999997</v>
      </c>
      <c r="C61" s="14">
        <f>CHOOSE(CONTROL!$C$42, 5.0559, 5.0559) * CHOOSE(CONTROL!$C$21, $C$9, 100%, $E$9)</f>
        <v>5.0559000000000003</v>
      </c>
      <c r="D61" s="14">
        <f>CHOOSE(CONTROL!$C$42, 5.1223, 5.1223) * CHOOSE(CONTROL!$C$21, $C$9, 100%, $E$9)</f>
        <v>5.1223000000000001</v>
      </c>
      <c r="E61" s="14">
        <f>CHOOSE(CONTROL!$C$42, 5.1564, 5.1564) * CHOOSE(CONTROL!$C$21, $C$9, 100%, $E$9)</f>
        <v>5.1563999999999997</v>
      </c>
      <c r="F61" s="14">
        <f>CHOOSE(CONTROL!$C$42, 5.0381, 5.0381)*CHOOSE(CONTROL!$C$21, $C$9, 100%, $E$9)</f>
        <v>5.0381</v>
      </c>
      <c r="G61" s="14">
        <f>CHOOSE(CONTROL!$C$42, 5.0536, 5.0536)*CHOOSE(CONTROL!$C$21, $C$9, 100%, $E$9)</f>
        <v>5.0536000000000003</v>
      </c>
      <c r="H61" s="14">
        <f>CHOOSE(CONTROL!$C$42, 5.1456, 5.1456) * CHOOSE(CONTROL!$C$21, $C$9, 100%, $E$9)</f>
        <v>5.1456</v>
      </c>
      <c r="I61" s="14">
        <f>CHOOSE(CONTROL!$C$42, 5.0743, 5.0743)* CHOOSE(CONTROL!$C$21, $C$9, 100%, $E$9)</f>
        <v>5.0743</v>
      </c>
      <c r="J61" s="14">
        <f>CHOOSE(CONTROL!$C$42, 5.0311, 5.0311)* CHOOSE(CONTROL!$C$21, $C$9, 100%, $E$9)</f>
        <v>5.0311000000000003</v>
      </c>
      <c r="K61" s="53">
        <f>CHOOSE(CONTROL!$C$42, 5.0704, 5.0704) * CHOOSE(CONTROL!$C$21, $C$9, 100%, $E$9)</f>
        <v>5.0704000000000002</v>
      </c>
      <c r="L61" s="14">
        <f>CHOOSE(CONTROL!$C$42, 5.7326, 5.7326) * CHOOSE(CONTROL!$C$21, $C$9, 100%, $E$9)</f>
        <v>5.7325999999999997</v>
      </c>
      <c r="M61" s="14">
        <f>CHOOSE(CONTROL!$C$42, 4.9358, 4.9358) * CHOOSE(CONTROL!$C$21, $C$9, 100%, $E$9)</f>
        <v>4.9358000000000004</v>
      </c>
      <c r="N61" s="14">
        <f>CHOOSE(CONTROL!$C$42, 4.9509, 4.9509) * CHOOSE(CONTROL!$C$21, $C$9, 100%, $E$9)</f>
        <v>4.9508999999999999</v>
      </c>
      <c r="O61" s="14">
        <f>CHOOSE(CONTROL!$C$42, 5.0479, 5.0479) * CHOOSE(CONTROL!$C$21, $C$9, 100%, $E$9)</f>
        <v>5.0479000000000003</v>
      </c>
      <c r="P61" s="14">
        <f>CHOOSE(CONTROL!$C$42, 4.9777, 4.9777) * CHOOSE(CONTROL!$C$21, $C$9, 100%, $E$9)</f>
        <v>4.9776999999999996</v>
      </c>
      <c r="Q61" s="14">
        <f>CHOOSE(CONTROL!$C$42, 5.6426, 5.6426) * CHOOSE(CONTROL!$C$21, $C$9, 100%, $E$9)</f>
        <v>5.6425999999999998</v>
      </c>
      <c r="R61" s="14">
        <f>CHOOSE(CONTROL!$C$42, 6.2437, 6.2437) * CHOOSE(CONTROL!$C$21, $C$9, 100%, $E$9)</f>
        <v>6.2436999999999996</v>
      </c>
      <c r="S61" s="14">
        <f>CHOOSE(CONTROL!$C$42, 4.8448, 4.8448) * CHOOSE(CONTROL!$C$21, $C$9, 100%, $E$9)</f>
        <v>4.8448000000000002</v>
      </c>
      <c r="T6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1" s="57">
        <f>(1000*CHOOSE(CONTROL!$C$42, 695, 695)*CHOOSE(CONTROL!$C$42, 0.5599, 0.5599)*CHOOSE(CONTROL!$C$42, 31, 31))/1000000</f>
        <v>12.063045499999998</v>
      </c>
      <c r="V61" s="57">
        <f>(1000*CHOOSE(CONTROL!$C$42, 580, 580)*CHOOSE(CONTROL!$C$42, 0.275, 0.275)*CHOOSE(CONTROL!$C$42, 31, 31))/1000000</f>
        <v>4.9444999999999997</v>
      </c>
      <c r="W61" s="57">
        <f>(1000*CHOOSE(CONTROL!$C$42, 0.1146, 0.1146)*CHOOSE(CONTROL!$C$42, 121.5, 121.5)*CHOOSE(CONTROL!$C$42, 31, 31))/1000000</f>
        <v>0.43164089999999994</v>
      </c>
      <c r="X61" s="57">
        <f>(31*0.1790888*100000/1000000)+(31*0.2374*100000/1000000)</f>
        <v>1.2911152800000001</v>
      </c>
      <c r="Y61" s="57"/>
      <c r="Z61" s="14"/>
      <c r="AA61" s="56"/>
      <c r="AB61" s="50">
        <f>(B61*122.58+C61*297.941+D61*89.177+E61*40.302+F61*40+G61*160+H61*0+I61*100+J61*300)/(122.58+297.941+89.177+40.302+0+40+160+100+300)</f>
        <v>5.0582187354782606</v>
      </c>
      <c r="AC61" s="45">
        <f>(M61*'RAP TEMPLATE-GAS AVAILABILITY'!O60+N61*'RAP TEMPLATE-GAS AVAILABILITY'!P60+O61*'RAP TEMPLATE-GAS AVAILABILITY'!Q60+P61*'RAP TEMPLATE-GAS AVAILABILITY'!R60)/('RAP TEMPLATE-GAS AVAILABILITY'!O60+'RAP TEMPLATE-GAS AVAILABILITY'!P60+'RAP TEMPLATE-GAS AVAILABILITY'!Q60+'RAP TEMPLATE-GAS AVAILABILITY'!R60)</f>
        <v>4.9935057553956836</v>
      </c>
    </row>
    <row r="62" spans="1:29" ht="15.75" x14ac:dyDescent="0.25">
      <c r="A62" s="13">
        <v>42767</v>
      </c>
      <c r="B62" s="14">
        <f>CHOOSE(CONTROL!$C$42, 5.1511, 5.1511) * CHOOSE(CONTROL!$C$21, $C$9, 100%, $E$9)</f>
        <v>5.1510999999999996</v>
      </c>
      <c r="C62" s="14">
        <f>CHOOSE(CONTROL!$C$42, 5.1562, 5.1562) * CHOOSE(CONTROL!$C$21, $C$9, 100%, $E$9)</f>
        <v>5.1562000000000001</v>
      </c>
      <c r="D62" s="14">
        <f>CHOOSE(CONTROL!$C$42, 5.2226, 5.2226) * CHOOSE(CONTROL!$C$21, $C$9, 100%, $E$9)</f>
        <v>5.2225999999999999</v>
      </c>
      <c r="E62" s="14">
        <f>CHOOSE(CONTROL!$C$42, 5.2567, 5.2567) * CHOOSE(CONTROL!$C$21, $C$9, 100%, $E$9)</f>
        <v>5.2567000000000004</v>
      </c>
      <c r="F62" s="14">
        <f>CHOOSE(CONTROL!$C$42, 5.1385, 5.1385)*CHOOSE(CONTROL!$C$21, $C$9, 100%, $E$9)</f>
        <v>5.1384999999999996</v>
      </c>
      <c r="G62" s="14">
        <f>CHOOSE(CONTROL!$C$42, 5.154, 5.154)*CHOOSE(CONTROL!$C$21, $C$9, 100%, $E$9)</f>
        <v>5.1539999999999999</v>
      </c>
      <c r="H62" s="14">
        <f>CHOOSE(CONTROL!$C$42, 5.2459, 5.2459) * CHOOSE(CONTROL!$C$21, $C$9, 100%, $E$9)</f>
        <v>5.2458999999999998</v>
      </c>
      <c r="I62" s="14">
        <f>CHOOSE(CONTROL!$C$42, 5.1749, 5.1749)* CHOOSE(CONTROL!$C$21, $C$9, 100%, $E$9)</f>
        <v>5.1749000000000001</v>
      </c>
      <c r="J62" s="14">
        <f>CHOOSE(CONTROL!$C$42, 5.1315, 5.1315)* CHOOSE(CONTROL!$C$21, $C$9, 100%, $E$9)</f>
        <v>5.1315</v>
      </c>
      <c r="K62" s="53">
        <f>CHOOSE(CONTROL!$C$42, 5.171, 5.171) * CHOOSE(CONTROL!$C$21, $C$9, 100%, $E$9)</f>
        <v>5.1710000000000003</v>
      </c>
      <c r="L62" s="14">
        <f>CHOOSE(CONTROL!$C$42, 5.8329, 5.8329) * CHOOSE(CONTROL!$C$21, $C$9, 100%, $E$9)</f>
        <v>5.8329000000000004</v>
      </c>
      <c r="M62" s="14">
        <f>CHOOSE(CONTROL!$C$42, 5.0341, 5.0341) * CHOOSE(CONTROL!$C$21, $C$9, 100%, $E$9)</f>
        <v>5.0340999999999996</v>
      </c>
      <c r="N62" s="14">
        <f>CHOOSE(CONTROL!$C$42, 5.0493, 5.0493) * CHOOSE(CONTROL!$C$21, $C$9, 100%, $E$9)</f>
        <v>5.0492999999999997</v>
      </c>
      <c r="O62" s="14">
        <f>CHOOSE(CONTROL!$C$42, 5.1461, 5.1461) * CHOOSE(CONTROL!$C$21, $C$9, 100%, $E$9)</f>
        <v>5.1460999999999997</v>
      </c>
      <c r="P62" s="14">
        <f>CHOOSE(CONTROL!$C$42, 5.0763, 5.0763) * CHOOSE(CONTROL!$C$21, $C$9, 100%, $E$9)</f>
        <v>5.0762999999999998</v>
      </c>
      <c r="Q62" s="14">
        <f>CHOOSE(CONTROL!$C$42, 5.7408, 5.7408) * CHOOSE(CONTROL!$C$21, $C$9, 100%, $E$9)</f>
        <v>5.7408000000000001</v>
      </c>
      <c r="R62" s="14">
        <f>CHOOSE(CONTROL!$C$42, 6.3422, 6.3422) * CHOOSE(CONTROL!$C$21, $C$9, 100%, $E$9)</f>
        <v>6.3422000000000001</v>
      </c>
      <c r="S62" s="14">
        <f>CHOOSE(CONTROL!$C$42, 4.9412, 4.9412) * CHOOSE(CONTROL!$C$21, $C$9, 100%, $E$9)</f>
        <v>4.9412000000000003</v>
      </c>
      <c r="T6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2" s="57">
        <f>(1000*CHOOSE(CONTROL!$C$42, 695, 695)*CHOOSE(CONTROL!$C$42, 0.5599, 0.5599)*CHOOSE(CONTROL!$C$42, 28, 28))/1000000</f>
        <v>10.895653999999999</v>
      </c>
      <c r="V62" s="57">
        <f>(1000*CHOOSE(CONTROL!$C$42, 580, 580)*CHOOSE(CONTROL!$C$42, 0.275, 0.275)*CHOOSE(CONTROL!$C$42, 28, 28))/1000000</f>
        <v>4.4660000000000002</v>
      </c>
      <c r="W62" s="57">
        <f>(1000*CHOOSE(CONTROL!$C$42, 0.1146, 0.1146)*CHOOSE(CONTROL!$C$42, 121.5, 121.5)*CHOOSE(CONTROL!$C$42, 28, 28))/1000000</f>
        <v>0.38986920000000003</v>
      </c>
      <c r="X62" s="57">
        <f>(28*0.1790888*100000/1000000)+(28*0.2374*100000/1000000)</f>
        <v>1.16616864</v>
      </c>
      <c r="Y62" s="57"/>
      <c r="Z62" s="14"/>
      <c r="AA62" s="56"/>
      <c r="AB62" s="50">
        <f>(B62*122.58+C62*297.941+D62*89.177+E62*40.302+F62*40+G62*160+H62*0+I62*100+J62*300)/(122.58+297.941+89.177+40.302+0+40+160+100+300)</f>
        <v>5.1585883006956523</v>
      </c>
      <c r="AC62" s="45">
        <f>(M62*'RAP TEMPLATE-GAS AVAILABILITY'!O61+N62*'RAP TEMPLATE-GAS AVAILABILITY'!P61+O62*'RAP TEMPLATE-GAS AVAILABILITY'!Q61+P62*'RAP TEMPLATE-GAS AVAILABILITY'!R61)/('RAP TEMPLATE-GAS AVAILABILITY'!O61+'RAP TEMPLATE-GAS AVAILABILITY'!P61+'RAP TEMPLATE-GAS AVAILABILITY'!Q61+'RAP TEMPLATE-GAS AVAILABILITY'!R61)</f>
        <v>5.0918093525179851</v>
      </c>
    </row>
    <row r="63" spans="1:29" ht="15.75" x14ac:dyDescent="0.25">
      <c r="A63" s="13">
        <v>42795</v>
      </c>
      <c r="B63" s="14">
        <f>CHOOSE(CONTROL!$C$42, 5.0155, 5.0155) * CHOOSE(CONTROL!$C$21, $C$9, 100%, $E$9)</f>
        <v>5.0155000000000003</v>
      </c>
      <c r="C63" s="14">
        <f>CHOOSE(CONTROL!$C$42, 5.0205, 5.0205) * CHOOSE(CONTROL!$C$21, $C$9, 100%, $E$9)</f>
        <v>5.0205000000000002</v>
      </c>
      <c r="D63" s="14">
        <f>CHOOSE(CONTROL!$C$42, 5.0869, 5.0869) * CHOOSE(CONTROL!$C$21, $C$9, 100%, $E$9)</f>
        <v>5.0869</v>
      </c>
      <c r="E63" s="14">
        <f>CHOOSE(CONTROL!$C$42, 5.121, 5.121) * CHOOSE(CONTROL!$C$21, $C$9, 100%, $E$9)</f>
        <v>5.1210000000000004</v>
      </c>
      <c r="F63" s="14">
        <f>CHOOSE(CONTROL!$C$42, 5.0025, 5.0025)*CHOOSE(CONTROL!$C$21, $C$9, 100%, $E$9)</f>
        <v>5.0025000000000004</v>
      </c>
      <c r="G63" s="14">
        <f>CHOOSE(CONTROL!$C$42, 5.0178, 5.0178)*CHOOSE(CONTROL!$C$21, $C$9, 100%, $E$9)</f>
        <v>5.0178000000000003</v>
      </c>
      <c r="H63" s="14">
        <f>CHOOSE(CONTROL!$C$42, 5.1102, 5.1102) * CHOOSE(CONTROL!$C$21, $C$9, 100%, $E$9)</f>
        <v>5.1101999999999999</v>
      </c>
      <c r="I63" s="14">
        <f>CHOOSE(CONTROL!$C$42, 5.0388, 5.0388)* CHOOSE(CONTROL!$C$21, $C$9, 100%, $E$9)</f>
        <v>5.0388000000000002</v>
      </c>
      <c r="J63" s="14">
        <f>CHOOSE(CONTROL!$C$42, 4.9955, 4.9955)* CHOOSE(CONTROL!$C$21, $C$9, 100%, $E$9)</f>
        <v>4.9954999999999998</v>
      </c>
      <c r="K63" s="53">
        <f>CHOOSE(CONTROL!$C$42, 5.0349, 5.0349) * CHOOSE(CONTROL!$C$21, $C$9, 100%, $E$9)</f>
        <v>5.0349000000000004</v>
      </c>
      <c r="L63" s="14">
        <f>CHOOSE(CONTROL!$C$42, 5.6972, 5.6972) * CHOOSE(CONTROL!$C$21, $C$9, 100%, $E$9)</f>
        <v>5.6971999999999996</v>
      </c>
      <c r="M63" s="14">
        <f>CHOOSE(CONTROL!$C$42, 4.9008, 4.9008) * CHOOSE(CONTROL!$C$21, $C$9, 100%, $E$9)</f>
        <v>4.9008000000000003</v>
      </c>
      <c r="N63" s="14">
        <f>CHOOSE(CONTROL!$C$42, 4.9159, 4.9159) * CHOOSE(CONTROL!$C$21, $C$9, 100%, $E$9)</f>
        <v>4.9158999999999997</v>
      </c>
      <c r="O63" s="14">
        <f>CHOOSE(CONTROL!$C$42, 5.0132, 5.0132) * CHOOSE(CONTROL!$C$21, $C$9, 100%, $E$9)</f>
        <v>5.0132000000000003</v>
      </c>
      <c r="P63" s="14">
        <f>CHOOSE(CONTROL!$C$42, 4.943, 4.943) * CHOOSE(CONTROL!$C$21, $C$9, 100%, $E$9)</f>
        <v>4.9429999999999996</v>
      </c>
      <c r="Q63" s="14">
        <f>CHOOSE(CONTROL!$C$42, 5.6079, 5.6079) * CHOOSE(CONTROL!$C$21, $C$9, 100%, $E$9)</f>
        <v>5.6078999999999999</v>
      </c>
      <c r="R63" s="14">
        <f>CHOOSE(CONTROL!$C$42, 6.2089, 6.2089) * CHOOSE(CONTROL!$C$21, $C$9, 100%, $E$9)</f>
        <v>6.2088999999999999</v>
      </c>
      <c r="S63" s="14">
        <f>CHOOSE(CONTROL!$C$42, 4.8108, 4.8108) * CHOOSE(CONTROL!$C$21, $C$9, 100%, $E$9)</f>
        <v>4.8108000000000004</v>
      </c>
      <c r="T6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3" s="57">
        <f>(1000*CHOOSE(CONTROL!$C$42, 695, 695)*CHOOSE(CONTROL!$C$42, 0.5599, 0.5599)*CHOOSE(CONTROL!$C$42, 31, 31))/1000000</f>
        <v>12.063045499999998</v>
      </c>
      <c r="V63" s="57">
        <f>(1000*CHOOSE(CONTROL!$C$42, 580, 580)*CHOOSE(CONTROL!$C$42, 0.275, 0.275)*CHOOSE(CONTROL!$C$42, 31, 31))/1000000</f>
        <v>4.9444999999999997</v>
      </c>
      <c r="W63" s="57">
        <f>(1000*CHOOSE(CONTROL!$C$42, 0.1146, 0.1146)*CHOOSE(CONTROL!$C$42, 121.5, 121.5)*CHOOSE(CONTROL!$C$42, 31, 31))/1000000</f>
        <v>0.43164089999999994</v>
      </c>
      <c r="X63" s="57">
        <f>(31*0.1790888*100000/1000000)+(31*0.2374*100000/1000000)</f>
        <v>1.2911152800000001</v>
      </c>
      <c r="Y63" s="57"/>
      <c r="Z63" s="14"/>
      <c r="AA63" s="56"/>
      <c r="AB63" s="50">
        <f>(B63*122.58+C63*297.941+D63*89.177+E63*40.302+F63*40+G63*160+H63*0+I63*100+J63*300)/(122.58+297.941+89.177+40.302+0+40+160+100+300)</f>
        <v>5.0227059163478254</v>
      </c>
      <c r="AC63" s="45">
        <f>(M63*'RAP TEMPLATE-GAS AVAILABILITY'!O62+N63*'RAP TEMPLATE-GAS AVAILABILITY'!P62+O63*'RAP TEMPLATE-GAS AVAILABILITY'!Q62+P63*'RAP TEMPLATE-GAS AVAILABILITY'!R62)/('RAP TEMPLATE-GAS AVAILABILITY'!O62+'RAP TEMPLATE-GAS AVAILABILITY'!P62+'RAP TEMPLATE-GAS AVAILABILITY'!Q62+'RAP TEMPLATE-GAS AVAILABILITY'!R62)</f>
        <v>4.9586848920863309</v>
      </c>
    </row>
    <row r="64" spans="1:29" ht="15.75" x14ac:dyDescent="0.25">
      <c r="A64" s="13">
        <v>42826</v>
      </c>
      <c r="B64" s="14">
        <f>CHOOSE(CONTROL!$C$42, 5.0119, 5.0119) * CHOOSE(CONTROL!$C$21, $C$9, 100%, $E$9)</f>
        <v>5.0118999999999998</v>
      </c>
      <c r="C64" s="14">
        <f>CHOOSE(CONTROL!$C$42, 5.0164, 5.0164) * CHOOSE(CONTROL!$C$21, $C$9, 100%, $E$9)</f>
        <v>5.0164</v>
      </c>
      <c r="D64" s="14">
        <f>CHOOSE(CONTROL!$C$42, 5.2235, 5.2235) * CHOOSE(CONTROL!$C$21, $C$9, 100%, $E$9)</f>
        <v>5.2234999999999996</v>
      </c>
      <c r="E64" s="14">
        <f>CHOOSE(CONTROL!$C$42, 5.2556, 5.2556) * CHOOSE(CONTROL!$C$21, $C$9, 100%, $E$9)</f>
        <v>5.2556000000000003</v>
      </c>
      <c r="F64" s="14">
        <f>CHOOSE(CONTROL!$C$42, 4.9938, 4.9938)*CHOOSE(CONTROL!$C$21, $C$9, 100%, $E$9)</f>
        <v>4.9938000000000002</v>
      </c>
      <c r="G64" s="14">
        <f>CHOOSE(CONTROL!$C$42, 5.009, 5.009)*CHOOSE(CONTROL!$C$21, $C$9, 100%, $E$9)</f>
        <v>5.0090000000000003</v>
      </c>
      <c r="H64" s="14">
        <f>CHOOSE(CONTROL!$C$42, 5.2454, 5.2454) * CHOOSE(CONTROL!$C$21, $C$9, 100%, $E$9)</f>
        <v>5.2454000000000001</v>
      </c>
      <c r="I64" s="14">
        <f>CHOOSE(CONTROL!$C$42, 5.0345, 5.0345)* CHOOSE(CONTROL!$C$21, $C$9, 100%, $E$9)</f>
        <v>5.0345000000000004</v>
      </c>
      <c r="J64" s="14">
        <f>CHOOSE(CONTROL!$C$42, 4.9868, 4.9868)* CHOOSE(CONTROL!$C$21, $C$9, 100%, $E$9)</f>
        <v>4.9867999999999997</v>
      </c>
      <c r="K64" s="53">
        <f>CHOOSE(CONTROL!$C$42, 5.0306, 5.0306) * CHOOSE(CONTROL!$C$21, $C$9, 100%, $E$9)</f>
        <v>5.0305999999999997</v>
      </c>
      <c r="L64" s="14">
        <f>CHOOSE(CONTROL!$C$42, 5.8324, 5.8324) * CHOOSE(CONTROL!$C$21, $C$9, 100%, $E$9)</f>
        <v>5.8323999999999998</v>
      </c>
      <c r="M64" s="14">
        <f>CHOOSE(CONTROL!$C$42, 4.8923, 4.8923) * CHOOSE(CONTROL!$C$21, $C$9, 100%, $E$9)</f>
        <v>4.8922999999999996</v>
      </c>
      <c r="N64" s="14">
        <f>CHOOSE(CONTROL!$C$42, 4.9072, 4.9072) * CHOOSE(CONTROL!$C$21, $C$9, 100%, $E$9)</f>
        <v>4.9071999999999996</v>
      </c>
      <c r="O64" s="14">
        <f>CHOOSE(CONTROL!$C$42, 5.1456, 5.1456) * CHOOSE(CONTROL!$C$21, $C$9, 100%, $E$9)</f>
        <v>5.1456</v>
      </c>
      <c r="P64" s="14">
        <f>CHOOSE(CONTROL!$C$42, 4.9388, 4.9388) * CHOOSE(CONTROL!$C$21, $C$9, 100%, $E$9)</f>
        <v>4.9387999999999996</v>
      </c>
      <c r="Q64" s="14">
        <f>CHOOSE(CONTROL!$C$42, 5.7403, 5.7403) * CHOOSE(CONTROL!$C$21, $C$9, 100%, $E$9)</f>
        <v>5.7403000000000004</v>
      </c>
      <c r="R64" s="14">
        <f>CHOOSE(CONTROL!$C$42, 6.3416, 6.3416) * CHOOSE(CONTROL!$C$21, $C$9, 100%, $E$9)</f>
        <v>6.3415999999999997</v>
      </c>
      <c r="S64" s="14">
        <f>CHOOSE(CONTROL!$C$42, 4.8067, 4.8067) * CHOOSE(CONTROL!$C$21, $C$9, 100%, $E$9)</f>
        <v>4.8067000000000002</v>
      </c>
      <c r="T6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4" s="57">
        <f>(1000*CHOOSE(CONTROL!$C$42, 695, 695)*CHOOSE(CONTROL!$C$42, 0.5599, 0.5599)*CHOOSE(CONTROL!$C$42, 30, 30))/1000000</f>
        <v>11.673914999999997</v>
      </c>
      <c r="V64" s="57">
        <f>(1000*CHOOSE(CONTROL!$C$42, 580, 580)*CHOOSE(CONTROL!$C$42, 0.275, 0.275)*CHOOSE(CONTROL!$C$42, 30, 30))/1000000</f>
        <v>4.7850000000000001</v>
      </c>
      <c r="W64" s="57">
        <f>(1000*CHOOSE(CONTROL!$C$42, 0.1146, 0.1146)*CHOOSE(CONTROL!$C$42, 121.5, 121.5)*CHOOSE(CONTROL!$C$42, 30, 30))/1000000</f>
        <v>0.417717</v>
      </c>
      <c r="X64" s="57">
        <f>(30*0.1790888*245000/1000000)+(30*0.2374*100000/1000000)</f>
        <v>2.0285026799999999</v>
      </c>
      <c r="Y64" s="57"/>
      <c r="Z64" s="14"/>
      <c r="AA64" s="56"/>
      <c r="AB64" s="50">
        <f>(B64*141.293+C64*267.993+D64*115.016+E64*89.698+F64*40+G64*185+H64*0+I64*100+J64*300)/(141.293+267.993+115.016+89.698+0+40+185+100+300)</f>
        <v>5.0448881006456823</v>
      </c>
      <c r="AC64" s="45">
        <f>(M64*'RAP TEMPLATE-GAS AVAILABILITY'!O63+N64*'RAP TEMPLATE-GAS AVAILABILITY'!P63+O64*'RAP TEMPLATE-GAS AVAILABILITY'!Q63+P64*'RAP TEMPLATE-GAS AVAILABILITY'!R63)/('RAP TEMPLATE-GAS AVAILABILITY'!O63+'RAP TEMPLATE-GAS AVAILABILITY'!P63+'RAP TEMPLATE-GAS AVAILABILITY'!Q63+'RAP TEMPLATE-GAS AVAILABILITY'!R63)</f>
        <v>4.9734906474820137</v>
      </c>
    </row>
    <row r="65" spans="1:29" ht="15.75" x14ac:dyDescent="0.25">
      <c r="A65" s="13">
        <v>42856</v>
      </c>
      <c r="B65" s="14">
        <f>CHOOSE(CONTROL!$C$42, 5.0678, 5.0678) * CHOOSE(CONTROL!$C$21, $C$9, 100%, $E$9)</f>
        <v>5.0678000000000001</v>
      </c>
      <c r="C65" s="14">
        <f>CHOOSE(CONTROL!$C$42, 5.0759, 5.0759) * CHOOSE(CONTROL!$C$21, $C$9, 100%, $E$9)</f>
        <v>5.0758999999999999</v>
      </c>
      <c r="D65" s="14">
        <f>CHOOSE(CONTROL!$C$42, 5.2798, 5.2798) * CHOOSE(CONTROL!$C$21, $C$9, 100%, $E$9)</f>
        <v>5.2797999999999998</v>
      </c>
      <c r="E65" s="14">
        <f>CHOOSE(CONTROL!$C$42, 5.3113, 5.3113) * CHOOSE(CONTROL!$C$21, $C$9, 100%, $E$9)</f>
        <v>5.3113000000000001</v>
      </c>
      <c r="F65" s="14">
        <f>CHOOSE(CONTROL!$C$42, 5.0486, 5.0486)*CHOOSE(CONTROL!$C$21, $C$9, 100%, $E$9)</f>
        <v>5.0486000000000004</v>
      </c>
      <c r="G65" s="14">
        <f>CHOOSE(CONTROL!$C$42, 5.0642, 5.0642)*CHOOSE(CONTROL!$C$21, $C$9, 100%, $E$9)</f>
        <v>5.0641999999999996</v>
      </c>
      <c r="H65" s="14">
        <f>CHOOSE(CONTROL!$C$42, 5.2999, 5.2999) * CHOOSE(CONTROL!$C$21, $C$9, 100%, $E$9)</f>
        <v>5.2999000000000001</v>
      </c>
      <c r="I65" s="14">
        <f>CHOOSE(CONTROL!$C$42, 5.0892, 5.0892)* CHOOSE(CONTROL!$C$21, $C$9, 100%, $E$9)</f>
        <v>5.0891999999999999</v>
      </c>
      <c r="J65" s="14">
        <f>CHOOSE(CONTROL!$C$42, 5.0416, 5.0416)* CHOOSE(CONTROL!$C$21, $C$9, 100%, $E$9)</f>
        <v>5.0415999999999999</v>
      </c>
      <c r="K65" s="53">
        <f>CHOOSE(CONTROL!$C$42, 5.0853, 5.0853) * CHOOSE(CONTROL!$C$21, $C$9, 100%, $E$9)</f>
        <v>5.0853000000000002</v>
      </c>
      <c r="L65" s="14">
        <f>CHOOSE(CONTROL!$C$42, 5.8869, 5.8869) * CHOOSE(CONTROL!$C$21, $C$9, 100%, $E$9)</f>
        <v>5.8868999999999998</v>
      </c>
      <c r="M65" s="14">
        <f>CHOOSE(CONTROL!$C$42, 4.946, 4.946) * CHOOSE(CONTROL!$C$21, $C$9, 100%, $E$9)</f>
        <v>4.9459999999999997</v>
      </c>
      <c r="N65" s="14">
        <f>CHOOSE(CONTROL!$C$42, 4.9613, 4.9613) * CHOOSE(CONTROL!$C$21, $C$9, 100%, $E$9)</f>
        <v>4.9612999999999996</v>
      </c>
      <c r="O65" s="14">
        <f>CHOOSE(CONTROL!$C$42, 5.199, 5.199) * CHOOSE(CONTROL!$C$21, $C$9, 100%, $E$9)</f>
        <v>5.1989999999999998</v>
      </c>
      <c r="P65" s="14">
        <f>CHOOSE(CONTROL!$C$42, 4.9923, 4.9923) * CHOOSE(CONTROL!$C$21, $C$9, 100%, $E$9)</f>
        <v>4.9923000000000002</v>
      </c>
      <c r="Q65" s="14">
        <f>CHOOSE(CONTROL!$C$42, 5.7937, 5.7937) * CHOOSE(CONTROL!$C$21, $C$9, 100%, $E$9)</f>
        <v>5.7937000000000003</v>
      </c>
      <c r="R65" s="14">
        <f>CHOOSE(CONTROL!$C$42, 6.3952, 6.3952) * CHOOSE(CONTROL!$C$21, $C$9, 100%, $E$9)</f>
        <v>6.3952</v>
      </c>
      <c r="S65" s="14">
        <f>CHOOSE(CONTROL!$C$42, 4.8591, 4.8591) * CHOOSE(CONTROL!$C$21, $C$9, 100%, $E$9)</f>
        <v>4.8590999999999998</v>
      </c>
      <c r="T6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5" s="57">
        <f>(1000*CHOOSE(CONTROL!$C$42, 695, 695)*CHOOSE(CONTROL!$C$42, 0.5599, 0.5599)*CHOOSE(CONTROL!$C$42, 31, 31))/1000000</f>
        <v>12.063045499999998</v>
      </c>
      <c r="V65" s="57">
        <f>(1000*CHOOSE(CONTROL!$C$42, 580, 580)*CHOOSE(CONTROL!$C$42, 0.275, 0.275)*CHOOSE(CONTROL!$C$42, 31, 31))/1000000</f>
        <v>4.9444999999999997</v>
      </c>
      <c r="W65" s="57">
        <f>(1000*CHOOSE(CONTROL!$C$42, 0.1146, 0.1146)*CHOOSE(CONTROL!$C$42, 121.5, 121.5)*CHOOSE(CONTROL!$C$42, 31, 31))/1000000</f>
        <v>0.43164089999999994</v>
      </c>
      <c r="X65" s="57">
        <f>(31*0.1790888*245000/1000000)+(31*0.2374*100000/1000000)</f>
        <v>2.0961194359999999</v>
      </c>
      <c r="Y65" s="57"/>
      <c r="Z65" s="14"/>
      <c r="AA65" s="56"/>
      <c r="AB65" s="50">
        <f>(B65*194.205+C65*267.466+D65*133.845+E65*53.484+F65*40+G65*185+H65*0+I65*100+J65*300)/(194.205+267.466+133.845+53.484+0+40+185+100+300)</f>
        <v>5.0963800381475668</v>
      </c>
      <c r="AC65" s="45">
        <f>(M65*'RAP TEMPLATE-GAS AVAILABILITY'!O64+N65*'RAP TEMPLATE-GAS AVAILABILITY'!P64+O65*'RAP TEMPLATE-GAS AVAILABILITY'!Q64+P65*'RAP TEMPLATE-GAS AVAILABILITY'!R64)/('RAP TEMPLATE-GAS AVAILABILITY'!O64+'RAP TEMPLATE-GAS AVAILABILITY'!P64+'RAP TEMPLATE-GAS AVAILABILITY'!Q64+'RAP TEMPLATE-GAS AVAILABILITY'!R64)</f>
        <v>5.0271697841726617</v>
      </c>
    </row>
    <row r="66" spans="1:29" ht="15.75" x14ac:dyDescent="0.25">
      <c r="A66" s="13">
        <v>42887</v>
      </c>
      <c r="B66" s="14">
        <f>CHOOSE(CONTROL!$C$42, 5.222, 5.222) * CHOOSE(CONTROL!$C$21, $C$9, 100%, $E$9)</f>
        <v>5.2220000000000004</v>
      </c>
      <c r="C66" s="14">
        <f>CHOOSE(CONTROL!$C$42, 5.23, 5.23) * CHOOSE(CONTROL!$C$21, $C$9, 100%, $E$9)</f>
        <v>5.23</v>
      </c>
      <c r="D66" s="14">
        <f>CHOOSE(CONTROL!$C$42, 5.4339, 5.4339) * CHOOSE(CONTROL!$C$21, $C$9, 100%, $E$9)</f>
        <v>5.4339000000000004</v>
      </c>
      <c r="E66" s="14">
        <f>CHOOSE(CONTROL!$C$42, 5.4654, 5.4654) * CHOOSE(CONTROL!$C$21, $C$9, 100%, $E$9)</f>
        <v>5.4653999999999998</v>
      </c>
      <c r="F66" s="14">
        <f>CHOOSE(CONTROL!$C$42, 5.2031, 5.2031)*CHOOSE(CONTROL!$C$21, $C$9, 100%, $E$9)</f>
        <v>5.2031000000000001</v>
      </c>
      <c r="G66" s="14">
        <f>CHOOSE(CONTROL!$C$42, 5.2189, 5.2189)*CHOOSE(CONTROL!$C$21, $C$9, 100%, $E$9)</f>
        <v>5.2188999999999997</v>
      </c>
      <c r="H66" s="14">
        <f>CHOOSE(CONTROL!$C$42, 5.454, 5.454) * CHOOSE(CONTROL!$C$21, $C$9, 100%, $E$9)</f>
        <v>5.4539999999999997</v>
      </c>
      <c r="I66" s="14">
        <f>CHOOSE(CONTROL!$C$42, 5.2438, 5.2438)* CHOOSE(CONTROL!$C$21, $C$9, 100%, $E$9)</f>
        <v>5.2438000000000002</v>
      </c>
      <c r="J66" s="14">
        <f>CHOOSE(CONTROL!$C$42, 5.1961, 5.1961)* CHOOSE(CONTROL!$C$21, $C$9, 100%, $E$9)</f>
        <v>5.1961000000000004</v>
      </c>
      <c r="K66" s="53">
        <f>CHOOSE(CONTROL!$C$42, 5.2399, 5.2399) * CHOOSE(CONTROL!$C$21, $C$9, 100%, $E$9)</f>
        <v>5.2398999999999996</v>
      </c>
      <c r="L66" s="14">
        <f>CHOOSE(CONTROL!$C$42, 6.041, 6.041) * CHOOSE(CONTROL!$C$21, $C$9, 100%, $E$9)</f>
        <v>6.0410000000000004</v>
      </c>
      <c r="M66" s="14">
        <f>CHOOSE(CONTROL!$C$42, 5.0974, 5.0974) * CHOOSE(CONTROL!$C$21, $C$9, 100%, $E$9)</f>
        <v>5.0974000000000004</v>
      </c>
      <c r="N66" s="14">
        <f>CHOOSE(CONTROL!$C$42, 5.1128, 5.1128) * CHOOSE(CONTROL!$C$21, $C$9, 100%, $E$9)</f>
        <v>5.1128</v>
      </c>
      <c r="O66" s="14">
        <f>CHOOSE(CONTROL!$C$42, 5.35, 5.35) * CHOOSE(CONTROL!$C$21, $C$9, 100%, $E$9)</f>
        <v>5.35</v>
      </c>
      <c r="P66" s="14">
        <f>CHOOSE(CONTROL!$C$42, 5.1438, 5.1438) * CHOOSE(CONTROL!$C$21, $C$9, 100%, $E$9)</f>
        <v>5.1437999999999997</v>
      </c>
      <c r="Q66" s="14">
        <f>CHOOSE(CONTROL!$C$42, 5.9447, 5.9447) * CHOOSE(CONTROL!$C$21, $C$9, 100%, $E$9)</f>
        <v>5.9447000000000001</v>
      </c>
      <c r="R66" s="14">
        <f>CHOOSE(CONTROL!$C$42, 6.5465, 6.5465) * CHOOSE(CONTROL!$C$21, $C$9, 100%, $E$9)</f>
        <v>6.5465</v>
      </c>
      <c r="S66" s="14">
        <f>CHOOSE(CONTROL!$C$42, 5.0072, 5.0072) * CHOOSE(CONTROL!$C$21, $C$9, 100%, $E$9)</f>
        <v>5.0072000000000001</v>
      </c>
      <c r="T6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6" s="57">
        <f>(1000*CHOOSE(CONTROL!$C$42, 695, 695)*CHOOSE(CONTROL!$C$42, 0.5599, 0.5599)*CHOOSE(CONTROL!$C$42, 30, 30))/1000000</f>
        <v>11.673914999999997</v>
      </c>
      <c r="V66" s="57">
        <f>(1000*CHOOSE(CONTROL!$C$42, 580, 580)*CHOOSE(CONTROL!$C$42, 0.275, 0.275)*CHOOSE(CONTROL!$C$42, 30, 30))/1000000</f>
        <v>4.7850000000000001</v>
      </c>
      <c r="W66" s="57">
        <f>(1000*CHOOSE(CONTROL!$C$42, 0.1146, 0.1146)*CHOOSE(CONTROL!$C$42, 121.5, 121.5)*CHOOSE(CONTROL!$C$42, 30, 30))/1000000</f>
        <v>0.417717</v>
      </c>
      <c r="X66" s="57">
        <f>(30*0.1790888*245000/1000000)+(30*0.2374*100000/1000000)</f>
        <v>2.0285026799999999</v>
      </c>
      <c r="Y66" s="57"/>
      <c r="Z66" s="14"/>
      <c r="AA66" s="56"/>
      <c r="AB66" s="50">
        <f>(B66*194.205+C66*267.466+D66*133.845+E66*53.484+F66*40+G66*185+H66*0+I66*100+J66*300)/(194.205+267.466+133.845+53.484+0+40+185+100+300)</f>
        <v>5.2507284058869699</v>
      </c>
      <c r="AC66" s="45">
        <f>(M66*'RAP TEMPLATE-GAS AVAILABILITY'!O65+N66*'RAP TEMPLATE-GAS AVAILABILITY'!P65+O66*'RAP TEMPLATE-GAS AVAILABILITY'!Q65+P66*'RAP TEMPLATE-GAS AVAILABILITY'!R65)/('RAP TEMPLATE-GAS AVAILABILITY'!O65+'RAP TEMPLATE-GAS AVAILABILITY'!P65+'RAP TEMPLATE-GAS AVAILABILITY'!Q65+'RAP TEMPLATE-GAS AVAILABILITY'!R65)</f>
        <v>5.1784949640287774</v>
      </c>
    </row>
    <row r="67" spans="1:29" ht="15.75" x14ac:dyDescent="0.25">
      <c r="A67" s="13">
        <v>42917</v>
      </c>
      <c r="B67" s="14">
        <f>CHOOSE(CONTROL!$C$42, 5.1325, 5.1325) * CHOOSE(CONTROL!$C$21, $C$9, 100%, $E$9)</f>
        <v>5.1325000000000003</v>
      </c>
      <c r="C67" s="14">
        <f>CHOOSE(CONTROL!$C$42, 5.1406, 5.1406) * CHOOSE(CONTROL!$C$21, $C$9, 100%, $E$9)</f>
        <v>5.1406000000000001</v>
      </c>
      <c r="D67" s="14">
        <f>CHOOSE(CONTROL!$C$42, 5.3445, 5.3445) * CHOOSE(CONTROL!$C$21, $C$9, 100%, $E$9)</f>
        <v>5.3445</v>
      </c>
      <c r="E67" s="14">
        <f>CHOOSE(CONTROL!$C$42, 5.376, 5.376) * CHOOSE(CONTROL!$C$21, $C$9, 100%, $E$9)</f>
        <v>5.3760000000000003</v>
      </c>
      <c r="F67" s="14">
        <f>CHOOSE(CONTROL!$C$42, 5.1142, 5.1142)*CHOOSE(CONTROL!$C$21, $C$9, 100%, $E$9)</f>
        <v>5.1142000000000003</v>
      </c>
      <c r="G67" s="14">
        <f>CHOOSE(CONTROL!$C$42, 5.1301, 5.1301)*CHOOSE(CONTROL!$C$21, $C$9, 100%, $E$9)</f>
        <v>5.1300999999999997</v>
      </c>
      <c r="H67" s="14">
        <f>CHOOSE(CONTROL!$C$42, 5.3646, 5.3646) * CHOOSE(CONTROL!$C$21, $C$9, 100%, $E$9)</f>
        <v>5.3646000000000003</v>
      </c>
      <c r="I67" s="14">
        <f>CHOOSE(CONTROL!$C$42, 5.1541, 5.1541)* CHOOSE(CONTROL!$C$21, $C$9, 100%, $E$9)</f>
        <v>5.1540999999999997</v>
      </c>
      <c r="J67" s="14">
        <f>CHOOSE(CONTROL!$C$42, 5.1072, 5.1072)* CHOOSE(CONTROL!$C$21, $C$9, 100%, $E$9)</f>
        <v>5.1071999999999997</v>
      </c>
      <c r="K67" s="53">
        <f>CHOOSE(CONTROL!$C$42, 5.1502, 5.1502) * CHOOSE(CONTROL!$C$21, $C$9, 100%, $E$9)</f>
        <v>5.1501999999999999</v>
      </c>
      <c r="L67" s="14">
        <f>CHOOSE(CONTROL!$C$42, 5.9516, 5.9516) * CHOOSE(CONTROL!$C$21, $C$9, 100%, $E$9)</f>
        <v>5.9516</v>
      </c>
      <c r="M67" s="14">
        <f>CHOOSE(CONTROL!$C$42, 5.0102, 5.0102) * CHOOSE(CONTROL!$C$21, $C$9, 100%, $E$9)</f>
        <v>5.0102000000000002</v>
      </c>
      <c r="N67" s="14">
        <f>CHOOSE(CONTROL!$C$42, 5.0258, 5.0258) * CHOOSE(CONTROL!$C$21, $C$9, 100%, $E$9)</f>
        <v>5.0258000000000003</v>
      </c>
      <c r="O67" s="14">
        <f>CHOOSE(CONTROL!$C$42, 5.2624, 5.2624) * CHOOSE(CONTROL!$C$21, $C$9, 100%, $E$9)</f>
        <v>5.2624000000000004</v>
      </c>
      <c r="P67" s="14">
        <f>CHOOSE(CONTROL!$C$42, 5.0559, 5.0559) * CHOOSE(CONTROL!$C$21, $C$9, 100%, $E$9)</f>
        <v>5.0559000000000003</v>
      </c>
      <c r="Q67" s="14">
        <f>CHOOSE(CONTROL!$C$42, 5.8571, 5.8571) * CHOOSE(CONTROL!$C$21, $C$9, 100%, $E$9)</f>
        <v>5.8571</v>
      </c>
      <c r="R67" s="14">
        <f>CHOOSE(CONTROL!$C$42, 6.4587, 6.4587) * CHOOSE(CONTROL!$C$21, $C$9, 100%, $E$9)</f>
        <v>6.4587000000000003</v>
      </c>
      <c r="S67" s="14">
        <f>CHOOSE(CONTROL!$C$42, 4.9212, 4.9212) * CHOOSE(CONTROL!$C$21, $C$9, 100%, $E$9)</f>
        <v>4.9211999999999998</v>
      </c>
      <c r="T6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7" s="57">
        <f>(1000*CHOOSE(CONTROL!$C$42, 695, 695)*CHOOSE(CONTROL!$C$42, 0.5599, 0.5599)*CHOOSE(CONTROL!$C$42, 31, 31))/1000000</f>
        <v>12.063045499999998</v>
      </c>
      <c r="V67" s="57">
        <f>(1000*CHOOSE(CONTROL!$C$42, 580, 580)*CHOOSE(CONTROL!$C$42, 0.275, 0.275)*CHOOSE(CONTROL!$C$42, 31, 31))/1000000</f>
        <v>4.9444999999999997</v>
      </c>
      <c r="W67" s="57">
        <f>(1000*CHOOSE(CONTROL!$C$42, 0.1146, 0.1146)*CHOOSE(CONTROL!$C$42, 121.5, 121.5)*CHOOSE(CONTROL!$C$42, 31, 31))/1000000</f>
        <v>0.43164089999999994</v>
      </c>
      <c r="X67" s="57">
        <f>(31*0.1790888*245000/1000000)+(31*0.2374*100000/1000000)</f>
        <v>2.0961194359999999</v>
      </c>
      <c r="Y67" s="57"/>
      <c r="Z67" s="14"/>
      <c r="AA67" s="56"/>
      <c r="AB67" s="50">
        <f>(B67*194.205+C67*267.466+D67*133.845+E67*53.484+F67*40+G67*185+H67*0+I67*100+J67*300)/(194.205+267.466+133.845+53.484+0+40+185+100+300)</f>
        <v>5.1615101794348508</v>
      </c>
      <c r="AC67" s="45">
        <f>(M67*'RAP TEMPLATE-GAS AVAILABILITY'!O66+N67*'RAP TEMPLATE-GAS AVAILABILITY'!P66+O67*'RAP TEMPLATE-GAS AVAILABILITY'!Q66+P67*'RAP TEMPLATE-GAS AVAILABILITY'!R66)/('RAP TEMPLATE-GAS AVAILABILITY'!O66+'RAP TEMPLATE-GAS AVAILABILITY'!P66+'RAP TEMPLATE-GAS AVAILABILITY'!Q66+'RAP TEMPLATE-GAS AVAILABILITY'!R66)</f>
        <v>5.0911280575539575</v>
      </c>
    </row>
    <row r="68" spans="1:29" ht="15.75" x14ac:dyDescent="0.25">
      <c r="A68" s="13">
        <v>42948</v>
      </c>
      <c r="B68" s="14">
        <f>CHOOSE(CONTROL!$C$42, 4.8897, 4.8897) * CHOOSE(CONTROL!$C$21, $C$9, 100%, $E$9)</f>
        <v>4.8897000000000004</v>
      </c>
      <c r="C68" s="14">
        <f>CHOOSE(CONTROL!$C$42, 4.8977, 4.8977) * CHOOSE(CONTROL!$C$21, $C$9, 100%, $E$9)</f>
        <v>4.8977000000000004</v>
      </c>
      <c r="D68" s="14">
        <f>CHOOSE(CONTROL!$C$42, 5.1016, 5.1016) * CHOOSE(CONTROL!$C$21, $C$9, 100%, $E$9)</f>
        <v>5.1016000000000004</v>
      </c>
      <c r="E68" s="14">
        <f>CHOOSE(CONTROL!$C$42, 5.1331, 5.1331) * CHOOSE(CONTROL!$C$21, $C$9, 100%, $E$9)</f>
        <v>5.1330999999999998</v>
      </c>
      <c r="F68" s="14">
        <f>CHOOSE(CONTROL!$C$42, 4.8715, 4.8715)*CHOOSE(CONTROL!$C$21, $C$9, 100%, $E$9)</f>
        <v>4.8715000000000002</v>
      </c>
      <c r="G68" s="14">
        <f>CHOOSE(CONTROL!$C$42, 4.8875, 4.8875)*CHOOSE(CONTROL!$C$21, $C$9, 100%, $E$9)</f>
        <v>4.8875000000000002</v>
      </c>
      <c r="H68" s="14">
        <f>CHOOSE(CONTROL!$C$42, 5.1217, 5.1217) * CHOOSE(CONTROL!$C$21, $C$9, 100%, $E$9)</f>
        <v>5.1216999999999997</v>
      </c>
      <c r="I68" s="14">
        <f>CHOOSE(CONTROL!$C$42, 4.9104, 4.9104)* CHOOSE(CONTROL!$C$21, $C$9, 100%, $E$9)</f>
        <v>4.9104000000000001</v>
      </c>
      <c r="J68" s="14">
        <f>CHOOSE(CONTROL!$C$42, 4.8645, 4.8645)* CHOOSE(CONTROL!$C$21, $C$9, 100%, $E$9)</f>
        <v>4.8644999999999996</v>
      </c>
      <c r="K68" s="53">
        <f>CHOOSE(CONTROL!$C$42, 4.9065, 4.9065) * CHOOSE(CONTROL!$C$21, $C$9, 100%, $E$9)</f>
        <v>4.9065000000000003</v>
      </c>
      <c r="L68" s="14">
        <f>CHOOSE(CONTROL!$C$42, 5.7087, 5.7087) * CHOOSE(CONTROL!$C$21, $C$9, 100%, $E$9)</f>
        <v>5.7087000000000003</v>
      </c>
      <c r="M68" s="14">
        <f>CHOOSE(CONTROL!$C$42, 4.7725, 4.7725) * CHOOSE(CONTROL!$C$21, $C$9, 100%, $E$9)</f>
        <v>4.7725</v>
      </c>
      <c r="N68" s="14">
        <f>CHOOSE(CONTROL!$C$42, 4.7882, 4.7882) * CHOOSE(CONTROL!$C$21, $C$9, 100%, $E$9)</f>
        <v>4.7881999999999998</v>
      </c>
      <c r="O68" s="14">
        <f>CHOOSE(CONTROL!$C$42, 5.0245, 5.0245) * CHOOSE(CONTROL!$C$21, $C$9, 100%, $E$9)</f>
        <v>5.0244999999999997</v>
      </c>
      <c r="P68" s="14">
        <f>CHOOSE(CONTROL!$C$42, 4.8173, 4.8173) * CHOOSE(CONTROL!$C$21, $C$9, 100%, $E$9)</f>
        <v>4.8173000000000004</v>
      </c>
      <c r="Q68" s="14">
        <f>CHOOSE(CONTROL!$C$42, 5.6192, 5.6192) * CHOOSE(CONTROL!$C$21, $C$9, 100%, $E$9)</f>
        <v>5.6192000000000002</v>
      </c>
      <c r="R68" s="14">
        <f>CHOOSE(CONTROL!$C$42, 6.2202, 6.2202) * CHOOSE(CONTROL!$C$21, $C$9, 100%, $E$9)</f>
        <v>6.2202000000000002</v>
      </c>
      <c r="S68" s="14">
        <f>CHOOSE(CONTROL!$C$42, 4.6878, 4.6878) * CHOOSE(CONTROL!$C$21, $C$9, 100%, $E$9)</f>
        <v>4.6878000000000002</v>
      </c>
      <c r="T6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8" s="57">
        <f>(1000*CHOOSE(CONTROL!$C$42, 695, 695)*CHOOSE(CONTROL!$C$42, 0.5599, 0.5599)*CHOOSE(CONTROL!$C$42, 31, 31))/1000000</f>
        <v>12.063045499999998</v>
      </c>
      <c r="V68" s="57">
        <f>(1000*CHOOSE(CONTROL!$C$42, 580, 580)*CHOOSE(CONTROL!$C$42, 0.275, 0.275)*CHOOSE(CONTROL!$C$42, 31, 31))/1000000</f>
        <v>4.9444999999999997</v>
      </c>
      <c r="W68" s="57">
        <f>(1000*CHOOSE(CONTROL!$C$42, 0.1146, 0.1146)*CHOOSE(CONTROL!$C$42, 121.5, 121.5)*CHOOSE(CONTROL!$C$42, 31, 31))/1000000</f>
        <v>0.43164089999999994</v>
      </c>
      <c r="X68" s="57">
        <f>(31*0.1790888*245000/1000000)+(31*0.2374*100000/1000000)</f>
        <v>2.0961194359999999</v>
      </c>
      <c r="Y68" s="57"/>
      <c r="Z68" s="14"/>
      <c r="AA68" s="56"/>
      <c r="AB68" s="50">
        <f>(B68*194.205+C68*267.466+D68*133.845+E68*53.484+F68*40+G68*185+H68*0+I68*100+J68*300)/(194.205+267.466+133.845+53.484+0+40+185+100+300)</f>
        <v>4.9186595675824174</v>
      </c>
      <c r="AC68" s="45">
        <f>(M68*'RAP TEMPLATE-GAS AVAILABILITY'!O67+N68*'RAP TEMPLATE-GAS AVAILABILITY'!P67+O68*'RAP TEMPLATE-GAS AVAILABILITY'!Q67+P68*'RAP TEMPLATE-GAS AVAILABILITY'!R67)/('RAP TEMPLATE-GAS AVAILABILITY'!O67+'RAP TEMPLATE-GAS AVAILABILITY'!P67+'RAP TEMPLATE-GAS AVAILABILITY'!Q67+'RAP TEMPLATE-GAS AVAILABILITY'!R67)</f>
        <v>4.8532654676258993</v>
      </c>
    </row>
    <row r="69" spans="1:29" ht="15.75" x14ac:dyDescent="0.25">
      <c r="A69" s="13">
        <v>42979</v>
      </c>
      <c r="B69" s="14">
        <f>CHOOSE(CONTROL!$C$42, 4.589, 4.589) * CHOOSE(CONTROL!$C$21, $C$9, 100%, $E$9)</f>
        <v>4.5890000000000004</v>
      </c>
      <c r="C69" s="14">
        <f>CHOOSE(CONTROL!$C$42, 4.597, 4.597) * CHOOSE(CONTROL!$C$21, $C$9, 100%, $E$9)</f>
        <v>4.5970000000000004</v>
      </c>
      <c r="D69" s="14">
        <f>CHOOSE(CONTROL!$C$42, 4.801, 4.801) * CHOOSE(CONTROL!$C$21, $C$9, 100%, $E$9)</f>
        <v>4.8010000000000002</v>
      </c>
      <c r="E69" s="14">
        <f>CHOOSE(CONTROL!$C$42, 4.8324, 4.8324) * CHOOSE(CONTROL!$C$21, $C$9, 100%, $E$9)</f>
        <v>4.8323999999999998</v>
      </c>
      <c r="F69" s="14">
        <f>CHOOSE(CONTROL!$C$42, 4.5709, 4.5709)*CHOOSE(CONTROL!$C$21, $C$9, 100%, $E$9)</f>
        <v>4.5709</v>
      </c>
      <c r="G69" s="14">
        <f>CHOOSE(CONTROL!$C$42, 4.5869, 4.5869)*CHOOSE(CONTROL!$C$21, $C$9, 100%, $E$9)</f>
        <v>4.5869</v>
      </c>
      <c r="H69" s="14">
        <f>CHOOSE(CONTROL!$C$42, 4.8211, 4.8211) * CHOOSE(CONTROL!$C$21, $C$9, 100%, $E$9)</f>
        <v>4.8211000000000004</v>
      </c>
      <c r="I69" s="14">
        <f>CHOOSE(CONTROL!$C$42, 4.6088, 4.6088)* CHOOSE(CONTROL!$C$21, $C$9, 100%, $E$9)</f>
        <v>4.6087999999999996</v>
      </c>
      <c r="J69" s="14">
        <f>CHOOSE(CONTROL!$C$42, 4.5639, 4.5639)* CHOOSE(CONTROL!$C$21, $C$9, 100%, $E$9)</f>
        <v>4.5639000000000003</v>
      </c>
      <c r="K69" s="53">
        <f>CHOOSE(CONTROL!$C$42, 4.6049, 4.6049) * CHOOSE(CONTROL!$C$21, $C$9, 100%, $E$9)</f>
        <v>4.6048999999999998</v>
      </c>
      <c r="L69" s="14">
        <f>CHOOSE(CONTROL!$C$42, 5.4081, 5.4081) * CHOOSE(CONTROL!$C$21, $C$9, 100%, $E$9)</f>
        <v>5.4081000000000001</v>
      </c>
      <c r="M69" s="14">
        <f>CHOOSE(CONTROL!$C$42, 4.4781, 4.4781) * CHOOSE(CONTROL!$C$21, $C$9, 100%, $E$9)</f>
        <v>4.4781000000000004</v>
      </c>
      <c r="N69" s="14">
        <f>CHOOSE(CONTROL!$C$42, 4.4937, 4.4937) * CHOOSE(CONTROL!$C$21, $C$9, 100%, $E$9)</f>
        <v>4.4936999999999996</v>
      </c>
      <c r="O69" s="14">
        <f>CHOOSE(CONTROL!$C$42, 4.73, 4.73) * CHOOSE(CONTROL!$C$21, $C$9, 100%, $E$9)</f>
        <v>4.7300000000000004</v>
      </c>
      <c r="P69" s="14">
        <f>CHOOSE(CONTROL!$C$42, 4.5219, 4.5219) * CHOOSE(CONTROL!$C$21, $C$9, 100%, $E$9)</f>
        <v>4.5218999999999996</v>
      </c>
      <c r="Q69" s="14">
        <f>CHOOSE(CONTROL!$C$42, 5.3247, 5.3247) * CHOOSE(CONTROL!$C$21, $C$9, 100%, $E$9)</f>
        <v>5.3247</v>
      </c>
      <c r="R69" s="14">
        <f>CHOOSE(CONTROL!$C$42, 5.925, 5.925) * CHOOSE(CONTROL!$C$21, $C$9, 100%, $E$9)</f>
        <v>5.9249999999999998</v>
      </c>
      <c r="S69" s="14">
        <f>CHOOSE(CONTROL!$C$42, 4.3989, 4.3989) * CHOOSE(CONTROL!$C$21, $C$9, 100%, $E$9)</f>
        <v>4.3989000000000003</v>
      </c>
      <c r="T6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9" s="57">
        <f>(1000*CHOOSE(CONTROL!$C$42, 695, 695)*CHOOSE(CONTROL!$C$42, 0.5599, 0.5599)*CHOOSE(CONTROL!$C$42, 30, 30))/1000000</f>
        <v>11.673914999999997</v>
      </c>
      <c r="V69" s="57">
        <f>(1000*CHOOSE(CONTROL!$C$42, 580, 580)*CHOOSE(CONTROL!$C$42, 0.275, 0.275)*CHOOSE(CONTROL!$C$42, 30, 30))/1000000</f>
        <v>4.7850000000000001</v>
      </c>
      <c r="W69" s="57">
        <f>(1000*CHOOSE(CONTROL!$C$42, 0.1146, 0.1146)*CHOOSE(CONTROL!$C$42, 121.5, 121.5)*CHOOSE(CONTROL!$C$42, 30, 30))/1000000</f>
        <v>0.417717</v>
      </c>
      <c r="X69" s="57">
        <f>(30*0.1790888*245000/1000000)+(30*0.2374*100000/1000000)</f>
        <v>2.0285026799999999</v>
      </c>
      <c r="Y69" s="57"/>
      <c r="Z69" s="14"/>
      <c r="AA69" s="56"/>
      <c r="AB69" s="50">
        <f>(B69*194.205+C69*267.466+D69*133.845+E69*53.484+F69*40+G69*185+H69*0+I69*100+J69*300)/(194.205+267.466+133.845+53.484+0+40+185+100+300)</f>
        <v>4.6179406386185242</v>
      </c>
      <c r="AC69" s="45">
        <f>(M69*'RAP TEMPLATE-GAS AVAILABILITY'!O68+N69*'RAP TEMPLATE-GAS AVAILABILITY'!P68+O69*'RAP TEMPLATE-GAS AVAILABILITY'!Q68+P69*'RAP TEMPLATE-GAS AVAILABILITY'!R68)/('RAP TEMPLATE-GAS AVAILABILITY'!O68+'RAP TEMPLATE-GAS AVAILABILITY'!P68+'RAP TEMPLATE-GAS AVAILABILITY'!Q68+'RAP TEMPLATE-GAS AVAILABILITY'!R68)</f>
        <v>4.5586705035971224</v>
      </c>
    </row>
    <row r="70" spans="1:29" ht="15.75" x14ac:dyDescent="0.25">
      <c r="A70" s="13">
        <v>43009</v>
      </c>
      <c r="B70" s="14">
        <f>CHOOSE(CONTROL!$C$42, 4.5036, 4.5036) * CHOOSE(CONTROL!$C$21, $C$9, 100%, $E$9)</f>
        <v>4.5035999999999996</v>
      </c>
      <c r="C70" s="14">
        <f>CHOOSE(CONTROL!$C$42, 4.5089, 4.5089) * CHOOSE(CONTROL!$C$21, $C$9, 100%, $E$9)</f>
        <v>4.5088999999999997</v>
      </c>
      <c r="D70" s="14">
        <f>CHOOSE(CONTROL!$C$42, 4.7178, 4.7178) * CHOOSE(CONTROL!$C$21, $C$9, 100%, $E$9)</f>
        <v>4.7178000000000004</v>
      </c>
      <c r="E70" s="14">
        <f>CHOOSE(CONTROL!$C$42, 4.7469, 4.7469) * CHOOSE(CONTROL!$C$21, $C$9, 100%, $E$9)</f>
        <v>4.7469000000000001</v>
      </c>
      <c r="F70" s="14">
        <f>CHOOSE(CONTROL!$C$42, 4.4875, 4.4875)*CHOOSE(CONTROL!$C$21, $C$9, 100%, $E$9)</f>
        <v>4.4874999999999998</v>
      </c>
      <c r="G70" s="14">
        <f>CHOOSE(CONTROL!$C$42, 4.5032, 4.5032)*CHOOSE(CONTROL!$C$21, $C$9, 100%, $E$9)</f>
        <v>4.5031999999999996</v>
      </c>
      <c r="H70" s="14">
        <f>CHOOSE(CONTROL!$C$42, 4.7374, 4.7374) * CHOOSE(CONTROL!$C$21, $C$9, 100%, $E$9)</f>
        <v>4.7374000000000001</v>
      </c>
      <c r="I70" s="14">
        <f>CHOOSE(CONTROL!$C$42, 4.5249, 4.5249)* CHOOSE(CONTROL!$C$21, $C$9, 100%, $E$9)</f>
        <v>4.5248999999999997</v>
      </c>
      <c r="J70" s="14">
        <f>CHOOSE(CONTROL!$C$42, 4.4805, 4.4805)* CHOOSE(CONTROL!$C$21, $C$9, 100%, $E$9)</f>
        <v>4.4805000000000001</v>
      </c>
      <c r="K70" s="53">
        <f>CHOOSE(CONTROL!$C$42, 4.521, 4.521) * CHOOSE(CONTROL!$C$21, $C$9, 100%, $E$9)</f>
        <v>4.5209999999999999</v>
      </c>
      <c r="L70" s="14">
        <f>CHOOSE(CONTROL!$C$42, 5.3244, 5.3244) * CHOOSE(CONTROL!$C$21, $C$9, 100%, $E$9)</f>
        <v>5.3243999999999998</v>
      </c>
      <c r="M70" s="14">
        <f>CHOOSE(CONTROL!$C$42, 4.3964, 4.3964) * CHOOSE(CONTROL!$C$21, $C$9, 100%, $E$9)</f>
        <v>4.3963999999999999</v>
      </c>
      <c r="N70" s="14">
        <f>CHOOSE(CONTROL!$C$42, 4.4118, 4.4118) * CHOOSE(CONTROL!$C$21, $C$9, 100%, $E$9)</f>
        <v>4.4118000000000004</v>
      </c>
      <c r="O70" s="14">
        <f>CHOOSE(CONTROL!$C$42, 4.648, 4.648) * CHOOSE(CONTROL!$C$21, $C$9, 100%, $E$9)</f>
        <v>4.6479999999999997</v>
      </c>
      <c r="P70" s="14">
        <f>CHOOSE(CONTROL!$C$42, 4.4396, 4.4396) * CHOOSE(CONTROL!$C$21, $C$9, 100%, $E$9)</f>
        <v>4.4396000000000004</v>
      </c>
      <c r="Q70" s="14">
        <f>CHOOSE(CONTROL!$C$42, 5.2427, 5.2427) * CHOOSE(CONTROL!$C$21, $C$9, 100%, $E$9)</f>
        <v>5.2427000000000001</v>
      </c>
      <c r="R70" s="14">
        <f>CHOOSE(CONTROL!$C$42, 5.8428, 5.8428) * CHOOSE(CONTROL!$C$21, $C$9, 100%, $E$9)</f>
        <v>5.8428000000000004</v>
      </c>
      <c r="S70" s="14">
        <f>CHOOSE(CONTROL!$C$42, 4.3185, 4.3185) * CHOOSE(CONTROL!$C$21, $C$9, 100%, $E$9)</f>
        <v>4.3185000000000002</v>
      </c>
      <c r="T7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0" s="57">
        <f>(1000*CHOOSE(CONTROL!$C$42, 695, 695)*CHOOSE(CONTROL!$C$42, 0.5599, 0.5599)*CHOOSE(CONTROL!$C$42, 31, 31))/1000000</f>
        <v>12.063045499999998</v>
      </c>
      <c r="V70" s="57">
        <f>(1000*CHOOSE(CONTROL!$C$42, 580, 580)*CHOOSE(CONTROL!$C$42, 0.275, 0.275)*CHOOSE(CONTROL!$C$42, 31, 31))/1000000</f>
        <v>4.9444999999999997</v>
      </c>
      <c r="W70" s="57">
        <f>(1000*CHOOSE(CONTROL!$C$42, 0.1146, 0.1146)*CHOOSE(CONTROL!$C$42, 121.5, 121.5)*CHOOSE(CONTROL!$C$42, 31, 31))/1000000</f>
        <v>0.43164089999999994</v>
      </c>
      <c r="X70" s="57">
        <f>(31*0.1790888*245000/1000000)+(31*0.2374*100000/1000000)</f>
        <v>2.0961194359999999</v>
      </c>
      <c r="Y70" s="57"/>
      <c r="Z70" s="14"/>
      <c r="AA70" s="56"/>
      <c r="AB70" s="50">
        <f>(B70*131.881+C70*277.167+D70*79.08+E70*125.872+F70*40+G70*185+H70*0+I70*100+J70*300)/(131.881+277.167+79.08+125.872+0+40+185+100+300)</f>
        <v>4.5387207253430182</v>
      </c>
      <c r="AC70" s="45">
        <f>(M70*'RAP TEMPLATE-GAS AVAILABILITY'!O69+N70*'RAP TEMPLATE-GAS AVAILABILITY'!P69+O70*'RAP TEMPLATE-GAS AVAILABILITY'!Q69+P70*'RAP TEMPLATE-GAS AVAILABILITY'!R69)/('RAP TEMPLATE-GAS AVAILABILITY'!O69+'RAP TEMPLATE-GAS AVAILABILITY'!P69+'RAP TEMPLATE-GAS AVAILABILITY'!Q69+'RAP TEMPLATE-GAS AVAILABILITY'!R69)</f>
        <v>4.476753956834532</v>
      </c>
    </row>
    <row r="71" spans="1:29" ht="15.75" x14ac:dyDescent="0.25">
      <c r="A71" s="13">
        <v>43040</v>
      </c>
      <c r="B71" s="14">
        <f>CHOOSE(CONTROL!$C$42, 4.631, 4.631) * CHOOSE(CONTROL!$C$21, $C$9, 100%, $E$9)</f>
        <v>4.6310000000000002</v>
      </c>
      <c r="C71" s="14">
        <f>CHOOSE(CONTROL!$C$42, 4.6361, 4.6361) * CHOOSE(CONTROL!$C$21, $C$9, 100%, $E$9)</f>
        <v>4.6360999999999999</v>
      </c>
      <c r="D71" s="14">
        <f>CHOOSE(CONTROL!$C$42, 4.6999, 4.6999) * CHOOSE(CONTROL!$C$21, $C$9, 100%, $E$9)</f>
        <v>4.6999000000000004</v>
      </c>
      <c r="E71" s="14">
        <f>CHOOSE(CONTROL!$C$42, 4.734, 4.734) * CHOOSE(CONTROL!$C$21, $C$9, 100%, $E$9)</f>
        <v>4.734</v>
      </c>
      <c r="F71" s="14">
        <f>CHOOSE(CONTROL!$C$42, 4.6334, 4.6334)*CHOOSE(CONTROL!$C$21, $C$9, 100%, $E$9)</f>
        <v>4.6334</v>
      </c>
      <c r="G71" s="14">
        <f>CHOOSE(CONTROL!$C$42, 4.6494, 4.6494)*CHOOSE(CONTROL!$C$21, $C$9, 100%, $E$9)</f>
        <v>4.6494</v>
      </c>
      <c r="H71" s="14">
        <f>CHOOSE(CONTROL!$C$42, 4.7232, 4.7232) * CHOOSE(CONTROL!$C$21, $C$9, 100%, $E$9)</f>
        <v>4.7232000000000003</v>
      </c>
      <c r="I71" s="14">
        <f>CHOOSE(CONTROL!$C$42, 4.6584, 4.6584)* CHOOSE(CONTROL!$C$21, $C$9, 100%, $E$9)</f>
        <v>4.6584000000000003</v>
      </c>
      <c r="J71" s="14">
        <f>CHOOSE(CONTROL!$C$42, 4.6264, 4.6264)* CHOOSE(CONTROL!$C$21, $C$9, 100%, $E$9)</f>
        <v>4.6264000000000003</v>
      </c>
      <c r="K71" s="53">
        <f>CHOOSE(CONTROL!$C$42, 4.6545, 4.6545) * CHOOSE(CONTROL!$C$21, $C$9, 100%, $E$9)</f>
        <v>4.6544999999999996</v>
      </c>
      <c r="L71" s="14">
        <f>CHOOSE(CONTROL!$C$42, 5.3102, 5.3102) * CHOOSE(CONTROL!$C$21, $C$9, 100%, $E$9)</f>
        <v>5.3102</v>
      </c>
      <c r="M71" s="14">
        <f>CHOOSE(CONTROL!$C$42, 4.5393, 4.5393) * CHOOSE(CONTROL!$C$21, $C$9, 100%, $E$9)</f>
        <v>4.5392999999999999</v>
      </c>
      <c r="N71" s="14">
        <f>CHOOSE(CONTROL!$C$42, 4.555, 4.555) * CHOOSE(CONTROL!$C$21, $C$9, 100%, $E$9)</f>
        <v>4.5549999999999997</v>
      </c>
      <c r="O71" s="14">
        <f>CHOOSE(CONTROL!$C$42, 4.6341, 4.6341) * CHOOSE(CONTROL!$C$21, $C$9, 100%, $E$9)</f>
        <v>4.6341000000000001</v>
      </c>
      <c r="P71" s="14">
        <f>CHOOSE(CONTROL!$C$42, 4.5704, 4.5704) * CHOOSE(CONTROL!$C$21, $C$9, 100%, $E$9)</f>
        <v>4.5704000000000002</v>
      </c>
      <c r="Q71" s="14">
        <f>CHOOSE(CONTROL!$C$42, 5.2288, 5.2288) * CHOOSE(CONTROL!$C$21, $C$9, 100%, $E$9)</f>
        <v>5.2287999999999997</v>
      </c>
      <c r="R71" s="14">
        <f>CHOOSE(CONTROL!$C$42, 5.8289, 5.8289) * CHOOSE(CONTROL!$C$21, $C$9, 100%, $E$9)</f>
        <v>5.8289</v>
      </c>
      <c r="S71" s="14">
        <f>CHOOSE(CONTROL!$C$42, 4.4414, 4.4414) * CHOOSE(CONTROL!$C$21, $C$9, 100%, $E$9)</f>
        <v>4.4413999999999998</v>
      </c>
      <c r="T7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1" s="57">
        <f>(1000*CHOOSE(CONTROL!$C$42, 695, 695)*CHOOSE(CONTROL!$C$42, 0.5599, 0.5599)*CHOOSE(CONTROL!$C$42, 30, 30))/1000000</f>
        <v>11.673914999999997</v>
      </c>
      <c r="V71" s="57">
        <f>(1000*CHOOSE(CONTROL!$C$42, 580, 580)*CHOOSE(CONTROL!$C$42, 0.275, 0.275)*CHOOSE(CONTROL!$C$42, 30, 30))/1000000</f>
        <v>4.7850000000000001</v>
      </c>
      <c r="W71" s="57">
        <f>(1000*CHOOSE(CONTROL!$C$42, 0.1146, 0.1146)*CHOOSE(CONTROL!$C$42, 121.5, 121.5)*CHOOSE(CONTROL!$C$42, 30, 30))/1000000</f>
        <v>0.417717</v>
      </c>
      <c r="X71" s="57">
        <f>(30*0.1790888*100000/1000000)+(30*0.2374*100000/1000000)</f>
        <v>1.2494664</v>
      </c>
      <c r="Y71" s="57"/>
      <c r="Z71" s="14"/>
      <c r="AA71" s="56"/>
      <c r="AB71" s="50">
        <f>(B71*122.58+C71*297.941+D71*89.177+E71*40.302+F71*40+G71*160+H71*0+I71*100+J71*300)/(122.58+297.941+89.177+40.302+0+40+160+100+300)</f>
        <v>4.645099913391304</v>
      </c>
      <c r="AC71" s="45">
        <f>(M71*'RAP TEMPLATE-GAS AVAILABILITY'!O70+N71*'RAP TEMPLATE-GAS AVAILABILITY'!P70+O71*'RAP TEMPLATE-GAS AVAILABILITY'!Q70+P71*'RAP TEMPLATE-GAS AVAILABILITY'!R70)/('RAP TEMPLATE-GAS AVAILABILITY'!O70+'RAP TEMPLATE-GAS AVAILABILITY'!P70+'RAP TEMPLATE-GAS AVAILABILITY'!Q70+'RAP TEMPLATE-GAS AVAILABILITY'!R70)</f>
        <v>4.5876453237410075</v>
      </c>
    </row>
    <row r="72" spans="1:29" ht="15.75" x14ac:dyDescent="0.25">
      <c r="A72" s="13">
        <v>43070</v>
      </c>
      <c r="B72" s="14">
        <f>CHOOSE(CONTROL!$C$42, 4.9563, 4.9563) * CHOOSE(CONTROL!$C$21, $C$9, 100%, $E$9)</f>
        <v>4.9562999999999997</v>
      </c>
      <c r="C72" s="14">
        <f>CHOOSE(CONTROL!$C$42, 4.9613, 4.9613) * CHOOSE(CONTROL!$C$21, $C$9, 100%, $E$9)</f>
        <v>4.9612999999999996</v>
      </c>
      <c r="D72" s="14">
        <f>CHOOSE(CONTROL!$C$42, 5.0251, 5.0251) * CHOOSE(CONTROL!$C$21, $C$9, 100%, $E$9)</f>
        <v>5.0251000000000001</v>
      </c>
      <c r="E72" s="14">
        <f>CHOOSE(CONTROL!$C$42, 5.0592, 5.0592) * CHOOSE(CONTROL!$C$21, $C$9, 100%, $E$9)</f>
        <v>5.0591999999999997</v>
      </c>
      <c r="F72" s="14">
        <f>CHOOSE(CONTROL!$C$42, 4.9609, 4.9609)*CHOOSE(CONTROL!$C$21, $C$9, 100%, $E$9)</f>
        <v>4.9608999999999996</v>
      </c>
      <c r="G72" s="14">
        <f>CHOOSE(CONTROL!$C$42, 4.9775, 4.9775)*CHOOSE(CONTROL!$C$21, $C$9, 100%, $E$9)</f>
        <v>4.9775</v>
      </c>
      <c r="H72" s="14">
        <f>CHOOSE(CONTROL!$C$42, 5.0484, 5.0484) * CHOOSE(CONTROL!$C$21, $C$9, 100%, $E$9)</f>
        <v>5.0484</v>
      </c>
      <c r="I72" s="14">
        <f>CHOOSE(CONTROL!$C$42, 4.9846, 4.9846)* CHOOSE(CONTROL!$C$21, $C$9, 100%, $E$9)</f>
        <v>4.9846000000000004</v>
      </c>
      <c r="J72" s="14">
        <f>CHOOSE(CONTROL!$C$42, 4.9539, 4.9539)* CHOOSE(CONTROL!$C$21, $C$9, 100%, $E$9)</f>
        <v>4.9539</v>
      </c>
      <c r="K72" s="53">
        <f>CHOOSE(CONTROL!$C$42, 4.9807, 4.9807) * CHOOSE(CONTROL!$C$21, $C$9, 100%, $E$9)</f>
        <v>4.9806999999999997</v>
      </c>
      <c r="L72" s="14">
        <f>CHOOSE(CONTROL!$C$42, 5.6354, 5.6354) * CHOOSE(CONTROL!$C$21, $C$9, 100%, $E$9)</f>
        <v>5.6353999999999997</v>
      </c>
      <c r="M72" s="14">
        <f>CHOOSE(CONTROL!$C$42, 4.8601, 4.8601) * CHOOSE(CONTROL!$C$21, $C$9, 100%, $E$9)</f>
        <v>4.8601000000000001</v>
      </c>
      <c r="N72" s="14">
        <f>CHOOSE(CONTROL!$C$42, 4.8764, 4.8764) * CHOOSE(CONTROL!$C$21, $C$9, 100%, $E$9)</f>
        <v>4.8764000000000003</v>
      </c>
      <c r="O72" s="14">
        <f>CHOOSE(CONTROL!$C$42, 4.9527, 4.9527) * CHOOSE(CONTROL!$C$21, $C$9, 100%, $E$9)</f>
        <v>4.9527000000000001</v>
      </c>
      <c r="P72" s="14">
        <f>CHOOSE(CONTROL!$C$42, 4.89, 4.89) * CHOOSE(CONTROL!$C$21, $C$9, 100%, $E$9)</f>
        <v>4.8899999999999997</v>
      </c>
      <c r="Q72" s="14">
        <f>CHOOSE(CONTROL!$C$42, 5.5474, 5.5474) * CHOOSE(CONTROL!$C$21, $C$9, 100%, $E$9)</f>
        <v>5.5473999999999997</v>
      </c>
      <c r="R72" s="14">
        <f>CHOOSE(CONTROL!$C$42, 6.1483, 6.1483) * CHOOSE(CONTROL!$C$21, $C$9, 100%, $E$9)</f>
        <v>6.1482999999999999</v>
      </c>
      <c r="S72" s="14">
        <f>CHOOSE(CONTROL!$C$42, 4.7539, 4.7539) * CHOOSE(CONTROL!$C$21, $C$9, 100%, $E$9)</f>
        <v>4.7538999999999998</v>
      </c>
      <c r="T7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2" s="57">
        <f>(1000*CHOOSE(CONTROL!$C$42, 695, 695)*CHOOSE(CONTROL!$C$42, 0.5599, 0.5599)*CHOOSE(CONTROL!$C$42, 31, 31))/1000000</f>
        <v>12.063045499999998</v>
      </c>
      <c r="V72" s="57">
        <f>(1000*CHOOSE(CONTROL!$C$42, 580, 580)*CHOOSE(CONTROL!$C$42, 0.275, 0.275)*CHOOSE(CONTROL!$C$42, 31, 31))/1000000</f>
        <v>4.9444999999999997</v>
      </c>
      <c r="W72" s="57">
        <f>(1000*CHOOSE(CONTROL!$C$42, 0.1146, 0.1146)*CHOOSE(CONTROL!$C$42, 121.5, 121.5)*CHOOSE(CONTROL!$C$42, 31, 31))/1000000</f>
        <v>0.43164089999999994</v>
      </c>
      <c r="X72" s="57">
        <f>(31*0.1790888*100000/1000000)+(31*0.2374*100000/1000000)</f>
        <v>1.2911152800000001</v>
      </c>
      <c r="Y72" s="57"/>
      <c r="Z72" s="14"/>
      <c r="AA72" s="56"/>
      <c r="AB72" s="50">
        <f>(B72*122.58+C72*297.941+D72*89.177+E72*40.302+F72*40+G72*160+H72*0+I72*100+J72*300)/(122.58+297.941+89.177+40.302+0+40+160+100+300)</f>
        <v>4.9714810073043481</v>
      </c>
      <c r="AC72" s="45">
        <f>(M72*'RAP TEMPLATE-GAS AVAILABILITY'!O71+N72*'RAP TEMPLATE-GAS AVAILABILITY'!P71+O72*'RAP TEMPLATE-GAS AVAILABILITY'!Q71+P72*'RAP TEMPLATE-GAS AVAILABILITY'!R71)/('RAP TEMPLATE-GAS AVAILABILITY'!O71+'RAP TEMPLATE-GAS AVAILABILITY'!P71+'RAP TEMPLATE-GAS AVAILABILITY'!Q71+'RAP TEMPLATE-GAS AVAILABILITY'!R71)</f>
        <v>4.9073100719424465</v>
      </c>
    </row>
    <row r="73" spans="1:29" ht="15.75" x14ac:dyDescent="0.25">
      <c r="A73" s="13">
        <v>43101</v>
      </c>
      <c r="B73" s="14">
        <f>CHOOSE(CONTROL!$C$42, 6.0008, 6.0008) * CHOOSE(CONTROL!$C$21, $C$9, 100%, $E$9)</f>
        <v>6.0007999999999999</v>
      </c>
      <c r="C73" s="14">
        <f>CHOOSE(CONTROL!$C$42, 6.0059, 6.0059) * CHOOSE(CONTROL!$C$21, $C$9, 100%, $E$9)</f>
        <v>6.0058999999999996</v>
      </c>
      <c r="D73" s="14">
        <f>CHOOSE(CONTROL!$C$42, 6.0723, 6.0723) * CHOOSE(CONTROL!$C$21, $C$9, 100%, $E$9)</f>
        <v>6.0723000000000003</v>
      </c>
      <c r="E73" s="14">
        <f>CHOOSE(CONTROL!$C$42, 6.1064, 6.1064) * CHOOSE(CONTROL!$C$21, $C$9, 100%, $E$9)</f>
        <v>6.1063999999999998</v>
      </c>
      <c r="F73" s="14">
        <f>CHOOSE(CONTROL!$C$42, 5.9882, 5.9882)*CHOOSE(CONTROL!$C$21, $C$9, 100%, $E$9)</f>
        <v>5.9882</v>
      </c>
      <c r="G73" s="14">
        <f>CHOOSE(CONTROL!$C$42, 6.0036, 6.0036)*CHOOSE(CONTROL!$C$21, $C$9, 100%, $E$9)</f>
        <v>6.0035999999999996</v>
      </c>
      <c r="H73" s="14">
        <f>CHOOSE(CONTROL!$C$42, 6.0956, 6.0956) * CHOOSE(CONTROL!$C$21, $C$9, 100%, $E$9)</f>
        <v>6.0956000000000001</v>
      </c>
      <c r="I73" s="14">
        <f>CHOOSE(CONTROL!$C$42, 6.0272, 6.0272)* CHOOSE(CONTROL!$C$21, $C$9, 100%, $E$9)</f>
        <v>6.0271999999999997</v>
      </c>
      <c r="J73" s="14">
        <f>CHOOSE(CONTROL!$C$42, 5.9812, 5.9812)* CHOOSE(CONTROL!$C$21, $C$9, 100%, $E$9)</f>
        <v>5.9812000000000003</v>
      </c>
      <c r="K73" s="53">
        <f>CHOOSE(CONTROL!$C$42, 6.0234, 6.0234) * CHOOSE(CONTROL!$C$21, $C$9, 100%, $E$9)</f>
        <v>6.0233999999999996</v>
      </c>
      <c r="L73" s="14">
        <f>CHOOSE(CONTROL!$C$42, 6.6826, 6.6826) * CHOOSE(CONTROL!$C$21, $C$9, 100%, $E$9)</f>
        <v>6.6825999999999999</v>
      </c>
      <c r="M73" s="14">
        <f>CHOOSE(CONTROL!$C$42, 5.8663, 5.8663) * CHOOSE(CONTROL!$C$21, $C$9, 100%, $E$9)</f>
        <v>5.8662999999999998</v>
      </c>
      <c r="N73" s="14">
        <f>CHOOSE(CONTROL!$C$42, 5.8815, 5.8815) * CHOOSE(CONTROL!$C$21, $C$9, 100%, $E$9)</f>
        <v>5.8815</v>
      </c>
      <c r="O73" s="14">
        <f>CHOOSE(CONTROL!$C$42, 5.9784, 5.9784) * CHOOSE(CONTROL!$C$21, $C$9, 100%, $E$9)</f>
        <v>5.9783999999999997</v>
      </c>
      <c r="P73" s="14">
        <f>CHOOSE(CONTROL!$C$42, 5.9111, 5.9111) * CHOOSE(CONTROL!$C$21, $C$9, 100%, $E$9)</f>
        <v>5.9111000000000002</v>
      </c>
      <c r="Q73" s="14">
        <f>CHOOSE(CONTROL!$C$42, 6.5731, 6.5731) * CHOOSE(CONTROL!$C$21, $C$9, 100%, $E$9)</f>
        <v>6.5731000000000002</v>
      </c>
      <c r="R73" s="14">
        <f>CHOOSE(CONTROL!$C$42, 7.1765, 7.1765) * CHOOSE(CONTROL!$C$21, $C$9, 100%, $E$9)</f>
        <v>7.1764999999999999</v>
      </c>
      <c r="S73" s="14">
        <f>CHOOSE(CONTROL!$C$42, 5.7577, 5.7577) * CHOOSE(CONTROL!$C$21, $C$9, 100%, $E$9)</f>
        <v>5.7576999999999998</v>
      </c>
      <c r="T7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3" s="57">
        <f>(1000*CHOOSE(CONTROL!$C$42, 695, 695)*CHOOSE(CONTROL!$C$42, 0.5599, 0.5599)*CHOOSE(CONTROL!$C$42, 31, 31))/1000000</f>
        <v>12.063045499999998</v>
      </c>
      <c r="V73" s="57">
        <f>(1000*CHOOSE(CONTROL!$C$42, 500, 500)*CHOOSE(CONTROL!$C$42, 0.275, 0.275)*CHOOSE(CONTROL!$C$42, 31, 31))/1000000</f>
        <v>4.2625000000000002</v>
      </c>
      <c r="W73" s="57">
        <f>(1000*CHOOSE(CONTROL!$C$42, 0.1146, 0.1146)*CHOOSE(CONTROL!$C$42, 121.5, 121.5)*CHOOSE(CONTROL!$C$42, 31, 31))/1000000</f>
        <v>0.43164089999999994</v>
      </c>
      <c r="X73" s="57">
        <f>(31*0.1790888*100000/1000000)+(31*0.2374*100000/1000000)</f>
        <v>1.2911152800000001</v>
      </c>
      <c r="Y73" s="57"/>
      <c r="Z73" s="14"/>
      <c r="AA73" s="56"/>
      <c r="AB73" s="50">
        <f>(B73*122.58+C73*297.941+D73*89.177+E73*40.302+F73*40+G73*160+H73*0+I73*100+J73*300)/(122.58+297.941+89.177+40.302+0+40+160+100+300)</f>
        <v>6.0085004746086952</v>
      </c>
      <c r="AC73" s="45">
        <f>(M73*'RAP TEMPLATE-GAS AVAILABILITY'!O72+N73*'RAP TEMPLATE-GAS AVAILABILITY'!P72+O73*'RAP TEMPLATE-GAS AVAILABILITY'!Q72+P73*'RAP TEMPLATE-GAS AVAILABILITY'!R72)/('RAP TEMPLATE-GAS AVAILABILITY'!O72+'RAP TEMPLATE-GAS AVAILABILITY'!P72+'RAP TEMPLATE-GAS AVAILABILITY'!Q72+'RAP TEMPLATE-GAS AVAILABILITY'!R72)</f>
        <v>5.9244287769784174</v>
      </c>
    </row>
    <row r="74" spans="1:29" ht="15.75" x14ac:dyDescent="0.25">
      <c r="A74" s="13">
        <v>43132</v>
      </c>
      <c r="B74" s="14">
        <f>CHOOSE(CONTROL!$C$42, 6.12, 6.12) * CHOOSE(CONTROL!$C$21, $C$9, 100%, $E$9)</f>
        <v>6.12</v>
      </c>
      <c r="C74" s="14">
        <f>CHOOSE(CONTROL!$C$42, 6.1251, 6.1251) * CHOOSE(CONTROL!$C$21, $C$9, 100%, $E$9)</f>
        <v>6.1250999999999998</v>
      </c>
      <c r="D74" s="14">
        <f>CHOOSE(CONTROL!$C$42, 6.1915, 6.1915) * CHOOSE(CONTROL!$C$21, $C$9, 100%, $E$9)</f>
        <v>6.1914999999999996</v>
      </c>
      <c r="E74" s="14">
        <f>CHOOSE(CONTROL!$C$42, 6.2256, 6.2256) * CHOOSE(CONTROL!$C$21, $C$9, 100%, $E$9)</f>
        <v>6.2256</v>
      </c>
      <c r="F74" s="14">
        <f>CHOOSE(CONTROL!$C$42, 6.1074, 6.1074)*CHOOSE(CONTROL!$C$21, $C$9, 100%, $E$9)</f>
        <v>6.1074000000000002</v>
      </c>
      <c r="G74" s="14">
        <f>CHOOSE(CONTROL!$C$42, 6.1229, 6.1229)*CHOOSE(CONTROL!$C$21, $C$9, 100%, $E$9)</f>
        <v>6.1228999999999996</v>
      </c>
      <c r="H74" s="14">
        <f>CHOOSE(CONTROL!$C$42, 6.2148, 6.2148) * CHOOSE(CONTROL!$C$21, $C$9, 100%, $E$9)</f>
        <v>6.2148000000000003</v>
      </c>
      <c r="I74" s="14">
        <f>CHOOSE(CONTROL!$C$42, 6.1468, 6.1468)* CHOOSE(CONTROL!$C$21, $C$9, 100%, $E$9)</f>
        <v>6.1467999999999998</v>
      </c>
      <c r="J74" s="14">
        <f>CHOOSE(CONTROL!$C$42, 6.1004, 6.1004)* CHOOSE(CONTROL!$C$21, $C$9, 100%, $E$9)</f>
        <v>6.1003999999999996</v>
      </c>
      <c r="K74" s="53">
        <f>CHOOSE(CONTROL!$C$42, 6.1429, 6.1429) * CHOOSE(CONTROL!$C$21, $C$9, 100%, $E$9)</f>
        <v>6.1429</v>
      </c>
      <c r="L74" s="14">
        <f>CHOOSE(CONTROL!$C$42, 6.8018, 6.8018) * CHOOSE(CONTROL!$C$21, $C$9, 100%, $E$9)</f>
        <v>6.8018000000000001</v>
      </c>
      <c r="M74" s="14">
        <f>CHOOSE(CONTROL!$C$42, 5.9831, 5.9831) * CHOOSE(CONTROL!$C$21, $C$9, 100%, $E$9)</f>
        <v>5.9831000000000003</v>
      </c>
      <c r="N74" s="14">
        <f>CHOOSE(CONTROL!$C$42, 5.9983, 5.9983) * CHOOSE(CONTROL!$C$21, $C$9, 100%, $E$9)</f>
        <v>5.9983000000000004</v>
      </c>
      <c r="O74" s="14">
        <f>CHOOSE(CONTROL!$C$42, 6.0952, 6.0952) * CHOOSE(CONTROL!$C$21, $C$9, 100%, $E$9)</f>
        <v>6.0952000000000002</v>
      </c>
      <c r="P74" s="14">
        <f>CHOOSE(CONTROL!$C$42, 6.0283, 6.0283) * CHOOSE(CONTROL!$C$21, $C$9, 100%, $E$9)</f>
        <v>6.0282999999999998</v>
      </c>
      <c r="Q74" s="14">
        <f>CHOOSE(CONTROL!$C$42, 6.6899, 6.6899) * CHOOSE(CONTROL!$C$21, $C$9, 100%, $E$9)</f>
        <v>6.6898999999999997</v>
      </c>
      <c r="R74" s="14">
        <f>CHOOSE(CONTROL!$C$42, 7.2936, 7.2936) * CHOOSE(CONTROL!$C$21, $C$9, 100%, $E$9)</f>
        <v>7.2935999999999996</v>
      </c>
      <c r="S74" s="14">
        <f>CHOOSE(CONTROL!$C$42, 5.8722, 5.8722) * CHOOSE(CONTROL!$C$21, $C$9, 100%, $E$9)</f>
        <v>5.8722000000000003</v>
      </c>
      <c r="T7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4" s="57">
        <f>(1000*CHOOSE(CONTROL!$C$42, 695, 695)*CHOOSE(CONTROL!$C$42, 0.5599, 0.5599)*CHOOSE(CONTROL!$C$42, 28, 28))/1000000</f>
        <v>10.895653999999999</v>
      </c>
      <c r="V74" s="57">
        <f>(1000*CHOOSE(CONTROL!$C$42, 500, 500)*CHOOSE(CONTROL!$C$42, 0.275, 0.275)*CHOOSE(CONTROL!$C$42, 28, 28))/1000000</f>
        <v>3.85</v>
      </c>
      <c r="W74" s="57">
        <f>(1000*CHOOSE(CONTROL!$C$42, 0.1146, 0.1146)*CHOOSE(CONTROL!$C$42, 121.5, 121.5)*CHOOSE(CONTROL!$C$42, 28, 28))/1000000</f>
        <v>0.38986920000000003</v>
      </c>
      <c r="X74" s="57">
        <f>(28*0.1790888*100000/1000000)+(28*0.2374*100000/1000000)</f>
        <v>1.16616864</v>
      </c>
      <c r="Y74" s="57"/>
      <c r="Z74" s="14"/>
      <c r="AA74" s="56"/>
      <c r="AB74" s="50">
        <f>(B74*122.58+C74*297.941+D74*89.177+E74*40.302+F74*40+G74*160+H74*0+I74*100+J74*300)/(122.58+297.941+89.177+40.302+0+40+160+100+300)</f>
        <v>6.1277491702608691</v>
      </c>
      <c r="AC74" s="45">
        <f>(M74*'RAP TEMPLATE-GAS AVAILABILITY'!O73+N74*'RAP TEMPLATE-GAS AVAILABILITY'!P73+O74*'RAP TEMPLATE-GAS AVAILABILITY'!Q73+P74*'RAP TEMPLATE-GAS AVAILABILITY'!R73)/('RAP TEMPLATE-GAS AVAILABILITY'!O73+'RAP TEMPLATE-GAS AVAILABILITY'!P73+'RAP TEMPLATE-GAS AVAILABILITY'!Q73+'RAP TEMPLATE-GAS AVAILABILITY'!R73)</f>
        <v>6.0412863309352511</v>
      </c>
    </row>
    <row r="75" spans="1:29" ht="15.75" x14ac:dyDescent="0.25">
      <c r="A75" s="13">
        <v>43160</v>
      </c>
      <c r="B75" s="14">
        <f>CHOOSE(CONTROL!$C$42, 5.9588, 5.9588) * CHOOSE(CONTROL!$C$21, $C$9, 100%, $E$9)</f>
        <v>5.9588000000000001</v>
      </c>
      <c r="C75" s="14">
        <f>CHOOSE(CONTROL!$C$42, 5.9639, 5.9639) * CHOOSE(CONTROL!$C$21, $C$9, 100%, $E$9)</f>
        <v>5.9638999999999998</v>
      </c>
      <c r="D75" s="14">
        <f>CHOOSE(CONTROL!$C$42, 6.0303, 6.0303) * CHOOSE(CONTROL!$C$21, $C$9, 100%, $E$9)</f>
        <v>6.0303000000000004</v>
      </c>
      <c r="E75" s="14">
        <f>CHOOSE(CONTROL!$C$42, 6.0644, 6.0644) * CHOOSE(CONTROL!$C$21, $C$9, 100%, $E$9)</f>
        <v>6.0644</v>
      </c>
      <c r="F75" s="14">
        <f>CHOOSE(CONTROL!$C$42, 5.9458, 5.9458)*CHOOSE(CONTROL!$C$21, $C$9, 100%, $E$9)</f>
        <v>5.9458000000000002</v>
      </c>
      <c r="G75" s="14">
        <f>CHOOSE(CONTROL!$C$42, 5.9612, 5.9612)*CHOOSE(CONTROL!$C$21, $C$9, 100%, $E$9)</f>
        <v>5.9611999999999998</v>
      </c>
      <c r="H75" s="14">
        <f>CHOOSE(CONTROL!$C$42, 6.0536, 6.0536) * CHOOSE(CONTROL!$C$21, $C$9, 100%, $E$9)</f>
        <v>6.0536000000000003</v>
      </c>
      <c r="I75" s="14">
        <f>CHOOSE(CONTROL!$C$42, 5.9851, 5.9851)* CHOOSE(CONTROL!$C$21, $C$9, 100%, $E$9)</f>
        <v>5.9851000000000001</v>
      </c>
      <c r="J75" s="14">
        <f>CHOOSE(CONTROL!$C$42, 5.9388, 5.9388)* CHOOSE(CONTROL!$C$21, $C$9, 100%, $E$9)</f>
        <v>5.9387999999999996</v>
      </c>
      <c r="K75" s="53">
        <f>CHOOSE(CONTROL!$C$42, 5.9812, 5.9812) * CHOOSE(CONTROL!$C$21, $C$9, 100%, $E$9)</f>
        <v>5.9812000000000003</v>
      </c>
      <c r="L75" s="14">
        <f>CHOOSE(CONTROL!$C$42, 6.6406, 6.6406) * CHOOSE(CONTROL!$C$21, $C$9, 100%, $E$9)</f>
        <v>6.6406000000000001</v>
      </c>
      <c r="M75" s="14">
        <f>CHOOSE(CONTROL!$C$42, 5.8248, 5.8248) * CHOOSE(CONTROL!$C$21, $C$9, 100%, $E$9)</f>
        <v>5.8247999999999998</v>
      </c>
      <c r="N75" s="14">
        <f>CHOOSE(CONTROL!$C$42, 5.8399, 5.8399) * CHOOSE(CONTROL!$C$21, $C$9, 100%, $E$9)</f>
        <v>5.8399000000000001</v>
      </c>
      <c r="O75" s="14">
        <f>CHOOSE(CONTROL!$C$42, 5.9372, 5.9372) * CHOOSE(CONTROL!$C$21, $C$9, 100%, $E$9)</f>
        <v>5.9371999999999998</v>
      </c>
      <c r="P75" s="14">
        <f>CHOOSE(CONTROL!$C$42, 5.8698, 5.8698) * CHOOSE(CONTROL!$C$21, $C$9, 100%, $E$9)</f>
        <v>5.8697999999999997</v>
      </c>
      <c r="Q75" s="14">
        <f>CHOOSE(CONTROL!$C$42, 6.5319, 6.5319) * CHOOSE(CONTROL!$C$21, $C$9, 100%, $E$9)</f>
        <v>6.5319000000000003</v>
      </c>
      <c r="R75" s="14">
        <f>CHOOSE(CONTROL!$C$42, 7.1353, 7.1353) * CHOOSE(CONTROL!$C$21, $C$9, 100%, $E$9)</f>
        <v>7.1353</v>
      </c>
      <c r="S75" s="14">
        <f>CHOOSE(CONTROL!$C$42, 5.7173, 5.7173) * CHOOSE(CONTROL!$C$21, $C$9, 100%, $E$9)</f>
        <v>5.7172999999999998</v>
      </c>
      <c r="T7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5" s="57">
        <f>(1000*CHOOSE(CONTROL!$C$42, 695, 695)*CHOOSE(CONTROL!$C$42, 0.5599, 0.5599)*CHOOSE(CONTROL!$C$42, 31, 31))/1000000</f>
        <v>12.063045499999998</v>
      </c>
      <c r="V75" s="57">
        <f>(1000*CHOOSE(CONTROL!$C$42, 500, 500)*CHOOSE(CONTROL!$C$42, 0.275, 0.275)*CHOOSE(CONTROL!$C$42, 31, 31))/1000000</f>
        <v>4.2625000000000002</v>
      </c>
      <c r="W75" s="57">
        <f>(1000*CHOOSE(CONTROL!$C$42, 0.1146, 0.1146)*CHOOSE(CONTROL!$C$42, 121.5, 121.5)*CHOOSE(CONTROL!$C$42, 31, 31))/1000000</f>
        <v>0.43164089999999994</v>
      </c>
      <c r="X75" s="57">
        <f>(31*0.1790888*100000/1000000)+(31*0.2374*100000/1000000)</f>
        <v>1.2911152800000001</v>
      </c>
      <c r="Y75" s="57"/>
      <c r="Z75" s="14"/>
      <c r="AA75" s="56"/>
      <c r="AB75" s="50">
        <f>(B75*122.58+C75*297.941+D75*89.177+E75*40.302+F75*40+G75*160+H75*0+I75*100+J75*300)/(122.58+297.941+89.177+40.302+0+40+160+100+300)</f>
        <v>5.9663178659130427</v>
      </c>
      <c r="AC75" s="45">
        <f>(M75*'RAP TEMPLATE-GAS AVAILABILITY'!O74+N75*'RAP TEMPLATE-GAS AVAILABILITY'!P74+O75*'RAP TEMPLATE-GAS AVAILABILITY'!Q74+P75*'RAP TEMPLATE-GAS AVAILABILITY'!R74)/('RAP TEMPLATE-GAS AVAILABILITY'!O74+'RAP TEMPLATE-GAS AVAILABILITY'!P74+'RAP TEMPLATE-GAS AVAILABILITY'!Q74+'RAP TEMPLATE-GAS AVAILABILITY'!R74)</f>
        <v>5.8830877697841721</v>
      </c>
    </row>
    <row r="76" spans="1:29" ht="15.75" x14ac:dyDescent="0.25">
      <c r="A76" s="13">
        <v>43191</v>
      </c>
      <c r="B76" s="14">
        <f>CHOOSE(CONTROL!$C$42, 5.9544, 5.9544) * CHOOSE(CONTROL!$C$21, $C$9, 100%, $E$9)</f>
        <v>5.9543999999999997</v>
      </c>
      <c r="C76" s="14">
        <f>CHOOSE(CONTROL!$C$42, 5.9589, 5.9589) * CHOOSE(CONTROL!$C$21, $C$9, 100%, $E$9)</f>
        <v>5.9588999999999999</v>
      </c>
      <c r="D76" s="14">
        <f>CHOOSE(CONTROL!$C$42, 6.1659, 6.1659) * CHOOSE(CONTROL!$C$21, $C$9, 100%, $E$9)</f>
        <v>6.1658999999999997</v>
      </c>
      <c r="E76" s="14">
        <f>CHOOSE(CONTROL!$C$42, 6.198, 6.198) * CHOOSE(CONTROL!$C$21, $C$9, 100%, $E$9)</f>
        <v>6.1980000000000004</v>
      </c>
      <c r="F76" s="14">
        <f>CHOOSE(CONTROL!$C$42, 5.9363, 5.9363)*CHOOSE(CONTROL!$C$21, $C$9, 100%, $E$9)</f>
        <v>5.9363000000000001</v>
      </c>
      <c r="G76" s="14">
        <f>CHOOSE(CONTROL!$C$42, 5.9515, 5.9515)*CHOOSE(CONTROL!$C$21, $C$9, 100%, $E$9)</f>
        <v>5.9515000000000002</v>
      </c>
      <c r="H76" s="14">
        <f>CHOOSE(CONTROL!$C$42, 6.1878, 6.1878) * CHOOSE(CONTROL!$C$21, $C$9, 100%, $E$9)</f>
        <v>6.1878000000000002</v>
      </c>
      <c r="I76" s="14">
        <f>CHOOSE(CONTROL!$C$42, 5.9799, 5.9799)* CHOOSE(CONTROL!$C$21, $C$9, 100%, $E$9)</f>
        <v>5.9798999999999998</v>
      </c>
      <c r="J76" s="14">
        <f>CHOOSE(CONTROL!$C$42, 5.9293, 5.9293)* CHOOSE(CONTROL!$C$21, $C$9, 100%, $E$9)</f>
        <v>5.9292999999999996</v>
      </c>
      <c r="K76" s="53">
        <f>CHOOSE(CONTROL!$C$42, 5.976, 5.976) * CHOOSE(CONTROL!$C$21, $C$9, 100%, $E$9)</f>
        <v>5.976</v>
      </c>
      <c r="L76" s="14">
        <f>CHOOSE(CONTROL!$C$42, 6.7748, 6.7748) * CHOOSE(CONTROL!$C$21, $C$9, 100%, $E$9)</f>
        <v>6.7747999999999999</v>
      </c>
      <c r="M76" s="14">
        <f>CHOOSE(CONTROL!$C$42, 5.8155, 5.8155) * CHOOSE(CONTROL!$C$21, $C$9, 100%, $E$9)</f>
        <v>5.8155000000000001</v>
      </c>
      <c r="N76" s="14">
        <f>CHOOSE(CONTROL!$C$42, 5.8303, 5.8303) * CHOOSE(CONTROL!$C$21, $C$9, 100%, $E$9)</f>
        <v>5.8303000000000003</v>
      </c>
      <c r="O76" s="14">
        <f>CHOOSE(CONTROL!$C$42, 6.0687, 6.0687) * CHOOSE(CONTROL!$C$21, $C$9, 100%, $E$9)</f>
        <v>6.0686999999999998</v>
      </c>
      <c r="P76" s="14">
        <f>CHOOSE(CONTROL!$C$42, 5.8647, 5.8647) * CHOOSE(CONTROL!$C$21, $C$9, 100%, $E$9)</f>
        <v>5.8647</v>
      </c>
      <c r="Q76" s="14">
        <f>CHOOSE(CONTROL!$C$42, 6.6634, 6.6634) * CHOOSE(CONTROL!$C$21, $C$9, 100%, $E$9)</f>
        <v>6.6634000000000002</v>
      </c>
      <c r="R76" s="14">
        <f>CHOOSE(CONTROL!$C$42, 7.2671, 7.2671) * CHOOSE(CONTROL!$C$21, $C$9, 100%, $E$9)</f>
        <v>7.2671000000000001</v>
      </c>
      <c r="S76" s="14">
        <f>CHOOSE(CONTROL!$C$42, 5.7123, 5.7123) * CHOOSE(CONTROL!$C$21, $C$9, 100%, $E$9)</f>
        <v>5.7122999999999999</v>
      </c>
      <c r="T7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6" s="57">
        <f>(1000*CHOOSE(CONTROL!$C$42, 695, 695)*CHOOSE(CONTROL!$C$42, 0.5599, 0.5599)*CHOOSE(CONTROL!$C$42, 30, 30))/1000000</f>
        <v>11.673914999999997</v>
      </c>
      <c r="V76" s="57">
        <f>(1000*CHOOSE(CONTROL!$C$42, 500, 500)*CHOOSE(CONTROL!$C$42, 0.275, 0.275)*CHOOSE(CONTROL!$C$42, 30, 30))/1000000</f>
        <v>4.125</v>
      </c>
      <c r="W76" s="57">
        <f>(1000*CHOOSE(CONTROL!$C$42, 0.1146, 0.1146)*CHOOSE(CONTROL!$C$42, 121.5, 121.5)*CHOOSE(CONTROL!$C$42, 30, 30))/1000000</f>
        <v>0.417717</v>
      </c>
      <c r="X76" s="57">
        <f>(30*0.1790888*245000/1000000)+(30*0.2374*100000/1000000)</f>
        <v>2.0285026799999999</v>
      </c>
      <c r="Y76" s="57"/>
      <c r="Z76" s="14"/>
      <c r="AA76" s="56"/>
      <c r="AB76" s="50">
        <f>(B76*141.293+C76*267.993+D76*115.016+E76*89.698+F76*40+G76*185+H76*0+I76*100+J76*300)/(141.293+267.993+115.016+89.698+0+40+185+100+300)</f>
        <v>5.9876056378531075</v>
      </c>
      <c r="AC76" s="45">
        <f>(M76*'RAP TEMPLATE-GAS AVAILABILITY'!O75+N76*'RAP TEMPLATE-GAS AVAILABILITY'!P75+O76*'RAP TEMPLATE-GAS AVAILABILITY'!Q75+P76*'RAP TEMPLATE-GAS AVAILABILITY'!R75)/('RAP TEMPLATE-GAS AVAILABILITY'!O75+'RAP TEMPLATE-GAS AVAILABILITY'!P75+'RAP TEMPLATE-GAS AVAILABILITY'!Q75+'RAP TEMPLATE-GAS AVAILABILITY'!R75)</f>
        <v>5.8970280575539569</v>
      </c>
    </row>
    <row r="77" spans="1:29" ht="15.75" x14ac:dyDescent="0.25">
      <c r="A77" s="13">
        <v>43221</v>
      </c>
      <c r="B77" s="14">
        <f>CHOOSE(CONTROL!$C$42, 6.0206, 6.0206) * CHOOSE(CONTROL!$C$21, $C$9, 100%, $E$9)</f>
        <v>6.0206</v>
      </c>
      <c r="C77" s="14">
        <f>CHOOSE(CONTROL!$C$42, 6.0286, 6.0286) * CHOOSE(CONTROL!$C$21, $C$9, 100%, $E$9)</f>
        <v>6.0286</v>
      </c>
      <c r="D77" s="14">
        <f>CHOOSE(CONTROL!$C$42, 6.2325, 6.2325) * CHOOSE(CONTROL!$C$21, $C$9, 100%, $E$9)</f>
        <v>6.2324999999999999</v>
      </c>
      <c r="E77" s="14">
        <f>CHOOSE(CONTROL!$C$42, 6.264, 6.264) * CHOOSE(CONTROL!$C$21, $C$9, 100%, $E$9)</f>
        <v>6.2640000000000002</v>
      </c>
      <c r="F77" s="14">
        <f>CHOOSE(CONTROL!$C$42, 6.0013, 6.0013)*CHOOSE(CONTROL!$C$21, $C$9, 100%, $E$9)</f>
        <v>6.0012999999999996</v>
      </c>
      <c r="G77" s="14">
        <f>CHOOSE(CONTROL!$C$42, 6.017, 6.017)*CHOOSE(CONTROL!$C$21, $C$9, 100%, $E$9)</f>
        <v>6.0170000000000003</v>
      </c>
      <c r="H77" s="14">
        <f>CHOOSE(CONTROL!$C$42, 6.2526, 6.2526) * CHOOSE(CONTROL!$C$21, $C$9, 100%, $E$9)</f>
        <v>6.2526000000000002</v>
      </c>
      <c r="I77" s="14">
        <f>CHOOSE(CONTROL!$C$42, 6.0449, 6.0449)* CHOOSE(CONTROL!$C$21, $C$9, 100%, $E$9)</f>
        <v>6.0449000000000002</v>
      </c>
      <c r="J77" s="14">
        <f>CHOOSE(CONTROL!$C$42, 5.9943, 5.9943)* CHOOSE(CONTROL!$C$21, $C$9, 100%, $E$9)</f>
        <v>5.9943</v>
      </c>
      <c r="K77" s="53">
        <f>CHOOSE(CONTROL!$C$42, 6.041, 6.041) * CHOOSE(CONTROL!$C$21, $C$9, 100%, $E$9)</f>
        <v>6.0410000000000004</v>
      </c>
      <c r="L77" s="14">
        <f>CHOOSE(CONTROL!$C$42, 6.8396, 6.8396) * CHOOSE(CONTROL!$C$21, $C$9, 100%, $E$9)</f>
        <v>6.8395999999999999</v>
      </c>
      <c r="M77" s="14">
        <f>CHOOSE(CONTROL!$C$42, 5.8792, 5.8792) * CHOOSE(CONTROL!$C$21, $C$9, 100%, $E$9)</f>
        <v>5.8792</v>
      </c>
      <c r="N77" s="14">
        <f>CHOOSE(CONTROL!$C$42, 5.8945, 5.8945) * CHOOSE(CONTROL!$C$21, $C$9, 100%, $E$9)</f>
        <v>5.8944999999999999</v>
      </c>
      <c r="O77" s="14">
        <f>CHOOSE(CONTROL!$C$42, 6.1322, 6.1322) * CHOOSE(CONTROL!$C$21, $C$9, 100%, $E$9)</f>
        <v>6.1322000000000001</v>
      </c>
      <c r="P77" s="14">
        <f>CHOOSE(CONTROL!$C$42, 5.9284, 5.9284) * CHOOSE(CONTROL!$C$21, $C$9, 100%, $E$9)</f>
        <v>5.9283999999999999</v>
      </c>
      <c r="Q77" s="14">
        <f>CHOOSE(CONTROL!$C$42, 6.7269, 6.7269) * CHOOSE(CONTROL!$C$21, $C$9, 100%, $E$9)</f>
        <v>6.7268999999999997</v>
      </c>
      <c r="R77" s="14">
        <f>CHOOSE(CONTROL!$C$42, 7.3307, 7.3307) * CHOOSE(CONTROL!$C$21, $C$9, 100%, $E$9)</f>
        <v>7.3307000000000002</v>
      </c>
      <c r="S77" s="14">
        <f>CHOOSE(CONTROL!$C$42, 5.7745, 5.7745) * CHOOSE(CONTROL!$C$21, $C$9, 100%, $E$9)</f>
        <v>5.7744999999999997</v>
      </c>
      <c r="T7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7" s="57">
        <f>(1000*CHOOSE(CONTROL!$C$42, 695, 695)*CHOOSE(CONTROL!$C$42, 0.5599, 0.5599)*CHOOSE(CONTROL!$C$42, 31, 31))/1000000</f>
        <v>12.063045499999998</v>
      </c>
      <c r="V77" s="57">
        <f>(1000*CHOOSE(CONTROL!$C$42, 500, 500)*CHOOSE(CONTROL!$C$42, 0.275, 0.275)*CHOOSE(CONTROL!$C$42, 31, 31))/1000000</f>
        <v>4.2625000000000002</v>
      </c>
      <c r="W77" s="57">
        <f>(1000*CHOOSE(CONTROL!$C$42, 0.1146, 0.1146)*CHOOSE(CONTROL!$C$42, 121.5, 121.5)*CHOOSE(CONTROL!$C$42, 31, 31))/1000000</f>
        <v>0.43164089999999994</v>
      </c>
      <c r="X77" s="57">
        <f>(31*0.1790888*245000/1000000)+(31*0.2374*100000/1000000)</f>
        <v>2.0961194359999999</v>
      </c>
      <c r="Y77" s="57"/>
      <c r="Z77" s="14"/>
      <c r="AA77" s="56"/>
      <c r="AB77" s="50">
        <f>(B77*194.205+C77*267.466+D77*133.845+E77*53.484+F77*40+G77*185+H77*0+I77*100+J77*300)/(194.205+267.466+133.845+53.484+0+40+185+100+300)</f>
        <v>6.0493452818681321</v>
      </c>
      <c r="AC77" s="45">
        <f>(M77*'RAP TEMPLATE-GAS AVAILABILITY'!O76+N77*'RAP TEMPLATE-GAS AVAILABILITY'!P76+O77*'RAP TEMPLATE-GAS AVAILABILITY'!Q76+P77*'RAP TEMPLATE-GAS AVAILABILITY'!R76)/('RAP TEMPLATE-GAS AVAILABILITY'!O76+'RAP TEMPLATE-GAS AVAILABILITY'!P76+'RAP TEMPLATE-GAS AVAILABILITY'!Q76+'RAP TEMPLATE-GAS AVAILABILITY'!R76)</f>
        <v>5.9607870503597127</v>
      </c>
    </row>
    <row r="78" spans="1:29" ht="15.75" x14ac:dyDescent="0.25">
      <c r="A78" s="13">
        <v>43252</v>
      </c>
      <c r="B78" s="14">
        <f>CHOOSE(CONTROL!$C$42, 6.2037, 6.2037) * CHOOSE(CONTROL!$C$21, $C$9, 100%, $E$9)</f>
        <v>6.2037000000000004</v>
      </c>
      <c r="C78" s="14">
        <f>CHOOSE(CONTROL!$C$42, 6.2118, 6.2118) * CHOOSE(CONTROL!$C$21, $C$9, 100%, $E$9)</f>
        <v>6.2118000000000002</v>
      </c>
      <c r="D78" s="14">
        <f>CHOOSE(CONTROL!$C$42, 6.4157, 6.4157) * CHOOSE(CONTROL!$C$21, $C$9, 100%, $E$9)</f>
        <v>6.4157000000000002</v>
      </c>
      <c r="E78" s="14">
        <f>CHOOSE(CONTROL!$C$42, 6.4472, 6.4472) * CHOOSE(CONTROL!$C$21, $C$9, 100%, $E$9)</f>
        <v>6.4471999999999996</v>
      </c>
      <c r="F78" s="14">
        <f>CHOOSE(CONTROL!$C$42, 6.1849, 6.1849)*CHOOSE(CONTROL!$C$21, $C$9, 100%, $E$9)</f>
        <v>6.1848999999999998</v>
      </c>
      <c r="G78" s="14">
        <f>CHOOSE(CONTROL!$C$42, 6.2007, 6.2007)*CHOOSE(CONTROL!$C$21, $C$9, 100%, $E$9)</f>
        <v>6.2007000000000003</v>
      </c>
      <c r="H78" s="14">
        <f>CHOOSE(CONTROL!$C$42, 6.4358, 6.4358) * CHOOSE(CONTROL!$C$21, $C$9, 100%, $E$9)</f>
        <v>6.4358000000000004</v>
      </c>
      <c r="I78" s="14">
        <f>CHOOSE(CONTROL!$C$42, 6.2286, 6.2286)* CHOOSE(CONTROL!$C$21, $C$9, 100%, $E$9)</f>
        <v>6.2286000000000001</v>
      </c>
      <c r="J78" s="14">
        <f>CHOOSE(CONTROL!$C$42, 6.1779, 6.1779)* CHOOSE(CONTROL!$C$21, $C$9, 100%, $E$9)</f>
        <v>6.1779000000000002</v>
      </c>
      <c r="K78" s="53">
        <f>CHOOSE(CONTROL!$C$42, 6.2247, 6.2247) * CHOOSE(CONTROL!$C$21, $C$9, 100%, $E$9)</f>
        <v>6.2247000000000003</v>
      </c>
      <c r="L78" s="14">
        <f>CHOOSE(CONTROL!$C$42, 7.0228, 7.0228) * CHOOSE(CONTROL!$C$21, $C$9, 100%, $E$9)</f>
        <v>7.0228000000000002</v>
      </c>
      <c r="M78" s="14">
        <f>CHOOSE(CONTROL!$C$42, 6.059, 6.059) * CHOOSE(CONTROL!$C$21, $C$9, 100%, $E$9)</f>
        <v>6.0590000000000002</v>
      </c>
      <c r="N78" s="14">
        <f>CHOOSE(CONTROL!$C$42, 6.0745, 6.0745) * CHOOSE(CONTROL!$C$21, $C$9, 100%, $E$9)</f>
        <v>6.0744999999999996</v>
      </c>
      <c r="O78" s="14">
        <f>CHOOSE(CONTROL!$C$42, 6.3116, 6.3116) * CHOOSE(CONTROL!$C$21, $C$9, 100%, $E$9)</f>
        <v>6.3116000000000003</v>
      </c>
      <c r="P78" s="14">
        <f>CHOOSE(CONTROL!$C$42, 6.1084, 6.1084) * CHOOSE(CONTROL!$C$21, $C$9, 100%, $E$9)</f>
        <v>6.1083999999999996</v>
      </c>
      <c r="Q78" s="14">
        <f>CHOOSE(CONTROL!$C$42, 6.9063, 6.9063) * CHOOSE(CONTROL!$C$21, $C$9, 100%, $E$9)</f>
        <v>6.9062999999999999</v>
      </c>
      <c r="R78" s="14">
        <f>CHOOSE(CONTROL!$C$42, 7.5106, 7.5106) * CHOOSE(CONTROL!$C$21, $C$9, 100%, $E$9)</f>
        <v>7.5106000000000002</v>
      </c>
      <c r="S78" s="14">
        <f>CHOOSE(CONTROL!$C$42, 5.9505, 5.9505) * CHOOSE(CONTROL!$C$21, $C$9, 100%, $E$9)</f>
        <v>5.9504999999999999</v>
      </c>
      <c r="T7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8" s="57">
        <f>(1000*CHOOSE(CONTROL!$C$42, 695, 695)*CHOOSE(CONTROL!$C$42, 0.5599, 0.5599)*CHOOSE(CONTROL!$C$42, 30, 30))/1000000</f>
        <v>11.673914999999997</v>
      </c>
      <c r="V78" s="57">
        <f>(1000*CHOOSE(CONTROL!$C$42, 500, 500)*CHOOSE(CONTROL!$C$42, 0.275, 0.275)*CHOOSE(CONTROL!$C$42, 30, 30))/1000000</f>
        <v>4.125</v>
      </c>
      <c r="W78" s="57">
        <f>(1000*CHOOSE(CONTROL!$C$42, 0.1146, 0.1146)*CHOOSE(CONTROL!$C$42, 121.5, 121.5)*CHOOSE(CONTROL!$C$42, 30, 30))/1000000</f>
        <v>0.417717</v>
      </c>
      <c r="X78" s="57">
        <f>(30*0.1790888*245000/1000000)+(30*0.2374*100000/1000000)</f>
        <v>2.0285026799999999</v>
      </c>
      <c r="Y78" s="57"/>
      <c r="Z78" s="14"/>
      <c r="AA78" s="56"/>
      <c r="AB78" s="50">
        <f>(B78*194.205+C78*267.466+D78*133.845+E78*53.484+F78*40+G78*185+H78*0+I78*100+J78*300)/(194.205+267.466+133.845+53.484+0+40+185+100+300)</f>
        <v>6.2327486409733117</v>
      </c>
      <c r="AC78" s="45">
        <f>(M78*'RAP TEMPLATE-GAS AVAILABILITY'!O77+N78*'RAP TEMPLATE-GAS AVAILABILITY'!P77+O78*'RAP TEMPLATE-GAS AVAILABILITY'!Q77+P78*'RAP TEMPLATE-GAS AVAILABILITY'!R77)/('RAP TEMPLATE-GAS AVAILABILITY'!O77+'RAP TEMPLATE-GAS AVAILABILITY'!P77+'RAP TEMPLATE-GAS AVAILABILITY'!Q77+'RAP TEMPLATE-GAS AVAILABILITY'!R77)</f>
        <v>6.1405496402877695</v>
      </c>
    </row>
    <row r="79" spans="1:29" ht="15.75" x14ac:dyDescent="0.25">
      <c r="A79" s="13">
        <v>43282</v>
      </c>
      <c r="B79" s="14">
        <f>CHOOSE(CONTROL!$C$42, 6.0975, 6.0975) * CHOOSE(CONTROL!$C$21, $C$9, 100%, $E$9)</f>
        <v>6.0975000000000001</v>
      </c>
      <c r="C79" s="14">
        <f>CHOOSE(CONTROL!$C$42, 6.1055, 6.1055) * CHOOSE(CONTROL!$C$21, $C$9, 100%, $E$9)</f>
        <v>6.1055000000000001</v>
      </c>
      <c r="D79" s="14">
        <f>CHOOSE(CONTROL!$C$42, 6.3094, 6.3094) * CHOOSE(CONTROL!$C$21, $C$9, 100%, $E$9)</f>
        <v>6.3094000000000001</v>
      </c>
      <c r="E79" s="14">
        <f>CHOOSE(CONTROL!$C$42, 6.3409, 6.3409) * CHOOSE(CONTROL!$C$21, $C$9, 100%, $E$9)</f>
        <v>6.3409000000000004</v>
      </c>
      <c r="F79" s="14">
        <f>CHOOSE(CONTROL!$C$42, 6.0791, 6.0791)*CHOOSE(CONTROL!$C$21, $C$9, 100%, $E$9)</f>
        <v>6.0791000000000004</v>
      </c>
      <c r="G79" s="14">
        <f>CHOOSE(CONTROL!$C$42, 6.095, 6.095)*CHOOSE(CONTROL!$C$21, $C$9, 100%, $E$9)</f>
        <v>6.0949999999999998</v>
      </c>
      <c r="H79" s="14">
        <f>CHOOSE(CONTROL!$C$42, 6.3295, 6.3295) * CHOOSE(CONTROL!$C$21, $C$9, 100%, $E$9)</f>
        <v>6.3295000000000003</v>
      </c>
      <c r="I79" s="14">
        <f>CHOOSE(CONTROL!$C$42, 6.122, 6.122)* CHOOSE(CONTROL!$C$21, $C$9, 100%, $E$9)</f>
        <v>6.1219999999999999</v>
      </c>
      <c r="J79" s="14">
        <f>CHOOSE(CONTROL!$C$42, 6.0721, 6.0721)* CHOOSE(CONTROL!$C$21, $C$9, 100%, $E$9)</f>
        <v>6.0720999999999998</v>
      </c>
      <c r="K79" s="53">
        <f>CHOOSE(CONTROL!$C$42, 6.1181, 6.1181) * CHOOSE(CONTROL!$C$21, $C$9, 100%, $E$9)</f>
        <v>6.1181000000000001</v>
      </c>
      <c r="L79" s="14">
        <f>CHOOSE(CONTROL!$C$42, 6.9165, 6.9165) * CHOOSE(CONTROL!$C$21, $C$9, 100%, $E$9)</f>
        <v>6.9165000000000001</v>
      </c>
      <c r="M79" s="14">
        <f>CHOOSE(CONTROL!$C$42, 5.9554, 5.9554) * CHOOSE(CONTROL!$C$21, $C$9, 100%, $E$9)</f>
        <v>5.9554</v>
      </c>
      <c r="N79" s="14">
        <f>CHOOSE(CONTROL!$C$42, 5.9709, 5.9709) * CHOOSE(CONTROL!$C$21, $C$9, 100%, $E$9)</f>
        <v>5.9709000000000003</v>
      </c>
      <c r="O79" s="14">
        <f>CHOOSE(CONTROL!$C$42, 6.2075, 6.2075) * CHOOSE(CONTROL!$C$21, $C$9, 100%, $E$9)</f>
        <v>6.2074999999999996</v>
      </c>
      <c r="P79" s="14">
        <f>CHOOSE(CONTROL!$C$42, 6.004, 6.004) * CHOOSE(CONTROL!$C$21, $C$9, 100%, $E$9)</f>
        <v>6.0039999999999996</v>
      </c>
      <c r="Q79" s="14">
        <f>CHOOSE(CONTROL!$C$42, 6.8022, 6.8022) * CHOOSE(CONTROL!$C$21, $C$9, 100%, $E$9)</f>
        <v>6.8022</v>
      </c>
      <c r="R79" s="14">
        <f>CHOOSE(CONTROL!$C$42, 7.4062, 7.4062) * CHOOSE(CONTROL!$C$21, $C$9, 100%, $E$9)</f>
        <v>7.4062000000000001</v>
      </c>
      <c r="S79" s="14">
        <f>CHOOSE(CONTROL!$C$42, 5.8484, 5.8484) * CHOOSE(CONTROL!$C$21, $C$9, 100%, $E$9)</f>
        <v>5.8483999999999998</v>
      </c>
      <c r="T7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9" s="57">
        <f>(1000*CHOOSE(CONTROL!$C$42, 695, 695)*CHOOSE(CONTROL!$C$42, 0.5599, 0.5599)*CHOOSE(CONTROL!$C$42, 31, 31))/1000000</f>
        <v>12.063045499999998</v>
      </c>
      <c r="V79" s="57">
        <f>(1000*CHOOSE(CONTROL!$C$42, 500, 500)*CHOOSE(CONTROL!$C$42, 0.275, 0.275)*CHOOSE(CONTROL!$C$42, 31, 31))/1000000</f>
        <v>4.2625000000000002</v>
      </c>
      <c r="W79" s="57">
        <f>(1000*CHOOSE(CONTROL!$C$42, 0.1146, 0.1146)*CHOOSE(CONTROL!$C$42, 121.5, 121.5)*CHOOSE(CONTROL!$C$42, 31, 31))/1000000</f>
        <v>0.43164089999999994</v>
      </c>
      <c r="X79" s="57">
        <f>(31*0.1790888*245000/1000000)+(31*0.2374*100000/1000000)</f>
        <v>2.0961194359999999</v>
      </c>
      <c r="Y79" s="57"/>
      <c r="Z79" s="14"/>
      <c r="AA79" s="56"/>
      <c r="AB79" s="50">
        <f>(B79*194.205+C79*267.466+D79*133.845+E79*53.484+F79*40+G79*185+H79*0+I79*100+J79*300)/(194.205+267.466+133.845+53.484+0+40+185+100+300)</f>
        <v>6.1266609019623228</v>
      </c>
      <c r="AC79" s="45">
        <f>(M79*'RAP TEMPLATE-GAS AVAILABILITY'!O78+N79*'RAP TEMPLATE-GAS AVAILABILITY'!P78+O79*'RAP TEMPLATE-GAS AVAILABILITY'!Q78+P79*'RAP TEMPLATE-GAS AVAILABILITY'!R78)/('RAP TEMPLATE-GAS AVAILABILITY'!O78+'RAP TEMPLATE-GAS AVAILABILITY'!P78+'RAP TEMPLATE-GAS AVAILABILITY'!Q78+'RAP TEMPLATE-GAS AVAILABILITY'!R78)</f>
        <v>6.0366942446043161</v>
      </c>
    </row>
    <row r="80" spans="1:29" ht="15.75" x14ac:dyDescent="0.25">
      <c r="A80" s="13">
        <v>43313</v>
      </c>
      <c r="B80" s="14">
        <f>CHOOSE(CONTROL!$C$42, 5.8088, 5.8088) * CHOOSE(CONTROL!$C$21, $C$9, 100%, $E$9)</f>
        <v>5.8087999999999997</v>
      </c>
      <c r="C80" s="14">
        <f>CHOOSE(CONTROL!$C$42, 5.8168, 5.8168) * CHOOSE(CONTROL!$C$21, $C$9, 100%, $E$9)</f>
        <v>5.8167999999999997</v>
      </c>
      <c r="D80" s="14">
        <f>CHOOSE(CONTROL!$C$42, 6.0208, 6.0208) * CHOOSE(CONTROL!$C$21, $C$9, 100%, $E$9)</f>
        <v>6.0208000000000004</v>
      </c>
      <c r="E80" s="14">
        <f>CHOOSE(CONTROL!$C$42, 6.0522, 6.0522) * CHOOSE(CONTROL!$C$21, $C$9, 100%, $E$9)</f>
        <v>6.0522</v>
      </c>
      <c r="F80" s="14">
        <f>CHOOSE(CONTROL!$C$42, 5.7907, 5.7907)*CHOOSE(CONTROL!$C$21, $C$9, 100%, $E$9)</f>
        <v>5.7907000000000002</v>
      </c>
      <c r="G80" s="14">
        <f>CHOOSE(CONTROL!$C$42, 5.8066, 5.8066)*CHOOSE(CONTROL!$C$21, $C$9, 100%, $E$9)</f>
        <v>5.8066000000000004</v>
      </c>
      <c r="H80" s="14">
        <f>CHOOSE(CONTROL!$C$42, 6.0409, 6.0409) * CHOOSE(CONTROL!$C$21, $C$9, 100%, $E$9)</f>
        <v>6.0408999999999997</v>
      </c>
      <c r="I80" s="14">
        <f>CHOOSE(CONTROL!$C$42, 5.8324, 5.8324)* CHOOSE(CONTROL!$C$21, $C$9, 100%, $E$9)</f>
        <v>5.8323999999999998</v>
      </c>
      <c r="J80" s="14">
        <f>CHOOSE(CONTROL!$C$42, 5.7837, 5.7837)* CHOOSE(CONTROL!$C$21, $C$9, 100%, $E$9)</f>
        <v>5.7836999999999996</v>
      </c>
      <c r="K80" s="53">
        <f>CHOOSE(CONTROL!$C$42, 5.8285, 5.8285) * CHOOSE(CONTROL!$C$21, $C$9, 100%, $E$9)</f>
        <v>5.8285</v>
      </c>
      <c r="L80" s="14">
        <f>CHOOSE(CONTROL!$C$42, 6.6279, 6.6279) * CHOOSE(CONTROL!$C$21, $C$9, 100%, $E$9)</f>
        <v>6.6279000000000003</v>
      </c>
      <c r="M80" s="14">
        <f>CHOOSE(CONTROL!$C$42, 5.6728, 5.6728) * CHOOSE(CONTROL!$C$21, $C$9, 100%, $E$9)</f>
        <v>5.6727999999999996</v>
      </c>
      <c r="N80" s="14">
        <f>CHOOSE(CONTROL!$C$42, 5.6885, 5.6885) * CHOOSE(CONTROL!$C$21, $C$9, 100%, $E$9)</f>
        <v>5.6885000000000003</v>
      </c>
      <c r="O80" s="14">
        <f>CHOOSE(CONTROL!$C$42, 5.9248, 5.9248) * CHOOSE(CONTROL!$C$21, $C$9, 100%, $E$9)</f>
        <v>5.9248000000000003</v>
      </c>
      <c r="P80" s="14">
        <f>CHOOSE(CONTROL!$C$42, 5.7203, 5.7203) * CHOOSE(CONTROL!$C$21, $C$9, 100%, $E$9)</f>
        <v>5.7202999999999999</v>
      </c>
      <c r="Q80" s="14">
        <f>CHOOSE(CONTROL!$C$42, 6.5195, 6.5195) * CHOOSE(CONTROL!$C$21, $C$9, 100%, $E$9)</f>
        <v>6.5194999999999999</v>
      </c>
      <c r="R80" s="14">
        <f>CHOOSE(CONTROL!$C$42, 7.1228, 7.1228) * CHOOSE(CONTROL!$C$21, $C$9, 100%, $E$9)</f>
        <v>7.1227999999999998</v>
      </c>
      <c r="S80" s="14">
        <f>CHOOSE(CONTROL!$C$42, 5.571, 5.571) * CHOOSE(CONTROL!$C$21, $C$9, 100%, $E$9)</f>
        <v>5.5709999999999997</v>
      </c>
      <c r="T8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0" s="57">
        <f>(1000*CHOOSE(CONTROL!$C$42, 695, 695)*CHOOSE(CONTROL!$C$42, 0.5599, 0.5599)*CHOOSE(CONTROL!$C$42, 31, 31))/1000000</f>
        <v>12.063045499999998</v>
      </c>
      <c r="V80" s="57">
        <f>(1000*CHOOSE(CONTROL!$C$42, 500, 500)*CHOOSE(CONTROL!$C$42, 0.275, 0.275)*CHOOSE(CONTROL!$C$42, 31, 31))/1000000</f>
        <v>4.2625000000000002</v>
      </c>
      <c r="W80" s="57">
        <f>(1000*CHOOSE(CONTROL!$C$42, 0.1146, 0.1146)*CHOOSE(CONTROL!$C$42, 121.5, 121.5)*CHOOSE(CONTROL!$C$42, 31, 31))/1000000</f>
        <v>0.43164089999999994</v>
      </c>
      <c r="X80" s="57">
        <f>(31*0.1790888*245000/1000000)+(31*0.2374*100000/1000000)</f>
        <v>2.0961194359999999</v>
      </c>
      <c r="Y80" s="57"/>
      <c r="Z80" s="14"/>
      <c r="AA80" s="56"/>
      <c r="AB80" s="50">
        <f>(B80*194.205+C80*267.466+D80*133.845+E80*53.484+F80*40+G80*185+H80*0+I80*100+J80*300)/(194.205+267.466+133.845+53.484+0+40+185+100+300)</f>
        <v>5.8380243905808475</v>
      </c>
      <c r="AC80" s="45">
        <f>(M80*'RAP TEMPLATE-GAS AVAILABILITY'!O79+N80*'RAP TEMPLATE-GAS AVAILABILITY'!P79+O80*'RAP TEMPLATE-GAS AVAILABILITY'!Q79+P80*'RAP TEMPLATE-GAS AVAILABILITY'!R79)/('RAP TEMPLATE-GAS AVAILABILITY'!O79+'RAP TEMPLATE-GAS AVAILABILITY'!P79+'RAP TEMPLATE-GAS AVAILABILITY'!Q79+'RAP TEMPLATE-GAS AVAILABILITY'!R79)</f>
        <v>5.7539539568345317</v>
      </c>
    </row>
    <row r="81" spans="1:29" ht="15.75" x14ac:dyDescent="0.25">
      <c r="A81" s="13">
        <v>43344</v>
      </c>
      <c r="B81" s="14">
        <f>CHOOSE(CONTROL!$C$42, 5.4516, 5.4516) * CHOOSE(CONTROL!$C$21, $C$9, 100%, $E$9)</f>
        <v>5.4516</v>
      </c>
      <c r="C81" s="14">
        <f>CHOOSE(CONTROL!$C$42, 5.4596, 5.4596) * CHOOSE(CONTROL!$C$21, $C$9, 100%, $E$9)</f>
        <v>5.4596</v>
      </c>
      <c r="D81" s="14">
        <f>CHOOSE(CONTROL!$C$42, 5.6635, 5.6635) * CHOOSE(CONTROL!$C$21, $C$9, 100%, $E$9)</f>
        <v>5.6635</v>
      </c>
      <c r="E81" s="14">
        <f>CHOOSE(CONTROL!$C$42, 5.695, 5.695) * CHOOSE(CONTROL!$C$21, $C$9, 100%, $E$9)</f>
        <v>5.6950000000000003</v>
      </c>
      <c r="F81" s="14">
        <f>CHOOSE(CONTROL!$C$42, 5.4335, 5.4335)*CHOOSE(CONTROL!$C$21, $C$9, 100%, $E$9)</f>
        <v>5.4335000000000004</v>
      </c>
      <c r="G81" s="14">
        <f>CHOOSE(CONTROL!$C$42, 5.4495, 5.4495)*CHOOSE(CONTROL!$C$21, $C$9, 100%, $E$9)</f>
        <v>5.4494999999999996</v>
      </c>
      <c r="H81" s="14">
        <f>CHOOSE(CONTROL!$C$42, 5.6836, 5.6836) * CHOOSE(CONTROL!$C$21, $C$9, 100%, $E$9)</f>
        <v>5.6836000000000002</v>
      </c>
      <c r="I81" s="14">
        <f>CHOOSE(CONTROL!$C$42, 5.4741, 5.4741)* CHOOSE(CONTROL!$C$21, $C$9, 100%, $E$9)</f>
        <v>5.4741</v>
      </c>
      <c r="J81" s="14">
        <f>CHOOSE(CONTROL!$C$42, 5.4265, 5.4265)* CHOOSE(CONTROL!$C$21, $C$9, 100%, $E$9)</f>
        <v>5.4264999999999999</v>
      </c>
      <c r="K81" s="53">
        <f>CHOOSE(CONTROL!$C$42, 5.4702, 5.4702) * CHOOSE(CONTROL!$C$21, $C$9, 100%, $E$9)</f>
        <v>5.4702000000000002</v>
      </c>
      <c r="L81" s="14">
        <f>CHOOSE(CONTROL!$C$42, 6.2706, 6.2706) * CHOOSE(CONTROL!$C$21, $C$9, 100%, $E$9)</f>
        <v>6.2706</v>
      </c>
      <c r="M81" s="14">
        <f>CHOOSE(CONTROL!$C$42, 5.323, 5.323) * CHOOSE(CONTROL!$C$21, $C$9, 100%, $E$9)</f>
        <v>5.3230000000000004</v>
      </c>
      <c r="N81" s="14">
        <f>CHOOSE(CONTROL!$C$42, 5.3386, 5.3386) * CHOOSE(CONTROL!$C$21, $C$9, 100%, $E$9)</f>
        <v>5.3385999999999996</v>
      </c>
      <c r="O81" s="14">
        <f>CHOOSE(CONTROL!$C$42, 5.5749, 5.5749) * CHOOSE(CONTROL!$C$21, $C$9, 100%, $E$9)</f>
        <v>5.5749000000000004</v>
      </c>
      <c r="P81" s="14">
        <f>CHOOSE(CONTROL!$C$42, 5.3694, 5.3694) * CHOOSE(CONTROL!$C$21, $C$9, 100%, $E$9)</f>
        <v>5.3693999999999997</v>
      </c>
      <c r="Q81" s="14">
        <f>CHOOSE(CONTROL!$C$42, 6.1696, 6.1696) * CHOOSE(CONTROL!$C$21, $C$9, 100%, $E$9)</f>
        <v>6.1696</v>
      </c>
      <c r="R81" s="14">
        <f>CHOOSE(CONTROL!$C$42, 6.772, 6.772) * CHOOSE(CONTROL!$C$21, $C$9, 100%, $E$9)</f>
        <v>6.7720000000000002</v>
      </c>
      <c r="S81" s="14">
        <f>CHOOSE(CONTROL!$C$42, 5.2278, 5.2278) * CHOOSE(CONTROL!$C$21, $C$9, 100%, $E$9)</f>
        <v>5.2278000000000002</v>
      </c>
      <c r="T8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1" s="57">
        <f>(1000*CHOOSE(CONTROL!$C$42, 695, 695)*CHOOSE(CONTROL!$C$42, 0.5599, 0.5599)*CHOOSE(CONTROL!$C$42, 30, 30))/1000000</f>
        <v>11.673914999999997</v>
      </c>
      <c r="V81" s="57">
        <f>(1000*CHOOSE(CONTROL!$C$42, 500, 500)*CHOOSE(CONTROL!$C$42, 0.275, 0.275)*CHOOSE(CONTROL!$C$42, 30, 30))/1000000</f>
        <v>4.125</v>
      </c>
      <c r="W81" s="57">
        <f>(1000*CHOOSE(CONTROL!$C$42, 0.1146, 0.1146)*CHOOSE(CONTROL!$C$42, 121.5, 121.5)*CHOOSE(CONTROL!$C$42, 30, 30))/1000000</f>
        <v>0.417717</v>
      </c>
      <c r="X81" s="57">
        <f>(30*0.1790888*245000/1000000)+(30*0.2374*100000/1000000)</f>
        <v>2.0285026799999999</v>
      </c>
      <c r="Y81" s="57"/>
      <c r="Z81" s="14"/>
      <c r="AA81" s="56"/>
      <c r="AB81" s="50">
        <f>(B81*194.205+C81*267.466+D81*133.845+E81*53.484+F81*40+G81*185+H81*0+I81*100+J81*300)/(194.205+267.466+133.845+53.484+0+40+185+100+300)</f>
        <v>5.4807420636577708</v>
      </c>
      <c r="AC81" s="45">
        <f>(M81*'RAP TEMPLATE-GAS AVAILABILITY'!O80+N81*'RAP TEMPLATE-GAS AVAILABILITY'!P80+O81*'RAP TEMPLATE-GAS AVAILABILITY'!Q80+P81*'RAP TEMPLATE-GAS AVAILABILITY'!R80)/('RAP TEMPLATE-GAS AVAILABILITY'!O80+'RAP TEMPLATE-GAS AVAILABILITY'!P80+'RAP TEMPLATE-GAS AVAILABILITY'!Q80+'RAP TEMPLATE-GAS AVAILABILITY'!R80)</f>
        <v>5.4039446043165471</v>
      </c>
    </row>
    <row r="82" spans="1:29" ht="15.75" x14ac:dyDescent="0.25">
      <c r="A82" s="13">
        <v>43374</v>
      </c>
      <c r="B82" s="14">
        <f>CHOOSE(CONTROL!$C$42, 5.3503, 5.3503) * CHOOSE(CONTROL!$C$21, $C$9, 100%, $E$9)</f>
        <v>5.3502999999999998</v>
      </c>
      <c r="C82" s="14">
        <f>CHOOSE(CONTROL!$C$42, 5.3557, 5.3557) * CHOOSE(CONTROL!$C$21, $C$9, 100%, $E$9)</f>
        <v>5.3556999999999997</v>
      </c>
      <c r="D82" s="14">
        <f>CHOOSE(CONTROL!$C$42, 5.5646, 5.5646) * CHOOSE(CONTROL!$C$21, $C$9, 100%, $E$9)</f>
        <v>5.5646000000000004</v>
      </c>
      <c r="E82" s="14">
        <f>CHOOSE(CONTROL!$C$42, 5.5937, 5.5937) * CHOOSE(CONTROL!$C$21, $C$9, 100%, $E$9)</f>
        <v>5.5937000000000001</v>
      </c>
      <c r="F82" s="14">
        <f>CHOOSE(CONTROL!$C$42, 5.3343, 5.3343)*CHOOSE(CONTROL!$C$21, $C$9, 100%, $E$9)</f>
        <v>5.3342999999999998</v>
      </c>
      <c r="G82" s="14">
        <f>CHOOSE(CONTROL!$C$42, 5.35, 5.35)*CHOOSE(CONTROL!$C$21, $C$9, 100%, $E$9)</f>
        <v>5.35</v>
      </c>
      <c r="H82" s="14">
        <f>CHOOSE(CONTROL!$C$42, 5.5842, 5.5842) * CHOOSE(CONTROL!$C$21, $C$9, 100%, $E$9)</f>
        <v>5.5842000000000001</v>
      </c>
      <c r="I82" s="14">
        <f>CHOOSE(CONTROL!$C$42, 5.3743, 5.3743)* CHOOSE(CONTROL!$C$21, $C$9, 100%, $E$9)</f>
        <v>5.3742999999999999</v>
      </c>
      <c r="J82" s="14">
        <f>CHOOSE(CONTROL!$C$42, 5.3273, 5.3273)* CHOOSE(CONTROL!$C$21, $C$9, 100%, $E$9)</f>
        <v>5.3273000000000001</v>
      </c>
      <c r="K82" s="53">
        <f>CHOOSE(CONTROL!$C$42, 5.3704, 5.3704) * CHOOSE(CONTROL!$C$21, $C$9, 100%, $E$9)</f>
        <v>5.3704000000000001</v>
      </c>
      <c r="L82" s="14">
        <f>CHOOSE(CONTROL!$C$42, 6.1712, 6.1712) * CHOOSE(CONTROL!$C$21, $C$9, 100%, $E$9)</f>
        <v>6.1711999999999998</v>
      </c>
      <c r="M82" s="14">
        <f>CHOOSE(CONTROL!$C$42, 5.2259, 5.2259) * CHOOSE(CONTROL!$C$21, $C$9, 100%, $E$9)</f>
        <v>5.2259000000000002</v>
      </c>
      <c r="N82" s="14">
        <f>CHOOSE(CONTROL!$C$42, 5.2412, 5.2412) * CHOOSE(CONTROL!$C$21, $C$9, 100%, $E$9)</f>
        <v>5.2412000000000001</v>
      </c>
      <c r="O82" s="14">
        <f>CHOOSE(CONTROL!$C$42, 5.4774, 5.4774) * CHOOSE(CONTROL!$C$21, $C$9, 100%, $E$9)</f>
        <v>5.4774000000000003</v>
      </c>
      <c r="P82" s="14">
        <f>CHOOSE(CONTROL!$C$42, 5.2716, 5.2716) * CHOOSE(CONTROL!$C$21, $C$9, 100%, $E$9)</f>
        <v>5.2716000000000003</v>
      </c>
      <c r="Q82" s="14">
        <f>CHOOSE(CONTROL!$C$42, 6.0721, 6.0721) * CHOOSE(CONTROL!$C$21, $C$9, 100%, $E$9)</f>
        <v>6.0720999999999998</v>
      </c>
      <c r="R82" s="14">
        <f>CHOOSE(CONTROL!$C$42, 6.6743, 6.6743) * CHOOSE(CONTROL!$C$21, $C$9, 100%, $E$9)</f>
        <v>6.6742999999999997</v>
      </c>
      <c r="S82" s="14">
        <f>CHOOSE(CONTROL!$C$42, 5.1322, 5.1322) * CHOOSE(CONTROL!$C$21, $C$9, 100%, $E$9)</f>
        <v>5.1322000000000001</v>
      </c>
      <c r="T8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2" s="57">
        <f>(1000*CHOOSE(CONTROL!$C$42, 695, 695)*CHOOSE(CONTROL!$C$42, 0.5599, 0.5599)*CHOOSE(CONTROL!$C$42, 31, 31))/1000000</f>
        <v>12.063045499999998</v>
      </c>
      <c r="V82" s="57">
        <f>(1000*CHOOSE(CONTROL!$C$42, 500, 500)*CHOOSE(CONTROL!$C$42, 0.275, 0.275)*CHOOSE(CONTROL!$C$42, 31, 31))/1000000</f>
        <v>4.2625000000000002</v>
      </c>
      <c r="W82" s="57">
        <f>(1000*CHOOSE(CONTROL!$C$42, 0.1146, 0.1146)*CHOOSE(CONTROL!$C$42, 121.5, 121.5)*CHOOSE(CONTROL!$C$42, 31, 31))/1000000</f>
        <v>0.43164089999999994</v>
      </c>
      <c r="X82" s="57">
        <f>(31*0.1790888*245000/1000000)+(31*0.2374*100000/1000000)</f>
        <v>2.0961194359999999</v>
      </c>
      <c r="Y82" s="57"/>
      <c r="Z82" s="14"/>
      <c r="AA82" s="56"/>
      <c r="AB82" s="50">
        <f>(B82*131.881+C82*277.167+D82*79.08+E82*125.872+F82*40+G82*185+H82*0+I82*100+J82*300)/(131.881+277.167+79.08+125.872+0+40+185+100+300)</f>
        <v>5.3857199278450363</v>
      </c>
      <c r="AC82" s="45">
        <f>(M82*'RAP TEMPLATE-GAS AVAILABILITY'!O81+N82*'RAP TEMPLATE-GAS AVAILABILITY'!P81+O82*'RAP TEMPLATE-GAS AVAILABILITY'!Q81+P82*'RAP TEMPLATE-GAS AVAILABILITY'!R81)/('RAP TEMPLATE-GAS AVAILABILITY'!O81+'RAP TEMPLATE-GAS AVAILABILITY'!P81+'RAP TEMPLATE-GAS AVAILABILITY'!Q81+'RAP TEMPLATE-GAS AVAILABILITY'!R81)</f>
        <v>5.3065625899280571</v>
      </c>
    </row>
    <row r="83" spans="1:29" ht="15.75" x14ac:dyDescent="0.25">
      <c r="A83" s="13">
        <v>43405</v>
      </c>
      <c r="B83" s="14">
        <f>CHOOSE(CONTROL!$C$42, 5.5019, 5.5019) * CHOOSE(CONTROL!$C$21, $C$9, 100%, $E$9)</f>
        <v>5.5019</v>
      </c>
      <c r="C83" s="14">
        <f>CHOOSE(CONTROL!$C$42, 5.507, 5.507) * CHOOSE(CONTROL!$C$21, $C$9, 100%, $E$9)</f>
        <v>5.5069999999999997</v>
      </c>
      <c r="D83" s="14">
        <f>CHOOSE(CONTROL!$C$42, 5.5708, 5.5708) * CHOOSE(CONTROL!$C$21, $C$9, 100%, $E$9)</f>
        <v>5.5708000000000002</v>
      </c>
      <c r="E83" s="14">
        <f>CHOOSE(CONTROL!$C$42, 5.6049, 5.6049) * CHOOSE(CONTROL!$C$21, $C$9, 100%, $E$9)</f>
        <v>5.6048999999999998</v>
      </c>
      <c r="F83" s="14">
        <f>CHOOSE(CONTROL!$C$42, 5.5043, 5.5043)*CHOOSE(CONTROL!$C$21, $C$9, 100%, $E$9)</f>
        <v>5.5042999999999997</v>
      </c>
      <c r="G83" s="14">
        <f>CHOOSE(CONTROL!$C$42, 5.5203, 5.5203)*CHOOSE(CONTROL!$C$21, $C$9, 100%, $E$9)</f>
        <v>5.5202999999999998</v>
      </c>
      <c r="H83" s="14">
        <f>CHOOSE(CONTROL!$C$42, 5.5941, 5.5941) * CHOOSE(CONTROL!$C$21, $C$9, 100%, $E$9)</f>
        <v>5.5941000000000001</v>
      </c>
      <c r="I83" s="14">
        <f>CHOOSE(CONTROL!$C$42, 5.532, 5.532)* CHOOSE(CONTROL!$C$21, $C$9, 100%, $E$9)</f>
        <v>5.532</v>
      </c>
      <c r="J83" s="14">
        <f>CHOOSE(CONTROL!$C$42, 5.4973, 5.4973)* CHOOSE(CONTROL!$C$21, $C$9, 100%, $E$9)</f>
        <v>5.4973000000000001</v>
      </c>
      <c r="K83" s="53">
        <f>CHOOSE(CONTROL!$C$42, 5.5281, 5.5281) * CHOOSE(CONTROL!$C$21, $C$9, 100%, $E$9)</f>
        <v>5.5281000000000002</v>
      </c>
      <c r="L83" s="14">
        <f>CHOOSE(CONTROL!$C$42, 6.1811, 6.1811) * CHOOSE(CONTROL!$C$21, $C$9, 100%, $E$9)</f>
        <v>6.1810999999999998</v>
      </c>
      <c r="M83" s="14">
        <f>CHOOSE(CONTROL!$C$42, 5.3924, 5.3924) * CHOOSE(CONTROL!$C$21, $C$9, 100%, $E$9)</f>
        <v>5.3924000000000003</v>
      </c>
      <c r="N83" s="14">
        <f>CHOOSE(CONTROL!$C$42, 5.408, 5.408) * CHOOSE(CONTROL!$C$21, $C$9, 100%, $E$9)</f>
        <v>5.4080000000000004</v>
      </c>
      <c r="O83" s="14">
        <f>CHOOSE(CONTROL!$C$42, 5.4872, 5.4872) * CHOOSE(CONTROL!$C$21, $C$9, 100%, $E$9)</f>
        <v>5.4871999999999996</v>
      </c>
      <c r="P83" s="14">
        <f>CHOOSE(CONTROL!$C$42, 5.4261, 5.4261) * CHOOSE(CONTROL!$C$21, $C$9, 100%, $E$9)</f>
        <v>5.4260999999999999</v>
      </c>
      <c r="Q83" s="14">
        <f>CHOOSE(CONTROL!$C$42, 6.0819, 6.0819) * CHOOSE(CONTROL!$C$21, $C$9, 100%, $E$9)</f>
        <v>6.0819000000000001</v>
      </c>
      <c r="R83" s="14">
        <f>CHOOSE(CONTROL!$C$42, 6.6841, 6.6841) * CHOOSE(CONTROL!$C$21, $C$9, 100%, $E$9)</f>
        <v>6.6840999999999999</v>
      </c>
      <c r="S83" s="14">
        <f>CHOOSE(CONTROL!$C$42, 5.2782, 5.2782) * CHOOSE(CONTROL!$C$21, $C$9, 100%, $E$9)</f>
        <v>5.2782</v>
      </c>
      <c r="T8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3" s="57">
        <f>(1000*CHOOSE(CONTROL!$C$42, 695, 695)*CHOOSE(CONTROL!$C$42, 0.5599, 0.5599)*CHOOSE(CONTROL!$C$42, 30, 30))/1000000</f>
        <v>11.673914999999997</v>
      </c>
      <c r="V83" s="57">
        <f>(1000*CHOOSE(CONTROL!$C$42, 500, 500)*CHOOSE(CONTROL!$C$42, 0.275, 0.275)*CHOOSE(CONTROL!$C$42, 30, 30))/1000000</f>
        <v>4.125</v>
      </c>
      <c r="W83" s="57">
        <f>(1000*CHOOSE(CONTROL!$C$42, 0.1146, 0.1146)*CHOOSE(CONTROL!$C$42, 121.5, 121.5)*CHOOSE(CONTROL!$C$42, 30, 30))/1000000</f>
        <v>0.417717</v>
      </c>
      <c r="X83" s="57">
        <f>(30*0.1790888*100000/1000000)+(30*0.2374*100000/1000000)</f>
        <v>1.2494664</v>
      </c>
      <c r="Y83" s="57"/>
      <c r="Z83" s="14"/>
      <c r="AA83" s="56"/>
      <c r="AB83" s="50">
        <f>(B83*122.58+C83*297.941+D83*89.177+E83*40.302+F83*40+G83*160+H83*0+I83*100+J83*300)/(122.58+297.941+89.177+40.302+0+40+160+100+300)</f>
        <v>5.5162346960000006</v>
      </c>
      <c r="AC83" s="45">
        <f>(M83*'RAP TEMPLATE-GAS AVAILABILITY'!O82+N83*'RAP TEMPLATE-GAS AVAILABILITY'!P82+O83*'RAP TEMPLATE-GAS AVAILABILITY'!Q82+P83*'RAP TEMPLATE-GAS AVAILABILITY'!R82)/('RAP TEMPLATE-GAS AVAILABILITY'!O82+'RAP TEMPLATE-GAS AVAILABILITY'!P82+'RAP TEMPLATE-GAS AVAILABILITY'!Q82+'RAP TEMPLATE-GAS AVAILABILITY'!R82)</f>
        <v>5.4411136690647481</v>
      </c>
    </row>
    <row r="84" spans="1:29" ht="15.75" x14ac:dyDescent="0.25">
      <c r="A84" s="13">
        <v>43435</v>
      </c>
      <c r="B84" s="14">
        <f>CHOOSE(CONTROL!$C$42, 5.8884, 5.8884) * CHOOSE(CONTROL!$C$21, $C$9, 100%, $E$9)</f>
        <v>5.8883999999999999</v>
      </c>
      <c r="C84" s="14">
        <f>CHOOSE(CONTROL!$C$42, 5.8935, 5.8935) * CHOOSE(CONTROL!$C$21, $C$9, 100%, $E$9)</f>
        <v>5.8935000000000004</v>
      </c>
      <c r="D84" s="14">
        <f>CHOOSE(CONTROL!$C$42, 5.9573, 5.9573) * CHOOSE(CONTROL!$C$21, $C$9, 100%, $E$9)</f>
        <v>5.9573</v>
      </c>
      <c r="E84" s="14">
        <f>CHOOSE(CONTROL!$C$42, 5.9914, 5.9914) * CHOOSE(CONTROL!$C$21, $C$9, 100%, $E$9)</f>
        <v>5.9913999999999996</v>
      </c>
      <c r="F84" s="14">
        <f>CHOOSE(CONTROL!$C$42, 5.8931, 5.8931)*CHOOSE(CONTROL!$C$21, $C$9, 100%, $E$9)</f>
        <v>5.8930999999999996</v>
      </c>
      <c r="G84" s="14">
        <f>CHOOSE(CONTROL!$C$42, 5.9097, 5.9097)*CHOOSE(CONTROL!$C$21, $C$9, 100%, $E$9)</f>
        <v>5.9097</v>
      </c>
      <c r="H84" s="14">
        <f>CHOOSE(CONTROL!$C$42, 5.9806, 5.9806) * CHOOSE(CONTROL!$C$21, $C$9, 100%, $E$9)</f>
        <v>5.9805999999999999</v>
      </c>
      <c r="I84" s="14">
        <f>CHOOSE(CONTROL!$C$42, 5.9197, 5.9197)* CHOOSE(CONTROL!$C$21, $C$9, 100%, $E$9)</f>
        <v>5.9196999999999997</v>
      </c>
      <c r="J84" s="14">
        <f>CHOOSE(CONTROL!$C$42, 5.8861, 5.8861)* CHOOSE(CONTROL!$C$21, $C$9, 100%, $E$9)</f>
        <v>5.8860999999999999</v>
      </c>
      <c r="K84" s="53">
        <f>CHOOSE(CONTROL!$C$42, 5.9158, 5.9158) * CHOOSE(CONTROL!$C$21, $C$9, 100%, $E$9)</f>
        <v>5.9157999999999999</v>
      </c>
      <c r="L84" s="14">
        <f>CHOOSE(CONTROL!$C$42, 6.5676, 6.5676) * CHOOSE(CONTROL!$C$21, $C$9, 100%, $E$9)</f>
        <v>6.5675999999999997</v>
      </c>
      <c r="M84" s="14">
        <f>CHOOSE(CONTROL!$C$42, 5.7732, 5.7732) * CHOOSE(CONTROL!$C$21, $C$9, 100%, $E$9)</f>
        <v>5.7732000000000001</v>
      </c>
      <c r="N84" s="14">
        <f>CHOOSE(CONTROL!$C$42, 5.7894, 5.7894) * CHOOSE(CONTROL!$C$21, $C$9, 100%, $E$9)</f>
        <v>5.7893999999999997</v>
      </c>
      <c r="O84" s="14">
        <f>CHOOSE(CONTROL!$C$42, 5.8658, 5.8658) * CHOOSE(CONTROL!$C$21, $C$9, 100%, $E$9)</f>
        <v>5.8658000000000001</v>
      </c>
      <c r="P84" s="14">
        <f>CHOOSE(CONTROL!$C$42, 5.8058, 5.8058) * CHOOSE(CONTROL!$C$21, $C$9, 100%, $E$9)</f>
        <v>5.8057999999999996</v>
      </c>
      <c r="Q84" s="14">
        <f>CHOOSE(CONTROL!$C$42, 6.4605, 6.4605) * CHOOSE(CONTROL!$C$21, $C$9, 100%, $E$9)</f>
        <v>6.4604999999999997</v>
      </c>
      <c r="R84" s="14">
        <f>CHOOSE(CONTROL!$C$42, 7.0636, 7.0636) * CHOOSE(CONTROL!$C$21, $C$9, 100%, $E$9)</f>
        <v>7.0636000000000001</v>
      </c>
      <c r="S84" s="14">
        <f>CHOOSE(CONTROL!$C$42, 5.6497, 5.6497) * CHOOSE(CONTROL!$C$21, $C$9, 100%, $E$9)</f>
        <v>5.6497000000000002</v>
      </c>
      <c r="T8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4" s="57">
        <f>(1000*CHOOSE(CONTROL!$C$42, 695, 695)*CHOOSE(CONTROL!$C$42, 0.5599, 0.5599)*CHOOSE(CONTROL!$C$42, 31, 31))/1000000</f>
        <v>12.063045499999998</v>
      </c>
      <c r="V84" s="57">
        <f>(1000*CHOOSE(CONTROL!$C$42, 500, 500)*CHOOSE(CONTROL!$C$42, 0.275, 0.275)*CHOOSE(CONTROL!$C$42, 31, 31))/1000000</f>
        <v>4.2625000000000002</v>
      </c>
      <c r="W84" s="57">
        <f>(1000*CHOOSE(CONTROL!$C$42, 0.1146, 0.1146)*CHOOSE(CONTROL!$C$42, 121.5, 121.5)*CHOOSE(CONTROL!$C$42, 31, 31))/1000000</f>
        <v>0.43164089999999994</v>
      </c>
      <c r="X84" s="57">
        <f>(31*0.1790888*100000/1000000)+(31*0.2374*100000/1000000)</f>
        <v>1.2911152800000001</v>
      </c>
      <c r="Y84" s="57"/>
      <c r="Z84" s="14"/>
      <c r="AA84" s="56"/>
      <c r="AB84" s="50">
        <f>(B84*122.58+C84*297.941+D84*89.177+E84*40.302+F84*40+G84*160+H84*0+I84*100+J84*300)/(122.58+297.941+89.177+40.302+0+40+160+100+300)</f>
        <v>5.9039225220869573</v>
      </c>
      <c r="AC84" s="45">
        <f>(M84*'RAP TEMPLATE-GAS AVAILABILITY'!O83+N84*'RAP TEMPLATE-GAS AVAILABILITY'!P83+O84*'RAP TEMPLATE-GAS AVAILABILITY'!Q83+P84*'RAP TEMPLATE-GAS AVAILABILITY'!R83)/('RAP TEMPLATE-GAS AVAILABILITY'!O83+'RAP TEMPLATE-GAS AVAILABILITY'!P83+'RAP TEMPLATE-GAS AVAILABILITY'!Q83+'RAP TEMPLATE-GAS AVAILABILITY'!R83)</f>
        <v>5.8207928057553957</v>
      </c>
    </row>
    <row r="85" spans="1:29" ht="15.75" x14ac:dyDescent="0.25">
      <c r="A85" s="13">
        <v>43466</v>
      </c>
      <c r="B85" s="14">
        <f>CHOOSE(CONTROL!$C$42, 6.5618, 6.5618) * CHOOSE(CONTROL!$C$21, $C$9, 100%, $E$9)</f>
        <v>6.5617999999999999</v>
      </c>
      <c r="C85" s="14">
        <f>CHOOSE(CONTROL!$C$42, 6.5668, 6.5668) * CHOOSE(CONTROL!$C$21, $C$9, 100%, $E$9)</f>
        <v>6.5667999999999997</v>
      </c>
      <c r="D85" s="14">
        <f>CHOOSE(CONTROL!$C$42, 6.6332, 6.6332) * CHOOSE(CONTROL!$C$21, $C$9, 100%, $E$9)</f>
        <v>6.6332000000000004</v>
      </c>
      <c r="E85" s="14">
        <f>CHOOSE(CONTROL!$C$42, 6.6674, 6.6674) * CHOOSE(CONTROL!$C$21, $C$9, 100%, $E$9)</f>
        <v>6.6673999999999998</v>
      </c>
      <c r="F85" s="14">
        <f>CHOOSE(CONTROL!$C$42, 6.5491, 6.5491)*CHOOSE(CONTROL!$C$21, $C$9, 100%, $E$9)</f>
        <v>6.5491000000000001</v>
      </c>
      <c r="G85" s="14">
        <f>CHOOSE(CONTROL!$C$42, 6.5646, 6.5646)*CHOOSE(CONTROL!$C$21, $C$9, 100%, $E$9)</f>
        <v>6.5646000000000004</v>
      </c>
      <c r="H85" s="14">
        <f>CHOOSE(CONTROL!$C$42, 6.6565, 6.6565) * CHOOSE(CONTROL!$C$21, $C$9, 100%, $E$9)</f>
        <v>6.6565000000000003</v>
      </c>
      <c r="I85" s="14">
        <f>CHOOSE(CONTROL!$C$42, 6.5899, 6.5899)* CHOOSE(CONTROL!$C$21, $C$9, 100%, $E$9)</f>
        <v>6.5899000000000001</v>
      </c>
      <c r="J85" s="14">
        <f>CHOOSE(CONTROL!$C$42, 6.5421, 6.5421)* CHOOSE(CONTROL!$C$21, $C$9, 100%, $E$9)</f>
        <v>6.5420999999999996</v>
      </c>
      <c r="K85" s="53">
        <f>CHOOSE(CONTROL!$C$42, 6.5861, 6.5861) * CHOOSE(CONTROL!$C$21, $C$9, 100%, $E$9)</f>
        <v>6.5861000000000001</v>
      </c>
      <c r="L85" s="14">
        <f>CHOOSE(CONTROL!$C$42, 7.2435, 7.2435) * CHOOSE(CONTROL!$C$21, $C$9, 100%, $E$9)</f>
        <v>7.2435</v>
      </c>
      <c r="M85" s="14">
        <f>CHOOSE(CONTROL!$C$42, 6.4157, 6.4157) * CHOOSE(CONTROL!$C$21, $C$9, 100%, $E$9)</f>
        <v>6.4157000000000002</v>
      </c>
      <c r="N85" s="14">
        <f>CHOOSE(CONTROL!$C$42, 6.4309, 6.4309) * CHOOSE(CONTROL!$C$21, $C$9, 100%, $E$9)</f>
        <v>6.4309000000000003</v>
      </c>
      <c r="O85" s="14">
        <f>CHOOSE(CONTROL!$C$42, 6.5279, 6.5279) * CHOOSE(CONTROL!$C$21, $C$9, 100%, $E$9)</f>
        <v>6.5278999999999998</v>
      </c>
      <c r="P85" s="14">
        <f>CHOOSE(CONTROL!$C$42, 6.4623, 6.4623) * CHOOSE(CONTROL!$C$21, $C$9, 100%, $E$9)</f>
        <v>6.4622999999999999</v>
      </c>
      <c r="Q85" s="14">
        <f>CHOOSE(CONTROL!$C$42, 7.1226, 7.1226) * CHOOSE(CONTROL!$C$21, $C$9, 100%, $E$9)</f>
        <v>7.1226000000000003</v>
      </c>
      <c r="R85" s="14">
        <f>CHOOSE(CONTROL!$C$42, 7.7274, 7.7274) * CHOOSE(CONTROL!$C$21, $C$9, 100%, $E$9)</f>
        <v>7.7274000000000003</v>
      </c>
      <c r="S85" s="14">
        <f>CHOOSE(CONTROL!$C$42, 6.2967, 6.2967) * CHOOSE(CONTROL!$C$21, $C$9, 100%, $E$9)</f>
        <v>6.2967000000000004</v>
      </c>
      <c r="T8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5" s="57">
        <f>(1000*CHOOSE(CONTROL!$C$42, 695, 695)*CHOOSE(CONTROL!$C$42, 0.5599, 0.5599)*CHOOSE(CONTROL!$C$42, 31, 31))/1000000</f>
        <v>12.063045499999998</v>
      </c>
      <c r="V85" s="57">
        <f>(1000*CHOOSE(CONTROL!$C$42, 500, 500)*CHOOSE(CONTROL!$C$42, 0.275, 0.275)*CHOOSE(CONTROL!$C$42, 31, 31))/1000000</f>
        <v>4.2625000000000002</v>
      </c>
      <c r="W85" s="57">
        <f>(1000*CHOOSE(CONTROL!$C$42, 0.1146, 0.1146)*CHOOSE(CONTROL!$C$42, 121.5, 121.5)*CHOOSE(CONTROL!$C$42, 31, 31))/1000000</f>
        <v>0.43164089999999994</v>
      </c>
      <c r="X85" s="57">
        <f>(31*0.1790888*100000/1000000)+(31*0.2374*100000/1000000)</f>
        <v>1.2911152800000001</v>
      </c>
      <c r="Y85" s="57"/>
      <c r="Z85" s="14"/>
      <c r="AA85" s="56"/>
      <c r="AB85" s="50">
        <f>(B85*122.58+C85*297.941+D85*89.177+E85*40.302+F85*40+G85*160+H85*0+I85*100+J85*300)/(122.58+297.941+89.177+40.302+0+40+160+100+300)</f>
        <v>6.5695850730434788</v>
      </c>
      <c r="AC85" s="45">
        <f>(M85*'RAP TEMPLATE-GAS AVAILABILITY'!O84+N85*'RAP TEMPLATE-GAS AVAILABILITY'!P84+O85*'RAP TEMPLATE-GAS AVAILABILITY'!Q84+P85*'RAP TEMPLATE-GAS AVAILABILITY'!R84)/('RAP TEMPLATE-GAS AVAILABILITY'!O84+'RAP TEMPLATE-GAS AVAILABILITY'!P84+'RAP TEMPLATE-GAS AVAILABILITY'!Q84+'RAP TEMPLATE-GAS AVAILABILITY'!R84)</f>
        <v>6.4741330935251797</v>
      </c>
    </row>
    <row r="86" spans="1:29" ht="15.75" x14ac:dyDescent="0.25">
      <c r="A86" s="13">
        <v>43497</v>
      </c>
      <c r="B86" s="14">
        <f>CHOOSE(CONTROL!$C$42, 6.6921, 6.6921) * CHOOSE(CONTROL!$C$21, $C$9, 100%, $E$9)</f>
        <v>6.6920999999999999</v>
      </c>
      <c r="C86" s="14">
        <f>CHOOSE(CONTROL!$C$42, 6.6972, 6.6972) * CHOOSE(CONTROL!$C$21, $C$9, 100%, $E$9)</f>
        <v>6.6971999999999996</v>
      </c>
      <c r="D86" s="14">
        <f>CHOOSE(CONTROL!$C$42, 6.7636, 6.7636) * CHOOSE(CONTROL!$C$21, $C$9, 100%, $E$9)</f>
        <v>6.7636000000000003</v>
      </c>
      <c r="E86" s="14">
        <f>CHOOSE(CONTROL!$C$42, 6.7977, 6.7977) * CHOOSE(CONTROL!$C$21, $C$9, 100%, $E$9)</f>
        <v>6.7976999999999999</v>
      </c>
      <c r="F86" s="14">
        <f>CHOOSE(CONTROL!$C$42, 6.6795, 6.6795)*CHOOSE(CONTROL!$C$21, $C$9, 100%, $E$9)</f>
        <v>6.6795</v>
      </c>
      <c r="G86" s="14">
        <f>CHOOSE(CONTROL!$C$42, 6.695, 6.695)*CHOOSE(CONTROL!$C$21, $C$9, 100%, $E$9)</f>
        <v>6.6950000000000003</v>
      </c>
      <c r="H86" s="14">
        <f>CHOOSE(CONTROL!$C$42, 6.7869, 6.7869) * CHOOSE(CONTROL!$C$21, $C$9, 100%, $E$9)</f>
        <v>6.7869000000000002</v>
      </c>
      <c r="I86" s="14">
        <f>CHOOSE(CONTROL!$C$42, 6.7207, 6.7207)* CHOOSE(CONTROL!$C$21, $C$9, 100%, $E$9)</f>
        <v>6.7206999999999999</v>
      </c>
      <c r="J86" s="14">
        <f>CHOOSE(CONTROL!$C$42, 6.6725, 6.6725)* CHOOSE(CONTROL!$C$21, $C$9, 100%, $E$9)</f>
        <v>6.6725000000000003</v>
      </c>
      <c r="K86" s="53">
        <f>CHOOSE(CONTROL!$C$42, 6.7168, 6.7168) * CHOOSE(CONTROL!$C$21, $C$9, 100%, $E$9)</f>
        <v>6.7168000000000001</v>
      </c>
      <c r="L86" s="14">
        <f>CHOOSE(CONTROL!$C$42, 7.3739, 7.3739) * CHOOSE(CONTROL!$C$21, $C$9, 100%, $E$9)</f>
        <v>7.3738999999999999</v>
      </c>
      <c r="M86" s="14">
        <f>CHOOSE(CONTROL!$C$42, 6.5435, 6.5435) * CHOOSE(CONTROL!$C$21, $C$9, 100%, $E$9)</f>
        <v>6.5434999999999999</v>
      </c>
      <c r="N86" s="14">
        <f>CHOOSE(CONTROL!$C$42, 6.5587, 6.5587) * CHOOSE(CONTROL!$C$21, $C$9, 100%, $E$9)</f>
        <v>6.5587</v>
      </c>
      <c r="O86" s="14">
        <f>CHOOSE(CONTROL!$C$42, 6.6556, 6.6556) * CHOOSE(CONTROL!$C$21, $C$9, 100%, $E$9)</f>
        <v>6.6555999999999997</v>
      </c>
      <c r="P86" s="14">
        <f>CHOOSE(CONTROL!$C$42, 6.5904, 6.5904) * CHOOSE(CONTROL!$C$21, $C$9, 100%, $E$9)</f>
        <v>6.5903999999999998</v>
      </c>
      <c r="Q86" s="14">
        <f>CHOOSE(CONTROL!$C$42, 7.2503, 7.2503) * CHOOSE(CONTROL!$C$21, $C$9, 100%, $E$9)</f>
        <v>7.2503000000000002</v>
      </c>
      <c r="R86" s="14">
        <f>CHOOSE(CONTROL!$C$42, 7.8554, 7.8554) * CHOOSE(CONTROL!$C$21, $C$9, 100%, $E$9)</f>
        <v>7.8554000000000004</v>
      </c>
      <c r="S86" s="14">
        <f>CHOOSE(CONTROL!$C$42, 6.4219, 6.4219) * CHOOSE(CONTROL!$C$21, $C$9, 100%, $E$9)</f>
        <v>6.4218999999999999</v>
      </c>
      <c r="T8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6" s="57">
        <f>(1000*CHOOSE(CONTROL!$C$42, 695, 695)*CHOOSE(CONTROL!$C$42, 0.5599, 0.5599)*CHOOSE(CONTROL!$C$42, 28, 28))/1000000</f>
        <v>10.895653999999999</v>
      </c>
      <c r="V86" s="57">
        <f>(1000*CHOOSE(CONTROL!$C$42, 500, 500)*CHOOSE(CONTROL!$C$42, 0.275, 0.275)*CHOOSE(CONTROL!$C$42, 28, 28))/1000000</f>
        <v>3.85</v>
      </c>
      <c r="W86" s="57">
        <f>(1000*CHOOSE(CONTROL!$C$42, 0.1146, 0.1146)*CHOOSE(CONTROL!$C$42, 121.5, 121.5)*CHOOSE(CONTROL!$C$42, 28, 28))/1000000</f>
        <v>0.38986920000000003</v>
      </c>
      <c r="X86" s="57">
        <f>(28*0.1790888*100000/1000000)+(28*0.2374*100000/1000000)</f>
        <v>1.16616864</v>
      </c>
      <c r="Y86" s="57"/>
      <c r="Z86" s="14"/>
      <c r="AA86" s="56"/>
      <c r="AB86" s="50">
        <f>(B86*122.58+C86*297.941+D86*89.177+E86*40.302+F86*40+G86*160+H86*0+I86*100+J86*300)/(122.58+297.941+89.177+40.302+0+40+160+100+300)</f>
        <v>6.7000056919999995</v>
      </c>
      <c r="AC86" s="45">
        <f>(M86*'RAP TEMPLATE-GAS AVAILABILITY'!O85+N86*'RAP TEMPLATE-GAS AVAILABILITY'!P85+O86*'RAP TEMPLATE-GAS AVAILABILITY'!Q85+P86*'RAP TEMPLATE-GAS AVAILABILITY'!R85)/('RAP TEMPLATE-GAS AVAILABILITY'!O85+'RAP TEMPLATE-GAS AVAILABILITY'!P85+'RAP TEMPLATE-GAS AVAILABILITY'!Q85+'RAP TEMPLATE-GAS AVAILABILITY'!R85)</f>
        <v>6.601930935251799</v>
      </c>
    </row>
    <row r="87" spans="1:29" ht="15.75" x14ac:dyDescent="0.25">
      <c r="A87" s="13">
        <v>43525</v>
      </c>
      <c r="B87" s="14">
        <f>CHOOSE(CONTROL!$C$42, 6.5158, 6.5158) * CHOOSE(CONTROL!$C$21, $C$9, 100%, $E$9)</f>
        <v>6.5157999999999996</v>
      </c>
      <c r="C87" s="14">
        <f>CHOOSE(CONTROL!$C$42, 6.5209, 6.5209) * CHOOSE(CONTROL!$C$21, $C$9, 100%, $E$9)</f>
        <v>6.5209000000000001</v>
      </c>
      <c r="D87" s="14">
        <f>CHOOSE(CONTROL!$C$42, 6.5873, 6.5873) * CHOOSE(CONTROL!$C$21, $C$9, 100%, $E$9)</f>
        <v>6.5872999999999999</v>
      </c>
      <c r="E87" s="14">
        <f>CHOOSE(CONTROL!$C$42, 6.6214, 6.6214) * CHOOSE(CONTROL!$C$21, $C$9, 100%, $E$9)</f>
        <v>6.6214000000000004</v>
      </c>
      <c r="F87" s="14">
        <f>CHOOSE(CONTROL!$C$42, 6.5028, 6.5028)*CHOOSE(CONTROL!$C$21, $C$9, 100%, $E$9)</f>
        <v>6.5027999999999997</v>
      </c>
      <c r="G87" s="14">
        <f>CHOOSE(CONTROL!$C$42, 6.5182, 6.5182)*CHOOSE(CONTROL!$C$21, $C$9, 100%, $E$9)</f>
        <v>6.5182000000000002</v>
      </c>
      <c r="H87" s="14">
        <f>CHOOSE(CONTROL!$C$42, 6.6106, 6.6106) * CHOOSE(CONTROL!$C$21, $C$9, 100%, $E$9)</f>
        <v>6.6105999999999998</v>
      </c>
      <c r="I87" s="14">
        <f>CHOOSE(CONTROL!$C$42, 6.5438, 6.5438)* CHOOSE(CONTROL!$C$21, $C$9, 100%, $E$9)</f>
        <v>6.5438000000000001</v>
      </c>
      <c r="J87" s="14">
        <f>CHOOSE(CONTROL!$C$42, 6.4958, 6.4958)* CHOOSE(CONTROL!$C$21, $C$9, 100%, $E$9)</f>
        <v>6.4958</v>
      </c>
      <c r="K87" s="53">
        <f>CHOOSE(CONTROL!$C$42, 6.5399, 6.5399) * CHOOSE(CONTROL!$C$21, $C$9, 100%, $E$9)</f>
        <v>6.5399000000000003</v>
      </c>
      <c r="L87" s="14">
        <f>CHOOSE(CONTROL!$C$42, 7.1976, 7.1976) * CHOOSE(CONTROL!$C$21, $C$9, 100%, $E$9)</f>
        <v>7.1976000000000004</v>
      </c>
      <c r="M87" s="14">
        <f>CHOOSE(CONTROL!$C$42, 6.3704, 6.3704) * CHOOSE(CONTROL!$C$21, $C$9, 100%, $E$9)</f>
        <v>6.3704000000000001</v>
      </c>
      <c r="N87" s="14">
        <f>CHOOSE(CONTROL!$C$42, 6.3855, 6.3855) * CHOOSE(CONTROL!$C$21, $C$9, 100%, $E$9)</f>
        <v>6.3855000000000004</v>
      </c>
      <c r="O87" s="14">
        <f>CHOOSE(CONTROL!$C$42, 6.4828, 6.4828) * CHOOSE(CONTROL!$C$21, $C$9, 100%, $E$9)</f>
        <v>6.4828000000000001</v>
      </c>
      <c r="P87" s="14">
        <f>CHOOSE(CONTROL!$C$42, 6.4171, 6.4171) * CHOOSE(CONTROL!$C$21, $C$9, 100%, $E$9)</f>
        <v>6.4170999999999996</v>
      </c>
      <c r="Q87" s="14">
        <f>CHOOSE(CONTROL!$C$42, 7.0775, 7.0775) * CHOOSE(CONTROL!$C$21, $C$9, 100%, $E$9)</f>
        <v>7.0774999999999997</v>
      </c>
      <c r="R87" s="14">
        <f>CHOOSE(CONTROL!$C$42, 7.6822, 7.6822) * CHOOSE(CONTROL!$C$21, $C$9, 100%, $E$9)</f>
        <v>7.6821999999999999</v>
      </c>
      <c r="S87" s="14">
        <f>CHOOSE(CONTROL!$C$42, 6.2525, 6.2525) * CHOOSE(CONTROL!$C$21, $C$9, 100%, $E$9)</f>
        <v>6.2525000000000004</v>
      </c>
      <c r="T8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7" s="57">
        <f>(1000*CHOOSE(CONTROL!$C$42, 695, 695)*CHOOSE(CONTROL!$C$42, 0.5599, 0.5599)*CHOOSE(CONTROL!$C$42, 31, 31))/1000000</f>
        <v>12.063045499999998</v>
      </c>
      <c r="V87" s="57">
        <f>(1000*CHOOSE(CONTROL!$C$42, 500, 500)*CHOOSE(CONTROL!$C$42, 0.275, 0.275)*CHOOSE(CONTROL!$C$42, 31, 31))/1000000</f>
        <v>4.2625000000000002</v>
      </c>
      <c r="W87" s="57">
        <f>(1000*CHOOSE(CONTROL!$C$42, 0.1146, 0.1146)*CHOOSE(CONTROL!$C$42, 121.5, 121.5)*CHOOSE(CONTROL!$C$42, 31, 31))/1000000</f>
        <v>0.43164089999999994</v>
      </c>
      <c r="X87" s="57">
        <f>(31*0.1790888*100000/1000000)+(31*0.2374*100000/1000000)</f>
        <v>1.2911152800000001</v>
      </c>
      <c r="Y87" s="57"/>
      <c r="Z87" s="14"/>
      <c r="AA87" s="56"/>
      <c r="AB87" s="50">
        <f>(B87*122.58+C87*297.941+D87*89.177+E87*40.302+F87*40+G87*160+H87*0+I87*100+J87*300)/(122.58+297.941+89.177+40.302+0+40+160+100+300)</f>
        <v>6.5234656920000003</v>
      </c>
      <c r="AC87" s="45">
        <f>(M87*'RAP TEMPLATE-GAS AVAILABILITY'!O86+N87*'RAP TEMPLATE-GAS AVAILABILITY'!P86+O87*'RAP TEMPLATE-GAS AVAILABILITY'!Q86+P87*'RAP TEMPLATE-GAS AVAILABILITY'!R86)/('RAP TEMPLATE-GAS AVAILABILITY'!O86+'RAP TEMPLATE-GAS AVAILABILITY'!P86+'RAP TEMPLATE-GAS AVAILABILITY'!Q86+'RAP TEMPLATE-GAS AVAILABILITY'!R86)</f>
        <v>6.4289323741007198</v>
      </c>
    </row>
    <row r="88" spans="1:29" ht="15.75" x14ac:dyDescent="0.25">
      <c r="A88" s="13">
        <v>43556</v>
      </c>
      <c r="B88" s="14">
        <f>CHOOSE(CONTROL!$C$42, 6.5109, 6.5109) * CHOOSE(CONTROL!$C$21, $C$9, 100%, $E$9)</f>
        <v>6.5109000000000004</v>
      </c>
      <c r="C88" s="14">
        <f>CHOOSE(CONTROL!$C$42, 6.5153, 6.5153) * CHOOSE(CONTROL!$C$21, $C$9, 100%, $E$9)</f>
        <v>6.5152999999999999</v>
      </c>
      <c r="D88" s="14">
        <f>CHOOSE(CONTROL!$C$42, 6.7224, 6.7224) * CHOOSE(CONTROL!$C$21, $C$9, 100%, $E$9)</f>
        <v>6.7224000000000004</v>
      </c>
      <c r="E88" s="14">
        <f>CHOOSE(CONTROL!$C$42, 6.7545, 6.7545) * CHOOSE(CONTROL!$C$21, $C$9, 100%, $E$9)</f>
        <v>6.7545000000000002</v>
      </c>
      <c r="F88" s="14">
        <f>CHOOSE(CONTROL!$C$42, 6.4927, 6.4927)*CHOOSE(CONTROL!$C$21, $C$9, 100%, $E$9)</f>
        <v>6.4927000000000001</v>
      </c>
      <c r="G88" s="14">
        <f>CHOOSE(CONTROL!$C$42, 6.5079, 6.5079)*CHOOSE(CONTROL!$C$21, $C$9, 100%, $E$9)</f>
        <v>6.5079000000000002</v>
      </c>
      <c r="H88" s="14">
        <f>CHOOSE(CONTROL!$C$42, 6.7443, 6.7443) * CHOOSE(CONTROL!$C$21, $C$9, 100%, $E$9)</f>
        <v>6.7443</v>
      </c>
      <c r="I88" s="14">
        <f>CHOOSE(CONTROL!$C$42, 6.5381, 6.5381)* CHOOSE(CONTROL!$C$21, $C$9, 100%, $E$9)</f>
        <v>6.5381</v>
      </c>
      <c r="J88" s="14">
        <f>CHOOSE(CONTROL!$C$42, 6.4857, 6.4857)* CHOOSE(CONTROL!$C$21, $C$9, 100%, $E$9)</f>
        <v>6.4856999999999996</v>
      </c>
      <c r="K88" s="53">
        <f>CHOOSE(CONTROL!$C$42, 6.5342, 6.5342) * CHOOSE(CONTROL!$C$21, $C$9, 100%, $E$9)</f>
        <v>6.5342000000000002</v>
      </c>
      <c r="L88" s="14">
        <f>CHOOSE(CONTROL!$C$42, 7.3313, 7.3313) * CHOOSE(CONTROL!$C$21, $C$9, 100%, $E$9)</f>
        <v>7.3312999999999997</v>
      </c>
      <c r="M88" s="14">
        <f>CHOOSE(CONTROL!$C$42, 6.3605, 6.3605) * CHOOSE(CONTROL!$C$21, $C$9, 100%, $E$9)</f>
        <v>6.3605</v>
      </c>
      <c r="N88" s="14">
        <f>CHOOSE(CONTROL!$C$42, 6.3754, 6.3754) * CHOOSE(CONTROL!$C$21, $C$9, 100%, $E$9)</f>
        <v>6.3754</v>
      </c>
      <c r="O88" s="14">
        <f>CHOOSE(CONTROL!$C$42, 6.6138, 6.6138) * CHOOSE(CONTROL!$C$21, $C$9, 100%, $E$9)</f>
        <v>6.6138000000000003</v>
      </c>
      <c r="P88" s="14">
        <f>CHOOSE(CONTROL!$C$42, 6.4115, 6.4115) * CHOOSE(CONTROL!$C$21, $C$9, 100%, $E$9)</f>
        <v>6.4115000000000002</v>
      </c>
      <c r="Q88" s="14">
        <f>CHOOSE(CONTROL!$C$42, 7.2085, 7.2085) * CHOOSE(CONTROL!$C$21, $C$9, 100%, $E$9)</f>
        <v>7.2084999999999999</v>
      </c>
      <c r="R88" s="14">
        <f>CHOOSE(CONTROL!$C$42, 7.8135, 7.8135) * CHOOSE(CONTROL!$C$21, $C$9, 100%, $E$9)</f>
        <v>7.8135000000000003</v>
      </c>
      <c r="S88" s="14">
        <f>CHOOSE(CONTROL!$C$42, 6.247, 6.247) * CHOOSE(CONTROL!$C$21, $C$9, 100%, $E$9)</f>
        <v>6.2469999999999999</v>
      </c>
      <c r="T8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8" s="57">
        <f>(1000*CHOOSE(CONTROL!$C$42, 695, 695)*CHOOSE(CONTROL!$C$42, 0.5599, 0.5599)*CHOOSE(CONTROL!$C$42, 30, 30))/1000000</f>
        <v>11.673914999999997</v>
      </c>
      <c r="V88" s="57">
        <f>(1000*CHOOSE(CONTROL!$C$42, 500, 500)*CHOOSE(CONTROL!$C$42, 0.275, 0.275)*CHOOSE(CONTROL!$C$42, 30, 30))/1000000</f>
        <v>4.125</v>
      </c>
      <c r="W88" s="57">
        <f>(1000*CHOOSE(CONTROL!$C$42, 0.1146, 0.1146)*CHOOSE(CONTROL!$C$42, 121.5, 121.5)*CHOOSE(CONTROL!$C$42, 30, 30))/1000000</f>
        <v>0.417717</v>
      </c>
      <c r="X88" s="57">
        <f>(30*0.1790888*245000/1000000)+(30*0.2374*100000/1000000)</f>
        <v>2.0285026799999999</v>
      </c>
      <c r="Y88" s="57"/>
      <c r="Z88" s="14"/>
      <c r="AA88" s="56"/>
      <c r="AB88" s="50">
        <f>(B88*141.293+C88*267.993+D88*115.016+E88*89.698+F88*40+G88*185+H88*0+I88*100+J88*300)/(141.293+267.993+115.016+89.698+0+40+185+100+300)</f>
        <v>6.544178842615012</v>
      </c>
      <c r="AC88" s="45">
        <f>(M88*'RAP TEMPLATE-GAS AVAILABILITY'!O87+N88*'RAP TEMPLATE-GAS AVAILABILITY'!P87+O88*'RAP TEMPLATE-GAS AVAILABILITY'!Q87+P88*'RAP TEMPLATE-GAS AVAILABILITY'!R87)/('RAP TEMPLATE-GAS AVAILABILITY'!O87+'RAP TEMPLATE-GAS AVAILABILITY'!P87+'RAP TEMPLATE-GAS AVAILABILITY'!Q87+'RAP TEMPLATE-GAS AVAILABILITY'!R87)</f>
        <v>6.4423381294964015</v>
      </c>
    </row>
    <row r="89" spans="1:29" ht="15.75" x14ac:dyDescent="0.25">
      <c r="A89" s="13">
        <v>43586</v>
      </c>
      <c r="B89" s="14">
        <f>CHOOSE(CONTROL!$C$42, 6.5831, 6.5831) * CHOOSE(CONTROL!$C$21, $C$9, 100%, $E$9)</f>
        <v>6.5831</v>
      </c>
      <c r="C89" s="14">
        <f>CHOOSE(CONTROL!$C$42, 6.5912, 6.5912) * CHOOSE(CONTROL!$C$21, $C$9, 100%, $E$9)</f>
        <v>6.5911999999999997</v>
      </c>
      <c r="D89" s="14">
        <f>CHOOSE(CONTROL!$C$42, 6.7951, 6.7951) * CHOOSE(CONTROL!$C$21, $C$9, 100%, $E$9)</f>
        <v>6.7950999999999997</v>
      </c>
      <c r="E89" s="14">
        <f>CHOOSE(CONTROL!$C$42, 6.8265, 6.8265) * CHOOSE(CONTROL!$C$21, $C$9, 100%, $E$9)</f>
        <v>6.8265000000000002</v>
      </c>
      <c r="F89" s="14">
        <f>CHOOSE(CONTROL!$C$42, 6.5639, 6.5639)*CHOOSE(CONTROL!$C$21, $C$9, 100%, $E$9)</f>
        <v>6.5639000000000003</v>
      </c>
      <c r="G89" s="14">
        <f>CHOOSE(CONTROL!$C$42, 6.5795, 6.5795)*CHOOSE(CONTROL!$C$21, $C$9, 100%, $E$9)</f>
        <v>6.5795000000000003</v>
      </c>
      <c r="H89" s="14">
        <f>CHOOSE(CONTROL!$C$42, 6.8152, 6.8152) * CHOOSE(CONTROL!$C$21, $C$9, 100%, $E$9)</f>
        <v>6.8151999999999999</v>
      </c>
      <c r="I89" s="14">
        <f>CHOOSE(CONTROL!$C$42, 6.6092, 6.6092)* CHOOSE(CONTROL!$C$21, $C$9, 100%, $E$9)</f>
        <v>6.6092000000000004</v>
      </c>
      <c r="J89" s="14">
        <f>CHOOSE(CONTROL!$C$42, 6.5569, 6.5569)* CHOOSE(CONTROL!$C$21, $C$9, 100%, $E$9)</f>
        <v>6.5568999999999997</v>
      </c>
      <c r="K89" s="53">
        <f>CHOOSE(CONTROL!$C$42, 6.6053, 6.6053) * CHOOSE(CONTROL!$C$21, $C$9, 100%, $E$9)</f>
        <v>6.6052999999999997</v>
      </c>
      <c r="L89" s="14">
        <f>CHOOSE(CONTROL!$C$42, 7.4022, 7.4022) * CHOOSE(CONTROL!$C$21, $C$9, 100%, $E$9)</f>
        <v>7.4021999999999997</v>
      </c>
      <c r="M89" s="14">
        <f>CHOOSE(CONTROL!$C$42, 6.4302, 6.4302) * CHOOSE(CONTROL!$C$21, $C$9, 100%, $E$9)</f>
        <v>6.4302000000000001</v>
      </c>
      <c r="N89" s="14">
        <f>CHOOSE(CONTROL!$C$42, 6.4456, 6.4456) * CHOOSE(CONTROL!$C$21, $C$9, 100%, $E$9)</f>
        <v>6.4455999999999998</v>
      </c>
      <c r="O89" s="14">
        <f>CHOOSE(CONTROL!$C$42, 6.6832, 6.6832) * CHOOSE(CONTROL!$C$21, $C$9, 100%, $E$9)</f>
        <v>6.6832000000000003</v>
      </c>
      <c r="P89" s="14">
        <f>CHOOSE(CONTROL!$C$42, 6.4811, 6.4811) * CHOOSE(CONTROL!$C$21, $C$9, 100%, $E$9)</f>
        <v>6.4810999999999996</v>
      </c>
      <c r="Q89" s="14">
        <f>CHOOSE(CONTROL!$C$42, 7.2779, 7.2779) * CHOOSE(CONTROL!$C$21, $C$9, 100%, $E$9)</f>
        <v>7.2778999999999998</v>
      </c>
      <c r="R89" s="14">
        <f>CHOOSE(CONTROL!$C$42, 7.8831, 7.8831) * CHOOSE(CONTROL!$C$21, $C$9, 100%, $E$9)</f>
        <v>7.8830999999999998</v>
      </c>
      <c r="S89" s="14">
        <f>CHOOSE(CONTROL!$C$42, 6.3151, 6.3151) * CHOOSE(CONTROL!$C$21, $C$9, 100%, $E$9)</f>
        <v>6.3151000000000002</v>
      </c>
      <c r="T8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9" s="57">
        <f>(1000*CHOOSE(CONTROL!$C$42, 695, 695)*CHOOSE(CONTROL!$C$42, 0.5599, 0.5599)*CHOOSE(CONTROL!$C$42, 31, 31))/1000000</f>
        <v>12.063045499999998</v>
      </c>
      <c r="V89" s="57">
        <f>(1000*CHOOSE(CONTROL!$C$42, 500, 500)*CHOOSE(CONTROL!$C$42, 0.275, 0.275)*CHOOSE(CONTROL!$C$42, 31, 31))/1000000</f>
        <v>4.2625000000000002</v>
      </c>
      <c r="W89" s="57">
        <f>(1000*CHOOSE(CONTROL!$C$42, 0.1146, 0.1146)*CHOOSE(CONTROL!$C$42, 121.5, 121.5)*CHOOSE(CONTROL!$C$42, 31, 31))/1000000</f>
        <v>0.43164089999999994</v>
      </c>
      <c r="X89" s="57">
        <f>(31*0.1790888*245000/1000000)+(31*0.2374*100000/1000000)</f>
        <v>2.0961194359999999</v>
      </c>
      <c r="Y89" s="57"/>
      <c r="Z89" s="14"/>
      <c r="AA89" s="56"/>
      <c r="AB89" s="50">
        <f>(B89*194.205+C89*267.466+D89*133.845+E89*53.484+F89*40+G89*185+H89*0+I89*100+J89*300)/(194.205+267.466+133.845+53.484+0+40+185+100+300)</f>
        <v>6.6120447568288858</v>
      </c>
      <c r="AC89" s="45">
        <f>(M89*'RAP TEMPLATE-GAS AVAILABILITY'!O88+N89*'RAP TEMPLATE-GAS AVAILABILITY'!P88+O89*'RAP TEMPLATE-GAS AVAILABILITY'!Q88+P89*'RAP TEMPLATE-GAS AVAILABILITY'!R88)/('RAP TEMPLATE-GAS AVAILABILITY'!O88+'RAP TEMPLATE-GAS AVAILABILITY'!P88+'RAP TEMPLATE-GAS AVAILABILITY'!Q88+'RAP TEMPLATE-GAS AVAILABILITY'!R88)</f>
        <v>6.5120546762589928</v>
      </c>
    </row>
    <row r="90" spans="1:29" ht="15.75" x14ac:dyDescent="0.25">
      <c r="A90" s="13">
        <v>43617</v>
      </c>
      <c r="B90" s="14">
        <f>CHOOSE(CONTROL!$C$42, 6.7834, 6.7834) * CHOOSE(CONTROL!$C$21, $C$9, 100%, $E$9)</f>
        <v>6.7834000000000003</v>
      </c>
      <c r="C90" s="14">
        <f>CHOOSE(CONTROL!$C$42, 6.7915, 6.7915) * CHOOSE(CONTROL!$C$21, $C$9, 100%, $E$9)</f>
        <v>6.7915000000000001</v>
      </c>
      <c r="D90" s="14">
        <f>CHOOSE(CONTROL!$C$42, 6.9954, 6.9954) * CHOOSE(CONTROL!$C$21, $C$9, 100%, $E$9)</f>
        <v>6.9954000000000001</v>
      </c>
      <c r="E90" s="14">
        <f>CHOOSE(CONTROL!$C$42, 7.0269, 7.0269) * CHOOSE(CONTROL!$C$21, $C$9, 100%, $E$9)</f>
        <v>7.0269000000000004</v>
      </c>
      <c r="F90" s="14">
        <f>CHOOSE(CONTROL!$C$42, 6.7646, 6.7646)*CHOOSE(CONTROL!$C$21, $C$9, 100%, $E$9)</f>
        <v>6.7645999999999997</v>
      </c>
      <c r="G90" s="14">
        <f>CHOOSE(CONTROL!$C$42, 6.7804, 6.7804)*CHOOSE(CONTROL!$C$21, $C$9, 100%, $E$9)</f>
        <v>6.7804000000000002</v>
      </c>
      <c r="H90" s="14">
        <f>CHOOSE(CONTROL!$C$42, 7.0155, 7.0155) * CHOOSE(CONTROL!$C$21, $C$9, 100%, $E$9)</f>
        <v>7.0155000000000003</v>
      </c>
      <c r="I90" s="14">
        <f>CHOOSE(CONTROL!$C$42, 6.8101, 6.8101)* CHOOSE(CONTROL!$C$21, $C$9, 100%, $E$9)</f>
        <v>6.8101000000000003</v>
      </c>
      <c r="J90" s="14">
        <f>CHOOSE(CONTROL!$C$42, 6.7576, 6.7576)* CHOOSE(CONTROL!$C$21, $C$9, 100%, $E$9)</f>
        <v>6.7576000000000001</v>
      </c>
      <c r="K90" s="53">
        <f>CHOOSE(CONTROL!$C$42, 6.8062, 6.8062) * CHOOSE(CONTROL!$C$21, $C$9, 100%, $E$9)</f>
        <v>6.8061999999999996</v>
      </c>
      <c r="L90" s="14">
        <f>CHOOSE(CONTROL!$C$42, 7.6025, 7.6025) * CHOOSE(CONTROL!$C$21, $C$9, 100%, $E$9)</f>
        <v>7.6025</v>
      </c>
      <c r="M90" s="14">
        <f>CHOOSE(CONTROL!$C$42, 6.6268, 6.6268) * CHOOSE(CONTROL!$C$21, $C$9, 100%, $E$9)</f>
        <v>6.6268000000000002</v>
      </c>
      <c r="N90" s="14">
        <f>CHOOSE(CONTROL!$C$42, 6.6423, 6.6423) * CHOOSE(CONTROL!$C$21, $C$9, 100%, $E$9)</f>
        <v>6.6422999999999996</v>
      </c>
      <c r="O90" s="14">
        <f>CHOOSE(CONTROL!$C$42, 6.8794, 6.8794) * CHOOSE(CONTROL!$C$21, $C$9, 100%, $E$9)</f>
        <v>6.8794000000000004</v>
      </c>
      <c r="P90" s="14">
        <f>CHOOSE(CONTROL!$C$42, 6.6779, 6.6779) * CHOOSE(CONTROL!$C$21, $C$9, 100%, $E$9)</f>
        <v>6.6779000000000002</v>
      </c>
      <c r="Q90" s="14">
        <f>CHOOSE(CONTROL!$C$42, 7.4741, 7.4741) * CHOOSE(CONTROL!$C$21, $C$9, 100%, $E$9)</f>
        <v>7.4741</v>
      </c>
      <c r="R90" s="14">
        <f>CHOOSE(CONTROL!$C$42, 8.0798, 8.0798) * CHOOSE(CONTROL!$C$21, $C$9, 100%, $E$9)</f>
        <v>8.0798000000000005</v>
      </c>
      <c r="S90" s="14">
        <f>CHOOSE(CONTROL!$C$42, 6.5076, 6.5076) * CHOOSE(CONTROL!$C$21, $C$9, 100%, $E$9)</f>
        <v>6.5076000000000001</v>
      </c>
      <c r="T9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0" s="57">
        <f>(1000*CHOOSE(CONTROL!$C$42, 695, 695)*CHOOSE(CONTROL!$C$42, 0.5599, 0.5599)*CHOOSE(CONTROL!$C$42, 30, 30))/1000000</f>
        <v>11.673914999999997</v>
      </c>
      <c r="V90" s="57">
        <f>(1000*CHOOSE(CONTROL!$C$42, 500, 500)*CHOOSE(CONTROL!$C$42, 0.275, 0.275)*CHOOSE(CONTROL!$C$42, 30, 30))/1000000</f>
        <v>4.125</v>
      </c>
      <c r="W90" s="57">
        <f>(1000*CHOOSE(CONTROL!$C$42, 0.1146, 0.1146)*CHOOSE(CONTROL!$C$42, 121.5, 121.5)*CHOOSE(CONTROL!$C$42, 30, 30))/1000000</f>
        <v>0.417717</v>
      </c>
      <c r="X90" s="57">
        <f>(30*0.1790888*245000/1000000)+(30*0.2374*100000/1000000)</f>
        <v>2.0285026799999999</v>
      </c>
      <c r="Y90" s="57"/>
      <c r="Z90" s="14"/>
      <c r="AA90" s="56"/>
      <c r="AB90" s="50">
        <f>(B90*194.205+C90*267.466+D90*133.845+E90*53.484+F90*40+G90*185+H90*0+I90*100+J90*300)/(194.205+267.466+133.845+53.484+0+40+185+100+300)</f>
        <v>6.8125899282574567</v>
      </c>
      <c r="AC90" s="45">
        <f>(M90*'RAP TEMPLATE-GAS AVAILABILITY'!O89+N90*'RAP TEMPLATE-GAS AVAILABILITY'!P89+O90*'RAP TEMPLATE-GAS AVAILABILITY'!Q89+P90*'RAP TEMPLATE-GAS AVAILABILITY'!R89)/('RAP TEMPLATE-GAS AVAILABILITY'!O89+'RAP TEMPLATE-GAS AVAILABILITY'!P89+'RAP TEMPLATE-GAS AVAILABILITY'!Q89+'RAP TEMPLATE-GAS AVAILABILITY'!R89)</f>
        <v>6.7085942446043161</v>
      </c>
    </row>
    <row r="91" spans="1:29" ht="15.75" x14ac:dyDescent="0.25">
      <c r="A91" s="13">
        <v>43647</v>
      </c>
      <c r="B91" s="14">
        <f>CHOOSE(CONTROL!$C$42, 6.6672, 6.6672) * CHOOSE(CONTROL!$C$21, $C$9, 100%, $E$9)</f>
        <v>6.6672000000000002</v>
      </c>
      <c r="C91" s="14">
        <f>CHOOSE(CONTROL!$C$42, 6.6752, 6.6752) * CHOOSE(CONTROL!$C$21, $C$9, 100%, $E$9)</f>
        <v>6.6752000000000002</v>
      </c>
      <c r="D91" s="14">
        <f>CHOOSE(CONTROL!$C$42, 6.8792, 6.8792) * CHOOSE(CONTROL!$C$21, $C$9, 100%, $E$9)</f>
        <v>6.8792</v>
      </c>
      <c r="E91" s="14">
        <f>CHOOSE(CONTROL!$C$42, 6.9106, 6.9106) * CHOOSE(CONTROL!$C$21, $C$9, 100%, $E$9)</f>
        <v>6.9105999999999996</v>
      </c>
      <c r="F91" s="14">
        <f>CHOOSE(CONTROL!$C$42, 6.6488, 6.6488)*CHOOSE(CONTROL!$C$21, $C$9, 100%, $E$9)</f>
        <v>6.6487999999999996</v>
      </c>
      <c r="G91" s="14">
        <f>CHOOSE(CONTROL!$C$42, 6.6647, 6.6647)*CHOOSE(CONTROL!$C$21, $C$9, 100%, $E$9)</f>
        <v>6.6646999999999998</v>
      </c>
      <c r="H91" s="14">
        <f>CHOOSE(CONTROL!$C$42, 6.8993, 6.8993) * CHOOSE(CONTROL!$C$21, $C$9, 100%, $E$9)</f>
        <v>6.8993000000000002</v>
      </c>
      <c r="I91" s="14">
        <f>CHOOSE(CONTROL!$C$42, 6.6935, 6.6935)* CHOOSE(CONTROL!$C$21, $C$9, 100%, $E$9)</f>
        <v>6.6935000000000002</v>
      </c>
      <c r="J91" s="14">
        <f>CHOOSE(CONTROL!$C$42, 6.6418, 6.6418)* CHOOSE(CONTROL!$C$21, $C$9, 100%, $E$9)</f>
        <v>6.6417999999999999</v>
      </c>
      <c r="K91" s="53">
        <f>CHOOSE(CONTROL!$C$42, 6.6896, 6.6896) * CHOOSE(CONTROL!$C$21, $C$9, 100%, $E$9)</f>
        <v>6.6896000000000004</v>
      </c>
      <c r="L91" s="14">
        <f>CHOOSE(CONTROL!$C$42, 7.4863, 7.4863) * CHOOSE(CONTROL!$C$21, $C$9, 100%, $E$9)</f>
        <v>7.4863</v>
      </c>
      <c r="M91" s="14">
        <f>CHOOSE(CONTROL!$C$42, 6.5134, 6.5134) * CHOOSE(CONTROL!$C$21, $C$9, 100%, $E$9)</f>
        <v>6.5133999999999999</v>
      </c>
      <c r="N91" s="14">
        <f>CHOOSE(CONTROL!$C$42, 6.529, 6.529) * CHOOSE(CONTROL!$C$21, $C$9, 100%, $E$9)</f>
        <v>6.5289999999999999</v>
      </c>
      <c r="O91" s="14">
        <f>CHOOSE(CONTROL!$C$42, 6.7656, 6.7656) * CHOOSE(CONTROL!$C$21, $C$9, 100%, $E$9)</f>
        <v>6.7656000000000001</v>
      </c>
      <c r="P91" s="14">
        <f>CHOOSE(CONTROL!$C$42, 6.5637, 6.5637) * CHOOSE(CONTROL!$C$21, $C$9, 100%, $E$9)</f>
        <v>6.5636999999999999</v>
      </c>
      <c r="Q91" s="14">
        <f>CHOOSE(CONTROL!$C$42, 7.3603, 7.3603) * CHOOSE(CONTROL!$C$21, $C$9, 100%, $E$9)</f>
        <v>7.3602999999999996</v>
      </c>
      <c r="R91" s="14">
        <f>CHOOSE(CONTROL!$C$42, 7.9657, 7.9657) * CHOOSE(CONTROL!$C$21, $C$9, 100%, $E$9)</f>
        <v>7.9657</v>
      </c>
      <c r="S91" s="14">
        <f>CHOOSE(CONTROL!$C$42, 6.3959, 6.3959) * CHOOSE(CONTROL!$C$21, $C$9, 100%, $E$9)</f>
        <v>6.3959000000000001</v>
      </c>
      <c r="T9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1" s="57">
        <f>(1000*CHOOSE(CONTROL!$C$42, 695, 695)*CHOOSE(CONTROL!$C$42, 0.5599, 0.5599)*CHOOSE(CONTROL!$C$42, 31, 31))/1000000</f>
        <v>12.063045499999998</v>
      </c>
      <c r="V91" s="57">
        <f>(1000*CHOOSE(CONTROL!$C$42, 500, 500)*CHOOSE(CONTROL!$C$42, 0.275, 0.275)*CHOOSE(CONTROL!$C$42, 31, 31))/1000000</f>
        <v>4.2625000000000002</v>
      </c>
      <c r="W91" s="57">
        <f>(1000*CHOOSE(CONTROL!$C$42, 0.1146, 0.1146)*CHOOSE(CONTROL!$C$42, 121.5, 121.5)*CHOOSE(CONTROL!$C$42, 31, 31))/1000000</f>
        <v>0.43164089999999994</v>
      </c>
      <c r="X91" s="57">
        <f>(31*0.1790888*245000/1000000)+(31*0.2374*100000/1000000)</f>
        <v>2.0961194359999999</v>
      </c>
      <c r="Y91" s="57"/>
      <c r="Z91" s="14"/>
      <c r="AA91" s="56"/>
      <c r="AB91" s="50">
        <f>(B91*194.205+C91*267.466+D91*133.845+E91*53.484+F91*40+G91*185+H91*0+I91*100+J91*300)/(194.205+267.466+133.845+53.484+0+40+185+100+300)</f>
        <v>6.6965126951334391</v>
      </c>
      <c r="AC91" s="45">
        <f>(M91*'RAP TEMPLATE-GAS AVAILABILITY'!O90+N91*'RAP TEMPLATE-GAS AVAILABILITY'!P90+O91*'RAP TEMPLATE-GAS AVAILABILITY'!Q90+P91*'RAP TEMPLATE-GAS AVAILABILITY'!R90)/('RAP TEMPLATE-GAS AVAILABILITY'!O90+'RAP TEMPLATE-GAS AVAILABILITY'!P90+'RAP TEMPLATE-GAS AVAILABILITY'!Q90+'RAP TEMPLATE-GAS AVAILABILITY'!R90)</f>
        <v>6.5949899280575544</v>
      </c>
    </row>
    <row r="92" spans="1:29" ht="15.75" x14ac:dyDescent="0.25">
      <c r="A92" s="13">
        <v>43678</v>
      </c>
      <c r="B92" s="14">
        <f>CHOOSE(CONTROL!$C$42, 6.3515, 6.3515) * CHOOSE(CONTROL!$C$21, $C$9, 100%, $E$9)</f>
        <v>6.3514999999999997</v>
      </c>
      <c r="C92" s="14">
        <f>CHOOSE(CONTROL!$C$42, 6.3595, 6.3595) * CHOOSE(CONTROL!$C$21, $C$9, 100%, $E$9)</f>
        <v>6.3594999999999997</v>
      </c>
      <c r="D92" s="14">
        <f>CHOOSE(CONTROL!$C$42, 6.5635, 6.5635) * CHOOSE(CONTROL!$C$21, $C$9, 100%, $E$9)</f>
        <v>6.5635000000000003</v>
      </c>
      <c r="E92" s="14">
        <f>CHOOSE(CONTROL!$C$42, 6.5949, 6.5949) * CHOOSE(CONTROL!$C$21, $C$9, 100%, $E$9)</f>
        <v>6.5949</v>
      </c>
      <c r="F92" s="14">
        <f>CHOOSE(CONTROL!$C$42, 6.3334, 6.3334)*CHOOSE(CONTROL!$C$21, $C$9, 100%, $E$9)</f>
        <v>6.3334000000000001</v>
      </c>
      <c r="G92" s="14">
        <f>CHOOSE(CONTROL!$C$42, 6.3493, 6.3493)*CHOOSE(CONTROL!$C$21, $C$9, 100%, $E$9)</f>
        <v>6.3493000000000004</v>
      </c>
      <c r="H92" s="14">
        <f>CHOOSE(CONTROL!$C$42, 6.5836, 6.5836) * CHOOSE(CONTROL!$C$21, $C$9, 100%, $E$9)</f>
        <v>6.5835999999999997</v>
      </c>
      <c r="I92" s="14">
        <f>CHOOSE(CONTROL!$C$42, 6.3769, 6.3769)* CHOOSE(CONTROL!$C$21, $C$9, 100%, $E$9)</f>
        <v>6.3769</v>
      </c>
      <c r="J92" s="14">
        <f>CHOOSE(CONTROL!$C$42, 6.3264, 6.3264)* CHOOSE(CONTROL!$C$21, $C$9, 100%, $E$9)</f>
        <v>6.3263999999999996</v>
      </c>
      <c r="K92" s="53">
        <f>CHOOSE(CONTROL!$C$42, 6.373, 6.373) * CHOOSE(CONTROL!$C$21, $C$9, 100%, $E$9)</f>
        <v>6.3730000000000002</v>
      </c>
      <c r="L92" s="14">
        <f>CHOOSE(CONTROL!$C$42, 7.1706, 7.1706) * CHOOSE(CONTROL!$C$21, $C$9, 100%, $E$9)</f>
        <v>7.1706000000000003</v>
      </c>
      <c r="M92" s="14">
        <f>CHOOSE(CONTROL!$C$42, 6.2044, 6.2044) * CHOOSE(CONTROL!$C$21, $C$9, 100%, $E$9)</f>
        <v>6.2043999999999997</v>
      </c>
      <c r="N92" s="14">
        <f>CHOOSE(CONTROL!$C$42, 6.2201, 6.2201) * CHOOSE(CONTROL!$C$21, $C$9, 100%, $E$9)</f>
        <v>6.2201000000000004</v>
      </c>
      <c r="O92" s="14">
        <f>CHOOSE(CONTROL!$C$42, 6.4564, 6.4564) * CHOOSE(CONTROL!$C$21, $C$9, 100%, $E$9)</f>
        <v>6.4564000000000004</v>
      </c>
      <c r="P92" s="14">
        <f>CHOOSE(CONTROL!$C$42, 6.2536, 6.2536) * CHOOSE(CONTROL!$C$21, $C$9, 100%, $E$9)</f>
        <v>6.2535999999999996</v>
      </c>
      <c r="Q92" s="14">
        <f>CHOOSE(CONTROL!$C$42, 7.0511, 7.0511) * CHOOSE(CONTROL!$C$21, $C$9, 100%, $E$9)</f>
        <v>7.0510999999999999</v>
      </c>
      <c r="R92" s="14">
        <f>CHOOSE(CONTROL!$C$42, 7.6557, 7.6557) * CHOOSE(CONTROL!$C$21, $C$9, 100%, $E$9)</f>
        <v>7.6557000000000004</v>
      </c>
      <c r="S92" s="14">
        <f>CHOOSE(CONTROL!$C$42, 6.0925, 6.0925) * CHOOSE(CONTROL!$C$21, $C$9, 100%, $E$9)</f>
        <v>6.0925000000000002</v>
      </c>
      <c r="T9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2" s="57">
        <f>(1000*CHOOSE(CONTROL!$C$42, 695, 695)*CHOOSE(CONTROL!$C$42, 0.5599, 0.5599)*CHOOSE(CONTROL!$C$42, 31, 31))/1000000</f>
        <v>12.063045499999998</v>
      </c>
      <c r="V92" s="57">
        <f>(1000*CHOOSE(CONTROL!$C$42, 500, 500)*CHOOSE(CONTROL!$C$42, 0.275, 0.275)*CHOOSE(CONTROL!$C$42, 31, 31))/1000000</f>
        <v>4.2625000000000002</v>
      </c>
      <c r="W92" s="57">
        <f>(1000*CHOOSE(CONTROL!$C$42, 0.1146, 0.1146)*CHOOSE(CONTROL!$C$42, 121.5, 121.5)*CHOOSE(CONTROL!$C$42, 31, 31))/1000000</f>
        <v>0.43164089999999994</v>
      </c>
      <c r="X92" s="57">
        <f>(31*0.1790888*245000/1000000)+(31*0.2374*100000/1000000)</f>
        <v>2.0961194359999999</v>
      </c>
      <c r="Y92" s="57"/>
      <c r="Z92" s="14"/>
      <c r="AA92" s="56"/>
      <c r="AB92" s="50">
        <f>(B92*194.205+C92*267.466+D92*133.845+E92*53.484+F92*40+G92*185+H92*0+I92*100+J92*300)/(194.205+267.466+133.845+53.484+0+40+185+100+300)</f>
        <v>6.3808656778649917</v>
      </c>
      <c r="AC92" s="45">
        <f>(M92*'RAP TEMPLATE-GAS AVAILABILITY'!O91+N92*'RAP TEMPLATE-GAS AVAILABILITY'!P91+O92*'RAP TEMPLATE-GAS AVAILABILITY'!Q91+P92*'RAP TEMPLATE-GAS AVAILABILITY'!R91)/('RAP TEMPLATE-GAS AVAILABILITY'!O91+'RAP TEMPLATE-GAS AVAILABILITY'!P91+'RAP TEMPLATE-GAS AVAILABILITY'!Q91+'RAP TEMPLATE-GAS AVAILABILITY'!R91)</f>
        <v>6.2857985611510792</v>
      </c>
    </row>
    <row r="93" spans="1:29" ht="15.75" x14ac:dyDescent="0.25">
      <c r="A93" s="13">
        <v>43709</v>
      </c>
      <c r="B93" s="14">
        <f>CHOOSE(CONTROL!$C$42, 5.9609, 5.9609) * CHOOSE(CONTROL!$C$21, $C$9, 100%, $E$9)</f>
        <v>5.9608999999999996</v>
      </c>
      <c r="C93" s="14">
        <f>CHOOSE(CONTROL!$C$42, 5.9689, 5.9689) * CHOOSE(CONTROL!$C$21, $C$9, 100%, $E$9)</f>
        <v>5.9688999999999997</v>
      </c>
      <c r="D93" s="14">
        <f>CHOOSE(CONTROL!$C$42, 6.1728, 6.1728) * CHOOSE(CONTROL!$C$21, $C$9, 100%, $E$9)</f>
        <v>6.1727999999999996</v>
      </c>
      <c r="E93" s="14">
        <f>CHOOSE(CONTROL!$C$42, 6.2043, 6.2043) * CHOOSE(CONTROL!$C$21, $C$9, 100%, $E$9)</f>
        <v>6.2042999999999999</v>
      </c>
      <c r="F93" s="14">
        <f>CHOOSE(CONTROL!$C$42, 5.9428, 5.9428)*CHOOSE(CONTROL!$C$21, $C$9, 100%, $E$9)</f>
        <v>5.9428000000000001</v>
      </c>
      <c r="G93" s="14">
        <f>CHOOSE(CONTROL!$C$42, 5.9588, 5.9588)*CHOOSE(CONTROL!$C$21, $C$9, 100%, $E$9)</f>
        <v>5.9588000000000001</v>
      </c>
      <c r="H93" s="14">
        <f>CHOOSE(CONTROL!$C$42, 6.1929, 6.1929) * CHOOSE(CONTROL!$C$21, $C$9, 100%, $E$9)</f>
        <v>6.1928999999999998</v>
      </c>
      <c r="I93" s="14">
        <f>CHOOSE(CONTROL!$C$42, 5.985, 5.985)* CHOOSE(CONTROL!$C$21, $C$9, 100%, $E$9)</f>
        <v>5.9850000000000003</v>
      </c>
      <c r="J93" s="14">
        <f>CHOOSE(CONTROL!$C$42, 5.9358, 5.9358)* CHOOSE(CONTROL!$C$21, $C$9, 100%, $E$9)</f>
        <v>5.9358000000000004</v>
      </c>
      <c r="K93" s="53">
        <f>CHOOSE(CONTROL!$C$42, 5.9811, 5.9811) * CHOOSE(CONTROL!$C$21, $C$9, 100%, $E$9)</f>
        <v>5.9810999999999996</v>
      </c>
      <c r="L93" s="14">
        <f>CHOOSE(CONTROL!$C$42, 6.7799, 6.7799) * CHOOSE(CONTROL!$C$21, $C$9, 100%, $E$9)</f>
        <v>6.7798999999999996</v>
      </c>
      <c r="M93" s="14">
        <f>CHOOSE(CONTROL!$C$42, 5.8219, 5.8219) * CHOOSE(CONTROL!$C$21, $C$9, 100%, $E$9)</f>
        <v>5.8219000000000003</v>
      </c>
      <c r="N93" s="14">
        <f>CHOOSE(CONTROL!$C$42, 5.8375, 5.8375) * CHOOSE(CONTROL!$C$21, $C$9, 100%, $E$9)</f>
        <v>5.8375000000000004</v>
      </c>
      <c r="O93" s="14">
        <f>CHOOSE(CONTROL!$C$42, 6.0737, 6.0737) * CHOOSE(CONTROL!$C$21, $C$9, 100%, $E$9)</f>
        <v>6.0736999999999997</v>
      </c>
      <c r="P93" s="14">
        <f>CHOOSE(CONTROL!$C$42, 5.8698, 5.8698) * CHOOSE(CONTROL!$C$21, $C$9, 100%, $E$9)</f>
        <v>5.8697999999999997</v>
      </c>
      <c r="Q93" s="14">
        <f>CHOOSE(CONTROL!$C$42, 6.6684, 6.6684) * CHOOSE(CONTROL!$C$21, $C$9, 100%, $E$9)</f>
        <v>6.6684000000000001</v>
      </c>
      <c r="R93" s="14">
        <f>CHOOSE(CONTROL!$C$42, 7.2721, 7.2721) * CHOOSE(CONTROL!$C$21, $C$9, 100%, $E$9)</f>
        <v>7.2721</v>
      </c>
      <c r="S93" s="14">
        <f>CHOOSE(CONTROL!$C$42, 5.7172, 5.7172) * CHOOSE(CONTROL!$C$21, $C$9, 100%, $E$9)</f>
        <v>5.7172000000000001</v>
      </c>
      <c r="T9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3" s="57">
        <f>(1000*CHOOSE(CONTROL!$C$42, 695, 695)*CHOOSE(CONTROL!$C$42, 0.5599, 0.5599)*CHOOSE(CONTROL!$C$42, 30, 30))/1000000</f>
        <v>11.673914999999997</v>
      </c>
      <c r="V93" s="57">
        <f>(1000*CHOOSE(CONTROL!$C$42, 500, 500)*CHOOSE(CONTROL!$C$42, 0.275, 0.275)*CHOOSE(CONTROL!$C$42, 30, 30))/1000000</f>
        <v>4.125</v>
      </c>
      <c r="W93" s="57">
        <f>(1000*CHOOSE(CONTROL!$C$42, 0.1146, 0.1146)*CHOOSE(CONTROL!$C$42, 121.5, 121.5)*CHOOSE(CONTROL!$C$42, 30, 30))/1000000</f>
        <v>0.417717</v>
      </c>
      <c r="X93" s="57">
        <f>(30*0.1790888*245000/1000000)+(30*0.2374*100000/1000000)</f>
        <v>2.0285026799999999</v>
      </c>
      <c r="Y93" s="57"/>
      <c r="Z93" s="14"/>
      <c r="AA93" s="56"/>
      <c r="AB93" s="50">
        <f>(B93*194.205+C93*267.466+D93*133.845+E93*53.484+F93*40+G93*185+H93*0+I93*100+J93*300)/(194.205+267.466+133.845+53.484+0+40+185+100+300)</f>
        <v>5.9901676523547884</v>
      </c>
      <c r="AC93" s="45">
        <f>(M93*'RAP TEMPLATE-GAS AVAILABILITY'!O92+N93*'RAP TEMPLATE-GAS AVAILABILITY'!P92+O93*'RAP TEMPLATE-GAS AVAILABILITY'!Q92+P93*'RAP TEMPLATE-GAS AVAILABILITY'!R92)/('RAP TEMPLATE-GAS AVAILABILITY'!O92+'RAP TEMPLATE-GAS AVAILABILITY'!P92+'RAP TEMPLATE-GAS AVAILABILITY'!Q92+'RAP TEMPLATE-GAS AVAILABILITY'!R92)</f>
        <v>5.9030323741007198</v>
      </c>
    </row>
    <row r="94" spans="1:29" ht="15.75" x14ac:dyDescent="0.25">
      <c r="A94" s="13">
        <v>43739</v>
      </c>
      <c r="B94" s="14">
        <f>CHOOSE(CONTROL!$C$42, 5.8503, 5.8503) * CHOOSE(CONTROL!$C$21, $C$9, 100%, $E$9)</f>
        <v>5.8502999999999998</v>
      </c>
      <c r="C94" s="14">
        <f>CHOOSE(CONTROL!$C$42, 5.8557, 5.8557) * CHOOSE(CONTROL!$C$21, $C$9, 100%, $E$9)</f>
        <v>5.8556999999999997</v>
      </c>
      <c r="D94" s="14">
        <f>CHOOSE(CONTROL!$C$42, 6.0646, 6.0646) * CHOOSE(CONTROL!$C$21, $C$9, 100%, $E$9)</f>
        <v>6.0646000000000004</v>
      </c>
      <c r="E94" s="14">
        <f>CHOOSE(CONTROL!$C$42, 6.0937, 6.0937) * CHOOSE(CONTROL!$C$21, $C$9, 100%, $E$9)</f>
        <v>6.0937000000000001</v>
      </c>
      <c r="F94" s="14">
        <f>CHOOSE(CONTROL!$C$42, 5.8343, 5.8343)*CHOOSE(CONTROL!$C$21, $C$9, 100%, $E$9)</f>
        <v>5.8342999999999998</v>
      </c>
      <c r="G94" s="14">
        <f>CHOOSE(CONTROL!$C$42, 5.85, 5.85)*CHOOSE(CONTROL!$C$21, $C$9, 100%, $E$9)</f>
        <v>5.85</v>
      </c>
      <c r="H94" s="14">
        <f>CHOOSE(CONTROL!$C$42, 6.0842, 6.0842) * CHOOSE(CONTROL!$C$21, $C$9, 100%, $E$9)</f>
        <v>6.0842000000000001</v>
      </c>
      <c r="I94" s="14">
        <f>CHOOSE(CONTROL!$C$42, 5.8759, 5.8759)* CHOOSE(CONTROL!$C$21, $C$9, 100%, $E$9)</f>
        <v>5.8758999999999997</v>
      </c>
      <c r="J94" s="14">
        <f>CHOOSE(CONTROL!$C$42, 5.8273, 5.8273)* CHOOSE(CONTROL!$C$21, $C$9, 100%, $E$9)</f>
        <v>5.8273000000000001</v>
      </c>
      <c r="K94" s="53">
        <f>CHOOSE(CONTROL!$C$42, 5.872, 5.872) * CHOOSE(CONTROL!$C$21, $C$9, 100%, $E$9)</f>
        <v>5.8719999999999999</v>
      </c>
      <c r="L94" s="14">
        <f>CHOOSE(CONTROL!$C$42, 6.6712, 6.6712) * CHOOSE(CONTROL!$C$21, $C$9, 100%, $E$9)</f>
        <v>6.6711999999999998</v>
      </c>
      <c r="M94" s="14">
        <f>CHOOSE(CONTROL!$C$42, 5.7156, 5.7156) * CHOOSE(CONTROL!$C$21, $C$9, 100%, $E$9)</f>
        <v>5.7156000000000002</v>
      </c>
      <c r="N94" s="14">
        <f>CHOOSE(CONTROL!$C$42, 5.731, 5.731) * CHOOSE(CONTROL!$C$21, $C$9, 100%, $E$9)</f>
        <v>5.7309999999999999</v>
      </c>
      <c r="O94" s="14">
        <f>CHOOSE(CONTROL!$C$42, 5.9672, 5.9672) * CHOOSE(CONTROL!$C$21, $C$9, 100%, $E$9)</f>
        <v>5.9672000000000001</v>
      </c>
      <c r="P94" s="14">
        <f>CHOOSE(CONTROL!$C$42, 5.7629, 5.7629) * CHOOSE(CONTROL!$C$21, $C$9, 100%, $E$9)</f>
        <v>5.7629000000000001</v>
      </c>
      <c r="Q94" s="14">
        <f>CHOOSE(CONTROL!$C$42, 6.5619, 6.5619) * CHOOSE(CONTROL!$C$21, $C$9, 100%, $E$9)</f>
        <v>6.5618999999999996</v>
      </c>
      <c r="R94" s="14">
        <f>CHOOSE(CONTROL!$C$42, 7.1653, 7.1653) * CHOOSE(CONTROL!$C$21, $C$9, 100%, $E$9)</f>
        <v>7.1653000000000002</v>
      </c>
      <c r="S94" s="14">
        <f>CHOOSE(CONTROL!$C$42, 5.6127, 5.6127) * CHOOSE(CONTROL!$C$21, $C$9, 100%, $E$9)</f>
        <v>5.6127000000000002</v>
      </c>
      <c r="T9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4" s="57">
        <f>(1000*CHOOSE(CONTROL!$C$42, 695, 695)*CHOOSE(CONTROL!$C$42, 0.5599, 0.5599)*CHOOSE(CONTROL!$C$42, 31, 31))/1000000</f>
        <v>12.063045499999998</v>
      </c>
      <c r="V94" s="57">
        <f>(1000*CHOOSE(CONTROL!$C$42, 500, 500)*CHOOSE(CONTROL!$C$42, 0.275, 0.275)*CHOOSE(CONTROL!$C$42, 31, 31))/1000000</f>
        <v>4.2625000000000002</v>
      </c>
      <c r="W94" s="57">
        <f>(1000*CHOOSE(CONTROL!$C$42, 0.1146, 0.1146)*CHOOSE(CONTROL!$C$42, 121.5, 121.5)*CHOOSE(CONTROL!$C$42, 31, 31))/1000000</f>
        <v>0.43164089999999994</v>
      </c>
      <c r="X94" s="57">
        <f>(31*0.1790888*245000/1000000)+(31*0.2374*100000/1000000)</f>
        <v>2.0961194359999999</v>
      </c>
      <c r="Y94" s="57"/>
      <c r="Z94" s="14"/>
      <c r="AA94" s="56"/>
      <c r="AB94" s="50">
        <f>(B94*131.881+C94*277.167+D94*79.08+E94*125.872+F94*40+G94*185+H94*0+I94*100+J94*300)/(131.881+277.167+79.08+125.872+0+40+185+100+300)</f>
        <v>5.8858490642453596</v>
      </c>
      <c r="AC94" s="45">
        <f>(M94*'RAP TEMPLATE-GAS AVAILABILITY'!O93+N94*'RAP TEMPLATE-GAS AVAILABILITY'!P93+O94*'RAP TEMPLATE-GAS AVAILABILITY'!Q93+P94*'RAP TEMPLATE-GAS AVAILABILITY'!R93)/('RAP TEMPLATE-GAS AVAILABILITY'!O93+'RAP TEMPLATE-GAS AVAILABILITY'!P93+'RAP TEMPLATE-GAS AVAILABILITY'!Q93+'RAP TEMPLATE-GAS AVAILABILITY'!R93)</f>
        <v>5.7965438848920865</v>
      </c>
    </row>
    <row r="95" spans="1:29" ht="15.75" x14ac:dyDescent="0.25">
      <c r="A95" s="13">
        <v>43770</v>
      </c>
      <c r="B95" s="14">
        <f>CHOOSE(CONTROL!$C$42, 6.0161, 6.0161) * CHOOSE(CONTROL!$C$21, $C$9, 100%, $E$9)</f>
        <v>6.0160999999999998</v>
      </c>
      <c r="C95" s="14">
        <f>CHOOSE(CONTROL!$C$42, 6.0212, 6.0212) * CHOOSE(CONTROL!$C$21, $C$9, 100%, $E$9)</f>
        <v>6.0212000000000003</v>
      </c>
      <c r="D95" s="14">
        <f>CHOOSE(CONTROL!$C$42, 6.085, 6.085) * CHOOSE(CONTROL!$C$21, $C$9, 100%, $E$9)</f>
        <v>6.085</v>
      </c>
      <c r="E95" s="14">
        <f>CHOOSE(CONTROL!$C$42, 6.1191, 6.1191) * CHOOSE(CONTROL!$C$21, $C$9, 100%, $E$9)</f>
        <v>6.1191000000000004</v>
      </c>
      <c r="F95" s="14">
        <f>CHOOSE(CONTROL!$C$42, 6.0185, 6.0185)*CHOOSE(CONTROL!$C$21, $C$9, 100%, $E$9)</f>
        <v>6.0185000000000004</v>
      </c>
      <c r="G95" s="14">
        <f>CHOOSE(CONTROL!$C$42, 6.0345, 6.0345)*CHOOSE(CONTROL!$C$21, $C$9, 100%, $E$9)</f>
        <v>6.0345000000000004</v>
      </c>
      <c r="H95" s="14">
        <f>CHOOSE(CONTROL!$C$42, 6.1083, 6.1083) * CHOOSE(CONTROL!$C$21, $C$9, 100%, $E$9)</f>
        <v>6.1082999999999998</v>
      </c>
      <c r="I95" s="14">
        <f>CHOOSE(CONTROL!$C$42, 6.0478, 6.0478)* CHOOSE(CONTROL!$C$21, $C$9, 100%, $E$9)</f>
        <v>6.0477999999999996</v>
      </c>
      <c r="J95" s="14">
        <f>CHOOSE(CONTROL!$C$42, 6.0115, 6.0115)* CHOOSE(CONTROL!$C$21, $C$9, 100%, $E$9)</f>
        <v>6.0114999999999998</v>
      </c>
      <c r="K95" s="53">
        <f>CHOOSE(CONTROL!$C$42, 6.0439, 6.0439) * CHOOSE(CONTROL!$C$21, $C$9, 100%, $E$9)</f>
        <v>6.0438999999999998</v>
      </c>
      <c r="L95" s="14">
        <f>CHOOSE(CONTROL!$C$42, 6.6953, 6.6953) * CHOOSE(CONTROL!$C$21, $C$9, 100%, $E$9)</f>
        <v>6.6952999999999996</v>
      </c>
      <c r="M95" s="14">
        <f>CHOOSE(CONTROL!$C$42, 5.896, 5.896) * CHOOSE(CONTROL!$C$21, $C$9, 100%, $E$9)</f>
        <v>5.8959999999999999</v>
      </c>
      <c r="N95" s="14">
        <f>CHOOSE(CONTROL!$C$42, 5.9117, 5.9117) * CHOOSE(CONTROL!$C$21, $C$9, 100%, $E$9)</f>
        <v>5.9116999999999997</v>
      </c>
      <c r="O95" s="14">
        <f>CHOOSE(CONTROL!$C$42, 5.9908, 5.9908) * CHOOSE(CONTROL!$C$21, $C$9, 100%, $E$9)</f>
        <v>5.9908000000000001</v>
      </c>
      <c r="P95" s="14">
        <f>CHOOSE(CONTROL!$C$42, 5.9313, 5.9313) * CHOOSE(CONTROL!$C$21, $C$9, 100%, $E$9)</f>
        <v>5.9313000000000002</v>
      </c>
      <c r="Q95" s="14">
        <f>CHOOSE(CONTROL!$C$42, 6.5855, 6.5855) * CHOOSE(CONTROL!$C$21, $C$9, 100%, $E$9)</f>
        <v>6.5854999999999997</v>
      </c>
      <c r="R95" s="14">
        <f>CHOOSE(CONTROL!$C$42, 7.189, 7.189) * CHOOSE(CONTROL!$C$21, $C$9, 100%, $E$9)</f>
        <v>7.1890000000000001</v>
      </c>
      <c r="S95" s="14">
        <f>CHOOSE(CONTROL!$C$42, 5.7724, 5.7724) * CHOOSE(CONTROL!$C$21, $C$9, 100%, $E$9)</f>
        <v>5.7724000000000002</v>
      </c>
      <c r="T9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5" s="57">
        <f>(1000*CHOOSE(CONTROL!$C$42, 695, 695)*CHOOSE(CONTROL!$C$42, 0.5599, 0.5599)*CHOOSE(CONTROL!$C$42, 30, 30))/1000000</f>
        <v>11.673914999999997</v>
      </c>
      <c r="V95" s="57">
        <f>(1000*CHOOSE(CONTROL!$C$42, 500, 500)*CHOOSE(CONTROL!$C$42, 0.275, 0.275)*CHOOSE(CONTROL!$C$42, 30, 30))/1000000</f>
        <v>4.125</v>
      </c>
      <c r="W95" s="57">
        <f>(1000*CHOOSE(CONTROL!$C$42, 0.1146, 0.1146)*CHOOSE(CONTROL!$C$42, 121.5, 121.5)*CHOOSE(CONTROL!$C$42, 30, 30))/1000000</f>
        <v>0.417717</v>
      </c>
      <c r="X95" s="57">
        <f>(30*0.1790888*100000/1000000)+(30*0.2374*100000/1000000)</f>
        <v>1.2494664</v>
      </c>
      <c r="Y95" s="57"/>
      <c r="Z95" s="14"/>
      <c r="AA95" s="56"/>
      <c r="AB95" s="50">
        <f>(B95*122.58+C95*297.941+D95*89.177+E95*40.302+F95*40+G95*160+H95*0+I95*100+J95*300)/(122.58+297.941+89.177+40.302+0+40+160+100+300)</f>
        <v>6.0305738264347823</v>
      </c>
      <c r="AC95" s="45">
        <f>(M95*'RAP TEMPLATE-GAS AVAILABILITY'!O94+N95*'RAP TEMPLATE-GAS AVAILABILITY'!P94+O95*'RAP TEMPLATE-GAS AVAILABILITY'!Q94+P95*'RAP TEMPLATE-GAS AVAILABILITY'!R94)/('RAP TEMPLATE-GAS AVAILABILITY'!O94+'RAP TEMPLATE-GAS AVAILABILITY'!P94+'RAP TEMPLATE-GAS AVAILABILITY'!Q94+'RAP TEMPLATE-GAS AVAILABILITY'!R94)</f>
        <v>5.9449496402877697</v>
      </c>
    </row>
    <row r="96" spans="1:29" ht="15.75" x14ac:dyDescent="0.25">
      <c r="A96" s="13">
        <v>43800</v>
      </c>
      <c r="B96" s="14">
        <f>CHOOSE(CONTROL!$C$42, 6.4389, 6.4389) * CHOOSE(CONTROL!$C$21, $C$9, 100%, $E$9)</f>
        <v>6.4389000000000003</v>
      </c>
      <c r="C96" s="14">
        <f>CHOOSE(CONTROL!$C$42, 6.4439, 6.4439) * CHOOSE(CONTROL!$C$21, $C$9, 100%, $E$9)</f>
        <v>6.4439000000000002</v>
      </c>
      <c r="D96" s="14">
        <f>CHOOSE(CONTROL!$C$42, 6.5077, 6.5077) * CHOOSE(CONTROL!$C$21, $C$9, 100%, $E$9)</f>
        <v>6.5076999999999998</v>
      </c>
      <c r="E96" s="14">
        <f>CHOOSE(CONTROL!$C$42, 6.5418, 6.5418) * CHOOSE(CONTROL!$C$21, $C$9, 100%, $E$9)</f>
        <v>6.5418000000000003</v>
      </c>
      <c r="F96" s="14">
        <f>CHOOSE(CONTROL!$C$42, 6.4435, 6.4435)*CHOOSE(CONTROL!$C$21, $C$9, 100%, $E$9)</f>
        <v>6.4435000000000002</v>
      </c>
      <c r="G96" s="14">
        <f>CHOOSE(CONTROL!$C$42, 6.4601, 6.4601)*CHOOSE(CONTROL!$C$21, $C$9, 100%, $E$9)</f>
        <v>6.4600999999999997</v>
      </c>
      <c r="H96" s="14">
        <f>CHOOSE(CONTROL!$C$42, 6.531, 6.531) * CHOOSE(CONTROL!$C$21, $C$9, 100%, $E$9)</f>
        <v>6.5309999999999997</v>
      </c>
      <c r="I96" s="14">
        <f>CHOOSE(CONTROL!$C$42, 6.4719, 6.4719)* CHOOSE(CONTROL!$C$21, $C$9, 100%, $E$9)</f>
        <v>6.4718999999999998</v>
      </c>
      <c r="J96" s="14">
        <f>CHOOSE(CONTROL!$C$42, 6.4365, 6.4365)* CHOOSE(CONTROL!$C$21, $C$9, 100%, $E$9)</f>
        <v>6.4364999999999997</v>
      </c>
      <c r="K96" s="53">
        <f>CHOOSE(CONTROL!$C$42, 6.468, 6.468) * CHOOSE(CONTROL!$C$21, $C$9, 100%, $E$9)</f>
        <v>6.468</v>
      </c>
      <c r="L96" s="14">
        <f>CHOOSE(CONTROL!$C$42, 7.118, 7.118) * CHOOSE(CONTROL!$C$21, $C$9, 100%, $E$9)</f>
        <v>7.1180000000000003</v>
      </c>
      <c r="M96" s="14">
        <f>CHOOSE(CONTROL!$C$42, 6.3123, 6.3123) * CHOOSE(CONTROL!$C$21, $C$9, 100%, $E$9)</f>
        <v>6.3122999999999996</v>
      </c>
      <c r="N96" s="14">
        <f>CHOOSE(CONTROL!$C$42, 6.3286, 6.3286) * CHOOSE(CONTROL!$C$21, $C$9, 100%, $E$9)</f>
        <v>6.3285999999999998</v>
      </c>
      <c r="O96" s="14">
        <f>CHOOSE(CONTROL!$C$42, 6.4049, 6.4049) * CHOOSE(CONTROL!$C$21, $C$9, 100%, $E$9)</f>
        <v>6.4048999999999996</v>
      </c>
      <c r="P96" s="14">
        <f>CHOOSE(CONTROL!$C$42, 6.3466, 6.3466) * CHOOSE(CONTROL!$C$21, $C$9, 100%, $E$9)</f>
        <v>6.3465999999999996</v>
      </c>
      <c r="Q96" s="14">
        <f>CHOOSE(CONTROL!$C$42, 6.9996, 6.9996) * CHOOSE(CONTROL!$C$21, $C$9, 100%, $E$9)</f>
        <v>6.9996</v>
      </c>
      <c r="R96" s="14">
        <f>CHOOSE(CONTROL!$C$42, 7.6041, 7.6041) * CHOOSE(CONTROL!$C$21, $C$9, 100%, $E$9)</f>
        <v>7.6040999999999999</v>
      </c>
      <c r="S96" s="14">
        <f>CHOOSE(CONTROL!$C$42, 6.1786, 6.1786) * CHOOSE(CONTROL!$C$21, $C$9, 100%, $E$9)</f>
        <v>6.1786000000000003</v>
      </c>
      <c r="T9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6" s="57">
        <f>(1000*CHOOSE(CONTROL!$C$42, 695, 695)*CHOOSE(CONTROL!$C$42, 0.5599, 0.5599)*CHOOSE(CONTROL!$C$42, 31, 31))/1000000</f>
        <v>12.063045499999998</v>
      </c>
      <c r="V96" s="57">
        <f>(1000*CHOOSE(CONTROL!$C$42, 500, 500)*CHOOSE(CONTROL!$C$42, 0.275, 0.275)*CHOOSE(CONTROL!$C$42, 31, 31))/1000000</f>
        <v>4.2625000000000002</v>
      </c>
      <c r="W96" s="57">
        <f>(1000*CHOOSE(CONTROL!$C$42, 0.1146, 0.1146)*CHOOSE(CONTROL!$C$42, 121.5, 121.5)*CHOOSE(CONTROL!$C$42, 31, 31))/1000000</f>
        <v>0.43164089999999994</v>
      </c>
      <c r="X96" s="57">
        <f>(31*0.1790888*100000/1000000)+(31*0.2374*100000/1000000)</f>
        <v>1.2911152800000001</v>
      </c>
      <c r="Y96" s="57"/>
      <c r="Z96" s="14"/>
      <c r="AA96" s="56"/>
      <c r="AB96" s="50">
        <f>(B96*122.58+C96*297.941+D96*89.177+E96*40.302+F96*40+G96*160+H96*0+I96*100+J96*300)/(122.58+297.941+89.177+40.302+0+40+160+100+300)</f>
        <v>6.4544897029565202</v>
      </c>
      <c r="AC96" s="45">
        <f>(M96*'RAP TEMPLATE-GAS AVAILABILITY'!O95+N96*'RAP TEMPLATE-GAS AVAILABILITY'!P95+O96*'RAP TEMPLATE-GAS AVAILABILITY'!Q95+P96*'RAP TEMPLATE-GAS AVAILABILITY'!R95)/('RAP TEMPLATE-GAS AVAILABILITY'!O95+'RAP TEMPLATE-GAS AVAILABILITY'!P95+'RAP TEMPLATE-GAS AVAILABILITY'!Q95+'RAP TEMPLATE-GAS AVAILABILITY'!R95)</f>
        <v>6.3601431654676261</v>
      </c>
    </row>
    <row r="97" spans="1:29" ht="15.75" x14ac:dyDescent="0.25">
      <c r="A97" s="13">
        <v>43831</v>
      </c>
      <c r="B97" s="14">
        <f>CHOOSE(CONTROL!$C$42, 7.1198, 7.1198) * CHOOSE(CONTROL!$C$21, $C$9, 100%, $E$9)</f>
        <v>7.1197999999999997</v>
      </c>
      <c r="C97" s="14">
        <f>CHOOSE(CONTROL!$C$42, 7.1249, 7.1249) * CHOOSE(CONTROL!$C$21, $C$9, 100%, $E$9)</f>
        <v>7.1249000000000002</v>
      </c>
      <c r="D97" s="14">
        <f>CHOOSE(CONTROL!$C$42, 7.1913, 7.1913) * CHOOSE(CONTROL!$C$21, $C$9, 100%, $E$9)</f>
        <v>7.1913</v>
      </c>
      <c r="E97" s="14">
        <f>CHOOSE(CONTROL!$C$42, 7.2254, 7.2254) * CHOOSE(CONTROL!$C$21, $C$9, 100%, $E$9)</f>
        <v>7.2253999999999996</v>
      </c>
      <c r="F97" s="14">
        <f>CHOOSE(CONTROL!$C$42, 7.1071, 7.1071)*CHOOSE(CONTROL!$C$21, $C$9, 100%, $E$9)</f>
        <v>7.1071</v>
      </c>
      <c r="G97" s="14">
        <f>CHOOSE(CONTROL!$C$42, 7.1226, 7.1226)*CHOOSE(CONTROL!$C$21, $C$9, 100%, $E$9)</f>
        <v>7.1226000000000003</v>
      </c>
      <c r="H97" s="14">
        <f>CHOOSE(CONTROL!$C$42, 7.2146, 7.2146) * CHOOSE(CONTROL!$C$21, $C$9, 100%, $E$9)</f>
        <v>7.2145999999999999</v>
      </c>
      <c r="I97" s="14">
        <f>CHOOSE(CONTROL!$C$42, 7.1497, 7.1497)* CHOOSE(CONTROL!$C$21, $C$9, 100%, $E$9)</f>
        <v>7.1497000000000002</v>
      </c>
      <c r="J97" s="14">
        <f>CHOOSE(CONTROL!$C$42, 7.1001, 7.1001)* CHOOSE(CONTROL!$C$21, $C$9, 100%, $E$9)</f>
        <v>7.1001000000000003</v>
      </c>
      <c r="K97" s="53">
        <f>CHOOSE(CONTROL!$C$42, 7.1459, 7.1459) * CHOOSE(CONTROL!$C$21, $C$9, 100%, $E$9)</f>
        <v>7.1459000000000001</v>
      </c>
      <c r="L97" s="14">
        <f>CHOOSE(CONTROL!$C$42, 7.8016, 7.8016) * CHOOSE(CONTROL!$C$21, $C$9, 100%, $E$9)</f>
        <v>7.8015999999999996</v>
      </c>
      <c r="M97" s="14">
        <f>CHOOSE(CONTROL!$C$42, 6.9624, 6.9624) * CHOOSE(CONTROL!$C$21, $C$9, 100%, $E$9)</f>
        <v>6.9623999999999997</v>
      </c>
      <c r="N97" s="14">
        <f>CHOOSE(CONTROL!$C$42, 6.9775, 6.9775) * CHOOSE(CONTROL!$C$21, $C$9, 100%, $E$9)</f>
        <v>6.9775</v>
      </c>
      <c r="O97" s="14">
        <f>CHOOSE(CONTROL!$C$42, 7.0745, 7.0745) * CHOOSE(CONTROL!$C$21, $C$9, 100%, $E$9)</f>
        <v>7.0744999999999996</v>
      </c>
      <c r="P97" s="14">
        <f>CHOOSE(CONTROL!$C$42, 7.0106, 7.0106) * CHOOSE(CONTROL!$C$21, $C$9, 100%, $E$9)</f>
        <v>7.0106000000000002</v>
      </c>
      <c r="Q97" s="14">
        <f>CHOOSE(CONTROL!$C$42, 7.6692, 7.6692) * CHOOSE(CONTROL!$C$21, $C$9, 100%, $E$9)</f>
        <v>7.6692</v>
      </c>
      <c r="R97" s="14">
        <f>CHOOSE(CONTROL!$C$42, 8.2753, 8.2753) * CHOOSE(CONTROL!$C$21, $C$9, 100%, $E$9)</f>
        <v>8.2752999999999997</v>
      </c>
      <c r="S97" s="14">
        <f>CHOOSE(CONTROL!$C$42, 6.8329, 6.8329) * CHOOSE(CONTROL!$C$21, $C$9, 100%, $E$9)</f>
        <v>6.8329000000000004</v>
      </c>
      <c r="T9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7" s="57">
        <f>(1000*CHOOSE(CONTROL!$C$42, 695, 695)*CHOOSE(CONTROL!$C$42, 0.5599, 0.5599)*CHOOSE(CONTROL!$C$42, 31, 31))/1000000</f>
        <v>12.063045499999998</v>
      </c>
      <c r="V97" s="57">
        <f>(1000*CHOOSE(CONTROL!$C$42, 500, 500)*CHOOSE(CONTROL!$C$42, 0.275, 0.275)*CHOOSE(CONTROL!$C$42, 31, 31))/1000000</f>
        <v>4.2625000000000002</v>
      </c>
      <c r="W97" s="57">
        <f>(1000*CHOOSE(CONTROL!$C$42, 0.1146, 0.1146)*CHOOSE(CONTROL!$C$42, 121.5, 121.5)*CHOOSE(CONTROL!$C$42, 31, 31))/1000000</f>
        <v>0.43164089999999994</v>
      </c>
      <c r="X97" s="57">
        <f>(31*0.1790888*100000/1000000)+(31*0.2374*100000/1000000)</f>
        <v>1.2911152800000001</v>
      </c>
      <c r="Y97" s="57"/>
      <c r="Z97" s="14"/>
      <c r="AA97" s="56"/>
      <c r="AB97" s="50">
        <f>(B97*122.58+C97*297.941+D97*89.177+E97*40.302+F97*40+G97*160+H97*0+I97*100+J97*300)/(122.58+297.941+89.177+40.302+0+40+160+100+300)</f>
        <v>7.1277752572173911</v>
      </c>
      <c r="AC97" s="45">
        <f>(M97*'RAP TEMPLATE-GAS AVAILABILITY'!O96+N97*'RAP TEMPLATE-GAS AVAILABILITY'!P96+O97*'RAP TEMPLATE-GAS AVAILABILITY'!Q96+P97*'RAP TEMPLATE-GAS AVAILABILITY'!R96)/('RAP TEMPLATE-GAS AVAILABILITY'!O96+'RAP TEMPLATE-GAS AVAILABILITY'!P96+'RAP TEMPLATE-GAS AVAILABILITY'!Q96+'RAP TEMPLATE-GAS AVAILABILITY'!R96)</f>
        <v>7.0210122302158275</v>
      </c>
    </row>
    <row r="98" spans="1:29" ht="15.75" x14ac:dyDescent="0.25">
      <c r="A98" s="13">
        <v>43862</v>
      </c>
      <c r="B98" s="14">
        <f>CHOOSE(CONTROL!$C$42, 7.2613, 7.2613) * CHOOSE(CONTROL!$C$21, $C$9, 100%, $E$9)</f>
        <v>7.2613000000000003</v>
      </c>
      <c r="C98" s="14">
        <f>CHOOSE(CONTROL!$C$42, 7.2664, 7.2664) * CHOOSE(CONTROL!$C$21, $C$9, 100%, $E$9)</f>
        <v>7.2664</v>
      </c>
      <c r="D98" s="14">
        <f>CHOOSE(CONTROL!$C$42, 7.3328, 7.3328) * CHOOSE(CONTROL!$C$21, $C$9, 100%, $E$9)</f>
        <v>7.3327999999999998</v>
      </c>
      <c r="E98" s="14">
        <f>CHOOSE(CONTROL!$C$42, 7.3669, 7.3669) * CHOOSE(CONTROL!$C$21, $C$9, 100%, $E$9)</f>
        <v>7.3669000000000002</v>
      </c>
      <c r="F98" s="14">
        <f>CHOOSE(CONTROL!$C$42, 7.2487, 7.2487)*CHOOSE(CONTROL!$C$21, $C$9, 100%, $E$9)</f>
        <v>7.2487000000000004</v>
      </c>
      <c r="G98" s="14">
        <f>CHOOSE(CONTROL!$C$42, 7.2642, 7.2642)*CHOOSE(CONTROL!$C$21, $C$9, 100%, $E$9)</f>
        <v>7.2641999999999998</v>
      </c>
      <c r="H98" s="14">
        <f>CHOOSE(CONTROL!$C$42, 7.3561, 7.3561) * CHOOSE(CONTROL!$C$21, $C$9, 100%, $E$9)</f>
        <v>7.3560999999999996</v>
      </c>
      <c r="I98" s="14">
        <f>CHOOSE(CONTROL!$C$42, 7.2917, 7.2917)* CHOOSE(CONTROL!$C$21, $C$9, 100%, $E$9)</f>
        <v>7.2916999999999996</v>
      </c>
      <c r="J98" s="14">
        <f>CHOOSE(CONTROL!$C$42, 7.2417, 7.2417)* CHOOSE(CONTROL!$C$21, $C$9, 100%, $E$9)</f>
        <v>7.2416999999999998</v>
      </c>
      <c r="K98" s="53">
        <f>CHOOSE(CONTROL!$C$42, 7.2878, 7.2878) * CHOOSE(CONTROL!$C$21, $C$9, 100%, $E$9)</f>
        <v>7.2877999999999998</v>
      </c>
      <c r="L98" s="14">
        <f>CHOOSE(CONTROL!$C$42, 7.9431, 7.9431) * CHOOSE(CONTROL!$C$21, $C$9, 100%, $E$9)</f>
        <v>7.9431000000000003</v>
      </c>
      <c r="M98" s="14">
        <f>CHOOSE(CONTROL!$C$42, 7.101, 7.101) * CHOOSE(CONTROL!$C$21, $C$9, 100%, $E$9)</f>
        <v>7.101</v>
      </c>
      <c r="N98" s="14">
        <f>CHOOSE(CONTROL!$C$42, 7.1162, 7.1162) * CHOOSE(CONTROL!$C$21, $C$9, 100%, $E$9)</f>
        <v>7.1162000000000001</v>
      </c>
      <c r="O98" s="14">
        <f>CHOOSE(CONTROL!$C$42, 7.213, 7.213) * CHOOSE(CONTROL!$C$21, $C$9, 100%, $E$9)</f>
        <v>7.2130000000000001</v>
      </c>
      <c r="P98" s="14">
        <f>CHOOSE(CONTROL!$C$42, 7.1496, 7.1496) * CHOOSE(CONTROL!$C$21, $C$9, 100%, $E$9)</f>
        <v>7.1496000000000004</v>
      </c>
      <c r="Q98" s="14">
        <f>CHOOSE(CONTROL!$C$42, 7.8077, 7.8077) * CHOOSE(CONTROL!$C$21, $C$9, 100%, $E$9)</f>
        <v>7.8076999999999996</v>
      </c>
      <c r="R98" s="14">
        <f>CHOOSE(CONTROL!$C$42, 8.4143, 8.4143) * CHOOSE(CONTROL!$C$21, $C$9, 100%, $E$9)</f>
        <v>8.4143000000000008</v>
      </c>
      <c r="S98" s="14">
        <f>CHOOSE(CONTROL!$C$42, 6.9688, 6.9688) * CHOOSE(CONTROL!$C$21, $C$9, 100%, $E$9)</f>
        <v>6.9687999999999999</v>
      </c>
      <c r="T98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8" s="57">
        <f>(1000*CHOOSE(CONTROL!$C$42, 695, 695)*CHOOSE(CONTROL!$C$42, 0.5599, 0.5599)*CHOOSE(CONTROL!$C$42, 29, 29))/1000000</f>
        <v>11.284784499999999</v>
      </c>
      <c r="V98" s="57">
        <f>(1000*CHOOSE(CONTROL!$C$42, 500, 500)*CHOOSE(CONTROL!$C$42, 0.275, 0.275)*CHOOSE(CONTROL!$C$42, 29, 29))/1000000</f>
        <v>3.9874999999999998</v>
      </c>
      <c r="W98" s="57">
        <f>(1000*CHOOSE(CONTROL!$C$42, 0.1146, 0.1146)*CHOOSE(CONTROL!$C$42, 121.5, 121.5)*CHOOSE(CONTROL!$C$42, 29, 29))/1000000</f>
        <v>0.40379309999999996</v>
      </c>
      <c r="X98" s="57">
        <f>(29*0.1790888*100000/1000000)+(29*0.2374*100000/1000000)</f>
        <v>1.2078175199999999</v>
      </c>
      <c r="Y98" s="57"/>
      <c r="Z98" s="14"/>
      <c r="AA98" s="56"/>
      <c r="AB98" s="50">
        <f>(B98*122.58+C98*297.941+D98*89.177+E98*40.302+F98*40+G98*160+H98*0+I98*100+J98*300)/(122.58+297.941+89.177+40.302+0+40+160+100+300)</f>
        <v>7.2693622137391296</v>
      </c>
      <c r="AC98" s="45">
        <f>(M98*'RAP TEMPLATE-GAS AVAILABILITY'!O97+N98*'RAP TEMPLATE-GAS AVAILABILITY'!P97+O98*'RAP TEMPLATE-GAS AVAILABILITY'!Q97+P98*'RAP TEMPLATE-GAS AVAILABILITY'!R97)/('RAP TEMPLATE-GAS AVAILABILITY'!O97+'RAP TEMPLATE-GAS AVAILABILITY'!P97+'RAP TEMPLATE-GAS AVAILABILITY'!Q97+'RAP TEMPLATE-GAS AVAILABILITY'!R97)</f>
        <v>7.1596302158273382</v>
      </c>
    </row>
    <row r="99" spans="1:29" ht="15.75" x14ac:dyDescent="0.25">
      <c r="A99" s="13">
        <v>43891</v>
      </c>
      <c r="B99" s="14">
        <f>CHOOSE(CONTROL!$C$42, 7.0699, 7.0699) * CHOOSE(CONTROL!$C$21, $C$9, 100%, $E$9)</f>
        <v>7.0698999999999996</v>
      </c>
      <c r="C99" s="14">
        <f>CHOOSE(CONTROL!$C$42, 7.075, 7.075) * CHOOSE(CONTROL!$C$21, $C$9, 100%, $E$9)</f>
        <v>7.0750000000000002</v>
      </c>
      <c r="D99" s="14">
        <f>CHOOSE(CONTROL!$C$42, 7.1414, 7.1414) * CHOOSE(CONTROL!$C$21, $C$9, 100%, $E$9)</f>
        <v>7.1414</v>
      </c>
      <c r="E99" s="14">
        <f>CHOOSE(CONTROL!$C$42, 7.1755, 7.1755) * CHOOSE(CONTROL!$C$21, $C$9, 100%, $E$9)</f>
        <v>7.1755000000000004</v>
      </c>
      <c r="F99" s="14">
        <f>CHOOSE(CONTROL!$C$42, 7.0569, 7.0569)*CHOOSE(CONTROL!$C$21, $C$9, 100%, $E$9)</f>
        <v>7.0568999999999997</v>
      </c>
      <c r="G99" s="14">
        <f>CHOOSE(CONTROL!$C$42, 7.0723, 7.0723)*CHOOSE(CONTROL!$C$21, $C$9, 100%, $E$9)</f>
        <v>7.0723000000000003</v>
      </c>
      <c r="H99" s="14">
        <f>CHOOSE(CONTROL!$C$42, 7.1647, 7.1647) * CHOOSE(CONTROL!$C$21, $C$9, 100%, $E$9)</f>
        <v>7.1646999999999998</v>
      </c>
      <c r="I99" s="14">
        <f>CHOOSE(CONTROL!$C$42, 7.0997, 7.0997)* CHOOSE(CONTROL!$C$21, $C$9, 100%, $E$9)</f>
        <v>7.0997000000000003</v>
      </c>
      <c r="J99" s="14">
        <f>CHOOSE(CONTROL!$C$42, 7.0499, 7.0499)* CHOOSE(CONTROL!$C$21, $C$9, 100%, $E$9)</f>
        <v>7.0499000000000001</v>
      </c>
      <c r="K99" s="53">
        <f>CHOOSE(CONTROL!$C$42, 7.0958, 7.0958) * CHOOSE(CONTROL!$C$21, $C$9, 100%, $E$9)</f>
        <v>7.0957999999999997</v>
      </c>
      <c r="L99" s="14">
        <f>CHOOSE(CONTROL!$C$42, 7.7517, 7.7517) * CHOOSE(CONTROL!$C$21, $C$9, 100%, $E$9)</f>
        <v>7.7516999999999996</v>
      </c>
      <c r="M99" s="14">
        <f>CHOOSE(CONTROL!$C$42, 6.9132, 6.9132) * CHOOSE(CONTROL!$C$21, $C$9, 100%, $E$9)</f>
        <v>6.9131999999999998</v>
      </c>
      <c r="N99" s="14">
        <f>CHOOSE(CONTROL!$C$42, 6.9283, 6.9283) * CHOOSE(CONTROL!$C$21, $C$9, 100%, $E$9)</f>
        <v>6.9283000000000001</v>
      </c>
      <c r="O99" s="14">
        <f>CHOOSE(CONTROL!$C$42, 7.0256, 7.0256) * CHOOSE(CONTROL!$C$21, $C$9, 100%, $E$9)</f>
        <v>7.0255999999999998</v>
      </c>
      <c r="P99" s="14">
        <f>CHOOSE(CONTROL!$C$42, 6.9616, 6.9616) * CHOOSE(CONTROL!$C$21, $C$9, 100%, $E$9)</f>
        <v>6.9615999999999998</v>
      </c>
      <c r="Q99" s="14">
        <f>CHOOSE(CONTROL!$C$42, 7.6203, 7.6203) * CHOOSE(CONTROL!$C$21, $C$9, 100%, $E$9)</f>
        <v>7.6203000000000003</v>
      </c>
      <c r="R99" s="14">
        <f>CHOOSE(CONTROL!$C$42, 8.2264, 8.2264) * CHOOSE(CONTROL!$C$21, $C$9, 100%, $E$9)</f>
        <v>8.2263999999999999</v>
      </c>
      <c r="S99" s="14">
        <f>CHOOSE(CONTROL!$C$42, 6.785, 6.785) * CHOOSE(CONTROL!$C$21, $C$9, 100%, $E$9)</f>
        <v>6.7850000000000001</v>
      </c>
      <c r="T9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9" s="57">
        <f>(1000*CHOOSE(CONTROL!$C$42, 695, 695)*CHOOSE(CONTROL!$C$42, 0.5599, 0.5599)*CHOOSE(CONTROL!$C$42, 31, 31))/1000000</f>
        <v>12.063045499999998</v>
      </c>
      <c r="V99" s="57">
        <f>(1000*CHOOSE(CONTROL!$C$42, 500, 500)*CHOOSE(CONTROL!$C$42, 0.275, 0.275)*CHOOSE(CONTROL!$C$42, 31, 31))/1000000</f>
        <v>4.2625000000000002</v>
      </c>
      <c r="W99" s="57">
        <f>(1000*CHOOSE(CONTROL!$C$42, 0.1146, 0.1146)*CHOOSE(CONTROL!$C$42, 121.5, 121.5)*CHOOSE(CONTROL!$C$42, 31, 31))/1000000</f>
        <v>0.43164089999999994</v>
      </c>
      <c r="X99" s="57">
        <f>(31*0.1790888*100000/1000000)+(31*0.2374*100000/1000000)</f>
        <v>1.2911152800000001</v>
      </c>
      <c r="Y99" s="57"/>
      <c r="Z99" s="14"/>
      <c r="AA99" s="56"/>
      <c r="AB99" s="50">
        <f>(B99*122.58+C99*297.941+D99*89.177+E99*40.302+F99*40+G99*160+H99*0+I99*100+J99*300)/(122.58+297.941+89.177+40.302+0+40+160+100+300)</f>
        <v>7.0777222137391309</v>
      </c>
      <c r="AC99" s="45">
        <f>(M99*'RAP TEMPLATE-GAS AVAILABILITY'!O98+N99*'RAP TEMPLATE-GAS AVAILABILITY'!P98+O99*'RAP TEMPLATE-GAS AVAILABILITY'!Q98+P99*'RAP TEMPLATE-GAS AVAILABILITY'!R98)/('RAP TEMPLATE-GAS AVAILABILITY'!O98+'RAP TEMPLATE-GAS AVAILABILITY'!P98+'RAP TEMPLATE-GAS AVAILABILITY'!Q98+'RAP TEMPLATE-GAS AVAILABILITY'!R98)</f>
        <v>6.9719769784172652</v>
      </c>
    </row>
    <row r="100" spans="1:29" ht="15.75" x14ac:dyDescent="0.25">
      <c r="A100" s="13">
        <v>43922</v>
      </c>
      <c r="B100" s="14">
        <f>CHOOSE(CONTROL!$C$42, 7.0645, 7.0645) * CHOOSE(CONTROL!$C$21, $C$9, 100%, $E$9)</f>
        <v>7.0644999999999998</v>
      </c>
      <c r="C100" s="14">
        <f>CHOOSE(CONTROL!$C$42, 7.069, 7.069) * CHOOSE(CONTROL!$C$21, $C$9, 100%, $E$9)</f>
        <v>7.069</v>
      </c>
      <c r="D100" s="14">
        <f>CHOOSE(CONTROL!$C$42, 7.276, 7.276) * CHOOSE(CONTROL!$C$21, $C$9, 100%, $E$9)</f>
        <v>7.2759999999999998</v>
      </c>
      <c r="E100" s="14">
        <f>CHOOSE(CONTROL!$C$42, 7.3081, 7.3081) * CHOOSE(CONTROL!$C$21, $C$9, 100%, $E$9)</f>
        <v>7.3080999999999996</v>
      </c>
      <c r="F100" s="14">
        <f>CHOOSE(CONTROL!$C$42, 7.0463, 7.0463)*CHOOSE(CONTROL!$C$21, $C$9, 100%, $E$9)</f>
        <v>7.0462999999999996</v>
      </c>
      <c r="G100" s="14">
        <f>CHOOSE(CONTROL!$C$42, 7.0615, 7.0615)*CHOOSE(CONTROL!$C$21, $C$9, 100%, $E$9)</f>
        <v>7.0614999999999997</v>
      </c>
      <c r="H100" s="14">
        <f>CHOOSE(CONTROL!$C$42, 7.2979, 7.2979) * CHOOSE(CONTROL!$C$21, $C$9, 100%, $E$9)</f>
        <v>7.2979000000000003</v>
      </c>
      <c r="I100" s="14">
        <f>CHOOSE(CONTROL!$C$42, 7.0934, 7.0934)* CHOOSE(CONTROL!$C$21, $C$9, 100%, $E$9)</f>
        <v>7.0933999999999999</v>
      </c>
      <c r="J100" s="14">
        <f>CHOOSE(CONTROL!$C$42, 7.0393, 7.0393)* CHOOSE(CONTROL!$C$21, $C$9, 100%, $E$9)</f>
        <v>7.0392999999999999</v>
      </c>
      <c r="K100" s="53">
        <f>CHOOSE(CONTROL!$C$42, 7.0895, 7.0895) * CHOOSE(CONTROL!$C$21, $C$9, 100%, $E$9)</f>
        <v>7.0895000000000001</v>
      </c>
      <c r="L100" s="14">
        <f>CHOOSE(CONTROL!$C$42, 7.8849, 7.8849) * CHOOSE(CONTROL!$C$21, $C$9, 100%, $E$9)</f>
        <v>7.8849</v>
      </c>
      <c r="M100" s="14">
        <f>CHOOSE(CONTROL!$C$42, 6.9028, 6.9028) * CHOOSE(CONTROL!$C$21, $C$9, 100%, $E$9)</f>
        <v>6.9028</v>
      </c>
      <c r="N100" s="14">
        <f>CHOOSE(CONTROL!$C$42, 6.9177, 6.9177) * CHOOSE(CONTROL!$C$21, $C$9, 100%, $E$9)</f>
        <v>6.9177</v>
      </c>
      <c r="O100" s="14">
        <f>CHOOSE(CONTROL!$C$42, 7.1561, 7.1561) * CHOOSE(CONTROL!$C$21, $C$9, 100%, $E$9)</f>
        <v>7.1561000000000003</v>
      </c>
      <c r="P100" s="14">
        <f>CHOOSE(CONTROL!$C$42, 6.9554, 6.9554) * CHOOSE(CONTROL!$C$21, $C$9, 100%, $E$9)</f>
        <v>6.9554</v>
      </c>
      <c r="Q100" s="14">
        <f>CHOOSE(CONTROL!$C$42, 7.7508, 7.7508) * CHOOSE(CONTROL!$C$21, $C$9, 100%, $E$9)</f>
        <v>7.7507999999999999</v>
      </c>
      <c r="R100" s="14">
        <f>CHOOSE(CONTROL!$C$42, 8.3572, 8.3572) * CHOOSE(CONTROL!$C$21, $C$9, 100%, $E$9)</f>
        <v>8.3572000000000006</v>
      </c>
      <c r="S100" s="14">
        <f>CHOOSE(CONTROL!$C$42, 6.779, 6.779) * CHOOSE(CONTROL!$C$21, $C$9, 100%, $E$9)</f>
        <v>6.7789999999999999</v>
      </c>
      <c r="T10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0" s="57">
        <f>(1000*CHOOSE(CONTROL!$C$42, 695, 695)*CHOOSE(CONTROL!$C$42, 0.5599, 0.5599)*CHOOSE(CONTROL!$C$42, 30, 30))/1000000</f>
        <v>11.673914999999997</v>
      </c>
      <c r="V100" s="57">
        <f>(1000*CHOOSE(CONTROL!$C$42, 500, 500)*CHOOSE(CONTROL!$C$42, 0.275, 0.275)*CHOOSE(CONTROL!$C$42, 30, 30))/1000000</f>
        <v>4.125</v>
      </c>
      <c r="W100" s="57">
        <f>(1000*CHOOSE(CONTROL!$C$42, 0.1146, 0.1146)*CHOOSE(CONTROL!$C$42, 121.5, 121.5)*CHOOSE(CONTROL!$C$42, 30, 30))/1000000</f>
        <v>0.417717</v>
      </c>
      <c r="X100" s="57">
        <f>(30*0.1790888*245000/1000000)+(30*0.2374*100000/1000000)</f>
        <v>2.0285026799999999</v>
      </c>
      <c r="Y100" s="57"/>
      <c r="Z100" s="14"/>
      <c r="AA100" s="56"/>
      <c r="AB100" s="50">
        <f>(B100*141.293+C100*267.993+D100*115.016+E100*89.698+F100*40+G100*185+H100*0+I100*100+J100*300)/(141.293+267.993+115.016+89.698+0+40+185+100+300)</f>
        <v>7.0979376798224374</v>
      </c>
      <c r="AC100" s="45">
        <f>(M100*'RAP TEMPLATE-GAS AVAILABILITY'!O99+N100*'RAP TEMPLATE-GAS AVAILABILITY'!P99+O100*'RAP TEMPLATE-GAS AVAILABILITY'!Q99+P100*'RAP TEMPLATE-GAS AVAILABILITY'!R99)/('RAP TEMPLATE-GAS AVAILABILITY'!O99+'RAP TEMPLATE-GAS AVAILABILITY'!P99+'RAP TEMPLATE-GAS AVAILABILITY'!Q99+'RAP TEMPLATE-GAS AVAILABILITY'!R99)</f>
        <v>6.9848683453237417</v>
      </c>
    </row>
    <row r="101" spans="1:29" ht="15.75" x14ac:dyDescent="0.25">
      <c r="A101" s="13">
        <v>43952</v>
      </c>
      <c r="B101" s="14">
        <f>CHOOSE(CONTROL!$C$42, 7.1428, 7.1428) * CHOOSE(CONTROL!$C$21, $C$9, 100%, $E$9)</f>
        <v>7.1428000000000003</v>
      </c>
      <c r="C101" s="14">
        <f>CHOOSE(CONTROL!$C$42, 7.1508, 7.1508) * CHOOSE(CONTROL!$C$21, $C$9, 100%, $E$9)</f>
        <v>7.1508000000000003</v>
      </c>
      <c r="D101" s="14">
        <f>CHOOSE(CONTROL!$C$42, 7.3547, 7.3547) * CHOOSE(CONTROL!$C$21, $C$9, 100%, $E$9)</f>
        <v>7.3547000000000002</v>
      </c>
      <c r="E101" s="14">
        <f>CHOOSE(CONTROL!$C$42, 7.3862, 7.3862) * CHOOSE(CONTROL!$C$21, $C$9, 100%, $E$9)</f>
        <v>7.3861999999999997</v>
      </c>
      <c r="F101" s="14">
        <f>CHOOSE(CONTROL!$C$42, 7.1235, 7.1235)*CHOOSE(CONTROL!$C$21, $C$9, 100%, $E$9)</f>
        <v>7.1234999999999999</v>
      </c>
      <c r="G101" s="14">
        <f>CHOOSE(CONTROL!$C$42, 7.1392, 7.1392)*CHOOSE(CONTROL!$C$21, $C$9, 100%, $E$9)</f>
        <v>7.1391999999999998</v>
      </c>
      <c r="H101" s="14">
        <f>CHOOSE(CONTROL!$C$42, 7.3748, 7.3748) * CHOOSE(CONTROL!$C$21, $C$9, 100%, $E$9)</f>
        <v>7.3747999999999996</v>
      </c>
      <c r="I101" s="14">
        <f>CHOOSE(CONTROL!$C$42, 7.1706, 7.1706)* CHOOSE(CONTROL!$C$21, $C$9, 100%, $E$9)</f>
        <v>7.1706000000000003</v>
      </c>
      <c r="J101" s="14">
        <f>CHOOSE(CONTROL!$C$42, 7.1165, 7.1165)* CHOOSE(CONTROL!$C$21, $C$9, 100%, $E$9)</f>
        <v>7.1165000000000003</v>
      </c>
      <c r="K101" s="53">
        <f>CHOOSE(CONTROL!$C$42, 7.1667, 7.1667) * CHOOSE(CONTROL!$C$21, $C$9, 100%, $E$9)</f>
        <v>7.1666999999999996</v>
      </c>
      <c r="L101" s="14">
        <f>CHOOSE(CONTROL!$C$42, 7.9618, 7.9618) * CHOOSE(CONTROL!$C$21, $C$9, 100%, $E$9)</f>
        <v>7.9618000000000002</v>
      </c>
      <c r="M101" s="14">
        <f>CHOOSE(CONTROL!$C$42, 6.9784, 6.9784) * CHOOSE(CONTROL!$C$21, $C$9, 100%, $E$9)</f>
        <v>6.9783999999999997</v>
      </c>
      <c r="N101" s="14">
        <f>CHOOSE(CONTROL!$C$42, 6.9937, 6.9937) * CHOOSE(CONTROL!$C$21, $C$9, 100%, $E$9)</f>
        <v>6.9936999999999996</v>
      </c>
      <c r="O101" s="14">
        <f>CHOOSE(CONTROL!$C$42, 7.2314, 7.2314) * CHOOSE(CONTROL!$C$21, $C$9, 100%, $E$9)</f>
        <v>7.2313999999999998</v>
      </c>
      <c r="P101" s="14">
        <f>CHOOSE(CONTROL!$C$42, 7.031, 7.031) * CHOOSE(CONTROL!$C$21, $C$9, 100%, $E$9)</f>
        <v>7.0309999999999997</v>
      </c>
      <c r="Q101" s="14">
        <f>CHOOSE(CONTROL!$C$42, 7.8261, 7.8261) * CHOOSE(CONTROL!$C$21, $C$9, 100%, $E$9)</f>
        <v>7.8261000000000003</v>
      </c>
      <c r="R101" s="14">
        <f>CHOOSE(CONTROL!$C$42, 8.4327, 8.4327) * CHOOSE(CONTROL!$C$21, $C$9, 100%, $E$9)</f>
        <v>8.4327000000000005</v>
      </c>
      <c r="S101" s="14">
        <f>CHOOSE(CONTROL!$C$42, 6.8529, 6.8529) * CHOOSE(CONTROL!$C$21, $C$9, 100%, $E$9)</f>
        <v>6.8529</v>
      </c>
      <c r="T10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1" s="57">
        <f>(1000*CHOOSE(CONTROL!$C$42, 695, 695)*CHOOSE(CONTROL!$C$42, 0.5599, 0.5599)*CHOOSE(CONTROL!$C$42, 31, 31))/1000000</f>
        <v>12.063045499999998</v>
      </c>
      <c r="V101" s="57">
        <f>(1000*CHOOSE(CONTROL!$C$42, 500, 500)*CHOOSE(CONTROL!$C$42, 0.275, 0.275)*CHOOSE(CONTROL!$C$42, 31, 31))/1000000</f>
        <v>4.2625000000000002</v>
      </c>
      <c r="W101" s="57">
        <f>(1000*CHOOSE(CONTROL!$C$42, 0.1146, 0.1146)*CHOOSE(CONTROL!$C$42, 121.5, 121.5)*CHOOSE(CONTROL!$C$42, 31, 31))/1000000</f>
        <v>0.43164089999999994</v>
      </c>
      <c r="X101" s="57">
        <f>(31*0.1790888*245000/1000000)+(31*0.2374*100000/1000000)</f>
        <v>2.0961194359999999</v>
      </c>
      <c r="Y101" s="57"/>
      <c r="Z101" s="14"/>
      <c r="AA101" s="56"/>
      <c r="AB101" s="50">
        <f>(B101*194.205+C101*267.466+D101*133.845+E101*53.484+F101*40+G101*185+H101*0+I101*100+J101*300)/(194.205+267.466+133.845+53.484+0+40+185+100+300)</f>
        <v>7.1718200071428573</v>
      </c>
      <c r="AC101" s="45">
        <f>(M101*'RAP TEMPLATE-GAS AVAILABILITY'!O100+N101*'RAP TEMPLATE-GAS AVAILABILITY'!P100+O101*'RAP TEMPLATE-GAS AVAILABILITY'!Q100+P101*'RAP TEMPLATE-GAS AVAILABILITY'!R100)/('RAP TEMPLATE-GAS AVAILABILITY'!O100+'RAP TEMPLATE-GAS AVAILABILITY'!P100+'RAP TEMPLATE-GAS AVAILABILITY'!Q100+'RAP TEMPLATE-GAS AVAILABILITY'!R100)</f>
        <v>7.0604762589928072</v>
      </c>
    </row>
    <row r="102" spans="1:29" ht="15.75" x14ac:dyDescent="0.25">
      <c r="A102" s="13">
        <v>43983</v>
      </c>
      <c r="B102" s="14">
        <f>CHOOSE(CONTROL!$C$42, 7.3601, 7.3601) * CHOOSE(CONTROL!$C$21, $C$9, 100%, $E$9)</f>
        <v>7.3601000000000001</v>
      </c>
      <c r="C102" s="14">
        <f>CHOOSE(CONTROL!$C$42, 7.3682, 7.3682) * CHOOSE(CONTROL!$C$21, $C$9, 100%, $E$9)</f>
        <v>7.3681999999999999</v>
      </c>
      <c r="D102" s="14">
        <f>CHOOSE(CONTROL!$C$42, 7.5721, 7.5721) * CHOOSE(CONTROL!$C$21, $C$9, 100%, $E$9)</f>
        <v>7.5720999999999998</v>
      </c>
      <c r="E102" s="14">
        <f>CHOOSE(CONTROL!$C$42, 7.6036, 7.6036) * CHOOSE(CONTROL!$C$21, $C$9, 100%, $E$9)</f>
        <v>7.6036000000000001</v>
      </c>
      <c r="F102" s="14">
        <f>CHOOSE(CONTROL!$C$42, 7.3413, 7.3413)*CHOOSE(CONTROL!$C$21, $C$9, 100%, $E$9)</f>
        <v>7.3413000000000004</v>
      </c>
      <c r="G102" s="14">
        <f>CHOOSE(CONTROL!$C$42, 7.3571, 7.3571)*CHOOSE(CONTROL!$C$21, $C$9, 100%, $E$9)</f>
        <v>7.3571</v>
      </c>
      <c r="H102" s="14">
        <f>CHOOSE(CONTROL!$C$42, 7.5922, 7.5922) * CHOOSE(CONTROL!$C$21, $C$9, 100%, $E$9)</f>
        <v>7.5922000000000001</v>
      </c>
      <c r="I102" s="14">
        <f>CHOOSE(CONTROL!$C$42, 7.3886, 7.3886)* CHOOSE(CONTROL!$C$21, $C$9, 100%, $E$9)</f>
        <v>7.3886000000000003</v>
      </c>
      <c r="J102" s="14">
        <f>CHOOSE(CONTROL!$C$42, 7.3343, 7.3343)* CHOOSE(CONTROL!$C$21, $C$9, 100%, $E$9)</f>
        <v>7.3342999999999998</v>
      </c>
      <c r="K102" s="53">
        <f>CHOOSE(CONTROL!$C$42, 7.3847, 7.3847) * CHOOSE(CONTROL!$C$21, $C$9, 100%, $E$9)</f>
        <v>7.3846999999999996</v>
      </c>
      <c r="L102" s="14">
        <f>CHOOSE(CONTROL!$C$42, 8.1792, 8.1792) * CHOOSE(CONTROL!$C$21, $C$9, 100%, $E$9)</f>
        <v>8.1791999999999998</v>
      </c>
      <c r="M102" s="14">
        <f>CHOOSE(CONTROL!$C$42, 7.1917, 7.1917) * CHOOSE(CONTROL!$C$21, $C$9, 100%, $E$9)</f>
        <v>7.1917</v>
      </c>
      <c r="N102" s="14">
        <f>CHOOSE(CONTROL!$C$42, 7.2072, 7.2072) * CHOOSE(CONTROL!$C$21, $C$9, 100%, $E$9)</f>
        <v>7.2072000000000003</v>
      </c>
      <c r="O102" s="14">
        <f>CHOOSE(CONTROL!$C$42, 7.4443, 7.4443) * CHOOSE(CONTROL!$C$21, $C$9, 100%, $E$9)</f>
        <v>7.4443000000000001</v>
      </c>
      <c r="P102" s="14">
        <f>CHOOSE(CONTROL!$C$42, 7.2446, 7.2446) * CHOOSE(CONTROL!$C$21, $C$9, 100%, $E$9)</f>
        <v>7.2446000000000002</v>
      </c>
      <c r="Q102" s="14">
        <f>CHOOSE(CONTROL!$C$42, 8.039, 8.039) * CHOOSE(CONTROL!$C$21, $C$9, 100%, $E$9)</f>
        <v>8.0389999999999997</v>
      </c>
      <c r="R102" s="14">
        <f>CHOOSE(CONTROL!$C$42, 8.6461, 8.6461) * CHOOSE(CONTROL!$C$21, $C$9, 100%, $E$9)</f>
        <v>8.6461000000000006</v>
      </c>
      <c r="S102" s="14">
        <f>CHOOSE(CONTROL!$C$42, 7.0617, 7.0617) * CHOOSE(CONTROL!$C$21, $C$9, 100%, $E$9)</f>
        <v>7.0617000000000001</v>
      </c>
      <c r="T10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2" s="57">
        <f>(1000*CHOOSE(CONTROL!$C$42, 695, 695)*CHOOSE(CONTROL!$C$42, 0.5599, 0.5599)*CHOOSE(CONTROL!$C$42, 30, 30))/1000000</f>
        <v>11.673914999999997</v>
      </c>
      <c r="V102" s="57">
        <f>(1000*CHOOSE(CONTROL!$C$42, 500, 500)*CHOOSE(CONTROL!$C$42, 0.275, 0.275)*CHOOSE(CONTROL!$C$42, 30, 30))/1000000</f>
        <v>4.125</v>
      </c>
      <c r="W102" s="57">
        <f>(1000*CHOOSE(CONTROL!$C$42, 0.1146, 0.1146)*CHOOSE(CONTROL!$C$42, 121.5, 121.5)*CHOOSE(CONTROL!$C$42, 30, 30))/1000000</f>
        <v>0.417717</v>
      </c>
      <c r="X102" s="57">
        <f>(30*0.1790888*245000/1000000)+(30*0.2374*100000/1000000)</f>
        <v>2.0285026799999999</v>
      </c>
      <c r="Y102" s="57"/>
      <c r="Z102" s="14"/>
      <c r="AA102" s="56"/>
      <c r="AB102" s="50">
        <f>(B102*194.205+C102*267.466+D102*133.845+E102*53.484+F102*40+G102*185+H102*0+I102*100+J102*300)/(194.205+267.466+133.845+53.484+0+40+185+100+300)</f>
        <v>7.3894312155416015</v>
      </c>
      <c r="AC102" s="45">
        <f>(M102*'RAP TEMPLATE-GAS AVAILABILITY'!O101+N102*'RAP TEMPLATE-GAS AVAILABILITY'!P101+O102*'RAP TEMPLATE-GAS AVAILABILITY'!Q101+P102*'RAP TEMPLATE-GAS AVAILABILITY'!R101)/('RAP TEMPLATE-GAS AVAILABILITY'!O101+'RAP TEMPLATE-GAS AVAILABILITY'!P101+'RAP TEMPLATE-GAS AVAILABILITY'!Q101+'RAP TEMPLATE-GAS AVAILABILITY'!R101)</f>
        <v>7.2737532374100722</v>
      </c>
    </row>
    <row r="103" spans="1:29" ht="15.75" x14ac:dyDescent="0.25">
      <c r="A103" s="13">
        <v>44013</v>
      </c>
      <c r="B103" s="14">
        <f>CHOOSE(CONTROL!$C$42, 7.234, 7.234) * CHOOSE(CONTROL!$C$21, $C$9, 100%, $E$9)</f>
        <v>7.234</v>
      </c>
      <c r="C103" s="14">
        <f>CHOOSE(CONTROL!$C$42, 7.2421, 7.2421) * CHOOSE(CONTROL!$C$21, $C$9, 100%, $E$9)</f>
        <v>7.2420999999999998</v>
      </c>
      <c r="D103" s="14">
        <f>CHOOSE(CONTROL!$C$42, 7.446, 7.446) * CHOOSE(CONTROL!$C$21, $C$9, 100%, $E$9)</f>
        <v>7.4459999999999997</v>
      </c>
      <c r="E103" s="14">
        <f>CHOOSE(CONTROL!$C$42, 7.4774, 7.4774) * CHOOSE(CONTROL!$C$21, $C$9, 100%, $E$9)</f>
        <v>7.4774000000000003</v>
      </c>
      <c r="F103" s="14">
        <f>CHOOSE(CONTROL!$C$42, 7.2156, 7.2156)*CHOOSE(CONTROL!$C$21, $C$9, 100%, $E$9)</f>
        <v>7.2156000000000002</v>
      </c>
      <c r="G103" s="14">
        <f>CHOOSE(CONTROL!$C$42, 7.2315, 7.2315)*CHOOSE(CONTROL!$C$21, $C$9, 100%, $E$9)</f>
        <v>7.2314999999999996</v>
      </c>
      <c r="H103" s="14">
        <f>CHOOSE(CONTROL!$C$42, 7.4661, 7.4661) * CHOOSE(CONTROL!$C$21, $C$9, 100%, $E$9)</f>
        <v>7.4661</v>
      </c>
      <c r="I103" s="14">
        <f>CHOOSE(CONTROL!$C$42, 7.2621, 7.2621)* CHOOSE(CONTROL!$C$21, $C$9, 100%, $E$9)</f>
        <v>7.2621000000000002</v>
      </c>
      <c r="J103" s="14">
        <f>CHOOSE(CONTROL!$C$42, 7.2086, 7.2086)* CHOOSE(CONTROL!$C$21, $C$9, 100%, $E$9)</f>
        <v>7.2085999999999997</v>
      </c>
      <c r="K103" s="53">
        <f>CHOOSE(CONTROL!$C$42, 7.2582, 7.2582) * CHOOSE(CONTROL!$C$21, $C$9, 100%, $E$9)</f>
        <v>7.2582000000000004</v>
      </c>
      <c r="L103" s="14">
        <f>CHOOSE(CONTROL!$C$42, 8.0531, 8.0531) * CHOOSE(CONTROL!$C$21, $C$9, 100%, $E$9)</f>
        <v>8.0531000000000006</v>
      </c>
      <c r="M103" s="14">
        <f>CHOOSE(CONTROL!$C$42, 7.0686, 7.0686) * CHOOSE(CONTROL!$C$21, $C$9, 100%, $E$9)</f>
        <v>7.0686</v>
      </c>
      <c r="N103" s="14">
        <f>CHOOSE(CONTROL!$C$42, 7.0842, 7.0842) * CHOOSE(CONTROL!$C$21, $C$9, 100%, $E$9)</f>
        <v>7.0842000000000001</v>
      </c>
      <c r="O103" s="14">
        <f>CHOOSE(CONTROL!$C$42, 7.3208, 7.3208) * CHOOSE(CONTROL!$C$21, $C$9, 100%, $E$9)</f>
        <v>7.3208000000000002</v>
      </c>
      <c r="P103" s="14">
        <f>CHOOSE(CONTROL!$C$42, 7.1206, 7.1206) * CHOOSE(CONTROL!$C$21, $C$9, 100%, $E$9)</f>
        <v>7.1205999999999996</v>
      </c>
      <c r="Q103" s="14">
        <f>CHOOSE(CONTROL!$C$42, 7.9155, 7.9155) * CHOOSE(CONTROL!$C$21, $C$9, 100%, $E$9)</f>
        <v>7.9154999999999998</v>
      </c>
      <c r="R103" s="14">
        <f>CHOOSE(CONTROL!$C$42, 8.5223, 8.5223) * CHOOSE(CONTROL!$C$21, $C$9, 100%, $E$9)</f>
        <v>8.5222999999999995</v>
      </c>
      <c r="S103" s="14">
        <f>CHOOSE(CONTROL!$C$42, 6.9405, 6.9405) * CHOOSE(CONTROL!$C$21, $C$9, 100%, $E$9)</f>
        <v>6.9405000000000001</v>
      </c>
      <c r="T10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3" s="57">
        <f>(1000*CHOOSE(CONTROL!$C$42, 695, 695)*CHOOSE(CONTROL!$C$42, 0.5599, 0.5599)*CHOOSE(CONTROL!$C$42, 31, 31))/1000000</f>
        <v>12.063045499999998</v>
      </c>
      <c r="V103" s="57">
        <f>(1000*CHOOSE(CONTROL!$C$42, 500, 500)*CHOOSE(CONTROL!$C$42, 0.275, 0.275)*CHOOSE(CONTROL!$C$42, 31, 31))/1000000</f>
        <v>4.2625000000000002</v>
      </c>
      <c r="W103" s="57">
        <f>(1000*CHOOSE(CONTROL!$C$42, 0.1146, 0.1146)*CHOOSE(CONTROL!$C$42, 121.5, 121.5)*CHOOSE(CONTROL!$C$42, 31, 31))/1000000</f>
        <v>0.43164089999999994</v>
      </c>
      <c r="X103" s="57">
        <f>(31*0.1790888*245000/1000000)+(31*0.2374*100000/1000000)</f>
        <v>2.0961194359999999</v>
      </c>
      <c r="Y103" s="57"/>
      <c r="Z103" s="14"/>
      <c r="AA103" s="56"/>
      <c r="AB103" s="50">
        <f>(B103*194.205+C103*267.466+D103*133.845+E103*53.484+F103*40+G103*185+H103*0+I103*100+J103*300)/(194.205+267.466+133.845+53.484+0+40+185+100+300)</f>
        <v>7.2634749766091051</v>
      </c>
      <c r="AC103" s="45">
        <f>(M103*'RAP TEMPLATE-GAS AVAILABILITY'!O102+N103*'RAP TEMPLATE-GAS AVAILABILITY'!P102+O103*'RAP TEMPLATE-GAS AVAILABILITY'!Q102+P103*'RAP TEMPLATE-GAS AVAILABILITY'!R102)/('RAP TEMPLATE-GAS AVAILABILITY'!O102+'RAP TEMPLATE-GAS AVAILABILITY'!P102+'RAP TEMPLATE-GAS AVAILABILITY'!Q102+'RAP TEMPLATE-GAS AVAILABILITY'!R102)</f>
        <v>7.1504345323741001</v>
      </c>
    </row>
    <row r="104" spans="1:29" ht="15.75" x14ac:dyDescent="0.25">
      <c r="A104" s="13">
        <v>44044</v>
      </c>
      <c r="B104" s="14">
        <f>CHOOSE(CONTROL!$C$42, 6.8914, 6.8914) * CHOOSE(CONTROL!$C$21, $C$9, 100%, $E$9)</f>
        <v>6.8914</v>
      </c>
      <c r="C104" s="14">
        <f>CHOOSE(CONTROL!$C$42, 6.8995, 6.8995) * CHOOSE(CONTROL!$C$21, $C$9, 100%, $E$9)</f>
        <v>6.8994999999999997</v>
      </c>
      <c r="D104" s="14">
        <f>CHOOSE(CONTROL!$C$42, 7.1034, 7.1034) * CHOOSE(CONTROL!$C$21, $C$9, 100%, $E$9)</f>
        <v>7.1033999999999997</v>
      </c>
      <c r="E104" s="14">
        <f>CHOOSE(CONTROL!$C$42, 7.1349, 7.1349) * CHOOSE(CONTROL!$C$21, $C$9, 100%, $E$9)</f>
        <v>7.1349</v>
      </c>
      <c r="F104" s="14">
        <f>CHOOSE(CONTROL!$C$42, 6.8733, 6.8733)*CHOOSE(CONTROL!$C$21, $C$9, 100%, $E$9)</f>
        <v>6.8733000000000004</v>
      </c>
      <c r="G104" s="14">
        <f>CHOOSE(CONTROL!$C$42, 6.8893, 6.8893)*CHOOSE(CONTROL!$C$21, $C$9, 100%, $E$9)</f>
        <v>6.8893000000000004</v>
      </c>
      <c r="H104" s="14">
        <f>CHOOSE(CONTROL!$C$42, 7.1235, 7.1235) * CHOOSE(CONTROL!$C$21, $C$9, 100%, $E$9)</f>
        <v>7.1234999999999999</v>
      </c>
      <c r="I104" s="14">
        <f>CHOOSE(CONTROL!$C$42, 6.9185, 6.9185)* CHOOSE(CONTROL!$C$21, $C$9, 100%, $E$9)</f>
        <v>6.9184999999999999</v>
      </c>
      <c r="J104" s="14">
        <f>CHOOSE(CONTROL!$C$42, 6.8663, 6.8663)* CHOOSE(CONTROL!$C$21, $C$9, 100%, $E$9)</f>
        <v>6.8662999999999998</v>
      </c>
      <c r="K104" s="53">
        <f>CHOOSE(CONTROL!$C$42, 6.9146, 6.9146) * CHOOSE(CONTROL!$C$21, $C$9, 100%, $E$9)</f>
        <v>6.9146000000000001</v>
      </c>
      <c r="L104" s="14">
        <f>CHOOSE(CONTROL!$C$42, 7.7105, 7.7105) * CHOOSE(CONTROL!$C$21, $C$9, 100%, $E$9)</f>
        <v>7.7104999999999997</v>
      </c>
      <c r="M104" s="14">
        <f>CHOOSE(CONTROL!$C$42, 6.7333, 6.7333) * CHOOSE(CONTROL!$C$21, $C$9, 100%, $E$9)</f>
        <v>6.7332999999999998</v>
      </c>
      <c r="N104" s="14">
        <f>CHOOSE(CONTROL!$C$42, 6.7489, 6.7489) * CHOOSE(CONTROL!$C$21, $C$9, 100%, $E$9)</f>
        <v>6.7488999999999999</v>
      </c>
      <c r="O104" s="14">
        <f>CHOOSE(CONTROL!$C$42, 6.9852, 6.9852) * CHOOSE(CONTROL!$C$21, $C$9, 100%, $E$9)</f>
        <v>6.9851999999999999</v>
      </c>
      <c r="P104" s="14">
        <f>CHOOSE(CONTROL!$C$42, 6.7841, 6.7841) * CHOOSE(CONTROL!$C$21, $C$9, 100%, $E$9)</f>
        <v>6.7840999999999996</v>
      </c>
      <c r="Q104" s="14">
        <f>CHOOSE(CONTROL!$C$42, 7.5799, 7.5799) * CHOOSE(CONTROL!$C$21, $C$9, 100%, $E$9)</f>
        <v>7.5799000000000003</v>
      </c>
      <c r="R104" s="14">
        <f>CHOOSE(CONTROL!$C$42, 8.1859, 8.1859) * CHOOSE(CONTROL!$C$21, $C$9, 100%, $E$9)</f>
        <v>8.1859000000000002</v>
      </c>
      <c r="S104" s="14">
        <f>CHOOSE(CONTROL!$C$42, 6.6114, 6.6114) * CHOOSE(CONTROL!$C$21, $C$9, 100%, $E$9)</f>
        <v>6.6113999999999997</v>
      </c>
      <c r="T10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4" s="57">
        <f>(1000*CHOOSE(CONTROL!$C$42, 695, 695)*CHOOSE(CONTROL!$C$42, 0.5599, 0.5599)*CHOOSE(CONTROL!$C$42, 31, 31))/1000000</f>
        <v>12.063045499999998</v>
      </c>
      <c r="V104" s="57">
        <f>(1000*CHOOSE(CONTROL!$C$42, 500, 500)*CHOOSE(CONTROL!$C$42, 0.275, 0.275)*CHOOSE(CONTROL!$C$42, 31, 31))/1000000</f>
        <v>4.2625000000000002</v>
      </c>
      <c r="W104" s="57">
        <f>(1000*CHOOSE(CONTROL!$C$42, 0.1146, 0.1146)*CHOOSE(CONTROL!$C$42, 121.5, 121.5)*CHOOSE(CONTROL!$C$42, 31, 31))/1000000</f>
        <v>0.43164089999999994</v>
      </c>
      <c r="X104" s="57">
        <f>(31*0.1790888*245000/1000000)+(31*0.2374*100000/1000000)</f>
        <v>2.0961194359999999</v>
      </c>
      <c r="Y104" s="57"/>
      <c r="Z104" s="14"/>
      <c r="AA104" s="56"/>
      <c r="AB104" s="50">
        <f>(B104*194.205+C104*267.466+D104*133.845+E104*53.484+F104*40+G104*185+H104*0+I104*100+J104*300)/(194.205+267.466+133.845+53.484+0+40+185+100+300)</f>
        <v>6.9209388293563583</v>
      </c>
      <c r="AC104" s="45">
        <f>(M104*'RAP TEMPLATE-GAS AVAILABILITY'!O103+N104*'RAP TEMPLATE-GAS AVAILABILITY'!P103+O104*'RAP TEMPLATE-GAS AVAILABILITY'!Q103+P104*'RAP TEMPLATE-GAS AVAILABILITY'!R103)/('RAP TEMPLATE-GAS AVAILABILITY'!O103+'RAP TEMPLATE-GAS AVAILABILITY'!P103+'RAP TEMPLATE-GAS AVAILABILITY'!Q103+'RAP TEMPLATE-GAS AVAILABILITY'!R103)</f>
        <v>6.8148776978417267</v>
      </c>
    </row>
    <row r="105" spans="1:29" ht="15.75" x14ac:dyDescent="0.25">
      <c r="A105" s="13">
        <v>44075</v>
      </c>
      <c r="B105" s="14">
        <f>CHOOSE(CONTROL!$C$42, 6.4676, 6.4676) * CHOOSE(CONTROL!$C$21, $C$9, 100%, $E$9)</f>
        <v>6.4676</v>
      </c>
      <c r="C105" s="14">
        <f>CHOOSE(CONTROL!$C$42, 6.4756, 6.4756) * CHOOSE(CONTROL!$C$21, $C$9, 100%, $E$9)</f>
        <v>6.4756</v>
      </c>
      <c r="D105" s="14">
        <f>CHOOSE(CONTROL!$C$42, 6.6795, 6.6795) * CHOOSE(CONTROL!$C$21, $C$9, 100%, $E$9)</f>
        <v>6.6795</v>
      </c>
      <c r="E105" s="14">
        <f>CHOOSE(CONTROL!$C$42, 6.711, 6.711) * CHOOSE(CONTROL!$C$21, $C$9, 100%, $E$9)</f>
        <v>6.7110000000000003</v>
      </c>
      <c r="F105" s="14">
        <f>CHOOSE(CONTROL!$C$42, 6.4495, 6.4495)*CHOOSE(CONTROL!$C$21, $C$9, 100%, $E$9)</f>
        <v>6.4494999999999996</v>
      </c>
      <c r="G105" s="14">
        <f>CHOOSE(CONTROL!$C$42, 6.4654, 6.4654)*CHOOSE(CONTROL!$C$21, $C$9, 100%, $E$9)</f>
        <v>6.4653999999999998</v>
      </c>
      <c r="H105" s="14">
        <f>CHOOSE(CONTROL!$C$42, 6.6996, 6.6996) * CHOOSE(CONTROL!$C$21, $C$9, 100%, $E$9)</f>
        <v>6.6996000000000002</v>
      </c>
      <c r="I105" s="14">
        <f>CHOOSE(CONTROL!$C$42, 6.4933, 6.4933)* CHOOSE(CONTROL!$C$21, $C$9, 100%, $E$9)</f>
        <v>6.4932999999999996</v>
      </c>
      <c r="J105" s="14">
        <f>CHOOSE(CONTROL!$C$42, 6.4425, 6.4425)* CHOOSE(CONTROL!$C$21, $C$9, 100%, $E$9)</f>
        <v>6.4424999999999999</v>
      </c>
      <c r="K105" s="53">
        <f>CHOOSE(CONTROL!$C$42, 6.4894, 6.4894) * CHOOSE(CONTROL!$C$21, $C$9, 100%, $E$9)</f>
        <v>6.4893999999999998</v>
      </c>
      <c r="L105" s="14">
        <f>CHOOSE(CONTROL!$C$42, 7.2866, 7.2866) * CHOOSE(CONTROL!$C$21, $C$9, 100%, $E$9)</f>
        <v>7.2866</v>
      </c>
      <c r="M105" s="14">
        <f>CHOOSE(CONTROL!$C$42, 6.3182, 6.3182) * CHOOSE(CONTROL!$C$21, $C$9, 100%, $E$9)</f>
        <v>6.3182</v>
      </c>
      <c r="N105" s="14">
        <f>CHOOSE(CONTROL!$C$42, 6.3338, 6.3338) * CHOOSE(CONTROL!$C$21, $C$9, 100%, $E$9)</f>
        <v>6.3338000000000001</v>
      </c>
      <c r="O105" s="14">
        <f>CHOOSE(CONTROL!$C$42, 6.5701, 6.5701) * CHOOSE(CONTROL!$C$21, $C$9, 100%, $E$9)</f>
        <v>6.5701000000000001</v>
      </c>
      <c r="P105" s="14">
        <f>CHOOSE(CONTROL!$C$42, 6.3676, 6.3676) * CHOOSE(CONTROL!$C$21, $C$9, 100%, $E$9)</f>
        <v>6.3676000000000004</v>
      </c>
      <c r="Q105" s="14">
        <f>CHOOSE(CONTROL!$C$42, 7.1648, 7.1648) * CHOOSE(CONTROL!$C$21, $C$9, 100%, $E$9)</f>
        <v>7.1647999999999996</v>
      </c>
      <c r="R105" s="14">
        <f>CHOOSE(CONTROL!$C$42, 7.7697, 7.7697) * CHOOSE(CONTROL!$C$21, $C$9, 100%, $E$9)</f>
        <v>7.7697000000000003</v>
      </c>
      <c r="S105" s="14">
        <f>CHOOSE(CONTROL!$C$42, 6.2041, 6.2041) * CHOOSE(CONTROL!$C$21, $C$9, 100%, $E$9)</f>
        <v>6.2041000000000004</v>
      </c>
      <c r="T10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5" s="57">
        <f>(1000*CHOOSE(CONTROL!$C$42, 695, 695)*CHOOSE(CONTROL!$C$42, 0.5599, 0.5599)*CHOOSE(CONTROL!$C$42, 30, 30))/1000000</f>
        <v>11.673914999999997</v>
      </c>
      <c r="V105" s="57">
        <f>(1000*CHOOSE(CONTROL!$C$42, 500, 500)*CHOOSE(CONTROL!$C$42, 0.275, 0.275)*CHOOSE(CONTROL!$C$42, 30, 30))/1000000</f>
        <v>4.125</v>
      </c>
      <c r="W105" s="57">
        <f>(1000*CHOOSE(CONTROL!$C$42, 0.1146, 0.1146)*CHOOSE(CONTROL!$C$42, 121.5, 121.5)*CHOOSE(CONTROL!$C$42, 30, 30))/1000000</f>
        <v>0.417717</v>
      </c>
      <c r="X105" s="57">
        <f>(30*0.1790888*245000/1000000)+(30*0.2374*100000/1000000)</f>
        <v>2.0285026799999999</v>
      </c>
      <c r="Y105" s="57"/>
      <c r="Z105" s="14"/>
      <c r="AA105" s="56"/>
      <c r="AB105" s="50">
        <f>(B105*194.205+C105*267.466+D105*133.845+E105*53.484+F105*40+G105*185+H105*0+I105*100+J105*300)/(194.205+267.466+133.845+53.484+0+40+185+100+300)</f>
        <v>6.4969787198587126</v>
      </c>
      <c r="AC105" s="45">
        <f>(M105*'RAP TEMPLATE-GAS AVAILABILITY'!O104+N105*'RAP TEMPLATE-GAS AVAILABILITY'!P104+O105*'RAP TEMPLATE-GAS AVAILABILITY'!Q104+P105*'RAP TEMPLATE-GAS AVAILABILITY'!R104)/('RAP TEMPLATE-GAS AVAILABILITY'!O104+'RAP TEMPLATE-GAS AVAILABILITY'!P104+'RAP TEMPLATE-GAS AVAILABILITY'!Q104+'RAP TEMPLATE-GAS AVAILABILITY'!R104)</f>
        <v>6.3995762589928056</v>
      </c>
    </row>
    <row r="106" spans="1:29" ht="15.75" x14ac:dyDescent="0.25">
      <c r="A106" s="13">
        <v>44105</v>
      </c>
      <c r="B106" s="14">
        <f>CHOOSE(CONTROL!$C$42, 6.3478, 6.3478) * CHOOSE(CONTROL!$C$21, $C$9, 100%, $E$9)</f>
        <v>6.3478000000000003</v>
      </c>
      <c r="C106" s="14">
        <f>CHOOSE(CONTROL!$C$42, 6.3531, 6.3531) * CHOOSE(CONTROL!$C$21, $C$9, 100%, $E$9)</f>
        <v>6.3531000000000004</v>
      </c>
      <c r="D106" s="14">
        <f>CHOOSE(CONTROL!$C$42, 6.562, 6.562) * CHOOSE(CONTROL!$C$21, $C$9, 100%, $E$9)</f>
        <v>6.5620000000000003</v>
      </c>
      <c r="E106" s="14">
        <f>CHOOSE(CONTROL!$C$42, 6.5911, 6.5911) * CHOOSE(CONTROL!$C$21, $C$9, 100%, $E$9)</f>
        <v>6.5911</v>
      </c>
      <c r="F106" s="14">
        <f>CHOOSE(CONTROL!$C$42, 6.3318, 6.3318)*CHOOSE(CONTROL!$C$21, $C$9, 100%, $E$9)</f>
        <v>6.3318000000000003</v>
      </c>
      <c r="G106" s="14">
        <f>CHOOSE(CONTROL!$C$42, 6.3474, 6.3474)*CHOOSE(CONTROL!$C$21, $C$9, 100%, $E$9)</f>
        <v>6.3474000000000004</v>
      </c>
      <c r="H106" s="14">
        <f>CHOOSE(CONTROL!$C$42, 6.5816, 6.5816) * CHOOSE(CONTROL!$C$21, $C$9, 100%, $E$9)</f>
        <v>6.5815999999999999</v>
      </c>
      <c r="I106" s="14">
        <f>CHOOSE(CONTROL!$C$42, 6.3749, 6.3749)* CHOOSE(CONTROL!$C$21, $C$9, 100%, $E$9)</f>
        <v>6.3749000000000002</v>
      </c>
      <c r="J106" s="14">
        <f>CHOOSE(CONTROL!$C$42, 6.3248, 6.3248)* CHOOSE(CONTROL!$C$21, $C$9, 100%, $E$9)</f>
        <v>6.3247999999999998</v>
      </c>
      <c r="K106" s="53">
        <f>CHOOSE(CONTROL!$C$42, 6.371, 6.371) * CHOOSE(CONTROL!$C$21, $C$9, 100%, $E$9)</f>
        <v>6.3710000000000004</v>
      </c>
      <c r="L106" s="14">
        <f>CHOOSE(CONTROL!$C$42, 7.1686, 7.1686) * CHOOSE(CONTROL!$C$21, $C$9, 100%, $E$9)</f>
        <v>7.1685999999999996</v>
      </c>
      <c r="M106" s="14">
        <f>CHOOSE(CONTROL!$C$42, 6.2029, 6.2029) * CHOOSE(CONTROL!$C$21, $C$9, 100%, $E$9)</f>
        <v>6.2028999999999996</v>
      </c>
      <c r="N106" s="14">
        <f>CHOOSE(CONTROL!$C$42, 6.2182, 6.2182) * CHOOSE(CONTROL!$C$21, $C$9, 100%, $E$9)</f>
        <v>6.2182000000000004</v>
      </c>
      <c r="O106" s="14">
        <f>CHOOSE(CONTROL!$C$42, 6.4544, 6.4544) * CHOOSE(CONTROL!$C$21, $C$9, 100%, $E$9)</f>
        <v>6.4543999999999997</v>
      </c>
      <c r="P106" s="14">
        <f>CHOOSE(CONTROL!$C$42, 6.2516, 6.2516) * CHOOSE(CONTROL!$C$21, $C$9, 100%, $E$9)</f>
        <v>6.2515999999999998</v>
      </c>
      <c r="Q106" s="14">
        <f>CHOOSE(CONTROL!$C$42, 7.0491, 7.0491) * CHOOSE(CONTROL!$C$21, $C$9, 100%, $E$9)</f>
        <v>7.0491000000000001</v>
      </c>
      <c r="R106" s="14">
        <f>CHOOSE(CONTROL!$C$42, 7.6537, 7.6537) * CHOOSE(CONTROL!$C$21, $C$9, 100%, $E$9)</f>
        <v>7.6536999999999997</v>
      </c>
      <c r="S106" s="14">
        <f>CHOOSE(CONTROL!$C$42, 6.0906, 6.0906) * CHOOSE(CONTROL!$C$21, $C$9, 100%, $E$9)</f>
        <v>6.0906000000000002</v>
      </c>
      <c r="T10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6" s="57">
        <f>(1000*CHOOSE(CONTROL!$C$42, 695, 695)*CHOOSE(CONTROL!$C$42, 0.5599, 0.5599)*CHOOSE(CONTROL!$C$42, 31, 31))/1000000</f>
        <v>12.063045499999998</v>
      </c>
      <c r="V106" s="57">
        <f>(1000*CHOOSE(CONTROL!$C$42, 500, 500)*CHOOSE(CONTROL!$C$42, 0.275, 0.275)*CHOOSE(CONTROL!$C$42, 31, 31))/1000000</f>
        <v>4.2625000000000002</v>
      </c>
      <c r="W106" s="57">
        <f>(1000*CHOOSE(CONTROL!$C$42, 0.1146, 0.1146)*CHOOSE(CONTROL!$C$42, 121.5, 121.5)*CHOOSE(CONTROL!$C$42, 31, 31))/1000000</f>
        <v>0.43164089999999994</v>
      </c>
      <c r="X106" s="57">
        <f>(31*0.1790888*245000/1000000)+(31*0.2374*100000/1000000)</f>
        <v>2.0961194359999999</v>
      </c>
      <c r="Y106" s="57"/>
      <c r="Z106" s="14"/>
      <c r="AA106" s="56"/>
      <c r="AB106" s="50">
        <f>(B106*131.881+C106*277.167+D106*79.08+E106*125.872+F106*40+G106*185+H106*0+I106*100+J106*300)/(131.881+277.167+79.08+125.872+0+40+185+100+300)</f>
        <v>6.3834162862792567</v>
      </c>
      <c r="AC106" s="45">
        <f>(M106*'RAP TEMPLATE-GAS AVAILABILITY'!O105+N106*'RAP TEMPLATE-GAS AVAILABILITY'!P105+O106*'RAP TEMPLATE-GAS AVAILABILITY'!Q105+P106*'RAP TEMPLATE-GAS AVAILABILITY'!R105)/('RAP TEMPLATE-GAS AVAILABILITY'!O105+'RAP TEMPLATE-GAS AVAILABILITY'!P105+'RAP TEMPLATE-GAS AVAILABILITY'!Q105+'RAP TEMPLATE-GAS AVAILABILITY'!R105)</f>
        <v>6.2839942446043171</v>
      </c>
    </row>
    <row r="107" spans="1:29" ht="15.75" x14ac:dyDescent="0.25">
      <c r="A107" s="13">
        <v>44136</v>
      </c>
      <c r="B107" s="14">
        <f>CHOOSE(CONTROL!$C$42, 6.5277, 6.5277) * CHOOSE(CONTROL!$C$21, $C$9, 100%, $E$9)</f>
        <v>6.5277000000000003</v>
      </c>
      <c r="C107" s="14">
        <f>CHOOSE(CONTROL!$C$42, 6.5328, 6.5328) * CHOOSE(CONTROL!$C$21, $C$9, 100%, $E$9)</f>
        <v>6.5327999999999999</v>
      </c>
      <c r="D107" s="14">
        <f>CHOOSE(CONTROL!$C$42, 6.5966, 6.5966) * CHOOSE(CONTROL!$C$21, $C$9, 100%, $E$9)</f>
        <v>6.5965999999999996</v>
      </c>
      <c r="E107" s="14">
        <f>CHOOSE(CONTROL!$C$42, 6.6307, 6.6307) * CHOOSE(CONTROL!$C$21, $C$9, 100%, $E$9)</f>
        <v>6.6307</v>
      </c>
      <c r="F107" s="14">
        <f>CHOOSE(CONTROL!$C$42, 6.5301, 6.5301)*CHOOSE(CONTROL!$C$21, $C$9, 100%, $E$9)</f>
        <v>6.5301</v>
      </c>
      <c r="G107" s="14">
        <f>CHOOSE(CONTROL!$C$42, 6.5461, 6.5461)*CHOOSE(CONTROL!$C$21, $C$9, 100%, $E$9)</f>
        <v>6.5461</v>
      </c>
      <c r="H107" s="14">
        <f>CHOOSE(CONTROL!$C$42, 6.6199, 6.6199) * CHOOSE(CONTROL!$C$21, $C$9, 100%, $E$9)</f>
        <v>6.6199000000000003</v>
      </c>
      <c r="I107" s="14">
        <f>CHOOSE(CONTROL!$C$42, 6.561, 6.561)* CHOOSE(CONTROL!$C$21, $C$9, 100%, $E$9)</f>
        <v>6.5609999999999999</v>
      </c>
      <c r="J107" s="14">
        <f>CHOOSE(CONTROL!$C$42, 6.5231, 6.5231)* CHOOSE(CONTROL!$C$21, $C$9, 100%, $E$9)</f>
        <v>6.5231000000000003</v>
      </c>
      <c r="K107" s="53">
        <f>CHOOSE(CONTROL!$C$42, 6.5571, 6.5571) * CHOOSE(CONTROL!$C$21, $C$9, 100%, $E$9)</f>
        <v>6.5571000000000002</v>
      </c>
      <c r="L107" s="14">
        <f>CHOOSE(CONTROL!$C$42, 7.2069, 7.2069) * CHOOSE(CONTROL!$C$21, $C$9, 100%, $E$9)</f>
        <v>7.2069000000000001</v>
      </c>
      <c r="M107" s="14">
        <f>CHOOSE(CONTROL!$C$42, 6.3971, 6.3971) * CHOOSE(CONTROL!$C$21, $C$9, 100%, $E$9)</f>
        <v>6.3971</v>
      </c>
      <c r="N107" s="14">
        <f>CHOOSE(CONTROL!$C$42, 6.4128, 6.4128) * CHOOSE(CONTROL!$C$21, $C$9, 100%, $E$9)</f>
        <v>6.4127999999999998</v>
      </c>
      <c r="O107" s="14">
        <f>CHOOSE(CONTROL!$C$42, 6.4919, 6.4919) * CHOOSE(CONTROL!$C$21, $C$9, 100%, $E$9)</f>
        <v>6.4919000000000002</v>
      </c>
      <c r="P107" s="14">
        <f>CHOOSE(CONTROL!$C$42, 6.4339, 6.4339) * CHOOSE(CONTROL!$C$21, $C$9, 100%, $E$9)</f>
        <v>6.4339000000000004</v>
      </c>
      <c r="Q107" s="14">
        <f>CHOOSE(CONTROL!$C$42, 7.0866, 7.0866) * CHOOSE(CONTROL!$C$21, $C$9, 100%, $E$9)</f>
        <v>7.0865999999999998</v>
      </c>
      <c r="R107" s="14">
        <f>CHOOSE(CONTROL!$C$42, 7.6914, 7.6914) * CHOOSE(CONTROL!$C$21, $C$9, 100%, $E$9)</f>
        <v>7.6913999999999998</v>
      </c>
      <c r="S107" s="14">
        <f>CHOOSE(CONTROL!$C$42, 6.2639, 6.2639) * CHOOSE(CONTROL!$C$21, $C$9, 100%, $E$9)</f>
        <v>6.2638999999999996</v>
      </c>
      <c r="T10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7" s="57">
        <f>(1000*CHOOSE(CONTROL!$C$42, 695, 695)*CHOOSE(CONTROL!$C$42, 0.5599, 0.5599)*CHOOSE(CONTROL!$C$42, 30, 30))/1000000</f>
        <v>11.673914999999997</v>
      </c>
      <c r="V107" s="57">
        <f>(1000*CHOOSE(CONTROL!$C$42, 500, 500)*CHOOSE(CONTROL!$C$42, 0.275, 0.275)*CHOOSE(CONTROL!$C$42, 30, 30))/1000000</f>
        <v>4.125</v>
      </c>
      <c r="W107" s="57">
        <f>(1000*CHOOSE(CONTROL!$C$42, 0.1146, 0.1146)*CHOOSE(CONTROL!$C$42, 121.5, 121.5)*CHOOSE(CONTROL!$C$42, 30, 30))/1000000</f>
        <v>0.417717</v>
      </c>
      <c r="X107" s="57">
        <f>(30*0.1790888*100000/1000000)+(30*0.2374*100000/1000000)</f>
        <v>1.2494664</v>
      </c>
      <c r="Y107" s="57"/>
      <c r="Z107" s="14"/>
      <c r="AA107" s="56"/>
      <c r="AB107" s="50">
        <f>(B107*122.58+C107*297.941+D107*89.177+E107*40.302+F107*40+G107*160+H107*0+I107*100+J107*300)/(122.58+297.941+89.177+40.302+0+40+160+100+300)</f>
        <v>6.5423129568695657</v>
      </c>
      <c r="AC107" s="45">
        <f>(M107*'RAP TEMPLATE-GAS AVAILABILITY'!O106+N107*'RAP TEMPLATE-GAS AVAILABILITY'!P106+O107*'RAP TEMPLATE-GAS AVAILABILITY'!Q106+P107*'RAP TEMPLATE-GAS AVAILABILITY'!R106)/('RAP TEMPLATE-GAS AVAILABILITY'!O106+'RAP TEMPLATE-GAS AVAILABILITY'!P106+'RAP TEMPLATE-GAS AVAILABILITY'!Q106+'RAP TEMPLATE-GAS AVAILABILITY'!R106)</f>
        <v>6.4462654676259001</v>
      </c>
    </row>
    <row r="108" spans="1:29" ht="15.75" x14ac:dyDescent="0.25">
      <c r="A108" s="13">
        <v>44166</v>
      </c>
      <c r="B108" s="14">
        <f>CHOOSE(CONTROL!$C$42, 6.9864, 6.9864) * CHOOSE(CONTROL!$C$21, $C$9, 100%, $E$9)</f>
        <v>6.9863999999999997</v>
      </c>
      <c r="C108" s="14">
        <f>CHOOSE(CONTROL!$C$42, 6.9915, 6.9915) * CHOOSE(CONTROL!$C$21, $C$9, 100%, $E$9)</f>
        <v>6.9915000000000003</v>
      </c>
      <c r="D108" s="14">
        <f>CHOOSE(CONTROL!$C$42, 7.0553, 7.0553) * CHOOSE(CONTROL!$C$21, $C$9, 100%, $E$9)</f>
        <v>7.0552999999999999</v>
      </c>
      <c r="E108" s="14">
        <f>CHOOSE(CONTROL!$C$42, 7.0894, 7.0894) * CHOOSE(CONTROL!$C$21, $C$9, 100%, $E$9)</f>
        <v>7.0894000000000004</v>
      </c>
      <c r="F108" s="14">
        <f>CHOOSE(CONTROL!$C$42, 6.9911, 6.9911)*CHOOSE(CONTROL!$C$21, $C$9, 100%, $E$9)</f>
        <v>6.9911000000000003</v>
      </c>
      <c r="G108" s="14">
        <f>CHOOSE(CONTROL!$C$42, 7.0077, 7.0077)*CHOOSE(CONTROL!$C$21, $C$9, 100%, $E$9)</f>
        <v>7.0076999999999998</v>
      </c>
      <c r="H108" s="14">
        <f>CHOOSE(CONTROL!$C$42, 7.0786, 7.0786) * CHOOSE(CONTROL!$C$21, $C$9, 100%, $E$9)</f>
        <v>7.0785999999999998</v>
      </c>
      <c r="I108" s="14">
        <f>CHOOSE(CONTROL!$C$42, 7.0212, 7.0212)* CHOOSE(CONTROL!$C$21, $C$9, 100%, $E$9)</f>
        <v>7.0212000000000003</v>
      </c>
      <c r="J108" s="14">
        <f>CHOOSE(CONTROL!$C$42, 6.9841, 6.9841)* CHOOSE(CONTROL!$C$21, $C$9, 100%, $E$9)</f>
        <v>6.9840999999999998</v>
      </c>
      <c r="K108" s="53">
        <f>CHOOSE(CONTROL!$C$42, 7.0173, 7.0173) * CHOOSE(CONTROL!$C$21, $C$9, 100%, $E$9)</f>
        <v>7.0172999999999996</v>
      </c>
      <c r="L108" s="14">
        <f>CHOOSE(CONTROL!$C$42, 7.6656, 7.6656) * CHOOSE(CONTROL!$C$21, $C$9, 100%, $E$9)</f>
        <v>7.6656000000000004</v>
      </c>
      <c r="M108" s="14">
        <f>CHOOSE(CONTROL!$C$42, 6.8487, 6.8487) * CHOOSE(CONTROL!$C$21, $C$9, 100%, $E$9)</f>
        <v>6.8487</v>
      </c>
      <c r="N108" s="14">
        <f>CHOOSE(CONTROL!$C$42, 6.8649, 6.8649) * CHOOSE(CONTROL!$C$21, $C$9, 100%, $E$9)</f>
        <v>6.8648999999999996</v>
      </c>
      <c r="O108" s="14">
        <f>CHOOSE(CONTROL!$C$42, 6.9413, 6.9413) * CHOOSE(CONTROL!$C$21, $C$9, 100%, $E$9)</f>
        <v>6.9413</v>
      </c>
      <c r="P108" s="14">
        <f>CHOOSE(CONTROL!$C$42, 6.8846, 6.8846) * CHOOSE(CONTROL!$C$21, $C$9, 100%, $E$9)</f>
        <v>6.8845999999999998</v>
      </c>
      <c r="Q108" s="14">
        <f>CHOOSE(CONTROL!$C$42, 7.536, 7.536) * CHOOSE(CONTROL!$C$21, $C$9, 100%, $E$9)</f>
        <v>7.5359999999999996</v>
      </c>
      <c r="R108" s="14">
        <f>CHOOSE(CONTROL!$C$42, 8.1418, 8.1418) * CHOOSE(CONTROL!$C$21, $C$9, 100%, $E$9)</f>
        <v>8.1417999999999999</v>
      </c>
      <c r="S108" s="14">
        <f>CHOOSE(CONTROL!$C$42, 6.7047, 6.7047) * CHOOSE(CONTROL!$C$21, $C$9, 100%, $E$9)</f>
        <v>6.7046999999999999</v>
      </c>
      <c r="T10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8" s="57">
        <f>(1000*CHOOSE(CONTROL!$C$42, 695, 695)*CHOOSE(CONTROL!$C$42, 0.5599, 0.5599)*CHOOSE(CONTROL!$C$42, 31, 31))/1000000</f>
        <v>12.063045499999998</v>
      </c>
      <c r="V108" s="57">
        <f>(1000*CHOOSE(CONTROL!$C$42, 500, 500)*CHOOSE(CONTROL!$C$42, 0.275, 0.275)*CHOOSE(CONTROL!$C$42, 31, 31))/1000000</f>
        <v>4.2625000000000002</v>
      </c>
      <c r="W108" s="57">
        <f>(1000*CHOOSE(CONTROL!$C$42, 0.1146, 0.1146)*CHOOSE(CONTROL!$C$42, 121.5, 121.5)*CHOOSE(CONTROL!$C$42, 31, 31))/1000000</f>
        <v>0.43164089999999994</v>
      </c>
      <c r="X108" s="57">
        <f>(31*0.1790888*100000/1000000)+(31*0.2374*100000/1000000)</f>
        <v>1.2911152800000001</v>
      </c>
      <c r="Y108" s="57"/>
      <c r="Z108" s="14"/>
      <c r="AA108" s="56"/>
      <c r="AB108" s="50">
        <f>(B108*122.58+C108*297.941+D108*89.177+E108*40.302+F108*40+G108*160+H108*0+I108*100+J108*300)/(122.58+297.941+89.177+40.302+0+40+160+100+300)</f>
        <v>7.0022268699130432</v>
      </c>
      <c r="AC108" s="45">
        <f>(M108*'RAP TEMPLATE-GAS AVAILABILITY'!O107+N108*'RAP TEMPLATE-GAS AVAILABILITY'!P107+O108*'RAP TEMPLATE-GAS AVAILABILITY'!Q107+P108*'RAP TEMPLATE-GAS AVAILABILITY'!R107)/('RAP TEMPLATE-GAS AVAILABILITY'!O107+'RAP TEMPLATE-GAS AVAILABILITY'!P107+'RAP TEMPLATE-GAS AVAILABILITY'!Q107+'RAP TEMPLATE-GAS AVAILABILITY'!R107)</f>
        <v>6.8967676258992805</v>
      </c>
    </row>
    <row r="109" spans="1:29" ht="15.75" x14ac:dyDescent="0.25">
      <c r="A109" s="13">
        <v>44197</v>
      </c>
      <c r="B109" s="14">
        <f>CHOOSE(CONTROL!$C$42, 7.5345, 7.5345) * CHOOSE(CONTROL!$C$21, $C$9, 100%, $E$9)</f>
        <v>7.5345000000000004</v>
      </c>
      <c r="C109" s="14">
        <f>CHOOSE(CONTROL!$C$42, 7.5395, 7.5395) * CHOOSE(CONTROL!$C$21, $C$9, 100%, $E$9)</f>
        <v>7.5395000000000003</v>
      </c>
      <c r="D109" s="14">
        <f>CHOOSE(CONTROL!$C$42, 7.6059, 7.6059) * CHOOSE(CONTROL!$C$21, $C$9, 100%, $E$9)</f>
        <v>7.6059000000000001</v>
      </c>
      <c r="E109" s="14">
        <f>CHOOSE(CONTROL!$C$42, 7.64, 7.64) * CHOOSE(CONTROL!$C$21, $C$9, 100%, $E$9)</f>
        <v>7.64</v>
      </c>
      <c r="F109" s="14">
        <f>CHOOSE(CONTROL!$C$42, 7.5218, 7.5218)*CHOOSE(CONTROL!$C$21, $C$9, 100%, $E$9)</f>
        <v>7.5217999999999998</v>
      </c>
      <c r="G109" s="14">
        <f>CHOOSE(CONTROL!$C$42, 7.5373, 7.5373)*CHOOSE(CONTROL!$C$21, $C$9, 100%, $E$9)</f>
        <v>7.5373000000000001</v>
      </c>
      <c r="H109" s="14">
        <f>CHOOSE(CONTROL!$C$42, 7.6292, 7.6292) * CHOOSE(CONTROL!$C$21, $C$9, 100%, $E$9)</f>
        <v>7.6292</v>
      </c>
      <c r="I109" s="14">
        <f>CHOOSE(CONTROL!$C$42, 7.5657, 7.5657)* CHOOSE(CONTROL!$C$21, $C$9, 100%, $E$9)</f>
        <v>7.5656999999999996</v>
      </c>
      <c r="J109" s="14">
        <f>CHOOSE(CONTROL!$C$42, 7.5148, 7.5148)* CHOOSE(CONTROL!$C$21, $C$9, 100%, $E$9)</f>
        <v>7.5148000000000001</v>
      </c>
      <c r="K109" s="53">
        <f>CHOOSE(CONTROL!$C$42, 7.5618, 7.5618) * CHOOSE(CONTROL!$C$21, $C$9, 100%, $E$9)</f>
        <v>7.5617999999999999</v>
      </c>
      <c r="L109" s="14">
        <f>CHOOSE(CONTROL!$C$42, 8.2162, 8.2162) * CHOOSE(CONTROL!$C$21, $C$9, 100%, $E$9)</f>
        <v>8.2162000000000006</v>
      </c>
      <c r="M109" s="14">
        <f>CHOOSE(CONTROL!$C$42, 7.3685, 7.3685) * CHOOSE(CONTROL!$C$21, $C$9, 100%, $E$9)</f>
        <v>7.3685</v>
      </c>
      <c r="N109" s="14">
        <f>CHOOSE(CONTROL!$C$42, 7.3837, 7.3837) * CHOOSE(CONTROL!$C$21, $C$9, 100%, $E$9)</f>
        <v>7.3837000000000002</v>
      </c>
      <c r="O109" s="14">
        <f>CHOOSE(CONTROL!$C$42, 7.4806, 7.4806) * CHOOSE(CONTROL!$C$21, $C$9, 100%, $E$9)</f>
        <v>7.4805999999999999</v>
      </c>
      <c r="P109" s="14">
        <f>CHOOSE(CONTROL!$C$42, 7.418, 7.418) * CHOOSE(CONTROL!$C$21, $C$9, 100%, $E$9)</f>
        <v>7.4180000000000001</v>
      </c>
      <c r="Q109" s="14">
        <f>CHOOSE(CONTROL!$C$42, 8.0753, 8.0753) * CHOOSE(CONTROL!$C$21, $C$9, 100%, $E$9)</f>
        <v>8.0753000000000004</v>
      </c>
      <c r="R109" s="14">
        <f>CHOOSE(CONTROL!$C$42, 8.6825, 8.6825) * CHOOSE(CONTROL!$C$21, $C$9, 100%, $E$9)</f>
        <v>8.6824999999999992</v>
      </c>
      <c r="S109" s="14">
        <f>CHOOSE(CONTROL!$C$42, 7.2313, 7.2313) * CHOOSE(CONTROL!$C$21, $C$9, 100%, $E$9)</f>
        <v>7.2313000000000001</v>
      </c>
      <c r="T10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9" s="57">
        <f>(1000*CHOOSE(CONTROL!$C$42, 695, 695)*CHOOSE(CONTROL!$C$42, 0.5599, 0.5599)*CHOOSE(CONTROL!$C$42, 31, 31))/1000000</f>
        <v>12.063045499999998</v>
      </c>
      <c r="V109" s="57">
        <f>(1000*CHOOSE(CONTROL!$C$42, 500, 500)*CHOOSE(CONTROL!$C$42, 0.275, 0.275)*CHOOSE(CONTROL!$C$42, 31, 31))/1000000</f>
        <v>4.2625000000000002</v>
      </c>
      <c r="W109" s="57">
        <f>(1000*CHOOSE(CONTROL!$C$42, 0.1146, 0.1146)*CHOOSE(CONTROL!$C$42, 121.5, 121.5)*CHOOSE(CONTROL!$C$42, 31, 31))/1000000</f>
        <v>0.43164089999999994</v>
      </c>
      <c r="X109" s="57">
        <f>(31*0.1790888*100000/1000000)+(31*0.2374*100000/1000000)</f>
        <v>1.2911152800000001</v>
      </c>
      <c r="Y109" s="57"/>
      <c r="Z109" s="14"/>
      <c r="AA109" s="56"/>
      <c r="AB109" s="50">
        <f>(B109*122.58+C109*297.941+D109*89.177+E109*40.302+F109*40+G109*160+H109*0+I109*100+J109*300)/(122.58+297.941+89.177+40.302+0+40+160+100+300)</f>
        <v>7.5425511337391313</v>
      </c>
      <c r="AC109" s="45">
        <f>(M109*'RAP TEMPLATE-GAS AVAILABILITY'!O108+N109*'RAP TEMPLATE-GAS AVAILABILITY'!P108+O109*'RAP TEMPLATE-GAS AVAILABILITY'!Q108+P109*'RAP TEMPLATE-GAS AVAILABILITY'!R108)/('RAP TEMPLATE-GAS AVAILABILITY'!O108+'RAP TEMPLATE-GAS AVAILABILITY'!P108+'RAP TEMPLATE-GAS AVAILABILITY'!Q108+'RAP TEMPLATE-GAS AVAILABILITY'!R108)</f>
        <v>7.4273050359712229</v>
      </c>
    </row>
    <row r="110" spans="1:29" ht="15.75" x14ac:dyDescent="0.25">
      <c r="A110" s="13">
        <v>44228</v>
      </c>
      <c r="B110" s="14">
        <f>CHOOSE(CONTROL!$C$42, 7.6842, 7.6842) * CHOOSE(CONTROL!$C$21, $C$9, 100%, $E$9)</f>
        <v>7.6841999999999997</v>
      </c>
      <c r="C110" s="14">
        <f>CHOOSE(CONTROL!$C$42, 7.6893, 7.6893) * CHOOSE(CONTROL!$C$21, $C$9, 100%, $E$9)</f>
        <v>7.6893000000000002</v>
      </c>
      <c r="D110" s="14">
        <f>CHOOSE(CONTROL!$C$42, 7.7557, 7.7557) * CHOOSE(CONTROL!$C$21, $C$9, 100%, $E$9)</f>
        <v>7.7557</v>
      </c>
      <c r="E110" s="14">
        <f>CHOOSE(CONTROL!$C$42, 7.7898, 7.7898) * CHOOSE(CONTROL!$C$21, $C$9, 100%, $E$9)</f>
        <v>7.7897999999999996</v>
      </c>
      <c r="F110" s="14">
        <f>CHOOSE(CONTROL!$C$42, 7.6716, 7.6716)*CHOOSE(CONTROL!$C$21, $C$9, 100%, $E$9)</f>
        <v>7.6715999999999998</v>
      </c>
      <c r="G110" s="14">
        <f>CHOOSE(CONTROL!$C$42, 7.6871, 7.6871)*CHOOSE(CONTROL!$C$21, $C$9, 100%, $E$9)</f>
        <v>7.6871</v>
      </c>
      <c r="H110" s="14">
        <f>CHOOSE(CONTROL!$C$42, 7.779, 7.779) * CHOOSE(CONTROL!$C$21, $C$9, 100%, $E$9)</f>
        <v>7.7789999999999999</v>
      </c>
      <c r="I110" s="14">
        <f>CHOOSE(CONTROL!$C$42, 7.7159, 7.7159)* CHOOSE(CONTROL!$C$21, $C$9, 100%, $E$9)</f>
        <v>7.7159000000000004</v>
      </c>
      <c r="J110" s="14">
        <f>CHOOSE(CONTROL!$C$42, 7.6646, 7.6646)* CHOOSE(CONTROL!$C$21, $C$9, 100%, $E$9)</f>
        <v>7.6646000000000001</v>
      </c>
      <c r="K110" s="53">
        <f>CHOOSE(CONTROL!$C$42, 7.712, 7.712) * CHOOSE(CONTROL!$C$21, $C$9, 100%, $E$9)</f>
        <v>7.7119999999999997</v>
      </c>
      <c r="L110" s="14">
        <f>CHOOSE(CONTROL!$C$42, 8.366, 8.366) * CHOOSE(CONTROL!$C$21, $C$9, 100%, $E$9)</f>
        <v>8.3659999999999997</v>
      </c>
      <c r="M110" s="14">
        <f>CHOOSE(CONTROL!$C$42, 7.5152, 7.5152) * CHOOSE(CONTROL!$C$21, $C$9, 100%, $E$9)</f>
        <v>7.5152000000000001</v>
      </c>
      <c r="N110" s="14">
        <f>CHOOSE(CONTROL!$C$42, 7.5304, 7.5304) * CHOOSE(CONTROL!$C$21, $C$9, 100%, $E$9)</f>
        <v>7.5304000000000002</v>
      </c>
      <c r="O110" s="14">
        <f>CHOOSE(CONTROL!$C$42, 7.6273, 7.6273) * CHOOSE(CONTROL!$C$21, $C$9, 100%, $E$9)</f>
        <v>7.6273</v>
      </c>
      <c r="P110" s="14">
        <f>CHOOSE(CONTROL!$C$42, 7.5651, 7.5651) * CHOOSE(CONTROL!$C$21, $C$9, 100%, $E$9)</f>
        <v>7.5651000000000002</v>
      </c>
      <c r="Q110" s="14">
        <f>CHOOSE(CONTROL!$C$42, 8.222, 8.222) * CHOOSE(CONTROL!$C$21, $C$9, 100%, $E$9)</f>
        <v>8.2219999999999995</v>
      </c>
      <c r="R110" s="14">
        <f>CHOOSE(CONTROL!$C$42, 8.8295, 8.8295) * CHOOSE(CONTROL!$C$21, $C$9, 100%, $E$9)</f>
        <v>8.8294999999999995</v>
      </c>
      <c r="S110" s="14">
        <f>CHOOSE(CONTROL!$C$42, 7.3752, 7.3752) * CHOOSE(CONTROL!$C$21, $C$9, 100%, $E$9)</f>
        <v>7.3752000000000004</v>
      </c>
      <c r="T11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10" s="57">
        <f>(1000*CHOOSE(CONTROL!$C$42, 695, 695)*CHOOSE(CONTROL!$C$42, 0.5599, 0.5599)*CHOOSE(CONTROL!$C$42, 28, 28))/1000000</f>
        <v>10.895653999999999</v>
      </c>
      <c r="V110" s="57">
        <f>(1000*CHOOSE(CONTROL!$C$42, 500, 500)*CHOOSE(CONTROL!$C$42, 0.275, 0.275)*CHOOSE(CONTROL!$C$42, 28, 28))/1000000</f>
        <v>3.85</v>
      </c>
      <c r="W110" s="57">
        <f>(1000*CHOOSE(CONTROL!$C$42, 0.1146, 0.1146)*CHOOSE(CONTROL!$C$42, 121.5, 121.5)*CHOOSE(CONTROL!$C$42, 28, 28))/1000000</f>
        <v>0.38986920000000003</v>
      </c>
      <c r="X110" s="57">
        <f>(28*0.1790888*100000/1000000)+(28*0.2374*100000/1000000)</f>
        <v>1.16616864</v>
      </c>
      <c r="Y110" s="57"/>
      <c r="Z110" s="14"/>
      <c r="AA110" s="56"/>
      <c r="AB110" s="50">
        <f>(B110*122.58+C110*297.941+D110*89.177+E110*40.302+F110*40+G110*160+H110*0+I110*100+J110*300)/(122.58+297.941+89.177+40.302+0+40+160+100+300)</f>
        <v>7.6923752572173907</v>
      </c>
      <c r="AC110" s="45">
        <f>(M110*'RAP TEMPLATE-GAS AVAILABILITY'!O109+N110*'RAP TEMPLATE-GAS AVAILABILITY'!P109+O110*'RAP TEMPLATE-GAS AVAILABILITY'!Q109+P110*'RAP TEMPLATE-GAS AVAILABILITY'!R109)/('RAP TEMPLATE-GAS AVAILABILITY'!O109+'RAP TEMPLATE-GAS AVAILABILITY'!P109+'RAP TEMPLATE-GAS AVAILABILITY'!Q109+'RAP TEMPLATE-GAS AVAILABILITY'!R109)</f>
        <v>7.574062589928058</v>
      </c>
    </row>
    <row r="111" spans="1:29" ht="15.75" x14ac:dyDescent="0.25">
      <c r="A111" s="13">
        <v>44256</v>
      </c>
      <c r="B111" s="14">
        <f>CHOOSE(CONTROL!$C$42, 7.4817, 7.4817) * CHOOSE(CONTROL!$C$21, $C$9, 100%, $E$9)</f>
        <v>7.4817</v>
      </c>
      <c r="C111" s="14">
        <f>CHOOSE(CONTROL!$C$42, 7.4867, 7.4867) * CHOOSE(CONTROL!$C$21, $C$9, 100%, $E$9)</f>
        <v>7.4866999999999999</v>
      </c>
      <c r="D111" s="14">
        <f>CHOOSE(CONTROL!$C$42, 7.5531, 7.5531) * CHOOSE(CONTROL!$C$21, $C$9, 100%, $E$9)</f>
        <v>7.5530999999999997</v>
      </c>
      <c r="E111" s="14">
        <f>CHOOSE(CONTROL!$C$42, 7.5872, 7.5872) * CHOOSE(CONTROL!$C$21, $C$9, 100%, $E$9)</f>
        <v>7.5872000000000002</v>
      </c>
      <c r="F111" s="14">
        <f>CHOOSE(CONTROL!$C$42, 7.4687, 7.4687)*CHOOSE(CONTROL!$C$21, $C$9, 100%, $E$9)</f>
        <v>7.4687000000000001</v>
      </c>
      <c r="G111" s="14">
        <f>CHOOSE(CONTROL!$C$42, 7.4841, 7.4841)*CHOOSE(CONTROL!$C$21, $C$9, 100%, $E$9)</f>
        <v>7.4840999999999998</v>
      </c>
      <c r="H111" s="14">
        <f>CHOOSE(CONTROL!$C$42, 7.5764, 7.5764) * CHOOSE(CONTROL!$C$21, $C$9, 100%, $E$9)</f>
        <v>7.5763999999999996</v>
      </c>
      <c r="I111" s="14">
        <f>CHOOSE(CONTROL!$C$42, 7.5127, 7.5127)* CHOOSE(CONTROL!$C$21, $C$9, 100%, $E$9)</f>
        <v>7.5126999999999997</v>
      </c>
      <c r="J111" s="14">
        <f>CHOOSE(CONTROL!$C$42, 7.4617, 7.4617)* CHOOSE(CONTROL!$C$21, $C$9, 100%, $E$9)</f>
        <v>7.4617000000000004</v>
      </c>
      <c r="K111" s="53">
        <f>CHOOSE(CONTROL!$C$42, 7.5088, 7.5088) * CHOOSE(CONTROL!$C$21, $C$9, 100%, $E$9)</f>
        <v>7.5087999999999999</v>
      </c>
      <c r="L111" s="14">
        <f>CHOOSE(CONTROL!$C$42, 8.1634, 8.1634) * CHOOSE(CONTROL!$C$21, $C$9, 100%, $E$9)</f>
        <v>8.1633999999999993</v>
      </c>
      <c r="M111" s="14">
        <f>CHOOSE(CONTROL!$C$42, 7.3165, 7.3165) * CHOOSE(CONTROL!$C$21, $C$9, 100%, $E$9)</f>
        <v>7.3164999999999996</v>
      </c>
      <c r="N111" s="14">
        <f>CHOOSE(CONTROL!$C$42, 7.3315, 7.3315) * CHOOSE(CONTROL!$C$21, $C$9, 100%, $E$9)</f>
        <v>7.3315000000000001</v>
      </c>
      <c r="O111" s="14">
        <f>CHOOSE(CONTROL!$C$42, 7.4289, 7.4289) * CHOOSE(CONTROL!$C$21, $C$9, 100%, $E$9)</f>
        <v>7.4288999999999996</v>
      </c>
      <c r="P111" s="14">
        <f>CHOOSE(CONTROL!$C$42, 7.3661, 7.3661) * CHOOSE(CONTROL!$C$21, $C$9, 100%, $E$9)</f>
        <v>7.3661000000000003</v>
      </c>
      <c r="Q111" s="14">
        <f>CHOOSE(CONTROL!$C$42, 8.0236, 8.0236) * CHOOSE(CONTROL!$C$21, $C$9, 100%, $E$9)</f>
        <v>8.0236000000000001</v>
      </c>
      <c r="R111" s="14">
        <f>CHOOSE(CONTROL!$C$42, 8.6307, 8.6307) * CHOOSE(CONTROL!$C$21, $C$9, 100%, $E$9)</f>
        <v>8.6306999999999992</v>
      </c>
      <c r="S111" s="14">
        <f>CHOOSE(CONTROL!$C$42, 7.1806, 7.1806) * CHOOSE(CONTROL!$C$21, $C$9, 100%, $E$9)</f>
        <v>7.1806000000000001</v>
      </c>
      <c r="T11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11" s="57">
        <f>(1000*CHOOSE(CONTROL!$C$42, 695, 695)*CHOOSE(CONTROL!$C$42, 0.5599, 0.5599)*CHOOSE(CONTROL!$C$42, 31, 31))/1000000</f>
        <v>12.063045499999998</v>
      </c>
      <c r="V111" s="57">
        <f>(1000*CHOOSE(CONTROL!$C$42, 500, 500)*CHOOSE(CONTROL!$C$42, 0.275, 0.275)*CHOOSE(CONTROL!$C$42, 31, 31))/1000000</f>
        <v>4.2625000000000002</v>
      </c>
      <c r="W111" s="57">
        <f>(1000*CHOOSE(CONTROL!$C$42, 0.1146, 0.1146)*CHOOSE(CONTROL!$C$42, 121.5, 121.5)*CHOOSE(CONTROL!$C$42, 31, 31))/1000000</f>
        <v>0.43164089999999994</v>
      </c>
      <c r="X111" s="57">
        <f>(31*0.1790888*100000/1000000)+(31*0.2374*100000/1000000)</f>
        <v>1.2911152800000001</v>
      </c>
      <c r="Y111" s="57"/>
      <c r="Z111" s="14"/>
      <c r="AA111" s="56"/>
      <c r="AB111" s="50">
        <f>(B111*122.58+C111*297.941+D111*89.177+E111*40.302+F111*40+G111*160+H111*0+I111*100+J111*300)/(122.58+297.941+89.177+40.302+0+40+160+100+300)</f>
        <v>7.4895893946086955</v>
      </c>
      <c r="AC111" s="45">
        <f>(M111*'RAP TEMPLATE-GAS AVAILABILITY'!O110+N111*'RAP TEMPLATE-GAS AVAILABILITY'!P110+O111*'RAP TEMPLATE-GAS AVAILABILITY'!Q110+P111*'RAP TEMPLATE-GAS AVAILABILITY'!R110)/('RAP TEMPLATE-GAS AVAILABILITY'!O110+'RAP TEMPLATE-GAS AVAILABILITY'!P110+'RAP TEMPLATE-GAS AVAILABILITY'!Q110+'RAP TEMPLATE-GAS AVAILABILITY'!R110)</f>
        <v>7.3754438848920856</v>
      </c>
    </row>
    <row r="112" spans="1:29" ht="15.75" x14ac:dyDescent="0.25">
      <c r="A112" s="13">
        <v>44287</v>
      </c>
      <c r="B112" s="14">
        <f>CHOOSE(CONTROL!$C$42, 7.4758, 7.4758) * CHOOSE(CONTROL!$C$21, $C$9, 100%, $E$9)</f>
        <v>7.4757999999999996</v>
      </c>
      <c r="C112" s="14">
        <f>CHOOSE(CONTROL!$C$42, 7.4803, 7.4803) * CHOOSE(CONTROL!$C$21, $C$9, 100%, $E$9)</f>
        <v>7.4802999999999997</v>
      </c>
      <c r="D112" s="14">
        <f>CHOOSE(CONTROL!$C$42, 7.6874, 7.6874) * CHOOSE(CONTROL!$C$21, $C$9, 100%, $E$9)</f>
        <v>7.6874000000000002</v>
      </c>
      <c r="E112" s="14">
        <f>CHOOSE(CONTROL!$C$42, 7.7195, 7.7195) * CHOOSE(CONTROL!$C$21, $C$9, 100%, $E$9)</f>
        <v>7.7195</v>
      </c>
      <c r="F112" s="14">
        <f>CHOOSE(CONTROL!$C$42, 7.4577, 7.4577)*CHOOSE(CONTROL!$C$21, $C$9, 100%, $E$9)</f>
        <v>7.4577</v>
      </c>
      <c r="G112" s="14">
        <f>CHOOSE(CONTROL!$C$42, 7.4729, 7.4729)*CHOOSE(CONTROL!$C$21, $C$9, 100%, $E$9)</f>
        <v>7.4729000000000001</v>
      </c>
      <c r="H112" s="14">
        <f>CHOOSE(CONTROL!$C$42, 7.7093, 7.7093) * CHOOSE(CONTROL!$C$21, $C$9, 100%, $E$9)</f>
        <v>7.7092999999999998</v>
      </c>
      <c r="I112" s="14">
        <f>CHOOSE(CONTROL!$C$42, 7.5061, 7.5061)* CHOOSE(CONTROL!$C$21, $C$9, 100%, $E$9)</f>
        <v>7.5061</v>
      </c>
      <c r="J112" s="14">
        <f>CHOOSE(CONTROL!$C$42, 7.4507, 7.4507)* CHOOSE(CONTROL!$C$21, $C$9, 100%, $E$9)</f>
        <v>7.4507000000000003</v>
      </c>
      <c r="K112" s="53">
        <f>CHOOSE(CONTROL!$C$42, 7.5022, 7.5022) * CHOOSE(CONTROL!$C$21, $C$9, 100%, $E$9)</f>
        <v>7.5022000000000002</v>
      </c>
      <c r="L112" s="14">
        <f>CHOOSE(CONTROL!$C$42, 8.2963, 8.2963) * CHOOSE(CONTROL!$C$21, $C$9, 100%, $E$9)</f>
        <v>8.2963000000000005</v>
      </c>
      <c r="M112" s="14">
        <f>CHOOSE(CONTROL!$C$42, 7.3057, 7.3057) * CHOOSE(CONTROL!$C$21, $C$9, 100%, $E$9)</f>
        <v>7.3056999999999999</v>
      </c>
      <c r="N112" s="14">
        <f>CHOOSE(CONTROL!$C$42, 7.3206, 7.3206) * CHOOSE(CONTROL!$C$21, $C$9, 100%, $E$9)</f>
        <v>7.3205999999999998</v>
      </c>
      <c r="O112" s="14">
        <f>CHOOSE(CONTROL!$C$42, 7.559, 7.559) * CHOOSE(CONTROL!$C$21, $C$9, 100%, $E$9)</f>
        <v>7.5590000000000002</v>
      </c>
      <c r="P112" s="14">
        <f>CHOOSE(CONTROL!$C$42, 7.3596, 7.3596) * CHOOSE(CONTROL!$C$21, $C$9, 100%, $E$9)</f>
        <v>7.3596000000000004</v>
      </c>
      <c r="Q112" s="14">
        <f>CHOOSE(CONTROL!$C$42, 8.1537, 8.1537) * CHOOSE(CONTROL!$C$21, $C$9, 100%, $E$9)</f>
        <v>8.1537000000000006</v>
      </c>
      <c r="R112" s="14">
        <f>CHOOSE(CONTROL!$C$42, 8.7611, 8.7611) * CHOOSE(CONTROL!$C$21, $C$9, 100%, $E$9)</f>
        <v>8.7611000000000008</v>
      </c>
      <c r="S112" s="14">
        <f>CHOOSE(CONTROL!$C$42, 7.1742, 7.1742) * CHOOSE(CONTROL!$C$21, $C$9, 100%, $E$9)</f>
        <v>7.1741999999999999</v>
      </c>
      <c r="T11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12" s="57">
        <f>(1000*CHOOSE(CONTROL!$C$42, 695, 695)*CHOOSE(CONTROL!$C$42, 0.5599, 0.5599)*CHOOSE(CONTROL!$C$42, 30, 30))/1000000</f>
        <v>11.673914999999997</v>
      </c>
      <c r="V112" s="57">
        <f>(1000*CHOOSE(CONTROL!$C$42, 500, 500)*CHOOSE(CONTROL!$C$42, 0.275, 0.275)*CHOOSE(CONTROL!$C$42, 30, 30))/1000000</f>
        <v>4.125</v>
      </c>
      <c r="W112" s="57">
        <f>(1000*CHOOSE(CONTROL!$C$42, 0.1146, 0.1146)*CHOOSE(CONTROL!$C$42, 121.5, 121.5)*CHOOSE(CONTROL!$C$42, 30, 30))/1000000</f>
        <v>0.417717</v>
      </c>
      <c r="X112" s="57">
        <f>(30*0.1790888*245000/1000000)+(30*0.2374*100000/1000000)</f>
        <v>2.0285026799999999</v>
      </c>
      <c r="Y112" s="57"/>
      <c r="Z112" s="14"/>
      <c r="AA112" s="56"/>
      <c r="AB112" s="50">
        <f>(B112*141.293+C112*267.993+D112*115.016+E112*89.698+F112*40+G112*185+H112*0+I112*100+J112*300)/(141.293+267.993+115.016+89.698+0+40+185+100+300)</f>
        <v>7.5094095695722345</v>
      </c>
      <c r="AC112" s="45">
        <f>(M112*'RAP TEMPLATE-GAS AVAILABILITY'!O111+N112*'RAP TEMPLATE-GAS AVAILABILITY'!P111+O112*'RAP TEMPLATE-GAS AVAILABILITY'!Q111+P112*'RAP TEMPLATE-GAS AVAILABILITY'!R111)/('RAP TEMPLATE-GAS AVAILABILITY'!O111+'RAP TEMPLATE-GAS AVAILABILITY'!P111+'RAP TEMPLATE-GAS AVAILABILITY'!Q111+'RAP TEMPLATE-GAS AVAILABILITY'!R111)</f>
        <v>7.3879553956834529</v>
      </c>
    </row>
    <row r="113" spans="1:29" ht="15.75" x14ac:dyDescent="0.25">
      <c r="A113" s="13">
        <v>44317</v>
      </c>
      <c r="B113" s="14">
        <f>CHOOSE(CONTROL!$C$42, 7.5586, 7.5586) * CHOOSE(CONTROL!$C$21, $C$9, 100%, $E$9)</f>
        <v>7.5586000000000002</v>
      </c>
      <c r="C113" s="14">
        <f>CHOOSE(CONTROL!$C$42, 7.5666, 7.5666) * CHOOSE(CONTROL!$C$21, $C$9, 100%, $E$9)</f>
        <v>7.5666000000000002</v>
      </c>
      <c r="D113" s="14">
        <f>CHOOSE(CONTROL!$C$42, 7.7706, 7.7706) * CHOOSE(CONTROL!$C$21, $C$9, 100%, $E$9)</f>
        <v>7.7706</v>
      </c>
      <c r="E113" s="14">
        <f>CHOOSE(CONTROL!$C$42, 7.802, 7.802) * CHOOSE(CONTROL!$C$21, $C$9, 100%, $E$9)</f>
        <v>7.8019999999999996</v>
      </c>
      <c r="F113" s="14">
        <f>CHOOSE(CONTROL!$C$42, 7.5393, 7.5393)*CHOOSE(CONTROL!$C$21, $C$9, 100%, $E$9)</f>
        <v>7.5392999999999999</v>
      </c>
      <c r="G113" s="14">
        <f>CHOOSE(CONTROL!$C$42, 7.555, 7.555)*CHOOSE(CONTROL!$C$21, $C$9, 100%, $E$9)</f>
        <v>7.5549999999999997</v>
      </c>
      <c r="H113" s="14">
        <f>CHOOSE(CONTROL!$C$42, 7.7907, 7.7907) * CHOOSE(CONTROL!$C$21, $C$9, 100%, $E$9)</f>
        <v>7.7907000000000002</v>
      </c>
      <c r="I113" s="14">
        <f>CHOOSE(CONTROL!$C$42, 7.5877, 7.5877)* CHOOSE(CONTROL!$C$21, $C$9, 100%, $E$9)</f>
        <v>7.5876999999999999</v>
      </c>
      <c r="J113" s="14">
        <f>CHOOSE(CONTROL!$C$42, 7.5323, 7.5323)* CHOOSE(CONTROL!$C$21, $C$9, 100%, $E$9)</f>
        <v>7.5323000000000002</v>
      </c>
      <c r="K113" s="53">
        <f>CHOOSE(CONTROL!$C$42, 7.5838, 7.5838) * CHOOSE(CONTROL!$C$21, $C$9, 100%, $E$9)</f>
        <v>7.5838000000000001</v>
      </c>
      <c r="L113" s="14">
        <f>CHOOSE(CONTROL!$C$42, 8.3777, 8.3777) * CHOOSE(CONTROL!$C$21, $C$9, 100%, $E$9)</f>
        <v>8.3777000000000008</v>
      </c>
      <c r="M113" s="14">
        <f>CHOOSE(CONTROL!$C$42, 7.3857, 7.3857) * CHOOSE(CONTROL!$C$21, $C$9, 100%, $E$9)</f>
        <v>7.3856999999999999</v>
      </c>
      <c r="N113" s="14">
        <f>CHOOSE(CONTROL!$C$42, 7.401, 7.401) * CHOOSE(CONTROL!$C$21, $C$9, 100%, $E$9)</f>
        <v>7.4009999999999998</v>
      </c>
      <c r="O113" s="14">
        <f>CHOOSE(CONTROL!$C$42, 7.6387, 7.6387) * CHOOSE(CONTROL!$C$21, $C$9, 100%, $E$9)</f>
        <v>7.6387</v>
      </c>
      <c r="P113" s="14">
        <f>CHOOSE(CONTROL!$C$42, 7.4395, 7.4395) * CHOOSE(CONTROL!$C$21, $C$9, 100%, $E$9)</f>
        <v>7.4394999999999998</v>
      </c>
      <c r="Q113" s="14">
        <f>CHOOSE(CONTROL!$C$42, 8.2334, 8.2334) * CHOOSE(CONTROL!$C$21, $C$9, 100%, $E$9)</f>
        <v>8.2333999999999996</v>
      </c>
      <c r="R113" s="14">
        <f>CHOOSE(CONTROL!$C$42, 8.841, 8.841) * CHOOSE(CONTROL!$C$21, $C$9, 100%, $E$9)</f>
        <v>8.8409999999999993</v>
      </c>
      <c r="S113" s="14">
        <f>CHOOSE(CONTROL!$C$42, 7.2524, 7.2524) * CHOOSE(CONTROL!$C$21, $C$9, 100%, $E$9)</f>
        <v>7.2523999999999997</v>
      </c>
      <c r="T11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13" s="57">
        <f>(1000*CHOOSE(CONTROL!$C$42, 695, 695)*CHOOSE(CONTROL!$C$42, 0.5599, 0.5599)*CHOOSE(CONTROL!$C$42, 31, 31))/1000000</f>
        <v>12.063045499999998</v>
      </c>
      <c r="V113" s="57">
        <f>(1000*CHOOSE(CONTROL!$C$42, 500, 500)*CHOOSE(CONTROL!$C$42, 0.275, 0.275)*CHOOSE(CONTROL!$C$42, 31, 31))/1000000</f>
        <v>4.2625000000000002</v>
      </c>
      <c r="W113" s="57">
        <f>(1000*CHOOSE(CONTROL!$C$42, 0.1146, 0.1146)*CHOOSE(CONTROL!$C$42, 121.5, 121.5)*CHOOSE(CONTROL!$C$42, 31, 31))/1000000</f>
        <v>0.43164089999999994</v>
      </c>
      <c r="X113" s="57">
        <f>(31*0.1790888*245000/1000000)+(31*0.2374*100000/1000000)</f>
        <v>2.0961194359999999</v>
      </c>
      <c r="Y113" s="57"/>
      <c r="Z113" s="14"/>
      <c r="AA113" s="56"/>
      <c r="AB113" s="50">
        <f>(B113*194.205+C113*267.466+D113*133.845+E113*53.484+F113*40+G113*185+H113*0+I113*100+J113*300)/(194.205+267.466+133.845+53.484+0+40+185+100+300)</f>
        <v>7.5877325538461546</v>
      </c>
      <c r="AC113" s="45">
        <f>(M113*'RAP TEMPLATE-GAS AVAILABILITY'!O112+N113*'RAP TEMPLATE-GAS AVAILABILITY'!P112+O113*'RAP TEMPLATE-GAS AVAILABILITY'!Q112+P113*'RAP TEMPLATE-GAS AVAILABILITY'!R112)/('RAP TEMPLATE-GAS AVAILABILITY'!O112+'RAP TEMPLATE-GAS AVAILABILITY'!P112+'RAP TEMPLATE-GAS AVAILABILITY'!Q112+'RAP TEMPLATE-GAS AVAILABILITY'!R112)</f>
        <v>7.4679489208633081</v>
      </c>
    </row>
    <row r="114" spans="1:29" ht="15.75" x14ac:dyDescent="0.25">
      <c r="A114" s="13">
        <v>44348</v>
      </c>
      <c r="B114" s="14">
        <f>CHOOSE(CONTROL!$C$42, 7.7887, 7.7887) * CHOOSE(CONTROL!$C$21, $C$9, 100%, $E$9)</f>
        <v>7.7887000000000004</v>
      </c>
      <c r="C114" s="14">
        <f>CHOOSE(CONTROL!$C$42, 7.7967, 7.7967) * CHOOSE(CONTROL!$C$21, $C$9, 100%, $E$9)</f>
        <v>7.7967000000000004</v>
      </c>
      <c r="D114" s="14">
        <f>CHOOSE(CONTROL!$C$42, 8.0006, 8.0006) * CHOOSE(CONTROL!$C$21, $C$9, 100%, $E$9)</f>
        <v>8.0006000000000004</v>
      </c>
      <c r="E114" s="14">
        <f>CHOOSE(CONTROL!$C$42, 8.0321, 8.0321) * CHOOSE(CONTROL!$C$21, $C$9, 100%, $E$9)</f>
        <v>8.0320999999999998</v>
      </c>
      <c r="F114" s="14">
        <f>CHOOSE(CONTROL!$C$42, 7.7698, 7.7698)*CHOOSE(CONTROL!$C$21, $C$9, 100%, $E$9)</f>
        <v>7.7698</v>
      </c>
      <c r="G114" s="14">
        <f>CHOOSE(CONTROL!$C$42, 7.7856, 7.7856)*CHOOSE(CONTROL!$C$21, $C$9, 100%, $E$9)</f>
        <v>7.7855999999999996</v>
      </c>
      <c r="H114" s="14">
        <f>CHOOSE(CONTROL!$C$42, 8.0207, 8.0207) * CHOOSE(CONTROL!$C$21, $C$9, 100%, $E$9)</f>
        <v>8.0206999999999997</v>
      </c>
      <c r="I114" s="14">
        <f>CHOOSE(CONTROL!$C$42, 7.8185, 7.8185)* CHOOSE(CONTROL!$C$21, $C$9, 100%, $E$9)</f>
        <v>7.8185000000000002</v>
      </c>
      <c r="J114" s="14">
        <f>CHOOSE(CONTROL!$C$42, 7.7628, 7.7628)* CHOOSE(CONTROL!$C$21, $C$9, 100%, $E$9)</f>
        <v>7.7628000000000004</v>
      </c>
      <c r="K114" s="53">
        <f>CHOOSE(CONTROL!$C$42, 7.8146, 7.8146) * CHOOSE(CONTROL!$C$21, $C$9, 100%, $E$9)</f>
        <v>7.8146000000000004</v>
      </c>
      <c r="L114" s="14">
        <f>CHOOSE(CONTROL!$C$42, 8.6077, 8.6077) * CHOOSE(CONTROL!$C$21, $C$9, 100%, $E$9)</f>
        <v>8.6076999999999995</v>
      </c>
      <c r="M114" s="14">
        <f>CHOOSE(CONTROL!$C$42, 7.6115, 7.6115) * CHOOSE(CONTROL!$C$21, $C$9, 100%, $E$9)</f>
        <v>7.6115000000000004</v>
      </c>
      <c r="N114" s="14">
        <f>CHOOSE(CONTROL!$C$42, 7.6269, 7.6269) * CHOOSE(CONTROL!$C$21, $C$9, 100%, $E$9)</f>
        <v>7.6269</v>
      </c>
      <c r="O114" s="14">
        <f>CHOOSE(CONTROL!$C$42, 7.8641, 7.8641) * CHOOSE(CONTROL!$C$21, $C$9, 100%, $E$9)</f>
        <v>7.8640999999999996</v>
      </c>
      <c r="P114" s="14">
        <f>CHOOSE(CONTROL!$C$42, 7.6656, 7.6656) * CHOOSE(CONTROL!$C$21, $C$9, 100%, $E$9)</f>
        <v>7.6656000000000004</v>
      </c>
      <c r="Q114" s="14">
        <f>CHOOSE(CONTROL!$C$42, 8.4588, 8.4588) * CHOOSE(CONTROL!$C$21, $C$9, 100%, $E$9)</f>
        <v>8.4588000000000001</v>
      </c>
      <c r="R114" s="14">
        <f>CHOOSE(CONTROL!$C$42, 9.0669, 9.0669) * CHOOSE(CONTROL!$C$21, $C$9, 100%, $E$9)</f>
        <v>9.0669000000000004</v>
      </c>
      <c r="S114" s="14">
        <f>CHOOSE(CONTROL!$C$42, 7.4735, 7.4735) * CHOOSE(CONTROL!$C$21, $C$9, 100%, $E$9)</f>
        <v>7.4734999999999996</v>
      </c>
      <c r="T11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14" s="57">
        <f>(1000*CHOOSE(CONTROL!$C$42, 695, 695)*CHOOSE(CONTROL!$C$42, 0.5599, 0.5599)*CHOOSE(CONTROL!$C$42, 30, 30))/1000000</f>
        <v>11.673914999999997</v>
      </c>
      <c r="V114" s="57">
        <f>(1000*CHOOSE(CONTROL!$C$42, 500, 500)*CHOOSE(CONTROL!$C$42, 0.275, 0.275)*CHOOSE(CONTROL!$C$42, 30, 30))/1000000</f>
        <v>4.125</v>
      </c>
      <c r="W114" s="57">
        <f>(1000*CHOOSE(CONTROL!$C$42, 0.1146, 0.1146)*CHOOSE(CONTROL!$C$42, 121.5, 121.5)*CHOOSE(CONTROL!$C$42, 30, 30))/1000000</f>
        <v>0.417717</v>
      </c>
      <c r="X114" s="57">
        <f>(30*0.1790888*245000/1000000)+(30*0.2374*100000/1000000)</f>
        <v>2.0285026799999999</v>
      </c>
      <c r="Y114" s="57"/>
      <c r="Z114" s="14"/>
      <c r="AA114" s="56"/>
      <c r="AB114" s="50">
        <f>(B114*194.205+C114*267.466+D114*133.845+E114*53.484+F114*40+G114*185+H114*0+I114*100+J114*300)/(194.205+267.466+133.845+53.484+0+40+185+100+300)</f>
        <v>7.8180563493720578</v>
      </c>
      <c r="AC114" s="45">
        <f>(M114*'RAP TEMPLATE-GAS AVAILABILITY'!O113+N114*'RAP TEMPLATE-GAS AVAILABILITY'!P113+O114*'RAP TEMPLATE-GAS AVAILABILITY'!Q113+P114*'RAP TEMPLATE-GAS AVAILABILITY'!R113)/('RAP TEMPLATE-GAS AVAILABILITY'!O113+'RAP TEMPLATE-GAS AVAILABILITY'!P113+'RAP TEMPLATE-GAS AVAILABILITY'!Q113+'RAP TEMPLATE-GAS AVAILABILITY'!R113)</f>
        <v>7.6937028776978424</v>
      </c>
    </row>
    <row r="115" spans="1:29" ht="15.75" x14ac:dyDescent="0.25">
      <c r="A115" s="13">
        <v>44378</v>
      </c>
      <c r="B115" s="14">
        <f>CHOOSE(CONTROL!$C$42, 7.6552, 7.6552) * CHOOSE(CONTROL!$C$21, $C$9, 100%, $E$9)</f>
        <v>7.6551999999999998</v>
      </c>
      <c r="C115" s="14">
        <f>CHOOSE(CONTROL!$C$42, 7.6632, 7.6632) * CHOOSE(CONTROL!$C$21, $C$9, 100%, $E$9)</f>
        <v>7.6631999999999998</v>
      </c>
      <c r="D115" s="14">
        <f>CHOOSE(CONTROL!$C$42, 7.8671, 7.8671) * CHOOSE(CONTROL!$C$21, $C$9, 100%, $E$9)</f>
        <v>7.8670999999999998</v>
      </c>
      <c r="E115" s="14">
        <f>CHOOSE(CONTROL!$C$42, 7.8986, 7.8986) * CHOOSE(CONTROL!$C$21, $C$9, 100%, $E$9)</f>
        <v>7.8986000000000001</v>
      </c>
      <c r="F115" s="14">
        <f>CHOOSE(CONTROL!$C$42, 7.6368, 7.6368)*CHOOSE(CONTROL!$C$21, $C$9, 100%, $E$9)</f>
        <v>7.6368</v>
      </c>
      <c r="G115" s="14">
        <f>CHOOSE(CONTROL!$C$42, 7.6527, 7.6527)*CHOOSE(CONTROL!$C$21, $C$9, 100%, $E$9)</f>
        <v>7.6527000000000003</v>
      </c>
      <c r="H115" s="14">
        <f>CHOOSE(CONTROL!$C$42, 7.8872, 7.8872) * CHOOSE(CONTROL!$C$21, $C$9, 100%, $E$9)</f>
        <v>7.8872</v>
      </c>
      <c r="I115" s="14">
        <f>CHOOSE(CONTROL!$C$42, 7.6846, 7.6846)* CHOOSE(CONTROL!$C$21, $C$9, 100%, $E$9)</f>
        <v>7.6845999999999997</v>
      </c>
      <c r="J115" s="14">
        <f>CHOOSE(CONTROL!$C$42, 7.6298, 7.6298)* CHOOSE(CONTROL!$C$21, $C$9, 100%, $E$9)</f>
        <v>7.6298000000000004</v>
      </c>
      <c r="K115" s="53">
        <f>CHOOSE(CONTROL!$C$42, 7.6807, 7.6807) * CHOOSE(CONTROL!$C$21, $C$9, 100%, $E$9)</f>
        <v>7.6806999999999999</v>
      </c>
      <c r="L115" s="14">
        <f>CHOOSE(CONTROL!$C$42, 8.4742, 8.4742) * CHOOSE(CONTROL!$C$21, $C$9, 100%, $E$9)</f>
        <v>8.4741999999999997</v>
      </c>
      <c r="M115" s="14">
        <f>CHOOSE(CONTROL!$C$42, 7.4812, 7.4812) * CHOOSE(CONTROL!$C$21, $C$9, 100%, $E$9)</f>
        <v>7.4812000000000003</v>
      </c>
      <c r="N115" s="14">
        <f>CHOOSE(CONTROL!$C$42, 7.4967, 7.4967) * CHOOSE(CONTROL!$C$21, $C$9, 100%, $E$9)</f>
        <v>7.4966999999999997</v>
      </c>
      <c r="O115" s="14">
        <f>CHOOSE(CONTROL!$C$42, 7.7333, 7.7333) * CHOOSE(CONTROL!$C$21, $C$9, 100%, $E$9)</f>
        <v>7.7332999999999998</v>
      </c>
      <c r="P115" s="14">
        <f>CHOOSE(CONTROL!$C$42, 7.5344, 7.5344) * CHOOSE(CONTROL!$C$21, $C$9, 100%, $E$9)</f>
        <v>7.5343999999999998</v>
      </c>
      <c r="Q115" s="14">
        <f>CHOOSE(CONTROL!$C$42, 8.328, 8.328) * CHOOSE(CONTROL!$C$21, $C$9, 100%, $E$9)</f>
        <v>8.3279999999999994</v>
      </c>
      <c r="R115" s="14">
        <f>CHOOSE(CONTROL!$C$42, 8.9358, 8.9358) * CHOOSE(CONTROL!$C$21, $C$9, 100%, $E$9)</f>
        <v>8.9358000000000004</v>
      </c>
      <c r="S115" s="14">
        <f>CHOOSE(CONTROL!$C$42, 7.3452, 7.3452) * CHOOSE(CONTROL!$C$21, $C$9, 100%, $E$9)</f>
        <v>7.3452000000000002</v>
      </c>
      <c r="T11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15" s="57">
        <f>(1000*CHOOSE(CONTROL!$C$42, 695, 695)*CHOOSE(CONTROL!$C$42, 0.5599, 0.5599)*CHOOSE(CONTROL!$C$42, 31, 31))/1000000</f>
        <v>12.063045499999998</v>
      </c>
      <c r="V115" s="57">
        <f>(1000*CHOOSE(CONTROL!$C$42, 500, 500)*CHOOSE(CONTROL!$C$42, 0.275, 0.275)*CHOOSE(CONTROL!$C$42, 31, 31))/1000000</f>
        <v>4.2625000000000002</v>
      </c>
      <c r="W115" s="57">
        <f>(1000*CHOOSE(CONTROL!$C$42, 0.1146, 0.1146)*CHOOSE(CONTROL!$C$42, 121.5, 121.5)*CHOOSE(CONTROL!$C$42, 31, 31))/1000000</f>
        <v>0.43164089999999994</v>
      </c>
      <c r="X115" s="57">
        <f>(31*0.1790888*245000/1000000)+(31*0.2374*100000/1000000)</f>
        <v>2.0961194359999999</v>
      </c>
      <c r="Y115" s="57"/>
      <c r="Z115" s="14"/>
      <c r="AA115" s="56"/>
      <c r="AB115" s="50">
        <f>(B115*194.205+C115*267.466+D115*133.845+E115*53.484+F115*40+G115*185+H115*0+I115*100+J115*300)/(194.205+267.466+133.845+53.484+0+40+185+100+300)</f>
        <v>7.684745517346939</v>
      </c>
      <c r="AC115" s="45">
        <f>(M115*'RAP TEMPLATE-GAS AVAILABILITY'!O114+N115*'RAP TEMPLATE-GAS AVAILABILITY'!P114+O115*'RAP TEMPLATE-GAS AVAILABILITY'!Q114+P115*'RAP TEMPLATE-GAS AVAILABILITY'!R114)/('RAP TEMPLATE-GAS AVAILABILITY'!O114+'RAP TEMPLATE-GAS AVAILABILITY'!P114+'RAP TEMPLATE-GAS AVAILABILITY'!Q114+'RAP TEMPLATE-GAS AVAILABILITY'!R114)</f>
        <v>7.5631561151079127</v>
      </c>
    </row>
    <row r="116" spans="1:29" ht="15.75" x14ac:dyDescent="0.25">
      <c r="A116" s="13">
        <v>44409</v>
      </c>
      <c r="B116" s="14">
        <f>CHOOSE(CONTROL!$C$42, 7.2926, 7.2926) * CHOOSE(CONTROL!$C$21, $C$9, 100%, $E$9)</f>
        <v>7.2926000000000002</v>
      </c>
      <c r="C116" s="14">
        <f>CHOOSE(CONTROL!$C$42, 7.3006, 7.3006) * CHOOSE(CONTROL!$C$21, $C$9, 100%, $E$9)</f>
        <v>7.3006000000000002</v>
      </c>
      <c r="D116" s="14">
        <f>CHOOSE(CONTROL!$C$42, 7.5046, 7.5046) * CHOOSE(CONTROL!$C$21, $C$9, 100%, $E$9)</f>
        <v>7.5045999999999999</v>
      </c>
      <c r="E116" s="14">
        <f>CHOOSE(CONTROL!$C$42, 7.536, 7.536) * CHOOSE(CONTROL!$C$21, $C$9, 100%, $E$9)</f>
        <v>7.5359999999999996</v>
      </c>
      <c r="F116" s="14">
        <f>CHOOSE(CONTROL!$C$42, 7.2745, 7.2745)*CHOOSE(CONTROL!$C$21, $C$9, 100%, $E$9)</f>
        <v>7.2744999999999997</v>
      </c>
      <c r="G116" s="14">
        <f>CHOOSE(CONTROL!$C$42, 7.2904, 7.2904)*CHOOSE(CONTROL!$C$21, $C$9, 100%, $E$9)</f>
        <v>7.2904</v>
      </c>
      <c r="H116" s="14">
        <f>CHOOSE(CONTROL!$C$42, 7.5247, 7.5247) * CHOOSE(CONTROL!$C$21, $C$9, 100%, $E$9)</f>
        <v>7.5247000000000002</v>
      </c>
      <c r="I116" s="14">
        <f>CHOOSE(CONTROL!$C$42, 7.3209, 7.3209)* CHOOSE(CONTROL!$C$21, $C$9, 100%, $E$9)</f>
        <v>7.3209</v>
      </c>
      <c r="J116" s="14">
        <f>CHOOSE(CONTROL!$C$42, 7.2675, 7.2675)* CHOOSE(CONTROL!$C$21, $C$9, 100%, $E$9)</f>
        <v>7.2675000000000001</v>
      </c>
      <c r="K116" s="53">
        <f>CHOOSE(CONTROL!$C$42, 7.317, 7.317) * CHOOSE(CONTROL!$C$21, $C$9, 100%, $E$9)</f>
        <v>7.3170000000000002</v>
      </c>
      <c r="L116" s="14">
        <f>CHOOSE(CONTROL!$C$42, 8.1117, 8.1117) * CHOOSE(CONTROL!$C$21, $C$9, 100%, $E$9)</f>
        <v>8.1117000000000008</v>
      </c>
      <c r="M116" s="14">
        <f>CHOOSE(CONTROL!$C$42, 7.1263, 7.1263) * CHOOSE(CONTROL!$C$21, $C$9, 100%, $E$9)</f>
        <v>7.1262999999999996</v>
      </c>
      <c r="N116" s="14">
        <f>CHOOSE(CONTROL!$C$42, 7.1419, 7.1419) * CHOOSE(CONTROL!$C$21, $C$9, 100%, $E$9)</f>
        <v>7.1418999999999997</v>
      </c>
      <c r="O116" s="14">
        <f>CHOOSE(CONTROL!$C$42, 7.3782, 7.3782) * CHOOSE(CONTROL!$C$21, $C$9, 100%, $E$9)</f>
        <v>7.3781999999999996</v>
      </c>
      <c r="P116" s="14">
        <f>CHOOSE(CONTROL!$C$42, 7.1782, 7.1782) * CHOOSE(CONTROL!$C$21, $C$9, 100%, $E$9)</f>
        <v>7.1782000000000004</v>
      </c>
      <c r="Q116" s="14">
        <f>CHOOSE(CONTROL!$C$42, 7.9729, 7.9729) * CHOOSE(CONTROL!$C$21, $C$9, 100%, $E$9)</f>
        <v>7.9729000000000001</v>
      </c>
      <c r="R116" s="14">
        <f>CHOOSE(CONTROL!$C$42, 8.5798, 8.5798) * CHOOSE(CONTROL!$C$21, $C$9, 100%, $E$9)</f>
        <v>8.5798000000000005</v>
      </c>
      <c r="S116" s="14">
        <f>CHOOSE(CONTROL!$C$42, 6.9968, 6.9968) * CHOOSE(CONTROL!$C$21, $C$9, 100%, $E$9)</f>
        <v>6.9968000000000004</v>
      </c>
      <c r="T11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16" s="57">
        <f>(1000*CHOOSE(CONTROL!$C$42, 695, 695)*CHOOSE(CONTROL!$C$42, 0.5599, 0.5599)*CHOOSE(CONTROL!$C$42, 31, 31))/1000000</f>
        <v>12.063045499999998</v>
      </c>
      <c r="V116" s="57">
        <f>(1000*CHOOSE(CONTROL!$C$42, 500, 500)*CHOOSE(CONTROL!$C$42, 0.275, 0.275)*CHOOSE(CONTROL!$C$42, 31, 31))/1000000</f>
        <v>4.2625000000000002</v>
      </c>
      <c r="W116" s="57">
        <f>(1000*CHOOSE(CONTROL!$C$42, 0.1146, 0.1146)*CHOOSE(CONTROL!$C$42, 121.5, 121.5)*CHOOSE(CONTROL!$C$42, 31, 31))/1000000</f>
        <v>0.43164089999999994</v>
      </c>
      <c r="X116" s="57">
        <f>(31*0.1790888*245000/1000000)+(31*0.2374*100000/1000000)</f>
        <v>2.0961194359999999</v>
      </c>
      <c r="Y116" s="57"/>
      <c r="Z116" s="14"/>
      <c r="AA116" s="56"/>
      <c r="AB116" s="50">
        <f>(B116*194.205+C116*267.466+D116*133.845+E116*53.484+F116*40+G116*185+H116*0+I116*100+J116*300)/(194.205+267.466+133.845+53.484+0+40+185+100+300)</f>
        <v>7.3221933073783365</v>
      </c>
      <c r="AC116" s="45">
        <f>(M116*'RAP TEMPLATE-GAS AVAILABILITY'!O115+N116*'RAP TEMPLATE-GAS AVAILABILITY'!P115+O116*'RAP TEMPLATE-GAS AVAILABILITY'!Q115+P116*'RAP TEMPLATE-GAS AVAILABILITY'!R115)/('RAP TEMPLATE-GAS AVAILABILITY'!O115+'RAP TEMPLATE-GAS AVAILABILITY'!P115+'RAP TEMPLATE-GAS AVAILABILITY'!Q115+'RAP TEMPLATE-GAS AVAILABILITY'!R115)</f>
        <v>7.20803597122302</v>
      </c>
    </row>
    <row r="117" spans="1:29" ht="15.75" x14ac:dyDescent="0.25">
      <c r="A117" s="13">
        <v>44440</v>
      </c>
      <c r="B117" s="14">
        <f>CHOOSE(CONTROL!$C$42, 6.8441, 6.8441) * CHOOSE(CONTROL!$C$21, $C$9, 100%, $E$9)</f>
        <v>6.8441000000000001</v>
      </c>
      <c r="C117" s="14">
        <f>CHOOSE(CONTROL!$C$42, 6.8521, 6.8521) * CHOOSE(CONTROL!$C$21, $C$9, 100%, $E$9)</f>
        <v>6.8521000000000001</v>
      </c>
      <c r="D117" s="14">
        <f>CHOOSE(CONTROL!$C$42, 7.056, 7.056) * CHOOSE(CONTROL!$C$21, $C$9, 100%, $E$9)</f>
        <v>7.056</v>
      </c>
      <c r="E117" s="14">
        <f>CHOOSE(CONTROL!$C$42, 7.0875, 7.0875) * CHOOSE(CONTROL!$C$21, $C$9, 100%, $E$9)</f>
        <v>7.0875000000000004</v>
      </c>
      <c r="F117" s="14">
        <f>CHOOSE(CONTROL!$C$42, 6.826, 6.826)*CHOOSE(CONTROL!$C$21, $C$9, 100%, $E$9)</f>
        <v>6.8259999999999996</v>
      </c>
      <c r="G117" s="14">
        <f>CHOOSE(CONTROL!$C$42, 6.8419, 6.8419)*CHOOSE(CONTROL!$C$21, $C$9, 100%, $E$9)</f>
        <v>6.8418999999999999</v>
      </c>
      <c r="H117" s="14">
        <f>CHOOSE(CONTROL!$C$42, 7.0761, 7.0761) * CHOOSE(CONTROL!$C$21, $C$9, 100%, $E$9)</f>
        <v>7.0761000000000003</v>
      </c>
      <c r="I117" s="14">
        <f>CHOOSE(CONTROL!$C$42, 6.8709, 6.8709)* CHOOSE(CONTROL!$C$21, $C$9, 100%, $E$9)</f>
        <v>6.8708999999999998</v>
      </c>
      <c r="J117" s="14">
        <f>CHOOSE(CONTROL!$C$42, 6.819, 6.819)* CHOOSE(CONTROL!$C$21, $C$9, 100%, $E$9)</f>
        <v>6.819</v>
      </c>
      <c r="K117" s="53">
        <f>CHOOSE(CONTROL!$C$42, 6.867, 6.867) * CHOOSE(CONTROL!$C$21, $C$9, 100%, $E$9)</f>
        <v>6.867</v>
      </c>
      <c r="L117" s="14">
        <f>CHOOSE(CONTROL!$C$42, 7.6631, 7.6631) * CHOOSE(CONTROL!$C$21, $C$9, 100%, $E$9)</f>
        <v>7.6631</v>
      </c>
      <c r="M117" s="14">
        <f>CHOOSE(CONTROL!$C$42, 6.6869, 6.6869) * CHOOSE(CONTROL!$C$21, $C$9, 100%, $E$9)</f>
        <v>6.6868999999999996</v>
      </c>
      <c r="N117" s="14">
        <f>CHOOSE(CONTROL!$C$42, 6.7026, 6.7026) * CHOOSE(CONTROL!$C$21, $C$9, 100%, $E$9)</f>
        <v>6.7026000000000003</v>
      </c>
      <c r="O117" s="14">
        <f>CHOOSE(CONTROL!$C$42, 6.9388, 6.9388) * CHOOSE(CONTROL!$C$21, $C$9, 100%, $E$9)</f>
        <v>6.9387999999999996</v>
      </c>
      <c r="P117" s="14">
        <f>CHOOSE(CONTROL!$C$42, 6.7375, 6.7375) * CHOOSE(CONTROL!$C$21, $C$9, 100%, $E$9)</f>
        <v>6.7374999999999998</v>
      </c>
      <c r="Q117" s="14">
        <f>CHOOSE(CONTROL!$C$42, 7.5335, 7.5335) * CHOOSE(CONTROL!$C$21, $C$9, 100%, $E$9)</f>
        <v>7.5335000000000001</v>
      </c>
      <c r="R117" s="14">
        <f>CHOOSE(CONTROL!$C$42, 8.1394, 8.1394) * CHOOSE(CONTROL!$C$21, $C$9, 100%, $E$9)</f>
        <v>8.1394000000000002</v>
      </c>
      <c r="S117" s="14">
        <f>CHOOSE(CONTROL!$C$42, 6.5658, 6.5658) * CHOOSE(CONTROL!$C$21, $C$9, 100%, $E$9)</f>
        <v>6.5658000000000003</v>
      </c>
      <c r="T11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17" s="57">
        <f>(1000*CHOOSE(CONTROL!$C$42, 695, 695)*CHOOSE(CONTROL!$C$42, 0.5599, 0.5599)*CHOOSE(CONTROL!$C$42, 30, 30))/1000000</f>
        <v>11.673914999999997</v>
      </c>
      <c r="V117" s="57">
        <f>(1000*CHOOSE(CONTROL!$C$42, 500, 500)*CHOOSE(CONTROL!$C$42, 0.275, 0.275)*CHOOSE(CONTROL!$C$42, 30, 30))/1000000</f>
        <v>4.125</v>
      </c>
      <c r="W117" s="57">
        <f>(1000*CHOOSE(CONTROL!$C$42, 0.1146, 0.1146)*CHOOSE(CONTROL!$C$42, 121.5, 121.5)*CHOOSE(CONTROL!$C$42, 30, 30))/1000000</f>
        <v>0.417717</v>
      </c>
      <c r="X117" s="57">
        <f>(30*0.1790888*245000/1000000)+(30*0.2374*100000/1000000)</f>
        <v>2.0285026799999999</v>
      </c>
      <c r="Y117" s="57"/>
      <c r="Z117" s="14"/>
      <c r="AA117" s="56"/>
      <c r="AB117" s="50">
        <f>(B117*194.205+C117*267.466+D117*133.845+E117*53.484+F117*40+G117*185+H117*0+I117*100+J117*300)/(194.205+267.466+133.845+53.484+0+40+185+100+300)</f>
        <v>6.8735650620879136</v>
      </c>
      <c r="AC117" s="45">
        <f>(M117*'RAP TEMPLATE-GAS AVAILABILITY'!O116+N117*'RAP TEMPLATE-GAS AVAILABILITY'!P116+O117*'RAP TEMPLATE-GAS AVAILABILITY'!Q116+P117*'RAP TEMPLATE-GAS AVAILABILITY'!R116)/('RAP TEMPLATE-GAS AVAILABILITY'!O116+'RAP TEMPLATE-GAS AVAILABILITY'!P116+'RAP TEMPLATE-GAS AVAILABILITY'!Q116+'RAP TEMPLATE-GAS AVAILABILITY'!R116)</f>
        <v>6.7684719424460429</v>
      </c>
    </row>
    <row r="118" spans="1:29" ht="15.75" x14ac:dyDescent="0.25">
      <c r="A118" s="13">
        <v>44470</v>
      </c>
      <c r="B118" s="14">
        <f>CHOOSE(CONTROL!$C$42, 6.7174, 6.7174) * CHOOSE(CONTROL!$C$21, $C$9, 100%, $E$9)</f>
        <v>6.7173999999999996</v>
      </c>
      <c r="C118" s="14">
        <f>CHOOSE(CONTROL!$C$42, 6.7227, 6.7227) * CHOOSE(CONTROL!$C$21, $C$9, 100%, $E$9)</f>
        <v>6.7226999999999997</v>
      </c>
      <c r="D118" s="14">
        <f>CHOOSE(CONTROL!$C$42, 6.9316, 6.9316) * CHOOSE(CONTROL!$C$21, $C$9, 100%, $E$9)</f>
        <v>6.9316000000000004</v>
      </c>
      <c r="E118" s="14">
        <f>CHOOSE(CONTROL!$C$42, 6.9607, 6.9607) * CHOOSE(CONTROL!$C$21, $C$9, 100%, $E$9)</f>
        <v>6.9607000000000001</v>
      </c>
      <c r="F118" s="14">
        <f>CHOOSE(CONTROL!$C$42, 6.7013, 6.7013)*CHOOSE(CONTROL!$C$21, $C$9, 100%, $E$9)</f>
        <v>6.7012999999999998</v>
      </c>
      <c r="G118" s="14">
        <f>CHOOSE(CONTROL!$C$42, 6.717, 6.717)*CHOOSE(CONTROL!$C$21, $C$9, 100%, $E$9)</f>
        <v>6.7169999999999996</v>
      </c>
      <c r="H118" s="14">
        <f>CHOOSE(CONTROL!$C$42, 6.9512, 6.9512) * CHOOSE(CONTROL!$C$21, $C$9, 100%, $E$9)</f>
        <v>6.9512</v>
      </c>
      <c r="I118" s="14">
        <f>CHOOSE(CONTROL!$C$42, 6.7456, 6.7456)* CHOOSE(CONTROL!$C$21, $C$9, 100%, $E$9)</f>
        <v>6.7455999999999996</v>
      </c>
      <c r="J118" s="14">
        <f>CHOOSE(CONTROL!$C$42, 6.6943, 6.6943)* CHOOSE(CONTROL!$C$21, $C$9, 100%, $E$9)</f>
        <v>6.6943000000000001</v>
      </c>
      <c r="K118" s="53">
        <f>CHOOSE(CONTROL!$C$42, 6.7417, 6.7417) * CHOOSE(CONTROL!$C$21, $C$9, 100%, $E$9)</f>
        <v>6.7416999999999998</v>
      </c>
      <c r="L118" s="14">
        <f>CHOOSE(CONTROL!$C$42, 7.5382, 7.5382) * CHOOSE(CONTROL!$C$21, $C$9, 100%, $E$9)</f>
        <v>7.5381999999999998</v>
      </c>
      <c r="M118" s="14">
        <f>CHOOSE(CONTROL!$C$42, 6.5649, 6.5649) * CHOOSE(CONTROL!$C$21, $C$9, 100%, $E$9)</f>
        <v>6.5648999999999997</v>
      </c>
      <c r="N118" s="14">
        <f>CHOOSE(CONTROL!$C$42, 6.5802, 6.5802) * CHOOSE(CONTROL!$C$21, $C$9, 100%, $E$9)</f>
        <v>6.5801999999999996</v>
      </c>
      <c r="O118" s="14">
        <f>CHOOSE(CONTROL!$C$42, 6.8164, 6.8164) * CHOOSE(CONTROL!$C$21, $C$9, 100%, $E$9)</f>
        <v>6.8163999999999998</v>
      </c>
      <c r="P118" s="14">
        <f>CHOOSE(CONTROL!$C$42, 6.6147, 6.6147) * CHOOSE(CONTROL!$C$21, $C$9, 100%, $E$9)</f>
        <v>6.6147</v>
      </c>
      <c r="Q118" s="14">
        <f>CHOOSE(CONTROL!$C$42, 7.4111, 7.4111) * CHOOSE(CONTROL!$C$21, $C$9, 100%, $E$9)</f>
        <v>7.4111000000000002</v>
      </c>
      <c r="R118" s="14">
        <f>CHOOSE(CONTROL!$C$42, 8.0167, 8.0167) * CHOOSE(CONTROL!$C$21, $C$9, 100%, $E$9)</f>
        <v>8.0167000000000002</v>
      </c>
      <c r="S118" s="14">
        <f>CHOOSE(CONTROL!$C$42, 6.4458, 6.4458) * CHOOSE(CONTROL!$C$21, $C$9, 100%, $E$9)</f>
        <v>6.4458000000000002</v>
      </c>
      <c r="T11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18" s="57">
        <f>(1000*CHOOSE(CONTROL!$C$42, 695, 695)*CHOOSE(CONTROL!$C$42, 0.5599, 0.5599)*CHOOSE(CONTROL!$C$42, 31, 31))/1000000</f>
        <v>12.063045499999998</v>
      </c>
      <c r="V118" s="57">
        <f>(1000*CHOOSE(CONTROL!$C$42, 500, 500)*CHOOSE(CONTROL!$C$42, 0.275, 0.275)*CHOOSE(CONTROL!$C$42, 31, 31))/1000000</f>
        <v>4.2625000000000002</v>
      </c>
      <c r="W118" s="57">
        <f>(1000*CHOOSE(CONTROL!$C$42, 0.1146, 0.1146)*CHOOSE(CONTROL!$C$42, 121.5, 121.5)*CHOOSE(CONTROL!$C$42, 31, 31))/1000000</f>
        <v>0.43164089999999994</v>
      </c>
      <c r="X118" s="57">
        <f>(31*0.1790888*245000/1000000)+(31*0.2374*100000/1000000)</f>
        <v>2.0961194359999999</v>
      </c>
      <c r="Y118" s="57"/>
      <c r="Z118" s="14"/>
      <c r="AA118" s="56"/>
      <c r="AB118" s="50">
        <f>(B118*131.881+C118*277.167+D118*79.08+E118*125.872+F118*40+G118*185+H118*0+I118*100+J118*300)/(131.881+277.167+79.08+125.872+0+40+185+100+300)</f>
        <v>6.7530776260694099</v>
      </c>
      <c r="AC118" s="45">
        <f>(M118*'RAP TEMPLATE-GAS AVAILABILITY'!O117+N118*'RAP TEMPLATE-GAS AVAILABILITY'!P117+O118*'RAP TEMPLATE-GAS AVAILABILITY'!Q117+P118*'RAP TEMPLATE-GAS AVAILABILITY'!R117)/('RAP TEMPLATE-GAS AVAILABILITY'!O117+'RAP TEMPLATE-GAS AVAILABILITY'!P117+'RAP TEMPLATE-GAS AVAILABILITY'!Q117+'RAP TEMPLATE-GAS AVAILABILITY'!R117)</f>
        <v>6.6461525179856116</v>
      </c>
    </row>
    <row r="119" spans="1:29" ht="15.75" x14ac:dyDescent="0.25">
      <c r="A119" s="13">
        <v>44501</v>
      </c>
      <c r="B119" s="14">
        <f>CHOOSE(CONTROL!$C$42, 6.9078, 6.9078) * CHOOSE(CONTROL!$C$21, $C$9, 100%, $E$9)</f>
        <v>6.9077999999999999</v>
      </c>
      <c r="C119" s="14">
        <f>CHOOSE(CONTROL!$C$42, 6.9129, 6.9129) * CHOOSE(CONTROL!$C$21, $C$9, 100%, $E$9)</f>
        <v>6.9128999999999996</v>
      </c>
      <c r="D119" s="14">
        <f>CHOOSE(CONTROL!$C$42, 6.9767, 6.9767) * CHOOSE(CONTROL!$C$21, $C$9, 100%, $E$9)</f>
        <v>6.9767000000000001</v>
      </c>
      <c r="E119" s="14">
        <f>CHOOSE(CONTROL!$C$42, 7.0108, 7.0108) * CHOOSE(CONTROL!$C$21, $C$9, 100%, $E$9)</f>
        <v>7.0107999999999997</v>
      </c>
      <c r="F119" s="14">
        <f>CHOOSE(CONTROL!$C$42, 6.9102, 6.9102)*CHOOSE(CONTROL!$C$21, $C$9, 100%, $E$9)</f>
        <v>6.9101999999999997</v>
      </c>
      <c r="G119" s="14">
        <f>CHOOSE(CONTROL!$C$42, 6.9262, 6.9262)*CHOOSE(CONTROL!$C$21, $C$9, 100%, $E$9)</f>
        <v>6.9261999999999997</v>
      </c>
      <c r="H119" s="14">
        <f>CHOOSE(CONTROL!$C$42, 7, 7) * CHOOSE(CONTROL!$C$21, $C$9, 100%, $E$9)</f>
        <v>7</v>
      </c>
      <c r="I119" s="14">
        <f>CHOOSE(CONTROL!$C$42, 6.9423, 6.9423)* CHOOSE(CONTROL!$C$21, $C$9, 100%, $E$9)</f>
        <v>6.9423000000000004</v>
      </c>
      <c r="J119" s="14">
        <f>CHOOSE(CONTROL!$C$42, 6.9032, 6.9032)* CHOOSE(CONTROL!$C$21, $C$9, 100%, $E$9)</f>
        <v>6.9032</v>
      </c>
      <c r="K119" s="53">
        <f>CHOOSE(CONTROL!$C$42, 6.9384, 6.9384) * CHOOSE(CONTROL!$C$21, $C$9, 100%, $E$9)</f>
        <v>6.9383999999999997</v>
      </c>
      <c r="L119" s="14">
        <f>CHOOSE(CONTROL!$C$42, 7.587, 7.587) * CHOOSE(CONTROL!$C$21, $C$9, 100%, $E$9)</f>
        <v>7.5869999999999997</v>
      </c>
      <c r="M119" s="14">
        <f>CHOOSE(CONTROL!$C$42, 6.7695, 6.7695) * CHOOSE(CONTROL!$C$21, $C$9, 100%, $E$9)</f>
        <v>6.7694999999999999</v>
      </c>
      <c r="N119" s="14">
        <f>CHOOSE(CONTROL!$C$42, 6.7852, 6.7852) * CHOOSE(CONTROL!$C$21, $C$9, 100%, $E$9)</f>
        <v>6.7851999999999997</v>
      </c>
      <c r="O119" s="14">
        <f>CHOOSE(CONTROL!$C$42, 6.8643, 6.8643) * CHOOSE(CONTROL!$C$21, $C$9, 100%, $E$9)</f>
        <v>6.8643000000000001</v>
      </c>
      <c r="P119" s="14">
        <f>CHOOSE(CONTROL!$C$42, 6.8074, 6.8074) * CHOOSE(CONTROL!$C$21, $C$9, 100%, $E$9)</f>
        <v>6.8074000000000003</v>
      </c>
      <c r="Q119" s="14">
        <f>CHOOSE(CONTROL!$C$42, 7.459, 7.459) * CHOOSE(CONTROL!$C$21, $C$9, 100%, $E$9)</f>
        <v>7.4589999999999996</v>
      </c>
      <c r="R119" s="14">
        <f>CHOOSE(CONTROL!$C$42, 8.0646, 8.0646) * CHOOSE(CONTROL!$C$21, $C$9, 100%, $E$9)</f>
        <v>8.0646000000000004</v>
      </c>
      <c r="S119" s="14">
        <f>CHOOSE(CONTROL!$C$42, 6.6292, 6.6292) * CHOOSE(CONTROL!$C$21, $C$9, 100%, $E$9)</f>
        <v>6.6292</v>
      </c>
      <c r="T11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19" s="57">
        <f>(1000*CHOOSE(CONTROL!$C$42, 695, 695)*CHOOSE(CONTROL!$C$42, 0.5599, 0.5599)*CHOOSE(CONTROL!$C$42, 30, 30))/1000000</f>
        <v>11.673914999999997</v>
      </c>
      <c r="V119" s="57">
        <f>(1000*CHOOSE(CONTROL!$C$42, 500, 500)*CHOOSE(CONTROL!$C$42, 0.275, 0.275)*CHOOSE(CONTROL!$C$42, 30, 30))/1000000</f>
        <v>4.125</v>
      </c>
      <c r="W119" s="57">
        <f>(1000*CHOOSE(CONTROL!$C$42, 0.1146, 0.1146)*CHOOSE(CONTROL!$C$42, 121.5, 121.5)*CHOOSE(CONTROL!$C$42, 30, 30))/1000000</f>
        <v>0.417717</v>
      </c>
      <c r="X119" s="57">
        <f>(30*0.1790888*100000/1000000)+(30*0.2374*100000/1000000)</f>
        <v>1.2494664</v>
      </c>
      <c r="Y119" s="57"/>
      <c r="Z119" s="14"/>
      <c r="AA119" s="56"/>
      <c r="AB119" s="50">
        <f>(B119*122.58+C119*297.941+D119*89.177+E119*40.302+F119*40+G119*160+H119*0+I119*100+J119*300)/(122.58+297.941+89.177+40.302+0+40+160+100+300)</f>
        <v>6.9225173046956519</v>
      </c>
      <c r="AC119" s="45">
        <f>(M119*'RAP TEMPLATE-GAS AVAILABILITY'!O118+N119*'RAP TEMPLATE-GAS AVAILABILITY'!P118+O119*'RAP TEMPLATE-GAS AVAILABILITY'!Q118+P119*'RAP TEMPLATE-GAS AVAILABILITY'!R118)/('RAP TEMPLATE-GAS AVAILABILITY'!O118+'RAP TEMPLATE-GAS AVAILABILITY'!P118+'RAP TEMPLATE-GAS AVAILABILITY'!Q118+'RAP TEMPLATE-GAS AVAILABILITY'!R118)</f>
        <v>6.8188237410071952</v>
      </c>
    </row>
    <row r="120" spans="1:29" ht="15.75" x14ac:dyDescent="0.25">
      <c r="A120" s="13">
        <v>44531</v>
      </c>
      <c r="B120" s="14">
        <f>CHOOSE(CONTROL!$C$42, 7.3933, 7.3933) * CHOOSE(CONTROL!$C$21, $C$9, 100%, $E$9)</f>
        <v>7.3933</v>
      </c>
      <c r="C120" s="14">
        <f>CHOOSE(CONTROL!$C$42, 7.3984, 7.3984) * CHOOSE(CONTROL!$C$21, $C$9, 100%, $E$9)</f>
        <v>7.3983999999999996</v>
      </c>
      <c r="D120" s="14">
        <f>CHOOSE(CONTROL!$C$42, 7.4622, 7.4622) * CHOOSE(CONTROL!$C$21, $C$9, 100%, $E$9)</f>
        <v>7.4622000000000002</v>
      </c>
      <c r="E120" s="14">
        <f>CHOOSE(CONTROL!$C$42, 7.4963, 7.4963) * CHOOSE(CONTROL!$C$21, $C$9, 100%, $E$9)</f>
        <v>7.4962999999999997</v>
      </c>
      <c r="F120" s="14">
        <f>CHOOSE(CONTROL!$C$42, 7.398, 7.398)*CHOOSE(CONTROL!$C$21, $C$9, 100%, $E$9)</f>
        <v>7.3979999999999997</v>
      </c>
      <c r="G120" s="14">
        <f>CHOOSE(CONTROL!$C$42, 7.4146, 7.4146)*CHOOSE(CONTROL!$C$21, $C$9, 100%, $E$9)</f>
        <v>7.4146000000000001</v>
      </c>
      <c r="H120" s="14">
        <f>CHOOSE(CONTROL!$C$42, 7.4855, 7.4855) * CHOOSE(CONTROL!$C$21, $C$9, 100%, $E$9)</f>
        <v>7.4855</v>
      </c>
      <c r="I120" s="14">
        <f>CHOOSE(CONTROL!$C$42, 7.4293, 7.4293)* CHOOSE(CONTROL!$C$21, $C$9, 100%, $E$9)</f>
        <v>7.4292999999999996</v>
      </c>
      <c r="J120" s="14">
        <f>CHOOSE(CONTROL!$C$42, 7.391, 7.391)* CHOOSE(CONTROL!$C$21, $C$9, 100%, $E$9)</f>
        <v>7.391</v>
      </c>
      <c r="K120" s="53">
        <f>CHOOSE(CONTROL!$C$42, 7.4254, 7.4254) * CHOOSE(CONTROL!$C$21, $C$9, 100%, $E$9)</f>
        <v>7.4253999999999998</v>
      </c>
      <c r="L120" s="14">
        <f>CHOOSE(CONTROL!$C$42, 8.0725, 8.0725) * CHOOSE(CONTROL!$C$21, $C$9, 100%, $E$9)</f>
        <v>8.0724999999999998</v>
      </c>
      <c r="M120" s="14">
        <f>CHOOSE(CONTROL!$C$42, 7.2472, 7.2472) * CHOOSE(CONTROL!$C$21, $C$9, 100%, $E$9)</f>
        <v>7.2472000000000003</v>
      </c>
      <c r="N120" s="14">
        <f>CHOOSE(CONTROL!$C$42, 7.2635, 7.2635) * CHOOSE(CONTROL!$C$21, $C$9, 100%, $E$9)</f>
        <v>7.2634999999999996</v>
      </c>
      <c r="O120" s="14">
        <f>CHOOSE(CONTROL!$C$42, 7.3398, 7.3398) * CHOOSE(CONTROL!$C$21, $C$9, 100%, $E$9)</f>
        <v>7.3398000000000003</v>
      </c>
      <c r="P120" s="14">
        <f>CHOOSE(CONTROL!$C$42, 7.2844, 7.2844) * CHOOSE(CONTROL!$C$21, $C$9, 100%, $E$9)</f>
        <v>7.2843999999999998</v>
      </c>
      <c r="Q120" s="14">
        <f>CHOOSE(CONTROL!$C$42, 7.9345, 7.9345) * CHOOSE(CONTROL!$C$21, $C$9, 100%, $E$9)</f>
        <v>7.9344999999999999</v>
      </c>
      <c r="R120" s="14">
        <f>CHOOSE(CONTROL!$C$42, 8.5413, 8.5413) * CHOOSE(CONTROL!$C$21, $C$9, 100%, $E$9)</f>
        <v>8.5412999999999997</v>
      </c>
      <c r="S120" s="14">
        <f>CHOOSE(CONTROL!$C$42, 7.0957, 7.0957) * CHOOSE(CONTROL!$C$21, $C$9, 100%, $E$9)</f>
        <v>7.0956999999999999</v>
      </c>
      <c r="T12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20" s="57">
        <f>(1000*CHOOSE(CONTROL!$C$42, 695, 695)*CHOOSE(CONTROL!$C$42, 0.5599, 0.5599)*CHOOSE(CONTROL!$C$42, 31, 31))/1000000</f>
        <v>12.063045499999998</v>
      </c>
      <c r="V120" s="57">
        <f>(1000*CHOOSE(CONTROL!$C$42, 500, 500)*CHOOSE(CONTROL!$C$42, 0.275, 0.275)*CHOOSE(CONTROL!$C$42, 31, 31))/1000000</f>
        <v>4.2625000000000002</v>
      </c>
      <c r="W120" s="57">
        <f>(1000*CHOOSE(CONTROL!$C$42, 0.1146, 0.1146)*CHOOSE(CONTROL!$C$42, 121.5, 121.5)*CHOOSE(CONTROL!$C$42, 31, 31))/1000000</f>
        <v>0.43164089999999994</v>
      </c>
      <c r="X120" s="57">
        <f>(31*0.1790888*100000/1000000)+(31*0.2374*100000/1000000)</f>
        <v>1.2911152800000001</v>
      </c>
      <c r="Y120" s="57"/>
      <c r="Z120" s="14"/>
      <c r="AA120" s="56"/>
      <c r="AB120" s="50">
        <f>(B120*122.58+C120*297.941+D120*89.177+E120*40.302+F120*40+G120*160+H120*0+I120*100+J120*300)/(122.58+297.941+89.177+40.302+0+40+160+100+300)</f>
        <v>7.4092312177391308</v>
      </c>
      <c r="AC120" s="45">
        <f>(M120*'RAP TEMPLATE-GAS AVAILABILITY'!O119+N120*'RAP TEMPLATE-GAS AVAILABILITY'!P119+O120*'RAP TEMPLATE-GAS AVAILABILITY'!Q119+P120*'RAP TEMPLATE-GAS AVAILABILITY'!R119)/('RAP TEMPLATE-GAS AVAILABILITY'!O119+'RAP TEMPLATE-GAS AVAILABILITY'!P119+'RAP TEMPLATE-GAS AVAILABILITY'!Q119+'RAP TEMPLATE-GAS AVAILABILITY'!R119)</f>
        <v>7.2954604316546767</v>
      </c>
    </row>
    <row r="121" spans="1:29" ht="15.75" x14ac:dyDescent="0.25">
      <c r="A121" s="13">
        <v>44562</v>
      </c>
      <c r="B121" s="14">
        <f>CHOOSE(CONTROL!$C$42, 7.8511, 7.8511) * CHOOSE(CONTROL!$C$21, $C$9, 100%, $E$9)</f>
        <v>7.8510999999999997</v>
      </c>
      <c r="C121" s="14">
        <f>CHOOSE(CONTROL!$C$42, 7.8562, 7.8562) * CHOOSE(CONTROL!$C$21, $C$9, 100%, $E$9)</f>
        <v>7.8562000000000003</v>
      </c>
      <c r="D121" s="14">
        <f>CHOOSE(CONTROL!$C$42, 7.9226, 7.9226) * CHOOSE(CONTROL!$C$21, $C$9, 100%, $E$9)</f>
        <v>7.9226000000000001</v>
      </c>
      <c r="E121" s="14">
        <f>CHOOSE(CONTROL!$C$42, 7.9567, 7.9567) * CHOOSE(CONTROL!$C$21, $C$9, 100%, $E$9)</f>
        <v>7.9566999999999997</v>
      </c>
      <c r="F121" s="14">
        <f>CHOOSE(CONTROL!$C$42, 7.8385, 7.8385)*CHOOSE(CONTROL!$C$21, $C$9, 100%, $E$9)</f>
        <v>7.8384999999999998</v>
      </c>
      <c r="G121" s="14">
        <f>CHOOSE(CONTROL!$C$42, 7.8539, 7.8539)*CHOOSE(CONTROL!$C$21, $C$9, 100%, $E$9)</f>
        <v>7.8539000000000003</v>
      </c>
      <c r="H121" s="14">
        <f>CHOOSE(CONTROL!$C$42, 7.9459, 7.9459) * CHOOSE(CONTROL!$C$21, $C$9, 100%, $E$9)</f>
        <v>7.9459</v>
      </c>
      <c r="I121" s="14">
        <f>CHOOSE(CONTROL!$C$42, 7.8833, 7.8833)* CHOOSE(CONTROL!$C$21, $C$9, 100%, $E$9)</f>
        <v>7.8833000000000002</v>
      </c>
      <c r="J121" s="14">
        <f>CHOOSE(CONTROL!$C$42, 7.8315, 7.8315)* CHOOSE(CONTROL!$C$21, $C$9, 100%, $E$9)</f>
        <v>7.8315000000000001</v>
      </c>
      <c r="K121" s="53">
        <f>CHOOSE(CONTROL!$C$42, 7.8795, 7.8795) * CHOOSE(CONTROL!$C$21, $C$9, 100%, $E$9)</f>
        <v>7.8795000000000002</v>
      </c>
      <c r="L121" s="14">
        <f>CHOOSE(CONTROL!$C$42, 8.5329, 8.5329) * CHOOSE(CONTROL!$C$21, $C$9, 100%, $E$9)</f>
        <v>8.5328999999999997</v>
      </c>
      <c r="M121" s="14">
        <f>CHOOSE(CONTROL!$C$42, 7.6787, 7.6787) * CHOOSE(CONTROL!$C$21, $C$9, 100%, $E$9)</f>
        <v>7.6787000000000001</v>
      </c>
      <c r="N121" s="14">
        <f>CHOOSE(CONTROL!$C$42, 7.6938, 7.6938) * CHOOSE(CONTROL!$C$21, $C$9, 100%, $E$9)</f>
        <v>7.6938000000000004</v>
      </c>
      <c r="O121" s="14">
        <f>CHOOSE(CONTROL!$C$42, 7.7908, 7.7908) * CHOOSE(CONTROL!$C$21, $C$9, 100%, $E$9)</f>
        <v>7.7907999999999999</v>
      </c>
      <c r="P121" s="14">
        <f>CHOOSE(CONTROL!$C$42, 7.7291, 7.7291) * CHOOSE(CONTROL!$C$21, $C$9, 100%, $E$9)</f>
        <v>7.7290999999999999</v>
      </c>
      <c r="Q121" s="14">
        <f>CHOOSE(CONTROL!$C$42, 8.3855, 8.3855) * CHOOSE(CONTROL!$C$21, $C$9, 100%, $E$9)</f>
        <v>8.3855000000000004</v>
      </c>
      <c r="R121" s="14">
        <f>CHOOSE(CONTROL!$C$42, 8.9935, 8.9935) * CHOOSE(CONTROL!$C$21, $C$9, 100%, $E$9)</f>
        <v>8.9934999999999992</v>
      </c>
      <c r="S121" s="14">
        <f>CHOOSE(CONTROL!$C$42, 7.5356, 7.5356) * CHOOSE(CONTROL!$C$21, $C$9, 100%, $E$9)</f>
        <v>7.5355999999999996</v>
      </c>
      <c r="T12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21" s="57">
        <f>(1000*CHOOSE(CONTROL!$C$42, 695, 695)*CHOOSE(CONTROL!$C$42, 0.5599, 0.5599)*CHOOSE(CONTROL!$C$42, 31, 31))/1000000</f>
        <v>12.063045499999998</v>
      </c>
      <c r="V121" s="57">
        <f>(1000*CHOOSE(CONTROL!$C$42, 500, 500)*CHOOSE(CONTROL!$C$42, 0.275, 0.275)*CHOOSE(CONTROL!$C$42, 31, 31))/1000000</f>
        <v>4.2625000000000002</v>
      </c>
      <c r="W121" s="57">
        <f>(1000*CHOOSE(CONTROL!$C$42, 0.1146, 0.1146)*CHOOSE(CONTROL!$C$42, 121.5, 121.5)*CHOOSE(CONTROL!$C$42, 31, 31))/1000000</f>
        <v>0.43164089999999994</v>
      </c>
      <c r="X121" s="57">
        <f>(31*0.1790888*100000/1000000)+(31*0.2374*100000/1000000)</f>
        <v>1.2911152800000001</v>
      </c>
      <c r="Y121" s="57"/>
      <c r="Z121" s="14"/>
      <c r="AA121" s="56"/>
      <c r="AB121" s="50">
        <f>(B121*122.58+C121*297.941+D121*89.177+E121*40.302+F121*40+G121*160+H121*0+I121*100+J121*300)/(122.58+297.941+89.177+40.302+0+40+160+100+300)</f>
        <v>7.8593048224347815</v>
      </c>
      <c r="AC121" s="45">
        <f>(M121*'RAP TEMPLATE-GAS AVAILABILITY'!O120+N121*'RAP TEMPLATE-GAS AVAILABILITY'!P120+O121*'RAP TEMPLATE-GAS AVAILABILITY'!Q120+P121*'RAP TEMPLATE-GAS AVAILABILITY'!R120)/('RAP TEMPLATE-GAS AVAILABILITY'!O120+'RAP TEMPLATE-GAS AVAILABILITY'!P120+'RAP TEMPLATE-GAS AVAILABILITY'!Q120+'RAP TEMPLATE-GAS AVAILABILITY'!R120)</f>
        <v>7.7376287769784176</v>
      </c>
    </row>
    <row r="122" spans="1:29" ht="15.75" x14ac:dyDescent="0.25">
      <c r="A122" s="13">
        <v>44593</v>
      </c>
      <c r="B122" s="14">
        <f>CHOOSE(CONTROL!$C$42, 8.0072, 8.0072) * CHOOSE(CONTROL!$C$21, $C$9, 100%, $E$9)</f>
        <v>8.0071999999999992</v>
      </c>
      <c r="C122" s="14">
        <f>CHOOSE(CONTROL!$C$42, 8.0122, 8.0122) * CHOOSE(CONTROL!$C$21, $C$9, 100%, $E$9)</f>
        <v>8.0122</v>
      </c>
      <c r="D122" s="14">
        <f>CHOOSE(CONTROL!$C$42, 8.0786, 8.0786) * CHOOSE(CONTROL!$C$21, $C$9, 100%, $E$9)</f>
        <v>8.0785999999999998</v>
      </c>
      <c r="E122" s="14">
        <f>CHOOSE(CONTROL!$C$42, 8.1127, 8.1127) * CHOOSE(CONTROL!$C$21, $C$9, 100%, $E$9)</f>
        <v>8.1127000000000002</v>
      </c>
      <c r="F122" s="14">
        <f>CHOOSE(CONTROL!$C$42, 7.9946, 7.9946)*CHOOSE(CONTROL!$C$21, $C$9, 100%, $E$9)</f>
        <v>7.9946000000000002</v>
      </c>
      <c r="G122" s="14">
        <f>CHOOSE(CONTROL!$C$42, 8.0101, 8.0101)*CHOOSE(CONTROL!$C$21, $C$9, 100%, $E$9)</f>
        <v>8.0100999999999996</v>
      </c>
      <c r="H122" s="14">
        <f>CHOOSE(CONTROL!$C$42, 8.1019, 8.1019) * CHOOSE(CONTROL!$C$21, $C$9, 100%, $E$9)</f>
        <v>8.1019000000000005</v>
      </c>
      <c r="I122" s="14">
        <f>CHOOSE(CONTROL!$C$42, 8.0399, 8.0399)* CHOOSE(CONTROL!$C$21, $C$9, 100%, $E$9)</f>
        <v>8.0398999999999994</v>
      </c>
      <c r="J122" s="14">
        <f>CHOOSE(CONTROL!$C$42, 7.9876, 7.9876)* CHOOSE(CONTROL!$C$21, $C$9, 100%, $E$9)</f>
        <v>7.9875999999999996</v>
      </c>
      <c r="K122" s="53">
        <f>CHOOSE(CONTROL!$C$42, 8.036, 8.036) * CHOOSE(CONTROL!$C$21, $C$9, 100%, $E$9)</f>
        <v>8.0359999999999996</v>
      </c>
      <c r="L122" s="14">
        <f>CHOOSE(CONTROL!$C$42, 8.6889, 8.6889) * CHOOSE(CONTROL!$C$21, $C$9, 100%, $E$9)</f>
        <v>8.6889000000000003</v>
      </c>
      <c r="M122" s="14">
        <f>CHOOSE(CONTROL!$C$42, 7.8316, 7.8316) * CHOOSE(CONTROL!$C$21, $C$9, 100%, $E$9)</f>
        <v>7.8315999999999999</v>
      </c>
      <c r="N122" s="14">
        <f>CHOOSE(CONTROL!$C$42, 7.8468, 7.8468) * CHOOSE(CONTROL!$C$21, $C$9, 100%, $E$9)</f>
        <v>7.8468</v>
      </c>
      <c r="O122" s="14">
        <f>CHOOSE(CONTROL!$C$42, 7.9436, 7.9436) * CHOOSE(CONTROL!$C$21, $C$9, 100%, $E$9)</f>
        <v>7.9436</v>
      </c>
      <c r="P122" s="14">
        <f>CHOOSE(CONTROL!$C$42, 7.8824, 7.8824) * CHOOSE(CONTROL!$C$21, $C$9, 100%, $E$9)</f>
        <v>7.8823999999999996</v>
      </c>
      <c r="Q122" s="14">
        <f>CHOOSE(CONTROL!$C$42, 8.5383, 8.5383) * CHOOSE(CONTROL!$C$21, $C$9, 100%, $E$9)</f>
        <v>8.5382999999999996</v>
      </c>
      <c r="R122" s="14">
        <f>CHOOSE(CONTROL!$C$42, 9.1467, 9.1467) * CHOOSE(CONTROL!$C$21, $C$9, 100%, $E$9)</f>
        <v>9.1466999999999992</v>
      </c>
      <c r="S122" s="14">
        <f>CHOOSE(CONTROL!$C$42, 7.6855, 7.6855) * CHOOSE(CONTROL!$C$21, $C$9, 100%, $E$9)</f>
        <v>7.6855000000000002</v>
      </c>
      <c r="T12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22" s="57">
        <f>(1000*CHOOSE(CONTROL!$C$42, 695, 695)*CHOOSE(CONTROL!$C$42, 0.5599, 0.5599)*CHOOSE(CONTROL!$C$42, 28, 28))/1000000</f>
        <v>10.895653999999999</v>
      </c>
      <c r="V122" s="57">
        <f>(1000*CHOOSE(CONTROL!$C$42, 500, 500)*CHOOSE(CONTROL!$C$42, 0.275, 0.275)*CHOOSE(CONTROL!$C$42, 28, 28))/1000000</f>
        <v>3.85</v>
      </c>
      <c r="W122" s="57">
        <f>(1000*CHOOSE(CONTROL!$C$42, 0.1146, 0.1146)*CHOOSE(CONTROL!$C$42, 121.5, 121.5)*CHOOSE(CONTROL!$C$42, 28, 28))/1000000</f>
        <v>0.38986920000000003</v>
      </c>
      <c r="X122" s="57">
        <f>(28*0.1790888*100000/1000000)+(28*0.2374*100000/1000000)</f>
        <v>1.16616864</v>
      </c>
      <c r="Y122" s="57"/>
      <c r="Z122" s="14"/>
      <c r="AA122" s="56"/>
      <c r="AB122" s="50">
        <f>(B122*122.58+C122*297.941+D122*89.177+E122*40.302+F122*40+G122*160+H122*0+I122*100+J122*300)/(122.58+297.941+89.177+40.302+0+40+160+100+300)</f>
        <v>8.0154250467826085</v>
      </c>
      <c r="AC122" s="45">
        <f>(M122*'RAP TEMPLATE-GAS AVAILABILITY'!O121+N122*'RAP TEMPLATE-GAS AVAILABILITY'!P121+O122*'RAP TEMPLATE-GAS AVAILABILITY'!Q121+P122*'RAP TEMPLATE-GAS AVAILABILITY'!R121)/('RAP TEMPLATE-GAS AVAILABILITY'!O121+'RAP TEMPLATE-GAS AVAILABILITY'!P121+'RAP TEMPLATE-GAS AVAILABILITY'!Q121+'RAP TEMPLATE-GAS AVAILABILITY'!R121)</f>
        <v>7.8905467625899286</v>
      </c>
    </row>
    <row r="123" spans="1:29" ht="15.75" x14ac:dyDescent="0.25">
      <c r="A123" s="13">
        <v>44621</v>
      </c>
      <c r="B123" s="14">
        <f>CHOOSE(CONTROL!$C$42, 7.7961, 7.7961) * CHOOSE(CONTROL!$C$21, $C$9, 100%, $E$9)</f>
        <v>7.7961</v>
      </c>
      <c r="C123" s="14">
        <f>CHOOSE(CONTROL!$C$42, 7.8012, 7.8012) * CHOOSE(CONTROL!$C$21, $C$9, 100%, $E$9)</f>
        <v>7.8011999999999997</v>
      </c>
      <c r="D123" s="14">
        <f>CHOOSE(CONTROL!$C$42, 7.8676, 7.8676) * CHOOSE(CONTROL!$C$21, $C$9, 100%, $E$9)</f>
        <v>7.8676000000000004</v>
      </c>
      <c r="E123" s="14">
        <f>CHOOSE(CONTROL!$C$42, 7.9017, 7.9017) * CHOOSE(CONTROL!$C$21, $C$9, 100%, $E$9)</f>
        <v>7.9016999999999999</v>
      </c>
      <c r="F123" s="14">
        <f>CHOOSE(CONTROL!$C$42, 7.7831, 7.7831)*CHOOSE(CONTROL!$C$21, $C$9, 100%, $E$9)</f>
        <v>7.7831000000000001</v>
      </c>
      <c r="G123" s="14">
        <f>CHOOSE(CONTROL!$C$42, 7.7985, 7.7985)*CHOOSE(CONTROL!$C$21, $C$9, 100%, $E$9)</f>
        <v>7.7984999999999998</v>
      </c>
      <c r="H123" s="14">
        <f>CHOOSE(CONTROL!$C$42, 7.8909, 7.8909) * CHOOSE(CONTROL!$C$21, $C$9, 100%, $E$9)</f>
        <v>7.8909000000000002</v>
      </c>
      <c r="I123" s="14">
        <f>CHOOSE(CONTROL!$C$42, 7.8281, 7.8281)* CHOOSE(CONTROL!$C$21, $C$9, 100%, $E$9)</f>
        <v>7.8281000000000001</v>
      </c>
      <c r="J123" s="14">
        <f>CHOOSE(CONTROL!$C$42, 7.7761, 7.7761)* CHOOSE(CONTROL!$C$21, $C$9, 100%, $E$9)</f>
        <v>7.7760999999999996</v>
      </c>
      <c r="K123" s="53">
        <f>CHOOSE(CONTROL!$C$42, 7.8243, 7.8243) * CHOOSE(CONTROL!$C$21, $C$9, 100%, $E$9)</f>
        <v>7.8243</v>
      </c>
      <c r="L123" s="14">
        <f>CHOOSE(CONTROL!$C$42, 8.4779, 8.4779) * CHOOSE(CONTROL!$C$21, $C$9, 100%, $E$9)</f>
        <v>8.4779</v>
      </c>
      <c r="M123" s="14">
        <f>CHOOSE(CONTROL!$C$42, 7.6245, 7.6245) * CHOOSE(CONTROL!$C$21, $C$9, 100%, $E$9)</f>
        <v>7.6245000000000003</v>
      </c>
      <c r="N123" s="14">
        <f>CHOOSE(CONTROL!$C$42, 7.6395, 7.6395) * CHOOSE(CONTROL!$C$21, $C$9, 100%, $E$9)</f>
        <v>7.6395</v>
      </c>
      <c r="O123" s="14">
        <f>CHOOSE(CONTROL!$C$42, 7.7369, 7.7369) * CHOOSE(CONTROL!$C$21, $C$9, 100%, $E$9)</f>
        <v>7.7369000000000003</v>
      </c>
      <c r="P123" s="14">
        <f>CHOOSE(CONTROL!$C$42, 7.675, 7.675) * CHOOSE(CONTROL!$C$21, $C$9, 100%, $E$9)</f>
        <v>7.6749999999999998</v>
      </c>
      <c r="Q123" s="14">
        <f>CHOOSE(CONTROL!$C$42, 8.3316, 8.3316) * CHOOSE(CONTROL!$C$21, $C$9, 100%, $E$9)</f>
        <v>8.3315999999999999</v>
      </c>
      <c r="R123" s="14">
        <f>CHOOSE(CONTROL!$C$42, 8.9394, 8.9394) * CHOOSE(CONTROL!$C$21, $C$9, 100%, $E$9)</f>
        <v>8.9393999999999991</v>
      </c>
      <c r="S123" s="14">
        <f>CHOOSE(CONTROL!$C$42, 7.4827, 7.4827) * CHOOSE(CONTROL!$C$21, $C$9, 100%, $E$9)</f>
        <v>7.4827000000000004</v>
      </c>
      <c r="T12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23" s="57">
        <f>(1000*CHOOSE(CONTROL!$C$42, 695, 695)*CHOOSE(CONTROL!$C$42, 0.5599, 0.5599)*CHOOSE(CONTROL!$C$42, 31, 31))/1000000</f>
        <v>12.063045499999998</v>
      </c>
      <c r="V123" s="57">
        <f>(1000*CHOOSE(CONTROL!$C$42, 500, 500)*CHOOSE(CONTROL!$C$42, 0.275, 0.275)*CHOOSE(CONTROL!$C$42, 31, 31))/1000000</f>
        <v>4.2625000000000002</v>
      </c>
      <c r="W123" s="57">
        <f>(1000*CHOOSE(CONTROL!$C$42, 0.1146, 0.1146)*CHOOSE(CONTROL!$C$42, 121.5, 121.5)*CHOOSE(CONTROL!$C$42, 31, 31))/1000000</f>
        <v>0.43164089999999994</v>
      </c>
      <c r="X123" s="57">
        <f>(31*0.1790888*100000/1000000)+(31*0.2374*100000/1000000)</f>
        <v>1.2911152800000001</v>
      </c>
      <c r="Y123" s="57"/>
      <c r="Z123" s="14"/>
      <c r="AA123" s="56"/>
      <c r="AB123" s="50">
        <f>(B123*122.58+C123*297.941+D123*89.177+E123*40.302+F123*40+G123*160+H123*0+I123*100+J123*300)/(122.58+297.941+89.177+40.302+0+40+160+100+300)</f>
        <v>7.8041135180869574</v>
      </c>
      <c r="AC123" s="45">
        <f>(M123*'RAP TEMPLATE-GAS AVAILABILITY'!O122+N123*'RAP TEMPLATE-GAS AVAILABILITY'!P122+O123*'RAP TEMPLATE-GAS AVAILABILITY'!Q122+P123*'RAP TEMPLATE-GAS AVAILABILITY'!R122)/('RAP TEMPLATE-GAS AVAILABILITY'!O122+'RAP TEMPLATE-GAS AVAILABILITY'!P122+'RAP TEMPLATE-GAS AVAILABILITY'!Q122+'RAP TEMPLATE-GAS AVAILABILITY'!R122)</f>
        <v>7.6835733812949654</v>
      </c>
    </row>
    <row r="124" spans="1:29" ht="15.75" x14ac:dyDescent="0.25">
      <c r="A124" s="13">
        <v>44652</v>
      </c>
      <c r="B124" s="14">
        <f>CHOOSE(CONTROL!$C$42, 7.79, 7.79) * CHOOSE(CONTROL!$C$21, $C$9, 100%, $E$9)</f>
        <v>7.79</v>
      </c>
      <c r="C124" s="14">
        <f>CHOOSE(CONTROL!$C$42, 7.7944, 7.7944) * CHOOSE(CONTROL!$C$21, $C$9, 100%, $E$9)</f>
        <v>7.7944000000000004</v>
      </c>
      <c r="D124" s="14">
        <f>CHOOSE(CONTROL!$C$42, 8.0015, 8.0015) * CHOOSE(CONTROL!$C$21, $C$9, 100%, $E$9)</f>
        <v>8.0015000000000001</v>
      </c>
      <c r="E124" s="14">
        <f>CHOOSE(CONTROL!$C$42, 8.0336, 8.0336) * CHOOSE(CONTROL!$C$21, $C$9, 100%, $E$9)</f>
        <v>8.0335999999999999</v>
      </c>
      <c r="F124" s="14">
        <f>CHOOSE(CONTROL!$C$42, 7.7718, 7.7718)*CHOOSE(CONTROL!$C$21, $C$9, 100%, $E$9)</f>
        <v>7.7717999999999998</v>
      </c>
      <c r="G124" s="14">
        <f>CHOOSE(CONTROL!$C$42, 7.787, 7.787)*CHOOSE(CONTROL!$C$21, $C$9, 100%, $E$9)</f>
        <v>7.7869999999999999</v>
      </c>
      <c r="H124" s="14">
        <f>CHOOSE(CONTROL!$C$42, 8.0234, 8.0234) * CHOOSE(CONTROL!$C$21, $C$9, 100%, $E$9)</f>
        <v>8.0234000000000005</v>
      </c>
      <c r="I124" s="14">
        <f>CHOOSE(CONTROL!$C$42, 7.8212, 7.8212)* CHOOSE(CONTROL!$C$21, $C$9, 100%, $E$9)</f>
        <v>7.8212000000000002</v>
      </c>
      <c r="J124" s="14">
        <f>CHOOSE(CONTROL!$C$42, 7.7648, 7.7648)* CHOOSE(CONTROL!$C$21, $C$9, 100%, $E$9)</f>
        <v>7.7648000000000001</v>
      </c>
      <c r="K124" s="53">
        <f>CHOOSE(CONTROL!$C$42, 7.8173, 7.8173) * CHOOSE(CONTROL!$C$21, $C$9, 100%, $E$9)</f>
        <v>7.8173000000000004</v>
      </c>
      <c r="L124" s="14">
        <f>CHOOSE(CONTROL!$C$42, 8.6104, 8.6104) * CHOOSE(CONTROL!$C$21, $C$9, 100%, $E$9)</f>
        <v>8.6104000000000003</v>
      </c>
      <c r="M124" s="14">
        <f>CHOOSE(CONTROL!$C$42, 7.6134, 7.6134) * CHOOSE(CONTROL!$C$21, $C$9, 100%, $E$9)</f>
        <v>7.6134000000000004</v>
      </c>
      <c r="N124" s="14">
        <f>CHOOSE(CONTROL!$C$42, 7.6283, 7.6283) * CHOOSE(CONTROL!$C$21, $C$9, 100%, $E$9)</f>
        <v>7.6283000000000003</v>
      </c>
      <c r="O124" s="14">
        <f>CHOOSE(CONTROL!$C$42, 7.8667, 7.8667) * CHOOSE(CONTROL!$C$21, $C$9, 100%, $E$9)</f>
        <v>7.8666999999999998</v>
      </c>
      <c r="P124" s="14">
        <f>CHOOSE(CONTROL!$C$42, 7.6682, 7.6682) * CHOOSE(CONTROL!$C$21, $C$9, 100%, $E$9)</f>
        <v>7.6681999999999997</v>
      </c>
      <c r="Q124" s="14">
        <f>CHOOSE(CONTROL!$C$42, 8.4614, 8.4614) * CHOOSE(CONTROL!$C$21, $C$9, 100%, $E$9)</f>
        <v>8.4613999999999994</v>
      </c>
      <c r="R124" s="14">
        <f>CHOOSE(CONTROL!$C$42, 9.0696, 9.0696) * CHOOSE(CONTROL!$C$21, $C$9, 100%, $E$9)</f>
        <v>9.0695999999999994</v>
      </c>
      <c r="S124" s="14">
        <f>CHOOSE(CONTROL!$C$42, 7.4761, 7.4761) * CHOOSE(CONTROL!$C$21, $C$9, 100%, $E$9)</f>
        <v>7.4760999999999997</v>
      </c>
      <c r="T12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24" s="57">
        <f>(1000*CHOOSE(CONTROL!$C$42, 695, 695)*CHOOSE(CONTROL!$C$42, 0.5599, 0.5599)*CHOOSE(CONTROL!$C$42, 30, 30))/1000000</f>
        <v>11.673914999999997</v>
      </c>
      <c r="V124" s="57">
        <f>(1000*CHOOSE(CONTROL!$C$42, 500, 500)*CHOOSE(CONTROL!$C$42, 0.275, 0.275)*CHOOSE(CONTROL!$C$42, 30, 30))/1000000</f>
        <v>4.125</v>
      </c>
      <c r="W124" s="57">
        <f>(1000*CHOOSE(CONTROL!$C$42, 0.1146, 0.1146)*CHOOSE(CONTROL!$C$42, 121.5, 121.5)*CHOOSE(CONTROL!$C$42, 30, 30))/1000000</f>
        <v>0.417717</v>
      </c>
      <c r="X124" s="57">
        <f>(30*0.1790888*245000/1000000)+(30*0.2374*100000/1000000)</f>
        <v>2.0285026799999999</v>
      </c>
      <c r="Y124" s="57"/>
      <c r="Z124" s="14"/>
      <c r="AA124" s="56"/>
      <c r="AB124" s="50">
        <f>(B124*141.293+C124*267.993+D124*115.016+E124*89.698+F124*40+G124*185+H124*0+I124*100+J124*300)/(141.293+267.993+115.016+89.698+0+40+185+100+300)</f>
        <v>7.8236016836158191</v>
      </c>
      <c r="AC124" s="45">
        <f>(M124*'RAP TEMPLATE-GAS AVAILABILITY'!O123+N124*'RAP TEMPLATE-GAS AVAILABILITY'!P123+O124*'RAP TEMPLATE-GAS AVAILABILITY'!Q123+P124*'RAP TEMPLATE-GAS AVAILABILITY'!R123)/('RAP TEMPLATE-GAS AVAILABILITY'!O123+'RAP TEMPLATE-GAS AVAILABILITY'!P123+'RAP TEMPLATE-GAS AVAILABILITY'!Q123+'RAP TEMPLATE-GAS AVAILABILITY'!R123)</f>
        <v>7.6957848920863308</v>
      </c>
    </row>
    <row r="125" spans="1:29" ht="15.75" x14ac:dyDescent="0.25">
      <c r="A125" s="13">
        <v>44682</v>
      </c>
      <c r="B125" s="14">
        <f>CHOOSE(CONTROL!$C$42, 7.8762, 7.8762) * CHOOSE(CONTROL!$C$21, $C$9, 100%, $E$9)</f>
        <v>7.8761999999999999</v>
      </c>
      <c r="C125" s="14">
        <f>CHOOSE(CONTROL!$C$42, 7.8842, 7.8842) * CHOOSE(CONTROL!$C$21, $C$9, 100%, $E$9)</f>
        <v>7.8841999999999999</v>
      </c>
      <c r="D125" s="14">
        <f>CHOOSE(CONTROL!$C$42, 8.0881, 8.0881) * CHOOSE(CONTROL!$C$21, $C$9, 100%, $E$9)</f>
        <v>8.0881000000000007</v>
      </c>
      <c r="E125" s="14">
        <f>CHOOSE(CONTROL!$C$42, 8.1196, 8.1196) * CHOOSE(CONTROL!$C$21, $C$9, 100%, $E$9)</f>
        <v>8.1196000000000002</v>
      </c>
      <c r="F125" s="14">
        <f>CHOOSE(CONTROL!$C$42, 7.8569, 7.8569)*CHOOSE(CONTROL!$C$21, $C$9, 100%, $E$9)</f>
        <v>7.8569000000000004</v>
      </c>
      <c r="G125" s="14">
        <f>CHOOSE(CONTROL!$C$42, 7.8726, 7.8726)*CHOOSE(CONTROL!$C$21, $C$9, 100%, $E$9)</f>
        <v>7.8726000000000003</v>
      </c>
      <c r="H125" s="14">
        <f>CHOOSE(CONTROL!$C$42, 8.1082, 8.1082) * CHOOSE(CONTROL!$C$21, $C$9, 100%, $E$9)</f>
        <v>8.1082000000000001</v>
      </c>
      <c r="I125" s="14">
        <f>CHOOSE(CONTROL!$C$42, 7.9063, 7.9063)* CHOOSE(CONTROL!$C$21, $C$9, 100%, $E$9)</f>
        <v>7.9062999999999999</v>
      </c>
      <c r="J125" s="14">
        <f>CHOOSE(CONTROL!$C$42, 7.8499, 7.8499)* CHOOSE(CONTROL!$C$21, $C$9, 100%, $E$9)</f>
        <v>7.8498999999999999</v>
      </c>
      <c r="K125" s="53">
        <f>CHOOSE(CONTROL!$C$42, 7.9024, 7.9024) * CHOOSE(CONTROL!$C$21, $C$9, 100%, $E$9)</f>
        <v>7.9024000000000001</v>
      </c>
      <c r="L125" s="14">
        <f>CHOOSE(CONTROL!$C$42, 8.6952, 8.6952) * CHOOSE(CONTROL!$C$21, $C$9, 100%, $E$9)</f>
        <v>8.6951999999999998</v>
      </c>
      <c r="M125" s="14">
        <f>CHOOSE(CONTROL!$C$42, 7.6968, 7.6968) * CHOOSE(CONTROL!$C$21, $C$9, 100%, $E$9)</f>
        <v>7.6967999999999996</v>
      </c>
      <c r="N125" s="14">
        <f>CHOOSE(CONTROL!$C$42, 7.7121, 7.7121) * CHOOSE(CONTROL!$C$21, $C$9, 100%, $E$9)</f>
        <v>7.7121000000000004</v>
      </c>
      <c r="O125" s="14">
        <f>CHOOSE(CONTROL!$C$42, 7.9498, 7.9498) * CHOOSE(CONTROL!$C$21, $C$9, 100%, $E$9)</f>
        <v>7.9497999999999998</v>
      </c>
      <c r="P125" s="14">
        <f>CHOOSE(CONTROL!$C$42, 7.7516, 7.7516) * CHOOSE(CONTROL!$C$21, $C$9, 100%, $E$9)</f>
        <v>7.7515999999999998</v>
      </c>
      <c r="Q125" s="14">
        <f>CHOOSE(CONTROL!$C$42, 8.5445, 8.5445) * CHOOSE(CONTROL!$C$21, $C$9, 100%, $E$9)</f>
        <v>8.5444999999999993</v>
      </c>
      <c r="R125" s="14">
        <f>CHOOSE(CONTROL!$C$42, 9.1529, 9.1529) * CHOOSE(CONTROL!$C$21, $C$9, 100%, $E$9)</f>
        <v>9.1529000000000007</v>
      </c>
      <c r="S125" s="14">
        <f>CHOOSE(CONTROL!$C$42, 7.5576, 7.5576) * CHOOSE(CONTROL!$C$21, $C$9, 100%, $E$9)</f>
        <v>7.5575999999999999</v>
      </c>
      <c r="T12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25" s="57">
        <f>(1000*CHOOSE(CONTROL!$C$42, 695, 695)*CHOOSE(CONTROL!$C$42, 0.5599, 0.5599)*CHOOSE(CONTROL!$C$42, 31, 31))/1000000</f>
        <v>12.063045499999998</v>
      </c>
      <c r="V125" s="57">
        <f>(1000*CHOOSE(CONTROL!$C$42, 500, 500)*CHOOSE(CONTROL!$C$42, 0.275, 0.275)*CHOOSE(CONTROL!$C$42, 31, 31))/1000000</f>
        <v>4.2625000000000002</v>
      </c>
      <c r="W125" s="57">
        <f>(1000*CHOOSE(CONTROL!$C$42, 0.1146, 0.1146)*CHOOSE(CONTROL!$C$42, 121.5, 121.5)*CHOOSE(CONTROL!$C$42, 31, 31))/1000000</f>
        <v>0.43164089999999994</v>
      </c>
      <c r="X125" s="57">
        <f>(31*0.1790888*245000/1000000)+(31*0.2374*100000/1000000)</f>
        <v>2.0961194359999999</v>
      </c>
      <c r="Y125" s="57"/>
      <c r="Z125" s="14"/>
      <c r="AA125" s="56"/>
      <c r="AB125" s="50">
        <f>(B125*194.205+C125*267.466+D125*133.845+E125*53.484+F125*40+G125*185+H125*0+I125*100+J125*300)/(194.205+267.466+133.845+53.484+0+40+185+100+300)</f>
        <v>7.9054005408948198</v>
      </c>
      <c r="AC125" s="45">
        <f>(M125*'RAP TEMPLATE-GAS AVAILABILITY'!O124+N125*'RAP TEMPLATE-GAS AVAILABILITY'!P124+O125*'RAP TEMPLATE-GAS AVAILABILITY'!Q124+P125*'RAP TEMPLATE-GAS AVAILABILITY'!R124)/('RAP TEMPLATE-GAS AVAILABILITY'!O124+'RAP TEMPLATE-GAS AVAILABILITY'!P124+'RAP TEMPLATE-GAS AVAILABILITY'!Q124+'RAP TEMPLATE-GAS AVAILABILITY'!R124)</f>
        <v>7.779192805755395</v>
      </c>
    </row>
    <row r="126" spans="1:29" ht="15.75" x14ac:dyDescent="0.25">
      <c r="A126" s="13">
        <v>44713</v>
      </c>
      <c r="B126" s="14">
        <f>CHOOSE(CONTROL!$C$42, 8.1159, 8.1159) * CHOOSE(CONTROL!$C$21, $C$9, 100%, $E$9)</f>
        <v>8.1158999999999999</v>
      </c>
      <c r="C126" s="14">
        <f>CHOOSE(CONTROL!$C$42, 8.1239, 8.1239) * CHOOSE(CONTROL!$C$21, $C$9, 100%, $E$9)</f>
        <v>8.1239000000000008</v>
      </c>
      <c r="D126" s="14">
        <f>CHOOSE(CONTROL!$C$42, 8.3279, 8.3279) * CHOOSE(CONTROL!$C$21, $C$9, 100%, $E$9)</f>
        <v>8.3278999999999996</v>
      </c>
      <c r="E126" s="14">
        <f>CHOOSE(CONTROL!$C$42, 8.3593, 8.3593) * CHOOSE(CONTROL!$C$21, $C$9, 100%, $E$9)</f>
        <v>8.3592999999999993</v>
      </c>
      <c r="F126" s="14">
        <f>CHOOSE(CONTROL!$C$42, 8.0971, 8.0971)*CHOOSE(CONTROL!$C$21, $C$9, 100%, $E$9)</f>
        <v>8.0970999999999993</v>
      </c>
      <c r="G126" s="14">
        <f>CHOOSE(CONTROL!$C$42, 8.1129, 8.1129)*CHOOSE(CONTROL!$C$21, $C$9, 100%, $E$9)</f>
        <v>8.1128999999999998</v>
      </c>
      <c r="H126" s="14">
        <f>CHOOSE(CONTROL!$C$42, 8.348, 8.348) * CHOOSE(CONTROL!$C$21, $C$9, 100%, $E$9)</f>
        <v>8.3480000000000008</v>
      </c>
      <c r="I126" s="14">
        <f>CHOOSE(CONTROL!$C$42, 8.1468, 8.1468)* CHOOSE(CONTROL!$C$21, $C$9, 100%, $E$9)</f>
        <v>8.1468000000000007</v>
      </c>
      <c r="J126" s="14">
        <f>CHOOSE(CONTROL!$C$42, 8.0901, 8.0901)* CHOOSE(CONTROL!$C$21, $C$9, 100%, $E$9)</f>
        <v>8.0900999999999996</v>
      </c>
      <c r="K126" s="53">
        <f>CHOOSE(CONTROL!$C$42, 8.1429, 8.1429) * CHOOSE(CONTROL!$C$21, $C$9, 100%, $E$9)</f>
        <v>8.1428999999999991</v>
      </c>
      <c r="L126" s="14">
        <f>CHOOSE(CONTROL!$C$42, 8.935, 8.935) * CHOOSE(CONTROL!$C$21, $C$9, 100%, $E$9)</f>
        <v>8.9350000000000005</v>
      </c>
      <c r="M126" s="14">
        <f>CHOOSE(CONTROL!$C$42, 7.932, 7.932) * CHOOSE(CONTROL!$C$21, $C$9, 100%, $E$9)</f>
        <v>7.9320000000000004</v>
      </c>
      <c r="N126" s="14">
        <f>CHOOSE(CONTROL!$C$42, 7.9475, 7.9475) * CHOOSE(CONTROL!$C$21, $C$9, 100%, $E$9)</f>
        <v>7.9474999999999998</v>
      </c>
      <c r="O126" s="14">
        <f>CHOOSE(CONTROL!$C$42, 8.1846, 8.1846) * CHOOSE(CONTROL!$C$21, $C$9, 100%, $E$9)</f>
        <v>8.1845999999999997</v>
      </c>
      <c r="P126" s="14">
        <f>CHOOSE(CONTROL!$C$42, 7.9871, 7.9871) * CHOOSE(CONTROL!$C$21, $C$9, 100%, $E$9)</f>
        <v>7.9870999999999999</v>
      </c>
      <c r="Q126" s="14">
        <f>CHOOSE(CONTROL!$C$42, 8.7793, 8.7793) * CHOOSE(CONTROL!$C$21, $C$9, 100%, $E$9)</f>
        <v>8.7792999999999992</v>
      </c>
      <c r="R126" s="14">
        <f>CHOOSE(CONTROL!$C$42, 9.3883, 9.3883) * CHOOSE(CONTROL!$C$21, $C$9, 100%, $E$9)</f>
        <v>9.3882999999999992</v>
      </c>
      <c r="S126" s="14">
        <f>CHOOSE(CONTROL!$C$42, 7.7879, 7.7879) * CHOOSE(CONTROL!$C$21, $C$9, 100%, $E$9)</f>
        <v>7.7878999999999996</v>
      </c>
      <c r="T12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26" s="57">
        <f>(1000*CHOOSE(CONTROL!$C$42, 695, 695)*CHOOSE(CONTROL!$C$42, 0.5599, 0.5599)*CHOOSE(CONTROL!$C$42, 30, 30))/1000000</f>
        <v>11.673914999999997</v>
      </c>
      <c r="V126" s="57">
        <f>(1000*CHOOSE(CONTROL!$C$42, 500, 500)*CHOOSE(CONTROL!$C$42, 0.275, 0.275)*CHOOSE(CONTROL!$C$42, 30, 30))/1000000</f>
        <v>4.125</v>
      </c>
      <c r="W126" s="57">
        <f>(1000*CHOOSE(CONTROL!$C$42, 0.1146, 0.1146)*CHOOSE(CONTROL!$C$42, 121.5, 121.5)*CHOOSE(CONTROL!$C$42, 30, 30))/1000000</f>
        <v>0.417717</v>
      </c>
      <c r="X126" s="57">
        <f>(30*0.1790888*245000/1000000)+(30*0.2374*100000/1000000)</f>
        <v>2.0285026799999999</v>
      </c>
      <c r="Y126" s="57"/>
      <c r="Z126" s="14"/>
      <c r="AA126" s="56"/>
      <c r="AB126" s="50">
        <f>(B126*194.205+C126*267.466+D126*133.845+E126*53.484+F126*40+G126*185+H126*0+I126*100+J126*300)/(194.205+267.466+133.845+53.484+0+40+185+100+300)</f>
        <v>8.1453944062794363</v>
      </c>
      <c r="AC126" s="45">
        <f>(M126*'RAP TEMPLATE-GAS AVAILABILITY'!O125+N126*'RAP TEMPLATE-GAS AVAILABILITY'!P125+O126*'RAP TEMPLATE-GAS AVAILABILITY'!Q125+P126*'RAP TEMPLATE-GAS AVAILABILITY'!R125)/('RAP TEMPLATE-GAS AVAILABILITY'!O125+'RAP TEMPLATE-GAS AVAILABILITY'!P125+'RAP TEMPLATE-GAS AVAILABILITY'!Q125+'RAP TEMPLATE-GAS AVAILABILITY'!R125)</f>
        <v>8.0143697841726613</v>
      </c>
    </row>
    <row r="127" spans="1:29" ht="15.75" x14ac:dyDescent="0.25">
      <c r="A127" s="13">
        <v>44743</v>
      </c>
      <c r="B127" s="14">
        <f>CHOOSE(CONTROL!$C$42, 7.9768, 7.9768) * CHOOSE(CONTROL!$C$21, $C$9, 100%, $E$9)</f>
        <v>7.9767999999999999</v>
      </c>
      <c r="C127" s="14">
        <f>CHOOSE(CONTROL!$C$42, 7.9848, 7.9848) * CHOOSE(CONTROL!$C$21, $C$9, 100%, $E$9)</f>
        <v>7.9847999999999999</v>
      </c>
      <c r="D127" s="14">
        <f>CHOOSE(CONTROL!$C$42, 8.1888, 8.1888) * CHOOSE(CONTROL!$C$21, $C$9, 100%, $E$9)</f>
        <v>8.1888000000000005</v>
      </c>
      <c r="E127" s="14">
        <f>CHOOSE(CONTROL!$C$42, 8.2202, 8.2202) * CHOOSE(CONTROL!$C$21, $C$9, 100%, $E$9)</f>
        <v>8.2202000000000002</v>
      </c>
      <c r="F127" s="14">
        <f>CHOOSE(CONTROL!$C$42, 7.9584, 7.9584)*CHOOSE(CONTROL!$C$21, $C$9, 100%, $E$9)</f>
        <v>7.9584000000000001</v>
      </c>
      <c r="G127" s="14">
        <f>CHOOSE(CONTROL!$C$42, 7.9743, 7.9743)*CHOOSE(CONTROL!$C$21, $C$9, 100%, $E$9)</f>
        <v>7.9743000000000004</v>
      </c>
      <c r="H127" s="14">
        <f>CHOOSE(CONTROL!$C$42, 8.2089, 8.2089) * CHOOSE(CONTROL!$C$21, $C$9, 100%, $E$9)</f>
        <v>8.2088999999999999</v>
      </c>
      <c r="I127" s="14">
        <f>CHOOSE(CONTROL!$C$42, 8.0072, 8.0072)* CHOOSE(CONTROL!$C$21, $C$9, 100%, $E$9)</f>
        <v>8.0071999999999992</v>
      </c>
      <c r="J127" s="14">
        <f>CHOOSE(CONTROL!$C$42, 7.9514, 7.9514)* CHOOSE(CONTROL!$C$21, $C$9, 100%, $E$9)</f>
        <v>7.9513999999999996</v>
      </c>
      <c r="K127" s="53">
        <f>CHOOSE(CONTROL!$C$42, 8.0033, 8.0033) * CHOOSE(CONTROL!$C$21, $C$9, 100%, $E$9)</f>
        <v>8.0032999999999994</v>
      </c>
      <c r="L127" s="14">
        <f>CHOOSE(CONTROL!$C$42, 8.7959, 8.7959) * CHOOSE(CONTROL!$C$21, $C$9, 100%, $E$9)</f>
        <v>8.7958999999999996</v>
      </c>
      <c r="M127" s="14">
        <f>CHOOSE(CONTROL!$C$42, 7.7962, 7.7962) * CHOOSE(CONTROL!$C$21, $C$9, 100%, $E$9)</f>
        <v>7.7961999999999998</v>
      </c>
      <c r="N127" s="14">
        <f>CHOOSE(CONTROL!$C$42, 7.8118, 7.8118) * CHOOSE(CONTROL!$C$21, $C$9, 100%, $E$9)</f>
        <v>7.8117999999999999</v>
      </c>
      <c r="O127" s="14">
        <f>CHOOSE(CONTROL!$C$42, 8.0484, 8.0484) * CHOOSE(CONTROL!$C$21, $C$9, 100%, $E$9)</f>
        <v>8.0484000000000009</v>
      </c>
      <c r="P127" s="14">
        <f>CHOOSE(CONTROL!$C$42, 7.8504, 7.8504) * CHOOSE(CONTROL!$C$21, $C$9, 100%, $E$9)</f>
        <v>7.8503999999999996</v>
      </c>
      <c r="Q127" s="14">
        <f>CHOOSE(CONTROL!$C$42, 8.6431, 8.6431) * CHOOSE(CONTROL!$C$21, $C$9, 100%, $E$9)</f>
        <v>8.6431000000000004</v>
      </c>
      <c r="R127" s="14">
        <f>CHOOSE(CONTROL!$C$42, 9.2517, 9.2517) * CHOOSE(CONTROL!$C$21, $C$9, 100%, $E$9)</f>
        <v>9.2516999999999996</v>
      </c>
      <c r="S127" s="14">
        <f>CHOOSE(CONTROL!$C$42, 7.6543, 7.6543) * CHOOSE(CONTROL!$C$21, $C$9, 100%, $E$9)</f>
        <v>7.6543000000000001</v>
      </c>
      <c r="T12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27" s="57">
        <f>(1000*CHOOSE(CONTROL!$C$42, 695, 695)*CHOOSE(CONTROL!$C$42, 0.5599, 0.5599)*CHOOSE(CONTROL!$C$42, 31, 31))/1000000</f>
        <v>12.063045499999998</v>
      </c>
      <c r="V127" s="57">
        <f>(1000*CHOOSE(CONTROL!$C$42, 500, 500)*CHOOSE(CONTROL!$C$42, 0.275, 0.275)*CHOOSE(CONTROL!$C$42, 31, 31))/1000000</f>
        <v>4.2625000000000002</v>
      </c>
      <c r="W127" s="57">
        <f>(1000*CHOOSE(CONTROL!$C$42, 0.1146, 0.1146)*CHOOSE(CONTROL!$C$42, 121.5, 121.5)*CHOOSE(CONTROL!$C$42, 31, 31))/1000000</f>
        <v>0.43164089999999994</v>
      </c>
      <c r="X127" s="57">
        <f>(31*0.1790888*245000/1000000)+(31*0.2374*100000/1000000)</f>
        <v>2.0961194359999999</v>
      </c>
      <c r="Y127" s="57"/>
      <c r="Z127" s="14"/>
      <c r="AA127" s="56"/>
      <c r="AB127" s="50">
        <f>(B127*194.205+C127*267.466+D127*133.845+E127*53.484+F127*40+G127*185+H127*0+I127*100+J127*300)/(194.205+267.466+133.845+53.484+0+40+185+100+300)</f>
        <v>8.0064345161695449</v>
      </c>
      <c r="AC127" s="45">
        <f>(M127*'RAP TEMPLATE-GAS AVAILABILITY'!O126+N127*'RAP TEMPLATE-GAS AVAILABILITY'!P126+O127*'RAP TEMPLATE-GAS AVAILABILITY'!Q126+P127*'RAP TEMPLATE-GAS AVAILABILITY'!R126)/('RAP TEMPLATE-GAS AVAILABILITY'!O126+'RAP TEMPLATE-GAS AVAILABILITY'!P126+'RAP TEMPLATE-GAS AVAILABILITY'!Q126+'RAP TEMPLATE-GAS AVAILABILITY'!R126)</f>
        <v>7.8783510791366904</v>
      </c>
    </row>
    <row r="128" spans="1:29" ht="15.75" x14ac:dyDescent="0.25">
      <c r="A128" s="13">
        <v>44774</v>
      </c>
      <c r="B128" s="14">
        <f>CHOOSE(CONTROL!$C$42, 7.599, 7.599) * CHOOSE(CONTROL!$C$21, $C$9, 100%, $E$9)</f>
        <v>7.5990000000000002</v>
      </c>
      <c r="C128" s="14">
        <f>CHOOSE(CONTROL!$C$42, 7.607, 7.607) * CHOOSE(CONTROL!$C$21, $C$9, 100%, $E$9)</f>
        <v>7.6070000000000002</v>
      </c>
      <c r="D128" s="14">
        <f>CHOOSE(CONTROL!$C$42, 7.811, 7.811) * CHOOSE(CONTROL!$C$21, $C$9, 100%, $E$9)</f>
        <v>7.8109999999999999</v>
      </c>
      <c r="E128" s="14">
        <f>CHOOSE(CONTROL!$C$42, 7.8424, 7.8424) * CHOOSE(CONTROL!$C$21, $C$9, 100%, $E$9)</f>
        <v>7.8423999999999996</v>
      </c>
      <c r="F128" s="14">
        <f>CHOOSE(CONTROL!$C$42, 7.5808, 7.5808)*CHOOSE(CONTROL!$C$21, $C$9, 100%, $E$9)</f>
        <v>7.5808</v>
      </c>
      <c r="G128" s="14">
        <f>CHOOSE(CONTROL!$C$42, 7.5968, 7.5968)*CHOOSE(CONTROL!$C$21, $C$9, 100%, $E$9)</f>
        <v>7.5968</v>
      </c>
      <c r="H128" s="14">
        <f>CHOOSE(CONTROL!$C$42, 7.8311, 7.8311) * CHOOSE(CONTROL!$C$21, $C$9, 100%, $E$9)</f>
        <v>7.8311000000000002</v>
      </c>
      <c r="I128" s="14">
        <f>CHOOSE(CONTROL!$C$42, 7.6282, 7.6282)* CHOOSE(CONTROL!$C$21, $C$9, 100%, $E$9)</f>
        <v>7.6281999999999996</v>
      </c>
      <c r="J128" s="14">
        <f>CHOOSE(CONTROL!$C$42, 7.5738, 7.5738)* CHOOSE(CONTROL!$C$21, $C$9, 100%, $E$9)</f>
        <v>7.5738000000000003</v>
      </c>
      <c r="K128" s="53">
        <f>CHOOSE(CONTROL!$C$42, 7.6243, 7.6243) * CHOOSE(CONTROL!$C$21, $C$9, 100%, $E$9)</f>
        <v>7.6242999999999999</v>
      </c>
      <c r="L128" s="14">
        <f>CHOOSE(CONTROL!$C$42, 8.4181, 8.4181) * CHOOSE(CONTROL!$C$21, $C$9, 100%, $E$9)</f>
        <v>8.4181000000000008</v>
      </c>
      <c r="M128" s="14">
        <f>CHOOSE(CONTROL!$C$42, 7.4264, 7.4264) * CHOOSE(CONTROL!$C$21, $C$9, 100%, $E$9)</f>
        <v>7.4264000000000001</v>
      </c>
      <c r="N128" s="14">
        <f>CHOOSE(CONTROL!$C$42, 7.442, 7.442) * CHOOSE(CONTROL!$C$21, $C$9, 100%, $E$9)</f>
        <v>7.4420000000000002</v>
      </c>
      <c r="O128" s="14">
        <f>CHOOSE(CONTROL!$C$42, 7.6783, 7.6783) * CHOOSE(CONTROL!$C$21, $C$9, 100%, $E$9)</f>
        <v>7.6783000000000001</v>
      </c>
      <c r="P128" s="14">
        <f>CHOOSE(CONTROL!$C$42, 7.4792, 7.4792) * CHOOSE(CONTROL!$C$21, $C$9, 100%, $E$9)</f>
        <v>7.4791999999999996</v>
      </c>
      <c r="Q128" s="14">
        <f>CHOOSE(CONTROL!$C$42, 8.273, 8.273) * CHOOSE(CONTROL!$C$21, $C$9, 100%, $E$9)</f>
        <v>8.2729999999999997</v>
      </c>
      <c r="R128" s="14">
        <f>CHOOSE(CONTROL!$C$42, 8.8807, 8.8807) * CHOOSE(CONTROL!$C$21, $C$9, 100%, $E$9)</f>
        <v>8.8806999999999992</v>
      </c>
      <c r="S128" s="14">
        <f>CHOOSE(CONTROL!$C$42, 7.2912, 7.2912) * CHOOSE(CONTROL!$C$21, $C$9, 100%, $E$9)</f>
        <v>7.2911999999999999</v>
      </c>
      <c r="T12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28" s="57">
        <f>(1000*CHOOSE(CONTROL!$C$42, 695, 695)*CHOOSE(CONTROL!$C$42, 0.5599, 0.5599)*CHOOSE(CONTROL!$C$42, 31, 31))/1000000</f>
        <v>12.063045499999998</v>
      </c>
      <c r="V128" s="57">
        <f>(1000*CHOOSE(CONTROL!$C$42, 500, 500)*CHOOSE(CONTROL!$C$42, 0.275, 0.275)*CHOOSE(CONTROL!$C$42, 31, 31))/1000000</f>
        <v>4.2625000000000002</v>
      </c>
      <c r="W128" s="57">
        <f>(1000*CHOOSE(CONTROL!$C$42, 0.1146, 0.1146)*CHOOSE(CONTROL!$C$42, 121.5, 121.5)*CHOOSE(CONTROL!$C$42, 31, 31))/1000000</f>
        <v>0.43164089999999994</v>
      </c>
      <c r="X128" s="57">
        <f>(31*0.1790888*245000/1000000)+(31*0.2374*100000/1000000)</f>
        <v>2.0961194359999999</v>
      </c>
      <c r="Y128" s="57"/>
      <c r="Z128" s="14"/>
      <c r="AA128" s="56"/>
      <c r="AB128" s="50">
        <f>(B128*194.205+C128*267.466+D128*133.845+E128*53.484+F128*40+G128*185+H128*0+I128*100+J128*300)/(194.205+267.466+133.845+53.484+0+40+185+100+300)</f>
        <v>7.6286372634222914</v>
      </c>
      <c r="AC128" s="45">
        <f>(M128*'RAP TEMPLATE-GAS AVAILABILITY'!O127+N128*'RAP TEMPLATE-GAS AVAILABILITY'!P127+O128*'RAP TEMPLATE-GAS AVAILABILITY'!Q127+P128*'RAP TEMPLATE-GAS AVAILABILITY'!R127)/('RAP TEMPLATE-GAS AVAILABILITY'!O127+'RAP TEMPLATE-GAS AVAILABILITY'!P127+'RAP TEMPLATE-GAS AVAILABILITY'!Q127+'RAP TEMPLATE-GAS AVAILABILITY'!R127)</f>
        <v>7.5082654676259004</v>
      </c>
    </row>
    <row r="129" spans="1:29" ht="15.75" x14ac:dyDescent="0.25">
      <c r="A129" s="13">
        <v>44805</v>
      </c>
      <c r="B129" s="14">
        <f>CHOOSE(CONTROL!$C$42, 7.1316, 7.1316) * CHOOSE(CONTROL!$C$21, $C$9, 100%, $E$9)</f>
        <v>7.1315999999999997</v>
      </c>
      <c r="C129" s="14">
        <f>CHOOSE(CONTROL!$C$42, 7.1396, 7.1396) * CHOOSE(CONTROL!$C$21, $C$9, 100%, $E$9)</f>
        <v>7.1395999999999997</v>
      </c>
      <c r="D129" s="14">
        <f>CHOOSE(CONTROL!$C$42, 7.3435, 7.3435) * CHOOSE(CONTROL!$C$21, $C$9, 100%, $E$9)</f>
        <v>7.3434999999999997</v>
      </c>
      <c r="E129" s="14">
        <f>CHOOSE(CONTROL!$C$42, 7.375, 7.375) * CHOOSE(CONTROL!$C$21, $C$9, 100%, $E$9)</f>
        <v>7.375</v>
      </c>
      <c r="F129" s="14">
        <f>CHOOSE(CONTROL!$C$42, 7.1135, 7.1135)*CHOOSE(CONTROL!$C$21, $C$9, 100%, $E$9)</f>
        <v>7.1135000000000002</v>
      </c>
      <c r="G129" s="14">
        <f>CHOOSE(CONTROL!$C$42, 7.1294, 7.1294)*CHOOSE(CONTROL!$C$21, $C$9, 100%, $E$9)</f>
        <v>7.1294000000000004</v>
      </c>
      <c r="H129" s="14">
        <f>CHOOSE(CONTROL!$C$42, 7.3636, 7.3636) * CHOOSE(CONTROL!$C$21, $C$9, 100%, $E$9)</f>
        <v>7.3635999999999999</v>
      </c>
      <c r="I129" s="14">
        <f>CHOOSE(CONTROL!$C$42, 7.1594, 7.1594)* CHOOSE(CONTROL!$C$21, $C$9, 100%, $E$9)</f>
        <v>7.1593999999999998</v>
      </c>
      <c r="J129" s="14">
        <f>CHOOSE(CONTROL!$C$42, 7.1065, 7.1065)* CHOOSE(CONTROL!$C$21, $C$9, 100%, $E$9)</f>
        <v>7.1064999999999996</v>
      </c>
      <c r="K129" s="53">
        <f>CHOOSE(CONTROL!$C$42, 7.1555, 7.1555) * CHOOSE(CONTROL!$C$21, $C$9, 100%, $E$9)</f>
        <v>7.1555</v>
      </c>
      <c r="L129" s="14">
        <f>CHOOSE(CONTROL!$C$42, 7.9506, 7.9506) * CHOOSE(CONTROL!$C$21, $C$9, 100%, $E$9)</f>
        <v>7.9505999999999997</v>
      </c>
      <c r="M129" s="14">
        <f>CHOOSE(CONTROL!$C$42, 6.9686, 6.9686) * CHOOSE(CONTROL!$C$21, $C$9, 100%, $E$9)</f>
        <v>6.9686000000000003</v>
      </c>
      <c r="N129" s="14">
        <f>CHOOSE(CONTROL!$C$42, 6.9842, 6.9842) * CHOOSE(CONTROL!$C$21, $C$9, 100%, $E$9)</f>
        <v>6.9842000000000004</v>
      </c>
      <c r="O129" s="14">
        <f>CHOOSE(CONTROL!$C$42, 7.2204, 7.2204) * CHOOSE(CONTROL!$C$21, $C$9, 100%, $E$9)</f>
        <v>7.2203999999999997</v>
      </c>
      <c r="P129" s="14">
        <f>CHOOSE(CONTROL!$C$42, 7.02, 7.02) * CHOOSE(CONTROL!$C$21, $C$9, 100%, $E$9)</f>
        <v>7.02</v>
      </c>
      <c r="Q129" s="14">
        <f>CHOOSE(CONTROL!$C$42, 7.8151, 7.8151) * CHOOSE(CONTROL!$C$21, $C$9, 100%, $E$9)</f>
        <v>7.8151000000000002</v>
      </c>
      <c r="R129" s="14">
        <f>CHOOSE(CONTROL!$C$42, 8.4217, 8.4217) * CHOOSE(CONTROL!$C$21, $C$9, 100%, $E$9)</f>
        <v>8.4216999999999995</v>
      </c>
      <c r="S129" s="14">
        <f>CHOOSE(CONTROL!$C$42, 6.8421, 6.8421) * CHOOSE(CONTROL!$C$21, $C$9, 100%, $E$9)</f>
        <v>6.8421000000000003</v>
      </c>
      <c r="T12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29" s="57">
        <f>(1000*CHOOSE(CONTROL!$C$42, 695, 695)*CHOOSE(CONTROL!$C$42, 0.5599, 0.5599)*CHOOSE(CONTROL!$C$42, 30, 30))/1000000</f>
        <v>11.673914999999997</v>
      </c>
      <c r="V129" s="57">
        <f>(1000*CHOOSE(CONTROL!$C$42, 500, 500)*CHOOSE(CONTROL!$C$42, 0.275, 0.275)*CHOOSE(CONTROL!$C$42, 30, 30))/1000000</f>
        <v>4.125</v>
      </c>
      <c r="W129" s="57">
        <f>(1000*CHOOSE(CONTROL!$C$42, 0.1146, 0.1146)*CHOOSE(CONTROL!$C$42, 121.5, 121.5)*CHOOSE(CONTROL!$C$42, 30, 30))/1000000</f>
        <v>0.417717</v>
      </c>
      <c r="X129" s="57">
        <f>(30*0.1790888*245000/1000000)+(30*0.2374*100000/1000000)</f>
        <v>2.0285026799999999</v>
      </c>
      <c r="Y129" s="57"/>
      <c r="Z129" s="14"/>
      <c r="AA129" s="56"/>
      <c r="AB129" s="50">
        <f>(B129*194.205+C129*267.466+D129*133.845+E129*53.484+F129*40+G129*185+H129*0+I129*100+J129*300)/(194.205+267.466+133.845+53.484+0+40+185+100+300)</f>
        <v>7.161143555023548</v>
      </c>
      <c r="AC129" s="45">
        <f>(M129*'RAP TEMPLATE-GAS AVAILABILITY'!O128+N129*'RAP TEMPLATE-GAS AVAILABILITY'!P128+O129*'RAP TEMPLATE-GAS AVAILABILITY'!Q128+P129*'RAP TEMPLATE-GAS AVAILABILITY'!R128)/('RAP TEMPLATE-GAS AVAILABILITY'!O128+'RAP TEMPLATE-GAS AVAILABILITY'!P128+'RAP TEMPLATE-GAS AVAILABILITY'!Q128+'RAP TEMPLATE-GAS AVAILABILITY'!R128)</f>
        <v>7.0502359712230209</v>
      </c>
    </row>
    <row r="130" spans="1:29" ht="15.75" x14ac:dyDescent="0.25">
      <c r="A130" s="13">
        <v>44835</v>
      </c>
      <c r="B130" s="14">
        <f>CHOOSE(CONTROL!$C$42, 6.9996, 6.9996) * CHOOSE(CONTROL!$C$21, $C$9, 100%, $E$9)</f>
        <v>6.9996</v>
      </c>
      <c r="C130" s="14">
        <f>CHOOSE(CONTROL!$C$42, 7.0049, 7.0049) * CHOOSE(CONTROL!$C$21, $C$9, 100%, $E$9)</f>
        <v>7.0049000000000001</v>
      </c>
      <c r="D130" s="14">
        <f>CHOOSE(CONTROL!$C$42, 7.2138, 7.2138) * CHOOSE(CONTROL!$C$21, $C$9, 100%, $E$9)</f>
        <v>7.2138</v>
      </c>
      <c r="E130" s="14">
        <f>CHOOSE(CONTROL!$C$42, 7.243, 7.243) * CHOOSE(CONTROL!$C$21, $C$9, 100%, $E$9)</f>
        <v>7.2430000000000003</v>
      </c>
      <c r="F130" s="14">
        <f>CHOOSE(CONTROL!$C$42, 6.9836, 6.9836)*CHOOSE(CONTROL!$C$21, $C$9, 100%, $E$9)</f>
        <v>6.9836</v>
      </c>
      <c r="G130" s="14">
        <f>CHOOSE(CONTROL!$C$42, 6.9993, 6.9993)*CHOOSE(CONTROL!$C$21, $C$9, 100%, $E$9)</f>
        <v>6.9992999999999999</v>
      </c>
      <c r="H130" s="14">
        <f>CHOOSE(CONTROL!$C$42, 7.2334, 7.2334) * CHOOSE(CONTROL!$C$21, $C$9, 100%, $E$9)</f>
        <v>7.2333999999999996</v>
      </c>
      <c r="I130" s="14">
        <f>CHOOSE(CONTROL!$C$42, 7.0288, 7.0288)* CHOOSE(CONTROL!$C$21, $C$9, 100%, $E$9)</f>
        <v>7.0288000000000004</v>
      </c>
      <c r="J130" s="14">
        <f>CHOOSE(CONTROL!$C$42, 6.9766, 6.9766)* CHOOSE(CONTROL!$C$21, $C$9, 100%, $E$9)</f>
        <v>6.9766000000000004</v>
      </c>
      <c r="K130" s="53">
        <f>CHOOSE(CONTROL!$C$42, 7.0249, 7.0249) * CHOOSE(CONTROL!$C$21, $C$9, 100%, $E$9)</f>
        <v>7.0248999999999997</v>
      </c>
      <c r="L130" s="14">
        <f>CHOOSE(CONTROL!$C$42, 7.8204, 7.8204) * CHOOSE(CONTROL!$C$21, $C$9, 100%, $E$9)</f>
        <v>7.8204000000000002</v>
      </c>
      <c r="M130" s="14">
        <f>CHOOSE(CONTROL!$C$42, 6.8414, 6.8414) * CHOOSE(CONTROL!$C$21, $C$9, 100%, $E$9)</f>
        <v>6.8414000000000001</v>
      </c>
      <c r="N130" s="14">
        <f>CHOOSE(CONTROL!$C$42, 6.8567, 6.8567) * CHOOSE(CONTROL!$C$21, $C$9, 100%, $E$9)</f>
        <v>6.8567</v>
      </c>
      <c r="O130" s="14">
        <f>CHOOSE(CONTROL!$C$42, 7.0929, 7.0929) * CHOOSE(CONTROL!$C$21, $C$9, 100%, $E$9)</f>
        <v>7.0929000000000002</v>
      </c>
      <c r="P130" s="14">
        <f>CHOOSE(CONTROL!$C$42, 6.8921, 6.8921) * CHOOSE(CONTROL!$C$21, $C$9, 100%, $E$9)</f>
        <v>6.8921000000000001</v>
      </c>
      <c r="Q130" s="14">
        <f>CHOOSE(CONTROL!$C$42, 7.6876, 7.6876) * CHOOSE(CONTROL!$C$21, $C$9, 100%, $E$9)</f>
        <v>7.6875999999999998</v>
      </c>
      <c r="R130" s="14">
        <f>CHOOSE(CONTROL!$C$42, 8.2938, 8.2938) * CHOOSE(CONTROL!$C$21, $C$9, 100%, $E$9)</f>
        <v>8.2937999999999992</v>
      </c>
      <c r="S130" s="14">
        <f>CHOOSE(CONTROL!$C$42, 6.717, 6.717) * CHOOSE(CONTROL!$C$21, $C$9, 100%, $E$9)</f>
        <v>6.7169999999999996</v>
      </c>
      <c r="T13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30" s="57">
        <f>(1000*CHOOSE(CONTROL!$C$42, 695, 695)*CHOOSE(CONTROL!$C$42, 0.5599, 0.5599)*CHOOSE(CONTROL!$C$42, 31, 31))/1000000</f>
        <v>12.063045499999998</v>
      </c>
      <c r="V130" s="57">
        <f>(1000*CHOOSE(CONTROL!$C$42, 500, 500)*CHOOSE(CONTROL!$C$42, 0.275, 0.275)*CHOOSE(CONTROL!$C$42, 31, 31))/1000000</f>
        <v>4.2625000000000002</v>
      </c>
      <c r="W130" s="57">
        <f>(1000*CHOOSE(CONTROL!$C$42, 0.1146, 0.1146)*CHOOSE(CONTROL!$C$42, 121.5, 121.5)*CHOOSE(CONTROL!$C$42, 31, 31))/1000000</f>
        <v>0.43164089999999994</v>
      </c>
      <c r="X130" s="57">
        <f>(31*0.1790888*245000/1000000)+(31*0.2374*100000/1000000)</f>
        <v>2.0961194359999999</v>
      </c>
      <c r="Y130" s="57"/>
      <c r="Z130" s="14"/>
      <c r="AA130" s="56"/>
      <c r="AB130" s="50">
        <f>(B130*131.881+C130*277.167+D130*79.08+E130*125.872+F130*40+G130*185+H130*0+I130*100+J130*300)/(131.881+277.167+79.08+125.872+0+40+185+100+300)</f>
        <v>7.0354108683615815</v>
      </c>
      <c r="AC130" s="45">
        <f>(M130*'RAP TEMPLATE-GAS AVAILABILITY'!O129+N130*'RAP TEMPLATE-GAS AVAILABILITY'!P129+O130*'RAP TEMPLATE-GAS AVAILABILITY'!Q129+P130*'RAP TEMPLATE-GAS AVAILABILITY'!R129)/('RAP TEMPLATE-GAS AVAILABILITY'!O129+'RAP TEMPLATE-GAS AVAILABILITY'!P129+'RAP TEMPLATE-GAS AVAILABILITY'!Q129+'RAP TEMPLATE-GAS AVAILABILITY'!R129)</f>
        <v>6.9227820143884902</v>
      </c>
    </row>
    <row r="131" spans="1:29" ht="15.75" x14ac:dyDescent="0.25">
      <c r="A131" s="13">
        <v>44866</v>
      </c>
      <c r="B131" s="14">
        <f>CHOOSE(CONTROL!$C$42, 7.1981, 7.1981) * CHOOSE(CONTROL!$C$21, $C$9, 100%, $E$9)</f>
        <v>7.1981000000000002</v>
      </c>
      <c r="C131" s="14">
        <f>CHOOSE(CONTROL!$C$42, 7.2032, 7.2032) * CHOOSE(CONTROL!$C$21, $C$9, 100%, $E$9)</f>
        <v>7.2031999999999998</v>
      </c>
      <c r="D131" s="14">
        <f>CHOOSE(CONTROL!$C$42, 7.267, 7.267) * CHOOSE(CONTROL!$C$21, $C$9, 100%, $E$9)</f>
        <v>7.2670000000000003</v>
      </c>
      <c r="E131" s="14">
        <f>CHOOSE(CONTROL!$C$42, 7.3011, 7.3011) * CHOOSE(CONTROL!$C$21, $C$9, 100%, $E$9)</f>
        <v>7.3010999999999999</v>
      </c>
      <c r="F131" s="14">
        <f>CHOOSE(CONTROL!$C$42, 7.2005, 7.2005)*CHOOSE(CONTROL!$C$21, $C$9, 100%, $E$9)</f>
        <v>7.2004999999999999</v>
      </c>
      <c r="G131" s="14">
        <f>CHOOSE(CONTROL!$C$42, 7.2165, 7.2165)*CHOOSE(CONTROL!$C$21, $C$9, 100%, $E$9)</f>
        <v>7.2164999999999999</v>
      </c>
      <c r="H131" s="14">
        <f>CHOOSE(CONTROL!$C$42, 7.2903, 7.2903) * CHOOSE(CONTROL!$C$21, $C$9, 100%, $E$9)</f>
        <v>7.2903000000000002</v>
      </c>
      <c r="I131" s="14">
        <f>CHOOSE(CONTROL!$C$42, 7.2335, 7.2335)* CHOOSE(CONTROL!$C$21, $C$9, 100%, $E$9)</f>
        <v>7.2335000000000003</v>
      </c>
      <c r="J131" s="14">
        <f>CHOOSE(CONTROL!$C$42, 7.1935, 7.1935)* CHOOSE(CONTROL!$C$21, $C$9, 100%, $E$9)</f>
        <v>7.1935000000000002</v>
      </c>
      <c r="K131" s="53">
        <f>CHOOSE(CONTROL!$C$42, 7.2296, 7.2296) * CHOOSE(CONTROL!$C$21, $C$9, 100%, $E$9)</f>
        <v>7.2295999999999996</v>
      </c>
      <c r="L131" s="14">
        <f>CHOOSE(CONTROL!$C$42, 7.8773, 7.8773) * CHOOSE(CONTROL!$C$21, $C$9, 100%, $E$9)</f>
        <v>7.8773</v>
      </c>
      <c r="M131" s="14">
        <f>CHOOSE(CONTROL!$C$42, 7.0538, 7.0538) * CHOOSE(CONTROL!$C$21, $C$9, 100%, $E$9)</f>
        <v>7.0537999999999998</v>
      </c>
      <c r="N131" s="14">
        <f>CHOOSE(CONTROL!$C$42, 7.0695, 7.0695) * CHOOSE(CONTROL!$C$21, $C$9, 100%, $E$9)</f>
        <v>7.0694999999999997</v>
      </c>
      <c r="O131" s="14">
        <f>CHOOSE(CONTROL!$C$42, 7.1486, 7.1486) * CHOOSE(CONTROL!$C$21, $C$9, 100%, $E$9)</f>
        <v>7.1486000000000001</v>
      </c>
      <c r="P131" s="14">
        <f>CHOOSE(CONTROL!$C$42, 7.0926, 7.0926) * CHOOSE(CONTROL!$C$21, $C$9, 100%, $E$9)</f>
        <v>7.0926</v>
      </c>
      <c r="Q131" s="14">
        <f>CHOOSE(CONTROL!$C$42, 7.7433, 7.7433) * CHOOSE(CONTROL!$C$21, $C$9, 100%, $E$9)</f>
        <v>7.7432999999999996</v>
      </c>
      <c r="R131" s="14">
        <f>CHOOSE(CONTROL!$C$42, 8.3497, 8.3497) * CHOOSE(CONTROL!$C$21, $C$9, 100%, $E$9)</f>
        <v>8.3497000000000003</v>
      </c>
      <c r="S131" s="14">
        <f>CHOOSE(CONTROL!$C$42, 6.9081, 6.9081) * CHOOSE(CONTROL!$C$21, $C$9, 100%, $E$9)</f>
        <v>6.9081000000000001</v>
      </c>
      <c r="T13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31" s="57">
        <f>(1000*CHOOSE(CONTROL!$C$42, 695, 695)*CHOOSE(CONTROL!$C$42, 0.5599, 0.5599)*CHOOSE(CONTROL!$C$42, 30, 30))/1000000</f>
        <v>11.673914999999997</v>
      </c>
      <c r="V131" s="57">
        <f>(1000*CHOOSE(CONTROL!$C$42, 500, 500)*CHOOSE(CONTROL!$C$42, 0.275, 0.275)*CHOOSE(CONTROL!$C$42, 30, 30))/1000000</f>
        <v>4.125</v>
      </c>
      <c r="W131" s="57">
        <f>(1000*CHOOSE(CONTROL!$C$42, 0.1146, 0.1146)*CHOOSE(CONTROL!$C$42, 121.5, 121.5)*CHOOSE(CONTROL!$C$42, 30, 30))/1000000</f>
        <v>0.417717</v>
      </c>
      <c r="X131" s="57">
        <f>(30*0.1790888*100000/1000000)+(30*0.2374*100000/1000000)</f>
        <v>1.2494664</v>
      </c>
      <c r="Y131" s="57"/>
      <c r="Z131" s="14"/>
      <c r="AA131" s="56"/>
      <c r="AB131" s="50">
        <f>(B131*122.58+C131*297.941+D131*89.177+E131*40.302+F131*40+G131*160+H131*0+I131*100+J131*300)/(122.58+297.941+89.177+40.302+0+40+160+100+300)</f>
        <v>7.2128955655652174</v>
      </c>
      <c r="AC131" s="45">
        <f>(M131*'RAP TEMPLATE-GAS AVAILABILITY'!O130+N131*'RAP TEMPLATE-GAS AVAILABILITY'!P130+O131*'RAP TEMPLATE-GAS AVAILABILITY'!Q130+P131*'RAP TEMPLATE-GAS AVAILABILITY'!R130)/('RAP TEMPLATE-GAS AVAILABILITY'!O130+'RAP TEMPLATE-GAS AVAILABILITY'!P130+'RAP TEMPLATE-GAS AVAILABILITY'!Q130+'RAP TEMPLATE-GAS AVAILABILITY'!R130)</f>
        <v>7.1032532374100725</v>
      </c>
    </row>
    <row r="132" spans="1:29" ht="15.75" x14ac:dyDescent="0.25">
      <c r="A132" s="13">
        <v>44896</v>
      </c>
      <c r="B132" s="14">
        <f>CHOOSE(CONTROL!$C$42, 7.704, 7.704) * CHOOSE(CONTROL!$C$21, $C$9, 100%, $E$9)</f>
        <v>7.7039999999999997</v>
      </c>
      <c r="C132" s="14">
        <f>CHOOSE(CONTROL!$C$42, 7.7091, 7.7091) * CHOOSE(CONTROL!$C$21, $C$9, 100%, $E$9)</f>
        <v>7.7091000000000003</v>
      </c>
      <c r="D132" s="14">
        <f>CHOOSE(CONTROL!$C$42, 7.7729, 7.7729) * CHOOSE(CONTROL!$C$21, $C$9, 100%, $E$9)</f>
        <v>7.7728999999999999</v>
      </c>
      <c r="E132" s="14">
        <f>CHOOSE(CONTROL!$C$42, 7.807, 7.807) * CHOOSE(CONTROL!$C$21, $C$9, 100%, $E$9)</f>
        <v>7.8070000000000004</v>
      </c>
      <c r="F132" s="14">
        <f>CHOOSE(CONTROL!$C$42, 7.7087, 7.7087)*CHOOSE(CONTROL!$C$21, $C$9, 100%, $E$9)</f>
        <v>7.7087000000000003</v>
      </c>
      <c r="G132" s="14">
        <f>CHOOSE(CONTROL!$C$42, 7.7253, 7.7253)*CHOOSE(CONTROL!$C$21, $C$9, 100%, $E$9)</f>
        <v>7.7252999999999998</v>
      </c>
      <c r="H132" s="14">
        <f>CHOOSE(CONTROL!$C$42, 7.7962, 7.7962) * CHOOSE(CONTROL!$C$21, $C$9, 100%, $E$9)</f>
        <v>7.7961999999999998</v>
      </c>
      <c r="I132" s="14">
        <f>CHOOSE(CONTROL!$C$42, 7.741, 7.741)* CHOOSE(CONTROL!$C$21, $C$9, 100%, $E$9)</f>
        <v>7.7409999999999997</v>
      </c>
      <c r="J132" s="14">
        <f>CHOOSE(CONTROL!$C$42, 7.7017, 7.7017)* CHOOSE(CONTROL!$C$21, $C$9, 100%, $E$9)</f>
        <v>7.7016999999999998</v>
      </c>
      <c r="K132" s="53">
        <f>CHOOSE(CONTROL!$C$42, 7.7371, 7.7371) * CHOOSE(CONTROL!$C$21, $C$9, 100%, $E$9)</f>
        <v>7.7370999999999999</v>
      </c>
      <c r="L132" s="14">
        <f>CHOOSE(CONTROL!$C$42, 8.3832, 8.3832) * CHOOSE(CONTROL!$C$21, $C$9, 100%, $E$9)</f>
        <v>8.3832000000000004</v>
      </c>
      <c r="M132" s="14">
        <f>CHOOSE(CONTROL!$C$42, 7.5516, 7.5516) * CHOOSE(CONTROL!$C$21, $C$9, 100%, $E$9)</f>
        <v>7.5515999999999996</v>
      </c>
      <c r="N132" s="14">
        <f>CHOOSE(CONTROL!$C$42, 7.5678, 7.5678) * CHOOSE(CONTROL!$C$21, $C$9, 100%, $E$9)</f>
        <v>7.5678000000000001</v>
      </c>
      <c r="O132" s="14">
        <f>CHOOSE(CONTROL!$C$42, 7.6442, 7.6442) * CHOOSE(CONTROL!$C$21, $C$9, 100%, $E$9)</f>
        <v>7.6441999999999997</v>
      </c>
      <c r="P132" s="14">
        <f>CHOOSE(CONTROL!$C$42, 7.5897, 7.5897) * CHOOSE(CONTROL!$C$21, $C$9, 100%, $E$9)</f>
        <v>7.5896999999999997</v>
      </c>
      <c r="Q132" s="14">
        <f>CHOOSE(CONTROL!$C$42, 8.2389, 8.2389) * CHOOSE(CONTROL!$C$21, $C$9, 100%, $E$9)</f>
        <v>8.2388999999999992</v>
      </c>
      <c r="R132" s="14">
        <f>CHOOSE(CONTROL!$C$42, 8.8465, 8.8465) * CHOOSE(CONTROL!$C$21, $C$9, 100%, $E$9)</f>
        <v>8.8465000000000007</v>
      </c>
      <c r="S132" s="14">
        <f>CHOOSE(CONTROL!$C$42, 7.3943, 7.3943) * CHOOSE(CONTROL!$C$21, $C$9, 100%, $E$9)</f>
        <v>7.3943000000000003</v>
      </c>
      <c r="T13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32" s="57">
        <f>(1000*CHOOSE(CONTROL!$C$42, 695, 695)*CHOOSE(CONTROL!$C$42, 0.5599, 0.5599)*CHOOSE(CONTROL!$C$42, 31, 31))/1000000</f>
        <v>12.063045499999998</v>
      </c>
      <c r="V132" s="57">
        <f>(1000*CHOOSE(CONTROL!$C$42, 500, 500)*CHOOSE(CONTROL!$C$42, 0.275, 0.275)*CHOOSE(CONTROL!$C$42, 31, 31))/1000000</f>
        <v>4.2625000000000002</v>
      </c>
      <c r="W132" s="57">
        <f>(1000*CHOOSE(CONTROL!$C$42, 0.1146, 0.1146)*CHOOSE(CONTROL!$C$42, 121.5, 121.5)*CHOOSE(CONTROL!$C$42, 31, 31))/1000000</f>
        <v>0.43164089999999994</v>
      </c>
      <c r="X132" s="57">
        <f>(31*0.1790888*100000/1000000)+(31*0.2374*100000/1000000)</f>
        <v>1.2911152800000001</v>
      </c>
      <c r="Y132" s="57"/>
      <c r="Z132" s="14"/>
      <c r="AA132" s="56"/>
      <c r="AB132" s="50">
        <f>(B132*122.58+C132*297.941+D132*89.177+E132*40.302+F132*40+G132*160+H132*0+I132*100+J132*300)/(122.58+297.941+89.177+40.302+0+40+160+100+300)</f>
        <v>7.7200181742608702</v>
      </c>
      <c r="AC132" s="45">
        <f>(M132*'RAP TEMPLATE-GAS AVAILABILITY'!O131+N132*'RAP TEMPLATE-GAS AVAILABILITY'!P131+O132*'RAP TEMPLATE-GAS AVAILABILITY'!Q131+P132*'RAP TEMPLATE-GAS AVAILABILITY'!R131)/('RAP TEMPLATE-GAS AVAILABILITY'!O131+'RAP TEMPLATE-GAS AVAILABILITY'!P131+'RAP TEMPLATE-GAS AVAILABILITY'!Q131+'RAP TEMPLATE-GAS AVAILABILITY'!R131)</f>
        <v>7.5999841726618715</v>
      </c>
    </row>
    <row r="133" spans="1:29" ht="15.75" x14ac:dyDescent="0.25">
      <c r="A133" s="13">
        <v>44927</v>
      </c>
      <c r="B133" s="14">
        <f>CHOOSE(CONTROL!$C$42, 8.501, 8.501) * CHOOSE(CONTROL!$C$21, $C$9, 100%, $E$9)</f>
        <v>8.5009999999999994</v>
      </c>
      <c r="C133" s="14">
        <f>CHOOSE(CONTROL!$C$42, 8.5061, 8.5061) * CHOOSE(CONTROL!$C$21, $C$9, 100%, $E$9)</f>
        <v>8.5061</v>
      </c>
      <c r="D133" s="14">
        <f>CHOOSE(CONTROL!$C$42, 8.5725, 8.5725) * CHOOSE(CONTROL!$C$21, $C$9, 100%, $E$9)</f>
        <v>8.5724999999999998</v>
      </c>
      <c r="E133" s="14">
        <f>CHOOSE(CONTROL!$C$42, 8.6066, 8.6066) * CHOOSE(CONTROL!$C$21, $C$9, 100%, $E$9)</f>
        <v>8.6066000000000003</v>
      </c>
      <c r="F133" s="14">
        <f>CHOOSE(CONTROL!$C$42, 8.4883, 8.4883)*CHOOSE(CONTROL!$C$21, $C$9, 100%, $E$9)</f>
        <v>8.4883000000000006</v>
      </c>
      <c r="G133" s="14">
        <f>CHOOSE(CONTROL!$C$42, 8.5038, 8.5038)*CHOOSE(CONTROL!$C$21, $C$9, 100%, $E$9)</f>
        <v>8.5038</v>
      </c>
      <c r="H133" s="14">
        <f>CHOOSE(CONTROL!$C$42, 8.5958, 8.5958) * CHOOSE(CONTROL!$C$21, $C$9, 100%, $E$9)</f>
        <v>8.5958000000000006</v>
      </c>
      <c r="I133" s="14">
        <f>CHOOSE(CONTROL!$C$42, 8.5353, 8.5353)* CHOOSE(CONTROL!$C$21, $C$9, 100%, $E$9)</f>
        <v>8.5352999999999994</v>
      </c>
      <c r="J133" s="14">
        <f>CHOOSE(CONTROL!$C$42, 8.4813, 8.4813)* CHOOSE(CONTROL!$C$21, $C$9, 100%, $E$9)</f>
        <v>8.4812999999999992</v>
      </c>
      <c r="K133" s="53">
        <f>CHOOSE(CONTROL!$C$42, 8.5314, 8.5314) * CHOOSE(CONTROL!$C$21, $C$9, 100%, $E$9)</f>
        <v>8.5313999999999997</v>
      </c>
      <c r="L133" s="14">
        <f>CHOOSE(CONTROL!$C$42, 9.1828, 9.1828) * CHOOSE(CONTROL!$C$21, $C$9, 100%, $E$9)</f>
        <v>9.1828000000000003</v>
      </c>
      <c r="M133" s="14">
        <f>CHOOSE(CONTROL!$C$42, 8.3153, 8.3153) * CHOOSE(CONTROL!$C$21, $C$9, 100%, $E$9)</f>
        <v>8.3153000000000006</v>
      </c>
      <c r="N133" s="14">
        <f>CHOOSE(CONTROL!$C$42, 8.3304, 8.3304) * CHOOSE(CONTROL!$C$21, $C$9, 100%, $E$9)</f>
        <v>8.3303999999999991</v>
      </c>
      <c r="O133" s="14">
        <f>CHOOSE(CONTROL!$C$42, 8.4274, 8.4274) * CHOOSE(CONTROL!$C$21, $C$9, 100%, $E$9)</f>
        <v>8.4274000000000004</v>
      </c>
      <c r="P133" s="14">
        <f>CHOOSE(CONTROL!$C$42, 8.3676, 8.3676) * CHOOSE(CONTROL!$C$21, $C$9, 100%, $E$9)</f>
        <v>8.3675999999999995</v>
      </c>
      <c r="Q133" s="14">
        <f>CHOOSE(CONTROL!$C$42, 9.0221, 9.0221) * CHOOSE(CONTROL!$C$21, $C$9, 100%, $E$9)</f>
        <v>9.0221</v>
      </c>
      <c r="R133" s="14">
        <f>CHOOSE(CONTROL!$C$42, 9.6316, 9.6316) * CHOOSE(CONTROL!$C$21, $C$9, 100%, $E$9)</f>
        <v>9.6316000000000006</v>
      </c>
      <c r="S133" s="14">
        <f>CHOOSE(CONTROL!$C$42, 8.1601, 8.1601) * CHOOSE(CONTROL!$C$21, $C$9, 100%, $E$9)</f>
        <v>8.1600999999999999</v>
      </c>
      <c r="T13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33" s="57">
        <f>(1000*CHOOSE(CONTROL!$C$42, 695, 695)*CHOOSE(CONTROL!$C$42, 0.5599, 0.5599)*CHOOSE(CONTROL!$C$42, 31, 31))/1000000</f>
        <v>12.063045499999998</v>
      </c>
      <c r="V133" s="57">
        <f>(1000*CHOOSE(CONTROL!$C$42, 500, 500)*CHOOSE(CONTROL!$C$42, 0.275, 0.275)*CHOOSE(CONTROL!$C$42, 31, 31))/1000000</f>
        <v>4.2625000000000002</v>
      </c>
      <c r="W133" s="57">
        <f>(1000*CHOOSE(CONTROL!$C$42, 0.1146, 0.1146)*CHOOSE(CONTROL!$C$42, 121.5, 121.5)*CHOOSE(CONTROL!$C$42, 31, 31))/1000000</f>
        <v>0.43164089999999994</v>
      </c>
      <c r="X133" s="57">
        <f>(31*0.1790888*100000/1000000)+(31*0.2374*100000/1000000)</f>
        <v>1.2911152800000001</v>
      </c>
      <c r="Y133" s="57"/>
      <c r="Z133" s="14"/>
      <c r="AA133" s="56"/>
      <c r="AB133" s="50">
        <f>(B133*122.58+C133*297.941+D133*89.177+E133*40.302+F133*40+G133*160+H133*0+I133*100+J133*300)/(122.58+297.941+89.177+40.302+0+40+160+100+300)</f>
        <v>8.509357865913044</v>
      </c>
      <c r="AC133" s="45">
        <f>(M133*'RAP TEMPLATE-GAS AVAILABILITY'!O132+N133*'RAP TEMPLATE-GAS AVAILABILITY'!P132+O133*'RAP TEMPLATE-GAS AVAILABILITY'!Q132+P133*'RAP TEMPLATE-GAS AVAILABILITY'!R132)/('RAP TEMPLATE-GAS AVAILABILITY'!O132+'RAP TEMPLATE-GAS AVAILABILITY'!P132+'RAP TEMPLATE-GAS AVAILABILITY'!Q132+'RAP TEMPLATE-GAS AVAILABILITY'!R132)</f>
        <v>8.3745021582733816</v>
      </c>
    </row>
    <row r="134" spans="1:29" ht="15.75" x14ac:dyDescent="0.25">
      <c r="A134" s="13">
        <v>44958</v>
      </c>
      <c r="B134" s="14">
        <f>CHOOSE(CONTROL!$C$42, 8.67, 8.67) * CHOOSE(CONTROL!$C$21, $C$9, 100%, $E$9)</f>
        <v>8.67</v>
      </c>
      <c r="C134" s="14">
        <f>CHOOSE(CONTROL!$C$42, 8.675, 8.675) * CHOOSE(CONTROL!$C$21, $C$9, 100%, $E$9)</f>
        <v>8.6750000000000007</v>
      </c>
      <c r="D134" s="14">
        <f>CHOOSE(CONTROL!$C$42, 8.7414, 8.7414) * CHOOSE(CONTROL!$C$21, $C$9, 100%, $E$9)</f>
        <v>8.7414000000000005</v>
      </c>
      <c r="E134" s="14">
        <f>CHOOSE(CONTROL!$C$42, 8.7756, 8.7756) * CHOOSE(CONTROL!$C$21, $C$9, 100%, $E$9)</f>
        <v>8.7756000000000007</v>
      </c>
      <c r="F134" s="14">
        <f>CHOOSE(CONTROL!$C$42, 8.6574, 8.6574)*CHOOSE(CONTROL!$C$21, $C$9, 100%, $E$9)</f>
        <v>8.6574000000000009</v>
      </c>
      <c r="G134" s="14">
        <f>CHOOSE(CONTROL!$C$42, 8.6729, 8.6729)*CHOOSE(CONTROL!$C$21, $C$9, 100%, $E$9)</f>
        <v>8.6729000000000003</v>
      </c>
      <c r="H134" s="14">
        <f>CHOOSE(CONTROL!$C$42, 8.7647, 8.7647) * CHOOSE(CONTROL!$C$21, $C$9, 100%, $E$9)</f>
        <v>8.7646999999999995</v>
      </c>
      <c r="I134" s="14">
        <f>CHOOSE(CONTROL!$C$42, 8.7047, 8.7047)* CHOOSE(CONTROL!$C$21, $C$9, 100%, $E$9)</f>
        <v>8.7047000000000008</v>
      </c>
      <c r="J134" s="14">
        <f>CHOOSE(CONTROL!$C$42, 8.6504, 8.6504)* CHOOSE(CONTROL!$C$21, $C$9, 100%, $E$9)</f>
        <v>8.6503999999999994</v>
      </c>
      <c r="K134" s="53">
        <f>CHOOSE(CONTROL!$C$42, 8.7009, 8.7009) * CHOOSE(CONTROL!$C$21, $C$9, 100%, $E$9)</f>
        <v>8.7009000000000007</v>
      </c>
      <c r="L134" s="14">
        <f>CHOOSE(CONTROL!$C$42, 9.3517, 9.3517) * CHOOSE(CONTROL!$C$21, $C$9, 100%, $E$9)</f>
        <v>9.3516999999999992</v>
      </c>
      <c r="M134" s="14">
        <f>CHOOSE(CONTROL!$C$42, 8.4808, 8.4808) * CHOOSE(CONTROL!$C$21, $C$9, 100%, $E$9)</f>
        <v>8.4808000000000003</v>
      </c>
      <c r="N134" s="14">
        <f>CHOOSE(CONTROL!$C$42, 8.496, 8.496) * CHOOSE(CONTROL!$C$21, $C$9, 100%, $E$9)</f>
        <v>8.4960000000000004</v>
      </c>
      <c r="O134" s="14">
        <f>CHOOSE(CONTROL!$C$42, 8.5929, 8.5929) * CHOOSE(CONTROL!$C$21, $C$9, 100%, $E$9)</f>
        <v>8.5929000000000002</v>
      </c>
      <c r="P134" s="14">
        <f>CHOOSE(CONTROL!$C$42, 8.5336, 8.5336) * CHOOSE(CONTROL!$C$21, $C$9, 100%, $E$9)</f>
        <v>8.5335999999999999</v>
      </c>
      <c r="Q134" s="14">
        <f>CHOOSE(CONTROL!$C$42, 9.1876, 9.1876) * CHOOSE(CONTROL!$C$21, $C$9, 100%, $E$9)</f>
        <v>9.1875999999999998</v>
      </c>
      <c r="R134" s="14">
        <f>CHOOSE(CONTROL!$C$42, 9.7975, 9.7975) * CHOOSE(CONTROL!$C$21, $C$9, 100%, $E$9)</f>
        <v>9.7974999999999994</v>
      </c>
      <c r="S134" s="14">
        <f>CHOOSE(CONTROL!$C$42, 8.3224, 8.3224) * CHOOSE(CONTROL!$C$21, $C$9, 100%, $E$9)</f>
        <v>8.3224</v>
      </c>
      <c r="T13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34" s="57">
        <f>(1000*CHOOSE(CONTROL!$C$42, 695, 695)*CHOOSE(CONTROL!$C$42, 0.5599, 0.5599)*CHOOSE(CONTROL!$C$42, 28, 28))/1000000</f>
        <v>10.895653999999999</v>
      </c>
      <c r="V134" s="57">
        <f>(1000*CHOOSE(CONTROL!$C$42, 500, 500)*CHOOSE(CONTROL!$C$42, 0.275, 0.275)*CHOOSE(CONTROL!$C$42, 28, 28))/1000000</f>
        <v>3.85</v>
      </c>
      <c r="W134" s="57">
        <f>(1000*CHOOSE(CONTROL!$C$42, 0.1146, 0.1146)*CHOOSE(CONTROL!$C$42, 121.5, 121.5)*CHOOSE(CONTROL!$C$42, 28, 28))/1000000</f>
        <v>0.38986920000000003</v>
      </c>
      <c r="X134" s="57">
        <f>(28*0.1790888*100000/1000000)+(28*0.2374*100000/1000000)</f>
        <v>1.16616864</v>
      </c>
      <c r="Y134" s="57"/>
      <c r="Z134" s="14"/>
      <c r="AA134" s="56"/>
      <c r="AB134" s="50">
        <f>(B134*122.58+C134*297.941+D134*89.177+E134*40.302+F134*40+G134*160+H134*0+I134*100+J134*300)/(122.58+297.941+89.177+40.302+0+40+160+100+300)</f>
        <v>8.6784024643478244</v>
      </c>
      <c r="AC134" s="45">
        <f>(M134*'RAP TEMPLATE-GAS AVAILABILITY'!O133+N134*'RAP TEMPLATE-GAS AVAILABILITY'!P133+O134*'RAP TEMPLATE-GAS AVAILABILITY'!Q133+P134*'RAP TEMPLATE-GAS AVAILABILITY'!R133)/('RAP TEMPLATE-GAS AVAILABILITY'!O133+'RAP TEMPLATE-GAS AVAILABILITY'!P133+'RAP TEMPLATE-GAS AVAILABILITY'!Q133+'RAP TEMPLATE-GAS AVAILABILITY'!R133)</f>
        <v>8.5400798561151081</v>
      </c>
    </row>
    <row r="135" spans="1:29" ht="15.75" x14ac:dyDescent="0.25">
      <c r="A135" s="13">
        <v>44986</v>
      </c>
      <c r="B135" s="14">
        <f>CHOOSE(CONTROL!$C$42, 8.4414, 8.4414) * CHOOSE(CONTROL!$C$21, $C$9, 100%, $E$9)</f>
        <v>8.4413999999999998</v>
      </c>
      <c r="C135" s="14">
        <f>CHOOSE(CONTROL!$C$42, 8.4465, 8.4465) * CHOOSE(CONTROL!$C$21, $C$9, 100%, $E$9)</f>
        <v>8.4465000000000003</v>
      </c>
      <c r="D135" s="14">
        <f>CHOOSE(CONTROL!$C$42, 8.5129, 8.5129) * CHOOSE(CONTROL!$C$21, $C$9, 100%, $E$9)</f>
        <v>8.5129000000000001</v>
      </c>
      <c r="E135" s="14">
        <f>CHOOSE(CONTROL!$C$42, 8.547, 8.547) * CHOOSE(CONTROL!$C$21, $C$9, 100%, $E$9)</f>
        <v>8.5470000000000006</v>
      </c>
      <c r="F135" s="14">
        <f>CHOOSE(CONTROL!$C$42, 8.4284, 8.4284)*CHOOSE(CONTROL!$C$21, $C$9, 100%, $E$9)</f>
        <v>8.4283999999999999</v>
      </c>
      <c r="G135" s="14">
        <f>CHOOSE(CONTROL!$C$42, 8.4438, 8.4438)*CHOOSE(CONTROL!$C$21, $C$9, 100%, $E$9)</f>
        <v>8.4437999999999995</v>
      </c>
      <c r="H135" s="14">
        <f>CHOOSE(CONTROL!$C$42, 8.5362, 8.5362) * CHOOSE(CONTROL!$C$21, $C$9, 100%, $E$9)</f>
        <v>8.5361999999999991</v>
      </c>
      <c r="I135" s="14">
        <f>CHOOSE(CONTROL!$C$42, 8.4755, 8.4755)* CHOOSE(CONTROL!$C$21, $C$9, 100%, $E$9)</f>
        <v>8.4755000000000003</v>
      </c>
      <c r="J135" s="14">
        <f>CHOOSE(CONTROL!$C$42, 8.4214, 8.4214)* CHOOSE(CONTROL!$C$21, $C$9, 100%, $E$9)</f>
        <v>8.4214000000000002</v>
      </c>
      <c r="K135" s="53">
        <f>CHOOSE(CONTROL!$C$42, 8.4716, 8.4716) * CHOOSE(CONTROL!$C$21, $C$9, 100%, $E$9)</f>
        <v>8.4716000000000005</v>
      </c>
      <c r="L135" s="14">
        <f>CHOOSE(CONTROL!$C$42, 9.1232, 9.1232) * CHOOSE(CONTROL!$C$21, $C$9, 100%, $E$9)</f>
        <v>9.1232000000000006</v>
      </c>
      <c r="M135" s="14">
        <f>CHOOSE(CONTROL!$C$42, 8.2566, 8.2566) * CHOOSE(CONTROL!$C$21, $C$9, 100%, $E$9)</f>
        <v>8.2566000000000006</v>
      </c>
      <c r="N135" s="14">
        <f>CHOOSE(CONTROL!$C$42, 8.2716, 8.2716) * CHOOSE(CONTROL!$C$21, $C$9, 100%, $E$9)</f>
        <v>8.2715999999999994</v>
      </c>
      <c r="O135" s="14">
        <f>CHOOSE(CONTROL!$C$42, 8.369, 8.369) * CHOOSE(CONTROL!$C$21, $C$9, 100%, $E$9)</f>
        <v>8.3689999999999998</v>
      </c>
      <c r="P135" s="14">
        <f>CHOOSE(CONTROL!$C$42, 8.3091, 8.3091) * CHOOSE(CONTROL!$C$21, $C$9, 100%, $E$9)</f>
        <v>8.3091000000000008</v>
      </c>
      <c r="Q135" s="14">
        <f>CHOOSE(CONTROL!$C$42, 8.9637, 8.9637) * CHOOSE(CONTROL!$C$21, $C$9, 100%, $E$9)</f>
        <v>8.9636999999999993</v>
      </c>
      <c r="R135" s="14">
        <f>CHOOSE(CONTROL!$C$42, 9.5731, 9.5731) * CHOOSE(CONTROL!$C$21, $C$9, 100%, $E$9)</f>
        <v>9.5731000000000002</v>
      </c>
      <c r="S135" s="14">
        <f>CHOOSE(CONTROL!$C$42, 8.1028, 8.1028) * CHOOSE(CONTROL!$C$21, $C$9, 100%, $E$9)</f>
        <v>8.1028000000000002</v>
      </c>
      <c r="T13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35" s="57">
        <f>(1000*CHOOSE(CONTROL!$C$42, 695, 695)*CHOOSE(CONTROL!$C$42, 0.5599, 0.5599)*CHOOSE(CONTROL!$C$42, 31, 31))/1000000</f>
        <v>12.063045499999998</v>
      </c>
      <c r="V135" s="57">
        <f>(1000*CHOOSE(CONTROL!$C$42, 500, 500)*CHOOSE(CONTROL!$C$42, 0.275, 0.275)*CHOOSE(CONTROL!$C$42, 31, 31))/1000000</f>
        <v>4.2625000000000002</v>
      </c>
      <c r="W135" s="57">
        <f>(1000*CHOOSE(CONTROL!$C$42, 0.1146, 0.1146)*CHOOSE(CONTROL!$C$42, 121.5, 121.5)*CHOOSE(CONTROL!$C$42, 31, 31))/1000000</f>
        <v>0.43164089999999994</v>
      </c>
      <c r="X135" s="57">
        <f>(31*0.1790888*100000/1000000)+(31*0.2374*100000/1000000)</f>
        <v>1.2911152800000001</v>
      </c>
      <c r="Y135" s="57"/>
      <c r="Z135" s="14"/>
      <c r="AA135" s="56"/>
      <c r="AB135" s="50">
        <f>(B135*122.58+C135*297.941+D135*89.177+E135*40.302+F135*40+G135*160+H135*0+I135*100+J135*300)/(122.58+297.941+89.177+40.302+0+40+160+100+300)</f>
        <v>8.449596126782609</v>
      </c>
      <c r="AC135" s="45">
        <f>(M135*'RAP TEMPLATE-GAS AVAILABILITY'!O134+N135*'RAP TEMPLATE-GAS AVAILABILITY'!P134+O135*'RAP TEMPLATE-GAS AVAILABILITY'!Q134+P135*'RAP TEMPLATE-GAS AVAILABILITY'!R134)/('RAP TEMPLATE-GAS AVAILABILITY'!O134+'RAP TEMPLATE-GAS AVAILABILITY'!P134+'RAP TEMPLATE-GAS AVAILABILITY'!Q134+'RAP TEMPLATE-GAS AVAILABILITY'!R134)</f>
        <v>8.3159611510791365</v>
      </c>
    </row>
    <row r="136" spans="1:29" ht="15.75" x14ac:dyDescent="0.25">
      <c r="A136" s="13">
        <v>45017</v>
      </c>
      <c r="B136" s="14">
        <f>CHOOSE(CONTROL!$C$42, 8.4347, 8.4347) * CHOOSE(CONTROL!$C$21, $C$9, 100%, $E$9)</f>
        <v>8.4346999999999994</v>
      </c>
      <c r="C136" s="14">
        <f>CHOOSE(CONTROL!$C$42, 8.4392, 8.4392) * CHOOSE(CONTROL!$C$21, $C$9, 100%, $E$9)</f>
        <v>8.4391999999999996</v>
      </c>
      <c r="D136" s="14">
        <f>CHOOSE(CONTROL!$C$42, 8.6462, 8.6462) * CHOOSE(CONTROL!$C$21, $C$9, 100%, $E$9)</f>
        <v>8.6462000000000003</v>
      </c>
      <c r="E136" s="14">
        <f>CHOOSE(CONTROL!$C$42, 8.6783, 8.6783) * CHOOSE(CONTROL!$C$21, $C$9, 100%, $E$9)</f>
        <v>8.6783000000000001</v>
      </c>
      <c r="F136" s="14">
        <f>CHOOSE(CONTROL!$C$42, 8.4166, 8.4166)*CHOOSE(CONTROL!$C$21, $C$9, 100%, $E$9)</f>
        <v>8.4166000000000007</v>
      </c>
      <c r="G136" s="14">
        <f>CHOOSE(CONTROL!$C$42, 8.4318, 8.4318)*CHOOSE(CONTROL!$C$21, $C$9, 100%, $E$9)</f>
        <v>8.4318000000000008</v>
      </c>
      <c r="H136" s="14">
        <f>CHOOSE(CONTROL!$C$42, 8.6681, 8.6681) * CHOOSE(CONTROL!$C$21, $C$9, 100%, $E$9)</f>
        <v>8.6681000000000008</v>
      </c>
      <c r="I136" s="14">
        <f>CHOOSE(CONTROL!$C$42, 8.4679, 8.4679)* CHOOSE(CONTROL!$C$21, $C$9, 100%, $E$9)</f>
        <v>8.4679000000000002</v>
      </c>
      <c r="J136" s="14">
        <f>CHOOSE(CONTROL!$C$42, 8.4096, 8.4096)* CHOOSE(CONTROL!$C$21, $C$9, 100%, $E$9)</f>
        <v>8.4095999999999993</v>
      </c>
      <c r="K136" s="53">
        <f>CHOOSE(CONTROL!$C$42, 8.464, 8.464) * CHOOSE(CONTROL!$C$21, $C$9, 100%, $E$9)</f>
        <v>8.4640000000000004</v>
      </c>
      <c r="L136" s="14">
        <f>CHOOSE(CONTROL!$C$42, 9.2551, 9.2551) * CHOOSE(CONTROL!$C$21, $C$9, 100%, $E$9)</f>
        <v>9.2551000000000005</v>
      </c>
      <c r="M136" s="14">
        <f>CHOOSE(CONTROL!$C$42, 8.2449, 8.2449) * CHOOSE(CONTROL!$C$21, $C$9, 100%, $E$9)</f>
        <v>8.2448999999999995</v>
      </c>
      <c r="N136" s="14">
        <f>CHOOSE(CONTROL!$C$42, 8.2598, 8.2598) * CHOOSE(CONTROL!$C$21, $C$9, 100%, $E$9)</f>
        <v>8.2598000000000003</v>
      </c>
      <c r="O136" s="14">
        <f>CHOOSE(CONTROL!$C$42, 8.4982, 8.4982) * CHOOSE(CONTROL!$C$21, $C$9, 100%, $E$9)</f>
        <v>8.4982000000000006</v>
      </c>
      <c r="P136" s="14">
        <f>CHOOSE(CONTROL!$C$42, 8.3017, 8.3017) * CHOOSE(CONTROL!$C$21, $C$9, 100%, $E$9)</f>
        <v>8.3017000000000003</v>
      </c>
      <c r="Q136" s="14">
        <f>CHOOSE(CONTROL!$C$42, 9.0929, 9.0929) * CHOOSE(CONTROL!$C$21, $C$9, 100%, $E$9)</f>
        <v>9.0929000000000002</v>
      </c>
      <c r="R136" s="14">
        <f>CHOOSE(CONTROL!$C$42, 9.7026, 9.7026) * CHOOSE(CONTROL!$C$21, $C$9, 100%, $E$9)</f>
        <v>9.7026000000000003</v>
      </c>
      <c r="S136" s="14">
        <f>CHOOSE(CONTROL!$C$42, 8.0956, 8.0956) * CHOOSE(CONTROL!$C$21, $C$9, 100%, $E$9)</f>
        <v>8.0955999999999992</v>
      </c>
      <c r="T13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36" s="57">
        <f>(1000*CHOOSE(CONTROL!$C$42, 695, 695)*CHOOSE(CONTROL!$C$42, 0.5599, 0.5599)*CHOOSE(CONTROL!$C$42, 30, 30))/1000000</f>
        <v>11.673914999999997</v>
      </c>
      <c r="V136" s="57">
        <f>(1000*CHOOSE(CONTROL!$C$42, 500, 500)*CHOOSE(CONTROL!$C$42, 0.275, 0.275)*CHOOSE(CONTROL!$C$42, 30, 30))/1000000</f>
        <v>4.125</v>
      </c>
      <c r="W136" s="57">
        <f>(1000*CHOOSE(CONTROL!$C$42, 0.1146, 0.1146)*CHOOSE(CONTROL!$C$42, 121.5, 121.5)*CHOOSE(CONTROL!$C$42, 30, 30))/1000000</f>
        <v>0.417717</v>
      </c>
      <c r="X136" s="57">
        <f>(30*0.1790888*245000/1000000)+(30*0.2374*100000/1000000)</f>
        <v>2.0285026799999999</v>
      </c>
      <c r="Y136" s="57"/>
      <c r="Z136" s="14"/>
      <c r="AA136" s="56"/>
      <c r="AB136" s="50">
        <f>(B136*141.293+C136*267.993+D136*115.016+E136*89.698+F136*40+G136*185+H136*0+I136*100+J136*300)/(141.293+267.993+115.016+89.698+0+40+185+100+300)</f>
        <v>8.4685271067796606</v>
      </c>
      <c r="AC136" s="45">
        <f>(M136*'RAP TEMPLATE-GAS AVAILABILITY'!O135+N136*'RAP TEMPLATE-GAS AVAILABILITY'!P135+O136*'RAP TEMPLATE-GAS AVAILABILITY'!Q135+P136*'RAP TEMPLATE-GAS AVAILABILITY'!R135)/('RAP TEMPLATE-GAS AVAILABILITY'!O135+'RAP TEMPLATE-GAS AVAILABILITY'!P135+'RAP TEMPLATE-GAS AVAILABILITY'!Q135+'RAP TEMPLATE-GAS AVAILABILITY'!R135)</f>
        <v>8.327572661870505</v>
      </c>
    </row>
    <row r="137" spans="1:29" ht="15.75" x14ac:dyDescent="0.25">
      <c r="A137" s="13">
        <v>45047</v>
      </c>
      <c r="B137" s="14">
        <f>CHOOSE(CONTROL!$C$42, 8.5279, 8.5279) * CHOOSE(CONTROL!$C$21, $C$9, 100%, $E$9)</f>
        <v>8.5279000000000007</v>
      </c>
      <c r="C137" s="14">
        <f>CHOOSE(CONTROL!$C$42, 8.536, 8.536) * CHOOSE(CONTROL!$C$21, $C$9, 100%, $E$9)</f>
        <v>8.5359999999999996</v>
      </c>
      <c r="D137" s="14">
        <f>CHOOSE(CONTROL!$C$42, 8.7399, 8.7399) * CHOOSE(CONTROL!$C$21, $C$9, 100%, $E$9)</f>
        <v>8.7399000000000004</v>
      </c>
      <c r="E137" s="14">
        <f>CHOOSE(CONTROL!$C$42, 8.7714, 8.7714) * CHOOSE(CONTROL!$C$21, $C$9, 100%, $E$9)</f>
        <v>8.7713999999999999</v>
      </c>
      <c r="F137" s="14">
        <f>CHOOSE(CONTROL!$C$42, 8.5087, 8.5087)*CHOOSE(CONTROL!$C$21, $C$9, 100%, $E$9)</f>
        <v>8.5086999999999993</v>
      </c>
      <c r="G137" s="14">
        <f>CHOOSE(CONTROL!$C$42, 8.5243, 8.5243)*CHOOSE(CONTROL!$C$21, $C$9, 100%, $E$9)</f>
        <v>8.5243000000000002</v>
      </c>
      <c r="H137" s="14">
        <f>CHOOSE(CONTROL!$C$42, 8.76, 8.76) * CHOOSE(CONTROL!$C$21, $C$9, 100%, $E$9)</f>
        <v>8.76</v>
      </c>
      <c r="I137" s="14">
        <f>CHOOSE(CONTROL!$C$42, 8.5601, 8.5601)* CHOOSE(CONTROL!$C$21, $C$9, 100%, $E$9)</f>
        <v>8.5601000000000003</v>
      </c>
      <c r="J137" s="14">
        <f>CHOOSE(CONTROL!$C$42, 8.5017, 8.5017)* CHOOSE(CONTROL!$C$21, $C$9, 100%, $E$9)</f>
        <v>8.5016999999999996</v>
      </c>
      <c r="K137" s="53">
        <f>CHOOSE(CONTROL!$C$42, 8.5562, 8.5562) * CHOOSE(CONTROL!$C$21, $C$9, 100%, $E$9)</f>
        <v>8.5562000000000005</v>
      </c>
      <c r="L137" s="14">
        <f>CHOOSE(CONTROL!$C$42, 9.347, 9.347) * CHOOSE(CONTROL!$C$21, $C$9, 100%, $E$9)</f>
        <v>9.3469999999999995</v>
      </c>
      <c r="M137" s="14">
        <f>CHOOSE(CONTROL!$C$42, 8.3352, 8.3352) * CHOOSE(CONTROL!$C$21, $C$9, 100%, $E$9)</f>
        <v>8.3352000000000004</v>
      </c>
      <c r="N137" s="14">
        <f>CHOOSE(CONTROL!$C$42, 8.3505, 8.3505) * CHOOSE(CONTROL!$C$21, $C$9, 100%, $E$9)</f>
        <v>8.3505000000000003</v>
      </c>
      <c r="O137" s="14">
        <f>CHOOSE(CONTROL!$C$42, 8.5882, 8.5882) * CHOOSE(CONTROL!$C$21, $C$9, 100%, $E$9)</f>
        <v>8.5882000000000005</v>
      </c>
      <c r="P137" s="14">
        <f>CHOOSE(CONTROL!$C$42, 8.3919, 8.3919) * CHOOSE(CONTROL!$C$21, $C$9, 100%, $E$9)</f>
        <v>8.3918999999999997</v>
      </c>
      <c r="Q137" s="14">
        <f>CHOOSE(CONTROL!$C$42, 9.1829, 9.1829) * CHOOSE(CONTROL!$C$21, $C$9, 100%, $E$9)</f>
        <v>9.1829000000000001</v>
      </c>
      <c r="R137" s="14">
        <f>CHOOSE(CONTROL!$C$42, 9.7928, 9.7928) * CHOOSE(CONTROL!$C$21, $C$9, 100%, $E$9)</f>
        <v>9.7927999999999997</v>
      </c>
      <c r="S137" s="14">
        <f>CHOOSE(CONTROL!$C$42, 8.1839, 8.1839) * CHOOSE(CONTROL!$C$21, $C$9, 100%, $E$9)</f>
        <v>8.1838999999999995</v>
      </c>
      <c r="T13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37" s="57">
        <f>(1000*CHOOSE(CONTROL!$C$42, 695, 695)*CHOOSE(CONTROL!$C$42, 0.5599, 0.5599)*CHOOSE(CONTROL!$C$42, 31, 31))/1000000</f>
        <v>12.063045499999998</v>
      </c>
      <c r="V137" s="57">
        <f>(1000*CHOOSE(CONTROL!$C$42, 500, 500)*CHOOSE(CONTROL!$C$42, 0.275, 0.275)*CHOOSE(CONTROL!$C$42, 31, 31))/1000000</f>
        <v>4.2625000000000002</v>
      </c>
      <c r="W137" s="57">
        <f>(1000*CHOOSE(CONTROL!$C$42, 0.1146, 0.1146)*CHOOSE(CONTROL!$C$42, 121.5, 121.5)*CHOOSE(CONTROL!$C$42, 31, 31))/1000000</f>
        <v>0.43164089999999994</v>
      </c>
      <c r="X137" s="57">
        <f>(31*0.1790888*245000/1000000)+(31*0.2374*100000/1000000)</f>
        <v>2.0961194359999999</v>
      </c>
      <c r="Y137" s="57"/>
      <c r="Z137" s="14"/>
      <c r="AA137" s="56"/>
      <c r="AB137" s="50">
        <f>(B137*194.205+C137*267.466+D137*133.845+E137*53.484+F137*40+G137*185+H137*0+I137*100+J137*300)/(194.205+267.466+133.845+53.484+0+40+185+100+300)</f>
        <v>8.5573277618524326</v>
      </c>
      <c r="AC137" s="45">
        <f>(M137*'RAP TEMPLATE-GAS AVAILABILITY'!O136+N137*'RAP TEMPLATE-GAS AVAILABILITY'!P136+O137*'RAP TEMPLATE-GAS AVAILABILITY'!Q136+P137*'RAP TEMPLATE-GAS AVAILABILITY'!R136)/('RAP TEMPLATE-GAS AVAILABILITY'!O136+'RAP TEMPLATE-GAS AVAILABILITY'!P136+'RAP TEMPLATE-GAS AVAILABILITY'!Q136+'RAP TEMPLATE-GAS AVAILABILITY'!R136)</f>
        <v>8.417866187050361</v>
      </c>
    </row>
    <row r="138" spans="1:29" ht="15.75" x14ac:dyDescent="0.25">
      <c r="A138" s="13">
        <v>45078</v>
      </c>
      <c r="B138" s="14">
        <f>CHOOSE(CONTROL!$C$42, 8.7875, 8.7875) * CHOOSE(CONTROL!$C$21, $C$9, 100%, $E$9)</f>
        <v>8.7874999999999996</v>
      </c>
      <c r="C138" s="14">
        <f>CHOOSE(CONTROL!$C$42, 8.7956, 8.7956) * CHOOSE(CONTROL!$C$21, $C$9, 100%, $E$9)</f>
        <v>8.7956000000000003</v>
      </c>
      <c r="D138" s="14">
        <f>CHOOSE(CONTROL!$C$42, 8.9995, 8.9995) * CHOOSE(CONTROL!$C$21, $C$9, 100%, $E$9)</f>
        <v>8.9994999999999994</v>
      </c>
      <c r="E138" s="14">
        <f>CHOOSE(CONTROL!$C$42, 9.0309, 9.0309) * CHOOSE(CONTROL!$C$21, $C$9, 100%, $E$9)</f>
        <v>9.0309000000000008</v>
      </c>
      <c r="F138" s="14">
        <f>CHOOSE(CONTROL!$C$42, 8.7687, 8.7687)*CHOOSE(CONTROL!$C$21, $C$9, 100%, $E$9)</f>
        <v>8.7687000000000008</v>
      </c>
      <c r="G138" s="14">
        <f>CHOOSE(CONTROL!$C$42, 8.7845, 8.7845)*CHOOSE(CONTROL!$C$21, $C$9, 100%, $E$9)</f>
        <v>8.7844999999999995</v>
      </c>
      <c r="H138" s="14">
        <f>CHOOSE(CONTROL!$C$42, 9.0196, 9.0196) * CHOOSE(CONTROL!$C$21, $C$9, 100%, $E$9)</f>
        <v>9.0196000000000005</v>
      </c>
      <c r="I138" s="14">
        <f>CHOOSE(CONTROL!$C$42, 8.8205, 8.8205)* CHOOSE(CONTROL!$C$21, $C$9, 100%, $E$9)</f>
        <v>8.8204999999999991</v>
      </c>
      <c r="J138" s="14">
        <f>CHOOSE(CONTROL!$C$42, 8.7617, 8.7617)* CHOOSE(CONTROL!$C$21, $C$9, 100%, $E$9)</f>
        <v>8.7616999999999994</v>
      </c>
      <c r="K138" s="53">
        <f>CHOOSE(CONTROL!$C$42, 8.8166, 8.8166) * CHOOSE(CONTROL!$C$21, $C$9, 100%, $E$9)</f>
        <v>8.8165999999999993</v>
      </c>
      <c r="L138" s="14">
        <f>CHOOSE(CONTROL!$C$42, 9.6066, 9.6066) * CHOOSE(CONTROL!$C$21, $C$9, 100%, $E$9)</f>
        <v>9.6066000000000003</v>
      </c>
      <c r="M138" s="14">
        <f>CHOOSE(CONTROL!$C$42, 8.5899, 8.5899) * CHOOSE(CONTROL!$C$21, $C$9, 100%, $E$9)</f>
        <v>8.5899000000000001</v>
      </c>
      <c r="N138" s="14">
        <f>CHOOSE(CONTROL!$C$42, 8.6053, 8.6053) * CHOOSE(CONTROL!$C$21, $C$9, 100%, $E$9)</f>
        <v>8.6052999999999997</v>
      </c>
      <c r="O138" s="14">
        <f>CHOOSE(CONTROL!$C$42, 8.8425, 8.8425) * CHOOSE(CONTROL!$C$21, $C$9, 100%, $E$9)</f>
        <v>8.8424999999999994</v>
      </c>
      <c r="P138" s="14">
        <f>CHOOSE(CONTROL!$C$42, 8.647, 8.647) * CHOOSE(CONTROL!$C$21, $C$9, 100%, $E$9)</f>
        <v>8.6470000000000002</v>
      </c>
      <c r="Q138" s="14">
        <f>CHOOSE(CONTROL!$C$42, 9.4372, 9.4372) * CHOOSE(CONTROL!$C$21, $C$9, 100%, $E$9)</f>
        <v>9.4372000000000007</v>
      </c>
      <c r="R138" s="14">
        <f>CHOOSE(CONTROL!$C$42, 10.0478, 10.0478) * CHOOSE(CONTROL!$C$21, $C$9, 100%, $E$9)</f>
        <v>10.047800000000001</v>
      </c>
      <c r="S138" s="14">
        <f>CHOOSE(CONTROL!$C$42, 8.4333, 8.4333) * CHOOSE(CONTROL!$C$21, $C$9, 100%, $E$9)</f>
        <v>8.4332999999999991</v>
      </c>
      <c r="T13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38" s="57">
        <f>(1000*CHOOSE(CONTROL!$C$42, 695, 695)*CHOOSE(CONTROL!$C$42, 0.5599, 0.5599)*CHOOSE(CONTROL!$C$42, 30, 30))/1000000</f>
        <v>11.673914999999997</v>
      </c>
      <c r="V138" s="57">
        <f>(1000*CHOOSE(CONTROL!$C$42, 500, 500)*CHOOSE(CONTROL!$C$42, 0.275, 0.275)*CHOOSE(CONTROL!$C$42, 30, 30))/1000000</f>
        <v>4.125</v>
      </c>
      <c r="W138" s="57">
        <f>(1000*CHOOSE(CONTROL!$C$42, 0.1146, 0.1146)*CHOOSE(CONTROL!$C$42, 121.5, 121.5)*CHOOSE(CONTROL!$C$42, 30, 30))/1000000</f>
        <v>0.417717</v>
      </c>
      <c r="X138" s="57">
        <f>(30*0.1790888*245000/1000000)+(30*0.2374*100000/1000000)</f>
        <v>2.0285026799999999</v>
      </c>
      <c r="Y138" s="57"/>
      <c r="Z138" s="14"/>
      <c r="AA138" s="56"/>
      <c r="AB138" s="50">
        <f>(B138*194.205+C138*267.466+D138*133.845+E138*53.484+F138*40+G138*185+H138*0+I138*100+J138*300)/(194.205+267.466+133.845+53.484+0+40+185+100+300)</f>
        <v>8.8171802356357922</v>
      </c>
      <c r="AC138" s="45">
        <f>(M138*'RAP TEMPLATE-GAS AVAILABILITY'!O137+N138*'RAP TEMPLATE-GAS AVAILABILITY'!P137+O138*'RAP TEMPLATE-GAS AVAILABILITY'!Q137+P138*'RAP TEMPLATE-GAS AVAILABILITY'!R137)/('RAP TEMPLATE-GAS AVAILABILITY'!O137+'RAP TEMPLATE-GAS AVAILABILITY'!P137+'RAP TEMPLATE-GAS AVAILABILITY'!Q137+'RAP TEMPLATE-GAS AVAILABILITY'!R137)</f>
        <v>8.6725345323740992</v>
      </c>
    </row>
    <row r="139" spans="1:29" ht="15.75" x14ac:dyDescent="0.25">
      <c r="A139" s="13">
        <v>45108</v>
      </c>
      <c r="B139" s="14">
        <f>CHOOSE(CONTROL!$C$42, 8.6369, 8.6369) * CHOOSE(CONTROL!$C$21, $C$9, 100%, $E$9)</f>
        <v>8.6369000000000007</v>
      </c>
      <c r="C139" s="14">
        <f>CHOOSE(CONTROL!$C$42, 8.6449, 8.6449) * CHOOSE(CONTROL!$C$21, $C$9, 100%, $E$9)</f>
        <v>8.6448999999999998</v>
      </c>
      <c r="D139" s="14">
        <f>CHOOSE(CONTROL!$C$42, 8.8489, 8.8489) * CHOOSE(CONTROL!$C$21, $C$9, 100%, $E$9)</f>
        <v>8.8489000000000004</v>
      </c>
      <c r="E139" s="14">
        <f>CHOOSE(CONTROL!$C$42, 8.8803, 8.8803) * CHOOSE(CONTROL!$C$21, $C$9, 100%, $E$9)</f>
        <v>8.8803000000000001</v>
      </c>
      <c r="F139" s="14">
        <f>CHOOSE(CONTROL!$C$42, 8.6185, 8.6185)*CHOOSE(CONTROL!$C$21, $C$9, 100%, $E$9)</f>
        <v>8.6184999999999992</v>
      </c>
      <c r="G139" s="14">
        <f>CHOOSE(CONTROL!$C$42, 8.6344, 8.6344)*CHOOSE(CONTROL!$C$21, $C$9, 100%, $E$9)</f>
        <v>8.6343999999999994</v>
      </c>
      <c r="H139" s="14">
        <f>CHOOSE(CONTROL!$C$42, 8.869, 8.869) * CHOOSE(CONTROL!$C$21, $C$9, 100%, $E$9)</f>
        <v>8.8689999999999998</v>
      </c>
      <c r="I139" s="14">
        <f>CHOOSE(CONTROL!$C$42, 8.6694, 8.6694)* CHOOSE(CONTROL!$C$21, $C$9, 100%, $E$9)</f>
        <v>8.6693999999999996</v>
      </c>
      <c r="J139" s="14">
        <f>CHOOSE(CONTROL!$C$42, 8.6115, 8.6115)* CHOOSE(CONTROL!$C$21, $C$9, 100%, $E$9)</f>
        <v>8.6114999999999995</v>
      </c>
      <c r="K139" s="53">
        <f>CHOOSE(CONTROL!$C$42, 8.6655, 8.6655) * CHOOSE(CONTROL!$C$21, $C$9, 100%, $E$9)</f>
        <v>8.6654999999999998</v>
      </c>
      <c r="L139" s="14">
        <f>CHOOSE(CONTROL!$C$42, 9.456, 9.456) * CHOOSE(CONTROL!$C$21, $C$9, 100%, $E$9)</f>
        <v>9.4559999999999995</v>
      </c>
      <c r="M139" s="14">
        <f>CHOOSE(CONTROL!$C$42, 8.4428, 8.4428) * CHOOSE(CONTROL!$C$21, $C$9, 100%, $E$9)</f>
        <v>8.4428000000000001</v>
      </c>
      <c r="N139" s="14">
        <f>CHOOSE(CONTROL!$C$42, 8.4583, 8.4583) * CHOOSE(CONTROL!$C$21, $C$9, 100%, $E$9)</f>
        <v>8.4582999999999995</v>
      </c>
      <c r="O139" s="14">
        <f>CHOOSE(CONTROL!$C$42, 8.6949, 8.6949) * CHOOSE(CONTROL!$C$21, $C$9, 100%, $E$9)</f>
        <v>8.6949000000000005</v>
      </c>
      <c r="P139" s="14">
        <f>CHOOSE(CONTROL!$C$42, 8.499, 8.499) * CHOOSE(CONTROL!$C$21, $C$9, 100%, $E$9)</f>
        <v>8.4990000000000006</v>
      </c>
      <c r="Q139" s="14">
        <f>CHOOSE(CONTROL!$C$42, 9.2896, 9.2896) * CHOOSE(CONTROL!$C$21, $C$9, 100%, $E$9)</f>
        <v>9.2896000000000001</v>
      </c>
      <c r="R139" s="14">
        <f>CHOOSE(CONTROL!$C$42, 9.8999, 9.8999) * CHOOSE(CONTROL!$C$21, $C$9, 100%, $E$9)</f>
        <v>9.8999000000000006</v>
      </c>
      <c r="S139" s="14">
        <f>CHOOSE(CONTROL!$C$42, 8.2886, 8.2886) * CHOOSE(CONTROL!$C$21, $C$9, 100%, $E$9)</f>
        <v>8.2886000000000006</v>
      </c>
      <c r="T13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39" s="57">
        <f>(1000*CHOOSE(CONTROL!$C$42, 695, 695)*CHOOSE(CONTROL!$C$42, 0.5599, 0.5599)*CHOOSE(CONTROL!$C$42, 31, 31))/1000000</f>
        <v>12.063045499999998</v>
      </c>
      <c r="V139" s="57">
        <f>(1000*CHOOSE(CONTROL!$C$42, 500, 500)*CHOOSE(CONTROL!$C$42, 0.275, 0.275)*CHOOSE(CONTROL!$C$42, 31, 31))/1000000</f>
        <v>4.2625000000000002</v>
      </c>
      <c r="W139" s="57">
        <f>(1000*CHOOSE(CONTROL!$C$42, 0.1146, 0.1146)*CHOOSE(CONTROL!$C$42, 121.5, 121.5)*CHOOSE(CONTROL!$C$42, 31, 31))/1000000</f>
        <v>0.43164089999999994</v>
      </c>
      <c r="X139" s="57">
        <f>(31*0.1790888*245000/1000000)+(31*0.2374*100000/1000000)</f>
        <v>2.0961194359999999</v>
      </c>
      <c r="Y139" s="57"/>
      <c r="Z139" s="14"/>
      <c r="AA139" s="56"/>
      <c r="AB139" s="50">
        <f>(B139*194.205+C139*267.466+D139*133.845+E139*53.484+F139*40+G139*185+H139*0+I139*100+J139*300)/(194.205+267.466+133.845+53.484+0+40+185+100+300)</f>
        <v>8.6666993513343797</v>
      </c>
      <c r="AC139" s="45">
        <f>(M139*'RAP TEMPLATE-GAS AVAILABILITY'!O138+N139*'RAP TEMPLATE-GAS AVAILABILITY'!P138+O139*'RAP TEMPLATE-GAS AVAILABILITY'!Q138+P139*'RAP TEMPLATE-GAS AVAILABILITY'!R138)/('RAP TEMPLATE-GAS AVAILABILITY'!O138+'RAP TEMPLATE-GAS AVAILABILITY'!P138+'RAP TEMPLATE-GAS AVAILABILITY'!Q138+'RAP TEMPLATE-GAS AVAILABILITY'!R138)</f>
        <v>8.5251877697841714</v>
      </c>
    </row>
    <row r="140" spans="1:29" ht="15.75" x14ac:dyDescent="0.25">
      <c r="A140" s="13">
        <v>45139</v>
      </c>
      <c r="B140" s="14">
        <f>CHOOSE(CONTROL!$C$42, 8.2278, 8.2278) * CHOOSE(CONTROL!$C$21, $C$9, 100%, $E$9)</f>
        <v>8.2278000000000002</v>
      </c>
      <c r="C140" s="14">
        <f>CHOOSE(CONTROL!$C$42, 8.2358, 8.2358) * CHOOSE(CONTROL!$C$21, $C$9, 100%, $E$9)</f>
        <v>8.2357999999999993</v>
      </c>
      <c r="D140" s="14">
        <f>CHOOSE(CONTROL!$C$42, 8.4397, 8.4397) * CHOOSE(CONTROL!$C$21, $C$9, 100%, $E$9)</f>
        <v>8.4397000000000002</v>
      </c>
      <c r="E140" s="14">
        <f>CHOOSE(CONTROL!$C$42, 8.4712, 8.4712) * CHOOSE(CONTROL!$C$21, $C$9, 100%, $E$9)</f>
        <v>8.4711999999999996</v>
      </c>
      <c r="F140" s="14">
        <f>CHOOSE(CONTROL!$C$42, 8.2096, 8.2096)*CHOOSE(CONTROL!$C$21, $C$9, 100%, $E$9)</f>
        <v>8.2096</v>
      </c>
      <c r="G140" s="14">
        <f>CHOOSE(CONTROL!$C$42, 8.2256, 8.2256)*CHOOSE(CONTROL!$C$21, $C$9, 100%, $E$9)</f>
        <v>8.2256</v>
      </c>
      <c r="H140" s="14">
        <f>CHOOSE(CONTROL!$C$42, 8.4598, 8.4598) * CHOOSE(CONTROL!$C$21, $C$9, 100%, $E$9)</f>
        <v>8.4597999999999995</v>
      </c>
      <c r="I140" s="14">
        <f>CHOOSE(CONTROL!$C$42, 8.259, 8.259)* CHOOSE(CONTROL!$C$21, $C$9, 100%, $E$9)</f>
        <v>8.2590000000000003</v>
      </c>
      <c r="J140" s="14">
        <f>CHOOSE(CONTROL!$C$42, 8.2026, 8.2026)* CHOOSE(CONTROL!$C$21, $C$9, 100%, $E$9)</f>
        <v>8.2026000000000003</v>
      </c>
      <c r="K140" s="53">
        <f>CHOOSE(CONTROL!$C$42, 8.2551, 8.2551) * CHOOSE(CONTROL!$C$21, $C$9, 100%, $E$9)</f>
        <v>8.2551000000000005</v>
      </c>
      <c r="L140" s="14">
        <f>CHOOSE(CONTROL!$C$42, 9.0468, 9.0468) * CHOOSE(CONTROL!$C$21, $C$9, 100%, $E$9)</f>
        <v>9.0467999999999993</v>
      </c>
      <c r="M140" s="14">
        <f>CHOOSE(CONTROL!$C$42, 8.0422, 8.0422) * CHOOSE(CONTROL!$C$21, $C$9, 100%, $E$9)</f>
        <v>8.0421999999999993</v>
      </c>
      <c r="N140" s="14">
        <f>CHOOSE(CONTROL!$C$42, 8.0579, 8.0579) * CHOOSE(CONTROL!$C$21, $C$9, 100%, $E$9)</f>
        <v>8.0579000000000001</v>
      </c>
      <c r="O140" s="14">
        <f>CHOOSE(CONTROL!$C$42, 8.2942, 8.2942) * CHOOSE(CONTROL!$C$21, $C$9, 100%, $E$9)</f>
        <v>8.2942</v>
      </c>
      <c r="P140" s="14">
        <f>CHOOSE(CONTROL!$C$42, 8.097, 8.097) * CHOOSE(CONTROL!$C$21, $C$9, 100%, $E$9)</f>
        <v>8.0969999999999995</v>
      </c>
      <c r="Q140" s="14">
        <f>CHOOSE(CONTROL!$C$42, 8.8889, 8.8889) * CHOOSE(CONTROL!$C$21, $C$9, 100%, $E$9)</f>
        <v>8.8888999999999996</v>
      </c>
      <c r="R140" s="14">
        <f>CHOOSE(CONTROL!$C$42, 9.4981, 9.4981) * CHOOSE(CONTROL!$C$21, $C$9, 100%, $E$9)</f>
        <v>9.4981000000000009</v>
      </c>
      <c r="S140" s="14">
        <f>CHOOSE(CONTROL!$C$42, 7.8954, 7.8954) * CHOOSE(CONTROL!$C$21, $C$9, 100%, $E$9)</f>
        <v>7.8954000000000004</v>
      </c>
      <c r="T14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40" s="57">
        <f>(1000*CHOOSE(CONTROL!$C$42, 695, 695)*CHOOSE(CONTROL!$C$42, 0.5599, 0.5599)*CHOOSE(CONTROL!$C$42, 31, 31))/1000000</f>
        <v>12.063045499999998</v>
      </c>
      <c r="V140" s="57">
        <f>(1000*CHOOSE(CONTROL!$C$42, 500, 500)*CHOOSE(CONTROL!$C$42, 0.275, 0.275)*CHOOSE(CONTROL!$C$42, 31, 31))/1000000</f>
        <v>4.2625000000000002</v>
      </c>
      <c r="W140" s="57">
        <f>(1000*CHOOSE(CONTROL!$C$42, 0.1146, 0.1146)*CHOOSE(CONTROL!$C$42, 121.5, 121.5)*CHOOSE(CONTROL!$C$42, 31, 31))/1000000</f>
        <v>0.43164089999999994</v>
      </c>
      <c r="X140" s="57">
        <f>(31*0.1790888*245000/1000000)+(31*0.2374*100000/1000000)</f>
        <v>2.0961194359999999</v>
      </c>
      <c r="Y140" s="57"/>
      <c r="Z140" s="14"/>
      <c r="AA140" s="56"/>
      <c r="AB140" s="50">
        <f>(B140*194.205+C140*267.466+D140*133.845+E140*53.484+F140*40+G140*185+H140*0+I140*100+J140*300)/(194.205+267.466+133.845+53.484+0+40+185+100+300)</f>
        <v>8.2575837434065935</v>
      </c>
      <c r="AC140" s="45">
        <f>(M140*'RAP TEMPLATE-GAS AVAILABILITY'!O139+N140*'RAP TEMPLATE-GAS AVAILABILITY'!P139+O140*'RAP TEMPLATE-GAS AVAILABILITY'!Q139+P140*'RAP TEMPLATE-GAS AVAILABILITY'!R139)/('RAP TEMPLATE-GAS AVAILABILITY'!O139+'RAP TEMPLATE-GAS AVAILABILITY'!P139+'RAP TEMPLATE-GAS AVAILABILITY'!Q139+'RAP TEMPLATE-GAS AVAILABILITY'!R139)</f>
        <v>8.1244043165467623</v>
      </c>
    </row>
    <row r="141" spans="1:29" ht="15.75" x14ac:dyDescent="0.25">
      <c r="A141" s="13">
        <v>45170</v>
      </c>
      <c r="B141" s="14">
        <f>CHOOSE(CONTROL!$C$42, 7.7216, 7.7216) * CHOOSE(CONTROL!$C$21, $C$9, 100%, $E$9)</f>
        <v>7.7215999999999996</v>
      </c>
      <c r="C141" s="14">
        <f>CHOOSE(CONTROL!$C$42, 7.7297, 7.7297) * CHOOSE(CONTROL!$C$21, $C$9, 100%, $E$9)</f>
        <v>7.7297000000000002</v>
      </c>
      <c r="D141" s="14">
        <f>CHOOSE(CONTROL!$C$42, 7.9336, 7.9336) * CHOOSE(CONTROL!$C$21, $C$9, 100%, $E$9)</f>
        <v>7.9336000000000002</v>
      </c>
      <c r="E141" s="14">
        <f>CHOOSE(CONTROL!$C$42, 7.9651, 7.9651) * CHOOSE(CONTROL!$C$21, $C$9, 100%, $E$9)</f>
        <v>7.9650999999999996</v>
      </c>
      <c r="F141" s="14">
        <f>CHOOSE(CONTROL!$C$42, 7.7035, 7.7035)*CHOOSE(CONTROL!$C$21, $C$9, 100%, $E$9)</f>
        <v>7.7035</v>
      </c>
      <c r="G141" s="14">
        <f>CHOOSE(CONTROL!$C$42, 7.7195, 7.7195)*CHOOSE(CONTROL!$C$21, $C$9, 100%, $E$9)</f>
        <v>7.7195</v>
      </c>
      <c r="H141" s="14">
        <f>CHOOSE(CONTROL!$C$42, 7.9537, 7.9537) * CHOOSE(CONTROL!$C$21, $C$9, 100%, $E$9)</f>
        <v>7.9537000000000004</v>
      </c>
      <c r="I141" s="14">
        <f>CHOOSE(CONTROL!$C$42, 7.7513, 7.7513)* CHOOSE(CONTROL!$C$21, $C$9, 100%, $E$9)</f>
        <v>7.7512999999999996</v>
      </c>
      <c r="J141" s="14">
        <f>CHOOSE(CONTROL!$C$42, 7.6965, 7.6965)* CHOOSE(CONTROL!$C$21, $C$9, 100%, $E$9)</f>
        <v>7.6965000000000003</v>
      </c>
      <c r="K141" s="53">
        <f>CHOOSE(CONTROL!$C$42, 7.7474, 7.7474) * CHOOSE(CONTROL!$C$21, $C$9, 100%, $E$9)</f>
        <v>7.7473999999999998</v>
      </c>
      <c r="L141" s="14">
        <f>CHOOSE(CONTROL!$C$42, 8.5407, 8.5407) * CHOOSE(CONTROL!$C$21, $C$9, 100%, $E$9)</f>
        <v>8.5406999999999993</v>
      </c>
      <c r="M141" s="14">
        <f>CHOOSE(CONTROL!$C$42, 7.5465, 7.5465) * CHOOSE(CONTROL!$C$21, $C$9, 100%, $E$9)</f>
        <v>7.5465</v>
      </c>
      <c r="N141" s="14">
        <f>CHOOSE(CONTROL!$C$42, 7.5622, 7.5622) * CHOOSE(CONTROL!$C$21, $C$9, 100%, $E$9)</f>
        <v>7.5621999999999998</v>
      </c>
      <c r="O141" s="14">
        <f>CHOOSE(CONTROL!$C$42, 7.7984, 7.7984) * CHOOSE(CONTROL!$C$21, $C$9, 100%, $E$9)</f>
        <v>7.7984</v>
      </c>
      <c r="P141" s="14">
        <f>CHOOSE(CONTROL!$C$42, 7.5997, 7.5997) * CHOOSE(CONTROL!$C$21, $C$9, 100%, $E$9)</f>
        <v>7.5997000000000003</v>
      </c>
      <c r="Q141" s="14">
        <f>CHOOSE(CONTROL!$C$42, 8.3931, 8.3931) * CHOOSE(CONTROL!$C$21, $C$9, 100%, $E$9)</f>
        <v>8.3931000000000004</v>
      </c>
      <c r="R141" s="14">
        <f>CHOOSE(CONTROL!$C$42, 9.0011, 9.0011) * CHOOSE(CONTROL!$C$21, $C$9, 100%, $E$9)</f>
        <v>9.0010999999999992</v>
      </c>
      <c r="S141" s="14">
        <f>CHOOSE(CONTROL!$C$42, 7.4091, 7.4091) * CHOOSE(CONTROL!$C$21, $C$9, 100%, $E$9)</f>
        <v>7.4090999999999996</v>
      </c>
      <c r="T14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41" s="57">
        <f>(1000*CHOOSE(CONTROL!$C$42, 695, 695)*CHOOSE(CONTROL!$C$42, 0.5599, 0.5599)*CHOOSE(CONTROL!$C$42, 30, 30))/1000000</f>
        <v>11.673914999999997</v>
      </c>
      <c r="V141" s="57">
        <f>(1000*CHOOSE(CONTROL!$C$42, 500, 500)*CHOOSE(CONTROL!$C$42, 0.275, 0.275)*CHOOSE(CONTROL!$C$42, 30, 30))/1000000</f>
        <v>4.125</v>
      </c>
      <c r="W141" s="57">
        <f>(1000*CHOOSE(CONTROL!$C$42, 0.1146, 0.1146)*CHOOSE(CONTROL!$C$42, 121.5, 121.5)*CHOOSE(CONTROL!$C$42, 30, 30))/1000000</f>
        <v>0.417717</v>
      </c>
      <c r="X141" s="57">
        <f>(30*0.1790888*245000/1000000)+(30*0.2374*100000/1000000)</f>
        <v>2.0285026799999999</v>
      </c>
      <c r="Y141" s="57"/>
      <c r="Z141" s="14"/>
      <c r="AA141" s="56"/>
      <c r="AB141" s="50">
        <f>(B141*194.205+C141*267.466+D141*133.845+E141*53.484+F141*40+G141*185+H141*0+I141*100+J141*300)/(194.205+267.466+133.845+53.484+0+40+185+100+300)</f>
        <v>7.7513429109890115</v>
      </c>
      <c r="AC141" s="45">
        <f>(M141*'RAP TEMPLATE-GAS AVAILABILITY'!O140+N141*'RAP TEMPLATE-GAS AVAILABILITY'!P140+O141*'RAP TEMPLATE-GAS AVAILABILITY'!Q140+P141*'RAP TEMPLATE-GAS AVAILABILITY'!R140)/('RAP TEMPLATE-GAS AVAILABILITY'!O140+'RAP TEMPLATE-GAS AVAILABILITY'!P140+'RAP TEMPLATE-GAS AVAILABILITY'!Q140+'RAP TEMPLATE-GAS AVAILABILITY'!R140)</f>
        <v>7.6284460431654679</v>
      </c>
    </row>
    <row r="142" spans="1:29" ht="15.75" x14ac:dyDescent="0.25">
      <c r="A142" s="13">
        <v>45200</v>
      </c>
      <c r="B142" s="14">
        <f>CHOOSE(CONTROL!$C$42, 7.5789, 7.5789) * CHOOSE(CONTROL!$C$21, $C$9, 100%, $E$9)</f>
        <v>7.5789</v>
      </c>
      <c r="C142" s="14">
        <f>CHOOSE(CONTROL!$C$42, 7.5842, 7.5842) * CHOOSE(CONTROL!$C$21, $C$9, 100%, $E$9)</f>
        <v>7.5842000000000001</v>
      </c>
      <c r="D142" s="14">
        <f>CHOOSE(CONTROL!$C$42, 7.7931, 7.7931) * CHOOSE(CONTROL!$C$21, $C$9, 100%, $E$9)</f>
        <v>7.7930999999999999</v>
      </c>
      <c r="E142" s="14">
        <f>CHOOSE(CONTROL!$C$42, 7.8222, 7.8222) * CHOOSE(CONTROL!$C$21, $C$9, 100%, $E$9)</f>
        <v>7.8221999999999996</v>
      </c>
      <c r="F142" s="14">
        <f>CHOOSE(CONTROL!$C$42, 7.5629, 7.5629)*CHOOSE(CONTROL!$C$21, $C$9, 100%, $E$9)</f>
        <v>7.5629</v>
      </c>
      <c r="G142" s="14">
        <f>CHOOSE(CONTROL!$C$42, 7.5785, 7.5785)*CHOOSE(CONTROL!$C$21, $C$9, 100%, $E$9)</f>
        <v>7.5785</v>
      </c>
      <c r="H142" s="14">
        <f>CHOOSE(CONTROL!$C$42, 7.8127, 7.8127) * CHOOSE(CONTROL!$C$21, $C$9, 100%, $E$9)</f>
        <v>7.8127000000000004</v>
      </c>
      <c r="I142" s="14">
        <f>CHOOSE(CONTROL!$C$42, 7.6098, 7.6098)* CHOOSE(CONTROL!$C$21, $C$9, 100%, $E$9)</f>
        <v>7.6097999999999999</v>
      </c>
      <c r="J142" s="14">
        <f>CHOOSE(CONTROL!$C$42, 7.5559, 7.5559)* CHOOSE(CONTROL!$C$21, $C$9, 100%, $E$9)</f>
        <v>7.5559000000000003</v>
      </c>
      <c r="K142" s="53">
        <f>CHOOSE(CONTROL!$C$42, 7.606, 7.606) * CHOOSE(CONTROL!$C$21, $C$9, 100%, $E$9)</f>
        <v>7.6059999999999999</v>
      </c>
      <c r="L142" s="14">
        <f>CHOOSE(CONTROL!$C$42, 8.3997, 8.3997) * CHOOSE(CONTROL!$C$21, $C$9, 100%, $E$9)</f>
        <v>8.3996999999999993</v>
      </c>
      <c r="M142" s="14">
        <f>CHOOSE(CONTROL!$C$42, 7.4088, 7.4088) * CHOOSE(CONTROL!$C$21, $C$9, 100%, $E$9)</f>
        <v>7.4088000000000003</v>
      </c>
      <c r="N142" s="14">
        <f>CHOOSE(CONTROL!$C$42, 7.4241, 7.4241) * CHOOSE(CONTROL!$C$21, $C$9, 100%, $E$9)</f>
        <v>7.4241000000000001</v>
      </c>
      <c r="O142" s="14">
        <f>CHOOSE(CONTROL!$C$42, 7.6603, 7.6603) * CHOOSE(CONTROL!$C$21, $C$9, 100%, $E$9)</f>
        <v>7.6603000000000003</v>
      </c>
      <c r="P142" s="14">
        <f>CHOOSE(CONTROL!$C$42, 7.4612, 7.4612) * CHOOSE(CONTROL!$C$21, $C$9, 100%, $E$9)</f>
        <v>7.4611999999999998</v>
      </c>
      <c r="Q142" s="14">
        <f>CHOOSE(CONTROL!$C$42, 8.255, 8.255) * CHOOSE(CONTROL!$C$21, $C$9, 100%, $E$9)</f>
        <v>8.2550000000000008</v>
      </c>
      <c r="R142" s="14">
        <f>CHOOSE(CONTROL!$C$42, 8.8627, 8.8627) * CHOOSE(CONTROL!$C$21, $C$9, 100%, $E$9)</f>
        <v>8.8627000000000002</v>
      </c>
      <c r="S142" s="14">
        <f>CHOOSE(CONTROL!$C$42, 7.2736, 7.2736) * CHOOSE(CONTROL!$C$21, $C$9, 100%, $E$9)</f>
        <v>7.2736000000000001</v>
      </c>
      <c r="T14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42" s="57">
        <f>(1000*CHOOSE(CONTROL!$C$42, 695, 695)*CHOOSE(CONTROL!$C$42, 0.5599, 0.5599)*CHOOSE(CONTROL!$C$42, 31, 31))/1000000</f>
        <v>12.063045499999998</v>
      </c>
      <c r="V142" s="57">
        <f>(1000*CHOOSE(CONTROL!$C$42, 500, 500)*CHOOSE(CONTROL!$C$42, 0.275, 0.275)*CHOOSE(CONTROL!$C$42, 31, 31))/1000000</f>
        <v>4.2625000000000002</v>
      </c>
      <c r="W142" s="57">
        <f>(1000*CHOOSE(CONTROL!$C$42, 0.1146, 0.1146)*CHOOSE(CONTROL!$C$42, 121.5, 121.5)*CHOOSE(CONTROL!$C$42, 31, 31))/1000000</f>
        <v>0.43164089999999994</v>
      </c>
      <c r="X142" s="57">
        <f>(31*0.1790888*245000/1000000)+(31*0.2374*100000/1000000)</f>
        <v>2.0961194359999999</v>
      </c>
      <c r="Y142" s="57"/>
      <c r="Z142" s="14"/>
      <c r="AA142" s="56"/>
      <c r="AB142" s="50">
        <f>(B142*131.881+C142*277.167+D142*79.08+E142*125.872+F142*40+G142*185+H142*0+I142*100+J142*300)/(131.881+277.167+79.08+125.872+0+40+185+100+300)</f>
        <v>7.614822985230024</v>
      </c>
      <c r="AC142" s="45">
        <f>(M142*'RAP TEMPLATE-GAS AVAILABILITY'!O141+N142*'RAP TEMPLATE-GAS AVAILABILITY'!P141+O142*'RAP TEMPLATE-GAS AVAILABILITY'!Q141+P142*'RAP TEMPLATE-GAS AVAILABILITY'!R141)/('RAP TEMPLATE-GAS AVAILABILITY'!O141+'RAP TEMPLATE-GAS AVAILABILITY'!P141+'RAP TEMPLATE-GAS AVAILABILITY'!Q141+'RAP TEMPLATE-GAS AVAILABILITY'!R141)</f>
        <v>7.4904266187050359</v>
      </c>
    </row>
    <row r="143" spans="1:29" ht="15.75" x14ac:dyDescent="0.25">
      <c r="A143" s="13">
        <v>45231</v>
      </c>
      <c r="B143" s="14">
        <f>CHOOSE(CONTROL!$C$42, 7.7939, 7.7939) * CHOOSE(CONTROL!$C$21, $C$9, 100%, $E$9)</f>
        <v>7.7938999999999998</v>
      </c>
      <c r="C143" s="14">
        <f>CHOOSE(CONTROL!$C$42, 7.7989, 7.7989) * CHOOSE(CONTROL!$C$21, $C$9, 100%, $E$9)</f>
        <v>7.7988999999999997</v>
      </c>
      <c r="D143" s="14">
        <f>CHOOSE(CONTROL!$C$42, 7.8628, 7.8628) * CHOOSE(CONTROL!$C$21, $C$9, 100%, $E$9)</f>
        <v>7.8628</v>
      </c>
      <c r="E143" s="14">
        <f>CHOOSE(CONTROL!$C$42, 7.8969, 7.8969) * CHOOSE(CONTROL!$C$21, $C$9, 100%, $E$9)</f>
        <v>7.8968999999999996</v>
      </c>
      <c r="F143" s="14">
        <f>CHOOSE(CONTROL!$C$42, 7.7963, 7.7963)*CHOOSE(CONTROL!$C$21, $C$9, 100%, $E$9)</f>
        <v>7.7962999999999996</v>
      </c>
      <c r="G143" s="14">
        <f>CHOOSE(CONTROL!$C$42, 7.8123, 7.8123)*CHOOSE(CONTROL!$C$21, $C$9, 100%, $E$9)</f>
        <v>7.8122999999999996</v>
      </c>
      <c r="H143" s="14">
        <f>CHOOSE(CONTROL!$C$42, 7.8861, 7.8861) * CHOOSE(CONTROL!$C$21, $C$9, 100%, $E$9)</f>
        <v>7.8860999999999999</v>
      </c>
      <c r="I143" s="14">
        <f>CHOOSE(CONTROL!$C$42, 7.8311, 7.8311)* CHOOSE(CONTROL!$C$21, $C$9, 100%, $E$9)</f>
        <v>7.8311000000000002</v>
      </c>
      <c r="J143" s="14">
        <f>CHOOSE(CONTROL!$C$42, 7.7893, 7.7893)* CHOOSE(CONTROL!$C$21, $C$9, 100%, $E$9)</f>
        <v>7.7892999999999999</v>
      </c>
      <c r="K143" s="53">
        <f>CHOOSE(CONTROL!$C$42, 7.8272, 7.8272) * CHOOSE(CONTROL!$C$21, $C$9, 100%, $E$9)</f>
        <v>7.8272000000000004</v>
      </c>
      <c r="L143" s="14">
        <f>CHOOSE(CONTROL!$C$42, 8.4731, 8.4731) * CHOOSE(CONTROL!$C$21, $C$9, 100%, $E$9)</f>
        <v>8.4731000000000005</v>
      </c>
      <c r="M143" s="14">
        <f>CHOOSE(CONTROL!$C$42, 7.6374, 7.6374) * CHOOSE(CONTROL!$C$21, $C$9, 100%, $E$9)</f>
        <v>7.6374000000000004</v>
      </c>
      <c r="N143" s="14">
        <f>CHOOSE(CONTROL!$C$42, 7.6531, 7.6531) * CHOOSE(CONTROL!$C$21, $C$9, 100%, $E$9)</f>
        <v>7.6531000000000002</v>
      </c>
      <c r="O143" s="14">
        <f>CHOOSE(CONTROL!$C$42, 7.7322, 7.7322) * CHOOSE(CONTROL!$C$21, $C$9, 100%, $E$9)</f>
        <v>7.7321999999999997</v>
      </c>
      <c r="P143" s="14">
        <f>CHOOSE(CONTROL!$C$42, 7.678, 7.678) * CHOOSE(CONTROL!$C$21, $C$9, 100%, $E$9)</f>
        <v>7.6779999999999999</v>
      </c>
      <c r="Q143" s="14">
        <f>CHOOSE(CONTROL!$C$42, 8.3269, 8.3269) * CHOOSE(CONTROL!$C$21, $C$9, 100%, $E$9)</f>
        <v>8.3269000000000002</v>
      </c>
      <c r="R143" s="14">
        <f>CHOOSE(CONTROL!$C$42, 8.9347, 8.9347) * CHOOSE(CONTROL!$C$21, $C$9, 100%, $E$9)</f>
        <v>8.9346999999999994</v>
      </c>
      <c r="S143" s="14">
        <f>CHOOSE(CONTROL!$C$42, 7.4806, 7.4806) * CHOOSE(CONTROL!$C$21, $C$9, 100%, $E$9)</f>
        <v>7.4805999999999999</v>
      </c>
      <c r="T14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43" s="57">
        <f>(1000*CHOOSE(CONTROL!$C$42, 695, 695)*CHOOSE(CONTROL!$C$42, 0.5599, 0.5599)*CHOOSE(CONTROL!$C$42, 30, 30))/1000000</f>
        <v>11.673914999999997</v>
      </c>
      <c r="V143" s="57">
        <f>(1000*CHOOSE(CONTROL!$C$42, 500, 500)*CHOOSE(CONTROL!$C$42, 0.275, 0.275)*CHOOSE(CONTROL!$C$42, 30, 30))/1000000</f>
        <v>4.125</v>
      </c>
      <c r="W143" s="57">
        <f>(1000*CHOOSE(CONTROL!$C$42, 0.1146, 0.1146)*CHOOSE(CONTROL!$C$42, 121.5, 121.5)*CHOOSE(CONTROL!$C$42, 30, 30))/1000000</f>
        <v>0.417717</v>
      </c>
      <c r="X143" s="57">
        <f>(30*0.1790888*100000/1000000)+(30*0.2374*100000/1000000)</f>
        <v>1.2494664</v>
      </c>
      <c r="Y143" s="57"/>
      <c r="Z143" s="14"/>
      <c r="AA143" s="56"/>
      <c r="AB143" s="50">
        <f>(B143*122.58+C143*297.941+D143*89.177+E143*40.302+F143*40+G143*160+H143*0+I143*100+J143*300)/(122.58+297.941+89.177+40.302+0+40+160+100+300)</f>
        <v>7.8088261793913043</v>
      </c>
      <c r="AC143" s="45">
        <f>(M143*'RAP TEMPLATE-GAS AVAILABILITY'!O142+N143*'RAP TEMPLATE-GAS AVAILABILITY'!P142+O143*'RAP TEMPLATE-GAS AVAILABILITY'!Q142+P143*'RAP TEMPLATE-GAS AVAILABILITY'!R142)/('RAP TEMPLATE-GAS AVAILABILITY'!O142+'RAP TEMPLATE-GAS AVAILABILITY'!P142+'RAP TEMPLATE-GAS AVAILABILITY'!Q142+'RAP TEMPLATE-GAS AVAILABILITY'!R142)</f>
        <v>7.6871122302158286</v>
      </c>
    </row>
    <row r="144" spans="1:29" ht="15.75" x14ac:dyDescent="0.25">
      <c r="A144" s="13">
        <v>45261</v>
      </c>
      <c r="B144" s="14">
        <f>CHOOSE(CONTROL!$C$42, 8.3417, 8.3417) * CHOOSE(CONTROL!$C$21, $C$9, 100%, $E$9)</f>
        <v>8.3416999999999994</v>
      </c>
      <c r="C144" s="14">
        <f>CHOOSE(CONTROL!$C$42, 8.3468, 8.3468) * CHOOSE(CONTROL!$C$21, $C$9, 100%, $E$9)</f>
        <v>8.3468</v>
      </c>
      <c r="D144" s="14">
        <f>CHOOSE(CONTROL!$C$42, 8.4106, 8.4106) * CHOOSE(CONTROL!$C$21, $C$9, 100%, $E$9)</f>
        <v>8.4106000000000005</v>
      </c>
      <c r="E144" s="14">
        <f>CHOOSE(CONTROL!$C$42, 8.4447, 8.4447) * CHOOSE(CONTROL!$C$21, $C$9, 100%, $E$9)</f>
        <v>8.4446999999999992</v>
      </c>
      <c r="F144" s="14">
        <f>CHOOSE(CONTROL!$C$42, 8.3464, 8.3464)*CHOOSE(CONTROL!$C$21, $C$9, 100%, $E$9)</f>
        <v>8.3463999999999992</v>
      </c>
      <c r="G144" s="14">
        <f>CHOOSE(CONTROL!$C$42, 8.363, 8.363)*CHOOSE(CONTROL!$C$21, $C$9, 100%, $E$9)</f>
        <v>8.3629999999999995</v>
      </c>
      <c r="H144" s="14">
        <f>CHOOSE(CONTROL!$C$42, 8.4339, 8.4339) * CHOOSE(CONTROL!$C$21, $C$9, 100%, $E$9)</f>
        <v>8.4338999999999995</v>
      </c>
      <c r="I144" s="14">
        <f>CHOOSE(CONTROL!$C$42, 8.3807, 8.3807)* CHOOSE(CONTROL!$C$21, $C$9, 100%, $E$9)</f>
        <v>8.3806999999999992</v>
      </c>
      <c r="J144" s="14">
        <f>CHOOSE(CONTROL!$C$42, 8.3394, 8.3394)* CHOOSE(CONTROL!$C$21, $C$9, 100%, $E$9)</f>
        <v>8.3393999999999995</v>
      </c>
      <c r="K144" s="53">
        <f>CHOOSE(CONTROL!$C$42, 8.3768, 8.3768) * CHOOSE(CONTROL!$C$21, $C$9, 100%, $E$9)</f>
        <v>8.3767999999999994</v>
      </c>
      <c r="L144" s="14">
        <f>CHOOSE(CONTROL!$C$42, 9.0209, 9.0209) * CHOOSE(CONTROL!$C$21, $C$9, 100%, $E$9)</f>
        <v>9.0208999999999993</v>
      </c>
      <c r="M144" s="14">
        <f>CHOOSE(CONTROL!$C$42, 8.1762, 8.1762) * CHOOSE(CONTROL!$C$21, $C$9, 100%, $E$9)</f>
        <v>8.1761999999999997</v>
      </c>
      <c r="N144" s="14">
        <f>CHOOSE(CONTROL!$C$42, 8.1925, 8.1925) * CHOOSE(CONTROL!$C$21, $C$9, 100%, $E$9)</f>
        <v>8.1925000000000008</v>
      </c>
      <c r="O144" s="14">
        <f>CHOOSE(CONTROL!$C$42, 8.2688, 8.2688) * CHOOSE(CONTROL!$C$21, $C$9, 100%, $E$9)</f>
        <v>8.2688000000000006</v>
      </c>
      <c r="P144" s="14">
        <f>CHOOSE(CONTROL!$C$42, 8.2162, 8.2162) * CHOOSE(CONTROL!$C$21, $C$9, 100%, $E$9)</f>
        <v>8.2162000000000006</v>
      </c>
      <c r="Q144" s="14">
        <f>CHOOSE(CONTROL!$C$42, 8.8635, 8.8635) * CHOOSE(CONTROL!$C$21, $C$9, 100%, $E$9)</f>
        <v>8.8635000000000002</v>
      </c>
      <c r="R144" s="14">
        <f>CHOOSE(CONTROL!$C$42, 9.4727, 9.4727) * CHOOSE(CONTROL!$C$21, $C$9, 100%, $E$9)</f>
        <v>9.4726999999999997</v>
      </c>
      <c r="S144" s="14">
        <f>CHOOSE(CONTROL!$C$42, 8.007, 8.007) * CHOOSE(CONTROL!$C$21, $C$9, 100%, $E$9)</f>
        <v>8.0069999999999997</v>
      </c>
      <c r="T14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44" s="57">
        <f>(1000*CHOOSE(CONTROL!$C$42, 695, 695)*CHOOSE(CONTROL!$C$42, 0.5599, 0.5599)*CHOOSE(CONTROL!$C$42, 31, 31))/1000000</f>
        <v>12.063045499999998</v>
      </c>
      <c r="V144" s="57">
        <f>(1000*CHOOSE(CONTROL!$C$42, 500, 500)*CHOOSE(CONTROL!$C$42, 0.275, 0.275)*CHOOSE(CONTROL!$C$42, 31, 31))/1000000</f>
        <v>4.2625000000000002</v>
      </c>
      <c r="W144" s="57">
        <f>(1000*CHOOSE(CONTROL!$C$42, 0.1146, 0.1146)*CHOOSE(CONTROL!$C$42, 121.5, 121.5)*CHOOSE(CONTROL!$C$42, 31, 31))/1000000</f>
        <v>0.43164089999999994</v>
      </c>
      <c r="X144" s="57">
        <f>(31*0.1790888*100000/1000000)+(31*0.2374*100000/1000000)</f>
        <v>1.2911152800000001</v>
      </c>
      <c r="Y144" s="57"/>
      <c r="Z144" s="14"/>
      <c r="AA144" s="56"/>
      <c r="AB144" s="50">
        <f>(B144*122.58+C144*297.941+D144*89.177+E144*40.302+F144*40+G144*160+H144*0+I144*100+J144*300)/(122.58+297.941+89.177+40.302+0+40+160+100+300)</f>
        <v>8.3578920873043465</v>
      </c>
      <c r="AC144" s="45">
        <f>(M144*'RAP TEMPLATE-GAS AVAILABILITY'!O143+N144*'RAP TEMPLATE-GAS AVAILABILITY'!P143+O144*'RAP TEMPLATE-GAS AVAILABILITY'!Q143+P144*'RAP TEMPLATE-GAS AVAILABILITY'!R143)/('RAP TEMPLATE-GAS AVAILABILITY'!O143+'RAP TEMPLATE-GAS AVAILABILITY'!P143+'RAP TEMPLATE-GAS AVAILABILITY'!Q143+'RAP TEMPLATE-GAS AVAILABILITY'!R143)</f>
        <v>8.2248633093525179</v>
      </c>
    </row>
    <row r="145" spans="1:29" ht="15.75" x14ac:dyDescent="0.25">
      <c r="A145" s="13">
        <v>45292</v>
      </c>
      <c r="B145" s="14">
        <f>CHOOSE(CONTROL!$C$42, 8.8784, 8.8784) * CHOOSE(CONTROL!$C$21, $C$9, 100%, $E$9)</f>
        <v>8.8783999999999992</v>
      </c>
      <c r="C145" s="14">
        <f>CHOOSE(CONTROL!$C$42, 8.8834, 8.8834) * CHOOSE(CONTROL!$C$21, $C$9, 100%, $E$9)</f>
        <v>8.8834</v>
      </c>
      <c r="D145" s="14">
        <f>CHOOSE(CONTROL!$C$42, 8.9498, 8.9498) * CHOOSE(CONTROL!$C$21, $C$9, 100%, $E$9)</f>
        <v>8.9497999999999998</v>
      </c>
      <c r="E145" s="14">
        <f>CHOOSE(CONTROL!$C$42, 8.9839, 8.9839) * CHOOSE(CONTROL!$C$21, $C$9, 100%, $E$9)</f>
        <v>8.9839000000000002</v>
      </c>
      <c r="F145" s="14">
        <f>CHOOSE(CONTROL!$C$42, 8.8657, 8.8657)*CHOOSE(CONTROL!$C$21, $C$9, 100%, $E$9)</f>
        <v>8.8657000000000004</v>
      </c>
      <c r="G145" s="14">
        <f>CHOOSE(CONTROL!$C$42, 8.8812, 8.8812)*CHOOSE(CONTROL!$C$21, $C$9, 100%, $E$9)</f>
        <v>8.8811999999999998</v>
      </c>
      <c r="H145" s="14">
        <f>CHOOSE(CONTROL!$C$42, 8.9731, 8.9731) * CHOOSE(CONTROL!$C$21, $C$9, 100%, $E$9)</f>
        <v>8.9731000000000005</v>
      </c>
      <c r="I145" s="14">
        <f>CHOOSE(CONTROL!$C$42, 8.9138, 8.9138)* CHOOSE(CONTROL!$C$21, $C$9, 100%, $E$9)</f>
        <v>8.9138000000000002</v>
      </c>
      <c r="J145" s="14">
        <f>CHOOSE(CONTROL!$C$42, 8.8587, 8.8587)* CHOOSE(CONTROL!$C$21, $C$9, 100%, $E$9)</f>
        <v>8.8587000000000007</v>
      </c>
      <c r="K145" s="53">
        <f>CHOOSE(CONTROL!$C$42, 8.9099, 8.9099) * CHOOSE(CONTROL!$C$21, $C$9, 100%, $E$9)</f>
        <v>8.9099000000000004</v>
      </c>
      <c r="L145" s="14">
        <f>CHOOSE(CONTROL!$C$42, 9.5601, 9.5601) * CHOOSE(CONTROL!$C$21, $C$9, 100%, $E$9)</f>
        <v>9.5601000000000003</v>
      </c>
      <c r="M145" s="14">
        <f>CHOOSE(CONTROL!$C$42, 8.6849, 8.6849) * CHOOSE(CONTROL!$C$21, $C$9, 100%, $E$9)</f>
        <v>8.6849000000000007</v>
      </c>
      <c r="N145" s="14">
        <f>CHOOSE(CONTROL!$C$42, 8.7, 8.7) * CHOOSE(CONTROL!$C$21, $C$9, 100%, $E$9)</f>
        <v>8.6999999999999993</v>
      </c>
      <c r="O145" s="14">
        <f>CHOOSE(CONTROL!$C$42, 8.797, 8.797) * CHOOSE(CONTROL!$C$21, $C$9, 100%, $E$9)</f>
        <v>8.7970000000000006</v>
      </c>
      <c r="P145" s="14">
        <f>CHOOSE(CONTROL!$C$42, 8.7384, 8.7384) * CHOOSE(CONTROL!$C$21, $C$9, 100%, $E$9)</f>
        <v>8.7384000000000004</v>
      </c>
      <c r="Q145" s="14">
        <f>CHOOSE(CONTROL!$C$42, 9.3917, 9.3917) * CHOOSE(CONTROL!$C$21, $C$9, 100%, $E$9)</f>
        <v>9.3917000000000002</v>
      </c>
      <c r="R145" s="14">
        <f>CHOOSE(CONTROL!$C$42, 10.0022, 10.0022) * CHOOSE(CONTROL!$C$21, $C$9, 100%, $E$9)</f>
        <v>10.0022</v>
      </c>
      <c r="S145" s="14">
        <f>CHOOSE(CONTROL!$C$42, 8.5227, 8.5227) * CHOOSE(CONTROL!$C$21, $C$9, 100%, $E$9)</f>
        <v>8.5227000000000004</v>
      </c>
      <c r="T14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45" s="57">
        <f>(1000*CHOOSE(CONTROL!$C$42, 695, 695)*CHOOSE(CONTROL!$C$42, 0.5599, 0.5599)*CHOOSE(CONTROL!$C$42, 31, 31))/1000000</f>
        <v>12.063045499999998</v>
      </c>
      <c r="V145" s="57">
        <f>(1000*CHOOSE(CONTROL!$C$42, 500, 500)*CHOOSE(CONTROL!$C$42, 0.275, 0.275)*CHOOSE(CONTROL!$C$42, 31, 31))/1000000</f>
        <v>4.2625000000000002</v>
      </c>
      <c r="W145" s="57">
        <f>(1000*CHOOSE(CONTROL!$C$42, 0.1146, 0.1146)*CHOOSE(CONTROL!$C$42, 121.5, 121.5)*CHOOSE(CONTROL!$C$42, 31, 31))/1000000</f>
        <v>0.43164089999999994</v>
      </c>
      <c r="X145" s="57">
        <f>(31*0.1790888*100000/1000000)+(31*0.2374*100000/1000000)</f>
        <v>1.2911152800000001</v>
      </c>
      <c r="Y145" s="57"/>
      <c r="Z145" s="14"/>
      <c r="AA145" s="56"/>
      <c r="AB145" s="50">
        <f>(B145*122.58+C145*297.941+D145*89.177+E145*40.302+F145*40+G145*160+H145*0+I145*100+J145*300)/(122.58+297.941+89.177+40.302+0+40+160+100+300)</f>
        <v>8.8868163511304346</v>
      </c>
      <c r="AC145" s="45">
        <f>(M145*'RAP TEMPLATE-GAS AVAILABILITY'!O144+N145*'RAP TEMPLATE-GAS AVAILABILITY'!P144+O145*'RAP TEMPLATE-GAS AVAILABILITY'!Q144+P145*'RAP TEMPLATE-GAS AVAILABILITY'!R144)/('RAP TEMPLATE-GAS AVAILABILITY'!O144+'RAP TEMPLATE-GAS AVAILABILITY'!P144+'RAP TEMPLATE-GAS AVAILABILITY'!Q144+'RAP TEMPLATE-GAS AVAILABILITY'!R144)</f>
        <v>8.744274820143886</v>
      </c>
    </row>
    <row r="146" spans="1:29" ht="15.75" x14ac:dyDescent="0.25">
      <c r="A146" s="13">
        <v>45323</v>
      </c>
      <c r="B146" s="14">
        <f>CHOOSE(CONTROL!$C$42, 9.0548, 9.0548) * CHOOSE(CONTROL!$C$21, $C$9, 100%, $E$9)</f>
        <v>9.0548000000000002</v>
      </c>
      <c r="C146" s="14">
        <f>CHOOSE(CONTROL!$C$42, 9.0599, 9.0599) * CHOOSE(CONTROL!$C$21, $C$9, 100%, $E$9)</f>
        <v>9.0599000000000007</v>
      </c>
      <c r="D146" s="14">
        <f>CHOOSE(CONTROL!$C$42, 9.1263, 9.1263) * CHOOSE(CONTROL!$C$21, $C$9, 100%, $E$9)</f>
        <v>9.1263000000000005</v>
      </c>
      <c r="E146" s="14">
        <f>CHOOSE(CONTROL!$C$42, 9.1604, 9.1604) * CHOOSE(CONTROL!$C$21, $C$9, 100%, $E$9)</f>
        <v>9.1603999999999992</v>
      </c>
      <c r="F146" s="14">
        <f>CHOOSE(CONTROL!$C$42, 9.0422, 9.0422)*CHOOSE(CONTROL!$C$21, $C$9, 100%, $E$9)</f>
        <v>9.0421999999999993</v>
      </c>
      <c r="G146" s="14">
        <f>CHOOSE(CONTROL!$C$42, 9.0577, 9.0577)*CHOOSE(CONTROL!$C$21, $C$9, 100%, $E$9)</f>
        <v>9.0577000000000005</v>
      </c>
      <c r="H146" s="14">
        <f>CHOOSE(CONTROL!$C$42, 9.1496, 9.1496) * CHOOSE(CONTROL!$C$21, $C$9, 100%, $E$9)</f>
        <v>9.1495999999999995</v>
      </c>
      <c r="I146" s="14">
        <f>CHOOSE(CONTROL!$C$42, 9.0908, 9.0908)* CHOOSE(CONTROL!$C$21, $C$9, 100%, $E$9)</f>
        <v>9.0907999999999998</v>
      </c>
      <c r="J146" s="14">
        <f>CHOOSE(CONTROL!$C$42, 9.0352, 9.0352)* CHOOSE(CONTROL!$C$21, $C$9, 100%, $E$9)</f>
        <v>9.0351999999999997</v>
      </c>
      <c r="K146" s="53">
        <f>CHOOSE(CONTROL!$C$42, 9.0869, 9.0869) * CHOOSE(CONTROL!$C$21, $C$9, 100%, $E$9)</f>
        <v>9.0869</v>
      </c>
      <c r="L146" s="14">
        <f>CHOOSE(CONTROL!$C$42, 9.7366, 9.7366) * CHOOSE(CONTROL!$C$21, $C$9, 100%, $E$9)</f>
        <v>9.7365999999999993</v>
      </c>
      <c r="M146" s="14">
        <f>CHOOSE(CONTROL!$C$42, 8.8578, 8.8578) * CHOOSE(CONTROL!$C$21, $C$9, 100%, $E$9)</f>
        <v>8.8577999999999992</v>
      </c>
      <c r="N146" s="14">
        <f>CHOOSE(CONTROL!$C$42, 8.873, 8.873) * CHOOSE(CONTROL!$C$21, $C$9, 100%, $E$9)</f>
        <v>8.8729999999999993</v>
      </c>
      <c r="O146" s="14">
        <f>CHOOSE(CONTROL!$C$42, 8.9698, 8.9698) * CHOOSE(CONTROL!$C$21, $C$9, 100%, $E$9)</f>
        <v>8.9697999999999993</v>
      </c>
      <c r="P146" s="14">
        <f>CHOOSE(CONTROL!$C$42, 8.9117, 8.9117) * CHOOSE(CONTROL!$C$21, $C$9, 100%, $E$9)</f>
        <v>8.9116999999999997</v>
      </c>
      <c r="Q146" s="14">
        <f>CHOOSE(CONTROL!$C$42, 9.5645, 9.5645) * CHOOSE(CONTROL!$C$21, $C$9, 100%, $E$9)</f>
        <v>9.5645000000000007</v>
      </c>
      <c r="R146" s="14">
        <f>CHOOSE(CONTROL!$C$42, 10.1754, 10.1754) * CHOOSE(CONTROL!$C$21, $C$9, 100%, $E$9)</f>
        <v>10.1754</v>
      </c>
      <c r="S146" s="14">
        <f>CHOOSE(CONTROL!$C$42, 8.6922, 8.6922) * CHOOSE(CONTROL!$C$21, $C$9, 100%, $E$9)</f>
        <v>8.6921999999999997</v>
      </c>
      <c r="T146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46" s="57">
        <f>(1000*CHOOSE(CONTROL!$C$42, 695, 695)*CHOOSE(CONTROL!$C$42, 0.5599, 0.5599)*CHOOSE(CONTROL!$C$42, 29, 29))/1000000</f>
        <v>11.284784499999999</v>
      </c>
      <c r="V146" s="57">
        <f>(1000*CHOOSE(CONTROL!$C$42, 500, 500)*CHOOSE(CONTROL!$C$42, 0.275, 0.275)*CHOOSE(CONTROL!$C$42, 29, 29))/1000000</f>
        <v>3.9874999999999998</v>
      </c>
      <c r="W146" s="57">
        <f>(1000*CHOOSE(CONTROL!$C$42, 0.1146, 0.1146)*CHOOSE(CONTROL!$C$42, 121.5, 121.5)*CHOOSE(CONTROL!$C$42, 29, 29))/1000000</f>
        <v>0.40379309999999996</v>
      </c>
      <c r="X146" s="57">
        <f>(29*0.1790888*100000/1000000)+(29*0.2374*100000/1000000)</f>
        <v>1.2078175199999999</v>
      </c>
      <c r="Y146" s="57"/>
      <c r="Z146" s="14"/>
      <c r="AA146" s="56"/>
      <c r="AB146" s="50">
        <f>(B146*122.58+C146*297.941+D146*89.177+E146*40.302+F146*40+G146*160+H146*0+I146*100+J146*300)/(122.58+297.941+89.177+40.302+0+40+160+100+300)</f>
        <v>9.0633491702608691</v>
      </c>
      <c r="AC146" s="45">
        <f>(M146*'RAP TEMPLATE-GAS AVAILABILITY'!O145+N146*'RAP TEMPLATE-GAS AVAILABILITY'!P145+O146*'RAP TEMPLATE-GAS AVAILABILITY'!Q145+P146*'RAP TEMPLATE-GAS AVAILABILITY'!R145)/('RAP TEMPLATE-GAS AVAILABILITY'!O145+'RAP TEMPLATE-GAS AVAILABILITY'!P145+'RAP TEMPLATE-GAS AVAILABILITY'!Q145+'RAP TEMPLATE-GAS AVAILABILITY'!R145)</f>
        <v>8.9171928057553949</v>
      </c>
    </row>
    <row r="147" spans="1:29" ht="15.75" x14ac:dyDescent="0.25">
      <c r="A147" s="13">
        <v>45352</v>
      </c>
      <c r="B147" s="14">
        <f>CHOOSE(CONTROL!$C$42, 8.8161, 8.8161) * CHOOSE(CONTROL!$C$21, $C$9, 100%, $E$9)</f>
        <v>8.8161000000000005</v>
      </c>
      <c r="C147" s="14">
        <f>CHOOSE(CONTROL!$C$42, 8.8212, 8.8212) * CHOOSE(CONTROL!$C$21, $C$9, 100%, $E$9)</f>
        <v>8.8211999999999993</v>
      </c>
      <c r="D147" s="14">
        <f>CHOOSE(CONTROL!$C$42, 8.8876, 8.8876) * CHOOSE(CONTROL!$C$21, $C$9, 100%, $E$9)</f>
        <v>8.8876000000000008</v>
      </c>
      <c r="E147" s="14">
        <f>CHOOSE(CONTROL!$C$42, 8.9217, 8.9217) * CHOOSE(CONTROL!$C$21, $C$9, 100%, $E$9)</f>
        <v>8.9216999999999995</v>
      </c>
      <c r="F147" s="14">
        <f>CHOOSE(CONTROL!$C$42, 8.8031, 8.8031)*CHOOSE(CONTROL!$C$21, $C$9, 100%, $E$9)</f>
        <v>8.8031000000000006</v>
      </c>
      <c r="G147" s="14">
        <f>CHOOSE(CONTROL!$C$42, 8.8185, 8.8185)*CHOOSE(CONTROL!$C$21, $C$9, 100%, $E$9)</f>
        <v>8.8185000000000002</v>
      </c>
      <c r="H147" s="14">
        <f>CHOOSE(CONTROL!$C$42, 8.9109, 8.9109) * CHOOSE(CONTROL!$C$21, $C$9, 100%, $E$9)</f>
        <v>8.9108999999999998</v>
      </c>
      <c r="I147" s="14">
        <f>CHOOSE(CONTROL!$C$42, 8.8514, 8.8514)* CHOOSE(CONTROL!$C$21, $C$9, 100%, $E$9)</f>
        <v>8.8513999999999999</v>
      </c>
      <c r="J147" s="14">
        <f>CHOOSE(CONTROL!$C$42, 8.7961, 8.7961)* CHOOSE(CONTROL!$C$21, $C$9, 100%, $E$9)</f>
        <v>8.7960999999999991</v>
      </c>
      <c r="K147" s="53">
        <f>CHOOSE(CONTROL!$C$42, 8.8475, 8.8475) * CHOOSE(CONTROL!$C$21, $C$9, 100%, $E$9)</f>
        <v>8.8475000000000001</v>
      </c>
      <c r="L147" s="14">
        <f>CHOOSE(CONTROL!$C$42, 9.4979, 9.4979) * CHOOSE(CONTROL!$C$21, $C$9, 100%, $E$9)</f>
        <v>9.4978999999999996</v>
      </c>
      <c r="M147" s="14">
        <f>CHOOSE(CONTROL!$C$42, 8.6236, 8.6236) * CHOOSE(CONTROL!$C$21, $C$9, 100%, $E$9)</f>
        <v>8.6235999999999997</v>
      </c>
      <c r="N147" s="14">
        <f>CHOOSE(CONTROL!$C$42, 8.6387, 8.6387) * CHOOSE(CONTROL!$C$21, $C$9, 100%, $E$9)</f>
        <v>8.6387</v>
      </c>
      <c r="O147" s="14">
        <f>CHOOSE(CONTROL!$C$42, 8.736, 8.736) * CHOOSE(CONTROL!$C$21, $C$9, 100%, $E$9)</f>
        <v>8.7360000000000007</v>
      </c>
      <c r="P147" s="14">
        <f>CHOOSE(CONTROL!$C$42, 8.6772, 8.6772) * CHOOSE(CONTROL!$C$21, $C$9, 100%, $E$9)</f>
        <v>8.6771999999999991</v>
      </c>
      <c r="Q147" s="14">
        <f>CHOOSE(CONTROL!$C$42, 9.3307, 9.3307) * CHOOSE(CONTROL!$C$21, $C$9, 100%, $E$9)</f>
        <v>9.3307000000000002</v>
      </c>
      <c r="R147" s="14">
        <f>CHOOSE(CONTROL!$C$42, 9.9411, 9.9411) * CHOOSE(CONTROL!$C$21, $C$9, 100%, $E$9)</f>
        <v>9.9411000000000005</v>
      </c>
      <c r="S147" s="14">
        <f>CHOOSE(CONTROL!$C$42, 8.4629, 8.4629) * CHOOSE(CONTROL!$C$21, $C$9, 100%, $E$9)</f>
        <v>8.4628999999999994</v>
      </c>
      <c r="T14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47" s="57">
        <f>(1000*CHOOSE(CONTROL!$C$42, 695, 695)*CHOOSE(CONTROL!$C$42, 0.5599, 0.5599)*CHOOSE(CONTROL!$C$42, 31, 31))/1000000</f>
        <v>12.063045499999998</v>
      </c>
      <c r="V147" s="57">
        <f>(1000*CHOOSE(CONTROL!$C$42, 500, 500)*CHOOSE(CONTROL!$C$42, 0.275, 0.275)*CHOOSE(CONTROL!$C$42, 31, 31))/1000000</f>
        <v>4.2625000000000002</v>
      </c>
      <c r="W147" s="57">
        <f>(1000*CHOOSE(CONTROL!$C$42, 0.1146, 0.1146)*CHOOSE(CONTROL!$C$42, 121.5, 121.5)*CHOOSE(CONTROL!$C$42, 31, 31))/1000000</f>
        <v>0.43164089999999994</v>
      </c>
      <c r="X147" s="57">
        <f>(31*0.1790888*100000/1000000)+(31*0.2374*100000/1000000)</f>
        <v>1.2911152800000001</v>
      </c>
      <c r="Y147" s="57"/>
      <c r="Z147" s="14"/>
      <c r="AA147" s="56"/>
      <c r="AB147" s="50">
        <f>(B147*122.58+C147*297.941+D147*89.177+E147*40.302+F147*40+G147*160+H147*0+I147*100+J147*300)/(122.58+297.941+89.177+40.302+0+40+160+100+300)</f>
        <v>8.8244004746086944</v>
      </c>
      <c r="AC147" s="45">
        <f>(M147*'RAP TEMPLATE-GAS AVAILABILITY'!O146+N147*'RAP TEMPLATE-GAS AVAILABILITY'!P146+O147*'RAP TEMPLATE-GAS AVAILABILITY'!Q146+P147*'RAP TEMPLATE-GAS AVAILABILITY'!R146)/('RAP TEMPLATE-GAS AVAILABILITY'!O146+'RAP TEMPLATE-GAS AVAILABILITY'!P146+'RAP TEMPLATE-GAS AVAILABILITY'!Q146+'RAP TEMPLATE-GAS AVAILABILITY'!R146)</f>
        <v>8.6831251798561144</v>
      </c>
    </row>
    <row r="148" spans="1:29" ht="15.75" x14ac:dyDescent="0.25">
      <c r="A148" s="13">
        <v>45383</v>
      </c>
      <c r="B148" s="14">
        <f>CHOOSE(CONTROL!$C$42, 8.809, 8.809) * CHOOSE(CONTROL!$C$21, $C$9, 100%, $E$9)</f>
        <v>8.8089999999999993</v>
      </c>
      <c r="C148" s="14">
        <f>CHOOSE(CONTROL!$C$42, 8.8135, 8.8135) * CHOOSE(CONTROL!$C$21, $C$9, 100%, $E$9)</f>
        <v>8.8134999999999994</v>
      </c>
      <c r="D148" s="14">
        <f>CHOOSE(CONTROL!$C$42, 9.0206, 9.0206) * CHOOSE(CONTROL!$C$21, $C$9, 100%, $E$9)</f>
        <v>9.0206</v>
      </c>
      <c r="E148" s="14">
        <f>CHOOSE(CONTROL!$C$42, 9.0527, 9.0527) * CHOOSE(CONTROL!$C$21, $C$9, 100%, $E$9)</f>
        <v>9.0526999999999997</v>
      </c>
      <c r="F148" s="14">
        <f>CHOOSE(CONTROL!$C$42, 8.7909, 8.7909)*CHOOSE(CONTROL!$C$21, $C$9, 100%, $E$9)</f>
        <v>8.7909000000000006</v>
      </c>
      <c r="G148" s="14">
        <f>CHOOSE(CONTROL!$C$42, 8.8061, 8.8061)*CHOOSE(CONTROL!$C$21, $C$9, 100%, $E$9)</f>
        <v>8.8061000000000007</v>
      </c>
      <c r="H148" s="14">
        <f>CHOOSE(CONTROL!$C$42, 9.0425, 9.0425) * CHOOSE(CONTROL!$C$21, $C$9, 100%, $E$9)</f>
        <v>9.0425000000000004</v>
      </c>
      <c r="I148" s="14">
        <f>CHOOSE(CONTROL!$C$42, 8.8435, 8.8435)* CHOOSE(CONTROL!$C$21, $C$9, 100%, $E$9)</f>
        <v>8.8435000000000006</v>
      </c>
      <c r="J148" s="14">
        <f>CHOOSE(CONTROL!$C$42, 8.7839, 8.7839)* CHOOSE(CONTROL!$C$21, $C$9, 100%, $E$9)</f>
        <v>8.7838999999999992</v>
      </c>
      <c r="K148" s="53">
        <f>CHOOSE(CONTROL!$C$42, 8.8396, 8.8396) * CHOOSE(CONTROL!$C$21, $C$9, 100%, $E$9)</f>
        <v>8.8396000000000008</v>
      </c>
      <c r="L148" s="14">
        <f>CHOOSE(CONTROL!$C$42, 9.6295, 9.6295) * CHOOSE(CONTROL!$C$21, $C$9, 100%, $E$9)</f>
        <v>9.6295000000000002</v>
      </c>
      <c r="M148" s="14">
        <f>CHOOSE(CONTROL!$C$42, 8.6116, 8.6116) * CHOOSE(CONTROL!$C$21, $C$9, 100%, $E$9)</f>
        <v>8.6115999999999993</v>
      </c>
      <c r="N148" s="14">
        <f>CHOOSE(CONTROL!$C$42, 8.6265, 8.6265) * CHOOSE(CONTROL!$C$21, $C$9, 100%, $E$9)</f>
        <v>8.6265000000000001</v>
      </c>
      <c r="O148" s="14">
        <f>CHOOSE(CONTROL!$C$42, 8.8649, 8.8649) * CHOOSE(CONTROL!$C$21, $C$9, 100%, $E$9)</f>
        <v>8.8649000000000004</v>
      </c>
      <c r="P148" s="14">
        <f>CHOOSE(CONTROL!$C$42, 8.6695, 8.6695) * CHOOSE(CONTROL!$C$21, $C$9, 100%, $E$9)</f>
        <v>8.6694999999999993</v>
      </c>
      <c r="Q148" s="14">
        <f>CHOOSE(CONTROL!$C$42, 9.4596, 9.4596) * CHOOSE(CONTROL!$C$21, $C$9, 100%, $E$9)</f>
        <v>9.4596</v>
      </c>
      <c r="R148" s="14">
        <f>CHOOSE(CONTROL!$C$42, 10.0702, 10.0702) * CHOOSE(CONTROL!$C$21, $C$9, 100%, $E$9)</f>
        <v>10.0702</v>
      </c>
      <c r="S148" s="14">
        <f>CHOOSE(CONTROL!$C$42, 8.4553, 8.4553) * CHOOSE(CONTROL!$C$21, $C$9, 100%, $E$9)</f>
        <v>8.4552999999999994</v>
      </c>
      <c r="T14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48" s="57">
        <f>(1000*CHOOSE(CONTROL!$C$42, 695, 695)*CHOOSE(CONTROL!$C$42, 0.5599, 0.5599)*CHOOSE(CONTROL!$C$42, 30, 30))/1000000</f>
        <v>11.673914999999997</v>
      </c>
      <c r="V148" s="57">
        <f>(1000*CHOOSE(CONTROL!$C$42, 500, 500)*CHOOSE(CONTROL!$C$42, 0.275, 0.275)*CHOOSE(CONTROL!$C$42, 30, 30))/1000000</f>
        <v>4.125</v>
      </c>
      <c r="W148" s="57">
        <f>(1000*CHOOSE(CONTROL!$C$42, 0.1146, 0.1146)*CHOOSE(CONTROL!$C$42, 121.5, 121.5)*CHOOSE(CONTROL!$C$42, 30, 30))/1000000</f>
        <v>0.417717</v>
      </c>
      <c r="X148" s="57">
        <f>(30*0.1790888*245000/1000000)+(30*0.2374*100000/1000000)</f>
        <v>2.0285026799999999</v>
      </c>
      <c r="Y148" s="57"/>
      <c r="Z148" s="14"/>
      <c r="AA148" s="56"/>
      <c r="AB148" s="50">
        <f>(B148*141.293+C148*267.993+D148*115.016+E148*89.698+F148*40+G148*185+H148*0+I148*100+J148*300)/(141.293+267.993+115.016+89.698+0+40+185+100+300)</f>
        <v>8.8429485526230831</v>
      </c>
      <c r="AC148" s="45">
        <f>(M148*'RAP TEMPLATE-GAS AVAILABILITY'!O147+N148*'RAP TEMPLATE-GAS AVAILABILITY'!P147+O148*'RAP TEMPLATE-GAS AVAILABILITY'!Q147+P148*'RAP TEMPLATE-GAS AVAILABILITY'!R147)/('RAP TEMPLATE-GAS AVAILABILITY'!O147+'RAP TEMPLATE-GAS AVAILABILITY'!P147+'RAP TEMPLATE-GAS AVAILABILITY'!Q147+'RAP TEMPLATE-GAS AVAILABILITY'!R147)</f>
        <v>8.6944309352517966</v>
      </c>
    </row>
    <row r="149" spans="1:29" ht="15.75" x14ac:dyDescent="0.25">
      <c r="A149" s="13">
        <v>45413</v>
      </c>
      <c r="B149" s="14">
        <f>CHOOSE(CONTROL!$C$42, 8.9064, 8.9064) * CHOOSE(CONTROL!$C$21, $C$9, 100%, $E$9)</f>
        <v>8.9063999999999997</v>
      </c>
      <c r="C149" s="14">
        <f>CHOOSE(CONTROL!$C$42, 8.9144, 8.9144) * CHOOSE(CONTROL!$C$21, $C$9, 100%, $E$9)</f>
        <v>8.9144000000000005</v>
      </c>
      <c r="D149" s="14">
        <f>CHOOSE(CONTROL!$C$42, 9.1183, 9.1183) * CHOOSE(CONTROL!$C$21, $C$9, 100%, $E$9)</f>
        <v>9.1182999999999996</v>
      </c>
      <c r="E149" s="14">
        <f>CHOOSE(CONTROL!$C$42, 9.1498, 9.1498) * CHOOSE(CONTROL!$C$21, $C$9, 100%, $E$9)</f>
        <v>9.1498000000000008</v>
      </c>
      <c r="F149" s="14">
        <f>CHOOSE(CONTROL!$C$42, 8.8871, 8.8871)*CHOOSE(CONTROL!$C$21, $C$9, 100%, $E$9)</f>
        <v>8.8871000000000002</v>
      </c>
      <c r="G149" s="14">
        <f>CHOOSE(CONTROL!$C$42, 8.9028, 8.9028)*CHOOSE(CONTROL!$C$21, $C$9, 100%, $E$9)</f>
        <v>8.9027999999999992</v>
      </c>
      <c r="H149" s="14">
        <f>CHOOSE(CONTROL!$C$42, 9.1384, 9.1384) * CHOOSE(CONTROL!$C$21, $C$9, 100%, $E$9)</f>
        <v>9.1384000000000007</v>
      </c>
      <c r="I149" s="14">
        <f>CHOOSE(CONTROL!$C$42, 8.9397, 8.9397)* CHOOSE(CONTROL!$C$21, $C$9, 100%, $E$9)</f>
        <v>8.9397000000000002</v>
      </c>
      <c r="J149" s="14">
        <f>CHOOSE(CONTROL!$C$42, 8.8801, 8.8801)* CHOOSE(CONTROL!$C$21, $C$9, 100%, $E$9)</f>
        <v>8.8801000000000005</v>
      </c>
      <c r="K149" s="53">
        <f>CHOOSE(CONTROL!$C$42, 8.9358, 8.9358) * CHOOSE(CONTROL!$C$21, $C$9, 100%, $E$9)</f>
        <v>8.9358000000000004</v>
      </c>
      <c r="L149" s="14">
        <f>CHOOSE(CONTROL!$C$42, 9.7254, 9.7254) * CHOOSE(CONTROL!$C$21, $C$9, 100%, $E$9)</f>
        <v>9.7254000000000005</v>
      </c>
      <c r="M149" s="14">
        <f>CHOOSE(CONTROL!$C$42, 8.7058, 8.7058) * CHOOSE(CONTROL!$C$21, $C$9, 100%, $E$9)</f>
        <v>8.7058</v>
      </c>
      <c r="N149" s="14">
        <f>CHOOSE(CONTROL!$C$42, 8.7212, 8.7212) * CHOOSE(CONTROL!$C$21, $C$9, 100%, $E$9)</f>
        <v>8.7211999999999996</v>
      </c>
      <c r="O149" s="14">
        <f>CHOOSE(CONTROL!$C$42, 8.9589, 8.9589) * CHOOSE(CONTROL!$C$21, $C$9, 100%, $E$9)</f>
        <v>8.9588999999999999</v>
      </c>
      <c r="P149" s="14">
        <f>CHOOSE(CONTROL!$C$42, 8.7637, 8.7637) * CHOOSE(CONTROL!$C$21, $C$9, 100%, $E$9)</f>
        <v>8.7637</v>
      </c>
      <c r="Q149" s="14">
        <f>CHOOSE(CONTROL!$C$42, 9.5536, 9.5536) * CHOOSE(CONTROL!$C$21, $C$9, 100%, $E$9)</f>
        <v>9.5535999999999994</v>
      </c>
      <c r="R149" s="14">
        <f>CHOOSE(CONTROL!$C$42, 10.1645, 10.1645) * CHOOSE(CONTROL!$C$21, $C$9, 100%, $E$9)</f>
        <v>10.1645</v>
      </c>
      <c r="S149" s="14">
        <f>CHOOSE(CONTROL!$C$42, 8.5475, 8.5475) * CHOOSE(CONTROL!$C$21, $C$9, 100%, $E$9)</f>
        <v>8.5474999999999994</v>
      </c>
      <c r="T14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49" s="57">
        <f>(1000*CHOOSE(CONTROL!$C$42, 695, 695)*CHOOSE(CONTROL!$C$42, 0.5599, 0.5599)*CHOOSE(CONTROL!$C$42, 31, 31))/1000000</f>
        <v>12.063045499999998</v>
      </c>
      <c r="V149" s="57">
        <f>(1000*CHOOSE(CONTROL!$C$42, 500, 500)*CHOOSE(CONTROL!$C$42, 0.275, 0.275)*CHOOSE(CONTROL!$C$42, 31, 31))/1000000</f>
        <v>4.2625000000000002</v>
      </c>
      <c r="W149" s="57">
        <f>(1000*CHOOSE(CONTROL!$C$42, 0.1146, 0.1146)*CHOOSE(CONTROL!$C$42, 121.5, 121.5)*CHOOSE(CONTROL!$C$42, 31, 31))/1000000</f>
        <v>0.43164089999999994</v>
      </c>
      <c r="X149" s="57">
        <f>(31*0.1790888*245000/1000000)+(31*0.2374*100000/1000000)</f>
        <v>2.0961194359999999</v>
      </c>
      <c r="Y149" s="57"/>
      <c r="Z149" s="14"/>
      <c r="AA149" s="56"/>
      <c r="AB149" s="50">
        <f>(B149*194.205+C149*267.466+D149*133.845+E149*53.484+F149*40+G149*185+H149*0+I149*100+J149*300)/(194.205+267.466+133.845+53.484+0+40+185+100+300)</f>
        <v>8.9358517182888555</v>
      </c>
      <c r="AC149" s="45">
        <f>(M149*'RAP TEMPLATE-GAS AVAILABILITY'!O148+N149*'RAP TEMPLATE-GAS AVAILABILITY'!P148+O149*'RAP TEMPLATE-GAS AVAILABILITY'!Q148+P149*'RAP TEMPLATE-GAS AVAILABILITY'!R148)/('RAP TEMPLATE-GAS AVAILABILITY'!O148+'RAP TEMPLATE-GAS AVAILABILITY'!P148+'RAP TEMPLATE-GAS AVAILABILITY'!Q148+'RAP TEMPLATE-GAS AVAILABILITY'!R148)</f>
        <v>8.7886899280575523</v>
      </c>
    </row>
    <row r="150" spans="1:29" ht="15.75" x14ac:dyDescent="0.25">
      <c r="A150" s="13">
        <v>45444</v>
      </c>
      <c r="B150" s="14">
        <f>CHOOSE(CONTROL!$C$42, 9.1775, 9.1775) * CHOOSE(CONTROL!$C$21, $C$9, 100%, $E$9)</f>
        <v>9.1775000000000002</v>
      </c>
      <c r="C150" s="14">
        <f>CHOOSE(CONTROL!$C$42, 9.1855, 9.1855) * CHOOSE(CONTROL!$C$21, $C$9, 100%, $E$9)</f>
        <v>9.1854999999999993</v>
      </c>
      <c r="D150" s="14">
        <f>CHOOSE(CONTROL!$C$42, 9.3895, 9.3895) * CHOOSE(CONTROL!$C$21, $C$9, 100%, $E$9)</f>
        <v>9.3895</v>
      </c>
      <c r="E150" s="14">
        <f>CHOOSE(CONTROL!$C$42, 9.4209, 9.4209) * CHOOSE(CONTROL!$C$21, $C$9, 100%, $E$9)</f>
        <v>9.4208999999999996</v>
      </c>
      <c r="F150" s="14">
        <f>CHOOSE(CONTROL!$C$42, 9.1587, 9.1587)*CHOOSE(CONTROL!$C$21, $C$9, 100%, $E$9)</f>
        <v>9.1586999999999996</v>
      </c>
      <c r="G150" s="14">
        <f>CHOOSE(CONTROL!$C$42, 9.1744, 9.1744)*CHOOSE(CONTROL!$C$21, $C$9, 100%, $E$9)</f>
        <v>9.1744000000000003</v>
      </c>
      <c r="H150" s="14">
        <f>CHOOSE(CONTROL!$C$42, 9.4095, 9.4095) * CHOOSE(CONTROL!$C$21, $C$9, 100%, $E$9)</f>
        <v>9.4094999999999995</v>
      </c>
      <c r="I150" s="14">
        <f>CHOOSE(CONTROL!$C$42, 9.2117, 9.2117)* CHOOSE(CONTROL!$C$21, $C$9, 100%, $E$9)</f>
        <v>9.2117000000000004</v>
      </c>
      <c r="J150" s="14">
        <f>CHOOSE(CONTROL!$C$42, 9.1517, 9.1517)* CHOOSE(CONTROL!$C$21, $C$9, 100%, $E$9)</f>
        <v>9.1516999999999999</v>
      </c>
      <c r="K150" s="53">
        <f>CHOOSE(CONTROL!$C$42, 9.2078, 9.2078) * CHOOSE(CONTROL!$C$21, $C$9, 100%, $E$9)</f>
        <v>9.2078000000000007</v>
      </c>
      <c r="L150" s="14">
        <f>CHOOSE(CONTROL!$C$42, 9.9965, 9.9965) * CHOOSE(CONTROL!$C$21, $C$9, 100%, $E$9)</f>
        <v>9.9964999999999993</v>
      </c>
      <c r="M150" s="14">
        <f>CHOOSE(CONTROL!$C$42, 8.9718, 8.9718) * CHOOSE(CONTROL!$C$21, $C$9, 100%, $E$9)</f>
        <v>8.9718</v>
      </c>
      <c r="N150" s="14">
        <f>CHOOSE(CONTROL!$C$42, 8.9873, 8.9873) * CHOOSE(CONTROL!$C$21, $C$9, 100%, $E$9)</f>
        <v>8.9872999999999994</v>
      </c>
      <c r="O150" s="14">
        <f>CHOOSE(CONTROL!$C$42, 9.2244, 9.2244) * CHOOSE(CONTROL!$C$21, $C$9, 100%, $E$9)</f>
        <v>9.2243999999999993</v>
      </c>
      <c r="P150" s="14">
        <f>CHOOSE(CONTROL!$C$42, 9.0301, 9.0301) * CHOOSE(CONTROL!$C$21, $C$9, 100%, $E$9)</f>
        <v>9.0300999999999991</v>
      </c>
      <c r="Q150" s="14">
        <f>CHOOSE(CONTROL!$C$42, 9.8191, 9.8191) * CHOOSE(CONTROL!$C$21, $C$9, 100%, $E$9)</f>
        <v>9.8191000000000006</v>
      </c>
      <c r="R150" s="14">
        <f>CHOOSE(CONTROL!$C$42, 10.4307, 10.4307) * CHOOSE(CONTROL!$C$21, $C$9, 100%, $E$9)</f>
        <v>10.4307</v>
      </c>
      <c r="S150" s="14">
        <f>CHOOSE(CONTROL!$C$42, 8.808, 8.808) * CHOOSE(CONTROL!$C$21, $C$9, 100%, $E$9)</f>
        <v>8.8079999999999998</v>
      </c>
      <c r="T15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50" s="57">
        <f>(1000*CHOOSE(CONTROL!$C$42, 695, 695)*CHOOSE(CONTROL!$C$42, 0.5599, 0.5599)*CHOOSE(CONTROL!$C$42, 30, 30))/1000000</f>
        <v>11.673914999999997</v>
      </c>
      <c r="V150" s="57">
        <f>(1000*CHOOSE(CONTROL!$C$42, 500, 500)*CHOOSE(CONTROL!$C$42, 0.275, 0.275)*CHOOSE(CONTROL!$C$42, 30, 30))/1000000</f>
        <v>4.125</v>
      </c>
      <c r="W150" s="57">
        <f>(1000*CHOOSE(CONTROL!$C$42, 0.1146, 0.1146)*CHOOSE(CONTROL!$C$42, 121.5, 121.5)*CHOOSE(CONTROL!$C$42, 30, 30))/1000000</f>
        <v>0.417717</v>
      </c>
      <c r="X150" s="57">
        <f>(30*0.1790888*245000/1000000)+(30*0.2374*100000/1000000)</f>
        <v>2.0285026799999999</v>
      </c>
      <c r="Y150" s="57"/>
      <c r="Z150" s="14"/>
      <c r="AA150" s="56"/>
      <c r="AB150" s="50">
        <f>(B150*194.205+C150*267.466+D150*133.845+E150*53.484+F150*40+G150*185+H150*0+I150*100+J150*300)/(194.205+267.466+133.845+53.484+0+40+185+100+300)</f>
        <v>9.2072389117739402</v>
      </c>
      <c r="AC150" s="45">
        <f>(M150*'RAP TEMPLATE-GAS AVAILABILITY'!O149+N150*'RAP TEMPLATE-GAS AVAILABILITY'!P149+O150*'RAP TEMPLATE-GAS AVAILABILITY'!Q149+P150*'RAP TEMPLATE-GAS AVAILABILITY'!R149)/('RAP TEMPLATE-GAS AVAILABILITY'!O149+'RAP TEMPLATE-GAS AVAILABILITY'!P149+'RAP TEMPLATE-GAS AVAILABILITY'!Q149+'RAP TEMPLATE-GAS AVAILABILITY'!R149)</f>
        <v>9.0546302158273377</v>
      </c>
    </row>
    <row r="151" spans="1:29" ht="15.75" x14ac:dyDescent="0.25">
      <c r="A151" s="13">
        <v>45474</v>
      </c>
      <c r="B151" s="14">
        <f>CHOOSE(CONTROL!$C$42, 9.0202, 9.0202) * CHOOSE(CONTROL!$C$21, $C$9, 100%, $E$9)</f>
        <v>9.0202000000000009</v>
      </c>
      <c r="C151" s="14">
        <f>CHOOSE(CONTROL!$C$42, 9.0282, 9.0282) * CHOOSE(CONTROL!$C$21, $C$9, 100%, $E$9)</f>
        <v>9.0282</v>
      </c>
      <c r="D151" s="14">
        <f>CHOOSE(CONTROL!$C$42, 9.2321, 9.2321) * CHOOSE(CONTROL!$C$21, $C$9, 100%, $E$9)</f>
        <v>9.2321000000000009</v>
      </c>
      <c r="E151" s="14">
        <f>CHOOSE(CONTROL!$C$42, 9.2636, 9.2636) * CHOOSE(CONTROL!$C$21, $C$9, 100%, $E$9)</f>
        <v>9.2636000000000003</v>
      </c>
      <c r="F151" s="14">
        <f>CHOOSE(CONTROL!$C$42, 9.0018, 9.0018)*CHOOSE(CONTROL!$C$21, $C$9, 100%, $E$9)</f>
        <v>9.0017999999999994</v>
      </c>
      <c r="G151" s="14">
        <f>CHOOSE(CONTROL!$C$42, 9.0177, 9.0177)*CHOOSE(CONTROL!$C$21, $C$9, 100%, $E$9)</f>
        <v>9.0176999999999996</v>
      </c>
      <c r="H151" s="14">
        <f>CHOOSE(CONTROL!$C$42, 9.2522, 9.2522) * CHOOSE(CONTROL!$C$21, $C$9, 100%, $E$9)</f>
        <v>9.2522000000000002</v>
      </c>
      <c r="I151" s="14">
        <f>CHOOSE(CONTROL!$C$42, 9.0539, 9.0539)* CHOOSE(CONTROL!$C$21, $C$9, 100%, $E$9)</f>
        <v>9.0539000000000005</v>
      </c>
      <c r="J151" s="14">
        <f>CHOOSE(CONTROL!$C$42, 8.9948, 8.9948)* CHOOSE(CONTROL!$C$21, $C$9, 100%, $E$9)</f>
        <v>8.9947999999999997</v>
      </c>
      <c r="K151" s="53">
        <f>CHOOSE(CONTROL!$C$42, 9.05, 9.05) * CHOOSE(CONTROL!$C$21, $C$9, 100%, $E$9)</f>
        <v>9.0500000000000007</v>
      </c>
      <c r="L151" s="14">
        <f>CHOOSE(CONTROL!$C$42, 9.8392, 9.8392) * CHOOSE(CONTROL!$C$21, $C$9, 100%, $E$9)</f>
        <v>9.8391999999999999</v>
      </c>
      <c r="M151" s="14">
        <f>CHOOSE(CONTROL!$C$42, 8.8182, 8.8182) * CHOOSE(CONTROL!$C$21, $C$9, 100%, $E$9)</f>
        <v>8.8181999999999992</v>
      </c>
      <c r="N151" s="14">
        <f>CHOOSE(CONTROL!$C$42, 8.8338, 8.8338) * CHOOSE(CONTROL!$C$21, $C$9, 100%, $E$9)</f>
        <v>8.8338000000000001</v>
      </c>
      <c r="O151" s="14">
        <f>CHOOSE(CONTROL!$C$42, 9.0704, 9.0704) * CHOOSE(CONTROL!$C$21, $C$9, 100%, $E$9)</f>
        <v>9.0703999999999994</v>
      </c>
      <c r="P151" s="14">
        <f>CHOOSE(CONTROL!$C$42, 8.8756, 8.8756) * CHOOSE(CONTROL!$C$21, $C$9, 100%, $E$9)</f>
        <v>8.8756000000000004</v>
      </c>
      <c r="Q151" s="14">
        <f>CHOOSE(CONTROL!$C$42, 9.6651, 9.6651) * CHOOSE(CONTROL!$C$21, $C$9, 100%, $E$9)</f>
        <v>9.6651000000000007</v>
      </c>
      <c r="R151" s="14">
        <f>CHOOSE(CONTROL!$C$42, 10.2762, 10.2762) * CHOOSE(CONTROL!$C$21, $C$9, 100%, $E$9)</f>
        <v>10.276199999999999</v>
      </c>
      <c r="S151" s="14">
        <f>CHOOSE(CONTROL!$C$42, 8.6569, 8.6569) * CHOOSE(CONTROL!$C$21, $C$9, 100%, $E$9)</f>
        <v>8.6569000000000003</v>
      </c>
      <c r="T15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51" s="57">
        <f>(1000*CHOOSE(CONTROL!$C$42, 695, 695)*CHOOSE(CONTROL!$C$42, 0.5599, 0.5599)*CHOOSE(CONTROL!$C$42, 31, 31))/1000000</f>
        <v>12.063045499999998</v>
      </c>
      <c r="V151" s="57">
        <f>(1000*CHOOSE(CONTROL!$C$42, 500, 500)*CHOOSE(CONTROL!$C$42, 0.275, 0.275)*CHOOSE(CONTROL!$C$42, 31, 31))/1000000</f>
        <v>4.2625000000000002</v>
      </c>
      <c r="W151" s="57">
        <f>(1000*CHOOSE(CONTROL!$C$42, 0.1146, 0.1146)*CHOOSE(CONTROL!$C$42, 121.5, 121.5)*CHOOSE(CONTROL!$C$42, 31, 31))/1000000</f>
        <v>0.43164089999999994</v>
      </c>
      <c r="X151" s="57">
        <f>(31*0.1790888*245000/1000000)+(31*0.2374*100000/1000000)</f>
        <v>2.0961194359999999</v>
      </c>
      <c r="Y151" s="57"/>
      <c r="Z151" s="14"/>
      <c r="AA151" s="56"/>
      <c r="AB151" s="50">
        <f>(B151*194.205+C151*267.466+D151*133.845+E151*53.484+F151*40+G151*185+H151*0+I151*100+J151*300)/(194.205+267.466+133.845+53.484+0+40+185+100+300)</f>
        <v>9.0500830369701735</v>
      </c>
      <c r="AC151" s="45">
        <f>(M151*'RAP TEMPLATE-GAS AVAILABILITY'!O150+N151*'RAP TEMPLATE-GAS AVAILABILITY'!P150+O151*'RAP TEMPLATE-GAS AVAILABILITY'!Q150+P151*'RAP TEMPLATE-GAS AVAILABILITY'!R150)/('RAP TEMPLATE-GAS AVAILABILITY'!O150+'RAP TEMPLATE-GAS AVAILABILITY'!P150+'RAP TEMPLATE-GAS AVAILABILITY'!Q150+'RAP TEMPLATE-GAS AVAILABILITY'!R150)</f>
        <v>8.9008115107913675</v>
      </c>
    </row>
    <row r="152" spans="1:29" ht="15.75" x14ac:dyDescent="0.25">
      <c r="A152" s="13">
        <v>45505</v>
      </c>
      <c r="B152" s="14">
        <f>CHOOSE(CONTROL!$C$42, 8.5929, 8.5929) * CHOOSE(CONTROL!$C$21, $C$9, 100%, $E$9)</f>
        <v>8.5929000000000002</v>
      </c>
      <c r="C152" s="14">
        <f>CHOOSE(CONTROL!$C$42, 8.6009, 8.6009) * CHOOSE(CONTROL!$C$21, $C$9, 100%, $E$9)</f>
        <v>8.6008999999999993</v>
      </c>
      <c r="D152" s="14">
        <f>CHOOSE(CONTROL!$C$42, 8.8048, 8.8048) * CHOOSE(CONTROL!$C$21, $C$9, 100%, $E$9)</f>
        <v>8.8048000000000002</v>
      </c>
      <c r="E152" s="14">
        <f>CHOOSE(CONTROL!$C$42, 8.8363, 8.8363) * CHOOSE(CONTROL!$C$21, $C$9, 100%, $E$9)</f>
        <v>8.8362999999999996</v>
      </c>
      <c r="F152" s="14">
        <f>CHOOSE(CONTROL!$C$42, 8.5747, 8.5747)*CHOOSE(CONTROL!$C$21, $C$9, 100%, $E$9)</f>
        <v>8.5747</v>
      </c>
      <c r="G152" s="14">
        <f>CHOOSE(CONTROL!$C$42, 8.5907, 8.5907)*CHOOSE(CONTROL!$C$21, $C$9, 100%, $E$9)</f>
        <v>8.5907</v>
      </c>
      <c r="H152" s="14">
        <f>CHOOSE(CONTROL!$C$42, 8.8249, 8.8249) * CHOOSE(CONTROL!$C$21, $C$9, 100%, $E$9)</f>
        <v>8.8248999999999995</v>
      </c>
      <c r="I152" s="14">
        <f>CHOOSE(CONTROL!$C$42, 8.6252, 8.6252)* CHOOSE(CONTROL!$C$21, $C$9, 100%, $E$9)</f>
        <v>8.6251999999999995</v>
      </c>
      <c r="J152" s="14">
        <f>CHOOSE(CONTROL!$C$42, 8.5677, 8.5677)* CHOOSE(CONTROL!$C$21, $C$9, 100%, $E$9)</f>
        <v>8.5677000000000003</v>
      </c>
      <c r="K152" s="53">
        <f>CHOOSE(CONTROL!$C$42, 8.6213, 8.6213) * CHOOSE(CONTROL!$C$21, $C$9, 100%, $E$9)</f>
        <v>8.6212999999999997</v>
      </c>
      <c r="L152" s="14">
        <f>CHOOSE(CONTROL!$C$42, 9.4119, 9.4119) * CHOOSE(CONTROL!$C$21, $C$9, 100%, $E$9)</f>
        <v>9.4118999999999993</v>
      </c>
      <c r="M152" s="14">
        <f>CHOOSE(CONTROL!$C$42, 8.3999, 8.3999) * CHOOSE(CONTROL!$C$21, $C$9, 100%, $E$9)</f>
        <v>8.3999000000000006</v>
      </c>
      <c r="N152" s="14">
        <f>CHOOSE(CONTROL!$C$42, 8.4155, 8.4155) * CHOOSE(CONTROL!$C$21, $C$9, 100%, $E$9)</f>
        <v>8.4154999999999998</v>
      </c>
      <c r="O152" s="14">
        <f>CHOOSE(CONTROL!$C$42, 8.6518, 8.6518) * CHOOSE(CONTROL!$C$21, $C$9, 100%, $E$9)</f>
        <v>8.6517999999999997</v>
      </c>
      <c r="P152" s="14">
        <f>CHOOSE(CONTROL!$C$42, 8.4557, 8.4557) * CHOOSE(CONTROL!$C$21, $C$9, 100%, $E$9)</f>
        <v>8.4557000000000002</v>
      </c>
      <c r="Q152" s="14">
        <f>CHOOSE(CONTROL!$C$42, 9.2465, 9.2465) * CHOOSE(CONTROL!$C$21, $C$9, 100%, $E$9)</f>
        <v>9.2464999999999993</v>
      </c>
      <c r="R152" s="14">
        <f>CHOOSE(CONTROL!$C$42, 9.8566, 9.8566) * CHOOSE(CONTROL!$C$21, $C$9, 100%, $E$9)</f>
        <v>9.8566000000000003</v>
      </c>
      <c r="S152" s="14">
        <f>CHOOSE(CONTROL!$C$42, 8.2463, 8.2463) * CHOOSE(CONTROL!$C$21, $C$9, 100%, $E$9)</f>
        <v>8.2462999999999997</v>
      </c>
      <c r="T15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52" s="57">
        <f>(1000*CHOOSE(CONTROL!$C$42, 695, 695)*CHOOSE(CONTROL!$C$42, 0.5599, 0.5599)*CHOOSE(CONTROL!$C$42, 31, 31))/1000000</f>
        <v>12.063045499999998</v>
      </c>
      <c r="V152" s="57">
        <f>(1000*CHOOSE(CONTROL!$C$42, 500, 500)*CHOOSE(CONTROL!$C$42, 0.275, 0.275)*CHOOSE(CONTROL!$C$42, 31, 31))/1000000</f>
        <v>4.2625000000000002</v>
      </c>
      <c r="W152" s="57">
        <f>(1000*CHOOSE(CONTROL!$C$42, 0.1146, 0.1146)*CHOOSE(CONTROL!$C$42, 121.5, 121.5)*CHOOSE(CONTROL!$C$42, 31, 31))/1000000</f>
        <v>0.43164089999999994</v>
      </c>
      <c r="X152" s="57">
        <f>(31*0.1790888*245000/1000000)+(31*0.2374*100000/1000000)</f>
        <v>2.0961194359999999</v>
      </c>
      <c r="Y152" s="57"/>
      <c r="Z152" s="14"/>
      <c r="AA152" s="56"/>
      <c r="AB152" s="50">
        <f>(B152*194.205+C152*267.466+D152*133.845+E152*53.484+F152*40+G152*185+H152*0+I152*100+J152*300)/(194.205+267.466+133.845+53.484+0+40+185+100+300)</f>
        <v>8.6227700856357927</v>
      </c>
      <c r="AC152" s="45">
        <f>(M152*'RAP TEMPLATE-GAS AVAILABILITY'!O151+N152*'RAP TEMPLATE-GAS AVAILABILITY'!P151+O152*'RAP TEMPLATE-GAS AVAILABILITY'!Q151+P152*'RAP TEMPLATE-GAS AVAILABILITY'!R151)/('RAP TEMPLATE-GAS AVAILABILITY'!O151+'RAP TEMPLATE-GAS AVAILABILITY'!P151+'RAP TEMPLATE-GAS AVAILABILITY'!Q151+'RAP TEMPLATE-GAS AVAILABILITY'!R151)</f>
        <v>8.4821971223021571</v>
      </c>
    </row>
    <row r="153" spans="1:29" ht="15.75" x14ac:dyDescent="0.25">
      <c r="A153" s="13">
        <v>45536</v>
      </c>
      <c r="B153" s="14">
        <f>CHOOSE(CONTROL!$C$42, 8.0643, 8.0643) * CHOOSE(CONTROL!$C$21, $C$9, 100%, $E$9)</f>
        <v>8.0642999999999994</v>
      </c>
      <c r="C153" s="14">
        <f>CHOOSE(CONTROL!$C$42, 8.0723, 8.0723) * CHOOSE(CONTROL!$C$21, $C$9, 100%, $E$9)</f>
        <v>8.0723000000000003</v>
      </c>
      <c r="D153" s="14">
        <f>CHOOSE(CONTROL!$C$42, 8.2762, 8.2762) * CHOOSE(CONTROL!$C$21, $C$9, 100%, $E$9)</f>
        <v>8.2761999999999993</v>
      </c>
      <c r="E153" s="14">
        <f>CHOOSE(CONTROL!$C$42, 8.3077, 8.3077) * CHOOSE(CONTROL!$C$21, $C$9, 100%, $E$9)</f>
        <v>8.3077000000000005</v>
      </c>
      <c r="F153" s="14">
        <f>CHOOSE(CONTROL!$C$42, 8.0462, 8.0462)*CHOOSE(CONTROL!$C$21, $C$9, 100%, $E$9)</f>
        <v>8.0462000000000007</v>
      </c>
      <c r="G153" s="14">
        <f>CHOOSE(CONTROL!$C$42, 8.0621, 8.0621)*CHOOSE(CONTROL!$C$21, $C$9, 100%, $E$9)</f>
        <v>8.0620999999999992</v>
      </c>
      <c r="H153" s="14">
        <f>CHOOSE(CONTROL!$C$42, 8.2963, 8.2963) * CHOOSE(CONTROL!$C$21, $C$9, 100%, $E$9)</f>
        <v>8.2963000000000005</v>
      </c>
      <c r="I153" s="14">
        <f>CHOOSE(CONTROL!$C$42, 8.095, 8.095)* CHOOSE(CONTROL!$C$21, $C$9, 100%, $E$9)</f>
        <v>8.0950000000000006</v>
      </c>
      <c r="J153" s="14">
        <f>CHOOSE(CONTROL!$C$42, 8.0392, 8.0392)* CHOOSE(CONTROL!$C$21, $C$9, 100%, $E$9)</f>
        <v>8.0391999999999992</v>
      </c>
      <c r="K153" s="53">
        <f>CHOOSE(CONTROL!$C$42, 8.0911, 8.0911) * CHOOSE(CONTROL!$C$21, $C$9, 100%, $E$9)</f>
        <v>8.0911000000000008</v>
      </c>
      <c r="L153" s="14">
        <f>CHOOSE(CONTROL!$C$42, 8.8833, 8.8833) * CHOOSE(CONTROL!$C$21, $C$9, 100%, $E$9)</f>
        <v>8.8833000000000002</v>
      </c>
      <c r="M153" s="14">
        <f>CHOOSE(CONTROL!$C$42, 7.8821, 7.8821) * CHOOSE(CONTROL!$C$21, $C$9, 100%, $E$9)</f>
        <v>7.8821000000000003</v>
      </c>
      <c r="N153" s="14">
        <f>CHOOSE(CONTROL!$C$42, 7.8978, 7.8978) * CHOOSE(CONTROL!$C$21, $C$9, 100%, $E$9)</f>
        <v>7.8978000000000002</v>
      </c>
      <c r="O153" s="14">
        <f>CHOOSE(CONTROL!$C$42, 8.134, 8.134) * CHOOSE(CONTROL!$C$21, $C$9, 100%, $E$9)</f>
        <v>8.1340000000000003</v>
      </c>
      <c r="P153" s="14">
        <f>CHOOSE(CONTROL!$C$42, 7.9364, 7.9364) * CHOOSE(CONTROL!$C$21, $C$9, 100%, $E$9)</f>
        <v>7.9363999999999999</v>
      </c>
      <c r="Q153" s="14">
        <f>CHOOSE(CONTROL!$C$42, 8.7287, 8.7287) * CHOOSE(CONTROL!$C$21, $C$9, 100%, $E$9)</f>
        <v>8.7286999999999999</v>
      </c>
      <c r="R153" s="14">
        <f>CHOOSE(CONTROL!$C$42, 9.3375, 9.3375) * CHOOSE(CONTROL!$C$21, $C$9, 100%, $E$9)</f>
        <v>9.3375000000000004</v>
      </c>
      <c r="S153" s="14">
        <f>CHOOSE(CONTROL!$C$42, 7.7383, 7.7383) * CHOOSE(CONTROL!$C$21, $C$9, 100%, $E$9)</f>
        <v>7.7382999999999997</v>
      </c>
      <c r="T15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53" s="57">
        <f>(1000*CHOOSE(CONTROL!$C$42, 695, 695)*CHOOSE(CONTROL!$C$42, 0.5599, 0.5599)*CHOOSE(CONTROL!$C$42, 30, 30))/1000000</f>
        <v>11.673914999999997</v>
      </c>
      <c r="V153" s="57">
        <f>(1000*CHOOSE(CONTROL!$C$42, 500, 500)*CHOOSE(CONTROL!$C$42, 0.275, 0.275)*CHOOSE(CONTROL!$C$42, 30, 30))/1000000</f>
        <v>4.125</v>
      </c>
      <c r="W153" s="57">
        <f>(1000*CHOOSE(CONTROL!$C$42, 0.1146, 0.1146)*CHOOSE(CONTROL!$C$42, 121.5, 121.5)*CHOOSE(CONTROL!$C$42, 30, 30))/1000000</f>
        <v>0.417717</v>
      </c>
      <c r="X153" s="57">
        <f>(30*0.1790888*245000/1000000)+(30*0.2374*100000/1000000)</f>
        <v>2.0285026799999999</v>
      </c>
      <c r="Y153" s="57"/>
      <c r="Z153" s="14"/>
      <c r="AA153" s="56"/>
      <c r="AB153" s="50">
        <f>(B153*194.205+C153*267.466+D153*133.845+E153*53.484+F153*40+G153*185+H153*0+I153*100+J153*300)/(194.205+267.466+133.845+53.484+0+40+185+100+300)</f>
        <v>8.094071184536892</v>
      </c>
      <c r="AC153" s="45">
        <f>(M153*'RAP TEMPLATE-GAS AVAILABILITY'!O152+N153*'RAP TEMPLATE-GAS AVAILABILITY'!P152+O153*'RAP TEMPLATE-GAS AVAILABILITY'!Q152+P153*'RAP TEMPLATE-GAS AVAILABILITY'!R152)/('RAP TEMPLATE-GAS AVAILABILITY'!O152+'RAP TEMPLATE-GAS AVAILABILITY'!P152+'RAP TEMPLATE-GAS AVAILABILITY'!Q152+'RAP TEMPLATE-GAS AVAILABILITY'!R152)</f>
        <v>7.9642043165467626</v>
      </c>
    </row>
    <row r="154" spans="1:29" ht="15.75" x14ac:dyDescent="0.25">
      <c r="A154" s="13">
        <v>45566</v>
      </c>
      <c r="B154" s="14">
        <f>CHOOSE(CONTROL!$C$42, 7.9153, 7.9153) * CHOOSE(CONTROL!$C$21, $C$9, 100%, $E$9)</f>
        <v>7.9153000000000002</v>
      </c>
      <c r="C154" s="14">
        <f>CHOOSE(CONTROL!$C$42, 7.9206, 7.9206) * CHOOSE(CONTROL!$C$21, $C$9, 100%, $E$9)</f>
        <v>7.9206000000000003</v>
      </c>
      <c r="D154" s="14">
        <f>CHOOSE(CONTROL!$C$42, 8.1295, 8.1295) * CHOOSE(CONTROL!$C$21, $C$9, 100%, $E$9)</f>
        <v>8.1295000000000002</v>
      </c>
      <c r="E154" s="14">
        <f>CHOOSE(CONTROL!$C$42, 8.1586, 8.1586) * CHOOSE(CONTROL!$C$21, $C$9, 100%, $E$9)</f>
        <v>8.1585999999999999</v>
      </c>
      <c r="F154" s="14">
        <f>CHOOSE(CONTROL!$C$42, 7.8992, 7.8992)*CHOOSE(CONTROL!$C$21, $C$9, 100%, $E$9)</f>
        <v>7.8992000000000004</v>
      </c>
      <c r="G154" s="14">
        <f>CHOOSE(CONTROL!$C$42, 7.9149, 7.9149)*CHOOSE(CONTROL!$C$21, $C$9, 100%, $E$9)</f>
        <v>7.9149000000000003</v>
      </c>
      <c r="H154" s="14">
        <f>CHOOSE(CONTROL!$C$42, 8.1491, 8.1491) * CHOOSE(CONTROL!$C$21, $C$9, 100%, $E$9)</f>
        <v>8.1491000000000007</v>
      </c>
      <c r="I154" s="14">
        <f>CHOOSE(CONTROL!$C$42, 7.9472, 7.9472)* CHOOSE(CONTROL!$C$21, $C$9, 100%, $E$9)</f>
        <v>7.9471999999999996</v>
      </c>
      <c r="J154" s="14">
        <f>CHOOSE(CONTROL!$C$42, 7.8922, 7.8922)* CHOOSE(CONTROL!$C$21, $C$9, 100%, $E$9)</f>
        <v>7.8921999999999999</v>
      </c>
      <c r="K154" s="53">
        <f>CHOOSE(CONTROL!$C$42, 7.9434, 7.9434) * CHOOSE(CONTROL!$C$21, $C$9, 100%, $E$9)</f>
        <v>7.9433999999999996</v>
      </c>
      <c r="L154" s="14">
        <f>CHOOSE(CONTROL!$C$42, 8.7361, 8.7361) * CHOOSE(CONTROL!$C$21, $C$9, 100%, $E$9)</f>
        <v>8.7361000000000004</v>
      </c>
      <c r="M154" s="14">
        <f>CHOOSE(CONTROL!$C$42, 7.7382, 7.7382) * CHOOSE(CONTROL!$C$21, $C$9, 100%, $E$9)</f>
        <v>7.7382</v>
      </c>
      <c r="N154" s="14">
        <f>CHOOSE(CONTROL!$C$42, 7.7536, 7.7536) * CHOOSE(CONTROL!$C$21, $C$9, 100%, $E$9)</f>
        <v>7.7535999999999996</v>
      </c>
      <c r="O154" s="14">
        <f>CHOOSE(CONTROL!$C$42, 7.9898, 7.9898) * CHOOSE(CONTROL!$C$21, $C$9, 100%, $E$9)</f>
        <v>7.9897999999999998</v>
      </c>
      <c r="P154" s="14">
        <f>CHOOSE(CONTROL!$C$42, 7.7917, 7.7917) * CHOOSE(CONTROL!$C$21, $C$9, 100%, $E$9)</f>
        <v>7.7916999999999996</v>
      </c>
      <c r="Q154" s="14">
        <f>CHOOSE(CONTROL!$C$42, 8.5845, 8.5845) * CHOOSE(CONTROL!$C$21, $C$9, 100%, $E$9)</f>
        <v>8.5845000000000002</v>
      </c>
      <c r="R154" s="14">
        <f>CHOOSE(CONTROL!$C$42, 9.193, 9.193) * CHOOSE(CONTROL!$C$21, $C$9, 100%, $E$9)</f>
        <v>9.1929999999999996</v>
      </c>
      <c r="S154" s="14">
        <f>CHOOSE(CONTROL!$C$42, 7.5968, 7.5968) * CHOOSE(CONTROL!$C$21, $C$9, 100%, $E$9)</f>
        <v>7.5968</v>
      </c>
      <c r="T15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54" s="57">
        <f>(1000*CHOOSE(CONTROL!$C$42, 695, 695)*CHOOSE(CONTROL!$C$42, 0.5599, 0.5599)*CHOOSE(CONTROL!$C$42, 31, 31))/1000000</f>
        <v>12.063045499999998</v>
      </c>
      <c r="V154" s="57">
        <f>(1000*CHOOSE(CONTROL!$C$42, 500, 500)*CHOOSE(CONTROL!$C$42, 0.275, 0.275)*CHOOSE(CONTROL!$C$42, 31, 31))/1000000</f>
        <v>4.2625000000000002</v>
      </c>
      <c r="W154" s="57">
        <f>(1000*CHOOSE(CONTROL!$C$42, 0.1146, 0.1146)*CHOOSE(CONTROL!$C$42, 121.5, 121.5)*CHOOSE(CONTROL!$C$42, 31, 31))/1000000</f>
        <v>0.43164089999999994</v>
      </c>
      <c r="X154" s="57">
        <f>(31*0.1790888*245000/1000000)+(31*0.2374*100000/1000000)</f>
        <v>2.0961194359999999</v>
      </c>
      <c r="Y154" s="57"/>
      <c r="Z154" s="14"/>
      <c r="AA154" s="56"/>
      <c r="AB154" s="50">
        <f>(B154*131.881+C154*277.167+D154*79.08+E154*125.872+F154*40+G154*185+H154*0+I154*100+J154*300)/(131.881+277.167+79.08+125.872+0+40+185+100+300)</f>
        <v>7.9512762539951565</v>
      </c>
      <c r="AC154" s="45">
        <f>(M154*'RAP TEMPLATE-GAS AVAILABILITY'!O153+N154*'RAP TEMPLATE-GAS AVAILABILITY'!P153+O154*'RAP TEMPLATE-GAS AVAILABILITY'!Q153+P154*'RAP TEMPLATE-GAS AVAILABILITY'!R153)/('RAP TEMPLATE-GAS AVAILABILITY'!O153+'RAP TEMPLATE-GAS AVAILABILITY'!P153+'RAP TEMPLATE-GAS AVAILABILITY'!Q153+'RAP TEMPLATE-GAS AVAILABILITY'!R153)</f>
        <v>7.820035971223021</v>
      </c>
    </row>
    <row r="155" spans="1:29" ht="15.75" x14ac:dyDescent="0.25">
      <c r="A155" s="13">
        <v>45597</v>
      </c>
      <c r="B155" s="14">
        <f>CHOOSE(CONTROL!$C$42, 8.1398, 8.1398) * CHOOSE(CONTROL!$C$21, $C$9, 100%, $E$9)</f>
        <v>8.1397999999999993</v>
      </c>
      <c r="C155" s="14">
        <f>CHOOSE(CONTROL!$C$42, 8.1449, 8.1449) * CHOOSE(CONTROL!$C$21, $C$9, 100%, $E$9)</f>
        <v>8.1448999999999998</v>
      </c>
      <c r="D155" s="14">
        <f>CHOOSE(CONTROL!$C$42, 8.2087, 8.2087) * CHOOSE(CONTROL!$C$21, $C$9, 100%, $E$9)</f>
        <v>8.2087000000000003</v>
      </c>
      <c r="E155" s="14">
        <f>CHOOSE(CONTROL!$C$42, 8.2428, 8.2428) * CHOOSE(CONTROL!$C$21, $C$9, 100%, $E$9)</f>
        <v>8.2428000000000008</v>
      </c>
      <c r="F155" s="14">
        <f>CHOOSE(CONTROL!$C$42, 8.1422, 8.1422)*CHOOSE(CONTROL!$C$21, $C$9, 100%, $E$9)</f>
        <v>8.1422000000000008</v>
      </c>
      <c r="G155" s="14">
        <f>CHOOSE(CONTROL!$C$42, 8.1582, 8.1582)*CHOOSE(CONTROL!$C$21, $C$9, 100%, $E$9)</f>
        <v>8.1582000000000008</v>
      </c>
      <c r="H155" s="14">
        <f>CHOOSE(CONTROL!$C$42, 8.232, 8.232) * CHOOSE(CONTROL!$C$21, $C$9, 100%, $E$9)</f>
        <v>8.2319999999999993</v>
      </c>
      <c r="I155" s="14">
        <f>CHOOSE(CONTROL!$C$42, 8.1781, 8.1781)* CHOOSE(CONTROL!$C$21, $C$9, 100%, $E$9)</f>
        <v>8.1781000000000006</v>
      </c>
      <c r="J155" s="14">
        <f>CHOOSE(CONTROL!$C$42, 8.1352, 8.1352)* CHOOSE(CONTROL!$C$21, $C$9, 100%, $E$9)</f>
        <v>8.1351999999999993</v>
      </c>
      <c r="K155" s="53">
        <f>CHOOSE(CONTROL!$C$42, 8.1743, 8.1743) * CHOOSE(CONTROL!$C$21, $C$9, 100%, $E$9)</f>
        <v>8.1743000000000006</v>
      </c>
      <c r="L155" s="14">
        <f>CHOOSE(CONTROL!$C$42, 8.819, 8.819) * CHOOSE(CONTROL!$C$21, $C$9, 100%, $E$9)</f>
        <v>8.8190000000000008</v>
      </c>
      <c r="M155" s="14">
        <f>CHOOSE(CONTROL!$C$42, 7.9762, 7.9762) * CHOOSE(CONTROL!$C$21, $C$9, 100%, $E$9)</f>
        <v>7.9762000000000004</v>
      </c>
      <c r="N155" s="14">
        <f>CHOOSE(CONTROL!$C$42, 7.9919, 7.9919) * CHOOSE(CONTROL!$C$21, $C$9, 100%, $E$9)</f>
        <v>7.9919000000000002</v>
      </c>
      <c r="O155" s="14">
        <f>CHOOSE(CONTROL!$C$42, 8.071, 8.071) * CHOOSE(CONTROL!$C$21, $C$9, 100%, $E$9)</f>
        <v>8.0709999999999997</v>
      </c>
      <c r="P155" s="14">
        <f>CHOOSE(CONTROL!$C$42, 8.0178, 8.0178) * CHOOSE(CONTROL!$C$21, $C$9, 100%, $E$9)</f>
        <v>8.0177999999999994</v>
      </c>
      <c r="Q155" s="14">
        <f>CHOOSE(CONTROL!$C$42, 8.6657, 8.6657) * CHOOSE(CONTROL!$C$21, $C$9, 100%, $E$9)</f>
        <v>8.6656999999999993</v>
      </c>
      <c r="R155" s="14">
        <f>CHOOSE(CONTROL!$C$42, 9.2744, 9.2744) * CHOOSE(CONTROL!$C$21, $C$9, 100%, $E$9)</f>
        <v>9.2744</v>
      </c>
      <c r="S155" s="14">
        <f>CHOOSE(CONTROL!$C$42, 7.813, 7.813) * CHOOSE(CONTROL!$C$21, $C$9, 100%, $E$9)</f>
        <v>7.8129999999999997</v>
      </c>
      <c r="T15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55" s="57">
        <f>(1000*CHOOSE(CONTROL!$C$42, 695, 695)*CHOOSE(CONTROL!$C$42, 0.5599, 0.5599)*CHOOSE(CONTROL!$C$42, 30, 30))/1000000</f>
        <v>11.673914999999997</v>
      </c>
      <c r="V155" s="57">
        <f>(1000*CHOOSE(CONTROL!$C$42, 500, 500)*CHOOSE(CONTROL!$C$42, 0.275, 0.275)*CHOOSE(CONTROL!$C$42, 30, 30))/1000000</f>
        <v>4.125</v>
      </c>
      <c r="W155" s="57">
        <f>(1000*CHOOSE(CONTROL!$C$42, 0.1146, 0.1146)*CHOOSE(CONTROL!$C$42, 121.5, 121.5)*CHOOSE(CONTROL!$C$42, 30, 30))/1000000</f>
        <v>0.417717</v>
      </c>
      <c r="X155" s="57">
        <f>(30*0.1790888*100000/1000000)+(30*0.2374*100000/1000000)</f>
        <v>1.2494664</v>
      </c>
      <c r="Y155" s="57"/>
      <c r="Z155" s="14"/>
      <c r="AA155" s="56"/>
      <c r="AB155" s="50">
        <f>(B155*122.58+C155*297.941+D155*89.177+E155*40.302+F155*40+G155*160+H155*0+I155*100+J155*300)/(122.58+297.941+89.177+40.302+0+40+160+100+300)</f>
        <v>8.1548477394782601</v>
      </c>
      <c r="AC155" s="45">
        <f>(M155*'RAP TEMPLATE-GAS AVAILABILITY'!O154+N155*'RAP TEMPLATE-GAS AVAILABILITY'!P154+O155*'RAP TEMPLATE-GAS AVAILABILITY'!Q154+P155*'RAP TEMPLATE-GAS AVAILABILITY'!R154)/('RAP TEMPLATE-GAS AVAILABILITY'!O154+'RAP TEMPLATE-GAS AVAILABILITY'!P154+'RAP TEMPLATE-GAS AVAILABILITY'!Q154+'RAP TEMPLATE-GAS AVAILABILITY'!R154)</f>
        <v>8.0260561151079131</v>
      </c>
    </row>
    <row r="156" spans="1:29" ht="15.75" x14ac:dyDescent="0.25">
      <c r="A156" s="13">
        <v>45627</v>
      </c>
      <c r="B156" s="14">
        <f>CHOOSE(CONTROL!$C$42, 8.712, 8.712) * CHOOSE(CONTROL!$C$21, $C$9, 100%, $E$9)</f>
        <v>8.7119999999999997</v>
      </c>
      <c r="C156" s="14">
        <f>CHOOSE(CONTROL!$C$42, 8.7171, 8.7171) * CHOOSE(CONTROL!$C$21, $C$9, 100%, $E$9)</f>
        <v>8.7171000000000003</v>
      </c>
      <c r="D156" s="14">
        <f>CHOOSE(CONTROL!$C$42, 8.7809, 8.7809) * CHOOSE(CONTROL!$C$21, $C$9, 100%, $E$9)</f>
        <v>8.7809000000000008</v>
      </c>
      <c r="E156" s="14">
        <f>CHOOSE(CONTROL!$C$42, 8.815, 8.815) * CHOOSE(CONTROL!$C$21, $C$9, 100%, $E$9)</f>
        <v>8.8149999999999995</v>
      </c>
      <c r="F156" s="14">
        <f>CHOOSE(CONTROL!$C$42, 8.7166, 8.7166)*CHOOSE(CONTROL!$C$21, $C$9, 100%, $E$9)</f>
        <v>8.7165999999999997</v>
      </c>
      <c r="G156" s="14">
        <f>CHOOSE(CONTROL!$C$42, 8.7332, 8.7332)*CHOOSE(CONTROL!$C$21, $C$9, 100%, $E$9)</f>
        <v>8.7332000000000001</v>
      </c>
      <c r="H156" s="14">
        <f>CHOOSE(CONTROL!$C$42, 8.8042, 8.8042) * CHOOSE(CONTROL!$C$21, $C$9, 100%, $E$9)</f>
        <v>8.8041999999999998</v>
      </c>
      <c r="I156" s="14">
        <f>CHOOSE(CONTROL!$C$42, 8.7521, 8.7521)* CHOOSE(CONTROL!$C$21, $C$9, 100%, $E$9)</f>
        <v>8.7521000000000004</v>
      </c>
      <c r="J156" s="14">
        <f>CHOOSE(CONTROL!$C$42, 8.7096, 8.7096)* CHOOSE(CONTROL!$C$21, $C$9, 100%, $E$9)</f>
        <v>8.7096</v>
      </c>
      <c r="K156" s="53">
        <f>CHOOSE(CONTROL!$C$42, 8.7482, 8.7482) * CHOOSE(CONTROL!$C$21, $C$9, 100%, $E$9)</f>
        <v>8.7482000000000006</v>
      </c>
      <c r="L156" s="14">
        <f>CHOOSE(CONTROL!$C$42, 9.3912, 9.3912) * CHOOSE(CONTROL!$C$21, $C$9, 100%, $E$9)</f>
        <v>9.3911999999999995</v>
      </c>
      <c r="M156" s="14">
        <f>CHOOSE(CONTROL!$C$42, 8.5389, 8.5389) * CHOOSE(CONTROL!$C$21, $C$9, 100%, $E$9)</f>
        <v>8.5388999999999999</v>
      </c>
      <c r="N156" s="14">
        <f>CHOOSE(CONTROL!$C$42, 8.5551, 8.5551) * CHOOSE(CONTROL!$C$21, $C$9, 100%, $E$9)</f>
        <v>8.5550999999999995</v>
      </c>
      <c r="O156" s="14">
        <f>CHOOSE(CONTROL!$C$42, 8.6315, 8.6315) * CHOOSE(CONTROL!$C$21, $C$9, 100%, $E$9)</f>
        <v>8.6315000000000008</v>
      </c>
      <c r="P156" s="14">
        <f>CHOOSE(CONTROL!$C$42, 8.58, 8.58) * CHOOSE(CONTROL!$C$21, $C$9, 100%, $E$9)</f>
        <v>8.58</v>
      </c>
      <c r="Q156" s="14">
        <f>CHOOSE(CONTROL!$C$42, 9.2262, 9.2262) * CHOOSE(CONTROL!$C$21, $C$9, 100%, $E$9)</f>
        <v>9.2262000000000004</v>
      </c>
      <c r="R156" s="14">
        <f>CHOOSE(CONTROL!$C$42, 9.8362, 9.8362) * CHOOSE(CONTROL!$C$21, $C$9, 100%, $E$9)</f>
        <v>9.8361999999999998</v>
      </c>
      <c r="S156" s="14">
        <f>CHOOSE(CONTROL!$C$42, 8.3628, 8.3628) * CHOOSE(CONTROL!$C$21, $C$9, 100%, $E$9)</f>
        <v>8.3628</v>
      </c>
      <c r="T15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56" s="57">
        <f>(1000*CHOOSE(CONTROL!$C$42, 695, 695)*CHOOSE(CONTROL!$C$42, 0.5599, 0.5599)*CHOOSE(CONTROL!$C$42, 31, 31))/1000000</f>
        <v>12.063045499999998</v>
      </c>
      <c r="V156" s="57">
        <f>(1000*CHOOSE(CONTROL!$C$42, 500, 500)*CHOOSE(CONTROL!$C$42, 0.275, 0.275)*CHOOSE(CONTROL!$C$42, 31, 31))/1000000</f>
        <v>4.2625000000000002</v>
      </c>
      <c r="W156" s="57">
        <f>(1000*CHOOSE(CONTROL!$C$42, 0.1146, 0.1146)*CHOOSE(CONTROL!$C$42, 121.5, 121.5)*CHOOSE(CONTROL!$C$42, 31, 31))/1000000</f>
        <v>0.43164089999999994</v>
      </c>
      <c r="X156" s="57">
        <f>(31*0.1790888*100000/1000000)+(31*0.2374*100000/1000000)</f>
        <v>1.2911152800000001</v>
      </c>
      <c r="Y156" s="57"/>
      <c r="Z156" s="14"/>
      <c r="AA156" s="56"/>
      <c r="AB156" s="50">
        <f>(B156*122.58+C156*297.941+D156*89.177+E156*40.302+F156*40+G156*160+H156*0+I156*100+J156*300)/(122.58+297.941+89.177+40.302+0+40+160+100+300)</f>
        <v>8.7282442612173909</v>
      </c>
      <c r="AC156" s="45">
        <f>(M156*'RAP TEMPLATE-GAS AVAILABILITY'!O155+N156*'RAP TEMPLATE-GAS AVAILABILITY'!P155+O156*'RAP TEMPLATE-GAS AVAILABILITY'!Q155+P156*'RAP TEMPLATE-GAS AVAILABILITY'!R155)/('RAP TEMPLATE-GAS AVAILABILITY'!O155+'RAP TEMPLATE-GAS AVAILABILITY'!P155+'RAP TEMPLATE-GAS AVAILABILITY'!Q155+'RAP TEMPLATE-GAS AVAILABILITY'!R155)</f>
        <v>8.5877158273381298</v>
      </c>
    </row>
    <row r="157" spans="1:29" ht="15.75" x14ac:dyDescent="0.25">
      <c r="A157" s="13">
        <v>45658</v>
      </c>
      <c r="B157" s="14">
        <f>CHOOSE(CONTROL!$C$42, 9.2539, 9.2539) * CHOOSE(CONTROL!$C$21, $C$9, 100%, $E$9)</f>
        <v>9.2538999999999998</v>
      </c>
      <c r="C157" s="14">
        <f>CHOOSE(CONTROL!$C$42, 9.259, 9.259) * CHOOSE(CONTROL!$C$21, $C$9, 100%, $E$9)</f>
        <v>9.2590000000000003</v>
      </c>
      <c r="D157" s="14">
        <f>CHOOSE(CONTROL!$C$42, 9.3254, 9.3254) * CHOOSE(CONTROL!$C$21, $C$9, 100%, $E$9)</f>
        <v>9.3254000000000001</v>
      </c>
      <c r="E157" s="14">
        <f>CHOOSE(CONTROL!$C$42, 9.3595, 9.3595) * CHOOSE(CONTROL!$C$21, $C$9, 100%, $E$9)</f>
        <v>9.3595000000000006</v>
      </c>
      <c r="F157" s="14">
        <f>CHOOSE(CONTROL!$C$42, 9.2412, 9.2412)*CHOOSE(CONTROL!$C$21, $C$9, 100%, $E$9)</f>
        <v>9.2411999999999992</v>
      </c>
      <c r="G157" s="14">
        <f>CHOOSE(CONTROL!$C$42, 9.2567, 9.2567)*CHOOSE(CONTROL!$C$21, $C$9, 100%, $E$9)</f>
        <v>9.2567000000000004</v>
      </c>
      <c r="H157" s="14">
        <f>CHOOSE(CONTROL!$C$42, 9.3487, 9.3487) * CHOOSE(CONTROL!$C$21, $C$9, 100%, $E$9)</f>
        <v>9.3486999999999991</v>
      </c>
      <c r="I157" s="14">
        <f>CHOOSE(CONTROL!$C$42, 9.2905, 9.2905)* CHOOSE(CONTROL!$C$21, $C$9, 100%, $E$9)</f>
        <v>9.2904999999999998</v>
      </c>
      <c r="J157" s="14">
        <f>CHOOSE(CONTROL!$C$42, 9.2342, 9.2342)* CHOOSE(CONTROL!$C$21, $C$9, 100%, $E$9)</f>
        <v>9.2341999999999995</v>
      </c>
      <c r="K157" s="53">
        <f>CHOOSE(CONTROL!$C$42, 9.2866, 9.2866) * CHOOSE(CONTROL!$C$21, $C$9, 100%, $E$9)</f>
        <v>9.2866</v>
      </c>
      <c r="L157" s="14">
        <f>CHOOSE(CONTROL!$C$42, 9.9357, 9.9357) * CHOOSE(CONTROL!$C$21, $C$9, 100%, $E$9)</f>
        <v>9.9357000000000006</v>
      </c>
      <c r="M157" s="14">
        <f>CHOOSE(CONTROL!$C$42, 9.0527, 9.0527) * CHOOSE(CONTROL!$C$21, $C$9, 100%, $E$9)</f>
        <v>9.0526999999999997</v>
      </c>
      <c r="N157" s="14">
        <f>CHOOSE(CONTROL!$C$42, 9.0679, 9.0679) * CHOOSE(CONTROL!$C$21, $C$9, 100%, $E$9)</f>
        <v>9.0678999999999998</v>
      </c>
      <c r="O157" s="14">
        <f>CHOOSE(CONTROL!$C$42, 9.1648, 9.1648) * CHOOSE(CONTROL!$C$21, $C$9, 100%, $E$9)</f>
        <v>9.1647999999999996</v>
      </c>
      <c r="P157" s="14">
        <f>CHOOSE(CONTROL!$C$42, 9.1073, 9.1073) * CHOOSE(CONTROL!$C$21, $C$9, 100%, $E$9)</f>
        <v>9.1073000000000004</v>
      </c>
      <c r="Q157" s="14">
        <f>CHOOSE(CONTROL!$C$42, 9.7595, 9.7595) * CHOOSE(CONTROL!$C$21, $C$9, 100%, $E$9)</f>
        <v>9.7594999999999992</v>
      </c>
      <c r="R157" s="14">
        <f>CHOOSE(CONTROL!$C$42, 10.3709, 10.3709) * CHOOSE(CONTROL!$C$21, $C$9, 100%, $E$9)</f>
        <v>10.370900000000001</v>
      </c>
      <c r="S157" s="14">
        <f>CHOOSE(CONTROL!$C$42, 8.8835, 8.8835) * CHOOSE(CONTROL!$C$21, $C$9, 100%, $E$9)</f>
        <v>8.8834999999999997</v>
      </c>
      <c r="T15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57" s="57">
        <f>(1000*CHOOSE(CONTROL!$C$42, 695, 695)*CHOOSE(CONTROL!$C$42, 0.5599, 0.5599)*CHOOSE(CONTROL!$C$42, 31, 31))/1000000</f>
        <v>12.063045499999998</v>
      </c>
      <c r="V157" s="57">
        <f>(1000*CHOOSE(CONTROL!$C$42, 500, 500)*CHOOSE(CONTROL!$C$42, 0.275, 0.275)*CHOOSE(CONTROL!$C$42, 31, 31))/1000000</f>
        <v>4.2625000000000002</v>
      </c>
      <c r="W157" s="57">
        <f>(1000*CHOOSE(CONTROL!$C$42, 0.1146, 0.1146)*CHOOSE(CONTROL!$C$42, 121.5, 121.5)*CHOOSE(CONTROL!$C$42, 31, 31))/1000000</f>
        <v>0.43164089999999994</v>
      </c>
      <c r="X157" s="57">
        <f>(31*0.1790888*100000/1000000)+(31*0.2374*100000/1000000)</f>
        <v>1.2911152800000001</v>
      </c>
      <c r="Y157" s="57"/>
      <c r="Z157" s="14"/>
      <c r="AA157" s="56"/>
      <c r="AB157" s="50">
        <f>(B157*122.58+C157*297.941+D157*89.177+E157*40.302+F157*40+G157*160+H157*0+I157*100+J157*300)/(122.58+297.941+89.177+40.302+0+40+160+100+300)</f>
        <v>9.2624578659130439</v>
      </c>
      <c r="AC157" s="45">
        <f>(M157*'RAP TEMPLATE-GAS AVAILABILITY'!O156+N157*'RAP TEMPLATE-GAS AVAILABILITY'!P156+O157*'RAP TEMPLATE-GAS AVAILABILITY'!Q156+P157*'RAP TEMPLATE-GAS AVAILABILITY'!R156)/('RAP TEMPLATE-GAS AVAILABILITY'!O156+'RAP TEMPLATE-GAS AVAILABILITY'!P156+'RAP TEMPLATE-GAS AVAILABILITY'!Q156+'RAP TEMPLATE-GAS AVAILABILITY'!R156)</f>
        <v>9.1122388489208621</v>
      </c>
    </row>
    <row r="158" spans="1:29" ht="15.75" x14ac:dyDescent="0.25">
      <c r="A158" s="13">
        <v>45689</v>
      </c>
      <c r="B158" s="14">
        <f>CHOOSE(CONTROL!$C$42, 9.4378, 9.4378) * CHOOSE(CONTROL!$C$21, $C$9, 100%, $E$9)</f>
        <v>9.4377999999999993</v>
      </c>
      <c r="C158" s="14">
        <f>CHOOSE(CONTROL!$C$42, 9.4429, 9.4429) * CHOOSE(CONTROL!$C$21, $C$9, 100%, $E$9)</f>
        <v>9.4428999999999998</v>
      </c>
      <c r="D158" s="14">
        <f>CHOOSE(CONTROL!$C$42, 9.5093, 9.5093) * CHOOSE(CONTROL!$C$21, $C$9, 100%, $E$9)</f>
        <v>9.5092999999999996</v>
      </c>
      <c r="E158" s="14">
        <f>CHOOSE(CONTROL!$C$42, 9.5434, 9.5434) * CHOOSE(CONTROL!$C$21, $C$9, 100%, $E$9)</f>
        <v>9.5434000000000001</v>
      </c>
      <c r="F158" s="14">
        <f>CHOOSE(CONTROL!$C$42, 9.4252, 9.4252)*CHOOSE(CONTROL!$C$21, $C$9, 100%, $E$9)</f>
        <v>9.4252000000000002</v>
      </c>
      <c r="G158" s="14">
        <f>CHOOSE(CONTROL!$C$42, 9.4407, 9.4407)*CHOOSE(CONTROL!$C$21, $C$9, 100%, $E$9)</f>
        <v>9.4406999999999996</v>
      </c>
      <c r="H158" s="14">
        <f>CHOOSE(CONTROL!$C$42, 9.5326, 9.5326) * CHOOSE(CONTROL!$C$21, $C$9, 100%, $E$9)</f>
        <v>9.5326000000000004</v>
      </c>
      <c r="I158" s="14">
        <f>CHOOSE(CONTROL!$C$42, 9.475, 9.475)* CHOOSE(CONTROL!$C$21, $C$9, 100%, $E$9)</f>
        <v>9.4749999999999996</v>
      </c>
      <c r="J158" s="14">
        <f>CHOOSE(CONTROL!$C$42, 9.4182, 9.4182)* CHOOSE(CONTROL!$C$21, $C$9, 100%, $E$9)</f>
        <v>9.4182000000000006</v>
      </c>
      <c r="K158" s="53">
        <f>CHOOSE(CONTROL!$C$42, 9.4711, 9.4711) * CHOOSE(CONTROL!$C$21, $C$9, 100%, $E$9)</f>
        <v>9.4710999999999999</v>
      </c>
      <c r="L158" s="14">
        <f>CHOOSE(CONTROL!$C$42, 10.1196, 10.1196) * CHOOSE(CONTROL!$C$21, $C$9, 100%, $E$9)</f>
        <v>10.1196</v>
      </c>
      <c r="M158" s="14">
        <f>CHOOSE(CONTROL!$C$42, 9.233, 9.233) * CHOOSE(CONTROL!$C$21, $C$9, 100%, $E$9)</f>
        <v>9.2330000000000005</v>
      </c>
      <c r="N158" s="14">
        <f>CHOOSE(CONTROL!$C$42, 9.2481, 9.2481) * CHOOSE(CONTROL!$C$21, $C$9, 100%, $E$9)</f>
        <v>9.2481000000000009</v>
      </c>
      <c r="O158" s="14">
        <f>CHOOSE(CONTROL!$C$42, 9.345, 9.345) * CHOOSE(CONTROL!$C$21, $C$9, 100%, $E$9)</f>
        <v>9.3450000000000006</v>
      </c>
      <c r="P158" s="14">
        <f>CHOOSE(CONTROL!$C$42, 9.2881, 9.2881) * CHOOSE(CONTROL!$C$21, $C$9, 100%, $E$9)</f>
        <v>9.2881</v>
      </c>
      <c r="Q158" s="14">
        <f>CHOOSE(CONTROL!$C$42, 9.9397, 9.9397) * CHOOSE(CONTROL!$C$21, $C$9, 100%, $E$9)</f>
        <v>9.9397000000000002</v>
      </c>
      <c r="R158" s="14">
        <f>CHOOSE(CONTROL!$C$42, 10.5515, 10.5515) * CHOOSE(CONTROL!$C$21, $C$9, 100%, $E$9)</f>
        <v>10.551500000000001</v>
      </c>
      <c r="S158" s="14">
        <f>CHOOSE(CONTROL!$C$42, 9.0603, 9.0603) * CHOOSE(CONTROL!$C$21, $C$9, 100%, $E$9)</f>
        <v>9.0602999999999998</v>
      </c>
      <c r="T15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58" s="57">
        <f>(1000*CHOOSE(CONTROL!$C$42, 695, 695)*CHOOSE(CONTROL!$C$42, 0.5599, 0.5599)*CHOOSE(CONTROL!$C$42, 28, 28))/1000000</f>
        <v>10.895653999999999</v>
      </c>
      <c r="V158" s="57">
        <f>(1000*CHOOSE(CONTROL!$C$42, 500, 500)*CHOOSE(CONTROL!$C$42, 0.275, 0.275)*CHOOSE(CONTROL!$C$42, 28, 28))/1000000</f>
        <v>3.85</v>
      </c>
      <c r="W158" s="57">
        <f>(1000*CHOOSE(CONTROL!$C$42, 0.1146, 0.1146)*CHOOSE(CONTROL!$C$42, 121.5, 121.5)*CHOOSE(CONTROL!$C$42, 28, 28))/1000000</f>
        <v>0.38986920000000003</v>
      </c>
      <c r="X158" s="57">
        <f>(28*0.1790888*100000/1000000)+(28*0.2374*100000/1000000)</f>
        <v>1.16616864</v>
      </c>
      <c r="Y158" s="57"/>
      <c r="Z158" s="14"/>
      <c r="AA158" s="56"/>
      <c r="AB158" s="50">
        <f>(B158*122.58+C158*297.941+D158*89.177+E158*40.302+F158*40+G158*160+H158*0+I158*100+J158*300)/(122.58+297.941+89.177+40.302+0+40+160+100+300)</f>
        <v>9.4464535180869564</v>
      </c>
      <c r="AC158" s="45">
        <f>(M158*'RAP TEMPLATE-GAS AVAILABILITY'!O157+N158*'RAP TEMPLATE-GAS AVAILABILITY'!P157+O158*'RAP TEMPLATE-GAS AVAILABILITY'!Q157+P158*'RAP TEMPLATE-GAS AVAILABILITY'!R157)/('RAP TEMPLATE-GAS AVAILABILITY'!O157+'RAP TEMPLATE-GAS AVAILABILITY'!P157+'RAP TEMPLATE-GAS AVAILABILITY'!Q157+'RAP TEMPLATE-GAS AVAILABILITY'!R157)</f>
        <v>9.292559712230215</v>
      </c>
    </row>
    <row r="159" spans="1:29" ht="15.75" x14ac:dyDescent="0.25">
      <c r="A159" s="13">
        <v>45717</v>
      </c>
      <c r="B159" s="14">
        <f>CHOOSE(CONTROL!$C$42, 9.189, 9.189) * CHOOSE(CONTROL!$C$21, $C$9, 100%, $E$9)</f>
        <v>9.1890000000000001</v>
      </c>
      <c r="C159" s="14">
        <f>CHOOSE(CONTROL!$C$42, 9.1941, 9.1941) * CHOOSE(CONTROL!$C$21, $C$9, 100%, $E$9)</f>
        <v>9.1941000000000006</v>
      </c>
      <c r="D159" s="14">
        <f>CHOOSE(CONTROL!$C$42, 9.2605, 9.2605) * CHOOSE(CONTROL!$C$21, $C$9, 100%, $E$9)</f>
        <v>9.2605000000000004</v>
      </c>
      <c r="E159" s="14">
        <f>CHOOSE(CONTROL!$C$42, 9.2946, 9.2946) * CHOOSE(CONTROL!$C$21, $C$9, 100%, $E$9)</f>
        <v>9.2946000000000009</v>
      </c>
      <c r="F159" s="14">
        <f>CHOOSE(CONTROL!$C$42, 9.176, 9.176)*CHOOSE(CONTROL!$C$21, $C$9, 100%, $E$9)</f>
        <v>9.1760000000000002</v>
      </c>
      <c r="G159" s="14">
        <f>CHOOSE(CONTROL!$C$42, 9.1914, 9.1914)*CHOOSE(CONTROL!$C$21, $C$9, 100%, $E$9)</f>
        <v>9.1913999999999998</v>
      </c>
      <c r="H159" s="14">
        <f>CHOOSE(CONTROL!$C$42, 9.2838, 9.2838) * CHOOSE(CONTROL!$C$21, $C$9, 100%, $E$9)</f>
        <v>9.2837999999999994</v>
      </c>
      <c r="I159" s="14">
        <f>CHOOSE(CONTROL!$C$42, 9.2254, 9.2254)* CHOOSE(CONTROL!$C$21, $C$9, 100%, $E$9)</f>
        <v>9.2254000000000005</v>
      </c>
      <c r="J159" s="14">
        <f>CHOOSE(CONTROL!$C$42, 9.169, 9.169)* CHOOSE(CONTROL!$C$21, $C$9, 100%, $E$9)</f>
        <v>9.1690000000000005</v>
      </c>
      <c r="K159" s="53">
        <f>CHOOSE(CONTROL!$C$42, 9.2215, 9.2215) * CHOOSE(CONTROL!$C$21, $C$9, 100%, $E$9)</f>
        <v>9.2215000000000007</v>
      </c>
      <c r="L159" s="14">
        <f>CHOOSE(CONTROL!$C$42, 9.8708, 9.8708) * CHOOSE(CONTROL!$C$21, $C$9, 100%, $E$9)</f>
        <v>9.8707999999999991</v>
      </c>
      <c r="M159" s="14">
        <f>CHOOSE(CONTROL!$C$42, 8.9889, 8.9889) * CHOOSE(CONTROL!$C$21, $C$9, 100%, $E$9)</f>
        <v>8.9888999999999992</v>
      </c>
      <c r="N159" s="14">
        <f>CHOOSE(CONTROL!$C$42, 9.0039, 9.0039) * CHOOSE(CONTROL!$C$21, $C$9, 100%, $E$9)</f>
        <v>9.0038999999999998</v>
      </c>
      <c r="O159" s="14">
        <f>CHOOSE(CONTROL!$C$42, 9.1013, 9.1013) * CHOOSE(CONTROL!$C$21, $C$9, 100%, $E$9)</f>
        <v>9.1013000000000002</v>
      </c>
      <c r="P159" s="14">
        <f>CHOOSE(CONTROL!$C$42, 9.0436, 9.0436) * CHOOSE(CONTROL!$C$21, $C$9, 100%, $E$9)</f>
        <v>9.0435999999999996</v>
      </c>
      <c r="Q159" s="14">
        <f>CHOOSE(CONTROL!$C$42, 9.696, 9.696) * CHOOSE(CONTROL!$C$21, $C$9, 100%, $E$9)</f>
        <v>9.6959999999999997</v>
      </c>
      <c r="R159" s="14">
        <f>CHOOSE(CONTROL!$C$42, 10.3072, 10.3072) * CHOOSE(CONTROL!$C$21, $C$9, 100%, $E$9)</f>
        <v>10.3072</v>
      </c>
      <c r="S159" s="14">
        <f>CHOOSE(CONTROL!$C$42, 8.8212, 8.8212) * CHOOSE(CONTROL!$C$21, $C$9, 100%, $E$9)</f>
        <v>8.8211999999999993</v>
      </c>
      <c r="T15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59" s="57">
        <f>(1000*CHOOSE(CONTROL!$C$42, 695, 695)*CHOOSE(CONTROL!$C$42, 0.5599, 0.5599)*CHOOSE(CONTROL!$C$42, 31, 31))/1000000</f>
        <v>12.063045499999998</v>
      </c>
      <c r="V159" s="57">
        <f>(1000*CHOOSE(CONTROL!$C$42, 500, 500)*CHOOSE(CONTROL!$C$42, 0.275, 0.275)*CHOOSE(CONTROL!$C$42, 31, 31))/1000000</f>
        <v>4.2625000000000002</v>
      </c>
      <c r="W159" s="57">
        <f>(1000*CHOOSE(CONTROL!$C$42, 0.1146, 0.1146)*CHOOSE(CONTROL!$C$42, 121.5, 121.5)*CHOOSE(CONTROL!$C$42, 31, 31))/1000000</f>
        <v>0.43164089999999994</v>
      </c>
      <c r="X159" s="57">
        <f>(31*0.1790888*100000/1000000)+(31*0.2374*100000/1000000)</f>
        <v>1.2911152800000001</v>
      </c>
      <c r="Y159" s="57"/>
      <c r="Z159" s="14"/>
      <c r="AA159" s="56"/>
      <c r="AB159" s="50">
        <f>(B159*122.58+C159*297.941+D159*89.177+E159*40.302+F159*40+G159*160+H159*0+I159*100+J159*300)/(122.58+297.941+89.177+40.302+0+40+160+100+300)</f>
        <v>9.1973961267826088</v>
      </c>
      <c r="AC159" s="45">
        <f>(M159*'RAP TEMPLATE-GAS AVAILABILITY'!O158+N159*'RAP TEMPLATE-GAS AVAILABILITY'!P158+O159*'RAP TEMPLATE-GAS AVAILABILITY'!Q158+P159*'RAP TEMPLATE-GAS AVAILABILITY'!R158)/('RAP TEMPLATE-GAS AVAILABILITY'!O158+'RAP TEMPLATE-GAS AVAILABILITY'!P158+'RAP TEMPLATE-GAS AVAILABILITY'!Q158+'RAP TEMPLATE-GAS AVAILABILITY'!R158)</f>
        <v>9.0485776978417256</v>
      </c>
    </row>
    <row r="160" spans="1:29" ht="15.75" x14ac:dyDescent="0.25">
      <c r="A160" s="13">
        <v>45748</v>
      </c>
      <c r="B160" s="14">
        <f>CHOOSE(CONTROL!$C$42, 9.1816, 9.1816) * CHOOSE(CONTROL!$C$21, $C$9, 100%, $E$9)</f>
        <v>9.1815999999999995</v>
      </c>
      <c r="C160" s="14">
        <f>CHOOSE(CONTROL!$C$42, 9.1861, 9.1861) * CHOOSE(CONTROL!$C$21, $C$9, 100%, $E$9)</f>
        <v>9.1860999999999997</v>
      </c>
      <c r="D160" s="14">
        <f>CHOOSE(CONTROL!$C$42, 9.3931, 9.3931) * CHOOSE(CONTROL!$C$21, $C$9, 100%, $E$9)</f>
        <v>9.3931000000000004</v>
      </c>
      <c r="E160" s="14">
        <f>CHOOSE(CONTROL!$C$42, 9.4252, 9.4252) * CHOOSE(CONTROL!$C$21, $C$9, 100%, $E$9)</f>
        <v>9.4252000000000002</v>
      </c>
      <c r="F160" s="14">
        <f>CHOOSE(CONTROL!$C$42, 9.1634, 9.1634)*CHOOSE(CONTROL!$C$21, $C$9, 100%, $E$9)</f>
        <v>9.1633999999999993</v>
      </c>
      <c r="G160" s="14">
        <f>CHOOSE(CONTROL!$C$42, 9.1786, 9.1786)*CHOOSE(CONTROL!$C$21, $C$9, 100%, $E$9)</f>
        <v>9.1785999999999994</v>
      </c>
      <c r="H160" s="14">
        <f>CHOOSE(CONTROL!$C$42, 9.415, 9.415) * CHOOSE(CONTROL!$C$21, $C$9, 100%, $E$9)</f>
        <v>9.4149999999999991</v>
      </c>
      <c r="I160" s="14">
        <f>CHOOSE(CONTROL!$C$42, 9.2172, 9.2172)* CHOOSE(CONTROL!$C$21, $C$9, 100%, $E$9)</f>
        <v>9.2172000000000001</v>
      </c>
      <c r="J160" s="14">
        <f>CHOOSE(CONTROL!$C$42, 9.1564, 9.1564)* CHOOSE(CONTROL!$C$21, $C$9, 100%, $E$9)</f>
        <v>9.1563999999999997</v>
      </c>
      <c r="K160" s="53">
        <f>CHOOSE(CONTROL!$C$42, 9.2133, 9.2133) * CHOOSE(CONTROL!$C$21, $C$9, 100%, $E$9)</f>
        <v>9.2133000000000003</v>
      </c>
      <c r="L160" s="14">
        <f>CHOOSE(CONTROL!$C$42, 10.002, 10.002) * CHOOSE(CONTROL!$C$21, $C$9, 100%, $E$9)</f>
        <v>10.002000000000001</v>
      </c>
      <c r="M160" s="14">
        <f>CHOOSE(CONTROL!$C$42, 8.9765, 8.9765) * CHOOSE(CONTROL!$C$21, $C$9, 100%, $E$9)</f>
        <v>8.9764999999999997</v>
      </c>
      <c r="N160" s="14">
        <f>CHOOSE(CONTROL!$C$42, 8.9914, 8.9914) * CHOOSE(CONTROL!$C$21, $C$9, 100%, $E$9)</f>
        <v>8.9914000000000005</v>
      </c>
      <c r="O160" s="14">
        <f>CHOOSE(CONTROL!$C$42, 9.2298, 9.2298) * CHOOSE(CONTROL!$C$21, $C$9, 100%, $E$9)</f>
        <v>9.2297999999999991</v>
      </c>
      <c r="P160" s="14">
        <f>CHOOSE(CONTROL!$C$42, 9.0355, 9.0355) * CHOOSE(CONTROL!$C$21, $C$9, 100%, $E$9)</f>
        <v>9.0355000000000008</v>
      </c>
      <c r="Q160" s="14">
        <f>CHOOSE(CONTROL!$C$42, 9.8245, 9.8245) * CHOOSE(CONTROL!$C$21, $C$9, 100%, $E$9)</f>
        <v>9.8245000000000005</v>
      </c>
      <c r="R160" s="14">
        <f>CHOOSE(CONTROL!$C$42, 10.4361, 10.4361) * CHOOSE(CONTROL!$C$21, $C$9, 100%, $E$9)</f>
        <v>10.4361</v>
      </c>
      <c r="S160" s="14">
        <f>CHOOSE(CONTROL!$C$42, 8.8133, 8.8133) * CHOOSE(CONTROL!$C$21, $C$9, 100%, $E$9)</f>
        <v>8.8132999999999999</v>
      </c>
      <c r="T16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60" s="57">
        <f>(1000*CHOOSE(CONTROL!$C$42, 695, 695)*CHOOSE(CONTROL!$C$42, 0.5599, 0.5599)*CHOOSE(CONTROL!$C$42, 30, 30))/1000000</f>
        <v>11.673914999999997</v>
      </c>
      <c r="V160" s="57">
        <f>(1000*CHOOSE(CONTROL!$C$42, 500, 500)*CHOOSE(CONTROL!$C$42, 0.275, 0.275)*CHOOSE(CONTROL!$C$42, 30, 30))/1000000</f>
        <v>4.125</v>
      </c>
      <c r="W160" s="57">
        <f>(1000*CHOOSE(CONTROL!$C$42, 0.1146, 0.1146)*CHOOSE(CONTROL!$C$42, 121.5, 121.5)*CHOOSE(CONTROL!$C$42, 30, 30))/1000000</f>
        <v>0.417717</v>
      </c>
      <c r="X160" s="57">
        <f>(30*0.1790888*245000/1000000)+(30*0.2374*100000/1000000)</f>
        <v>2.0285026799999999</v>
      </c>
      <c r="Y160" s="57"/>
      <c r="Z160" s="14"/>
      <c r="AA160" s="56"/>
      <c r="AB160" s="50">
        <f>(B160*141.293+C160*267.993+D160*115.016+E160*89.698+F160*40+G160*185+H160*0+I160*100+J160*300)/(141.293+267.993+115.016+89.698+0+40+185+100+300)</f>
        <v>9.21557843849879</v>
      </c>
      <c r="AC160" s="45">
        <f>(M160*'RAP TEMPLATE-GAS AVAILABILITY'!O159+N160*'RAP TEMPLATE-GAS AVAILABILITY'!P159+O160*'RAP TEMPLATE-GAS AVAILABILITY'!Q159+P160*'RAP TEMPLATE-GAS AVAILABILITY'!R159)/('RAP TEMPLATE-GAS AVAILABILITY'!O159+'RAP TEMPLATE-GAS AVAILABILITY'!P159+'RAP TEMPLATE-GAS AVAILABILITY'!Q159+'RAP TEMPLATE-GAS AVAILABILITY'!R159)</f>
        <v>9.059489208633094</v>
      </c>
    </row>
    <row r="161" spans="1:29" ht="15.75" x14ac:dyDescent="0.25">
      <c r="A161" s="13">
        <v>45778</v>
      </c>
      <c r="B161" s="14">
        <f>CHOOSE(CONTROL!$C$42, 9.283, 9.283) * CHOOSE(CONTROL!$C$21, $C$9, 100%, $E$9)</f>
        <v>9.2829999999999995</v>
      </c>
      <c r="C161" s="14">
        <f>CHOOSE(CONTROL!$C$42, 9.291, 9.291) * CHOOSE(CONTROL!$C$21, $C$9, 100%, $E$9)</f>
        <v>9.2910000000000004</v>
      </c>
      <c r="D161" s="14">
        <f>CHOOSE(CONTROL!$C$42, 9.4949, 9.4949) * CHOOSE(CONTROL!$C$21, $C$9, 100%, $E$9)</f>
        <v>9.4948999999999995</v>
      </c>
      <c r="E161" s="14">
        <f>CHOOSE(CONTROL!$C$42, 9.5264, 9.5264) * CHOOSE(CONTROL!$C$21, $C$9, 100%, $E$9)</f>
        <v>9.5264000000000006</v>
      </c>
      <c r="F161" s="14">
        <f>CHOOSE(CONTROL!$C$42, 9.2637, 9.2637)*CHOOSE(CONTROL!$C$21, $C$9, 100%, $E$9)</f>
        <v>9.2637</v>
      </c>
      <c r="G161" s="14">
        <f>CHOOSE(CONTROL!$C$42, 9.2794, 9.2794)*CHOOSE(CONTROL!$C$21, $C$9, 100%, $E$9)</f>
        <v>9.2794000000000008</v>
      </c>
      <c r="H161" s="14">
        <f>CHOOSE(CONTROL!$C$42, 9.515, 9.515) * CHOOSE(CONTROL!$C$21, $C$9, 100%, $E$9)</f>
        <v>9.5150000000000006</v>
      </c>
      <c r="I161" s="14">
        <f>CHOOSE(CONTROL!$C$42, 9.3175, 9.3175)* CHOOSE(CONTROL!$C$21, $C$9, 100%, $E$9)</f>
        <v>9.3175000000000008</v>
      </c>
      <c r="J161" s="14">
        <f>CHOOSE(CONTROL!$C$42, 9.2567, 9.2567)* CHOOSE(CONTROL!$C$21, $C$9, 100%, $E$9)</f>
        <v>9.2567000000000004</v>
      </c>
      <c r="K161" s="53">
        <f>CHOOSE(CONTROL!$C$42, 9.3136, 9.3136) * CHOOSE(CONTROL!$C$21, $C$9, 100%, $E$9)</f>
        <v>9.3135999999999992</v>
      </c>
      <c r="L161" s="14">
        <f>CHOOSE(CONTROL!$C$42, 10.102, 10.102) * CHOOSE(CONTROL!$C$21, $C$9, 100%, $E$9)</f>
        <v>10.102</v>
      </c>
      <c r="M161" s="14">
        <f>CHOOSE(CONTROL!$C$42, 9.0747, 9.0747) * CHOOSE(CONTROL!$C$21, $C$9, 100%, $E$9)</f>
        <v>9.0747</v>
      </c>
      <c r="N161" s="14">
        <f>CHOOSE(CONTROL!$C$42, 9.0901, 9.0901) * CHOOSE(CONTROL!$C$21, $C$9, 100%, $E$9)</f>
        <v>9.0900999999999996</v>
      </c>
      <c r="O161" s="14">
        <f>CHOOSE(CONTROL!$C$42, 9.3278, 9.3278) * CHOOSE(CONTROL!$C$21, $C$9, 100%, $E$9)</f>
        <v>9.3277999999999999</v>
      </c>
      <c r="P161" s="14">
        <f>CHOOSE(CONTROL!$C$42, 9.1338, 9.1338) * CHOOSE(CONTROL!$C$21, $C$9, 100%, $E$9)</f>
        <v>9.1338000000000008</v>
      </c>
      <c r="Q161" s="14">
        <f>CHOOSE(CONTROL!$C$42, 9.9225, 9.9225) * CHOOSE(CONTROL!$C$21, $C$9, 100%, $E$9)</f>
        <v>9.9224999999999994</v>
      </c>
      <c r="R161" s="14">
        <f>CHOOSE(CONTROL!$C$42, 10.5343, 10.5343) * CHOOSE(CONTROL!$C$21, $C$9, 100%, $E$9)</f>
        <v>10.5343</v>
      </c>
      <c r="S161" s="14">
        <f>CHOOSE(CONTROL!$C$42, 8.9094, 8.9094) * CHOOSE(CONTROL!$C$21, $C$9, 100%, $E$9)</f>
        <v>8.9093999999999998</v>
      </c>
      <c r="T16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61" s="57">
        <f>(1000*CHOOSE(CONTROL!$C$42, 695, 695)*CHOOSE(CONTROL!$C$42, 0.5599, 0.5599)*CHOOSE(CONTROL!$C$42, 31, 31))/1000000</f>
        <v>12.063045499999998</v>
      </c>
      <c r="V161" s="57">
        <f>(1000*CHOOSE(CONTROL!$C$42, 500, 500)*CHOOSE(CONTROL!$C$42, 0.275, 0.275)*CHOOSE(CONTROL!$C$42, 31, 31))/1000000</f>
        <v>4.2625000000000002</v>
      </c>
      <c r="W161" s="57">
        <f>(1000*CHOOSE(CONTROL!$C$42, 0.1146, 0.1146)*CHOOSE(CONTROL!$C$42, 121.5, 121.5)*CHOOSE(CONTROL!$C$42, 31, 31))/1000000</f>
        <v>0.43164089999999994</v>
      </c>
      <c r="X161" s="57">
        <f>(31*0.1790888*245000/1000000)+(31*0.2374*100000/1000000)</f>
        <v>2.0961194359999999</v>
      </c>
      <c r="Y161" s="57"/>
      <c r="Z161" s="14"/>
      <c r="AA161" s="56"/>
      <c r="AB161" s="50">
        <f>(B161*194.205+C161*267.466+D161*133.845+E161*53.484+F161*40+G161*185+H161*0+I161*100+J161*300)/(194.205+267.466+133.845+53.484+0+40+185+100+300)</f>
        <v>9.3125459098116163</v>
      </c>
      <c r="AC161" s="45">
        <f>(M161*'RAP TEMPLATE-GAS AVAILABILITY'!O160+N161*'RAP TEMPLATE-GAS AVAILABILITY'!P160+O161*'RAP TEMPLATE-GAS AVAILABILITY'!Q160+P161*'RAP TEMPLATE-GAS AVAILABILITY'!R160)/('RAP TEMPLATE-GAS AVAILABILITY'!O160+'RAP TEMPLATE-GAS AVAILABILITY'!P160+'RAP TEMPLATE-GAS AVAILABILITY'!Q160+'RAP TEMPLATE-GAS AVAILABILITY'!R160)</f>
        <v>9.1577625899280584</v>
      </c>
    </row>
    <row r="162" spans="1:29" ht="15.75" x14ac:dyDescent="0.25">
      <c r="A162" s="13">
        <v>45809</v>
      </c>
      <c r="B162" s="14">
        <f>CHOOSE(CONTROL!$C$42, 9.5656, 9.5656) * CHOOSE(CONTROL!$C$21, $C$9, 100%, $E$9)</f>
        <v>9.5655999999999999</v>
      </c>
      <c r="C162" s="14">
        <f>CHOOSE(CONTROL!$C$42, 9.5736, 9.5736) * CHOOSE(CONTROL!$C$21, $C$9, 100%, $E$9)</f>
        <v>9.5736000000000008</v>
      </c>
      <c r="D162" s="14">
        <f>CHOOSE(CONTROL!$C$42, 9.7775, 9.7775) * CHOOSE(CONTROL!$C$21, $C$9, 100%, $E$9)</f>
        <v>9.7774999999999999</v>
      </c>
      <c r="E162" s="14">
        <f>CHOOSE(CONTROL!$C$42, 9.809, 9.809) * CHOOSE(CONTROL!$C$21, $C$9, 100%, $E$9)</f>
        <v>9.8089999999999993</v>
      </c>
      <c r="F162" s="14">
        <f>CHOOSE(CONTROL!$C$42, 9.5467, 9.5467)*CHOOSE(CONTROL!$C$21, $C$9, 100%, $E$9)</f>
        <v>9.5466999999999995</v>
      </c>
      <c r="G162" s="14">
        <f>CHOOSE(CONTROL!$C$42, 9.5625, 9.5625)*CHOOSE(CONTROL!$C$21, $C$9, 100%, $E$9)</f>
        <v>9.5625</v>
      </c>
      <c r="H162" s="14">
        <f>CHOOSE(CONTROL!$C$42, 9.7976, 9.7976) * CHOOSE(CONTROL!$C$21, $C$9, 100%, $E$9)</f>
        <v>9.7975999999999992</v>
      </c>
      <c r="I162" s="14">
        <f>CHOOSE(CONTROL!$C$42, 9.601, 9.601)* CHOOSE(CONTROL!$C$21, $C$9, 100%, $E$9)</f>
        <v>9.6010000000000009</v>
      </c>
      <c r="J162" s="14">
        <f>CHOOSE(CONTROL!$C$42, 9.5397, 9.5397)* CHOOSE(CONTROL!$C$21, $C$9, 100%, $E$9)</f>
        <v>9.5396999999999998</v>
      </c>
      <c r="K162" s="53">
        <f>CHOOSE(CONTROL!$C$42, 9.5971, 9.5971) * CHOOSE(CONTROL!$C$21, $C$9, 100%, $E$9)</f>
        <v>9.5970999999999993</v>
      </c>
      <c r="L162" s="14">
        <f>CHOOSE(CONTROL!$C$42, 10.3846, 10.3846) * CHOOSE(CONTROL!$C$21, $C$9, 100%, $E$9)</f>
        <v>10.384600000000001</v>
      </c>
      <c r="M162" s="14">
        <f>CHOOSE(CONTROL!$C$42, 9.352, 9.352) * CHOOSE(CONTROL!$C$21, $C$9, 100%, $E$9)</f>
        <v>9.3520000000000003</v>
      </c>
      <c r="N162" s="14">
        <f>CHOOSE(CONTROL!$C$42, 9.3674, 9.3674) * CHOOSE(CONTROL!$C$21, $C$9, 100%, $E$9)</f>
        <v>9.3673999999999999</v>
      </c>
      <c r="O162" s="14">
        <f>CHOOSE(CONTROL!$C$42, 9.6046, 9.6046) * CHOOSE(CONTROL!$C$21, $C$9, 100%, $E$9)</f>
        <v>9.6045999999999996</v>
      </c>
      <c r="P162" s="14">
        <f>CHOOSE(CONTROL!$C$42, 9.4114, 9.4114) * CHOOSE(CONTROL!$C$21, $C$9, 100%, $E$9)</f>
        <v>9.4114000000000004</v>
      </c>
      <c r="Q162" s="14">
        <f>CHOOSE(CONTROL!$C$42, 10.1993, 10.1993) * CHOOSE(CONTROL!$C$21, $C$9, 100%, $E$9)</f>
        <v>10.199299999999999</v>
      </c>
      <c r="R162" s="14">
        <f>CHOOSE(CONTROL!$C$42, 10.8118, 10.8118) * CHOOSE(CONTROL!$C$21, $C$9, 100%, $E$9)</f>
        <v>10.8118</v>
      </c>
      <c r="S162" s="14">
        <f>CHOOSE(CONTROL!$C$42, 9.1809, 9.1809) * CHOOSE(CONTROL!$C$21, $C$9, 100%, $E$9)</f>
        <v>9.1808999999999994</v>
      </c>
      <c r="T16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62" s="57">
        <f>(1000*CHOOSE(CONTROL!$C$42, 695, 695)*CHOOSE(CONTROL!$C$42, 0.5599, 0.5599)*CHOOSE(CONTROL!$C$42, 30, 30))/1000000</f>
        <v>11.673914999999997</v>
      </c>
      <c r="V162" s="57">
        <f>(1000*CHOOSE(CONTROL!$C$42, 500, 500)*CHOOSE(CONTROL!$C$42, 0.275, 0.275)*CHOOSE(CONTROL!$C$42, 30, 30))/1000000</f>
        <v>4.125</v>
      </c>
      <c r="W162" s="57">
        <f>(1000*CHOOSE(CONTROL!$C$42, 0.1146, 0.1146)*CHOOSE(CONTROL!$C$42, 121.5, 121.5)*CHOOSE(CONTROL!$C$42, 30, 30))/1000000</f>
        <v>0.417717</v>
      </c>
      <c r="X162" s="57">
        <f>(30*0.1790888*245000/1000000)+(30*0.2374*100000/1000000)</f>
        <v>2.0285026799999999</v>
      </c>
      <c r="Y162" s="57"/>
      <c r="Z162" s="14"/>
      <c r="AA162" s="56"/>
      <c r="AB162" s="50">
        <f>(B162*194.205+C162*267.466+D162*133.845+E162*53.484+F162*40+G162*185+H162*0+I162*100+J162*300)/(194.205+267.466+133.845+53.484+0+40+185+100+300)</f>
        <v>9.5953959098116179</v>
      </c>
      <c r="AC162" s="45">
        <f>(M162*'RAP TEMPLATE-GAS AVAILABILITY'!O161+N162*'RAP TEMPLATE-GAS AVAILABILITY'!P161+O162*'RAP TEMPLATE-GAS AVAILABILITY'!Q161+P162*'RAP TEMPLATE-GAS AVAILABILITY'!R161)/('RAP TEMPLATE-GAS AVAILABILITY'!O161+'RAP TEMPLATE-GAS AVAILABILITY'!P161+'RAP TEMPLATE-GAS AVAILABILITY'!Q161+'RAP TEMPLATE-GAS AVAILABILITY'!R161)</f>
        <v>9.4349654676259007</v>
      </c>
    </row>
    <row r="163" spans="1:29" ht="15.75" x14ac:dyDescent="0.25">
      <c r="A163" s="13">
        <v>45839</v>
      </c>
      <c r="B163" s="14">
        <f>CHOOSE(CONTROL!$C$42, 9.4016, 9.4016) * CHOOSE(CONTROL!$C$21, $C$9, 100%, $E$9)</f>
        <v>9.4016000000000002</v>
      </c>
      <c r="C163" s="14">
        <f>CHOOSE(CONTROL!$C$42, 9.4096, 9.4096) * CHOOSE(CONTROL!$C$21, $C$9, 100%, $E$9)</f>
        <v>9.4095999999999993</v>
      </c>
      <c r="D163" s="14">
        <f>CHOOSE(CONTROL!$C$42, 9.6136, 9.6136) * CHOOSE(CONTROL!$C$21, $C$9, 100%, $E$9)</f>
        <v>9.6135999999999999</v>
      </c>
      <c r="E163" s="14">
        <f>CHOOSE(CONTROL!$C$42, 9.645, 9.645) * CHOOSE(CONTROL!$C$21, $C$9, 100%, $E$9)</f>
        <v>9.6449999999999996</v>
      </c>
      <c r="F163" s="14">
        <f>CHOOSE(CONTROL!$C$42, 9.3832, 9.3832)*CHOOSE(CONTROL!$C$21, $C$9, 100%, $E$9)</f>
        <v>9.3832000000000004</v>
      </c>
      <c r="G163" s="14">
        <f>CHOOSE(CONTROL!$C$42, 9.3991, 9.3991)*CHOOSE(CONTROL!$C$21, $C$9, 100%, $E$9)</f>
        <v>9.3991000000000007</v>
      </c>
      <c r="H163" s="14">
        <f>CHOOSE(CONTROL!$C$42, 9.6337, 9.6337) * CHOOSE(CONTROL!$C$21, $C$9, 100%, $E$9)</f>
        <v>9.6336999999999993</v>
      </c>
      <c r="I163" s="14">
        <f>CHOOSE(CONTROL!$C$42, 9.4365, 9.4365)* CHOOSE(CONTROL!$C$21, $C$9, 100%, $E$9)</f>
        <v>9.4365000000000006</v>
      </c>
      <c r="J163" s="14">
        <f>CHOOSE(CONTROL!$C$42, 9.3762, 9.3762)* CHOOSE(CONTROL!$C$21, $C$9, 100%, $E$9)</f>
        <v>9.3762000000000008</v>
      </c>
      <c r="K163" s="53">
        <f>CHOOSE(CONTROL!$C$42, 9.4326, 9.4326) * CHOOSE(CONTROL!$C$21, $C$9, 100%, $E$9)</f>
        <v>9.4326000000000008</v>
      </c>
      <c r="L163" s="14">
        <f>CHOOSE(CONTROL!$C$42, 10.2207, 10.2207) * CHOOSE(CONTROL!$C$21, $C$9, 100%, $E$9)</f>
        <v>10.220700000000001</v>
      </c>
      <c r="M163" s="14">
        <f>CHOOSE(CONTROL!$C$42, 9.1918, 9.1918) * CHOOSE(CONTROL!$C$21, $C$9, 100%, $E$9)</f>
        <v>9.1918000000000006</v>
      </c>
      <c r="N163" s="14">
        <f>CHOOSE(CONTROL!$C$42, 9.2074, 9.2074) * CHOOSE(CONTROL!$C$21, $C$9, 100%, $E$9)</f>
        <v>9.2073999999999998</v>
      </c>
      <c r="O163" s="14">
        <f>CHOOSE(CONTROL!$C$42, 9.444, 9.444) * CHOOSE(CONTROL!$C$21, $C$9, 100%, $E$9)</f>
        <v>9.4440000000000008</v>
      </c>
      <c r="P163" s="14">
        <f>CHOOSE(CONTROL!$C$42, 9.2503, 9.2503) * CHOOSE(CONTROL!$C$21, $C$9, 100%, $E$9)</f>
        <v>9.2502999999999993</v>
      </c>
      <c r="Q163" s="14">
        <f>CHOOSE(CONTROL!$C$42, 10.0387, 10.0387) * CHOOSE(CONTROL!$C$21, $C$9, 100%, $E$9)</f>
        <v>10.0387</v>
      </c>
      <c r="R163" s="14">
        <f>CHOOSE(CONTROL!$C$42, 10.6508, 10.6508) * CHOOSE(CONTROL!$C$21, $C$9, 100%, $E$9)</f>
        <v>10.6508</v>
      </c>
      <c r="S163" s="14">
        <f>CHOOSE(CONTROL!$C$42, 9.0234, 9.0234) * CHOOSE(CONTROL!$C$21, $C$9, 100%, $E$9)</f>
        <v>9.0234000000000005</v>
      </c>
      <c r="T16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63" s="57">
        <f>(1000*CHOOSE(CONTROL!$C$42, 695, 695)*CHOOSE(CONTROL!$C$42, 0.5599, 0.5599)*CHOOSE(CONTROL!$C$42, 31, 31))/1000000</f>
        <v>12.063045499999998</v>
      </c>
      <c r="V163" s="57">
        <f>(1000*CHOOSE(CONTROL!$C$42, 500, 500)*CHOOSE(CONTROL!$C$42, 0.275, 0.275)*CHOOSE(CONTROL!$C$42, 31, 31))/1000000</f>
        <v>4.2625000000000002</v>
      </c>
      <c r="W163" s="57">
        <f>(1000*CHOOSE(CONTROL!$C$42, 0.1146, 0.1146)*CHOOSE(CONTROL!$C$42, 121.5, 121.5)*CHOOSE(CONTROL!$C$42, 31, 31))/1000000</f>
        <v>0.43164089999999994</v>
      </c>
      <c r="X163" s="57">
        <f>(31*0.1790888*245000/1000000)+(31*0.2374*100000/1000000)</f>
        <v>2.0961194359999999</v>
      </c>
      <c r="Y163" s="57"/>
      <c r="Z163" s="14"/>
      <c r="AA163" s="56"/>
      <c r="AB163" s="50">
        <f>(B163*194.205+C163*267.466+D163*133.845+E163*53.484+F163*40+G163*185+H163*0+I163*100+J163*300)/(194.205+267.466+133.845+53.484+0+40+185+100+300)</f>
        <v>9.4315877343799066</v>
      </c>
      <c r="AC163" s="45">
        <f>(M163*'RAP TEMPLATE-GAS AVAILABILITY'!O162+N163*'RAP TEMPLATE-GAS AVAILABILITY'!P162+O163*'RAP TEMPLATE-GAS AVAILABILITY'!Q162+P163*'RAP TEMPLATE-GAS AVAILABILITY'!R162)/('RAP TEMPLATE-GAS AVAILABILITY'!O162+'RAP TEMPLATE-GAS AVAILABILITY'!P162+'RAP TEMPLATE-GAS AVAILABILITY'!Q162+'RAP TEMPLATE-GAS AVAILABILITY'!R162)</f>
        <v>9.2745697841726624</v>
      </c>
    </row>
    <row r="164" spans="1:29" ht="15.75" x14ac:dyDescent="0.25">
      <c r="A164" s="13">
        <v>45870</v>
      </c>
      <c r="B164" s="14">
        <f>CHOOSE(CONTROL!$C$42, 8.9562, 8.9562) * CHOOSE(CONTROL!$C$21, $C$9, 100%, $E$9)</f>
        <v>8.9562000000000008</v>
      </c>
      <c r="C164" s="14">
        <f>CHOOSE(CONTROL!$C$42, 8.9642, 8.9642) * CHOOSE(CONTROL!$C$21, $C$9, 100%, $E$9)</f>
        <v>8.9641999999999999</v>
      </c>
      <c r="D164" s="14">
        <f>CHOOSE(CONTROL!$C$42, 9.1682, 9.1682) * CHOOSE(CONTROL!$C$21, $C$9, 100%, $E$9)</f>
        <v>9.1682000000000006</v>
      </c>
      <c r="E164" s="14">
        <f>CHOOSE(CONTROL!$C$42, 9.1996, 9.1996) * CHOOSE(CONTROL!$C$21, $C$9, 100%, $E$9)</f>
        <v>9.1996000000000002</v>
      </c>
      <c r="F164" s="14">
        <f>CHOOSE(CONTROL!$C$42, 8.938, 8.938)*CHOOSE(CONTROL!$C$21, $C$9, 100%, $E$9)</f>
        <v>8.9380000000000006</v>
      </c>
      <c r="G164" s="14">
        <f>CHOOSE(CONTROL!$C$42, 8.954, 8.954)*CHOOSE(CONTROL!$C$21, $C$9, 100%, $E$9)</f>
        <v>8.9540000000000006</v>
      </c>
      <c r="H164" s="14">
        <f>CHOOSE(CONTROL!$C$42, 9.1883, 9.1883) * CHOOSE(CONTROL!$C$21, $C$9, 100%, $E$9)</f>
        <v>9.1882999999999999</v>
      </c>
      <c r="I164" s="14">
        <f>CHOOSE(CONTROL!$C$42, 8.9897, 8.9897)* CHOOSE(CONTROL!$C$21, $C$9, 100%, $E$9)</f>
        <v>8.9896999999999991</v>
      </c>
      <c r="J164" s="14">
        <f>CHOOSE(CONTROL!$C$42, 8.931, 8.931)* CHOOSE(CONTROL!$C$21, $C$9, 100%, $E$9)</f>
        <v>8.9309999999999992</v>
      </c>
      <c r="K164" s="53">
        <f>CHOOSE(CONTROL!$C$42, 8.9858, 8.9858) * CHOOSE(CONTROL!$C$21, $C$9, 100%, $E$9)</f>
        <v>8.9857999999999993</v>
      </c>
      <c r="L164" s="14">
        <f>CHOOSE(CONTROL!$C$42, 9.7753, 9.7753) * CHOOSE(CONTROL!$C$21, $C$9, 100%, $E$9)</f>
        <v>9.7752999999999997</v>
      </c>
      <c r="M164" s="14">
        <f>CHOOSE(CONTROL!$C$42, 8.7557, 8.7557) * CHOOSE(CONTROL!$C$21, $C$9, 100%, $E$9)</f>
        <v>8.7556999999999992</v>
      </c>
      <c r="N164" s="14">
        <f>CHOOSE(CONTROL!$C$42, 8.7714, 8.7714) * CHOOSE(CONTROL!$C$21, $C$9, 100%, $E$9)</f>
        <v>8.7713999999999999</v>
      </c>
      <c r="O164" s="14">
        <f>CHOOSE(CONTROL!$C$42, 9.0077, 9.0077) * CHOOSE(CONTROL!$C$21, $C$9, 100%, $E$9)</f>
        <v>9.0076999999999998</v>
      </c>
      <c r="P164" s="14">
        <f>CHOOSE(CONTROL!$C$42, 8.8127, 8.8127) * CHOOSE(CONTROL!$C$21, $C$9, 100%, $E$9)</f>
        <v>8.8126999999999995</v>
      </c>
      <c r="Q164" s="14">
        <f>CHOOSE(CONTROL!$C$42, 9.6024, 9.6024) * CHOOSE(CONTROL!$C$21, $C$9, 100%, $E$9)</f>
        <v>9.6023999999999994</v>
      </c>
      <c r="R164" s="14">
        <f>CHOOSE(CONTROL!$C$42, 10.2134, 10.2134) * CHOOSE(CONTROL!$C$21, $C$9, 100%, $E$9)</f>
        <v>10.2134</v>
      </c>
      <c r="S164" s="14">
        <f>CHOOSE(CONTROL!$C$42, 8.5954, 8.5954) * CHOOSE(CONTROL!$C$21, $C$9, 100%, $E$9)</f>
        <v>8.5953999999999997</v>
      </c>
      <c r="T16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64" s="57">
        <f>(1000*CHOOSE(CONTROL!$C$42, 695, 695)*CHOOSE(CONTROL!$C$42, 0.5599, 0.5599)*CHOOSE(CONTROL!$C$42, 31, 31))/1000000</f>
        <v>12.063045499999998</v>
      </c>
      <c r="V164" s="57">
        <f>(1000*CHOOSE(CONTROL!$C$42, 500, 500)*CHOOSE(CONTROL!$C$42, 0.275, 0.275)*CHOOSE(CONTROL!$C$42, 31, 31))/1000000</f>
        <v>4.2625000000000002</v>
      </c>
      <c r="W164" s="57">
        <f>(1000*CHOOSE(CONTROL!$C$42, 0.1146, 0.1146)*CHOOSE(CONTROL!$C$42, 121.5, 121.5)*CHOOSE(CONTROL!$C$42, 31, 31))/1000000</f>
        <v>0.43164089999999994</v>
      </c>
      <c r="X164" s="57">
        <f>(31*0.1790888*245000/1000000)+(31*0.2374*100000/1000000)</f>
        <v>2.0961194359999999</v>
      </c>
      <c r="Y164" s="57"/>
      <c r="Z164" s="14"/>
      <c r="AA164" s="56"/>
      <c r="AB164" s="50">
        <f>(B164*194.205+C164*267.466+D164*133.845+E164*53.484+F164*40+G164*185+H164*0+I164*100+J164*300)/(194.205+267.466+133.845+53.484+0+40+185+100+300)</f>
        <v>8.9861747830455254</v>
      </c>
      <c r="AC164" s="45">
        <f>(M164*'RAP TEMPLATE-GAS AVAILABILITY'!O163+N164*'RAP TEMPLATE-GAS AVAILABILITY'!P163+O164*'RAP TEMPLATE-GAS AVAILABILITY'!Q163+P164*'RAP TEMPLATE-GAS AVAILABILITY'!R163)/('RAP TEMPLATE-GAS AVAILABILITY'!O163+'RAP TEMPLATE-GAS AVAILABILITY'!P163+'RAP TEMPLATE-GAS AVAILABILITY'!Q163+'RAP TEMPLATE-GAS AVAILABILITY'!R163)</f>
        <v>8.8382208633093526</v>
      </c>
    </row>
    <row r="165" spans="1:29" ht="15.75" x14ac:dyDescent="0.25">
      <c r="A165" s="13">
        <v>45901</v>
      </c>
      <c r="B165" s="14">
        <f>CHOOSE(CONTROL!$C$42, 8.4052, 8.4052) * CHOOSE(CONTROL!$C$21, $C$9, 100%, $E$9)</f>
        <v>8.4052000000000007</v>
      </c>
      <c r="C165" s="14">
        <f>CHOOSE(CONTROL!$C$42, 8.4133, 8.4133) * CHOOSE(CONTROL!$C$21, $C$9, 100%, $E$9)</f>
        <v>8.4132999999999996</v>
      </c>
      <c r="D165" s="14">
        <f>CHOOSE(CONTROL!$C$42, 8.6172, 8.6172) * CHOOSE(CONTROL!$C$21, $C$9, 100%, $E$9)</f>
        <v>8.6172000000000004</v>
      </c>
      <c r="E165" s="14">
        <f>CHOOSE(CONTROL!$C$42, 8.6486, 8.6486) * CHOOSE(CONTROL!$C$21, $C$9, 100%, $E$9)</f>
        <v>8.6486000000000001</v>
      </c>
      <c r="F165" s="14">
        <f>CHOOSE(CONTROL!$C$42, 8.3871, 8.3871)*CHOOSE(CONTROL!$C$21, $C$9, 100%, $E$9)</f>
        <v>8.3871000000000002</v>
      </c>
      <c r="G165" s="14">
        <f>CHOOSE(CONTROL!$C$42, 8.4031, 8.4031)*CHOOSE(CONTROL!$C$21, $C$9, 100%, $E$9)</f>
        <v>8.4031000000000002</v>
      </c>
      <c r="H165" s="14">
        <f>CHOOSE(CONTROL!$C$42, 8.6373, 8.6373) * CHOOSE(CONTROL!$C$21, $C$9, 100%, $E$9)</f>
        <v>8.6372999999999998</v>
      </c>
      <c r="I165" s="14">
        <f>CHOOSE(CONTROL!$C$42, 8.437, 8.437)* CHOOSE(CONTROL!$C$21, $C$9, 100%, $E$9)</f>
        <v>8.4369999999999994</v>
      </c>
      <c r="J165" s="14">
        <f>CHOOSE(CONTROL!$C$42, 8.3801, 8.3801)* CHOOSE(CONTROL!$C$21, $C$9, 100%, $E$9)</f>
        <v>8.3801000000000005</v>
      </c>
      <c r="K165" s="53">
        <f>CHOOSE(CONTROL!$C$42, 8.4331, 8.4331) * CHOOSE(CONTROL!$C$21, $C$9, 100%, $E$9)</f>
        <v>8.4330999999999996</v>
      </c>
      <c r="L165" s="14">
        <f>CHOOSE(CONTROL!$C$42, 9.2243, 9.2243) * CHOOSE(CONTROL!$C$21, $C$9, 100%, $E$9)</f>
        <v>9.2242999999999995</v>
      </c>
      <c r="M165" s="14">
        <f>CHOOSE(CONTROL!$C$42, 8.2161, 8.2161) * CHOOSE(CONTROL!$C$21, $C$9, 100%, $E$9)</f>
        <v>8.2161000000000008</v>
      </c>
      <c r="N165" s="14">
        <f>CHOOSE(CONTROL!$C$42, 8.2318, 8.2318) * CHOOSE(CONTROL!$C$21, $C$9, 100%, $E$9)</f>
        <v>8.2317999999999998</v>
      </c>
      <c r="O165" s="14">
        <f>CHOOSE(CONTROL!$C$42, 8.468, 8.468) * CHOOSE(CONTROL!$C$21, $C$9, 100%, $E$9)</f>
        <v>8.468</v>
      </c>
      <c r="P165" s="14">
        <f>CHOOSE(CONTROL!$C$42, 8.2714, 8.2714) * CHOOSE(CONTROL!$C$21, $C$9, 100%, $E$9)</f>
        <v>8.2713999999999999</v>
      </c>
      <c r="Q165" s="14">
        <f>CHOOSE(CONTROL!$C$42, 9.0627, 9.0627) * CHOOSE(CONTROL!$C$21, $C$9, 100%, $E$9)</f>
        <v>9.0626999999999995</v>
      </c>
      <c r="R165" s="14">
        <f>CHOOSE(CONTROL!$C$42, 9.6724, 9.6724) * CHOOSE(CONTROL!$C$21, $C$9, 100%, $E$9)</f>
        <v>9.6723999999999997</v>
      </c>
      <c r="S165" s="14">
        <f>CHOOSE(CONTROL!$C$42, 8.0659, 8.0659) * CHOOSE(CONTROL!$C$21, $C$9, 100%, $E$9)</f>
        <v>8.0658999999999992</v>
      </c>
      <c r="T16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65" s="57">
        <f>(1000*CHOOSE(CONTROL!$C$42, 695, 695)*CHOOSE(CONTROL!$C$42, 0.5599, 0.5599)*CHOOSE(CONTROL!$C$42, 30, 30))/1000000</f>
        <v>11.673914999999997</v>
      </c>
      <c r="V165" s="57">
        <f>(1000*CHOOSE(CONTROL!$C$42, 500, 500)*CHOOSE(CONTROL!$C$42, 0.275, 0.275)*CHOOSE(CONTROL!$C$42, 30, 30))/1000000</f>
        <v>4.125</v>
      </c>
      <c r="W165" s="57">
        <f>(1000*CHOOSE(CONTROL!$C$42, 0.1146, 0.1146)*CHOOSE(CONTROL!$C$42, 121.5, 121.5)*CHOOSE(CONTROL!$C$42, 30, 30))/1000000</f>
        <v>0.417717</v>
      </c>
      <c r="X165" s="57">
        <f>(30*0.1790888*245000/1000000)+(30*0.2374*100000/1000000)</f>
        <v>2.0285026799999999</v>
      </c>
      <c r="Y165" s="57"/>
      <c r="Z165" s="14"/>
      <c r="AA165" s="56"/>
      <c r="AB165" s="50">
        <f>(B165*194.205+C165*267.466+D165*133.845+E165*53.484+F165*40+G165*185+H165*0+I165*100+J165*300)/(194.205+267.466+133.845+53.484+0+40+185+100+300)</f>
        <v>8.4351035480376773</v>
      </c>
      <c r="AC165" s="45">
        <f>(M165*'RAP TEMPLATE-GAS AVAILABILITY'!O164+N165*'RAP TEMPLATE-GAS AVAILABILITY'!P164+O165*'RAP TEMPLATE-GAS AVAILABILITY'!Q164+P165*'RAP TEMPLATE-GAS AVAILABILITY'!R164)/('RAP TEMPLATE-GAS AVAILABILITY'!O164+'RAP TEMPLATE-GAS AVAILABILITY'!P164+'RAP TEMPLATE-GAS AVAILABILITY'!Q164+'RAP TEMPLATE-GAS AVAILABILITY'!R164)</f>
        <v>8.2983482014388503</v>
      </c>
    </row>
    <row r="166" spans="1:29" ht="15.75" x14ac:dyDescent="0.25">
      <c r="A166" s="13">
        <v>45931</v>
      </c>
      <c r="B166" s="14">
        <f>CHOOSE(CONTROL!$C$42, 8.25, 8.25) * CHOOSE(CONTROL!$C$21, $C$9, 100%, $E$9)</f>
        <v>8.25</v>
      </c>
      <c r="C166" s="14">
        <f>CHOOSE(CONTROL!$C$42, 8.2553, 8.2553) * CHOOSE(CONTROL!$C$21, $C$9, 100%, $E$9)</f>
        <v>8.2553000000000001</v>
      </c>
      <c r="D166" s="14">
        <f>CHOOSE(CONTROL!$C$42, 8.4642, 8.4642) * CHOOSE(CONTROL!$C$21, $C$9, 100%, $E$9)</f>
        <v>8.4641999999999999</v>
      </c>
      <c r="E166" s="14">
        <f>CHOOSE(CONTROL!$C$42, 8.4933, 8.4933) * CHOOSE(CONTROL!$C$21, $C$9, 100%, $E$9)</f>
        <v>8.4932999999999996</v>
      </c>
      <c r="F166" s="14">
        <f>CHOOSE(CONTROL!$C$42, 8.234, 8.234)*CHOOSE(CONTROL!$C$21, $C$9, 100%, $E$9)</f>
        <v>8.234</v>
      </c>
      <c r="G166" s="14">
        <f>CHOOSE(CONTROL!$C$42, 8.2496, 8.2496)*CHOOSE(CONTROL!$C$21, $C$9, 100%, $E$9)</f>
        <v>8.2495999999999992</v>
      </c>
      <c r="H166" s="14">
        <f>CHOOSE(CONTROL!$C$42, 8.4838, 8.4838) * CHOOSE(CONTROL!$C$21, $C$9, 100%, $E$9)</f>
        <v>8.4838000000000005</v>
      </c>
      <c r="I166" s="14">
        <f>CHOOSE(CONTROL!$C$42, 8.283, 8.283)* CHOOSE(CONTROL!$C$21, $C$9, 100%, $E$9)</f>
        <v>8.2829999999999995</v>
      </c>
      <c r="J166" s="14">
        <f>CHOOSE(CONTROL!$C$42, 8.227, 8.227)* CHOOSE(CONTROL!$C$21, $C$9, 100%, $E$9)</f>
        <v>8.2270000000000003</v>
      </c>
      <c r="K166" s="53">
        <f>CHOOSE(CONTROL!$C$42, 8.2791, 8.2791) * CHOOSE(CONTROL!$C$21, $C$9, 100%, $E$9)</f>
        <v>8.2790999999999997</v>
      </c>
      <c r="L166" s="14">
        <f>CHOOSE(CONTROL!$C$42, 9.0708, 9.0708) * CHOOSE(CONTROL!$C$21, $C$9, 100%, $E$9)</f>
        <v>9.0708000000000002</v>
      </c>
      <c r="M166" s="14">
        <f>CHOOSE(CONTROL!$C$42, 8.0661, 8.0661) * CHOOSE(CONTROL!$C$21, $C$9, 100%, $E$9)</f>
        <v>8.0661000000000005</v>
      </c>
      <c r="N166" s="14">
        <f>CHOOSE(CONTROL!$C$42, 8.0814, 8.0814) * CHOOSE(CONTROL!$C$21, $C$9, 100%, $E$9)</f>
        <v>8.0814000000000004</v>
      </c>
      <c r="O166" s="14">
        <f>CHOOSE(CONTROL!$C$42, 8.3177, 8.3177) * CHOOSE(CONTROL!$C$21, $C$9, 100%, $E$9)</f>
        <v>8.3177000000000003</v>
      </c>
      <c r="P166" s="14">
        <f>CHOOSE(CONTROL!$C$42, 8.1206, 8.1206) * CHOOSE(CONTROL!$C$21, $C$9, 100%, $E$9)</f>
        <v>8.1205999999999996</v>
      </c>
      <c r="Q166" s="14">
        <f>CHOOSE(CONTROL!$C$42, 8.9124, 8.9124) * CHOOSE(CONTROL!$C$21, $C$9, 100%, $E$9)</f>
        <v>8.9123999999999999</v>
      </c>
      <c r="R166" s="14">
        <f>CHOOSE(CONTROL!$C$42, 9.5216, 9.5216) * CHOOSE(CONTROL!$C$21, $C$9, 100%, $E$9)</f>
        <v>9.5215999999999994</v>
      </c>
      <c r="S166" s="14">
        <f>CHOOSE(CONTROL!$C$42, 7.9185, 7.9185) * CHOOSE(CONTROL!$C$21, $C$9, 100%, $E$9)</f>
        <v>7.9184999999999999</v>
      </c>
      <c r="T16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66" s="57">
        <f>(1000*CHOOSE(CONTROL!$C$42, 695, 695)*CHOOSE(CONTROL!$C$42, 0.5599, 0.5599)*CHOOSE(CONTROL!$C$42, 31, 31))/1000000</f>
        <v>12.063045499999998</v>
      </c>
      <c r="V166" s="57">
        <f>(1000*CHOOSE(CONTROL!$C$42, 500, 500)*CHOOSE(CONTROL!$C$42, 0.275, 0.275)*CHOOSE(CONTROL!$C$42, 31, 31))/1000000</f>
        <v>4.2625000000000002</v>
      </c>
      <c r="W166" s="57">
        <f>(1000*CHOOSE(CONTROL!$C$42, 0.1146, 0.1146)*CHOOSE(CONTROL!$C$42, 121.5, 121.5)*CHOOSE(CONTROL!$C$42, 31, 31))/1000000</f>
        <v>0.43164089999999994</v>
      </c>
      <c r="X166" s="57">
        <f>(31*0.1790888*245000/1000000)+(31*0.2374*100000/1000000)</f>
        <v>2.0961194359999999</v>
      </c>
      <c r="Y166" s="57"/>
      <c r="Z166" s="14"/>
      <c r="AA166" s="56"/>
      <c r="AB166" s="50">
        <f>(B166*131.881+C166*277.167+D166*79.08+E166*125.872+F166*40+G166*185+H166*0+I166*100+J166*300)/(131.881+277.167+79.08+125.872+0+40+185+100+300)</f>
        <v>8.2860924767554476</v>
      </c>
      <c r="AC166" s="45">
        <f>(M166*'RAP TEMPLATE-GAS AVAILABILITY'!O165+N166*'RAP TEMPLATE-GAS AVAILABILITY'!P165+O166*'RAP TEMPLATE-GAS AVAILABILITY'!Q165+P166*'RAP TEMPLATE-GAS AVAILABILITY'!R165)/('RAP TEMPLATE-GAS AVAILABILITY'!O165+'RAP TEMPLATE-GAS AVAILABILITY'!P165+'RAP TEMPLATE-GAS AVAILABILITY'!Q165+'RAP TEMPLATE-GAS AVAILABILITY'!R165)</f>
        <v>8.1480568345323743</v>
      </c>
    </row>
    <row r="167" spans="1:29" ht="15.75" x14ac:dyDescent="0.25">
      <c r="A167" s="13">
        <v>45962</v>
      </c>
      <c r="B167" s="14">
        <f>CHOOSE(CONTROL!$C$42, 8.4841, 8.4841) * CHOOSE(CONTROL!$C$21, $C$9, 100%, $E$9)</f>
        <v>8.4840999999999998</v>
      </c>
      <c r="C167" s="14">
        <f>CHOOSE(CONTROL!$C$42, 8.4891, 8.4891) * CHOOSE(CONTROL!$C$21, $C$9, 100%, $E$9)</f>
        <v>8.4891000000000005</v>
      </c>
      <c r="D167" s="14">
        <f>CHOOSE(CONTROL!$C$42, 8.5529, 8.5529) * CHOOSE(CONTROL!$C$21, $C$9, 100%, $E$9)</f>
        <v>8.5528999999999993</v>
      </c>
      <c r="E167" s="14">
        <f>CHOOSE(CONTROL!$C$42, 8.587, 8.587) * CHOOSE(CONTROL!$C$21, $C$9, 100%, $E$9)</f>
        <v>8.5869999999999997</v>
      </c>
      <c r="F167" s="14">
        <f>CHOOSE(CONTROL!$C$42, 8.4865, 8.4865)*CHOOSE(CONTROL!$C$21, $C$9, 100%, $E$9)</f>
        <v>8.4864999999999995</v>
      </c>
      <c r="G167" s="14">
        <f>CHOOSE(CONTROL!$C$42, 8.5025, 8.5025)*CHOOSE(CONTROL!$C$21, $C$9, 100%, $E$9)</f>
        <v>8.5024999999999995</v>
      </c>
      <c r="H167" s="14">
        <f>CHOOSE(CONTROL!$C$42, 8.5762, 8.5762) * CHOOSE(CONTROL!$C$21, $C$9, 100%, $E$9)</f>
        <v>8.5762</v>
      </c>
      <c r="I167" s="14">
        <f>CHOOSE(CONTROL!$C$42, 8.5235, 8.5235)* CHOOSE(CONTROL!$C$21, $C$9, 100%, $E$9)</f>
        <v>8.5235000000000003</v>
      </c>
      <c r="J167" s="14">
        <f>CHOOSE(CONTROL!$C$42, 8.4795, 8.4795)* CHOOSE(CONTROL!$C$21, $C$9, 100%, $E$9)</f>
        <v>8.4794999999999998</v>
      </c>
      <c r="K167" s="53">
        <f>CHOOSE(CONTROL!$C$42, 8.5196, 8.5196) * CHOOSE(CONTROL!$C$21, $C$9, 100%, $E$9)</f>
        <v>8.5196000000000005</v>
      </c>
      <c r="L167" s="14">
        <f>CHOOSE(CONTROL!$C$42, 9.1632, 9.1632) * CHOOSE(CONTROL!$C$21, $C$9, 100%, $E$9)</f>
        <v>9.1631999999999998</v>
      </c>
      <c r="M167" s="14">
        <f>CHOOSE(CONTROL!$C$42, 8.3134, 8.3134) * CHOOSE(CONTROL!$C$21, $C$9, 100%, $E$9)</f>
        <v>8.3133999999999997</v>
      </c>
      <c r="N167" s="14">
        <f>CHOOSE(CONTROL!$C$42, 8.3291, 8.3291) * CHOOSE(CONTROL!$C$21, $C$9, 100%, $E$9)</f>
        <v>8.3291000000000004</v>
      </c>
      <c r="O167" s="14">
        <f>CHOOSE(CONTROL!$C$42, 8.4082, 8.4082) * CHOOSE(CONTROL!$C$21, $C$9, 100%, $E$9)</f>
        <v>8.4082000000000008</v>
      </c>
      <c r="P167" s="14">
        <f>CHOOSE(CONTROL!$C$42, 8.3561, 8.3561) * CHOOSE(CONTROL!$C$21, $C$9, 100%, $E$9)</f>
        <v>8.3560999999999996</v>
      </c>
      <c r="Q167" s="14">
        <f>CHOOSE(CONTROL!$C$42, 9.0029, 9.0029) * CHOOSE(CONTROL!$C$21, $C$9, 100%, $E$9)</f>
        <v>9.0029000000000003</v>
      </c>
      <c r="R167" s="14">
        <f>CHOOSE(CONTROL!$C$42, 9.6124, 9.6124) * CHOOSE(CONTROL!$C$21, $C$9, 100%, $E$9)</f>
        <v>9.6123999999999992</v>
      </c>
      <c r="S167" s="14">
        <f>CHOOSE(CONTROL!$C$42, 8.1438, 8.1438) * CHOOSE(CONTROL!$C$21, $C$9, 100%, $E$9)</f>
        <v>8.1438000000000006</v>
      </c>
      <c r="T16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67" s="57">
        <f>(1000*CHOOSE(CONTROL!$C$42, 695, 695)*CHOOSE(CONTROL!$C$42, 0.5599, 0.5599)*CHOOSE(CONTROL!$C$42, 30, 30))/1000000</f>
        <v>11.673914999999997</v>
      </c>
      <c r="V167" s="57">
        <f>(1000*CHOOSE(CONTROL!$C$42, 500, 500)*CHOOSE(CONTROL!$C$42, 0.275, 0.275)*CHOOSE(CONTROL!$C$42, 30, 30))/1000000</f>
        <v>4.125</v>
      </c>
      <c r="W167" s="57">
        <f>(1000*CHOOSE(CONTROL!$C$42, 0.1146, 0.1146)*CHOOSE(CONTROL!$C$42, 121.5, 121.5)*CHOOSE(CONTROL!$C$42, 30, 30))/1000000</f>
        <v>0.417717</v>
      </c>
      <c r="X167" s="57">
        <f>(30*0.1790888*100000/1000000)+(30*0.2374*100000/1000000)</f>
        <v>1.2494664</v>
      </c>
      <c r="Y167" s="57"/>
      <c r="Z167" s="14"/>
      <c r="AA167" s="56"/>
      <c r="AB167" s="50">
        <f>(B167*122.58+C167*297.941+D167*89.177+E167*40.302+F167*40+G167*160+H167*0+I167*100+J167*300)/(122.58+297.941+89.177+40.302+0+40+160+100+300)</f>
        <v>8.4992062246956515</v>
      </c>
      <c r="AC167" s="45">
        <f>(M167*'RAP TEMPLATE-GAS AVAILABILITY'!O166+N167*'RAP TEMPLATE-GAS AVAILABILITY'!P166+O167*'RAP TEMPLATE-GAS AVAILABILITY'!Q166+P167*'RAP TEMPLATE-GAS AVAILABILITY'!R166)/('RAP TEMPLATE-GAS AVAILABILITY'!O166+'RAP TEMPLATE-GAS AVAILABILITY'!P166+'RAP TEMPLATE-GAS AVAILABILITY'!Q166+'RAP TEMPLATE-GAS AVAILABILITY'!R166)</f>
        <v>8.3634143884892076</v>
      </c>
    </row>
    <row r="168" spans="1:29" ht="15.75" x14ac:dyDescent="0.25">
      <c r="A168" s="13">
        <v>45992</v>
      </c>
      <c r="B168" s="14">
        <f>CHOOSE(CONTROL!$C$42, 9.0805, 9.0805) * CHOOSE(CONTROL!$C$21, $C$9, 100%, $E$9)</f>
        <v>9.0805000000000007</v>
      </c>
      <c r="C168" s="14">
        <f>CHOOSE(CONTROL!$C$42, 9.0856, 9.0856) * CHOOSE(CONTROL!$C$21, $C$9, 100%, $E$9)</f>
        <v>9.0855999999999995</v>
      </c>
      <c r="D168" s="14">
        <f>CHOOSE(CONTROL!$C$42, 9.1494, 9.1494) * CHOOSE(CONTROL!$C$21, $C$9, 100%, $E$9)</f>
        <v>9.1494</v>
      </c>
      <c r="E168" s="14">
        <f>CHOOSE(CONTROL!$C$42, 9.1835, 9.1835) * CHOOSE(CONTROL!$C$21, $C$9, 100%, $E$9)</f>
        <v>9.1835000000000004</v>
      </c>
      <c r="F168" s="14">
        <f>CHOOSE(CONTROL!$C$42, 9.0851, 9.0851)*CHOOSE(CONTROL!$C$21, $C$9, 100%, $E$9)</f>
        <v>9.0851000000000006</v>
      </c>
      <c r="G168" s="14">
        <f>CHOOSE(CONTROL!$C$42, 9.1017, 9.1017)*CHOOSE(CONTROL!$C$21, $C$9, 100%, $E$9)</f>
        <v>9.1016999999999992</v>
      </c>
      <c r="H168" s="14">
        <f>CHOOSE(CONTROL!$C$42, 9.1727, 9.1727) * CHOOSE(CONTROL!$C$21, $C$9, 100%, $E$9)</f>
        <v>9.1727000000000007</v>
      </c>
      <c r="I168" s="14">
        <f>CHOOSE(CONTROL!$C$42, 9.1218, 9.1218)* CHOOSE(CONTROL!$C$21, $C$9, 100%, $E$9)</f>
        <v>9.1218000000000004</v>
      </c>
      <c r="J168" s="14">
        <f>CHOOSE(CONTROL!$C$42, 9.0781, 9.0781)* CHOOSE(CONTROL!$C$21, $C$9, 100%, $E$9)</f>
        <v>9.0780999999999992</v>
      </c>
      <c r="K168" s="53">
        <f>CHOOSE(CONTROL!$C$42, 9.1179, 9.1179) * CHOOSE(CONTROL!$C$21, $C$9, 100%, $E$9)</f>
        <v>9.1179000000000006</v>
      </c>
      <c r="L168" s="14">
        <f>CHOOSE(CONTROL!$C$42, 9.7597, 9.7597) * CHOOSE(CONTROL!$C$21, $C$9, 100%, $E$9)</f>
        <v>9.7597000000000005</v>
      </c>
      <c r="M168" s="14">
        <f>CHOOSE(CONTROL!$C$42, 8.8998, 8.8998) * CHOOSE(CONTROL!$C$21, $C$9, 100%, $E$9)</f>
        <v>8.8998000000000008</v>
      </c>
      <c r="N168" s="14">
        <f>CHOOSE(CONTROL!$C$42, 8.9161, 8.9161) * CHOOSE(CONTROL!$C$21, $C$9, 100%, $E$9)</f>
        <v>8.9161000000000001</v>
      </c>
      <c r="O168" s="14">
        <f>CHOOSE(CONTROL!$C$42, 8.9924, 8.9924) * CHOOSE(CONTROL!$C$21, $C$9, 100%, $E$9)</f>
        <v>8.9923999999999999</v>
      </c>
      <c r="P168" s="14">
        <f>CHOOSE(CONTROL!$C$42, 8.9421, 8.9421) * CHOOSE(CONTROL!$C$21, $C$9, 100%, $E$9)</f>
        <v>8.9420999999999999</v>
      </c>
      <c r="Q168" s="14">
        <f>CHOOSE(CONTROL!$C$42, 9.5871, 9.5871) * CHOOSE(CONTROL!$C$21, $C$9, 100%, $E$9)</f>
        <v>9.5870999999999995</v>
      </c>
      <c r="R168" s="14">
        <f>CHOOSE(CONTROL!$C$42, 10.1981, 10.1981) * CHOOSE(CONTROL!$C$21, $C$9, 100%, $E$9)</f>
        <v>10.1981</v>
      </c>
      <c r="S168" s="14">
        <f>CHOOSE(CONTROL!$C$42, 8.7169, 8.7169) * CHOOSE(CONTROL!$C$21, $C$9, 100%, $E$9)</f>
        <v>8.7169000000000008</v>
      </c>
      <c r="T16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68" s="57">
        <f>(1000*CHOOSE(CONTROL!$C$42, 695, 695)*CHOOSE(CONTROL!$C$42, 0.5599, 0.5599)*CHOOSE(CONTROL!$C$42, 31, 31))/1000000</f>
        <v>12.063045499999998</v>
      </c>
      <c r="V168" s="57">
        <f>(1000*CHOOSE(CONTROL!$C$42, 500, 500)*CHOOSE(CONTROL!$C$42, 0.275, 0.275)*CHOOSE(CONTROL!$C$42, 31, 31))/1000000</f>
        <v>4.2625000000000002</v>
      </c>
      <c r="W168" s="57">
        <f>(1000*CHOOSE(CONTROL!$C$42, 0.1146, 0.1146)*CHOOSE(CONTROL!$C$42, 121.5, 121.5)*CHOOSE(CONTROL!$C$42, 31, 31))/1000000</f>
        <v>0.43164089999999994</v>
      </c>
      <c r="X168" s="57">
        <f>(31*0.1790888*100000/1000000)+(31*0.2374*100000/1000000)</f>
        <v>1.2911152800000001</v>
      </c>
      <c r="Y168" s="57"/>
      <c r="Z168" s="14"/>
      <c r="AA168" s="56"/>
      <c r="AB168" s="50">
        <f>(B168*122.58+C168*297.941+D168*89.177+E168*40.302+F168*40+G168*160+H168*0+I168*100+J168*300)/(122.58+297.941+89.177+40.302+0+40+160+100+300)</f>
        <v>9.0968486090434784</v>
      </c>
      <c r="AC168" s="45">
        <f>(M168*'RAP TEMPLATE-GAS AVAILABILITY'!O167+N168*'RAP TEMPLATE-GAS AVAILABILITY'!P167+O168*'RAP TEMPLATE-GAS AVAILABILITY'!Q167+P168*'RAP TEMPLATE-GAS AVAILABILITY'!R167)/('RAP TEMPLATE-GAS AVAILABILITY'!O167+'RAP TEMPLATE-GAS AVAILABILITY'!P167+'RAP TEMPLATE-GAS AVAILABILITY'!Q167+'RAP TEMPLATE-GAS AVAILABILITY'!R167)</f>
        <v>8.9487942446043167</v>
      </c>
    </row>
    <row r="169" spans="1:29" ht="15.75" x14ac:dyDescent="0.25">
      <c r="A169" s="13">
        <v>46023</v>
      </c>
      <c r="B169" s="14">
        <f>CHOOSE(CONTROL!$C$42, 9.5875, 9.5875) * CHOOSE(CONTROL!$C$21, $C$9, 100%, $E$9)</f>
        <v>9.5875000000000004</v>
      </c>
      <c r="C169" s="14">
        <f>CHOOSE(CONTROL!$C$42, 9.5925, 9.5925) * CHOOSE(CONTROL!$C$21, $C$9, 100%, $E$9)</f>
        <v>9.5924999999999994</v>
      </c>
      <c r="D169" s="14">
        <f>CHOOSE(CONTROL!$C$42, 9.659, 9.659) * CHOOSE(CONTROL!$C$21, $C$9, 100%, $E$9)</f>
        <v>9.6590000000000007</v>
      </c>
      <c r="E169" s="14">
        <f>CHOOSE(CONTROL!$C$42, 9.6931, 9.6931) * CHOOSE(CONTROL!$C$21, $C$9, 100%, $E$9)</f>
        <v>9.6930999999999994</v>
      </c>
      <c r="F169" s="14">
        <f>CHOOSE(CONTROL!$C$42, 9.5748, 9.5748)*CHOOSE(CONTROL!$C$21, $C$9, 100%, $E$9)</f>
        <v>9.5747999999999998</v>
      </c>
      <c r="G169" s="14">
        <f>CHOOSE(CONTROL!$C$42, 9.5903, 9.5903)*CHOOSE(CONTROL!$C$21, $C$9, 100%, $E$9)</f>
        <v>9.5902999999999992</v>
      </c>
      <c r="H169" s="14">
        <f>CHOOSE(CONTROL!$C$42, 9.6823, 9.6823) * CHOOSE(CONTROL!$C$21, $C$9, 100%, $E$9)</f>
        <v>9.6822999999999997</v>
      </c>
      <c r="I169" s="14">
        <f>CHOOSE(CONTROL!$C$42, 9.6251, 9.6251)* CHOOSE(CONTROL!$C$21, $C$9, 100%, $E$9)</f>
        <v>9.6250999999999998</v>
      </c>
      <c r="J169" s="14">
        <f>CHOOSE(CONTROL!$C$42, 9.5678, 9.5678)* CHOOSE(CONTROL!$C$21, $C$9, 100%, $E$9)</f>
        <v>9.5678000000000001</v>
      </c>
      <c r="K169" s="53">
        <f>CHOOSE(CONTROL!$C$42, 9.6212, 9.6212) * CHOOSE(CONTROL!$C$21, $C$9, 100%, $E$9)</f>
        <v>9.6212</v>
      </c>
      <c r="L169" s="14">
        <f>CHOOSE(CONTROL!$C$42, 10.2693, 10.2693) * CHOOSE(CONTROL!$C$21, $C$9, 100%, $E$9)</f>
        <v>10.269299999999999</v>
      </c>
      <c r="M169" s="14">
        <f>CHOOSE(CONTROL!$C$42, 9.3795, 9.3795) * CHOOSE(CONTROL!$C$21, $C$9, 100%, $E$9)</f>
        <v>9.3795000000000002</v>
      </c>
      <c r="N169" s="14">
        <f>CHOOSE(CONTROL!$C$42, 9.3946, 9.3946) * CHOOSE(CONTROL!$C$21, $C$9, 100%, $E$9)</f>
        <v>9.3946000000000005</v>
      </c>
      <c r="O169" s="14">
        <f>CHOOSE(CONTROL!$C$42, 9.4916, 9.4916) * CHOOSE(CONTROL!$C$21, $C$9, 100%, $E$9)</f>
        <v>9.4916</v>
      </c>
      <c r="P169" s="14">
        <f>CHOOSE(CONTROL!$C$42, 9.4351, 9.4351) * CHOOSE(CONTROL!$C$21, $C$9, 100%, $E$9)</f>
        <v>9.4351000000000003</v>
      </c>
      <c r="Q169" s="14">
        <f>CHOOSE(CONTROL!$C$42, 10.0863, 10.0863) * CHOOSE(CONTROL!$C$21, $C$9, 100%, $E$9)</f>
        <v>10.0863</v>
      </c>
      <c r="R169" s="14">
        <f>CHOOSE(CONTROL!$C$42, 10.6985, 10.6985) * CHOOSE(CONTROL!$C$21, $C$9, 100%, $E$9)</f>
        <v>10.698499999999999</v>
      </c>
      <c r="S169" s="14">
        <f>CHOOSE(CONTROL!$C$42, 9.2041, 9.2041) * CHOOSE(CONTROL!$C$21, $C$9, 100%, $E$9)</f>
        <v>9.2041000000000004</v>
      </c>
      <c r="T16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69" s="57">
        <f>(1000*CHOOSE(CONTROL!$C$42, 695, 695)*CHOOSE(CONTROL!$C$42, 0.5599, 0.5599)*CHOOSE(CONTROL!$C$42, 31, 31))/1000000</f>
        <v>12.063045499999998</v>
      </c>
      <c r="V169" s="57">
        <f>(1000*CHOOSE(CONTROL!$C$42, 500, 500)*CHOOSE(CONTROL!$C$42, 0.275, 0.275)*CHOOSE(CONTROL!$C$42, 31, 31))/1000000</f>
        <v>4.2625000000000002</v>
      </c>
      <c r="W169" s="57">
        <f>(1000*CHOOSE(CONTROL!$C$42, 0.1146, 0.1146)*CHOOSE(CONTROL!$C$42, 121.5, 121.5)*CHOOSE(CONTROL!$C$42, 31, 31))/1000000</f>
        <v>0.43164089999999994</v>
      </c>
      <c r="X169" s="57">
        <f>(31*0.1790888*100000/1000000)+(31*0.2374*100000/1000000)</f>
        <v>1.2911152800000001</v>
      </c>
      <c r="Y169" s="57"/>
      <c r="Z169" s="14"/>
      <c r="AA169" s="56"/>
      <c r="AB169" s="50">
        <f>(B169*122.58+C169*297.941+D169*89.177+E169*40.302+F169*40+G169*160+H169*0+I169*100+J169*300)/(122.58+297.941+89.177+40.302+0+40+160+100+300)</f>
        <v>9.5961189145217389</v>
      </c>
      <c r="AC169" s="45">
        <f>(M169*'RAP TEMPLATE-GAS AVAILABILITY'!O168+N169*'RAP TEMPLATE-GAS AVAILABILITY'!P168+O169*'RAP TEMPLATE-GAS AVAILABILITY'!Q168+P169*'RAP TEMPLATE-GAS AVAILABILITY'!R168)/('RAP TEMPLATE-GAS AVAILABILITY'!O168+'RAP TEMPLATE-GAS AVAILABILITY'!P168+'RAP TEMPLATE-GAS AVAILABILITY'!Q168+'RAP TEMPLATE-GAS AVAILABILITY'!R168)</f>
        <v>9.439176978417267</v>
      </c>
    </row>
    <row r="170" spans="1:29" ht="15.75" x14ac:dyDescent="0.25">
      <c r="A170" s="13">
        <v>46054</v>
      </c>
      <c r="B170" s="14">
        <f>CHOOSE(CONTROL!$C$42, 9.778, 9.778) * CHOOSE(CONTROL!$C$21, $C$9, 100%, $E$9)</f>
        <v>9.7780000000000005</v>
      </c>
      <c r="C170" s="14">
        <f>CHOOSE(CONTROL!$C$42, 9.7831, 9.7831) * CHOOSE(CONTROL!$C$21, $C$9, 100%, $E$9)</f>
        <v>9.7830999999999992</v>
      </c>
      <c r="D170" s="14">
        <f>CHOOSE(CONTROL!$C$42, 9.8495, 9.8495) * CHOOSE(CONTROL!$C$21, $C$9, 100%, $E$9)</f>
        <v>9.8495000000000008</v>
      </c>
      <c r="E170" s="14">
        <f>CHOOSE(CONTROL!$C$42, 9.8836, 9.8836) * CHOOSE(CONTROL!$C$21, $C$9, 100%, $E$9)</f>
        <v>9.8835999999999995</v>
      </c>
      <c r="F170" s="14">
        <f>CHOOSE(CONTROL!$C$42, 9.7655, 9.7655)*CHOOSE(CONTROL!$C$21, $C$9, 100%, $E$9)</f>
        <v>9.7654999999999994</v>
      </c>
      <c r="G170" s="14">
        <f>CHOOSE(CONTROL!$C$42, 9.7809, 9.7809)*CHOOSE(CONTROL!$C$21, $C$9, 100%, $E$9)</f>
        <v>9.7809000000000008</v>
      </c>
      <c r="H170" s="14">
        <f>CHOOSE(CONTROL!$C$42, 9.8728, 9.8728) * CHOOSE(CONTROL!$C$21, $C$9, 100%, $E$9)</f>
        <v>9.8727999999999998</v>
      </c>
      <c r="I170" s="14">
        <f>CHOOSE(CONTROL!$C$42, 9.8163, 9.8163)* CHOOSE(CONTROL!$C$21, $C$9, 100%, $E$9)</f>
        <v>9.8163</v>
      </c>
      <c r="J170" s="14">
        <f>CHOOSE(CONTROL!$C$42, 9.7585, 9.7585)* CHOOSE(CONTROL!$C$21, $C$9, 100%, $E$9)</f>
        <v>9.7584999999999997</v>
      </c>
      <c r="K170" s="53">
        <f>CHOOSE(CONTROL!$C$42, 9.8124, 9.8124) * CHOOSE(CONTROL!$C$21, $C$9, 100%, $E$9)</f>
        <v>9.8124000000000002</v>
      </c>
      <c r="L170" s="14">
        <f>CHOOSE(CONTROL!$C$42, 10.4598, 10.4598) * CHOOSE(CONTROL!$C$21, $C$9, 100%, $E$9)</f>
        <v>10.4598</v>
      </c>
      <c r="M170" s="14">
        <f>CHOOSE(CONTROL!$C$42, 9.5662, 9.5662) * CHOOSE(CONTROL!$C$21, $C$9, 100%, $E$9)</f>
        <v>9.5662000000000003</v>
      </c>
      <c r="N170" s="14">
        <f>CHOOSE(CONTROL!$C$42, 9.5814, 9.5814) * CHOOSE(CONTROL!$C$21, $C$9, 100%, $E$9)</f>
        <v>9.5814000000000004</v>
      </c>
      <c r="O170" s="14">
        <f>CHOOSE(CONTROL!$C$42, 9.6782, 9.6782) * CHOOSE(CONTROL!$C$21, $C$9, 100%, $E$9)</f>
        <v>9.6782000000000004</v>
      </c>
      <c r="P170" s="14">
        <f>CHOOSE(CONTROL!$C$42, 9.6223, 9.6223) * CHOOSE(CONTROL!$C$21, $C$9, 100%, $E$9)</f>
        <v>9.6222999999999992</v>
      </c>
      <c r="Q170" s="14">
        <f>CHOOSE(CONTROL!$C$42, 10.2729, 10.2729) * CHOOSE(CONTROL!$C$21, $C$9, 100%, $E$9)</f>
        <v>10.2729</v>
      </c>
      <c r="R170" s="14">
        <f>CHOOSE(CONTROL!$C$42, 10.8856, 10.8856) * CHOOSE(CONTROL!$C$21, $C$9, 100%, $E$9)</f>
        <v>10.8856</v>
      </c>
      <c r="S170" s="14">
        <f>CHOOSE(CONTROL!$C$42, 9.3872, 9.3872) * CHOOSE(CONTROL!$C$21, $C$9, 100%, $E$9)</f>
        <v>9.3872</v>
      </c>
      <c r="T17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70" s="57">
        <f>(1000*CHOOSE(CONTROL!$C$42, 695, 695)*CHOOSE(CONTROL!$C$42, 0.5599, 0.5599)*CHOOSE(CONTROL!$C$42, 28, 28))/1000000</f>
        <v>10.895653999999999</v>
      </c>
      <c r="V170" s="57">
        <f>(1000*CHOOSE(CONTROL!$C$42, 500, 500)*CHOOSE(CONTROL!$C$42, 0.275, 0.275)*CHOOSE(CONTROL!$C$42, 28, 28))/1000000</f>
        <v>3.85</v>
      </c>
      <c r="W170" s="57">
        <f>(1000*CHOOSE(CONTROL!$C$42, 0.1146, 0.1146)*CHOOSE(CONTROL!$C$42, 121.5, 121.5)*CHOOSE(CONTROL!$C$42, 28, 28))/1000000</f>
        <v>0.38986920000000003</v>
      </c>
      <c r="X170" s="57">
        <f>(28*0.1790888*100000/1000000)+(28*0.2374*100000/1000000)</f>
        <v>1.16616864</v>
      </c>
      <c r="Y170" s="57"/>
      <c r="Z170" s="14"/>
      <c r="AA170" s="56"/>
      <c r="AB170" s="50">
        <f>(B170*122.58+C170*297.941+D170*89.177+E170*40.302+F170*40+G170*160+H170*0+I170*100+J170*300)/(122.58+297.941+89.177+40.302+0+40+160+100+300)</f>
        <v>9.7867787354782614</v>
      </c>
      <c r="AC170" s="45">
        <f>(M170*'RAP TEMPLATE-GAS AVAILABILITY'!O169+N170*'RAP TEMPLATE-GAS AVAILABILITY'!P169+O170*'RAP TEMPLATE-GAS AVAILABILITY'!Q169+P170*'RAP TEMPLATE-GAS AVAILABILITY'!R169)/('RAP TEMPLATE-GAS AVAILABILITY'!O169+'RAP TEMPLATE-GAS AVAILABILITY'!P169+'RAP TEMPLATE-GAS AVAILABILITY'!Q169+'RAP TEMPLATE-GAS AVAILABILITY'!R169)</f>
        <v>9.6259093525179846</v>
      </c>
    </row>
    <row r="171" spans="1:29" ht="15.75" x14ac:dyDescent="0.25">
      <c r="A171" s="13">
        <v>46082</v>
      </c>
      <c r="B171" s="14">
        <f>CHOOSE(CONTROL!$C$42, 9.5203, 9.5203) * CHOOSE(CONTROL!$C$21, $C$9, 100%, $E$9)</f>
        <v>9.5203000000000007</v>
      </c>
      <c r="C171" s="14">
        <f>CHOOSE(CONTROL!$C$42, 9.5253, 9.5253) * CHOOSE(CONTROL!$C$21, $C$9, 100%, $E$9)</f>
        <v>9.5252999999999997</v>
      </c>
      <c r="D171" s="14">
        <f>CHOOSE(CONTROL!$C$42, 9.5917, 9.5917) * CHOOSE(CONTROL!$C$21, $C$9, 100%, $E$9)</f>
        <v>9.5916999999999994</v>
      </c>
      <c r="E171" s="14">
        <f>CHOOSE(CONTROL!$C$42, 9.6259, 9.6259) * CHOOSE(CONTROL!$C$21, $C$9, 100%, $E$9)</f>
        <v>9.6258999999999997</v>
      </c>
      <c r="F171" s="14">
        <f>CHOOSE(CONTROL!$C$42, 9.5073, 9.5073)*CHOOSE(CONTROL!$C$21, $C$9, 100%, $E$9)</f>
        <v>9.5073000000000008</v>
      </c>
      <c r="G171" s="14">
        <f>CHOOSE(CONTROL!$C$42, 9.5227, 9.5227)*CHOOSE(CONTROL!$C$21, $C$9, 100%, $E$9)</f>
        <v>9.5227000000000004</v>
      </c>
      <c r="H171" s="14">
        <f>CHOOSE(CONTROL!$C$42, 9.615, 9.615) * CHOOSE(CONTROL!$C$21, $C$9, 100%, $E$9)</f>
        <v>9.6150000000000002</v>
      </c>
      <c r="I171" s="14">
        <f>CHOOSE(CONTROL!$C$42, 9.5577, 9.5577)* CHOOSE(CONTROL!$C$21, $C$9, 100%, $E$9)</f>
        <v>9.5577000000000005</v>
      </c>
      <c r="J171" s="14">
        <f>CHOOSE(CONTROL!$C$42, 9.5003, 9.5003)* CHOOSE(CONTROL!$C$21, $C$9, 100%, $E$9)</f>
        <v>9.5002999999999993</v>
      </c>
      <c r="K171" s="53">
        <f>CHOOSE(CONTROL!$C$42, 9.5538, 9.5538) * CHOOSE(CONTROL!$C$21, $C$9, 100%, $E$9)</f>
        <v>9.5538000000000007</v>
      </c>
      <c r="L171" s="14">
        <f>CHOOSE(CONTROL!$C$42, 10.202, 10.202) * CHOOSE(CONTROL!$C$21, $C$9, 100%, $E$9)</f>
        <v>10.202</v>
      </c>
      <c r="M171" s="14">
        <f>CHOOSE(CONTROL!$C$42, 9.3133, 9.3133) * CHOOSE(CONTROL!$C$21, $C$9, 100%, $E$9)</f>
        <v>9.3132999999999999</v>
      </c>
      <c r="N171" s="14">
        <f>CHOOSE(CONTROL!$C$42, 9.3284, 9.3284) * CHOOSE(CONTROL!$C$21, $C$9, 100%, $E$9)</f>
        <v>9.3284000000000002</v>
      </c>
      <c r="O171" s="14">
        <f>CHOOSE(CONTROL!$C$42, 9.4257, 9.4257) * CHOOSE(CONTROL!$C$21, $C$9, 100%, $E$9)</f>
        <v>9.4257000000000009</v>
      </c>
      <c r="P171" s="14">
        <f>CHOOSE(CONTROL!$C$42, 9.369, 9.369) * CHOOSE(CONTROL!$C$21, $C$9, 100%, $E$9)</f>
        <v>9.3689999999999998</v>
      </c>
      <c r="Q171" s="14">
        <f>CHOOSE(CONTROL!$C$42, 10.0204, 10.0204) * CHOOSE(CONTROL!$C$21, $C$9, 100%, $E$9)</f>
        <v>10.0204</v>
      </c>
      <c r="R171" s="14">
        <f>CHOOSE(CONTROL!$C$42, 10.6325, 10.6325) * CHOOSE(CONTROL!$C$21, $C$9, 100%, $E$9)</f>
        <v>10.6325</v>
      </c>
      <c r="S171" s="14">
        <f>CHOOSE(CONTROL!$C$42, 9.1395, 9.1395) * CHOOSE(CONTROL!$C$21, $C$9, 100%, $E$9)</f>
        <v>9.1395</v>
      </c>
      <c r="T17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71" s="57">
        <f>(1000*CHOOSE(CONTROL!$C$42, 695, 695)*CHOOSE(CONTROL!$C$42, 0.5599, 0.5599)*CHOOSE(CONTROL!$C$42, 31, 31))/1000000</f>
        <v>12.063045499999998</v>
      </c>
      <c r="V171" s="57">
        <f>(1000*CHOOSE(CONTROL!$C$42, 500, 500)*CHOOSE(CONTROL!$C$42, 0.275, 0.275)*CHOOSE(CONTROL!$C$42, 31, 31))/1000000</f>
        <v>4.2625000000000002</v>
      </c>
      <c r="W171" s="57">
        <f>(1000*CHOOSE(CONTROL!$C$42, 0.1146, 0.1146)*CHOOSE(CONTROL!$C$42, 121.5, 121.5)*CHOOSE(CONTROL!$C$42, 31, 31))/1000000</f>
        <v>0.43164089999999994</v>
      </c>
      <c r="X171" s="57">
        <f>(31*0.1790888*100000/1000000)+(31*0.2374*100000/1000000)</f>
        <v>1.2911152800000001</v>
      </c>
      <c r="Y171" s="57"/>
      <c r="Z171" s="14"/>
      <c r="AA171" s="56"/>
      <c r="AB171" s="50">
        <f>(B171*122.58+C171*297.941+D171*89.177+E171*40.302+F171*40+G171*160+H171*0+I171*100+J171*300)/(122.58+297.941+89.177+40.302+0+40+160+100+300)</f>
        <v>9.5287494208695644</v>
      </c>
      <c r="AC171" s="45">
        <f>(M171*'RAP TEMPLATE-GAS AVAILABILITY'!O170+N171*'RAP TEMPLATE-GAS AVAILABILITY'!P170+O171*'RAP TEMPLATE-GAS AVAILABILITY'!Q170+P171*'RAP TEMPLATE-GAS AVAILABILITY'!R170)/('RAP TEMPLATE-GAS AVAILABILITY'!O170+'RAP TEMPLATE-GAS AVAILABILITY'!P170+'RAP TEMPLATE-GAS AVAILABILITY'!Q170+'RAP TEMPLATE-GAS AVAILABILITY'!R170)</f>
        <v>9.3731273381294962</v>
      </c>
    </row>
    <row r="172" spans="1:29" ht="15.75" x14ac:dyDescent="0.25">
      <c r="A172" s="13">
        <v>46113</v>
      </c>
      <c r="B172" s="14">
        <f>CHOOSE(CONTROL!$C$42, 9.5125, 9.5125) * CHOOSE(CONTROL!$C$21, $C$9, 100%, $E$9)</f>
        <v>9.5124999999999993</v>
      </c>
      <c r="C172" s="14">
        <f>CHOOSE(CONTROL!$C$42, 9.517, 9.517) * CHOOSE(CONTROL!$C$21, $C$9, 100%, $E$9)</f>
        <v>9.5169999999999995</v>
      </c>
      <c r="D172" s="14">
        <f>CHOOSE(CONTROL!$C$42, 9.7241, 9.7241) * CHOOSE(CONTROL!$C$21, $C$9, 100%, $E$9)</f>
        <v>9.7241</v>
      </c>
      <c r="E172" s="14">
        <f>CHOOSE(CONTROL!$C$42, 9.7562, 9.7562) * CHOOSE(CONTROL!$C$21, $C$9, 100%, $E$9)</f>
        <v>9.7561999999999998</v>
      </c>
      <c r="F172" s="14">
        <f>CHOOSE(CONTROL!$C$42, 9.4944, 9.4944)*CHOOSE(CONTROL!$C$21, $C$9, 100%, $E$9)</f>
        <v>9.4944000000000006</v>
      </c>
      <c r="G172" s="14">
        <f>CHOOSE(CONTROL!$C$42, 9.5096, 9.5096)*CHOOSE(CONTROL!$C$21, $C$9, 100%, $E$9)</f>
        <v>9.5096000000000007</v>
      </c>
      <c r="H172" s="14">
        <f>CHOOSE(CONTROL!$C$42, 9.746, 9.746) * CHOOSE(CONTROL!$C$21, $C$9, 100%, $E$9)</f>
        <v>9.7460000000000004</v>
      </c>
      <c r="I172" s="14">
        <f>CHOOSE(CONTROL!$C$42, 9.5491, 9.5491)* CHOOSE(CONTROL!$C$21, $C$9, 100%, $E$9)</f>
        <v>9.5490999999999993</v>
      </c>
      <c r="J172" s="14">
        <f>CHOOSE(CONTROL!$C$42, 9.4874, 9.4874)* CHOOSE(CONTROL!$C$21, $C$9, 100%, $E$9)</f>
        <v>9.4873999999999992</v>
      </c>
      <c r="K172" s="53">
        <f>CHOOSE(CONTROL!$C$42, 9.5452, 9.5452) * CHOOSE(CONTROL!$C$21, $C$9, 100%, $E$9)</f>
        <v>9.5451999999999995</v>
      </c>
      <c r="L172" s="14">
        <f>CHOOSE(CONTROL!$C$42, 10.333, 10.333) * CHOOSE(CONTROL!$C$21, $C$9, 100%, $E$9)</f>
        <v>10.333</v>
      </c>
      <c r="M172" s="14">
        <f>CHOOSE(CONTROL!$C$42, 9.3007, 9.3007) * CHOOSE(CONTROL!$C$21, $C$9, 100%, $E$9)</f>
        <v>9.3007000000000009</v>
      </c>
      <c r="N172" s="14">
        <f>CHOOSE(CONTROL!$C$42, 9.3156, 9.3156) * CHOOSE(CONTROL!$C$21, $C$9, 100%, $E$9)</f>
        <v>9.3155999999999999</v>
      </c>
      <c r="O172" s="14">
        <f>CHOOSE(CONTROL!$C$42, 9.554, 9.554) * CHOOSE(CONTROL!$C$21, $C$9, 100%, $E$9)</f>
        <v>9.5540000000000003</v>
      </c>
      <c r="P172" s="14">
        <f>CHOOSE(CONTROL!$C$42, 9.3606, 9.3606) * CHOOSE(CONTROL!$C$21, $C$9, 100%, $E$9)</f>
        <v>9.3605999999999998</v>
      </c>
      <c r="Q172" s="14">
        <f>CHOOSE(CONTROL!$C$42, 10.1487, 10.1487) * CHOOSE(CONTROL!$C$21, $C$9, 100%, $E$9)</f>
        <v>10.1487</v>
      </c>
      <c r="R172" s="14">
        <f>CHOOSE(CONTROL!$C$42, 10.761, 10.761) * CHOOSE(CONTROL!$C$21, $C$9, 100%, $E$9)</f>
        <v>10.760999999999999</v>
      </c>
      <c r="S172" s="14">
        <f>CHOOSE(CONTROL!$C$42, 9.1313, 9.1313) * CHOOSE(CONTROL!$C$21, $C$9, 100%, $E$9)</f>
        <v>9.1312999999999995</v>
      </c>
      <c r="T17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72" s="57">
        <f>(1000*CHOOSE(CONTROL!$C$42, 695, 695)*CHOOSE(CONTROL!$C$42, 0.5599, 0.5599)*CHOOSE(CONTROL!$C$42, 30, 30))/1000000</f>
        <v>11.673914999999997</v>
      </c>
      <c r="V172" s="57">
        <f>(1000*CHOOSE(CONTROL!$C$42, 500, 500)*CHOOSE(CONTROL!$C$42, 0.275, 0.275)*CHOOSE(CONTROL!$C$42, 30, 30))/1000000</f>
        <v>4.125</v>
      </c>
      <c r="W172" s="57">
        <f>(1000*CHOOSE(CONTROL!$C$42, 0.1146, 0.1146)*CHOOSE(CONTROL!$C$42, 121.5, 121.5)*CHOOSE(CONTROL!$C$42, 30, 30))/1000000</f>
        <v>0.417717</v>
      </c>
      <c r="X172" s="57">
        <f>(30*0.1790888*245000/1000000)+(30*0.2374*100000/1000000)</f>
        <v>2.0285026799999999</v>
      </c>
      <c r="Y172" s="57"/>
      <c r="Z172" s="14"/>
      <c r="AA172" s="56"/>
      <c r="AB172" s="50">
        <f>(B172*141.293+C172*267.993+D172*115.016+E172*89.698+F172*40+G172*185+H172*0+I172*100+J172*300)/(141.293+267.993+115.016+89.698+0+40+185+100+300)</f>
        <v>9.5466180441485058</v>
      </c>
      <c r="AC172" s="45">
        <f>(M172*'RAP TEMPLATE-GAS AVAILABILITY'!O171+N172*'RAP TEMPLATE-GAS AVAILABILITY'!P171+O172*'RAP TEMPLATE-GAS AVAILABILITY'!Q171+P172*'RAP TEMPLATE-GAS AVAILABILITY'!R171)/('RAP TEMPLATE-GAS AVAILABILITY'!O171+'RAP TEMPLATE-GAS AVAILABILITY'!P171+'RAP TEMPLATE-GAS AVAILABILITY'!Q171+'RAP TEMPLATE-GAS AVAILABILITY'!R171)</f>
        <v>9.3838187050359725</v>
      </c>
    </row>
    <row r="173" spans="1:29" ht="15.75" x14ac:dyDescent="0.25">
      <c r="A173" s="13">
        <v>46143</v>
      </c>
      <c r="B173" s="14">
        <f>CHOOSE(CONTROL!$C$42, 9.6175, 9.6175) * CHOOSE(CONTROL!$C$21, $C$9, 100%, $E$9)</f>
        <v>9.6174999999999997</v>
      </c>
      <c r="C173" s="14">
        <f>CHOOSE(CONTROL!$C$42, 9.6255, 9.6255) * CHOOSE(CONTROL!$C$21, $C$9, 100%, $E$9)</f>
        <v>9.6255000000000006</v>
      </c>
      <c r="D173" s="14">
        <f>CHOOSE(CONTROL!$C$42, 9.8295, 9.8295) * CHOOSE(CONTROL!$C$21, $C$9, 100%, $E$9)</f>
        <v>9.8294999999999995</v>
      </c>
      <c r="E173" s="14">
        <f>CHOOSE(CONTROL!$C$42, 9.8609, 9.8609) * CHOOSE(CONTROL!$C$21, $C$9, 100%, $E$9)</f>
        <v>9.8609000000000009</v>
      </c>
      <c r="F173" s="14">
        <f>CHOOSE(CONTROL!$C$42, 9.5982, 9.5982)*CHOOSE(CONTROL!$C$21, $C$9, 100%, $E$9)</f>
        <v>9.5982000000000003</v>
      </c>
      <c r="G173" s="14">
        <f>CHOOSE(CONTROL!$C$42, 9.6139, 9.6139)*CHOOSE(CONTROL!$C$21, $C$9, 100%, $E$9)</f>
        <v>9.6138999999999992</v>
      </c>
      <c r="H173" s="14">
        <f>CHOOSE(CONTROL!$C$42, 9.8496, 9.8496) * CHOOSE(CONTROL!$C$21, $C$9, 100%, $E$9)</f>
        <v>9.8496000000000006</v>
      </c>
      <c r="I173" s="14">
        <f>CHOOSE(CONTROL!$C$42, 9.6531, 9.6531)* CHOOSE(CONTROL!$C$21, $C$9, 100%, $E$9)</f>
        <v>9.6531000000000002</v>
      </c>
      <c r="J173" s="14">
        <f>CHOOSE(CONTROL!$C$42, 9.5912, 9.5912)* CHOOSE(CONTROL!$C$21, $C$9, 100%, $E$9)</f>
        <v>9.5912000000000006</v>
      </c>
      <c r="K173" s="53">
        <f>CHOOSE(CONTROL!$C$42, 9.6492, 9.6492) * CHOOSE(CONTROL!$C$21, $C$9, 100%, $E$9)</f>
        <v>9.6492000000000004</v>
      </c>
      <c r="L173" s="14">
        <f>CHOOSE(CONTROL!$C$42, 10.4366, 10.4366) * CHOOSE(CONTROL!$C$21, $C$9, 100%, $E$9)</f>
        <v>10.4366</v>
      </c>
      <c r="M173" s="14">
        <f>CHOOSE(CONTROL!$C$42, 9.4024, 9.4024) * CHOOSE(CONTROL!$C$21, $C$9, 100%, $E$9)</f>
        <v>9.4024000000000001</v>
      </c>
      <c r="N173" s="14">
        <f>CHOOSE(CONTROL!$C$42, 9.4178, 9.4178) * CHOOSE(CONTROL!$C$21, $C$9, 100%, $E$9)</f>
        <v>9.4177999999999997</v>
      </c>
      <c r="O173" s="14">
        <f>CHOOSE(CONTROL!$C$42, 9.6554, 9.6554) * CHOOSE(CONTROL!$C$21, $C$9, 100%, $E$9)</f>
        <v>9.6554000000000002</v>
      </c>
      <c r="P173" s="14">
        <f>CHOOSE(CONTROL!$C$42, 9.4624, 9.4624) * CHOOSE(CONTROL!$C$21, $C$9, 100%, $E$9)</f>
        <v>9.4624000000000006</v>
      </c>
      <c r="Q173" s="14">
        <f>CHOOSE(CONTROL!$C$42, 10.2501, 10.2501) * CHOOSE(CONTROL!$C$21, $C$9, 100%, $E$9)</f>
        <v>10.2501</v>
      </c>
      <c r="R173" s="14">
        <f>CHOOSE(CONTROL!$C$42, 10.8628, 10.8628) * CHOOSE(CONTROL!$C$21, $C$9, 100%, $E$9)</f>
        <v>10.8628</v>
      </c>
      <c r="S173" s="14">
        <f>CHOOSE(CONTROL!$C$42, 9.2308, 9.2308) * CHOOSE(CONTROL!$C$21, $C$9, 100%, $E$9)</f>
        <v>9.2308000000000003</v>
      </c>
      <c r="T17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73" s="57">
        <f>(1000*CHOOSE(CONTROL!$C$42, 695, 695)*CHOOSE(CONTROL!$C$42, 0.5599, 0.5599)*CHOOSE(CONTROL!$C$42, 31, 31))/1000000</f>
        <v>12.063045499999998</v>
      </c>
      <c r="V173" s="57">
        <f>(1000*CHOOSE(CONTROL!$C$42, 500, 500)*CHOOSE(CONTROL!$C$42, 0.275, 0.275)*CHOOSE(CONTROL!$C$42, 31, 31))/1000000</f>
        <v>4.2625000000000002</v>
      </c>
      <c r="W173" s="57">
        <f>(1000*CHOOSE(CONTROL!$C$42, 0.1146, 0.1146)*CHOOSE(CONTROL!$C$42, 121.5, 121.5)*CHOOSE(CONTROL!$C$42, 31, 31))/1000000</f>
        <v>0.43164089999999994</v>
      </c>
      <c r="X173" s="57">
        <f>(31*0.1790888*245000/1000000)+(31*0.2374*100000/1000000)</f>
        <v>2.0961194359999999</v>
      </c>
      <c r="Y173" s="57"/>
      <c r="Z173" s="14"/>
      <c r="AA173" s="56"/>
      <c r="AB173" s="50">
        <f>(B173*194.205+C173*267.466+D173*133.845+E173*53.484+F173*40+G173*185+H173*0+I173*100+J173*300)/(194.205+267.466+133.845+53.484+0+40+185+100+300)</f>
        <v>9.6471427579277869</v>
      </c>
      <c r="AC173" s="45">
        <f>(M173*'RAP TEMPLATE-GAS AVAILABILITY'!O172+N173*'RAP TEMPLATE-GAS AVAILABILITY'!P172+O173*'RAP TEMPLATE-GAS AVAILABILITY'!Q172+P173*'RAP TEMPLATE-GAS AVAILABILITY'!R172)/('RAP TEMPLATE-GAS AVAILABILITY'!O172+'RAP TEMPLATE-GAS AVAILABILITY'!P172+'RAP TEMPLATE-GAS AVAILABILITY'!Q172+'RAP TEMPLATE-GAS AVAILABILITY'!R172)</f>
        <v>9.4855640287769774</v>
      </c>
    </row>
    <row r="174" spans="1:29" ht="15.75" x14ac:dyDescent="0.25">
      <c r="A174" s="13">
        <v>46174</v>
      </c>
      <c r="B174" s="14">
        <f>CHOOSE(CONTROL!$C$42, 9.9103, 9.9103) * CHOOSE(CONTROL!$C$21, $C$9, 100%, $E$9)</f>
        <v>9.9102999999999994</v>
      </c>
      <c r="C174" s="14">
        <f>CHOOSE(CONTROL!$C$42, 9.9183, 9.9183) * CHOOSE(CONTROL!$C$21, $C$9, 100%, $E$9)</f>
        <v>9.9183000000000003</v>
      </c>
      <c r="D174" s="14">
        <f>CHOOSE(CONTROL!$C$42, 10.1223, 10.1223) * CHOOSE(CONTROL!$C$21, $C$9, 100%, $E$9)</f>
        <v>10.122299999999999</v>
      </c>
      <c r="E174" s="14">
        <f>CHOOSE(CONTROL!$C$42, 10.1537, 10.1537) * CHOOSE(CONTROL!$C$21, $C$9, 100%, $E$9)</f>
        <v>10.153700000000001</v>
      </c>
      <c r="F174" s="14">
        <f>CHOOSE(CONTROL!$C$42, 9.8915, 9.8915)*CHOOSE(CONTROL!$C$21, $C$9, 100%, $E$9)</f>
        <v>9.8915000000000006</v>
      </c>
      <c r="G174" s="14">
        <f>CHOOSE(CONTROL!$C$42, 9.9073, 9.9073)*CHOOSE(CONTROL!$C$21, $C$9, 100%, $E$9)</f>
        <v>9.9072999999999993</v>
      </c>
      <c r="H174" s="14">
        <f>CHOOSE(CONTROL!$C$42, 10.1424, 10.1424) * CHOOSE(CONTROL!$C$21, $C$9, 100%, $E$9)</f>
        <v>10.1424</v>
      </c>
      <c r="I174" s="14">
        <f>CHOOSE(CONTROL!$C$42, 9.9468, 9.9468)* CHOOSE(CONTROL!$C$21, $C$9, 100%, $E$9)</f>
        <v>9.9467999999999996</v>
      </c>
      <c r="J174" s="14">
        <f>CHOOSE(CONTROL!$C$42, 9.8845, 9.8845)* CHOOSE(CONTROL!$C$21, $C$9, 100%, $E$9)</f>
        <v>9.8844999999999992</v>
      </c>
      <c r="K174" s="53">
        <f>CHOOSE(CONTROL!$C$42, 9.9429, 9.9429) * CHOOSE(CONTROL!$C$21, $C$9, 100%, $E$9)</f>
        <v>9.9428999999999998</v>
      </c>
      <c r="L174" s="14">
        <f>CHOOSE(CONTROL!$C$42, 10.7294, 10.7294) * CHOOSE(CONTROL!$C$21, $C$9, 100%, $E$9)</f>
        <v>10.7294</v>
      </c>
      <c r="M174" s="14">
        <f>CHOOSE(CONTROL!$C$42, 9.6896, 9.6896) * CHOOSE(CONTROL!$C$21, $C$9, 100%, $E$9)</f>
        <v>9.6896000000000004</v>
      </c>
      <c r="N174" s="14">
        <f>CHOOSE(CONTROL!$C$42, 9.7051, 9.7051) * CHOOSE(CONTROL!$C$21, $C$9, 100%, $E$9)</f>
        <v>9.7050999999999998</v>
      </c>
      <c r="O174" s="14">
        <f>CHOOSE(CONTROL!$C$42, 9.9423, 9.9423) * CHOOSE(CONTROL!$C$21, $C$9, 100%, $E$9)</f>
        <v>9.9422999999999995</v>
      </c>
      <c r="P174" s="14">
        <f>CHOOSE(CONTROL!$C$42, 9.7501, 9.7501) * CHOOSE(CONTROL!$C$21, $C$9, 100%, $E$9)</f>
        <v>9.7500999999999998</v>
      </c>
      <c r="Q174" s="14">
        <f>CHOOSE(CONTROL!$C$42, 10.537, 10.537) * CHOOSE(CONTROL!$C$21, $C$9, 100%, $E$9)</f>
        <v>10.537000000000001</v>
      </c>
      <c r="R174" s="14">
        <f>CHOOSE(CONTROL!$C$42, 11.1503, 11.1503) * CHOOSE(CONTROL!$C$21, $C$9, 100%, $E$9)</f>
        <v>11.1503</v>
      </c>
      <c r="S174" s="14">
        <f>CHOOSE(CONTROL!$C$42, 9.5122, 9.5122) * CHOOSE(CONTROL!$C$21, $C$9, 100%, $E$9)</f>
        <v>9.5122</v>
      </c>
      <c r="T17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74" s="57">
        <f>(1000*CHOOSE(CONTROL!$C$42, 695, 695)*CHOOSE(CONTROL!$C$42, 0.5599, 0.5599)*CHOOSE(CONTROL!$C$42, 30, 30))/1000000</f>
        <v>11.673914999999997</v>
      </c>
      <c r="V174" s="57">
        <f>(1000*CHOOSE(CONTROL!$C$42, 500, 500)*CHOOSE(CONTROL!$C$42, 0.275, 0.275)*CHOOSE(CONTROL!$C$42, 30, 30))/1000000</f>
        <v>4.125</v>
      </c>
      <c r="W174" s="57">
        <f>(1000*CHOOSE(CONTROL!$C$42, 0.1146, 0.1146)*CHOOSE(CONTROL!$C$42, 121.5, 121.5)*CHOOSE(CONTROL!$C$42, 30, 30))/1000000</f>
        <v>0.417717</v>
      </c>
      <c r="X174" s="57">
        <f>(30*0.1790888*245000/1000000)+(30*0.2374*100000/1000000)</f>
        <v>2.0285026799999999</v>
      </c>
      <c r="Y174" s="57"/>
      <c r="Z174" s="14"/>
      <c r="AA174" s="56"/>
      <c r="AB174" s="50">
        <f>(B174*194.205+C174*267.466+D174*133.845+E174*53.484+F174*40+G174*185+H174*0+I174*100+J174*300)/(194.205+267.466+133.845+53.484+0+40+185+100+300)</f>
        <v>9.9402339667189974</v>
      </c>
      <c r="AC174" s="45">
        <f>(M174*'RAP TEMPLATE-GAS AVAILABILITY'!O173+N174*'RAP TEMPLATE-GAS AVAILABILITY'!P173+O174*'RAP TEMPLATE-GAS AVAILABILITY'!Q173+P174*'RAP TEMPLATE-GAS AVAILABILITY'!R173)/('RAP TEMPLATE-GAS AVAILABILITY'!O173+'RAP TEMPLATE-GAS AVAILABILITY'!P173+'RAP TEMPLATE-GAS AVAILABILITY'!Q173+'RAP TEMPLATE-GAS AVAILABILITY'!R173)</f>
        <v>9.7727748201438835</v>
      </c>
    </row>
    <row r="175" spans="1:29" ht="15.75" x14ac:dyDescent="0.25">
      <c r="A175" s="13">
        <v>46204</v>
      </c>
      <c r="B175" s="14">
        <f>CHOOSE(CONTROL!$C$42, 9.7404, 9.7404) * CHOOSE(CONTROL!$C$21, $C$9, 100%, $E$9)</f>
        <v>9.7403999999999993</v>
      </c>
      <c r="C175" s="14">
        <f>CHOOSE(CONTROL!$C$42, 9.7484, 9.7484) * CHOOSE(CONTROL!$C$21, $C$9, 100%, $E$9)</f>
        <v>9.7484000000000002</v>
      </c>
      <c r="D175" s="14">
        <f>CHOOSE(CONTROL!$C$42, 9.9524, 9.9524) * CHOOSE(CONTROL!$C$21, $C$9, 100%, $E$9)</f>
        <v>9.9524000000000008</v>
      </c>
      <c r="E175" s="14">
        <f>CHOOSE(CONTROL!$C$42, 9.9838, 9.9838) * CHOOSE(CONTROL!$C$21, $C$9, 100%, $E$9)</f>
        <v>9.9838000000000005</v>
      </c>
      <c r="F175" s="14">
        <f>CHOOSE(CONTROL!$C$42, 9.722, 9.722)*CHOOSE(CONTROL!$C$21, $C$9, 100%, $E$9)</f>
        <v>9.7219999999999995</v>
      </c>
      <c r="G175" s="14">
        <f>CHOOSE(CONTROL!$C$42, 9.7379, 9.7379)*CHOOSE(CONTROL!$C$21, $C$9, 100%, $E$9)</f>
        <v>9.7378999999999998</v>
      </c>
      <c r="H175" s="14">
        <f>CHOOSE(CONTROL!$C$42, 9.9725, 9.9725) * CHOOSE(CONTROL!$C$21, $C$9, 100%, $E$9)</f>
        <v>9.9725000000000001</v>
      </c>
      <c r="I175" s="14">
        <f>CHOOSE(CONTROL!$C$42, 9.7764, 9.7764)* CHOOSE(CONTROL!$C$21, $C$9, 100%, $E$9)</f>
        <v>9.7764000000000006</v>
      </c>
      <c r="J175" s="14">
        <f>CHOOSE(CONTROL!$C$42, 9.715, 9.715)* CHOOSE(CONTROL!$C$21, $C$9, 100%, $E$9)</f>
        <v>9.7149999999999999</v>
      </c>
      <c r="K175" s="53">
        <f>CHOOSE(CONTROL!$C$42, 9.7725, 9.7725) * CHOOSE(CONTROL!$C$21, $C$9, 100%, $E$9)</f>
        <v>9.7725000000000009</v>
      </c>
      <c r="L175" s="14">
        <f>CHOOSE(CONTROL!$C$42, 10.5595, 10.5595) * CHOOSE(CONTROL!$C$21, $C$9, 100%, $E$9)</f>
        <v>10.5595</v>
      </c>
      <c r="M175" s="14">
        <f>CHOOSE(CONTROL!$C$42, 9.5237, 9.5237) * CHOOSE(CONTROL!$C$21, $C$9, 100%, $E$9)</f>
        <v>9.5236999999999998</v>
      </c>
      <c r="N175" s="14">
        <f>CHOOSE(CONTROL!$C$42, 9.5392, 9.5392) * CHOOSE(CONTROL!$C$21, $C$9, 100%, $E$9)</f>
        <v>9.5391999999999992</v>
      </c>
      <c r="O175" s="14">
        <f>CHOOSE(CONTROL!$C$42, 9.7758, 9.7758) * CHOOSE(CONTROL!$C$21, $C$9, 100%, $E$9)</f>
        <v>9.7758000000000003</v>
      </c>
      <c r="P175" s="14">
        <f>CHOOSE(CONTROL!$C$42, 9.5832, 9.5832) * CHOOSE(CONTROL!$C$21, $C$9, 100%, $E$9)</f>
        <v>9.5831999999999997</v>
      </c>
      <c r="Q175" s="14">
        <f>CHOOSE(CONTROL!$C$42, 10.3705, 10.3705) * CHOOSE(CONTROL!$C$21, $C$9, 100%, $E$9)</f>
        <v>10.3705</v>
      </c>
      <c r="R175" s="14">
        <f>CHOOSE(CONTROL!$C$42, 10.9835, 10.9835) * CHOOSE(CONTROL!$C$21, $C$9, 100%, $E$9)</f>
        <v>10.983499999999999</v>
      </c>
      <c r="S175" s="14">
        <f>CHOOSE(CONTROL!$C$42, 9.3489, 9.3489) * CHOOSE(CONTROL!$C$21, $C$9, 100%, $E$9)</f>
        <v>9.3489000000000004</v>
      </c>
      <c r="T17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75" s="57">
        <f>(1000*CHOOSE(CONTROL!$C$42, 695, 695)*CHOOSE(CONTROL!$C$42, 0.5599, 0.5599)*CHOOSE(CONTROL!$C$42, 31, 31))/1000000</f>
        <v>12.063045499999998</v>
      </c>
      <c r="V175" s="57">
        <f>(1000*CHOOSE(CONTROL!$C$42, 500, 500)*CHOOSE(CONTROL!$C$42, 0.275, 0.275)*CHOOSE(CONTROL!$C$42, 31, 31))/1000000</f>
        <v>4.2625000000000002</v>
      </c>
      <c r="W175" s="57">
        <f>(1000*CHOOSE(CONTROL!$C$42, 0.1146, 0.1146)*CHOOSE(CONTROL!$C$42, 121.5, 121.5)*CHOOSE(CONTROL!$C$42, 31, 31))/1000000</f>
        <v>0.43164089999999994</v>
      </c>
      <c r="X175" s="57">
        <f>(31*0.1790888*245000/1000000)+(31*0.2374*100000/1000000)</f>
        <v>2.0961194359999999</v>
      </c>
      <c r="Y175" s="57"/>
      <c r="Z175" s="14"/>
      <c r="AA175" s="56"/>
      <c r="AB175" s="50">
        <f>(B175*194.205+C175*267.466+D175*133.845+E175*53.484+F175*40+G175*185+H175*0+I175*100+J175*300)/(194.205+267.466+133.845+53.484+0+40+185+100+300)</f>
        <v>9.7704740766091049</v>
      </c>
      <c r="AC175" s="45">
        <f>(M175*'RAP TEMPLATE-GAS AVAILABILITY'!O174+N175*'RAP TEMPLATE-GAS AVAILABILITY'!P174+O175*'RAP TEMPLATE-GAS AVAILABILITY'!Q174+P175*'RAP TEMPLATE-GAS AVAILABILITY'!R174)/('RAP TEMPLATE-GAS AVAILABILITY'!O174+'RAP TEMPLATE-GAS AVAILABILITY'!P174+'RAP TEMPLATE-GAS AVAILABILITY'!Q174+'RAP TEMPLATE-GAS AVAILABILITY'!R174)</f>
        <v>9.6065625899280569</v>
      </c>
    </row>
    <row r="176" spans="1:29" ht="15.75" x14ac:dyDescent="0.25">
      <c r="A176" s="13">
        <v>46235</v>
      </c>
      <c r="B176" s="14">
        <f>CHOOSE(CONTROL!$C$42, 9.2789, 9.2789) * CHOOSE(CONTROL!$C$21, $C$9, 100%, $E$9)</f>
        <v>9.2789000000000001</v>
      </c>
      <c r="C176" s="14">
        <f>CHOOSE(CONTROL!$C$42, 9.287, 9.287) * CHOOSE(CONTROL!$C$21, $C$9, 100%, $E$9)</f>
        <v>9.2870000000000008</v>
      </c>
      <c r="D176" s="14">
        <f>CHOOSE(CONTROL!$C$42, 9.4909, 9.4909) * CHOOSE(CONTROL!$C$21, $C$9, 100%, $E$9)</f>
        <v>9.4908999999999999</v>
      </c>
      <c r="E176" s="14">
        <f>CHOOSE(CONTROL!$C$42, 9.5224, 9.5224) * CHOOSE(CONTROL!$C$21, $C$9, 100%, $E$9)</f>
        <v>9.5223999999999993</v>
      </c>
      <c r="F176" s="14">
        <f>CHOOSE(CONTROL!$C$42, 9.2608, 9.2608)*CHOOSE(CONTROL!$C$21, $C$9, 100%, $E$9)</f>
        <v>9.2607999999999997</v>
      </c>
      <c r="G176" s="14">
        <f>CHOOSE(CONTROL!$C$42, 9.2767, 9.2767)*CHOOSE(CONTROL!$C$21, $C$9, 100%, $E$9)</f>
        <v>9.2766999999999999</v>
      </c>
      <c r="H176" s="14">
        <f>CHOOSE(CONTROL!$C$42, 9.511, 9.511) * CHOOSE(CONTROL!$C$21, $C$9, 100%, $E$9)</f>
        <v>9.5109999999999992</v>
      </c>
      <c r="I176" s="14">
        <f>CHOOSE(CONTROL!$C$42, 9.3134, 9.3134)* CHOOSE(CONTROL!$C$21, $C$9, 100%, $E$9)</f>
        <v>9.3133999999999997</v>
      </c>
      <c r="J176" s="14">
        <f>CHOOSE(CONTROL!$C$42, 9.2538, 9.2538)* CHOOSE(CONTROL!$C$21, $C$9, 100%, $E$9)</f>
        <v>9.2538</v>
      </c>
      <c r="K176" s="53">
        <f>CHOOSE(CONTROL!$C$42, 9.3096, 9.3096) * CHOOSE(CONTROL!$C$21, $C$9, 100%, $E$9)</f>
        <v>9.3095999999999997</v>
      </c>
      <c r="L176" s="14">
        <f>CHOOSE(CONTROL!$C$42, 10.098, 10.098) * CHOOSE(CONTROL!$C$21, $C$9, 100%, $E$9)</f>
        <v>10.098000000000001</v>
      </c>
      <c r="M176" s="14">
        <f>CHOOSE(CONTROL!$C$42, 9.0719, 9.0719) * CHOOSE(CONTROL!$C$21, $C$9, 100%, $E$9)</f>
        <v>9.0718999999999994</v>
      </c>
      <c r="N176" s="14">
        <f>CHOOSE(CONTROL!$C$42, 9.0875, 9.0875) * CHOOSE(CONTROL!$C$21, $C$9, 100%, $E$9)</f>
        <v>9.0875000000000004</v>
      </c>
      <c r="O176" s="14">
        <f>CHOOSE(CONTROL!$C$42, 9.3238, 9.3238) * CHOOSE(CONTROL!$C$21, $C$9, 100%, $E$9)</f>
        <v>9.3238000000000003</v>
      </c>
      <c r="P176" s="14">
        <f>CHOOSE(CONTROL!$C$42, 9.1298, 9.1298) * CHOOSE(CONTROL!$C$21, $C$9, 100%, $E$9)</f>
        <v>9.1297999999999995</v>
      </c>
      <c r="Q176" s="14">
        <f>CHOOSE(CONTROL!$C$42, 9.9185, 9.9185) * CHOOSE(CONTROL!$C$21, $C$9, 100%, $E$9)</f>
        <v>9.9184999999999999</v>
      </c>
      <c r="R176" s="14">
        <f>CHOOSE(CONTROL!$C$42, 10.5303, 10.5303) * CHOOSE(CONTROL!$C$21, $C$9, 100%, $E$9)</f>
        <v>10.5303</v>
      </c>
      <c r="S176" s="14">
        <f>CHOOSE(CONTROL!$C$42, 8.9055, 8.9055) * CHOOSE(CONTROL!$C$21, $C$9, 100%, $E$9)</f>
        <v>8.9055</v>
      </c>
      <c r="T17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76" s="57">
        <f>(1000*CHOOSE(CONTROL!$C$42, 695, 695)*CHOOSE(CONTROL!$C$42, 0.5599, 0.5599)*CHOOSE(CONTROL!$C$42, 31, 31))/1000000</f>
        <v>12.063045499999998</v>
      </c>
      <c r="V176" s="57">
        <f>(1000*CHOOSE(CONTROL!$C$42, 500, 500)*CHOOSE(CONTROL!$C$42, 0.275, 0.275)*CHOOSE(CONTROL!$C$42, 31, 31))/1000000</f>
        <v>4.2625000000000002</v>
      </c>
      <c r="W176" s="57">
        <f>(1000*CHOOSE(CONTROL!$C$42, 0.1146, 0.1146)*CHOOSE(CONTROL!$C$42, 121.5, 121.5)*CHOOSE(CONTROL!$C$42, 31, 31))/1000000</f>
        <v>0.43164089999999994</v>
      </c>
      <c r="X176" s="57">
        <f>(31*0.1790888*245000/1000000)+(31*0.2374*100000/1000000)</f>
        <v>2.0961194359999999</v>
      </c>
      <c r="Y176" s="57"/>
      <c r="Z176" s="14"/>
      <c r="AA176" s="56"/>
      <c r="AB176" s="50">
        <f>(B176*194.205+C176*267.466+D176*133.845+E176*53.484+F176*40+G176*185+H176*0+I176*100+J176*300)/(194.205+267.466+133.845+53.484+0+40+185+100+300)</f>
        <v>9.30900515588697</v>
      </c>
      <c r="AC176" s="45">
        <f>(M176*'RAP TEMPLATE-GAS AVAILABILITY'!O175+N176*'RAP TEMPLATE-GAS AVAILABILITY'!P175+O176*'RAP TEMPLATE-GAS AVAILABILITY'!Q175+P176*'RAP TEMPLATE-GAS AVAILABILITY'!R175)/('RAP TEMPLATE-GAS AVAILABILITY'!O175+'RAP TEMPLATE-GAS AVAILABILITY'!P175+'RAP TEMPLATE-GAS AVAILABILITY'!Q175+'RAP TEMPLATE-GAS AVAILABILITY'!R175)</f>
        <v>9.1544992805755392</v>
      </c>
    </row>
    <row r="177" spans="1:29" ht="15.75" x14ac:dyDescent="0.25">
      <c r="A177" s="13">
        <v>46266</v>
      </c>
      <c r="B177" s="14">
        <f>CHOOSE(CONTROL!$C$42, 8.7081, 8.7081) * CHOOSE(CONTROL!$C$21, $C$9, 100%, $E$9)</f>
        <v>8.7081</v>
      </c>
      <c r="C177" s="14">
        <f>CHOOSE(CONTROL!$C$42, 8.7161, 8.7161) * CHOOSE(CONTROL!$C$21, $C$9, 100%, $E$9)</f>
        <v>8.7161000000000008</v>
      </c>
      <c r="D177" s="14">
        <f>CHOOSE(CONTROL!$C$42, 8.9201, 8.9201) * CHOOSE(CONTROL!$C$21, $C$9, 100%, $E$9)</f>
        <v>8.9200999999999997</v>
      </c>
      <c r="E177" s="14">
        <f>CHOOSE(CONTROL!$C$42, 8.9515, 8.9515) * CHOOSE(CONTROL!$C$21, $C$9, 100%, $E$9)</f>
        <v>8.9514999999999993</v>
      </c>
      <c r="F177" s="14">
        <f>CHOOSE(CONTROL!$C$42, 8.69, 8.69)*CHOOSE(CONTROL!$C$21, $C$9, 100%, $E$9)</f>
        <v>8.69</v>
      </c>
      <c r="G177" s="14">
        <f>CHOOSE(CONTROL!$C$42, 8.706, 8.706)*CHOOSE(CONTROL!$C$21, $C$9, 100%, $E$9)</f>
        <v>8.7059999999999995</v>
      </c>
      <c r="H177" s="14">
        <f>CHOOSE(CONTROL!$C$42, 8.9402, 8.9402) * CHOOSE(CONTROL!$C$21, $C$9, 100%, $E$9)</f>
        <v>8.9402000000000008</v>
      </c>
      <c r="I177" s="14">
        <f>CHOOSE(CONTROL!$C$42, 8.7408, 8.7408)* CHOOSE(CONTROL!$C$21, $C$9, 100%, $E$9)</f>
        <v>8.7408000000000001</v>
      </c>
      <c r="J177" s="14">
        <f>CHOOSE(CONTROL!$C$42, 8.683, 8.683)* CHOOSE(CONTROL!$C$21, $C$9, 100%, $E$9)</f>
        <v>8.6829999999999998</v>
      </c>
      <c r="K177" s="53">
        <f>CHOOSE(CONTROL!$C$42, 8.7369, 8.7369) * CHOOSE(CONTROL!$C$21, $C$9, 100%, $E$9)</f>
        <v>8.7369000000000003</v>
      </c>
      <c r="L177" s="14">
        <f>CHOOSE(CONTROL!$C$42, 9.5272, 9.5272) * CHOOSE(CONTROL!$C$21, $C$9, 100%, $E$9)</f>
        <v>9.5272000000000006</v>
      </c>
      <c r="M177" s="14">
        <f>CHOOSE(CONTROL!$C$42, 8.5128, 8.5128) * CHOOSE(CONTROL!$C$21, $C$9, 100%, $E$9)</f>
        <v>8.5128000000000004</v>
      </c>
      <c r="N177" s="14">
        <f>CHOOSE(CONTROL!$C$42, 8.5284, 8.5284) * CHOOSE(CONTROL!$C$21, $C$9, 100%, $E$9)</f>
        <v>8.5283999999999995</v>
      </c>
      <c r="O177" s="14">
        <f>CHOOSE(CONTROL!$C$42, 8.7647, 8.7647) * CHOOSE(CONTROL!$C$21, $C$9, 100%, $E$9)</f>
        <v>8.7646999999999995</v>
      </c>
      <c r="P177" s="14">
        <f>CHOOSE(CONTROL!$C$42, 8.5689, 8.5689) * CHOOSE(CONTROL!$C$21, $C$9, 100%, $E$9)</f>
        <v>8.5688999999999993</v>
      </c>
      <c r="Q177" s="14">
        <f>CHOOSE(CONTROL!$C$42, 9.3594, 9.3594) * CHOOSE(CONTROL!$C$21, $C$9, 100%, $E$9)</f>
        <v>9.3594000000000008</v>
      </c>
      <c r="R177" s="14">
        <f>CHOOSE(CONTROL!$C$42, 9.9698, 9.9698) * CHOOSE(CONTROL!$C$21, $C$9, 100%, $E$9)</f>
        <v>9.9697999999999993</v>
      </c>
      <c r="S177" s="14">
        <f>CHOOSE(CONTROL!$C$42, 8.357, 8.357) * CHOOSE(CONTROL!$C$21, $C$9, 100%, $E$9)</f>
        <v>8.3569999999999993</v>
      </c>
      <c r="T17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77" s="57">
        <f>(1000*CHOOSE(CONTROL!$C$42, 695, 695)*CHOOSE(CONTROL!$C$42, 0.5599, 0.5599)*CHOOSE(CONTROL!$C$42, 30, 30))/1000000</f>
        <v>11.673914999999997</v>
      </c>
      <c r="V177" s="57">
        <f>(1000*CHOOSE(CONTROL!$C$42, 500, 500)*CHOOSE(CONTROL!$C$42, 0.275, 0.275)*CHOOSE(CONTROL!$C$42, 30, 30))/1000000</f>
        <v>4.125</v>
      </c>
      <c r="W177" s="57">
        <f>(1000*CHOOSE(CONTROL!$C$42, 0.1146, 0.1146)*CHOOSE(CONTROL!$C$42, 121.5, 121.5)*CHOOSE(CONTROL!$C$42, 30, 30))/1000000</f>
        <v>0.417717</v>
      </c>
      <c r="X177" s="57">
        <f>(30*0.1790888*245000/1000000)+(30*0.2374*100000/1000000)</f>
        <v>2.0285026799999999</v>
      </c>
      <c r="Y177" s="57"/>
      <c r="Z177" s="14"/>
      <c r="AA177" s="56"/>
      <c r="AB177" s="50">
        <f>(B177*194.205+C177*267.466+D177*133.845+E177*53.484+F177*40+G177*185+H177*0+I177*100+J177*300)/(194.205+267.466+133.845+53.484+0+40+185+100+300)</f>
        <v>8.7380531974882274</v>
      </c>
      <c r="AC177" s="45">
        <f>(M177*'RAP TEMPLATE-GAS AVAILABILITY'!O176+N177*'RAP TEMPLATE-GAS AVAILABILITY'!P176+O177*'RAP TEMPLATE-GAS AVAILABILITY'!Q176+P177*'RAP TEMPLATE-GAS AVAILABILITY'!R176)/('RAP TEMPLATE-GAS AVAILABILITY'!O176+'RAP TEMPLATE-GAS AVAILABILITY'!P176+'RAP TEMPLATE-GAS AVAILABILITY'!Q176+'RAP TEMPLATE-GAS AVAILABILITY'!R176)</f>
        <v>8.5951402877697838</v>
      </c>
    </row>
    <row r="178" spans="1:29" ht="15.75" x14ac:dyDescent="0.25">
      <c r="A178" s="13">
        <v>46296</v>
      </c>
      <c r="B178" s="14">
        <f>CHOOSE(CONTROL!$C$42, 8.5473, 8.5473) * CHOOSE(CONTROL!$C$21, $C$9, 100%, $E$9)</f>
        <v>8.5472999999999999</v>
      </c>
      <c r="C178" s="14">
        <f>CHOOSE(CONTROL!$C$42, 8.5526, 8.5526) * CHOOSE(CONTROL!$C$21, $C$9, 100%, $E$9)</f>
        <v>8.5526</v>
      </c>
      <c r="D178" s="14">
        <f>CHOOSE(CONTROL!$C$42, 8.7615, 8.7615) * CHOOSE(CONTROL!$C$21, $C$9, 100%, $E$9)</f>
        <v>8.7614999999999998</v>
      </c>
      <c r="E178" s="14">
        <f>CHOOSE(CONTROL!$C$42, 8.7907, 8.7907) * CHOOSE(CONTROL!$C$21, $C$9, 100%, $E$9)</f>
        <v>8.7906999999999993</v>
      </c>
      <c r="F178" s="14">
        <f>CHOOSE(CONTROL!$C$42, 8.5313, 8.5313)*CHOOSE(CONTROL!$C$21, $C$9, 100%, $E$9)</f>
        <v>8.5312999999999999</v>
      </c>
      <c r="G178" s="14">
        <f>CHOOSE(CONTROL!$C$42, 8.547, 8.547)*CHOOSE(CONTROL!$C$21, $C$9, 100%, $E$9)</f>
        <v>8.5470000000000006</v>
      </c>
      <c r="H178" s="14">
        <f>CHOOSE(CONTROL!$C$42, 8.7811, 8.7811) * CHOOSE(CONTROL!$C$21, $C$9, 100%, $E$9)</f>
        <v>8.7811000000000003</v>
      </c>
      <c r="I178" s="14">
        <f>CHOOSE(CONTROL!$C$42, 8.5813, 8.5813)* CHOOSE(CONTROL!$C$21, $C$9, 100%, $E$9)</f>
        <v>8.5813000000000006</v>
      </c>
      <c r="J178" s="14">
        <f>CHOOSE(CONTROL!$C$42, 8.5243, 8.5243)* CHOOSE(CONTROL!$C$21, $C$9, 100%, $E$9)</f>
        <v>8.5243000000000002</v>
      </c>
      <c r="K178" s="53">
        <f>CHOOSE(CONTROL!$C$42, 8.5774, 8.5774) * CHOOSE(CONTROL!$C$21, $C$9, 100%, $E$9)</f>
        <v>8.5774000000000008</v>
      </c>
      <c r="L178" s="14">
        <f>CHOOSE(CONTROL!$C$42, 9.3681, 9.3681) * CHOOSE(CONTROL!$C$21, $C$9, 100%, $E$9)</f>
        <v>9.3681000000000001</v>
      </c>
      <c r="M178" s="14">
        <f>CHOOSE(CONTROL!$C$42, 8.3573, 8.3573) * CHOOSE(CONTROL!$C$21, $C$9, 100%, $E$9)</f>
        <v>8.3573000000000004</v>
      </c>
      <c r="N178" s="14">
        <f>CHOOSE(CONTROL!$C$42, 8.3727, 8.3727) * CHOOSE(CONTROL!$C$21, $C$9, 100%, $E$9)</f>
        <v>8.3727</v>
      </c>
      <c r="O178" s="14">
        <f>CHOOSE(CONTROL!$C$42, 8.6089, 8.6089) * CHOOSE(CONTROL!$C$21, $C$9, 100%, $E$9)</f>
        <v>8.6089000000000002</v>
      </c>
      <c r="P178" s="14">
        <f>CHOOSE(CONTROL!$C$42, 8.4127, 8.4127) * CHOOSE(CONTROL!$C$21, $C$9, 100%, $E$9)</f>
        <v>8.4126999999999992</v>
      </c>
      <c r="Q178" s="14">
        <f>CHOOSE(CONTROL!$C$42, 9.2036, 9.2036) * CHOOSE(CONTROL!$C$21, $C$9, 100%, $E$9)</f>
        <v>9.2035999999999998</v>
      </c>
      <c r="R178" s="14">
        <f>CHOOSE(CONTROL!$C$42, 9.8136, 9.8136) * CHOOSE(CONTROL!$C$21, $C$9, 100%, $E$9)</f>
        <v>9.8135999999999992</v>
      </c>
      <c r="S178" s="14">
        <f>CHOOSE(CONTROL!$C$42, 8.2042, 8.2042) * CHOOSE(CONTROL!$C$21, $C$9, 100%, $E$9)</f>
        <v>8.2042000000000002</v>
      </c>
      <c r="T17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78" s="57">
        <f>(1000*CHOOSE(CONTROL!$C$42, 695, 695)*CHOOSE(CONTROL!$C$42, 0.5599, 0.5599)*CHOOSE(CONTROL!$C$42, 31, 31))/1000000</f>
        <v>12.063045499999998</v>
      </c>
      <c r="V178" s="57">
        <f>(1000*CHOOSE(CONTROL!$C$42, 500, 500)*CHOOSE(CONTROL!$C$42, 0.275, 0.275)*CHOOSE(CONTROL!$C$42, 31, 31))/1000000</f>
        <v>4.2625000000000002</v>
      </c>
      <c r="W178" s="57">
        <f>(1000*CHOOSE(CONTROL!$C$42, 0.1146, 0.1146)*CHOOSE(CONTROL!$C$42, 121.5, 121.5)*CHOOSE(CONTROL!$C$42, 31, 31))/1000000</f>
        <v>0.43164089999999994</v>
      </c>
      <c r="X178" s="57">
        <f>(31*0.1790888*245000/1000000)+(31*0.2374*100000/1000000)</f>
        <v>2.0961194359999999</v>
      </c>
      <c r="Y178" s="57"/>
      <c r="Z178" s="14"/>
      <c r="AA178" s="56"/>
      <c r="AB178" s="50">
        <f>(B178*131.881+C178*277.167+D178*79.08+E178*125.872+F178*40+G178*185+H178*0+I178*100+J178*300)/(131.881+277.167+79.08+125.872+0+40+185+100+300)</f>
        <v>8.5834982775625495</v>
      </c>
      <c r="AC178" s="45">
        <f>(M178*'RAP TEMPLATE-GAS AVAILABILITY'!O177+N178*'RAP TEMPLATE-GAS AVAILABILITY'!P177+O178*'RAP TEMPLATE-GAS AVAILABILITY'!Q177+P178*'RAP TEMPLATE-GAS AVAILABILITY'!R177)/('RAP TEMPLATE-GAS AVAILABILITY'!O177+'RAP TEMPLATE-GAS AVAILABILITY'!P177+'RAP TEMPLATE-GAS AVAILABILITY'!Q177+'RAP TEMPLATE-GAS AVAILABILITY'!R177)</f>
        <v>8.4394093525179841</v>
      </c>
    </row>
    <row r="179" spans="1:29" ht="15.75" x14ac:dyDescent="0.25">
      <c r="A179" s="13">
        <v>46327</v>
      </c>
      <c r="B179" s="14">
        <f>CHOOSE(CONTROL!$C$42, 8.7899, 8.7899) * CHOOSE(CONTROL!$C$21, $C$9, 100%, $E$9)</f>
        <v>8.7898999999999994</v>
      </c>
      <c r="C179" s="14">
        <f>CHOOSE(CONTROL!$C$42, 8.7949, 8.7949) * CHOOSE(CONTROL!$C$21, $C$9, 100%, $E$9)</f>
        <v>8.7949000000000002</v>
      </c>
      <c r="D179" s="14">
        <f>CHOOSE(CONTROL!$C$42, 8.8587, 8.8587) * CHOOSE(CONTROL!$C$21, $C$9, 100%, $E$9)</f>
        <v>8.8587000000000007</v>
      </c>
      <c r="E179" s="14">
        <f>CHOOSE(CONTROL!$C$42, 8.8928, 8.8928) * CHOOSE(CONTROL!$C$21, $C$9, 100%, $E$9)</f>
        <v>8.8927999999999994</v>
      </c>
      <c r="F179" s="14">
        <f>CHOOSE(CONTROL!$C$42, 8.7923, 8.7923)*CHOOSE(CONTROL!$C$21, $C$9, 100%, $E$9)</f>
        <v>8.7922999999999991</v>
      </c>
      <c r="G179" s="14">
        <f>CHOOSE(CONTROL!$C$42, 8.8083, 8.8083)*CHOOSE(CONTROL!$C$21, $C$9, 100%, $E$9)</f>
        <v>8.8082999999999991</v>
      </c>
      <c r="H179" s="14">
        <f>CHOOSE(CONTROL!$C$42, 8.882, 8.882) * CHOOSE(CONTROL!$C$21, $C$9, 100%, $E$9)</f>
        <v>8.8819999999999997</v>
      </c>
      <c r="I179" s="14">
        <f>CHOOSE(CONTROL!$C$42, 8.8302, 8.8302)* CHOOSE(CONTROL!$C$21, $C$9, 100%, $E$9)</f>
        <v>8.8301999999999996</v>
      </c>
      <c r="J179" s="14">
        <f>CHOOSE(CONTROL!$C$42, 8.7853, 8.7853)* CHOOSE(CONTROL!$C$21, $C$9, 100%, $E$9)</f>
        <v>8.7852999999999994</v>
      </c>
      <c r="K179" s="53">
        <f>CHOOSE(CONTROL!$C$42, 8.8263, 8.8263) * CHOOSE(CONTROL!$C$21, $C$9, 100%, $E$9)</f>
        <v>8.8262999999999998</v>
      </c>
      <c r="L179" s="14">
        <f>CHOOSE(CONTROL!$C$42, 9.469, 9.469) * CHOOSE(CONTROL!$C$21, $C$9, 100%, $E$9)</f>
        <v>9.4689999999999994</v>
      </c>
      <c r="M179" s="14">
        <f>CHOOSE(CONTROL!$C$42, 8.6129, 8.6129) * CHOOSE(CONTROL!$C$21, $C$9, 100%, $E$9)</f>
        <v>8.6128999999999998</v>
      </c>
      <c r="N179" s="14">
        <f>CHOOSE(CONTROL!$C$42, 8.6286, 8.6286) * CHOOSE(CONTROL!$C$21, $C$9, 100%, $E$9)</f>
        <v>8.6286000000000005</v>
      </c>
      <c r="O179" s="14">
        <f>CHOOSE(CONTROL!$C$42, 8.7078, 8.7078) * CHOOSE(CONTROL!$C$21, $C$9, 100%, $E$9)</f>
        <v>8.7078000000000007</v>
      </c>
      <c r="P179" s="14">
        <f>CHOOSE(CONTROL!$C$42, 8.6565, 8.6565) * CHOOSE(CONTROL!$C$21, $C$9, 100%, $E$9)</f>
        <v>8.6564999999999994</v>
      </c>
      <c r="Q179" s="14">
        <f>CHOOSE(CONTROL!$C$42, 9.3025, 9.3025) * CHOOSE(CONTROL!$C$21, $C$9, 100%, $E$9)</f>
        <v>9.3025000000000002</v>
      </c>
      <c r="R179" s="14">
        <f>CHOOSE(CONTROL!$C$42, 9.9127, 9.9127) * CHOOSE(CONTROL!$C$21, $C$9, 100%, $E$9)</f>
        <v>9.9126999999999992</v>
      </c>
      <c r="S179" s="14">
        <f>CHOOSE(CONTROL!$C$42, 8.4376, 8.4376) * CHOOSE(CONTROL!$C$21, $C$9, 100%, $E$9)</f>
        <v>8.4375999999999998</v>
      </c>
      <c r="T17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79" s="57">
        <f>(1000*CHOOSE(CONTROL!$C$42, 695, 695)*CHOOSE(CONTROL!$C$42, 0.5599, 0.5599)*CHOOSE(CONTROL!$C$42, 30, 30))/1000000</f>
        <v>11.673914999999997</v>
      </c>
      <c r="V179" s="57">
        <f>(1000*CHOOSE(CONTROL!$C$42, 500, 500)*CHOOSE(CONTROL!$C$42, 0.275, 0.275)*CHOOSE(CONTROL!$C$42, 30, 30))/1000000</f>
        <v>4.125</v>
      </c>
      <c r="W179" s="57">
        <f>(1000*CHOOSE(CONTROL!$C$42, 0.1146, 0.1146)*CHOOSE(CONTROL!$C$42, 121.5, 121.5)*CHOOSE(CONTROL!$C$42, 30, 30))/1000000</f>
        <v>0.417717</v>
      </c>
      <c r="X179" s="57">
        <f>(30*0.1790888*100000/1000000)+(30*0.2374*100000/1000000)</f>
        <v>1.2494664</v>
      </c>
      <c r="Y179" s="57"/>
      <c r="Z179" s="14"/>
      <c r="AA179" s="56"/>
      <c r="AB179" s="50">
        <f>(B179*122.58+C179*297.941+D179*89.177+E179*40.302+F179*40+G179*160+H179*0+I179*100+J179*300)/(122.58+297.941+89.177+40.302+0+40+160+100+300)</f>
        <v>8.8050844855652173</v>
      </c>
      <c r="AC179" s="45">
        <f>(M179*'RAP TEMPLATE-GAS AVAILABILITY'!O178+N179*'RAP TEMPLATE-GAS AVAILABILITY'!P178+O179*'RAP TEMPLATE-GAS AVAILABILITY'!Q178+P179*'RAP TEMPLATE-GAS AVAILABILITY'!R178)/('RAP TEMPLATE-GAS AVAILABILITY'!O178+'RAP TEMPLATE-GAS AVAILABILITY'!P178+'RAP TEMPLATE-GAS AVAILABILITY'!Q178+'RAP TEMPLATE-GAS AVAILABILITY'!R178)</f>
        <v>8.6630892086330924</v>
      </c>
    </row>
    <row r="180" spans="1:29" ht="15.75" x14ac:dyDescent="0.25">
      <c r="A180" s="13">
        <v>46357</v>
      </c>
      <c r="B180" s="14">
        <f>CHOOSE(CONTROL!$C$42, 9.4078, 9.4078) * CHOOSE(CONTROL!$C$21, $C$9, 100%, $E$9)</f>
        <v>9.4077999999999999</v>
      </c>
      <c r="C180" s="14">
        <f>CHOOSE(CONTROL!$C$42, 9.4129, 9.4129) * CHOOSE(CONTROL!$C$21, $C$9, 100%, $E$9)</f>
        <v>9.4129000000000005</v>
      </c>
      <c r="D180" s="14">
        <f>CHOOSE(CONTROL!$C$42, 9.4767, 9.4767) * CHOOSE(CONTROL!$C$21, $C$9, 100%, $E$9)</f>
        <v>9.4766999999999992</v>
      </c>
      <c r="E180" s="14">
        <f>CHOOSE(CONTROL!$C$42, 9.5108, 9.5108) * CHOOSE(CONTROL!$C$21, $C$9, 100%, $E$9)</f>
        <v>9.5107999999999997</v>
      </c>
      <c r="F180" s="14">
        <f>CHOOSE(CONTROL!$C$42, 9.4125, 9.4125)*CHOOSE(CONTROL!$C$21, $C$9, 100%, $E$9)</f>
        <v>9.4124999999999996</v>
      </c>
      <c r="G180" s="14">
        <f>CHOOSE(CONTROL!$C$42, 9.4291, 9.4291)*CHOOSE(CONTROL!$C$21, $C$9, 100%, $E$9)</f>
        <v>9.4291</v>
      </c>
      <c r="H180" s="14">
        <f>CHOOSE(CONTROL!$C$42, 9.5, 9.5) * CHOOSE(CONTROL!$C$21, $C$9, 100%, $E$9)</f>
        <v>9.5</v>
      </c>
      <c r="I180" s="14">
        <f>CHOOSE(CONTROL!$C$42, 9.4501, 9.4501)* CHOOSE(CONTROL!$C$21, $C$9, 100%, $E$9)</f>
        <v>9.4501000000000008</v>
      </c>
      <c r="J180" s="14">
        <f>CHOOSE(CONTROL!$C$42, 9.4055, 9.4055)* CHOOSE(CONTROL!$C$21, $C$9, 100%, $E$9)</f>
        <v>9.4055</v>
      </c>
      <c r="K180" s="53">
        <f>CHOOSE(CONTROL!$C$42, 9.4462, 9.4462) * CHOOSE(CONTROL!$C$21, $C$9, 100%, $E$9)</f>
        <v>9.4461999999999993</v>
      </c>
      <c r="L180" s="14">
        <f>CHOOSE(CONTROL!$C$42, 10.087, 10.087) * CHOOSE(CONTROL!$C$21, $C$9, 100%, $E$9)</f>
        <v>10.087</v>
      </c>
      <c r="M180" s="14">
        <f>CHOOSE(CONTROL!$C$42, 9.2204, 9.2204) * CHOOSE(CONTROL!$C$21, $C$9, 100%, $E$9)</f>
        <v>9.2203999999999997</v>
      </c>
      <c r="N180" s="14">
        <f>CHOOSE(CONTROL!$C$42, 9.2367, 9.2367) * CHOOSE(CONTROL!$C$21, $C$9, 100%, $E$9)</f>
        <v>9.2367000000000008</v>
      </c>
      <c r="O180" s="14">
        <f>CHOOSE(CONTROL!$C$42, 9.313, 9.313) * CHOOSE(CONTROL!$C$21, $C$9, 100%, $E$9)</f>
        <v>9.3130000000000006</v>
      </c>
      <c r="P180" s="14">
        <f>CHOOSE(CONTROL!$C$42, 9.2637, 9.2637) * CHOOSE(CONTROL!$C$21, $C$9, 100%, $E$9)</f>
        <v>9.2637</v>
      </c>
      <c r="Q180" s="14">
        <f>CHOOSE(CONTROL!$C$42, 9.9077, 9.9077) * CHOOSE(CONTROL!$C$21, $C$9, 100%, $E$9)</f>
        <v>9.9077000000000002</v>
      </c>
      <c r="R180" s="14">
        <f>CHOOSE(CONTROL!$C$42, 10.5195, 10.5195) * CHOOSE(CONTROL!$C$21, $C$9, 100%, $E$9)</f>
        <v>10.519500000000001</v>
      </c>
      <c r="S180" s="14">
        <f>CHOOSE(CONTROL!$C$42, 9.0314, 9.0314) * CHOOSE(CONTROL!$C$21, $C$9, 100%, $E$9)</f>
        <v>9.0313999999999997</v>
      </c>
      <c r="T18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80" s="57">
        <f>(1000*CHOOSE(CONTROL!$C$42, 695, 695)*CHOOSE(CONTROL!$C$42, 0.5599, 0.5599)*CHOOSE(CONTROL!$C$42, 31, 31))/1000000</f>
        <v>12.063045499999998</v>
      </c>
      <c r="V180" s="57">
        <f>(1000*CHOOSE(CONTROL!$C$42, 500, 500)*CHOOSE(CONTROL!$C$42, 0.275, 0.275)*CHOOSE(CONTROL!$C$42, 31, 31))/1000000</f>
        <v>4.2625000000000002</v>
      </c>
      <c r="W180" s="57">
        <f>(1000*CHOOSE(CONTROL!$C$42, 0.1146, 0.1146)*CHOOSE(CONTROL!$C$42, 121.5, 121.5)*CHOOSE(CONTROL!$C$42, 31, 31))/1000000</f>
        <v>0.43164089999999994</v>
      </c>
      <c r="X180" s="57">
        <f>(31*0.1790888*100000/1000000)+(31*0.2374*100000/1000000)</f>
        <v>1.2911152800000001</v>
      </c>
      <c r="Y180" s="57"/>
      <c r="Z180" s="14"/>
      <c r="AA180" s="56"/>
      <c r="AB180" s="50">
        <f>(B180*122.58+C180*297.941+D180*89.177+E180*40.302+F180*40+G180*160+H180*0+I180*100+J180*300)/(122.58+297.941+89.177+40.302+0+40+160+100+300)</f>
        <v>9.4242790438260879</v>
      </c>
      <c r="AC180" s="45">
        <f>(M180*'RAP TEMPLATE-GAS AVAILABILITY'!O179+N180*'RAP TEMPLATE-GAS AVAILABILITY'!P179+O180*'RAP TEMPLATE-GAS AVAILABILITY'!Q179+P180*'RAP TEMPLATE-GAS AVAILABILITY'!R179)/('RAP TEMPLATE-GAS AVAILABILITY'!O179+'RAP TEMPLATE-GAS AVAILABILITY'!P179+'RAP TEMPLATE-GAS AVAILABILITY'!Q179+'RAP TEMPLATE-GAS AVAILABILITY'!R179)</f>
        <v>9.2695381294964019</v>
      </c>
    </row>
    <row r="181" spans="1:29" ht="15.75" x14ac:dyDescent="0.25">
      <c r="A181" s="13">
        <v>46388</v>
      </c>
      <c r="B181" s="14">
        <f>CHOOSE(CONTROL!$C$42, 9.9158, 9.9158) * CHOOSE(CONTROL!$C$21, $C$9, 100%, $E$9)</f>
        <v>9.9158000000000008</v>
      </c>
      <c r="C181" s="14">
        <f>CHOOSE(CONTROL!$C$42, 9.9209, 9.9209) * CHOOSE(CONTROL!$C$21, $C$9, 100%, $E$9)</f>
        <v>9.9208999999999996</v>
      </c>
      <c r="D181" s="14">
        <f>CHOOSE(CONTROL!$C$42, 9.9873, 9.9873) * CHOOSE(CONTROL!$C$21, $C$9, 100%, $E$9)</f>
        <v>9.9872999999999994</v>
      </c>
      <c r="E181" s="14">
        <f>CHOOSE(CONTROL!$C$42, 10.0214, 10.0214) * CHOOSE(CONTROL!$C$21, $C$9, 100%, $E$9)</f>
        <v>10.0214</v>
      </c>
      <c r="F181" s="14">
        <f>CHOOSE(CONTROL!$C$42, 9.9031, 9.9031)*CHOOSE(CONTROL!$C$21, $C$9, 100%, $E$9)</f>
        <v>9.9031000000000002</v>
      </c>
      <c r="G181" s="14">
        <f>CHOOSE(CONTROL!$C$42, 9.9186, 9.9186)*CHOOSE(CONTROL!$C$21, $C$9, 100%, $E$9)</f>
        <v>9.9185999999999996</v>
      </c>
      <c r="H181" s="14">
        <f>CHOOSE(CONTROL!$C$42, 10.0106, 10.0106) * CHOOSE(CONTROL!$C$21, $C$9, 100%, $E$9)</f>
        <v>10.0106</v>
      </c>
      <c r="I181" s="14">
        <f>CHOOSE(CONTROL!$C$42, 9.9545, 9.9545)* CHOOSE(CONTROL!$C$21, $C$9, 100%, $E$9)</f>
        <v>9.9544999999999995</v>
      </c>
      <c r="J181" s="14">
        <f>CHOOSE(CONTROL!$C$42, 9.8961, 9.8961)* CHOOSE(CONTROL!$C$21, $C$9, 100%, $E$9)</f>
        <v>9.8961000000000006</v>
      </c>
      <c r="K181" s="53">
        <f>CHOOSE(CONTROL!$C$42, 9.9506, 9.9506) * CHOOSE(CONTROL!$C$21, $C$9, 100%, $E$9)</f>
        <v>9.9505999999999997</v>
      </c>
      <c r="L181" s="14">
        <f>CHOOSE(CONTROL!$C$42, 10.5976, 10.5976) * CHOOSE(CONTROL!$C$21, $C$9, 100%, $E$9)</f>
        <v>10.5976</v>
      </c>
      <c r="M181" s="14">
        <f>CHOOSE(CONTROL!$C$42, 9.701, 9.701) * CHOOSE(CONTROL!$C$21, $C$9, 100%, $E$9)</f>
        <v>9.7010000000000005</v>
      </c>
      <c r="N181" s="14">
        <f>CHOOSE(CONTROL!$C$42, 9.7162, 9.7162) * CHOOSE(CONTROL!$C$21, $C$9, 100%, $E$9)</f>
        <v>9.7162000000000006</v>
      </c>
      <c r="O181" s="14">
        <f>CHOOSE(CONTROL!$C$42, 9.8132, 9.8132) * CHOOSE(CONTROL!$C$21, $C$9, 100%, $E$9)</f>
        <v>9.8132000000000001</v>
      </c>
      <c r="P181" s="14">
        <f>CHOOSE(CONTROL!$C$42, 9.7577, 9.7577) * CHOOSE(CONTROL!$C$21, $C$9, 100%, $E$9)</f>
        <v>9.7576999999999998</v>
      </c>
      <c r="Q181" s="14">
        <f>CHOOSE(CONTROL!$C$42, 10.4079, 10.4079) * CHOOSE(CONTROL!$C$21, $C$9, 100%, $E$9)</f>
        <v>10.4079</v>
      </c>
      <c r="R181" s="14">
        <f>CHOOSE(CONTROL!$C$42, 11.0209, 11.0209) * CHOOSE(CONTROL!$C$21, $C$9, 100%, $E$9)</f>
        <v>11.020899999999999</v>
      </c>
      <c r="S181" s="14">
        <f>CHOOSE(CONTROL!$C$42, 9.5195, 9.5195) * CHOOSE(CONTROL!$C$21, $C$9, 100%, $E$9)</f>
        <v>9.5195000000000007</v>
      </c>
      <c r="T18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81" s="57">
        <f>(1000*CHOOSE(CONTROL!$C$42, 695, 695)*CHOOSE(CONTROL!$C$42, 0.5599, 0.5599)*CHOOSE(CONTROL!$C$42, 31, 31))/1000000</f>
        <v>12.063045499999998</v>
      </c>
      <c r="V181" s="57">
        <f>(1000*CHOOSE(CONTROL!$C$42, 500, 500)*CHOOSE(CONTROL!$C$42, 0.275, 0.275)*CHOOSE(CONTROL!$C$42, 31, 31))/1000000</f>
        <v>4.2625000000000002</v>
      </c>
      <c r="W181" s="57">
        <f>(1000*CHOOSE(CONTROL!$C$42, 0.1146, 0.1146)*CHOOSE(CONTROL!$C$42, 121.5, 121.5)*CHOOSE(CONTROL!$C$42, 31, 31))/1000000</f>
        <v>0.43164089999999994</v>
      </c>
      <c r="X181" s="57">
        <f>(31*0.1790888*100000/1000000)+(31*0.2374*100000/1000000)</f>
        <v>1.2911152800000001</v>
      </c>
      <c r="Y181" s="57"/>
      <c r="Z181" s="14"/>
      <c r="AA181" s="56"/>
      <c r="AB181" s="50">
        <f>(B181*122.58+C181*297.941+D181*89.177+E181*40.302+F181*40+G181*160+H181*0+I181*100+J181*300)/(122.58+297.941+89.177+40.302+0+40+160+100+300)</f>
        <v>9.924540474608694</v>
      </c>
      <c r="AC181" s="45">
        <f>(M181*'RAP TEMPLATE-GAS AVAILABILITY'!O180+N181*'RAP TEMPLATE-GAS AVAILABILITY'!P180+O181*'RAP TEMPLATE-GAS AVAILABILITY'!Q180+P181*'RAP TEMPLATE-GAS AVAILABILITY'!R180)/('RAP TEMPLATE-GAS AVAILABILITY'!O180+'RAP TEMPLATE-GAS AVAILABILITY'!P180+'RAP TEMPLATE-GAS AVAILABILITY'!Q180+'RAP TEMPLATE-GAS AVAILABILITY'!R180)</f>
        <v>9.7608863309352536</v>
      </c>
    </row>
    <row r="182" spans="1:29" ht="15.75" x14ac:dyDescent="0.25">
      <c r="A182" s="13">
        <v>46419</v>
      </c>
      <c r="B182" s="14">
        <f>CHOOSE(CONTROL!$C$42, 10.1129, 10.1129) * CHOOSE(CONTROL!$C$21, $C$9, 100%, $E$9)</f>
        <v>10.1129</v>
      </c>
      <c r="C182" s="14">
        <f>CHOOSE(CONTROL!$C$42, 10.118, 10.118) * CHOOSE(CONTROL!$C$21, $C$9, 100%, $E$9)</f>
        <v>10.118</v>
      </c>
      <c r="D182" s="14">
        <f>CHOOSE(CONTROL!$C$42, 10.1844, 10.1844) * CHOOSE(CONTROL!$C$21, $C$9, 100%, $E$9)</f>
        <v>10.1844</v>
      </c>
      <c r="E182" s="14">
        <f>CHOOSE(CONTROL!$C$42, 10.2185, 10.2185) * CHOOSE(CONTROL!$C$21, $C$9, 100%, $E$9)</f>
        <v>10.218500000000001</v>
      </c>
      <c r="F182" s="14">
        <f>CHOOSE(CONTROL!$C$42, 10.1003, 10.1003)*CHOOSE(CONTROL!$C$21, $C$9, 100%, $E$9)</f>
        <v>10.100300000000001</v>
      </c>
      <c r="G182" s="14">
        <f>CHOOSE(CONTROL!$C$42, 10.1158, 10.1158)*CHOOSE(CONTROL!$C$21, $C$9, 100%, $E$9)</f>
        <v>10.1158</v>
      </c>
      <c r="H182" s="14">
        <f>CHOOSE(CONTROL!$C$42, 10.2077, 10.2077) * CHOOSE(CONTROL!$C$21, $C$9, 100%, $E$9)</f>
        <v>10.207700000000001</v>
      </c>
      <c r="I182" s="14">
        <f>CHOOSE(CONTROL!$C$42, 10.1522, 10.1522)* CHOOSE(CONTROL!$C$21, $C$9, 100%, $E$9)</f>
        <v>10.152200000000001</v>
      </c>
      <c r="J182" s="14">
        <f>CHOOSE(CONTROL!$C$42, 10.0933, 10.0933)* CHOOSE(CONTROL!$C$21, $C$9, 100%, $E$9)</f>
        <v>10.093299999999999</v>
      </c>
      <c r="K182" s="53">
        <f>CHOOSE(CONTROL!$C$42, 10.1483, 10.1483) * CHOOSE(CONTROL!$C$21, $C$9, 100%, $E$9)</f>
        <v>10.148300000000001</v>
      </c>
      <c r="L182" s="14">
        <f>CHOOSE(CONTROL!$C$42, 10.7947, 10.7947) * CHOOSE(CONTROL!$C$21, $C$9, 100%, $E$9)</f>
        <v>10.794700000000001</v>
      </c>
      <c r="M182" s="14">
        <f>CHOOSE(CONTROL!$C$42, 9.8942, 9.8942) * CHOOSE(CONTROL!$C$21, $C$9, 100%, $E$9)</f>
        <v>9.8941999999999997</v>
      </c>
      <c r="N182" s="14">
        <f>CHOOSE(CONTROL!$C$42, 9.9094, 9.9094) * CHOOSE(CONTROL!$C$21, $C$9, 100%, $E$9)</f>
        <v>9.9093999999999998</v>
      </c>
      <c r="O182" s="14">
        <f>CHOOSE(CONTROL!$C$42, 10.0062, 10.0062) * CHOOSE(CONTROL!$C$21, $C$9, 100%, $E$9)</f>
        <v>10.0062</v>
      </c>
      <c r="P182" s="14">
        <f>CHOOSE(CONTROL!$C$42, 9.9513, 9.9513) * CHOOSE(CONTROL!$C$21, $C$9, 100%, $E$9)</f>
        <v>9.9512999999999998</v>
      </c>
      <c r="Q182" s="14">
        <f>CHOOSE(CONTROL!$C$42, 10.6009, 10.6009) * CHOOSE(CONTROL!$C$21, $C$9, 100%, $E$9)</f>
        <v>10.600899999999999</v>
      </c>
      <c r="R182" s="14">
        <f>CHOOSE(CONTROL!$C$42, 11.2144, 11.2144) * CHOOSE(CONTROL!$C$21, $C$9, 100%, $E$9)</f>
        <v>11.214399999999999</v>
      </c>
      <c r="S182" s="14">
        <f>CHOOSE(CONTROL!$C$42, 9.7089, 9.7089) * CHOOSE(CONTROL!$C$21, $C$9, 100%, $E$9)</f>
        <v>9.7088999999999999</v>
      </c>
      <c r="T18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82" s="57">
        <f>(1000*CHOOSE(CONTROL!$C$42, 695, 695)*CHOOSE(CONTROL!$C$42, 0.5599, 0.5599)*CHOOSE(CONTROL!$C$42, 28, 28))/1000000</f>
        <v>10.895653999999999</v>
      </c>
      <c r="V182" s="57">
        <f>(1000*CHOOSE(CONTROL!$C$42, 500, 500)*CHOOSE(CONTROL!$C$42, 0.275, 0.275)*CHOOSE(CONTROL!$C$42, 28, 28))/1000000</f>
        <v>3.85</v>
      </c>
      <c r="W182" s="57">
        <f>(1000*CHOOSE(CONTROL!$C$42, 0.1146, 0.1146)*CHOOSE(CONTROL!$C$42, 121.5, 121.5)*CHOOSE(CONTROL!$C$42, 28, 28))/1000000</f>
        <v>0.38986920000000003</v>
      </c>
      <c r="X182" s="57">
        <f>(28*0.1790888*100000/1000000)+(28*0.2374*100000/1000000)</f>
        <v>1.16616864</v>
      </c>
      <c r="Y182" s="57"/>
      <c r="Z182" s="14"/>
      <c r="AA182" s="56"/>
      <c r="AB182" s="50">
        <f>(B182*122.58+C182*297.941+D182*89.177+E182*40.302+F182*40+G182*160+H182*0+I182*100+J182*300)/(122.58+297.941+89.177+40.302+0+40+160+100+300)</f>
        <v>10.121736126782608</v>
      </c>
      <c r="AC182" s="45">
        <f>(M182*'RAP TEMPLATE-GAS AVAILABILITY'!O181+N182*'RAP TEMPLATE-GAS AVAILABILITY'!P181+O182*'RAP TEMPLATE-GAS AVAILABILITY'!Q181+P182*'RAP TEMPLATE-GAS AVAILABILITY'!R181)/('RAP TEMPLATE-GAS AVAILABILITY'!O181+'RAP TEMPLATE-GAS AVAILABILITY'!P181+'RAP TEMPLATE-GAS AVAILABILITY'!Q181+'RAP TEMPLATE-GAS AVAILABILITY'!R181)</f>
        <v>9.9540532374100721</v>
      </c>
    </row>
    <row r="183" spans="1:29" ht="15.75" x14ac:dyDescent="0.25">
      <c r="A183" s="13">
        <v>46447</v>
      </c>
      <c r="B183" s="14">
        <f>CHOOSE(CONTROL!$C$42, 9.8463, 9.8463) * CHOOSE(CONTROL!$C$21, $C$9, 100%, $E$9)</f>
        <v>9.8462999999999994</v>
      </c>
      <c r="C183" s="14">
        <f>CHOOSE(CONTROL!$C$42, 9.8514, 9.8514) * CHOOSE(CONTROL!$C$21, $C$9, 100%, $E$9)</f>
        <v>9.8513999999999999</v>
      </c>
      <c r="D183" s="14">
        <f>CHOOSE(CONTROL!$C$42, 9.9178, 9.9178) * CHOOSE(CONTROL!$C$21, $C$9, 100%, $E$9)</f>
        <v>9.9177999999999997</v>
      </c>
      <c r="E183" s="14">
        <f>CHOOSE(CONTROL!$C$42, 9.9519, 9.9519) * CHOOSE(CONTROL!$C$21, $C$9, 100%, $E$9)</f>
        <v>9.9519000000000002</v>
      </c>
      <c r="F183" s="14">
        <f>CHOOSE(CONTROL!$C$42, 9.8333, 9.8333)*CHOOSE(CONTROL!$C$21, $C$9, 100%, $E$9)</f>
        <v>9.8332999999999995</v>
      </c>
      <c r="G183" s="14">
        <f>CHOOSE(CONTROL!$C$42, 9.8487, 9.8487)*CHOOSE(CONTROL!$C$21, $C$9, 100%, $E$9)</f>
        <v>9.8486999999999991</v>
      </c>
      <c r="H183" s="14">
        <f>CHOOSE(CONTROL!$C$42, 9.9411, 9.9411) * CHOOSE(CONTROL!$C$21, $C$9, 100%, $E$9)</f>
        <v>9.9411000000000005</v>
      </c>
      <c r="I183" s="14">
        <f>CHOOSE(CONTROL!$C$42, 9.8847, 9.8847)* CHOOSE(CONTROL!$C$21, $C$9, 100%, $E$9)</f>
        <v>9.8847000000000005</v>
      </c>
      <c r="J183" s="14">
        <f>CHOOSE(CONTROL!$C$42, 9.8263, 9.8263)* CHOOSE(CONTROL!$C$21, $C$9, 100%, $E$9)</f>
        <v>9.8262999999999998</v>
      </c>
      <c r="K183" s="53">
        <f>CHOOSE(CONTROL!$C$42, 9.8809, 9.8809) * CHOOSE(CONTROL!$C$21, $C$9, 100%, $E$9)</f>
        <v>9.8809000000000005</v>
      </c>
      <c r="L183" s="14">
        <f>CHOOSE(CONTROL!$C$42, 10.5281, 10.5281) * CHOOSE(CONTROL!$C$21, $C$9, 100%, $E$9)</f>
        <v>10.5281</v>
      </c>
      <c r="M183" s="14">
        <f>CHOOSE(CONTROL!$C$42, 9.6327, 9.6327) * CHOOSE(CONTROL!$C$21, $C$9, 100%, $E$9)</f>
        <v>9.6326999999999998</v>
      </c>
      <c r="N183" s="14">
        <f>CHOOSE(CONTROL!$C$42, 9.6477, 9.6477) * CHOOSE(CONTROL!$C$21, $C$9, 100%, $E$9)</f>
        <v>9.6477000000000004</v>
      </c>
      <c r="O183" s="14">
        <f>CHOOSE(CONTROL!$C$42, 9.7451, 9.7451) * CHOOSE(CONTROL!$C$21, $C$9, 100%, $E$9)</f>
        <v>9.7451000000000008</v>
      </c>
      <c r="P183" s="14">
        <f>CHOOSE(CONTROL!$C$42, 9.6894, 9.6894) * CHOOSE(CONTROL!$C$21, $C$9, 100%, $E$9)</f>
        <v>9.6893999999999991</v>
      </c>
      <c r="Q183" s="14">
        <f>CHOOSE(CONTROL!$C$42, 10.3398, 10.3398) * CHOOSE(CONTROL!$C$21, $C$9, 100%, $E$9)</f>
        <v>10.3398</v>
      </c>
      <c r="R183" s="14">
        <f>CHOOSE(CONTROL!$C$42, 10.9526, 10.9526) * CHOOSE(CONTROL!$C$21, $C$9, 100%, $E$9)</f>
        <v>10.9526</v>
      </c>
      <c r="S183" s="14">
        <f>CHOOSE(CONTROL!$C$42, 9.4528, 9.4528) * CHOOSE(CONTROL!$C$21, $C$9, 100%, $E$9)</f>
        <v>9.4527999999999999</v>
      </c>
      <c r="T18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83" s="57">
        <f>(1000*CHOOSE(CONTROL!$C$42, 695, 695)*CHOOSE(CONTROL!$C$42, 0.5599, 0.5599)*CHOOSE(CONTROL!$C$42, 31, 31))/1000000</f>
        <v>12.063045499999998</v>
      </c>
      <c r="V183" s="57">
        <f>(1000*CHOOSE(CONTROL!$C$42, 500, 500)*CHOOSE(CONTROL!$C$42, 0.275, 0.275)*CHOOSE(CONTROL!$C$42, 31, 31))/1000000</f>
        <v>4.2625000000000002</v>
      </c>
      <c r="W183" s="57">
        <f>(1000*CHOOSE(CONTROL!$C$42, 0.1146, 0.1146)*CHOOSE(CONTROL!$C$42, 121.5, 121.5)*CHOOSE(CONTROL!$C$42, 31, 31))/1000000</f>
        <v>0.43164089999999994</v>
      </c>
      <c r="X183" s="57">
        <f>(31*0.1790888*100000/1000000)+(31*0.2374*100000/1000000)</f>
        <v>1.2911152800000001</v>
      </c>
      <c r="Y183" s="57"/>
      <c r="Z183" s="14"/>
      <c r="AA183" s="56"/>
      <c r="AB183" s="50">
        <f>(B183*122.58+C183*297.941+D183*89.177+E183*40.302+F183*40+G183*160+H183*0+I183*100+J183*300)/(122.58+297.941+89.177+40.302+0+40+160+100+300)</f>
        <v>9.8548700398260856</v>
      </c>
      <c r="AC183" s="45">
        <f>(M183*'RAP TEMPLATE-GAS AVAILABILITY'!O182+N183*'RAP TEMPLATE-GAS AVAILABILITY'!P182+O183*'RAP TEMPLATE-GAS AVAILABILITY'!Q182+P183*'RAP TEMPLATE-GAS AVAILABILITY'!R182)/('RAP TEMPLATE-GAS AVAILABILITY'!O182+'RAP TEMPLATE-GAS AVAILABILITY'!P182+'RAP TEMPLATE-GAS AVAILABILITY'!Q182+'RAP TEMPLATE-GAS AVAILABILITY'!R182)</f>
        <v>9.6926654676258988</v>
      </c>
    </row>
    <row r="184" spans="1:29" ht="15.75" x14ac:dyDescent="0.25">
      <c r="A184" s="13">
        <v>46478</v>
      </c>
      <c r="B184" s="14">
        <f>CHOOSE(CONTROL!$C$42, 9.8382, 9.8382) * CHOOSE(CONTROL!$C$21, $C$9, 100%, $E$9)</f>
        <v>9.8382000000000005</v>
      </c>
      <c r="C184" s="14">
        <f>CHOOSE(CONTROL!$C$42, 9.8427, 9.8427) * CHOOSE(CONTROL!$C$21, $C$9, 100%, $E$9)</f>
        <v>9.8427000000000007</v>
      </c>
      <c r="D184" s="14">
        <f>CHOOSE(CONTROL!$C$42, 10.0498, 10.0498) * CHOOSE(CONTROL!$C$21, $C$9, 100%, $E$9)</f>
        <v>10.049799999999999</v>
      </c>
      <c r="E184" s="14">
        <f>CHOOSE(CONTROL!$C$42, 10.0819, 10.0819) * CHOOSE(CONTROL!$C$21, $C$9, 100%, $E$9)</f>
        <v>10.081899999999999</v>
      </c>
      <c r="F184" s="14">
        <f>CHOOSE(CONTROL!$C$42, 9.8201, 9.8201)*CHOOSE(CONTROL!$C$21, $C$9, 100%, $E$9)</f>
        <v>9.8201000000000001</v>
      </c>
      <c r="G184" s="14">
        <f>CHOOSE(CONTROL!$C$42, 9.8353, 9.8353)*CHOOSE(CONTROL!$C$21, $C$9, 100%, $E$9)</f>
        <v>9.8353000000000002</v>
      </c>
      <c r="H184" s="14">
        <f>CHOOSE(CONTROL!$C$42, 10.0717, 10.0717) * CHOOSE(CONTROL!$C$21, $C$9, 100%, $E$9)</f>
        <v>10.0717</v>
      </c>
      <c r="I184" s="14">
        <f>CHOOSE(CONTROL!$C$42, 9.8759, 9.8759)* CHOOSE(CONTROL!$C$21, $C$9, 100%, $E$9)</f>
        <v>9.8758999999999997</v>
      </c>
      <c r="J184" s="14">
        <f>CHOOSE(CONTROL!$C$42, 9.8131, 9.8131)* CHOOSE(CONTROL!$C$21, $C$9, 100%, $E$9)</f>
        <v>9.8131000000000004</v>
      </c>
      <c r="K184" s="53">
        <f>CHOOSE(CONTROL!$C$42, 9.872, 9.872) * CHOOSE(CONTROL!$C$21, $C$9, 100%, $E$9)</f>
        <v>9.8719999999999999</v>
      </c>
      <c r="L184" s="14">
        <f>CHOOSE(CONTROL!$C$42, 10.6587, 10.6587) * CHOOSE(CONTROL!$C$21, $C$9, 100%, $E$9)</f>
        <v>10.6587</v>
      </c>
      <c r="M184" s="14">
        <f>CHOOSE(CONTROL!$C$42, 9.6197, 9.6197) * CHOOSE(CONTROL!$C$21, $C$9, 100%, $E$9)</f>
        <v>9.6196999999999999</v>
      </c>
      <c r="N184" s="14">
        <f>CHOOSE(CONTROL!$C$42, 9.6346, 9.6346) * CHOOSE(CONTROL!$C$21, $C$9, 100%, $E$9)</f>
        <v>9.6346000000000007</v>
      </c>
      <c r="O184" s="14">
        <f>CHOOSE(CONTROL!$C$42, 9.873, 9.873) * CHOOSE(CONTROL!$C$21, $C$9, 100%, $E$9)</f>
        <v>9.8729999999999993</v>
      </c>
      <c r="P184" s="14">
        <f>CHOOSE(CONTROL!$C$42, 9.6807, 9.6807) * CHOOSE(CONTROL!$C$21, $C$9, 100%, $E$9)</f>
        <v>9.6806999999999999</v>
      </c>
      <c r="Q184" s="14">
        <f>CHOOSE(CONTROL!$C$42, 10.4677, 10.4677) * CHOOSE(CONTROL!$C$21, $C$9, 100%, $E$9)</f>
        <v>10.467700000000001</v>
      </c>
      <c r="R184" s="14">
        <f>CHOOSE(CONTROL!$C$42, 11.0809, 11.0809) * CHOOSE(CONTROL!$C$21, $C$9, 100%, $E$9)</f>
        <v>11.0809</v>
      </c>
      <c r="S184" s="14">
        <f>CHOOSE(CONTROL!$C$42, 9.4442, 9.4442) * CHOOSE(CONTROL!$C$21, $C$9, 100%, $E$9)</f>
        <v>9.4442000000000004</v>
      </c>
      <c r="T18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84" s="57">
        <f>(1000*CHOOSE(CONTROL!$C$42, 695, 695)*CHOOSE(CONTROL!$C$42, 0.5599, 0.5599)*CHOOSE(CONTROL!$C$42, 30, 30))/1000000</f>
        <v>11.673914999999997</v>
      </c>
      <c r="V184" s="57">
        <f>(1000*CHOOSE(CONTROL!$C$42, 500, 500)*CHOOSE(CONTROL!$C$42, 0.275, 0.275)*CHOOSE(CONTROL!$C$42, 30, 30))/1000000</f>
        <v>4.125</v>
      </c>
      <c r="W184" s="57">
        <f>(1000*CHOOSE(CONTROL!$C$42, 0.1146, 0.1146)*CHOOSE(CONTROL!$C$42, 121.5, 121.5)*CHOOSE(CONTROL!$C$42, 30, 30))/1000000</f>
        <v>0.417717</v>
      </c>
      <c r="X184" s="57">
        <f>(30*0.1790888*245000/1000000)+(30*0.2374*100000/1000000)</f>
        <v>2.0285026799999999</v>
      </c>
      <c r="Y184" s="57"/>
      <c r="Z184" s="14"/>
      <c r="AA184" s="56"/>
      <c r="AB184" s="50">
        <f>(B184*141.293+C184*267.993+D184*115.016+E184*89.698+F184*40+G184*185+H184*0+I184*100+J184*300)/(141.293+267.993+115.016+89.698+0+40+185+100+300)</f>
        <v>9.8724068254237292</v>
      </c>
      <c r="AC184" s="45">
        <f>(M184*'RAP TEMPLATE-GAS AVAILABILITY'!O183+N184*'RAP TEMPLATE-GAS AVAILABILITY'!P183+O184*'RAP TEMPLATE-GAS AVAILABILITY'!Q183+P184*'RAP TEMPLATE-GAS AVAILABILITY'!R183)/('RAP TEMPLATE-GAS AVAILABILITY'!O183+'RAP TEMPLATE-GAS AVAILABILITY'!P183+'RAP TEMPLATE-GAS AVAILABILITY'!Q183+'RAP TEMPLATE-GAS AVAILABILITY'!R183)</f>
        <v>9.702976978417265</v>
      </c>
    </row>
    <row r="185" spans="1:29" ht="15.75" x14ac:dyDescent="0.25">
      <c r="A185" s="13">
        <v>46508</v>
      </c>
      <c r="B185" s="14">
        <f>CHOOSE(CONTROL!$C$42, 9.9468, 9.9468) * CHOOSE(CONTROL!$C$21, $C$9, 100%, $E$9)</f>
        <v>9.9467999999999996</v>
      </c>
      <c r="C185" s="14">
        <f>CHOOSE(CONTROL!$C$42, 9.9548, 9.9548) * CHOOSE(CONTROL!$C$21, $C$9, 100%, $E$9)</f>
        <v>9.9548000000000005</v>
      </c>
      <c r="D185" s="14">
        <f>CHOOSE(CONTROL!$C$42, 10.1587, 10.1587) * CHOOSE(CONTROL!$C$21, $C$9, 100%, $E$9)</f>
        <v>10.1587</v>
      </c>
      <c r="E185" s="14">
        <f>CHOOSE(CONTROL!$C$42, 10.1902, 10.1902) * CHOOSE(CONTROL!$C$21, $C$9, 100%, $E$9)</f>
        <v>10.190200000000001</v>
      </c>
      <c r="F185" s="14">
        <f>CHOOSE(CONTROL!$C$42, 9.9275, 9.9275)*CHOOSE(CONTROL!$C$21, $C$9, 100%, $E$9)</f>
        <v>9.9275000000000002</v>
      </c>
      <c r="G185" s="14">
        <f>CHOOSE(CONTROL!$C$42, 9.9432, 9.9432)*CHOOSE(CONTROL!$C$21, $C$9, 100%, $E$9)</f>
        <v>9.9431999999999992</v>
      </c>
      <c r="H185" s="14">
        <f>CHOOSE(CONTROL!$C$42, 10.1788, 10.1788) * CHOOSE(CONTROL!$C$21, $C$9, 100%, $E$9)</f>
        <v>10.178800000000001</v>
      </c>
      <c r="I185" s="14">
        <f>CHOOSE(CONTROL!$C$42, 9.9834, 9.9834)* CHOOSE(CONTROL!$C$21, $C$9, 100%, $E$9)</f>
        <v>9.9833999999999996</v>
      </c>
      <c r="J185" s="14">
        <f>CHOOSE(CONTROL!$C$42, 9.9205, 9.9205)* CHOOSE(CONTROL!$C$21, $C$9, 100%, $E$9)</f>
        <v>9.9205000000000005</v>
      </c>
      <c r="K185" s="53">
        <f>CHOOSE(CONTROL!$C$42, 9.9795, 9.9795) * CHOOSE(CONTROL!$C$21, $C$9, 100%, $E$9)</f>
        <v>9.9794999999999998</v>
      </c>
      <c r="L185" s="14">
        <f>CHOOSE(CONTROL!$C$42, 10.7658, 10.7658) * CHOOSE(CONTROL!$C$21, $C$9, 100%, $E$9)</f>
        <v>10.7658</v>
      </c>
      <c r="M185" s="14">
        <f>CHOOSE(CONTROL!$C$42, 9.7249, 9.7249) * CHOOSE(CONTROL!$C$21, $C$9, 100%, $E$9)</f>
        <v>9.7248999999999999</v>
      </c>
      <c r="N185" s="14">
        <f>CHOOSE(CONTROL!$C$42, 9.7403, 9.7403) * CHOOSE(CONTROL!$C$21, $C$9, 100%, $E$9)</f>
        <v>9.7402999999999995</v>
      </c>
      <c r="O185" s="14">
        <f>CHOOSE(CONTROL!$C$42, 9.978, 9.978) * CHOOSE(CONTROL!$C$21, $C$9, 100%, $E$9)</f>
        <v>9.9779999999999998</v>
      </c>
      <c r="P185" s="14">
        <f>CHOOSE(CONTROL!$C$42, 9.786, 9.786) * CHOOSE(CONTROL!$C$21, $C$9, 100%, $E$9)</f>
        <v>9.7859999999999996</v>
      </c>
      <c r="Q185" s="14">
        <f>CHOOSE(CONTROL!$C$42, 10.5727, 10.5727) * CHOOSE(CONTROL!$C$21, $C$9, 100%, $E$9)</f>
        <v>10.572699999999999</v>
      </c>
      <c r="R185" s="14">
        <f>CHOOSE(CONTROL!$C$42, 11.1861, 11.1861) * CHOOSE(CONTROL!$C$21, $C$9, 100%, $E$9)</f>
        <v>11.1861</v>
      </c>
      <c r="S185" s="14">
        <f>CHOOSE(CONTROL!$C$42, 9.5472, 9.5472) * CHOOSE(CONTROL!$C$21, $C$9, 100%, $E$9)</f>
        <v>9.5472000000000001</v>
      </c>
      <c r="T18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85" s="57">
        <f>(1000*CHOOSE(CONTROL!$C$42, 695, 695)*CHOOSE(CONTROL!$C$42, 0.5599, 0.5599)*CHOOSE(CONTROL!$C$42, 31, 31))/1000000</f>
        <v>12.063045499999998</v>
      </c>
      <c r="V185" s="57">
        <f>(1000*CHOOSE(CONTROL!$C$42, 500, 500)*CHOOSE(CONTROL!$C$42, 0.275, 0.275)*CHOOSE(CONTROL!$C$42, 31, 31))/1000000</f>
        <v>4.2625000000000002</v>
      </c>
      <c r="W185" s="57">
        <f>(1000*CHOOSE(CONTROL!$C$42, 0.1146, 0.1146)*CHOOSE(CONTROL!$C$42, 121.5, 121.5)*CHOOSE(CONTROL!$C$42, 31, 31))/1000000</f>
        <v>0.43164089999999994</v>
      </c>
      <c r="X185" s="57">
        <f>(31*0.1790888*245000/1000000)+(31*0.2374*100000/1000000)</f>
        <v>2.0961194359999999</v>
      </c>
      <c r="Y185" s="57"/>
      <c r="Z185" s="14"/>
      <c r="AA185" s="56"/>
      <c r="AB185" s="50">
        <f>(B185*194.205+C185*267.466+D185*133.845+E185*53.484+F185*40+G185*185+H185*0+I185*100+J185*300)/(194.205+267.466+133.845+53.484+0+40+185+100+300)</f>
        <v>9.9765107449764514</v>
      </c>
      <c r="AC185" s="45">
        <f>(M185*'RAP TEMPLATE-GAS AVAILABILITY'!O184+N185*'RAP TEMPLATE-GAS AVAILABILITY'!P184+O185*'RAP TEMPLATE-GAS AVAILABILITY'!Q184+P185*'RAP TEMPLATE-GAS AVAILABILITY'!R184)/('RAP TEMPLATE-GAS AVAILABILITY'!O184+'RAP TEMPLATE-GAS AVAILABILITY'!P184+'RAP TEMPLATE-GAS AVAILABILITY'!Q184+'RAP TEMPLATE-GAS AVAILABILITY'!R184)</f>
        <v>9.8082503597122308</v>
      </c>
    </row>
    <row r="186" spans="1:29" ht="15.75" x14ac:dyDescent="0.25">
      <c r="A186" s="13">
        <v>46539</v>
      </c>
      <c r="B186" s="14">
        <f>CHOOSE(CONTROL!$C$42, 10.2496, 10.2496) * CHOOSE(CONTROL!$C$21, $C$9, 100%, $E$9)</f>
        <v>10.249599999999999</v>
      </c>
      <c r="C186" s="14">
        <f>CHOOSE(CONTROL!$C$42, 10.2576, 10.2576) * CHOOSE(CONTROL!$C$21, $C$9, 100%, $E$9)</f>
        <v>10.2576</v>
      </c>
      <c r="D186" s="14">
        <f>CHOOSE(CONTROL!$C$42, 10.4616, 10.4616) * CHOOSE(CONTROL!$C$21, $C$9, 100%, $E$9)</f>
        <v>10.461600000000001</v>
      </c>
      <c r="E186" s="14">
        <f>CHOOSE(CONTROL!$C$42, 10.493, 10.493) * CHOOSE(CONTROL!$C$21, $C$9, 100%, $E$9)</f>
        <v>10.493</v>
      </c>
      <c r="F186" s="14">
        <f>CHOOSE(CONTROL!$C$42, 10.2308, 10.2308)*CHOOSE(CONTROL!$C$21, $C$9, 100%, $E$9)</f>
        <v>10.2308</v>
      </c>
      <c r="G186" s="14">
        <f>CHOOSE(CONTROL!$C$42, 10.2466, 10.2466)*CHOOSE(CONTROL!$C$21, $C$9, 100%, $E$9)</f>
        <v>10.246600000000001</v>
      </c>
      <c r="H186" s="14">
        <f>CHOOSE(CONTROL!$C$42, 10.4817, 10.4817) * CHOOSE(CONTROL!$C$21, $C$9, 100%, $E$9)</f>
        <v>10.4817</v>
      </c>
      <c r="I186" s="14">
        <f>CHOOSE(CONTROL!$C$42, 10.2872, 10.2872)* CHOOSE(CONTROL!$C$21, $C$9, 100%, $E$9)</f>
        <v>10.2872</v>
      </c>
      <c r="J186" s="14">
        <f>CHOOSE(CONTROL!$C$42, 10.2238, 10.2238)* CHOOSE(CONTROL!$C$21, $C$9, 100%, $E$9)</f>
        <v>10.223800000000001</v>
      </c>
      <c r="K186" s="53">
        <f>CHOOSE(CONTROL!$C$42, 10.2833, 10.2833) * CHOOSE(CONTROL!$C$21, $C$9, 100%, $E$9)</f>
        <v>10.283300000000001</v>
      </c>
      <c r="L186" s="14">
        <f>CHOOSE(CONTROL!$C$42, 11.0687, 11.0687) * CHOOSE(CONTROL!$C$21, $C$9, 100%, $E$9)</f>
        <v>11.0687</v>
      </c>
      <c r="M186" s="14">
        <f>CHOOSE(CONTROL!$C$42, 10.022, 10.022) * CHOOSE(CONTROL!$C$21, $C$9, 100%, $E$9)</f>
        <v>10.022</v>
      </c>
      <c r="N186" s="14">
        <f>CHOOSE(CONTROL!$C$42, 10.0374, 10.0374) * CHOOSE(CONTROL!$C$21, $C$9, 100%, $E$9)</f>
        <v>10.0374</v>
      </c>
      <c r="O186" s="14">
        <f>CHOOSE(CONTROL!$C$42, 10.2746, 10.2746) * CHOOSE(CONTROL!$C$21, $C$9, 100%, $E$9)</f>
        <v>10.2746</v>
      </c>
      <c r="P186" s="14">
        <f>CHOOSE(CONTROL!$C$42, 10.0835, 10.0835) * CHOOSE(CONTROL!$C$21, $C$9, 100%, $E$9)</f>
        <v>10.083500000000001</v>
      </c>
      <c r="Q186" s="14">
        <f>CHOOSE(CONTROL!$C$42, 10.8693, 10.8693) * CHOOSE(CONTROL!$C$21, $C$9, 100%, $E$9)</f>
        <v>10.869300000000001</v>
      </c>
      <c r="R186" s="14">
        <f>CHOOSE(CONTROL!$C$42, 11.4835, 11.4835) * CHOOSE(CONTROL!$C$21, $C$9, 100%, $E$9)</f>
        <v>11.483499999999999</v>
      </c>
      <c r="S186" s="14">
        <f>CHOOSE(CONTROL!$C$42, 9.8382, 9.8382) * CHOOSE(CONTROL!$C$21, $C$9, 100%, $E$9)</f>
        <v>9.8382000000000005</v>
      </c>
      <c r="T18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86" s="57">
        <f>(1000*CHOOSE(CONTROL!$C$42, 695, 695)*CHOOSE(CONTROL!$C$42, 0.5599, 0.5599)*CHOOSE(CONTROL!$C$42, 30, 30))/1000000</f>
        <v>11.673914999999997</v>
      </c>
      <c r="V186" s="57">
        <f>(1000*CHOOSE(CONTROL!$C$42, 500, 500)*CHOOSE(CONTROL!$C$42, 0.275, 0.275)*CHOOSE(CONTROL!$C$42, 30, 30))/1000000</f>
        <v>4.125</v>
      </c>
      <c r="W186" s="57">
        <f>(1000*CHOOSE(CONTROL!$C$42, 0.1146, 0.1146)*CHOOSE(CONTROL!$C$42, 121.5, 121.5)*CHOOSE(CONTROL!$C$42, 30, 30))/1000000</f>
        <v>0.417717</v>
      </c>
      <c r="X186" s="57">
        <f>(30*0.1790888*245000/1000000)+(30*0.2374*100000/1000000)</f>
        <v>2.0285026799999999</v>
      </c>
      <c r="Y186" s="57"/>
      <c r="Z186" s="14"/>
      <c r="AA186" s="56"/>
      <c r="AB186" s="50">
        <f>(B186*194.205+C186*267.466+D186*133.845+E186*53.484+F186*40+G186*185+H186*0+I186*100+J186*300)/(194.205+267.466+133.845+53.484+0+40+185+100+300)</f>
        <v>10.279620308948195</v>
      </c>
      <c r="AC186" s="45">
        <f>(M186*'RAP TEMPLATE-GAS AVAILABILITY'!O185+N186*'RAP TEMPLATE-GAS AVAILABILITY'!P185+O186*'RAP TEMPLATE-GAS AVAILABILITY'!Q185+P186*'RAP TEMPLATE-GAS AVAILABILITY'!R185)/('RAP TEMPLATE-GAS AVAILABILITY'!O185+'RAP TEMPLATE-GAS AVAILABILITY'!P185+'RAP TEMPLATE-GAS AVAILABILITY'!Q185+'RAP TEMPLATE-GAS AVAILABILITY'!R185)</f>
        <v>10.10526762589928</v>
      </c>
    </row>
    <row r="187" spans="1:29" ht="15.75" x14ac:dyDescent="0.25">
      <c r="A187" s="13">
        <v>46569</v>
      </c>
      <c r="B187" s="14">
        <f>CHOOSE(CONTROL!$C$42, 10.0739, 10.0739) * CHOOSE(CONTROL!$C$21, $C$9, 100%, $E$9)</f>
        <v>10.0739</v>
      </c>
      <c r="C187" s="14">
        <f>CHOOSE(CONTROL!$C$42, 10.0819, 10.0819) * CHOOSE(CONTROL!$C$21, $C$9, 100%, $E$9)</f>
        <v>10.081899999999999</v>
      </c>
      <c r="D187" s="14">
        <f>CHOOSE(CONTROL!$C$42, 10.2859, 10.2859) * CHOOSE(CONTROL!$C$21, $C$9, 100%, $E$9)</f>
        <v>10.2859</v>
      </c>
      <c r="E187" s="14">
        <f>CHOOSE(CONTROL!$C$42, 10.3173, 10.3173) * CHOOSE(CONTROL!$C$21, $C$9, 100%, $E$9)</f>
        <v>10.317299999999999</v>
      </c>
      <c r="F187" s="14">
        <f>CHOOSE(CONTROL!$C$42, 10.0555, 10.0555)*CHOOSE(CONTROL!$C$21, $C$9, 100%, $E$9)</f>
        <v>10.0555</v>
      </c>
      <c r="G187" s="14">
        <f>CHOOSE(CONTROL!$C$42, 10.0714, 10.0714)*CHOOSE(CONTROL!$C$21, $C$9, 100%, $E$9)</f>
        <v>10.071400000000001</v>
      </c>
      <c r="H187" s="14">
        <f>CHOOSE(CONTROL!$C$42, 10.306, 10.306) * CHOOSE(CONTROL!$C$21, $C$9, 100%, $E$9)</f>
        <v>10.305999999999999</v>
      </c>
      <c r="I187" s="14">
        <f>CHOOSE(CONTROL!$C$42, 10.1109, 10.1109)* CHOOSE(CONTROL!$C$21, $C$9, 100%, $E$9)</f>
        <v>10.110900000000001</v>
      </c>
      <c r="J187" s="14">
        <f>CHOOSE(CONTROL!$C$42, 10.0485, 10.0485)* CHOOSE(CONTROL!$C$21, $C$9, 100%, $E$9)</f>
        <v>10.048500000000001</v>
      </c>
      <c r="K187" s="53">
        <f>CHOOSE(CONTROL!$C$42, 10.107, 10.107) * CHOOSE(CONTROL!$C$21, $C$9, 100%, $E$9)</f>
        <v>10.106999999999999</v>
      </c>
      <c r="L187" s="14">
        <f>CHOOSE(CONTROL!$C$42, 10.893, 10.893) * CHOOSE(CONTROL!$C$21, $C$9, 100%, $E$9)</f>
        <v>10.893000000000001</v>
      </c>
      <c r="M187" s="14">
        <f>CHOOSE(CONTROL!$C$42, 9.8503, 9.8503) * CHOOSE(CONTROL!$C$21, $C$9, 100%, $E$9)</f>
        <v>9.8503000000000007</v>
      </c>
      <c r="N187" s="14">
        <f>CHOOSE(CONTROL!$C$42, 9.8659, 9.8659) * CHOOSE(CONTROL!$C$21, $C$9, 100%, $E$9)</f>
        <v>9.8658999999999999</v>
      </c>
      <c r="O187" s="14">
        <f>CHOOSE(CONTROL!$C$42, 10.1025, 10.1025) * CHOOSE(CONTROL!$C$21, $C$9, 100%, $E$9)</f>
        <v>10.102499999999999</v>
      </c>
      <c r="P187" s="14">
        <f>CHOOSE(CONTROL!$C$42, 9.9109, 9.9109) * CHOOSE(CONTROL!$C$21, $C$9, 100%, $E$9)</f>
        <v>9.9108999999999998</v>
      </c>
      <c r="Q187" s="14">
        <f>CHOOSE(CONTROL!$C$42, 10.6972, 10.6972) * CHOOSE(CONTROL!$C$21, $C$9, 100%, $E$9)</f>
        <v>10.6972</v>
      </c>
      <c r="R187" s="14">
        <f>CHOOSE(CONTROL!$C$42, 11.3109, 11.3109) * CHOOSE(CONTROL!$C$21, $C$9, 100%, $E$9)</f>
        <v>11.3109</v>
      </c>
      <c r="S187" s="14">
        <f>CHOOSE(CONTROL!$C$42, 9.6694, 9.6694) * CHOOSE(CONTROL!$C$21, $C$9, 100%, $E$9)</f>
        <v>9.6693999999999996</v>
      </c>
      <c r="T18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87" s="57">
        <f>(1000*CHOOSE(CONTROL!$C$42, 695, 695)*CHOOSE(CONTROL!$C$42, 0.5599, 0.5599)*CHOOSE(CONTROL!$C$42, 31, 31))/1000000</f>
        <v>12.063045499999998</v>
      </c>
      <c r="V187" s="57">
        <f>(1000*CHOOSE(CONTROL!$C$42, 500, 500)*CHOOSE(CONTROL!$C$42, 0.275, 0.275)*CHOOSE(CONTROL!$C$42, 31, 31))/1000000</f>
        <v>4.2625000000000002</v>
      </c>
      <c r="W187" s="57">
        <f>(1000*CHOOSE(CONTROL!$C$42, 0.1146, 0.1146)*CHOOSE(CONTROL!$C$42, 121.5, 121.5)*CHOOSE(CONTROL!$C$42, 31, 31))/1000000</f>
        <v>0.43164089999999994</v>
      </c>
      <c r="X187" s="57">
        <f>(31*0.1790888*245000/1000000)+(31*0.2374*100000/1000000)</f>
        <v>2.0961194359999999</v>
      </c>
      <c r="Y187" s="57"/>
      <c r="Z187" s="14"/>
      <c r="AA187" s="56"/>
      <c r="AB187" s="50">
        <f>(B187*194.205+C187*267.466+D187*133.845+E187*53.484+F187*40+G187*185+H187*0+I187*100+J187*300)/(194.205+267.466+133.845+53.484+0+40+185+100+300)</f>
        <v>10.104052569544741</v>
      </c>
      <c r="AC187" s="45">
        <f>(M187*'RAP TEMPLATE-GAS AVAILABILITY'!O186+N187*'RAP TEMPLATE-GAS AVAILABILITY'!P186+O187*'RAP TEMPLATE-GAS AVAILABILITY'!Q186+P187*'RAP TEMPLATE-GAS AVAILABILITY'!R186)/('RAP TEMPLATE-GAS AVAILABILITY'!O186+'RAP TEMPLATE-GAS AVAILABILITY'!P186+'RAP TEMPLATE-GAS AVAILABILITY'!Q186+'RAP TEMPLATE-GAS AVAILABILITY'!R186)</f>
        <v>9.9333719424460423</v>
      </c>
    </row>
    <row r="188" spans="1:29" ht="15.75" x14ac:dyDescent="0.25">
      <c r="A188" s="13">
        <v>46600</v>
      </c>
      <c r="B188" s="14">
        <f>CHOOSE(CONTROL!$C$42, 9.5966, 9.5966) * CHOOSE(CONTROL!$C$21, $C$9, 100%, $E$9)</f>
        <v>9.5966000000000005</v>
      </c>
      <c r="C188" s="14">
        <f>CHOOSE(CONTROL!$C$42, 9.6046, 9.6046) * CHOOSE(CONTROL!$C$21, $C$9, 100%, $E$9)</f>
        <v>9.6045999999999996</v>
      </c>
      <c r="D188" s="14">
        <f>CHOOSE(CONTROL!$C$42, 9.8086, 9.8086) * CHOOSE(CONTROL!$C$21, $C$9, 100%, $E$9)</f>
        <v>9.8086000000000002</v>
      </c>
      <c r="E188" s="14">
        <f>CHOOSE(CONTROL!$C$42, 9.84, 9.84) * CHOOSE(CONTROL!$C$21, $C$9, 100%, $E$9)</f>
        <v>9.84</v>
      </c>
      <c r="F188" s="14">
        <f>CHOOSE(CONTROL!$C$42, 9.5785, 9.5785)*CHOOSE(CONTROL!$C$21, $C$9, 100%, $E$9)</f>
        <v>9.5785</v>
      </c>
      <c r="G188" s="14">
        <f>CHOOSE(CONTROL!$C$42, 9.5944, 9.5944)*CHOOSE(CONTROL!$C$21, $C$9, 100%, $E$9)</f>
        <v>9.5944000000000003</v>
      </c>
      <c r="H188" s="14">
        <f>CHOOSE(CONTROL!$C$42, 9.8287, 9.8287) * CHOOSE(CONTROL!$C$21, $C$9, 100%, $E$9)</f>
        <v>9.8286999999999995</v>
      </c>
      <c r="I188" s="14">
        <f>CHOOSE(CONTROL!$C$42, 9.6321, 9.6321)* CHOOSE(CONTROL!$C$21, $C$9, 100%, $E$9)</f>
        <v>9.6320999999999994</v>
      </c>
      <c r="J188" s="14">
        <f>CHOOSE(CONTROL!$C$42, 9.5715, 9.5715)* CHOOSE(CONTROL!$C$21, $C$9, 100%, $E$9)</f>
        <v>9.5715000000000003</v>
      </c>
      <c r="K188" s="53">
        <f>CHOOSE(CONTROL!$C$42, 9.6282, 9.6282) * CHOOSE(CONTROL!$C$21, $C$9, 100%, $E$9)</f>
        <v>9.6281999999999996</v>
      </c>
      <c r="L188" s="14">
        <f>CHOOSE(CONTROL!$C$42, 10.4157, 10.4157) * CHOOSE(CONTROL!$C$21, $C$9, 100%, $E$9)</f>
        <v>10.415699999999999</v>
      </c>
      <c r="M188" s="14">
        <f>CHOOSE(CONTROL!$C$42, 9.383, 9.383) * CHOOSE(CONTROL!$C$21, $C$9, 100%, $E$9)</f>
        <v>9.3829999999999991</v>
      </c>
      <c r="N188" s="14">
        <f>CHOOSE(CONTROL!$C$42, 9.3987, 9.3987) * CHOOSE(CONTROL!$C$21, $C$9, 100%, $E$9)</f>
        <v>9.3986999999999998</v>
      </c>
      <c r="O188" s="14">
        <f>CHOOSE(CONTROL!$C$42, 9.635, 9.635) * CHOOSE(CONTROL!$C$21, $C$9, 100%, $E$9)</f>
        <v>9.6349999999999998</v>
      </c>
      <c r="P188" s="14">
        <f>CHOOSE(CONTROL!$C$42, 9.4419, 9.4419) * CHOOSE(CONTROL!$C$21, $C$9, 100%, $E$9)</f>
        <v>9.4419000000000004</v>
      </c>
      <c r="Q188" s="14">
        <f>CHOOSE(CONTROL!$C$42, 10.2297, 10.2297) * CHOOSE(CONTROL!$C$21, $C$9, 100%, $E$9)</f>
        <v>10.229699999999999</v>
      </c>
      <c r="R188" s="14">
        <f>CHOOSE(CONTROL!$C$42, 10.8422, 10.8422) * CHOOSE(CONTROL!$C$21, $C$9, 100%, $E$9)</f>
        <v>10.8422</v>
      </c>
      <c r="S188" s="14">
        <f>CHOOSE(CONTROL!$C$42, 9.2107, 9.2107) * CHOOSE(CONTROL!$C$21, $C$9, 100%, $E$9)</f>
        <v>9.2106999999999992</v>
      </c>
      <c r="T18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88" s="57">
        <f>(1000*CHOOSE(CONTROL!$C$42, 695, 695)*CHOOSE(CONTROL!$C$42, 0.5599, 0.5599)*CHOOSE(CONTROL!$C$42, 31, 31))/1000000</f>
        <v>12.063045499999998</v>
      </c>
      <c r="V188" s="57">
        <f>(1000*CHOOSE(CONTROL!$C$42, 500, 500)*CHOOSE(CONTROL!$C$42, 0.275, 0.275)*CHOOSE(CONTROL!$C$42, 31, 31))/1000000</f>
        <v>4.2625000000000002</v>
      </c>
      <c r="W188" s="57">
        <f>(1000*CHOOSE(CONTROL!$C$42, 0.1146, 0.1146)*CHOOSE(CONTROL!$C$42, 121.5, 121.5)*CHOOSE(CONTROL!$C$42, 31, 31))/1000000</f>
        <v>0.43164089999999994</v>
      </c>
      <c r="X188" s="57">
        <f>(31*0.1790888*245000/1000000)+(31*0.2374*100000/1000000)</f>
        <v>2.0961194359999999</v>
      </c>
      <c r="Y188" s="57"/>
      <c r="Z188" s="14"/>
      <c r="AA188" s="56"/>
      <c r="AB188" s="50">
        <f>(B188*194.205+C188*267.466+D188*133.845+E188*53.484+F188*40+G188*185+H188*0+I188*100+J188*300)/(194.205+267.466+133.845+53.484+0+40+185+100+300)</f>
        <v>9.6267584565149136</v>
      </c>
      <c r="AC188" s="45">
        <f>(M188*'RAP TEMPLATE-GAS AVAILABILITY'!O187+N188*'RAP TEMPLATE-GAS AVAILABILITY'!P187+O188*'RAP TEMPLATE-GAS AVAILABILITY'!Q187+P188*'RAP TEMPLATE-GAS AVAILABILITY'!R187)/('RAP TEMPLATE-GAS AVAILABILITY'!O187+'RAP TEMPLATE-GAS AVAILABILITY'!P187+'RAP TEMPLATE-GAS AVAILABILITY'!Q187+'RAP TEMPLATE-GAS AVAILABILITY'!R187)</f>
        <v>9.4657942446043144</v>
      </c>
    </row>
    <row r="189" spans="1:29" ht="15.75" x14ac:dyDescent="0.25">
      <c r="A189" s="13">
        <v>46631</v>
      </c>
      <c r="B189" s="14">
        <f>CHOOSE(CONTROL!$C$42, 9.0062, 9.0062) * CHOOSE(CONTROL!$C$21, $C$9, 100%, $E$9)</f>
        <v>9.0061999999999998</v>
      </c>
      <c r="C189" s="14">
        <f>CHOOSE(CONTROL!$C$42, 9.0142, 9.0142) * CHOOSE(CONTROL!$C$21, $C$9, 100%, $E$9)</f>
        <v>9.0142000000000007</v>
      </c>
      <c r="D189" s="14">
        <f>CHOOSE(CONTROL!$C$42, 9.2182, 9.2182) * CHOOSE(CONTROL!$C$21, $C$9, 100%, $E$9)</f>
        <v>9.2181999999999995</v>
      </c>
      <c r="E189" s="14">
        <f>CHOOSE(CONTROL!$C$42, 9.2496, 9.2496) * CHOOSE(CONTROL!$C$21, $C$9, 100%, $E$9)</f>
        <v>9.2495999999999992</v>
      </c>
      <c r="F189" s="14">
        <f>CHOOSE(CONTROL!$C$42, 8.9881, 8.9881)*CHOOSE(CONTROL!$C$21, $C$9, 100%, $E$9)</f>
        <v>8.9880999999999993</v>
      </c>
      <c r="G189" s="14">
        <f>CHOOSE(CONTROL!$C$42, 9.0041, 9.0041)*CHOOSE(CONTROL!$C$21, $C$9, 100%, $E$9)</f>
        <v>9.0040999999999993</v>
      </c>
      <c r="H189" s="14">
        <f>CHOOSE(CONTROL!$C$42, 9.2383, 9.2383) * CHOOSE(CONTROL!$C$21, $C$9, 100%, $E$9)</f>
        <v>9.2383000000000006</v>
      </c>
      <c r="I189" s="14">
        <f>CHOOSE(CONTROL!$C$42, 9.0399, 9.0399)* CHOOSE(CONTROL!$C$21, $C$9, 100%, $E$9)</f>
        <v>9.0398999999999994</v>
      </c>
      <c r="J189" s="14">
        <f>CHOOSE(CONTROL!$C$42, 8.9811, 8.9811)* CHOOSE(CONTROL!$C$21, $C$9, 100%, $E$9)</f>
        <v>8.9810999999999996</v>
      </c>
      <c r="K189" s="53">
        <f>CHOOSE(CONTROL!$C$42, 9.036, 9.036) * CHOOSE(CONTROL!$C$21, $C$9, 100%, $E$9)</f>
        <v>9.0359999999999996</v>
      </c>
      <c r="L189" s="14">
        <f>CHOOSE(CONTROL!$C$42, 9.8253, 9.8253) * CHOOSE(CONTROL!$C$21, $C$9, 100%, $E$9)</f>
        <v>9.8253000000000004</v>
      </c>
      <c r="M189" s="14">
        <f>CHOOSE(CONTROL!$C$42, 8.8048, 8.8048) * CHOOSE(CONTROL!$C$21, $C$9, 100%, $E$9)</f>
        <v>8.8048000000000002</v>
      </c>
      <c r="N189" s="14">
        <f>CHOOSE(CONTROL!$C$42, 8.8204, 8.8204) * CHOOSE(CONTROL!$C$21, $C$9, 100%, $E$9)</f>
        <v>8.8203999999999994</v>
      </c>
      <c r="O189" s="14">
        <f>CHOOSE(CONTROL!$C$42, 9.0567, 9.0567) * CHOOSE(CONTROL!$C$21, $C$9, 100%, $E$9)</f>
        <v>9.0566999999999993</v>
      </c>
      <c r="P189" s="14">
        <f>CHOOSE(CONTROL!$C$42, 8.8618, 8.8618) * CHOOSE(CONTROL!$C$21, $C$9, 100%, $E$9)</f>
        <v>8.8618000000000006</v>
      </c>
      <c r="Q189" s="14">
        <f>CHOOSE(CONTROL!$C$42, 9.6514, 9.6514) * CHOOSE(CONTROL!$C$21, $C$9, 100%, $E$9)</f>
        <v>9.6514000000000006</v>
      </c>
      <c r="R189" s="14">
        <f>CHOOSE(CONTROL!$C$42, 10.2625, 10.2625) * CHOOSE(CONTROL!$C$21, $C$9, 100%, $E$9)</f>
        <v>10.262499999999999</v>
      </c>
      <c r="S189" s="14">
        <f>CHOOSE(CONTROL!$C$42, 8.6434, 8.6434) * CHOOSE(CONTROL!$C$21, $C$9, 100%, $E$9)</f>
        <v>8.6433999999999997</v>
      </c>
      <c r="T18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89" s="57">
        <f>(1000*CHOOSE(CONTROL!$C$42, 695, 695)*CHOOSE(CONTROL!$C$42, 0.5599, 0.5599)*CHOOSE(CONTROL!$C$42, 30, 30))/1000000</f>
        <v>11.673914999999997</v>
      </c>
      <c r="V189" s="57">
        <f>(1000*CHOOSE(CONTROL!$C$42, 500, 500)*CHOOSE(CONTROL!$C$42, 0.275, 0.275)*CHOOSE(CONTROL!$C$42, 30, 30))/1000000</f>
        <v>4.125</v>
      </c>
      <c r="W189" s="57">
        <f>(1000*CHOOSE(CONTROL!$C$42, 0.1146, 0.1146)*CHOOSE(CONTROL!$C$42, 121.5, 121.5)*CHOOSE(CONTROL!$C$42, 30, 30))/1000000</f>
        <v>0.417717</v>
      </c>
      <c r="X189" s="57">
        <f>(30*0.1790888*245000/1000000)+(30*0.2374*100000/1000000)</f>
        <v>2.0285026799999999</v>
      </c>
      <c r="Y189" s="57"/>
      <c r="Z189" s="14"/>
      <c r="AA189" s="56"/>
      <c r="AB189" s="50">
        <f>(B189*194.205+C189*267.466+D189*133.845+E189*53.484+F189*40+G189*185+H189*0+I189*100+J189*300)/(194.205+267.466+133.845+53.484+0+40+185+100+300)</f>
        <v>9.0362316904238629</v>
      </c>
      <c r="AC189" s="45">
        <f>(M189*'RAP TEMPLATE-GAS AVAILABILITY'!O188+N189*'RAP TEMPLATE-GAS AVAILABILITY'!P188+O189*'RAP TEMPLATE-GAS AVAILABILITY'!Q188+P189*'RAP TEMPLATE-GAS AVAILABILITY'!R188)/('RAP TEMPLATE-GAS AVAILABILITY'!O188+'RAP TEMPLATE-GAS AVAILABILITY'!P188+'RAP TEMPLATE-GAS AVAILABILITY'!Q188+'RAP TEMPLATE-GAS AVAILABILITY'!R188)</f>
        <v>8.8872697841726627</v>
      </c>
    </row>
    <row r="190" spans="1:29" ht="15.75" x14ac:dyDescent="0.25">
      <c r="A190" s="13">
        <v>46661</v>
      </c>
      <c r="B190" s="14">
        <f>CHOOSE(CONTROL!$C$42, 8.84, 8.84) * CHOOSE(CONTROL!$C$21, $C$9, 100%, $E$9)</f>
        <v>8.84</v>
      </c>
      <c r="C190" s="14">
        <f>CHOOSE(CONTROL!$C$42, 8.8453, 8.8453) * CHOOSE(CONTROL!$C$21, $C$9, 100%, $E$9)</f>
        <v>8.8452999999999999</v>
      </c>
      <c r="D190" s="14">
        <f>CHOOSE(CONTROL!$C$42, 9.0542, 9.0542) * CHOOSE(CONTROL!$C$21, $C$9, 100%, $E$9)</f>
        <v>9.0541999999999998</v>
      </c>
      <c r="E190" s="14">
        <f>CHOOSE(CONTROL!$C$42, 9.0833, 9.0833) * CHOOSE(CONTROL!$C$21, $C$9, 100%, $E$9)</f>
        <v>9.0832999999999995</v>
      </c>
      <c r="F190" s="14">
        <f>CHOOSE(CONTROL!$C$42, 8.824, 8.824)*CHOOSE(CONTROL!$C$21, $C$9, 100%, $E$9)</f>
        <v>8.8239999999999998</v>
      </c>
      <c r="G190" s="14">
        <f>CHOOSE(CONTROL!$C$42, 8.8396, 8.8396)*CHOOSE(CONTROL!$C$21, $C$9, 100%, $E$9)</f>
        <v>8.8396000000000008</v>
      </c>
      <c r="H190" s="14">
        <f>CHOOSE(CONTROL!$C$42, 9.0738, 9.0738) * CHOOSE(CONTROL!$C$21, $C$9, 100%, $E$9)</f>
        <v>9.0738000000000003</v>
      </c>
      <c r="I190" s="14">
        <f>CHOOSE(CONTROL!$C$42, 8.8749, 8.8749)* CHOOSE(CONTROL!$C$21, $C$9, 100%, $E$9)</f>
        <v>8.8749000000000002</v>
      </c>
      <c r="J190" s="14">
        <f>CHOOSE(CONTROL!$C$42, 8.817, 8.817)* CHOOSE(CONTROL!$C$21, $C$9, 100%, $E$9)</f>
        <v>8.8170000000000002</v>
      </c>
      <c r="K190" s="53">
        <f>CHOOSE(CONTROL!$C$42, 8.871, 8.871) * CHOOSE(CONTROL!$C$21, $C$9, 100%, $E$9)</f>
        <v>8.8710000000000004</v>
      </c>
      <c r="L190" s="14">
        <f>CHOOSE(CONTROL!$C$42, 9.6608, 9.6608) * CHOOSE(CONTROL!$C$21, $C$9, 100%, $E$9)</f>
        <v>9.6608000000000001</v>
      </c>
      <c r="M190" s="14">
        <f>CHOOSE(CONTROL!$C$42, 8.644, 8.644) * CHOOSE(CONTROL!$C$21, $C$9, 100%, $E$9)</f>
        <v>8.6440000000000001</v>
      </c>
      <c r="N190" s="14">
        <f>CHOOSE(CONTROL!$C$42, 8.6593, 8.6593) * CHOOSE(CONTROL!$C$21, $C$9, 100%, $E$9)</f>
        <v>8.6593</v>
      </c>
      <c r="O190" s="14">
        <f>CHOOSE(CONTROL!$C$42, 8.8956, 8.8956) * CHOOSE(CONTROL!$C$21, $C$9, 100%, $E$9)</f>
        <v>8.8956</v>
      </c>
      <c r="P190" s="14">
        <f>CHOOSE(CONTROL!$C$42, 8.7002, 8.7002) * CHOOSE(CONTROL!$C$21, $C$9, 100%, $E$9)</f>
        <v>8.7002000000000006</v>
      </c>
      <c r="Q190" s="14">
        <f>CHOOSE(CONTROL!$C$42, 9.4903, 9.4903) * CHOOSE(CONTROL!$C$21, $C$9, 100%, $E$9)</f>
        <v>9.4902999999999995</v>
      </c>
      <c r="R190" s="14">
        <f>CHOOSE(CONTROL!$C$42, 10.101, 10.101) * CHOOSE(CONTROL!$C$21, $C$9, 100%, $E$9)</f>
        <v>10.101000000000001</v>
      </c>
      <c r="S190" s="14">
        <f>CHOOSE(CONTROL!$C$42, 8.4854, 8.4854) * CHOOSE(CONTROL!$C$21, $C$9, 100%, $E$9)</f>
        <v>8.4854000000000003</v>
      </c>
      <c r="T19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90" s="57">
        <f>(1000*CHOOSE(CONTROL!$C$42, 695, 695)*CHOOSE(CONTROL!$C$42, 0.5599, 0.5599)*CHOOSE(CONTROL!$C$42, 31, 31))/1000000</f>
        <v>12.063045499999998</v>
      </c>
      <c r="V190" s="57">
        <f>(1000*CHOOSE(CONTROL!$C$42, 500, 500)*CHOOSE(CONTROL!$C$42, 0.275, 0.275)*CHOOSE(CONTROL!$C$42, 31, 31))/1000000</f>
        <v>4.2625000000000002</v>
      </c>
      <c r="W190" s="57">
        <f>(1000*CHOOSE(CONTROL!$C$42, 0.1146, 0.1146)*CHOOSE(CONTROL!$C$42, 121.5, 121.5)*CHOOSE(CONTROL!$C$42, 31, 31))/1000000</f>
        <v>0.43164089999999994</v>
      </c>
      <c r="X190" s="57">
        <f>(31*0.1790888*245000/1000000)+(31*0.2374*100000/1000000)</f>
        <v>2.0961194359999999</v>
      </c>
      <c r="Y190" s="57"/>
      <c r="Z190" s="14"/>
      <c r="AA190" s="56"/>
      <c r="AB190" s="50">
        <f>(B190*131.881+C190*277.167+D190*79.08+E190*125.872+F190*40+G190*185+H190*0+I190*100+J190*300)/(131.881+277.167+79.08+125.872+0+40+185+100+300)</f>
        <v>8.8762458262308321</v>
      </c>
      <c r="AC190" s="45">
        <f>(M190*'RAP TEMPLATE-GAS AVAILABILITY'!O189+N190*'RAP TEMPLATE-GAS AVAILABILITY'!P189+O190*'RAP TEMPLATE-GAS AVAILABILITY'!Q189+P190*'RAP TEMPLATE-GAS AVAILABILITY'!R189)/('RAP TEMPLATE-GAS AVAILABILITY'!O189+'RAP TEMPLATE-GAS AVAILABILITY'!P189+'RAP TEMPLATE-GAS AVAILABILITY'!Q189+'RAP TEMPLATE-GAS AVAILABILITY'!R189)</f>
        <v>8.7262014388489213</v>
      </c>
    </row>
    <row r="191" spans="1:29" ht="15.75" x14ac:dyDescent="0.25">
      <c r="A191" s="13">
        <v>46692</v>
      </c>
      <c r="B191" s="14">
        <f>CHOOSE(CONTROL!$C$42, 9.0908, 9.0908) * CHOOSE(CONTROL!$C$21, $C$9, 100%, $E$9)</f>
        <v>9.0907999999999998</v>
      </c>
      <c r="C191" s="14">
        <f>CHOOSE(CONTROL!$C$42, 9.0959, 9.0959) * CHOOSE(CONTROL!$C$21, $C$9, 100%, $E$9)</f>
        <v>9.0959000000000003</v>
      </c>
      <c r="D191" s="14">
        <f>CHOOSE(CONTROL!$C$42, 9.1597, 9.1597) * CHOOSE(CONTROL!$C$21, $C$9, 100%, $E$9)</f>
        <v>9.1597000000000008</v>
      </c>
      <c r="E191" s="14">
        <f>CHOOSE(CONTROL!$C$42, 9.1938, 9.1938) * CHOOSE(CONTROL!$C$21, $C$9, 100%, $E$9)</f>
        <v>9.1937999999999995</v>
      </c>
      <c r="F191" s="14">
        <f>CHOOSE(CONTROL!$C$42, 9.0932, 9.0932)*CHOOSE(CONTROL!$C$21, $C$9, 100%, $E$9)</f>
        <v>9.0931999999999995</v>
      </c>
      <c r="G191" s="14">
        <f>CHOOSE(CONTROL!$C$42, 9.1093, 9.1093)*CHOOSE(CONTROL!$C$21, $C$9, 100%, $E$9)</f>
        <v>9.1092999999999993</v>
      </c>
      <c r="H191" s="14">
        <f>CHOOSE(CONTROL!$C$42, 9.183, 9.183) * CHOOSE(CONTROL!$C$21, $C$9, 100%, $E$9)</f>
        <v>9.1829999999999998</v>
      </c>
      <c r="I191" s="14">
        <f>CHOOSE(CONTROL!$C$42, 9.1322, 9.1322)* CHOOSE(CONTROL!$C$21, $C$9, 100%, $E$9)</f>
        <v>9.1321999999999992</v>
      </c>
      <c r="J191" s="14">
        <f>CHOOSE(CONTROL!$C$42, 9.0862, 9.0862)* CHOOSE(CONTROL!$C$21, $C$9, 100%, $E$9)</f>
        <v>9.0861999999999998</v>
      </c>
      <c r="K191" s="53">
        <f>CHOOSE(CONTROL!$C$42, 9.1283, 9.1283) * CHOOSE(CONTROL!$C$21, $C$9, 100%, $E$9)</f>
        <v>9.1282999999999994</v>
      </c>
      <c r="L191" s="14">
        <f>CHOOSE(CONTROL!$C$42, 9.77, 9.77) * CHOOSE(CONTROL!$C$21, $C$9, 100%, $E$9)</f>
        <v>9.77</v>
      </c>
      <c r="M191" s="14">
        <f>CHOOSE(CONTROL!$C$42, 8.9078, 8.9078) * CHOOSE(CONTROL!$C$21, $C$9, 100%, $E$9)</f>
        <v>8.9077999999999999</v>
      </c>
      <c r="N191" s="14">
        <f>CHOOSE(CONTROL!$C$42, 8.9234, 8.9234) * CHOOSE(CONTROL!$C$21, $C$9, 100%, $E$9)</f>
        <v>8.9234000000000009</v>
      </c>
      <c r="O191" s="14">
        <f>CHOOSE(CONTROL!$C$42, 9.0026, 9.0026) * CHOOSE(CONTROL!$C$21, $C$9, 100%, $E$9)</f>
        <v>9.0025999999999993</v>
      </c>
      <c r="P191" s="14">
        <f>CHOOSE(CONTROL!$C$42, 8.9522, 8.9522) * CHOOSE(CONTROL!$C$21, $C$9, 100%, $E$9)</f>
        <v>8.9521999999999995</v>
      </c>
      <c r="Q191" s="14">
        <f>CHOOSE(CONTROL!$C$42, 9.5973, 9.5973) * CHOOSE(CONTROL!$C$21, $C$9, 100%, $E$9)</f>
        <v>9.5973000000000006</v>
      </c>
      <c r="R191" s="14">
        <f>CHOOSE(CONTROL!$C$42, 10.2083, 10.2083) * CHOOSE(CONTROL!$C$21, $C$9, 100%, $E$9)</f>
        <v>10.208299999999999</v>
      </c>
      <c r="S191" s="14">
        <f>CHOOSE(CONTROL!$C$42, 8.7269, 8.7269) * CHOOSE(CONTROL!$C$21, $C$9, 100%, $E$9)</f>
        <v>8.7269000000000005</v>
      </c>
      <c r="T19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91" s="57">
        <f>(1000*CHOOSE(CONTROL!$C$42, 695, 695)*CHOOSE(CONTROL!$C$42, 0.5599, 0.5599)*CHOOSE(CONTROL!$C$42, 30, 30))/1000000</f>
        <v>11.673914999999997</v>
      </c>
      <c r="V191" s="57">
        <f>(1000*CHOOSE(CONTROL!$C$42, 500, 500)*CHOOSE(CONTROL!$C$42, 0.275, 0.275)*CHOOSE(CONTROL!$C$42, 30, 30))/1000000</f>
        <v>4.125</v>
      </c>
      <c r="W191" s="57">
        <f>(1000*CHOOSE(CONTROL!$C$42, 0.1146, 0.1146)*CHOOSE(CONTROL!$C$42, 121.5, 121.5)*CHOOSE(CONTROL!$C$42, 30, 30))/1000000</f>
        <v>0.417717</v>
      </c>
      <c r="X191" s="57">
        <f>(30*0.1790888*100000/1000000)+(30*0.2374*100000/1000000)</f>
        <v>1.2494664</v>
      </c>
      <c r="Y191" s="57"/>
      <c r="Z191" s="14"/>
      <c r="AA191" s="56"/>
      <c r="AB191" s="50">
        <f>(B191*122.58+C191*297.941+D191*89.177+E191*40.302+F191*40+G191*160+H191*0+I191*100+J191*300)/(122.58+297.941+89.177+40.302+0+40+160+100+300)</f>
        <v>9.1061312177391294</v>
      </c>
      <c r="AC191" s="45">
        <f>(M191*'RAP TEMPLATE-GAS AVAILABILITY'!O190+N191*'RAP TEMPLATE-GAS AVAILABILITY'!P190+O191*'RAP TEMPLATE-GAS AVAILABILITY'!Q190+P191*'RAP TEMPLATE-GAS AVAILABILITY'!R190)/('RAP TEMPLATE-GAS AVAILABILITY'!O190+'RAP TEMPLATE-GAS AVAILABILITY'!P190+'RAP TEMPLATE-GAS AVAILABILITY'!Q190+'RAP TEMPLATE-GAS AVAILABILITY'!R190)</f>
        <v>8.9580532374100734</v>
      </c>
    </row>
    <row r="192" spans="1:29" ht="15.75" x14ac:dyDescent="0.25">
      <c r="A192" s="13">
        <v>46722</v>
      </c>
      <c r="B192" s="14">
        <f>CHOOSE(CONTROL!$C$42, 9.73, 9.73) * CHOOSE(CONTROL!$C$21, $C$9, 100%, $E$9)</f>
        <v>9.73</v>
      </c>
      <c r="C192" s="14">
        <f>CHOOSE(CONTROL!$C$42, 9.735, 9.735) * CHOOSE(CONTROL!$C$21, $C$9, 100%, $E$9)</f>
        <v>9.7349999999999994</v>
      </c>
      <c r="D192" s="14">
        <f>CHOOSE(CONTROL!$C$42, 9.7989, 9.7989) * CHOOSE(CONTROL!$C$21, $C$9, 100%, $E$9)</f>
        <v>9.7988999999999997</v>
      </c>
      <c r="E192" s="14">
        <f>CHOOSE(CONTROL!$C$42, 9.833, 9.833) * CHOOSE(CONTROL!$C$21, $C$9, 100%, $E$9)</f>
        <v>9.8330000000000002</v>
      </c>
      <c r="F192" s="14">
        <f>CHOOSE(CONTROL!$C$42, 9.7346, 9.7346)*CHOOSE(CONTROL!$C$21, $C$9, 100%, $E$9)</f>
        <v>9.7346000000000004</v>
      </c>
      <c r="G192" s="14">
        <f>CHOOSE(CONTROL!$C$42, 9.7512, 9.7512)*CHOOSE(CONTROL!$C$21, $C$9, 100%, $E$9)</f>
        <v>9.7512000000000008</v>
      </c>
      <c r="H192" s="14">
        <f>CHOOSE(CONTROL!$C$42, 9.8222, 9.8222) * CHOOSE(CONTROL!$C$21, $C$9, 100%, $E$9)</f>
        <v>9.8222000000000005</v>
      </c>
      <c r="I192" s="14">
        <f>CHOOSE(CONTROL!$C$42, 9.7733, 9.7733)* CHOOSE(CONTROL!$C$21, $C$9, 100%, $E$9)</f>
        <v>9.7733000000000008</v>
      </c>
      <c r="J192" s="14">
        <f>CHOOSE(CONTROL!$C$42, 9.7276, 9.7276)* CHOOSE(CONTROL!$C$21, $C$9, 100%, $E$9)</f>
        <v>9.7276000000000007</v>
      </c>
      <c r="K192" s="53">
        <f>CHOOSE(CONTROL!$C$42, 9.7694, 9.7694) * CHOOSE(CONTROL!$C$21, $C$9, 100%, $E$9)</f>
        <v>9.7693999999999992</v>
      </c>
      <c r="L192" s="14">
        <f>CHOOSE(CONTROL!$C$42, 10.4092, 10.4092) * CHOOSE(CONTROL!$C$21, $C$9, 100%, $E$9)</f>
        <v>10.4092</v>
      </c>
      <c r="M192" s="14">
        <f>CHOOSE(CONTROL!$C$42, 9.536, 9.536) * CHOOSE(CONTROL!$C$21, $C$9, 100%, $E$9)</f>
        <v>9.5359999999999996</v>
      </c>
      <c r="N192" s="14">
        <f>CHOOSE(CONTROL!$C$42, 9.5523, 9.5523) * CHOOSE(CONTROL!$C$21, $C$9, 100%, $E$9)</f>
        <v>9.5523000000000007</v>
      </c>
      <c r="O192" s="14">
        <f>CHOOSE(CONTROL!$C$42, 9.6286, 9.6286) * CHOOSE(CONTROL!$C$21, $C$9, 100%, $E$9)</f>
        <v>9.6286000000000005</v>
      </c>
      <c r="P192" s="14">
        <f>CHOOSE(CONTROL!$C$42, 9.5802, 9.5802) * CHOOSE(CONTROL!$C$21, $C$9, 100%, $E$9)</f>
        <v>9.5801999999999996</v>
      </c>
      <c r="Q192" s="14">
        <f>CHOOSE(CONTROL!$C$42, 10.2233, 10.2233) * CHOOSE(CONTROL!$C$21, $C$9, 100%, $E$9)</f>
        <v>10.2233</v>
      </c>
      <c r="R192" s="14">
        <f>CHOOSE(CONTROL!$C$42, 10.8359, 10.8359) * CHOOSE(CONTROL!$C$21, $C$9, 100%, $E$9)</f>
        <v>10.835900000000001</v>
      </c>
      <c r="S192" s="14">
        <f>CHOOSE(CONTROL!$C$42, 9.341, 9.341) * CHOOSE(CONTROL!$C$21, $C$9, 100%, $E$9)</f>
        <v>9.3409999999999993</v>
      </c>
      <c r="T19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92" s="57">
        <f>(1000*CHOOSE(CONTROL!$C$42, 695, 695)*CHOOSE(CONTROL!$C$42, 0.5599, 0.5599)*CHOOSE(CONTROL!$C$42, 31, 31))/1000000</f>
        <v>12.063045499999998</v>
      </c>
      <c r="V192" s="57">
        <f>(1000*CHOOSE(CONTROL!$C$42, 500, 500)*CHOOSE(CONTROL!$C$42, 0.275, 0.275)*CHOOSE(CONTROL!$C$42, 31, 31))/1000000</f>
        <v>4.2625000000000002</v>
      </c>
      <c r="W192" s="57">
        <f>(1000*CHOOSE(CONTROL!$C$42, 0.1146, 0.1146)*CHOOSE(CONTROL!$C$42, 121.5, 121.5)*CHOOSE(CONTROL!$C$42, 31, 31))/1000000</f>
        <v>0.43164089999999994</v>
      </c>
      <c r="X192" s="57">
        <f>(31*0.1790888*100000/1000000)+(31*0.2374*100000/1000000)</f>
        <v>1.2911152800000001</v>
      </c>
      <c r="Y192" s="57"/>
      <c r="Z192" s="14"/>
      <c r="AA192" s="56"/>
      <c r="AB192" s="50">
        <f>(B192*122.58+C192*297.941+D192*89.177+E192*40.302+F192*40+G192*160+H192*0+I192*100+J192*300)/(122.58+297.941+89.177+40.302+0+40+160+100+300)</f>
        <v>9.746496614173914</v>
      </c>
      <c r="AC192" s="45">
        <f>(M192*'RAP TEMPLATE-GAS AVAILABILITY'!O191+N192*'RAP TEMPLATE-GAS AVAILABILITY'!P191+O192*'RAP TEMPLATE-GAS AVAILABILITY'!Q191+P192*'RAP TEMPLATE-GAS AVAILABILITY'!R191)/('RAP TEMPLATE-GAS AVAILABILITY'!O191+'RAP TEMPLATE-GAS AVAILABILITY'!P191+'RAP TEMPLATE-GAS AVAILABILITY'!Q191+'RAP TEMPLATE-GAS AVAILABILITY'!R191)</f>
        <v>9.5852676258992808</v>
      </c>
    </row>
    <row r="193" spans="1:29" ht="15.75" x14ac:dyDescent="0.25">
      <c r="A193" s="13">
        <v>46753</v>
      </c>
      <c r="B193" s="14">
        <f>CHOOSE(CONTROL!$C$42, 10.2463, 10.2463) * CHOOSE(CONTROL!$C$21, $C$9, 100%, $E$9)</f>
        <v>10.2463</v>
      </c>
      <c r="C193" s="14">
        <f>CHOOSE(CONTROL!$C$42, 10.2513, 10.2513) * CHOOSE(CONTROL!$C$21, $C$9, 100%, $E$9)</f>
        <v>10.251300000000001</v>
      </c>
      <c r="D193" s="14">
        <f>CHOOSE(CONTROL!$C$42, 10.3177, 10.3177) * CHOOSE(CONTROL!$C$21, $C$9, 100%, $E$9)</f>
        <v>10.3177</v>
      </c>
      <c r="E193" s="14">
        <f>CHOOSE(CONTROL!$C$42, 10.3519, 10.3519) * CHOOSE(CONTROL!$C$21, $C$9, 100%, $E$9)</f>
        <v>10.351900000000001</v>
      </c>
      <c r="F193" s="14">
        <f>CHOOSE(CONTROL!$C$42, 10.2336, 10.2336)*CHOOSE(CONTROL!$C$21, $C$9, 100%, $E$9)</f>
        <v>10.233599999999999</v>
      </c>
      <c r="G193" s="14">
        <f>CHOOSE(CONTROL!$C$42, 10.2491, 10.2491)*CHOOSE(CONTROL!$C$21, $C$9, 100%, $E$9)</f>
        <v>10.2491</v>
      </c>
      <c r="H193" s="14">
        <f>CHOOSE(CONTROL!$C$42, 10.341, 10.341) * CHOOSE(CONTROL!$C$21, $C$9, 100%, $E$9)</f>
        <v>10.340999999999999</v>
      </c>
      <c r="I193" s="14">
        <f>CHOOSE(CONTROL!$C$42, 10.286, 10.286)* CHOOSE(CONTROL!$C$21, $C$9, 100%, $E$9)</f>
        <v>10.286</v>
      </c>
      <c r="J193" s="14">
        <f>CHOOSE(CONTROL!$C$42, 10.2266, 10.2266)* CHOOSE(CONTROL!$C$21, $C$9, 100%, $E$9)</f>
        <v>10.226599999999999</v>
      </c>
      <c r="K193" s="53">
        <f>CHOOSE(CONTROL!$C$42, 10.2821, 10.2821) * CHOOSE(CONTROL!$C$21, $C$9, 100%, $E$9)</f>
        <v>10.2821</v>
      </c>
      <c r="L193" s="14">
        <f>CHOOSE(CONTROL!$C$42, 10.928, 10.928) * CHOOSE(CONTROL!$C$21, $C$9, 100%, $E$9)</f>
        <v>10.928000000000001</v>
      </c>
      <c r="M193" s="14">
        <f>CHOOSE(CONTROL!$C$42, 10.0247, 10.0247) * CHOOSE(CONTROL!$C$21, $C$9, 100%, $E$9)</f>
        <v>10.024699999999999</v>
      </c>
      <c r="N193" s="14">
        <f>CHOOSE(CONTROL!$C$42, 10.0399, 10.0399) * CHOOSE(CONTROL!$C$21, $C$9, 100%, $E$9)</f>
        <v>10.039899999999999</v>
      </c>
      <c r="O193" s="14">
        <f>CHOOSE(CONTROL!$C$42, 10.1369, 10.1369) * CHOOSE(CONTROL!$C$21, $C$9, 100%, $E$9)</f>
        <v>10.136900000000001</v>
      </c>
      <c r="P193" s="14">
        <f>CHOOSE(CONTROL!$C$42, 10.0824, 10.0824) * CHOOSE(CONTROL!$C$21, $C$9, 100%, $E$9)</f>
        <v>10.0824</v>
      </c>
      <c r="Q193" s="14">
        <f>CHOOSE(CONTROL!$C$42, 10.7316, 10.7316) * CHOOSE(CONTROL!$C$21, $C$9, 100%, $E$9)</f>
        <v>10.7316</v>
      </c>
      <c r="R193" s="14">
        <f>CHOOSE(CONTROL!$C$42, 11.3454, 11.3454) * CHOOSE(CONTROL!$C$21, $C$9, 100%, $E$9)</f>
        <v>11.3454</v>
      </c>
      <c r="S193" s="14">
        <f>CHOOSE(CONTROL!$C$42, 9.8371, 9.8371) * CHOOSE(CONTROL!$C$21, $C$9, 100%, $E$9)</f>
        <v>9.8370999999999995</v>
      </c>
      <c r="T19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93" s="57">
        <f>(1000*CHOOSE(CONTROL!$C$42, 695, 695)*CHOOSE(CONTROL!$C$42, 0.5599, 0.5599)*CHOOSE(CONTROL!$C$42, 31, 31))/1000000</f>
        <v>12.063045499999998</v>
      </c>
      <c r="V193" s="57">
        <f>(1000*CHOOSE(CONTROL!$C$42, 500, 500)*CHOOSE(CONTROL!$C$42, 0.275, 0.275)*CHOOSE(CONTROL!$C$42, 31, 31))/1000000</f>
        <v>4.2625000000000002</v>
      </c>
      <c r="W193" s="57">
        <f>(1000*CHOOSE(CONTROL!$C$42, 0.1146, 0.1146)*CHOOSE(CONTROL!$C$42, 121.5, 121.5)*CHOOSE(CONTROL!$C$42, 31, 31))/1000000</f>
        <v>0.43164089999999994</v>
      </c>
      <c r="X193" s="57">
        <f>(31*0.1790888*100000/1000000)+(31*0.2374*100000/1000000)</f>
        <v>1.2911152800000001</v>
      </c>
      <c r="Y193" s="57"/>
      <c r="Z193" s="14"/>
      <c r="AA193" s="56"/>
      <c r="AB193" s="50">
        <f>(B193*122.58+C193*297.941+D193*89.177+E193*40.302+F193*40+G193*160+H193*0+I193*100+J193*300)/(122.58+297.941+89.177+40.302+0+40+160+100+300)</f>
        <v>10.255093768695652</v>
      </c>
      <c r="AC193" s="45">
        <f>(M193*'RAP TEMPLATE-GAS AVAILABILITY'!O192+N193*'RAP TEMPLATE-GAS AVAILABILITY'!P192+O193*'RAP TEMPLATE-GAS AVAILABILITY'!Q192+P193*'RAP TEMPLATE-GAS AVAILABILITY'!R192)/('RAP TEMPLATE-GAS AVAILABILITY'!O192+'RAP TEMPLATE-GAS AVAILABILITY'!P192+'RAP TEMPLATE-GAS AVAILABILITY'!Q192+'RAP TEMPLATE-GAS AVAILABILITY'!R192)</f>
        <v>10.084730215827339</v>
      </c>
    </row>
    <row r="194" spans="1:29" ht="15.75" x14ac:dyDescent="0.25">
      <c r="A194" s="13">
        <v>46784</v>
      </c>
      <c r="B194" s="14">
        <f>CHOOSE(CONTROL!$C$42, 10.45, 10.45) * CHOOSE(CONTROL!$C$21, $C$9, 100%, $E$9)</f>
        <v>10.45</v>
      </c>
      <c r="C194" s="14">
        <f>CHOOSE(CONTROL!$C$42, 10.455, 10.455) * CHOOSE(CONTROL!$C$21, $C$9, 100%, $E$9)</f>
        <v>10.455</v>
      </c>
      <c r="D194" s="14">
        <f>CHOOSE(CONTROL!$C$42, 10.5214, 10.5214) * CHOOSE(CONTROL!$C$21, $C$9, 100%, $E$9)</f>
        <v>10.5214</v>
      </c>
      <c r="E194" s="14">
        <f>CHOOSE(CONTROL!$C$42, 10.5555, 10.5555) * CHOOSE(CONTROL!$C$21, $C$9, 100%, $E$9)</f>
        <v>10.5555</v>
      </c>
      <c r="F194" s="14">
        <f>CHOOSE(CONTROL!$C$42, 10.4374, 10.4374)*CHOOSE(CONTROL!$C$21, $C$9, 100%, $E$9)</f>
        <v>10.4374</v>
      </c>
      <c r="G194" s="14">
        <f>CHOOSE(CONTROL!$C$42, 10.4529, 10.4529)*CHOOSE(CONTROL!$C$21, $C$9, 100%, $E$9)</f>
        <v>10.4529</v>
      </c>
      <c r="H194" s="14">
        <f>CHOOSE(CONTROL!$C$42, 10.5447, 10.5447) * CHOOSE(CONTROL!$C$21, $C$9, 100%, $E$9)</f>
        <v>10.544700000000001</v>
      </c>
      <c r="I194" s="14">
        <f>CHOOSE(CONTROL!$C$42, 10.4903, 10.4903)* CHOOSE(CONTROL!$C$21, $C$9, 100%, $E$9)</f>
        <v>10.4903</v>
      </c>
      <c r="J194" s="14">
        <f>CHOOSE(CONTROL!$C$42, 10.4304, 10.4304)* CHOOSE(CONTROL!$C$21, $C$9, 100%, $E$9)</f>
        <v>10.430400000000001</v>
      </c>
      <c r="K194" s="53">
        <f>CHOOSE(CONTROL!$C$42, 10.4864, 10.4864) * CHOOSE(CONTROL!$C$21, $C$9, 100%, $E$9)</f>
        <v>10.4864</v>
      </c>
      <c r="L194" s="14">
        <f>CHOOSE(CONTROL!$C$42, 11.1317, 11.1317) * CHOOSE(CONTROL!$C$21, $C$9, 100%, $E$9)</f>
        <v>11.1317</v>
      </c>
      <c r="M194" s="14">
        <f>CHOOSE(CONTROL!$C$42, 10.2243, 10.2243) * CHOOSE(CONTROL!$C$21, $C$9, 100%, $E$9)</f>
        <v>10.224299999999999</v>
      </c>
      <c r="N194" s="14">
        <f>CHOOSE(CONTROL!$C$42, 10.2395, 10.2395) * CHOOSE(CONTROL!$C$21, $C$9, 100%, $E$9)</f>
        <v>10.2395</v>
      </c>
      <c r="O194" s="14">
        <f>CHOOSE(CONTROL!$C$42, 10.3364, 10.3364) * CHOOSE(CONTROL!$C$21, $C$9, 100%, $E$9)</f>
        <v>10.336399999999999</v>
      </c>
      <c r="P194" s="14">
        <f>CHOOSE(CONTROL!$C$42, 10.2825, 10.2825) * CHOOSE(CONTROL!$C$21, $C$9, 100%, $E$9)</f>
        <v>10.282500000000001</v>
      </c>
      <c r="Q194" s="14">
        <f>CHOOSE(CONTROL!$C$42, 10.9311, 10.9311) * CHOOSE(CONTROL!$C$21, $C$9, 100%, $E$9)</f>
        <v>10.931100000000001</v>
      </c>
      <c r="R194" s="14">
        <f>CHOOSE(CONTROL!$C$42, 11.5454, 11.5454) * CHOOSE(CONTROL!$C$21, $C$9, 100%, $E$9)</f>
        <v>11.545400000000001</v>
      </c>
      <c r="S194" s="14">
        <f>CHOOSE(CONTROL!$C$42, 10.0328, 10.0328) * CHOOSE(CONTROL!$C$21, $C$9, 100%, $E$9)</f>
        <v>10.0328</v>
      </c>
      <c r="T194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94" s="57">
        <f>(1000*CHOOSE(CONTROL!$C$42, 695, 695)*CHOOSE(CONTROL!$C$42, 0.5599, 0.5599)*CHOOSE(CONTROL!$C$42, 29, 29))/1000000</f>
        <v>11.284784499999999</v>
      </c>
      <c r="V194" s="57">
        <f>(1000*CHOOSE(CONTROL!$C$42, 500, 500)*CHOOSE(CONTROL!$C$42, 0.275, 0.275)*CHOOSE(CONTROL!$C$42, 29, 29))/1000000</f>
        <v>3.9874999999999998</v>
      </c>
      <c r="W194" s="57">
        <f>(1000*CHOOSE(CONTROL!$C$42, 0.1146, 0.1146)*CHOOSE(CONTROL!$C$42, 121.5, 121.5)*CHOOSE(CONTROL!$C$42, 29, 29))/1000000</f>
        <v>0.40379309999999996</v>
      </c>
      <c r="X194" s="57">
        <f>(29*0.1790888*100000/1000000)+(29*0.2374*100000/1000000)</f>
        <v>1.2078175199999999</v>
      </c>
      <c r="Y194" s="57"/>
      <c r="Z194" s="14"/>
      <c r="AA194" s="56"/>
      <c r="AB194" s="50">
        <f>(B194*122.58+C194*297.941+D194*89.177+E194*40.302+F194*40+G194*160+H194*0+I194*100+J194*300)/(122.58+297.941+89.177+40.302+0+40+160+100+300)</f>
        <v>10.458885916347826</v>
      </c>
      <c r="AC194" s="45">
        <f>(M194*'RAP TEMPLATE-GAS AVAILABILITY'!O193+N194*'RAP TEMPLATE-GAS AVAILABILITY'!P193+O194*'RAP TEMPLATE-GAS AVAILABILITY'!Q193+P194*'RAP TEMPLATE-GAS AVAILABILITY'!R193)/('RAP TEMPLATE-GAS AVAILABILITY'!O193+'RAP TEMPLATE-GAS AVAILABILITY'!P193+'RAP TEMPLATE-GAS AVAILABILITY'!Q193+'RAP TEMPLATE-GAS AVAILABILITY'!R193)</f>
        <v>10.284356834532373</v>
      </c>
    </row>
    <row r="195" spans="1:29" ht="15.75" x14ac:dyDescent="0.25">
      <c r="A195" s="13">
        <v>46813</v>
      </c>
      <c r="B195" s="14">
        <f>CHOOSE(CONTROL!$C$42, 10.1744, 10.1744) * CHOOSE(CONTROL!$C$21, $C$9, 100%, $E$9)</f>
        <v>10.1744</v>
      </c>
      <c r="C195" s="14">
        <f>CHOOSE(CONTROL!$C$42, 10.1795, 10.1795) * CHOOSE(CONTROL!$C$21, $C$9, 100%, $E$9)</f>
        <v>10.179500000000001</v>
      </c>
      <c r="D195" s="14">
        <f>CHOOSE(CONTROL!$C$42, 10.2459, 10.2459) * CHOOSE(CONTROL!$C$21, $C$9, 100%, $E$9)</f>
        <v>10.245900000000001</v>
      </c>
      <c r="E195" s="14">
        <f>CHOOSE(CONTROL!$C$42, 10.28, 10.28) * CHOOSE(CONTROL!$C$21, $C$9, 100%, $E$9)</f>
        <v>10.28</v>
      </c>
      <c r="F195" s="14">
        <f>CHOOSE(CONTROL!$C$42, 10.1614, 10.1614)*CHOOSE(CONTROL!$C$21, $C$9, 100%, $E$9)</f>
        <v>10.1614</v>
      </c>
      <c r="G195" s="14">
        <f>CHOOSE(CONTROL!$C$42, 10.1768, 10.1768)*CHOOSE(CONTROL!$C$21, $C$9, 100%, $E$9)</f>
        <v>10.1768</v>
      </c>
      <c r="H195" s="14">
        <f>CHOOSE(CONTROL!$C$42, 10.2692, 10.2692) * CHOOSE(CONTROL!$C$21, $C$9, 100%, $E$9)</f>
        <v>10.2692</v>
      </c>
      <c r="I195" s="14">
        <f>CHOOSE(CONTROL!$C$42, 10.2139, 10.2139)* CHOOSE(CONTROL!$C$21, $C$9, 100%, $E$9)</f>
        <v>10.213900000000001</v>
      </c>
      <c r="J195" s="14">
        <f>CHOOSE(CONTROL!$C$42, 10.1544, 10.1544)* CHOOSE(CONTROL!$C$21, $C$9, 100%, $E$9)</f>
        <v>10.154400000000001</v>
      </c>
      <c r="K195" s="53">
        <f>CHOOSE(CONTROL!$C$42, 10.21, 10.21) * CHOOSE(CONTROL!$C$21, $C$9, 100%, $E$9)</f>
        <v>10.210000000000001</v>
      </c>
      <c r="L195" s="14">
        <f>CHOOSE(CONTROL!$C$42, 10.8562, 10.8562) * CHOOSE(CONTROL!$C$21, $C$9, 100%, $E$9)</f>
        <v>10.856199999999999</v>
      </c>
      <c r="M195" s="14">
        <f>CHOOSE(CONTROL!$C$42, 9.9541, 9.9541) * CHOOSE(CONTROL!$C$21, $C$9, 100%, $E$9)</f>
        <v>9.9541000000000004</v>
      </c>
      <c r="N195" s="14">
        <f>CHOOSE(CONTROL!$C$42, 9.9692, 9.9692) * CHOOSE(CONTROL!$C$21, $C$9, 100%, $E$9)</f>
        <v>9.9692000000000007</v>
      </c>
      <c r="O195" s="14">
        <f>CHOOSE(CONTROL!$C$42, 10.0665, 10.0665) * CHOOSE(CONTROL!$C$21, $C$9, 100%, $E$9)</f>
        <v>10.0665</v>
      </c>
      <c r="P195" s="14">
        <f>CHOOSE(CONTROL!$C$42, 10.0118, 10.0118) * CHOOSE(CONTROL!$C$21, $C$9, 100%, $E$9)</f>
        <v>10.011799999999999</v>
      </c>
      <c r="Q195" s="14">
        <f>CHOOSE(CONTROL!$C$42, 10.6612, 10.6612) * CHOOSE(CONTROL!$C$21, $C$9, 100%, $E$9)</f>
        <v>10.661199999999999</v>
      </c>
      <c r="R195" s="14">
        <f>CHOOSE(CONTROL!$C$42, 11.2749, 11.2749) * CHOOSE(CONTROL!$C$21, $C$9, 100%, $E$9)</f>
        <v>11.274900000000001</v>
      </c>
      <c r="S195" s="14">
        <f>CHOOSE(CONTROL!$C$42, 9.7681, 9.7681) * CHOOSE(CONTROL!$C$21, $C$9, 100%, $E$9)</f>
        <v>9.7681000000000004</v>
      </c>
      <c r="T19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95" s="57">
        <f>(1000*CHOOSE(CONTROL!$C$42, 695, 695)*CHOOSE(CONTROL!$C$42, 0.5599, 0.5599)*CHOOSE(CONTROL!$C$42, 31, 31))/1000000</f>
        <v>12.063045499999998</v>
      </c>
      <c r="V195" s="57">
        <f>(1000*CHOOSE(CONTROL!$C$42, 500, 500)*CHOOSE(CONTROL!$C$42, 0.275, 0.275)*CHOOSE(CONTROL!$C$42, 31, 31))/1000000</f>
        <v>4.2625000000000002</v>
      </c>
      <c r="W195" s="57">
        <f>(1000*CHOOSE(CONTROL!$C$42, 0.1146, 0.1146)*CHOOSE(CONTROL!$C$42, 121.5, 121.5)*CHOOSE(CONTROL!$C$42, 31, 31))/1000000</f>
        <v>0.43164089999999994</v>
      </c>
      <c r="X195" s="57">
        <f>(31*0.1790888*100000/1000000)+(31*0.2374*100000/1000000)</f>
        <v>1.2911152800000001</v>
      </c>
      <c r="Y195" s="57"/>
      <c r="Z195" s="14"/>
      <c r="AA195" s="56"/>
      <c r="AB195" s="50">
        <f>(B195*122.58+C195*297.941+D195*89.177+E195*40.302+F195*40+G195*160+H195*0+I195*100+J195*300)/(122.58+297.941+89.177+40.302+0+40+160+100+300)</f>
        <v>10.183065692</v>
      </c>
      <c r="AC195" s="45">
        <f>(M195*'RAP TEMPLATE-GAS AVAILABILITY'!O194+N195*'RAP TEMPLATE-GAS AVAILABILITY'!P194+O195*'RAP TEMPLATE-GAS AVAILABILITY'!Q194+P195*'RAP TEMPLATE-GAS AVAILABILITY'!R194)/('RAP TEMPLATE-GAS AVAILABILITY'!O194+'RAP TEMPLATE-GAS AVAILABILITY'!P194+'RAP TEMPLATE-GAS AVAILABILITY'!Q194+'RAP TEMPLATE-GAS AVAILABILITY'!R194)</f>
        <v>10.014215107913669</v>
      </c>
    </row>
    <row r="196" spans="1:29" ht="15.75" x14ac:dyDescent="0.25">
      <c r="A196" s="13">
        <v>46844</v>
      </c>
      <c r="B196" s="14">
        <f>CHOOSE(CONTROL!$C$42, 10.1661, 10.1661) * CHOOSE(CONTROL!$C$21, $C$9, 100%, $E$9)</f>
        <v>10.1661</v>
      </c>
      <c r="C196" s="14">
        <f>CHOOSE(CONTROL!$C$42, 10.1705, 10.1705) * CHOOSE(CONTROL!$C$21, $C$9, 100%, $E$9)</f>
        <v>10.170500000000001</v>
      </c>
      <c r="D196" s="14">
        <f>CHOOSE(CONTROL!$C$42, 10.3776, 10.3776) * CHOOSE(CONTROL!$C$21, $C$9, 100%, $E$9)</f>
        <v>10.377599999999999</v>
      </c>
      <c r="E196" s="14">
        <f>CHOOSE(CONTROL!$C$42, 10.4097, 10.4097) * CHOOSE(CONTROL!$C$21, $C$9, 100%, $E$9)</f>
        <v>10.409700000000001</v>
      </c>
      <c r="F196" s="14">
        <f>CHOOSE(CONTROL!$C$42, 10.1479, 10.1479)*CHOOSE(CONTROL!$C$21, $C$9, 100%, $E$9)</f>
        <v>10.1479</v>
      </c>
      <c r="G196" s="14">
        <f>CHOOSE(CONTROL!$C$42, 10.1631, 10.1631)*CHOOSE(CONTROL!$C$21, $C$9, 100%, $E$9)</f>
        <v>10.1631</v>
      </c>
      <c r="H196" s="14">
        <f>CHOOSE(CONTROL!$C$42, 10.3995, 10.3995) * CHOOSE(CONTROL!$C$21, $C$9, 100%, $E$9)</f>
        <v>10.3995</v>
      </c>
      <c r="I196" s="14">
        <f>CHOOSE(CONTROL!$C$42, 10.2047, 10.2047)* CHOOSE(CONTROL!$C$21, $C$9, 100%, $E$9)</f>
        <v>10.204700000000001</v>
      </c>
      <c r="J196" s="14">
        <f>CHOOSE(CONTROL!$C$42, 10.1409, 10.1409)* CHOOSE(CONTROL!$C$21, $C$9, 100%, $E$9)</f>
        <v>10.1409</v>
      </c>
      <c r="K196" s="53">
        <f>CHOOSE(CONTROL!$C$42, 10.2008, 10.2008) * CHOOSE(CONTROL!$C$21, $C$9, 100%, $E$9)</f>
        <v>10.200799999999999</v>
      </c>
      <c r="L196" s="14">
        <f>CHOOSE(CONTROL!$C$42, 10.9865, 10.9865) * CHOOSE(CONTROL!$C$21, $C$9, 100%, $E$9)</f>
        <v>10.986499999999999</v>
      </c>
      <c r="M196" s="14">
        <f>CHOOSE(CONTROL!$C$42, 9.9408, 9.9408) * CHOOSE(CONTROL!$C$21, $C$9, 100%, $E$9)</f>
        <v>9.9407999999999994</v>
      </c>
      <c r="N196" s="14">
        <f>CHOOSE(CONTROL!$C$42, 9.9557, 9.9557) * CHOOSE(CONTROL!$C$21, $C$9, 100%, $E$9)</f>
        <v>9.9557000000000002</v>
      </c>
      <c r="O196" s="14">
        <f>CHOOSE(CONTROL!$C$42, 10.1941, 10.1941) * CHOOSE(CONTROL!$C$21, $C$9, 100%, $E$9)</f>
        <v>10.194100000000001</v>
      </c>
      <c r="P196" s="14">
        <f>CHOOSE(CONTROL!$C$42, 10.0028, 10.0028) * CHOOSE(CONTROL!$C$21, $C$9, 100%, $E$9)</f>
        <v>10.002800000000001</v>
      </c>
      <c r="Q196" s="14">
        <f>CHOOSE(CONTROL!$C$42, 10.7888, 10.7888) * CHOOSE(CONTROL!$C$21, $C$9, 100%, $E$9)</f>
        <v>10.7888</v>
      </c>
      <c r="R196" s="14">
        <f>CHOOSE(CONTROL!$C$42, 11.4028, 11.4028) * CHOOSE(CONTROL!$C$21, $C$9, 100%, $E$9)</f>
        <v>11.402799999999999</v>
      </c>
      <c r="S196" s="14">
        <f>CHOOSE(CONTROL!$C$42, 9.7593, 9.7593) * CHOOSE(CONTROL!$C$21, $C$9, 100%, $E$9)</f>
        <v>9.7592999999999996</v>
      </c>
      <c r="T19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96" s="57">
        <f>(1000*CHOOSE(CONTROL!$C$42, 695, 695)*CHOOSE(CONTROL!$C$42, 0.5599, 0.5599)*CHOOSE(CONTROL!$C$42, 30, 30))/1000000</f>
        <v>11.673914999999997</v>
      </c>
      <c r="V196" s="57">
        <f>(1000*CHOOSE(CONTROL!$C$42, 500, 500)*CHOOSE(CONTROL!$C$42, 0.275, 0.275)*CHOOSE(CONTROL!$C$42, 30, 30))/1000000</f>
        <v>4.125</v>
      </c>
      <c r="W196" s="57">
        <f>(1000*CHOOSE(CONTROL!$C$42, 0.1146, 0.1146)*CHOOSE(CONTROL!$C$42, 121.5, 121.5)*CHOOSE(CONTROL!$C$42, 30, 30))/1000000</f>
        <v>0.417717</v>
      </c>
      <c r="X196" s="57">
        <f>(30*0.1790888*245000/1000000)+(30*0.2374*100000/1000000)</f>
        <v>2.0285026799999999</v>
      </c>
      <c r="Y196" s="57"/>
      <c r="Z196" s="14"/>
      <c r="AA196" s="56"/>
      <c r="AB196" s="50">
        <f>(B196*141.293+C196*267.993+D196*115.016+E196*89.698+F196*40+G196*185+H196*0+I196*100+J196*300)/(141.293+267.993+115.016+89.698+0+40+185+100+300)</f>
        <v>10.200298939467313</v>
      </c>
      <c r="AC196" s="45">
        <f>(M196*'RAP TEMPLATE-GAS AVAILABILITY'!O195+N196*'RAP TEMPLATE-GAS AVAILABILITY'!P195+O196*'RAP TEMPLATE-GAS AVAILABILITY'!Q195+P196*'RAP TEMPLATE-GAS AVAILABILITY'!R195)/('RAP TEMPLATE-GAS AVAILABILITY'!O195+'RAP TEMPLATE-GAS AVAILABILITY'!P195+'RAP TEMPLATE-GAS AVAILABILITY'!Q195+'RAP TEMPLATE-GAS AVAILABILITY'!R195)</f>
        <v>10.024220863309353</v>
      </c>
    </row>
    <row r="197" spans="1:29" ht="15.75" x14ac:dyDescent="0.25">
      <c r="A197" s="13">
        <v>46874</v>
      </c>
      <c r="B197" s="14">
        <f>CHOOSE(CONTROL!$C$42, 10.2782, 10.2782) * CHOOSE(CONTROL!$C$21, $C$9, 100%, $E$9)</f>
        <v>10.2782</v>
      </c>
      <c r="C197" s="14">
        <f>CHOOSE(CONTROL!$C$42, 10.2862, 10.2862) * CHOOSE(CONTROL!$C$21, $C$9, 100%, $E$9)</f>
        <v>10.286199999999999</v>
      </c>
      <c r="D197" s="14">
        <f>CHOOSE(CONTROL!$C$42, 10.4901, 10.4901) * CHOOSE(CONTROL!$C$21, $C$9, 100%, $E$9)</f>
        <v>10.4901</v>
      </c>
      <c r="E197" s="14">
        <f>CHOOSE(CONTROL!$C$42, 10.5216, 10.5216) * CHOOSE(CONTROL!$C$21, $C$9, 100%, $E$9)</f>
        <v>10.521599999999999</v>
      </c>
      <c r="F197" s="14">
        <f>CHOOSE(CONTROL!$C$42, 10.2589, 10.2589)*CHOOSE(CONTROL!$C$21, $C$9, 100%, $E$9)</f>
        <v>10.258900000000001</v>
      </c>
      <c r="G197" s="14">
        <f>CHOOSE(CONTROL!$C$42, 10.2746, 10.2746)*CHOOSE(CONTROL!$C$21, $C$9, 100%, $E$9)</f>
        <v>10.2746</v>
      </c>
      <c r="H197" s="14">
        <f>CHOOSE(CONTROL!$C$42, 10.5102, 10.5102) * CHOOSE(CONTROL!$C$21, $C$9, 100%, $E$9)</f>
        <v>10.510199999999999</v>
      </c>
      <c r="I197" s="14">
        <f>CHOOSE(CONTROL!$C$42, 10.3158, 10.3158)* CHOOSE(CONTROL!$C$21, $C$9, 100%, $E$9)</f>
        <v>10.315799999999999</v>
      </c>
      <c r="J197" s="14">
        <f>CHOOSE(CONTROL!$C$42, 10.2519, 10.2519)* CHOOSE(CONTROL!$C$21, $C$9, 100%, $E$9)</f>
        <v>10.251899999999999</v>
      </c>
      <c r="K197" s="53">
        <f>CHOOSE(CONTROL!$C$42, 10.3119, 10.3119) * CHOOSE(CONTROL!$C$21, $C$9, 100%, $E$9)</f>
        <v>10.3119</v>
      </c>
      <c r="L197" s="14">
        <f>CHOOSE(CONTROL!$C$42, 11.0972, 11.0972) * CHOOSE(CONTROL!$C$21, $C$9, 100%, $E$9)</f>
        <v>11.097200000000001</v>
      </c>
      <c r="M197" s="14">
        <f>CHOOSE(CONTROL!$C$42, 10.0496, 10.0496) * CHOOSE(CONTROL!$C$21, $C$9, 100%, $E$9)</f>
        <v>10.0496</v>
      </c>
      <c r="N197" s="14">
        <f>CHOOSE(CONTROL!$C$42, 10.0649, 10.0649) * CHOOSE(CONTROL!$C$21, $C$9, 100%, $E$9)</f>
        <v>10.0649</v>
      </c>
      <c r="O197" s="14">
        <f>CHOOSE(CONTROL!$C$42, 10.3026, 10.3026) * CHOOSE(CONTROL!$C$21, $C$9, 100%, $E$9)</f>
        <v>10.3026</v>
      </c>
      <c r="P197" s="14">
        <f>CHOOSE(CONTROL!$C$42, 10.1116, 10.1116) * CHOOSE(CONTROL!$C$21, $C$9, 100%, $E$9)</f>
        <v>10.111599999999999</v>
      </c>
      <c r="Q197" s="14">
        <f>CHOOSE(CONTROL!$C$42, 10.8973, 10.8973) * CHOOSE(CONTROL!$C$21, $C$9, 100%, $E$9)</f>
        <v>10.8973</v>
      </c>
      <c r="R197" s="14">
        <f>CHOOSE(CONTROL!$C$42, 11.5115, 11.5115) * CHOOSE(CONTROL!$C$21, $C$9, 100%, $E$9)</f>
        <v>11.5115</v>
      </c>
      <c r="S197" s="14">
        <f>CHOOSE(CONTROL!$C$42, 9.8657, 9.8657) * CHOOSE(CONTROL!$C$21, $C$9, 100%, $E$9)</f>
        <v>9.8657000000000004</v>
      </c>
      <c r="T19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97" s="57">
        <f>(1000*CHOOSE(CONTROL!$C$42, 695, 695)*CHOOSE(CONTROL!$C$42, 0.5599, 0.5599)*CHOOSE(CONTROL!$C$42, 31, 31))/1000000</f>
        <v>12.063045499999998</v>
      </c>
      <c r="V197" s="57">
        <f>(1000*CHOOSE(CONTROL!$C$42, 500, 500)*CHOOSE(CONTROL!$C$42, 0.275, 0.275)*CHOOSE(CONTROL!$C$42, 31, 31))/1000000</f>
        <v>4.2625000000000002</v>
      </c>
      <c r="W197" s="57">
        <f>(1000*CHOOSE(CONTROL!$C$42, 0.1146, 0.1146)*CHOOSE(CONTROL!$C$42, 121.5, 121.5)*CHOOSE(CONTROL!$C$42, 31, 31))/1000000</f>
        <v>0.43164089999999994</v>
      </c>
      <c r="X197" s="57">
        <f>(31*0.1790888*245000/1000000)+(31*0.2374*100000/1000000)</f>
        <v>2.0961194359999999</v>
      </c>
      <c r="Y197" s="57"/>
      <c r="Z197" s="14"/>
      <c r="AA197" s="56"/>
      <c r="AB197" s="50">
        <f>(B197*194.205+C197*267.466+D197*133.845+E197*53.484+F197*40+G197*185+H197*0+I197*100+J197*300)/(194.205+267.466+133.845+53.484+0+40+185+100+300)</f>
        <v>10.307989237912087</v>
      </c>
      <c r="AC197" s="45">
        <f>(M197*'RAP TEMPLATE-GAS AVAILABILITY'!O196+N197*'RAP TEMPLATE-GAS AVAILABILITY'!P196+O197*'RAP TEMPLATE-GAS AVAILABILITY'!Q196+P197*'RAP TEMPLATE-GAS AVAILABILITY'!R196)/('RAP TEMPLATE-GAS AVAILABILITY'!O196+'RAP TEMPLATE-GAS AVAILABILITY'!P196+'RAP TEMPLATE-GAS AVAILABILITY'!Q196+'RAP TEMPLATE-GAS AVAILABILITY'!R196)</f>
        <v>10.133028776978417</v>
      </c>
    </row>
    <row r="198" spans="1:29" ht="15.75" x14ac:dyDescent="0.25">
      <c r="A198" s="13">
        <v>46905</v>
      </c>
      <c r="B198" s="14">
        <f>CHOOSE(CONTROL!$C$42, 10.5911, 10.5911) * CHOOSE(CONTROL!$C$21, $C$9, 100%, $E$9)</f>
        <v>10.591100000000001</v>
      </c>
      <c r="C198" s="14">
        <f>CHOOSE(CONTROL!$C$42, 10.5992, 10.5992) * CHOOSE(CONTROL!$C$21, $C$9, 100%, $E$9)</f>
        <v>10.5992</v>
      </c>
      <c r="D198" s="14">
        <f>CHOOSE(CONTROL!$C$42, 10.8031, 10.8031) * CHOOSE(CONTROL!$C$21, $C$9, 100%, $E$9)</f>
        <v>10.803100000000001</v>
      </c>
      <c r="E198" s="14">
        <f>CHOOSE(CONTROL!$C$42, 10.8346, 10.8346) * CHOOSE(CONTROL!$C$21, $C$9, 100%, $E$9)</f>
        <v>10.8346</v>
      </c>
      <c r="F198" s="14">
        <f>CHOOSE(CONTROL!$C$42, 10.5723, 10.5723)*CHOOSE(CONTROL!$C$21, $C$9, 100%, $E$9)</f>
        <v>10.5723</v>
      </c>
      <c r="G198" s="14">
        <f>CHOOSE(CONTROL!$C$42, 10.5881, 10.5881)*CHOOSE(CONTROL!$C$21, $C$9, 100%, $E$9)</f>
        <v>10.588100000000001</v>
      </c>
      <c r="H198" s="14">
        <f>CHOOSE(CONTROL!$C$42, 10.8232, 10.8232) * CHOOSE(CONTROL!$C$21, $C$9, 100%, $E$9)</f>
        <v>10.8232</v>
      </c>
      <c r="I198" s="14">
        <f>CHOOSE(CONTROL!$C$42, 10.6298, 10.6298)* CHOOSE(CONTROL!$C$21, $C$9, 100%, $E$9)</f>
        <v>10.629799999999999</v>
      </c>
      <c r="J198" s="14">
        <f>CHOOSE(CONTROL!$C$42, 10.5653, 10.5653)* CHOOSE(CONTROL!$C$21, $C$9, 100%, $E$9)</f>
        <v>10.565300000000001</v>
      </c>
      <c r="K198" s="53">
        <f>CHOOSE(CONTROL!$C$42, 10.6259, 10.6259) * CHOOSE(CONTROL!$C$21, $C$9, 100%, $E$9)</f>
        <v>10.6259</v>
      </c>
      <c r="L198" s="14">
        <f>CHOOSE(CONTROL!$C$42, 11.4102, 11.4102) * CHOOSE(CONTROL!$C$21, $C$9, 100%, $E$9)</f>
        <v>11.4102</v>
      </c>
      <c r="M198" s="14">
        <f>CHOOSE(CONTROL!$C$42, 10.3565, 10.3565) * CHOOSE(CONTROL!$C$21, $C$9, 100%, $E$9)</f>
        <v>10.3565</v>
      </c>
      <c r="N198" s="14">
        <f>CHOOSE(CONTROL!$C$42, 10.372, 10.372) * CHOOSE(CONTROL!$C$21, $C$9, 100%, $E$9)</f>
        <v>10.372</v>
      </c>
      <c r="O198" s="14">
        <f>CHOOSE(CONTROL!$C$42, 10.6091, 10.6091) * CHOOSE(CONTROL!$C$21, $C$9, 100%, $E$9)</f>
        <v>10.6091</v>
      </c>
      <c r="P198" s="14">
        <f>CHOOSE(CONTROL!$C$42, 10.4191, 10.4191) * CHOOSE(CONTROL!$C$21, $C$9, 100%, $E$9)</f>
        <v>10.4191</v>
      </c>
      <c r="Q198" s="14">
        <f>CHOOSE(CONTROL!$C$42, 11.2038, 11.2038) * CHOOSE(CONTROL!$C$21, $C$9, 100%, $E$9)</f>
        <v>11.203799999999999</v>
      </c>
      <c r="R198" s="14">
        <f>CHOOSE(CONTROL!$C$42, 11.8188, 11.8188) * CHOOSE(CONTROL!$C$21, $C$9, 100%, $E$9)</f>
        <v>11.8188</v>
      </c>
      <c r="S198" s="14">
        <f>CHOOSE(CONTROL!$C$42, 10.1664, 10.1664) * CHOOSE(CONTROL!$C$21, $C$9, 100%, $E$9)</f>
        <v>10.166399999999999</v>
      </c>
      <c r="T19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98" s="57">
        <f>(1000*CHOOSE(CONTROL!$C$42, 695, 695)*CHOOSE(CONTROL!$C$42, 0.5599, 0.5599)*CHOOSE(CONTROL!$C$42, 30, 30))/1000000</f>
        <v>11.673914999999997</v>
      </c>
      <c r="V198" s="57">
        <f>(1000*CHOOSE(CONTROL!$C$42, 500, 500)*CHOOSE(CONTROL!$C$42, 0.275, 0.275)*CHOOSE(CONTROL!$C$42, 30, 30))/1000000</f>
        <v>4.125</v>
      </c>
      <c r="W198" s="57">
        <f>(1000*CHOOSE(CONTROL!$C$42, 0.1146, 0.1146)*CHOOSE(CONTROL!$C$42, 121.5, 121.5)*CHOOSE(CONTROL!$C$42, 30, 30))/1000000</f>
        <v>0.417717</v>
      </c>
      <c r="X198" s="57">
        <f>(30*0.1790888*245000/1000000)+(30*0.2374*100000/1000000)</f>
        <v>2.0285026799999999</v>
      </c>
      <c r="Y198" s="57"/>
      <c r="Z198" s="14"/>
      <c r="AA198" s="56"/>
      <c r="AB198" s="50">
        <f>(B198*194.205+C198*267.466+D198*133.845+E198*53.484+F198*40+G198*185+H198*0+I198*100+J198*300)/(194.205+267.466+133.845+53.484+0+40+185+100+300)</f>
        <v>10.621231843485086</v>
      </c>
      <c r="AC198" s="45">
        <f>(M198*'RAP TEMPLATE-GAS AVAILABILITY'!O197+N198*'RAP TEMPLATE-GAS AVAILABILITY'!P197+O198*'RAP TEMPLATE-GAS AVAILABILITY'!Q197+P198*'RAP TEMPLATE-GAS AVAILABILITY'!R197)/('RAP TEMPLATE-GAS AVAILABILITY'!O197+'RAP TEMPLATE-GAS AVAILABILITY'!P197+'RAP TEMPLATE-GAS AVAILABILITY'!Q197+'RAP TEMPLATE-GAS AVAILABILITY'!R197)</f>
        <v>10.439948920863309</v>
      </c>
    </row>
    <row r="199" spans="1:29" ht="15.75" x14ac:dyDescent="0.25">
      <c r="A199" s="13">
        <v>46935</v>
      </c>
      <c r="B199" s="14">
        <f>CHOOSE(CONTROL!$C$42, 10.4096, 10.4096) * CHOOSE(CONTROL!$C$21, $C$9, 100%, $E$9)</f>
        <v>10.409599999999999</v>
      </c>
      <c r="C199" s="14">
        <f>CHOOSE(CONTROL!$C$42, 10.4176, 10.4176) * CHOOSE(CONTROL!$C$21, $C$9, 100%, $E$9)</f>
        <v>10.4176</v>
      </c>
      <c r="D199" s="14">
        <f>CHOOSE(CONTROL!$C$42, 10.6215, 10.6215) * CHOOSE(CONTROL!$C$21, $C$9, 100%, $E$9)</f>
        <v>10.621499999999999</v>
      </c>
      <c r="E199" s="14">
        <f>CHOOSE(CONTROL!$C$42, 10.653, 10.653) * CHOOSE(CONTROL!$C$21, $C$9, 100%, $E$9)</f>
        <v>10.653</v>
      </c>
      <c r="F199" s="14">
        <f>CHOOSE(CONTROL!$C$42, 10.3912, 10.3912)*CHOOSE(CONTROL!$C$21, $C$9, 100%, $E$9)</f>
        <v>10.3912</v>
      </c>
      <c r="G199" s="14">
        <f>CHOOSE(CONTROL!$C$42, 10.4071, 10.4071)*CHOOSE(CONTROL!$C$21, $C$9, 100%, $E$9)</f>
        <v>10.4071</v>
      </c>
      <c r="H199" s="14">
        <f>CHOOSE(CONTROL!$C$42, 10.6416, 10.6416) * CHOOSE(CONTROL!$C$21, $C$9, 100%, $E$9)</f>
        <v>10.6416</v>
      </c>
      <c r="I199" s="14">
        <f>CHOOSE(CONTROL!$C$42, 10.4476, 10.4476)* CHOOSE(CONTROL!$C$21, $C$9, 100%, $E$9)</f>
        <v>10.4476</v>
      </c>
      <c r="J199" s="14">
        <f>CHOOSE(CONTROL!$C$42, 10.3842, 10.3842)* CHOOSE(CONTROL!$C$21, $C$9, 100%, $E$9)</f>
        <v>10.3842</v>
      </c>
      <c r="K199" s="53">
        <f>CHOOSE(CONTROL!$C$42, 10.4437, 10.4437) * CHOOSE(CONTROL!$C$21, $C$9, 100%, $E$9)</f>
        <v>10.4437</v>
      </c>
      <c r="L199" s="14">
        <f>CHOOSE(CONTROL!$C$42, 11.2286, 11.2286) * CHOOSE(CONTROL!$C$21, $C$9, 100%, $E$9)</f>
        <v>11.2286</v>
      </c>
      <c r="M199" s="14">
        <f>CHOOSE(CONTROL!$C$42, 10.1791, 10.1791) * CHOOSE(CONTROL!$C$21, $C$9, 100%, $E$9)</f>
        <v>10.1791</v>
      </c>
      <c r="N199" s="14">
        <f>CHOOSE(CONTROL!$C$42, 10.1947, 10.1947) * CHOOSE(CONTROL!$C$21, $C$9, 100%, $E$9)</f>
        <v>10.194699999999999</v>
      </c>
      <c r="O199" s="14">
        <f>CHOOSE(CONTROL!$C$42, 10.4313, 10.4313) * CHOOSE(CONTROL!$C$21, $C$9, 100%, $E$9)</f>
        <v>10.4313</v>
      </c>
      <c r="P199" s="14">
        <f>CHOOSE(CONTROL!$C$42, 10.2407, 10.2407) * CHOOSE(CONTROL!$C$21, $C$9, 100%, $E$9)</f>
        <v>10.2407</v>
      </c>
      <c r="Q199" s="14">
        <f>CHOOSE(CONTROL!$C$42, 11.026, 11.026) * CHOOSE(CONTROL!$C$21, $C$9, 100%, $E$9)</f>
        <v>11.026</v>
      </c>
      <c r="R199" s="14">
        <f>CHOOSE(CONTROL!$C$42, 11.6405, 11.6405) * CHOOSE(CONTROL!$C$21, $C$9, 100%, $E$9)</f>
        <v>11.640499999999999</v>
      </c>
      <c r="S199" s="14">
        <f>CHOOSE(CONTROL!$C$42, 9.9919, 9.9919) * CHOOSE(CONTROL!$C$21, $C$9, 100%, $E$9)</f>
        <v>9.9918999999999993</v>
      </c>
      <c r="T19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99" s="57">
        <f>(1000*CHOOSE(CONTROL!$C$42, 695, 695)*CHOOSE(CONTROL!$C$42, 0.5599, 0.5599)*CHOOSE(CONTROL!$C$42, 31, 31))/1000000</f>
        <v>12.063045499999998</v>
      </c>
      <c r="V199" s="57">
        <f>(1000*CHOOSE(CONTROL!$C$42, 500, 500)*CHOOSE(CONTROL!$C$42, 0.275, 0.275)*CHOOSE(CONTROL!$C$42, 31, 31))/1000000</f>
        <v>4.2625000000000002</v>
      </c>
      <c r="W199" s="57">
        <f>(1000*CHOOSE(CONTROL!$C$42, 0.1146, 0.1146)*CHOOSE(CONTROL!$C$42, 121.5, 121.5)*CHOOSE(CONTROL!$C$42, 31, 31))/1000000</f>
        <v>0.43164089999999994</v>
      </c>
      <c r="X199" s="57">
        <f>(31*0.1790888*245000/1000000)+(31*0.2374*100000/1000000)</f>
        <v>2.0961194359999999</v>
      </c>
      <c r="Y199" s="57"/>
      <c r="Z199" s="14"/>
      <c r="AA199" s="56"/>
      <c r="AB199" s="50">
        <f>(B199*194.205+C199*267.466+D199*133.845+E199*53.484+F199*40+G199*185+H199*0+I199*100+J199*300)/(194.205+267.466+133.845+53.484+0+40+185+100+300)</f>
        <v>10.439820556593407</v>
      </c>
      <c r="AC199" s="45">
        <f>(M199*'RAP TEMPLATE-GAS AVAILABILITY'!O198+N199*'RAP TEMPLATE-GAS AVAILABILITY'!P198+O199*'RAP TEMPLATE-GAS AVAILABILITY'!Q198+P199*'RAP TEMPLATE-GAS AVAILABILITY'!R198)/('RAP TEMPLATE-GAS AVAILABILITY'!O198+'RAP TEMPLATE-GAS AVAILABILITY'!P198+'RAP TEMPLATE-GAS AVAILABILITY'!Q198+'RAP TEMPLATE-GAS AVAILABILITY'!R198)</f>
        <v>10.262315827338128</v>
      </c>
    </row>
    <row r="200" spans="1:29" ht="15.75" x14ac:dyDescent="0.25">
      <c r="A200" s="13">
        <v>46966</v>
      </c>
      <c r="B200" s="14">
        <f>CHOOSE(CONTROL!$C$42, 9.9163, 9.9163) * CHOOSE(CONTROL!$C$21, $C$9, 100%, $E$9)</f>
        <v>9.9162999999999997</v>
      </c>
      <c r="C200" s="14">
        <f>CHOOSE(CONTROL!$C$42, 9.9244, 9.9244) * CHOOSE(CONTROL!$C$21, $C$9, 100%, $E$9)</f>
        <v>9.9244000000000003</v>
      </c>
      <c r="D200" s="14">
        <f>CHOOSE(CONTROL!$C$42, 10.1283, 10.1283) * CHOOSE(CONTROL!$C$21, $C$9, 100%, $E$9)</f>
        <v>10.128299999999999</v>
      </c>
      <c r="E200" s="14">
        <f>CHOOSE(CONTROL!$C$42, 10.1598, 10.1598) * CHOOSE(CONTROL!$C$21, $C$9, 100%, $E$9)</f>
        <v>10.159800000000001</v>
      </c>
      <c r="F200" s="14">
        <f>CHOOSE(CONTROL!$C$42, 9.8982, 9.8982)*CHOOSE(CONTROL!$C$21, $C$9, 100%, $E$9)</f>
        <v>9.8981999999999992</v>
      </c>
      <c r="G200" s="14">
        <f>CHOOSE(CONTROL!$C$42, 9.9141, 9.9141)*CHOOSE(CONTROL!$C$21, $C$9, 100%, $E$9)</f>
        <v>9.9140999999999995</v>
      </c>
      <c r="H200" s="14">
        <f>CHOOSE(CONTROL!$C$42, 10.1484, 10.1484) * CHOOSE(CONTROL!$C$21, $C$9, 100%, $E$9)</f>
        <v>10.148400000000001</v>
      </c>
      <c r="I200" s="14">
        <f>CHOOSE(CONTROL!$C$42, 9.9528, 9.9528)* CHOOSE(CONTROL!$C$21, $C$9, 100%, $E$9)</f>
        <v>9.9527999999999999</v>
      </c>
      <c r="J200" s="14">
        <f>CHOOSE(CONTROL!$C$42, 9.8912, 9.8912)* CHOOSE(CONTROL!$C$21, $C$9, 100%, $E$9)</f>
        <v>9.8911999999999995</v>
      </c>
      <c r="K200" s="53">
        <f>CHOOSE(CONTROL!$C$42, 9.9489, 9.9489) * CHOOSE(CONTROL!$C$21, $C$9, 100%, $E$9)</f>
        <v>9.9489000000000001</v>
      </c>
      <c r="L200" s="14">
        <f>CHOOSE(CONTROL!$C$42, 10.7354, 10.7354) * CHOOSE(CONTROL!$C$21, $C$9, 100%, $E$9)</f>
        <v>10.7354</v>
      </c>
      <c r="M200" s="14">
        <f>CHOOSE(CONTROL!$C$42, 9.6962, 9.6962) * CHOOSE(CONTROL!$C$21, $C$9, 100%, $E$9)</f>
        <v>9.6961999999999993</v>
      </c>
      <c r="N200" s="14">
        <f>CHOOSE(CONTROL!$C$42, 9.7118, 9.7118) * CHOOSE(CONTROL!$C$21, $C$9, 100%, $E$9)</f>
        <v>9.7118000000000002</v>
      </c>
      <c r="O200" s="14">
        <f>CHOOSE(CONTROL!$C$42, 9.9482, 9.9482) * CHOOSE(CONTROL!$C$21, $C$9, 100%, $E$9)</f>
        <v>9.9481999999999999</v>
      </c>
      <c r="P200" s="14">
        <f>CHOOSE(CONTROL!$C$42, 9.7561, 9.7561) * CHOOSE(CONTROL!$C$21, $C$9, 100%, $E$9)</f>
        <v>9.7561</v>
      </c>
      <c r="Q200" s="14">
        <f>CHOOSE(CONTROL!$C$42, 10.5429, 10.5429) * CHOOSE(CONTROL!$C$21, $C$9, 100%, $E$9)</f>
        <v>10.542899999999999</v>
      </c>
      <c r="R200" s="14">
        <f>CHOOSE(CONTROL!$C$42, 11.1562, 11.1562) * CHOOSE(CONTROL!$C$21, $C$9, 100%, $E$9)</f>
        <v>11.1562</v>
      </c>
      <c r="S200" s="14">
        <f>CHOOSE(CONTROL!$C$42, 9.518, 9.518) * CHOOSE(CONTROL!$C$21, $C$9, 100%, $E$9)</f>
        <v>9.5180000000000007</v>
      </c>
      <c r="T20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00" s="57">
        <f>(1000*CHOOSE(CONTROL!$C$42, 695, 695)*CHOOSE(CONTROL!$C$42, 0.5599, 0.5599)*CHOOSE(CONTROL!$C$42, 31, 31))/1000000</f>
        <v>12.063045499999998</v>
      </c>
      <c r="V200" s="57">
        <f>(1000*CHOOSE(CONTROL!$C$42, 500, 500)*CHOOSE(CONTROL!$C$42, 0.275, 0.275)*CHOOSE(CONTROL!$C$42, 31, 31))/1000000</f>
        <v>4.2625000000000002</v>
      </c>
      <c r="W200" s="57">
        <f>(1000*CHOOSE(CONTROL!$C$42, 0.1146, 0.1146)*CHOOSE(CONTROL!$C$42, 121.5, 121.5)*CHOOSE(CONTROL!$C$42, 31, 31))/1000000</f>
        <v>0.43164089999999994</v>
      </c>
      <c r="X200" s="57">
        <f>(31*0.1790888*245000/1000000)+(31*0.2374*100000/1000000)</f>
        <v>2.0961194359999999</v>
      </c>
      <c r="Y200" s="57"/>
      <c r="Z200" s="14"/>
      <c r="AA200" s="56"/>
      <c r="AB200" s="50">
        <f>(B200*194.205+C200*267.466+D200*133.845+E200*53.484+F200*40+G200*185+H200*0+I200*100+J200*300)/(194.205+267.466+133.845+53.484+0+40+185+100+300)</f>
        <v>9.9465621417582426</v>
      </c>
      <c r="AC200" s="45">
        <f>(M200*'RAP TEMPLATE-GAS AVAILABILITY'!O199+N200*'RAP TEMPLATE-GAS AVAILABILITY'!P199+O200*'RAP TEMPLATE-GAS AVAILABILITY'!Q199+P200*'RAP TEMPLATE-GAS AVAILABILITY'!R199)/('RAP TEMPLATE-GAS AVAILABILITY'!O199+'RAP TEMPLATE-GAS AVAILABILITY'!P199+'RAP TEMPLATE-GAS AVAILABILITY'!Q199+'RAP TEMPLATE-GAS AVAILABILITY'!R199)</f>
        <v>9.7791151079136682</v>
      </c>
    </row>
    <row r="201" spans="1:29" ht="15.75" x14ac:dyDescent="0.25">
      <c r="A201" s="13">
        <v>46997</v>
      </c>
      <c r="B201" s="14">
        <f>CHOOSE(CONTROL!$C$42, 9.3063, 9.3063) * CHOOSE(CONTROL!$C$21, $C$9, 100%, $E$9)</f>
        <v>9.3063000000000002</v>
      </c>
      <c r="C201" s="14">
        <f>CHOOSE(CONTROL!$C$42, 9.3143, 9.3143) * CHOOSE(CONTROL!$C$21, $C$9, 100%, $E$9)</f>
        <v>9.3142999999999994</v>
      </c>
      <c r="D201" s="14">
        <f>CHOOSE(CONTROL!$C$42, 9.5182, 9.5182) * CHOOSE(CONTROL!$C$21, $C$9, 100%, $E$9)</f>
        <v>9.5182000000000002</v>
      </c>
      <c r="E201" s="14">
        <f>CHOOSE(CONTROL!$C$42, 9.5497, 9.5497) * CHOOSE(CONTROL!$C$21, $C$9, 100%, $E$9)</f>
        <v>9.5496999999999996</v>
      </c>
      <c r="F201" s="14">
        <f>CHOOSE(CONTROL!$C$42, 9.2882, 9.2882)*CHOOSE(CONTROL!$C$21, $C$9, 100%, $E$9)</f>
        <v>9.2881999999999998</v>
      </c>
      <c r="G201" s="14">
        <f>CHOOSE(CONTROL!$C$42, 9.3041, 9.3041)*CHOOSE(CONTROL!$C$21, $C$9, 100%, $E$9)</f>
        <v>9.3041</v>
      </c>
      <c r="H201" s="14">
        <f>CHOOSE(CONTROL!$C$42, 9.5383, 9.5383) * CHOOSE(CONTROL!$C$21, $C$9, 100%, $E$9)</f>
        <v>9.5382999999999996</v>
      </c>
      <c r="I201" s="14">
        <f>CHOOSE(CONTROL!$C$42, 9.3408, 9.3408)* CHOOSE(CONTROL!$C$21, $C$9, 100%, $E$9)</f>
        <v>9.3407999999999998</v>
      </c>
      <c r="J201" s="14">
        <f>CHOOSE(CONTROL!$C$42, 9.2812, 9.2812)* CHOOSE(CONTROL!$C$21, $C$9, 100%, $E$9)</f>
        <v>9.2812000000000001</v>
      </c>
      <c r="K201" s="53">
        <f>CHOOSE(CONTROL!$C$42, 9.337, 9.337) * CHOOSE(CONTROL!$C$21, $C$9, 100%, $E$9)</f>
        <v>9.3369999999999997</v>
      </c>
      <c r="L201" s="14">
        <f>CHOOSE(CONTROL!$C$42, 10.1253, 10.1253) * CHOOSE(CONTROL!$C$21, $C$9, 100%, $E$9)</f>
        <v>10.125299999999999</v>
      </c>
      <c r="M201" s="14">
        <f>CHOOSE(CONTROL!$C$42, 9.0987, 9.0987) * CHOOSE(CONTROL!$C$21, $C$9, 100%, $E$9)</f>
        <v>9.0986999999999991</v>
      </c>
      <c r="N201" s="14">
        <f>CHOOSE(CONTROL!$C$42, 9.1143, 9.1143) * CHOOSE(CONTROL!$C$21, $C$9, 100%, $E$9)</f>
        <v>9.1143000000000001</v>
      </c>
      <c r="O201" s="14">
        <f>CHOOSE(CONTROL!$C$42, 9.3506, 9.3506) * CHOOSE(CONTROL!$C$21, $C$9, 100%, $E$9)</f>
        <v>9.3506</v>
      </c>
      <c r="P201" s="14">
        <f>CHOOSE(CONTROL!$C$42, 9.1566, 9.1566) * CHOOSE(CONTROL!$C$21, $C$9, 100%, $E$9)</f>
        <v>9.1565999999999992</v>
      </c>
      <c r="Q201" s="14">
        <f>CHOOSE(CONTROL!$C$42, 9.9453, 9.9453) * CHOOSE(CONTROL!$C$21, $C$9, 100%, $E$9)</f>
        <v>9.9452999999999996</v>
      </c>
      <c r="R201" s="14">
        <f>CHOOSE(CONTROL!$C$42, 10.5571, 10.5571) * CHOOSE(CONTROL!$C$21, $C$9, 100%, $E$9)</f>
        <v>10.5571</v>
      </c>
      <c r="S201" s="14">
        <f>CHOOSE(CONTROL!$C$42, 8.9318, 8.9318) * CHOOSE(CONTROL!$C$21, $C$9, 100%, $E$9)</f>
        <v>8.9318000000000008</v>
      </c>
      <c r="T20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01" s="57">
        <f>(1000*CHOOSE(CONTROL!$C$42, 695, 695)*CHOOSE(CONTROL!$C$42, 0.5599, 0.5599)*CHOOSE(CONTROL!$C$42, 30, 30))/1000000</f>
        <v>11.673914999999997</v>
      </c>
      <c r="V201" s="57">
        <f>(1000*CHOOSE(CONTROL!$C$42, 500, 500)*CHOOSE(CONTROL!$C$42, 0.275, 0.275)*CHOOSE(CONTROL!$C$42, 30, 30))/1000000</f>
        <v>4.125</v>
      </c>
      <c r="W201" s="57">
        <f>(1000*CHOOSE(CONTROL!$C$42, 0.1146, 0.1146)*CHOOSE(CONTROL!$C$42, 121.5, 121.5)*CHOOSE(CONTROL!$C$42, 30, 30))/1000000</f>
        <v>0.417717</v>
      </c>
      <c r="X201" s="57">
        <f>(30*0.1790888*245000/1000000)+(30*0.2374*100000/1000000)</f>
        <v>2.0285026799999999</v>
      </c>
      <c r="Y201" s="57"/>
      <c r="Z201" s="14"/>
      <c r="AA201" s="56"/>
      <c r="AB201" s="50">
        <f>(B201*194.205+C201*267.466+D201*133.845+E201*53.484+F201*40+G201*185+H201*0+I201*100+J201*300)/(194.205+267.466+133.845+53.484+0+40+185+100+300)</f>
        <v>9.3363694576923084</v>
      </c>
      <c r="AC201" s="45">
        <f>(M201*'RAP TEMPLATE-GAS AVAILABILITY'!O200+N201*'RAP TEMPLATE-GAS AVAILABILITY'!P200+O201*'RAP TEMPLATE-GAS AVAILABILITY'!Q200+P201*'RAP TEMPLATE-GAS AVAILABILITY'!R200)/('RAP TEMPLATE-GAS AVAILABILITY'!O200+'RAP TEMPLATE-GAS AVAILABILITY'!P200+'RAP TEMPLATE-GAS AVAILABILITY'!Q200+'RAP TEMPLATE-GAS AVAILABILITY'!R200)</f>
        <v>9.1812992805755389</v>
      </c>
    </row>
    <row r="202" spans="1:29" ht="15.75" x14ac:dyDescent="0.25">
      <c r="A202" s="13">
        <v>47027</v>
      </c>
      <c r="B202" s="14">
        <f>CHOOSE(CONTROL!$C$42, 9.1345, 9.1345) * CHOOSE(CONTROL!$C$21, $C$9, 100%, $E$9)</f>
        <v>9.1344999999999992</v>
      </c>
      <c r="C202" s="14">
        <f>CHOOSE(CONTROL!$C$42, 9.1399, 9.1399) * CHOOSE(CONTROL!$C$21, $C$9, 100%, $E$9)</f>
        <v>9.1399000000000008</v>
      </c>
      <c r="D202" s="14">
        <f>CHOOSE(CONTROL!$C$42, 9.3488, 9.3488) * CHOOSE(CONTROL!$C$21, $C$9, 100%, $E$9)</f>
        <v>9.3488000000000007</v>
      </c>
      <c r="E202" s="14">
        <f>CHOOSE(CONTROL!$C$42, 9.3779, 9.3779) * CHOOSE(CONTROL!$C$21, $C$9, 100%, $E$9)</f>
        <v>9.3779000000000003</v>
      </c>
      <c r="F202" s="14">
        <f>CHOOSE(CONTROL!$C$42, 9.1185, 9.1185)*CHOOSE(CONTROL!$C$21, $C$9, 100%, $E$9)</f>
        <v>9.1184999999999992</v>
      </c>
      <c r="G202" s="14">
        <f>CHOOSE(CONTROL!$C$42, 9.1342, 9.1342)*CHOOSE(CONTROL!$C$21, $C$9, 100%, $E$9)</f>
        <v>9.1341999999999999</v>
      </c>
      <c r="H202" s="14">
        <f>CHOOSE(CONTROL!$C$42, 9.3684, 9.3684) * CHOOSE(CONTROL!$C$21, $C$9, 100%, $E$9)</f>
        <v>9.3683999999999994</v>
      </c>
      <c r="I202" s="14">
        <f>CHOOSE(CONTROL!$C$42, 9.1704, 9.1704)* CHOOSE(CONTROL!$C$21, $C$9, 100%, $E$9)</f>
        <v>9.1704000000000008</v>
      </c>
      <c r="J202" s="14">
        <f>CHOOSE(CONTROL!$C$42, 9.1115, 9.1115)* CHOOSE(CONTROL!$C$21, $C$9, 100%, $E$9)</f>
        <v>9.1114999999999995</v>
      </c>
      <c r="K202" s="53">
        <f>CHOOSE(CONTROL!$C$42, 9.1665, 9.1665) * CHOOSE(CONTROL!$C$21, $C$9, 100%, $E$9)</f>
        <v>9.1664999999999992</v>
      </c>
      <c r="L202" s="14">
        <f>CHOOSE(CONTROL!$C$42, 9.9554, 9.9554) * CHOOSE(CONTROL!$C$21, $C$9, 100%, $E$9)</f>
        <v>9.9553999999999991</v>
      </c>
      <c r="M202" s="14">
        <f>CHOOSE(CONTROL!$C$42, 8.9325, 8.9325) * CHOOSE(CONTROL!$C$21, $C$9, 100%, $E$9)</f>
        <v>8.9324999999999992</v>
      </c>
      <c r="N202" s="14">
        <f>CHOOSE(CONTROL!$C$42, 8.9479, 8.9479) * CHOOSE(CONTROL!$C$21, $C$9, 100%, $E$9)</f>
        <v>8.9479000000000006</v>
      </c>
      <c r="O202" s="14">
        <f>CHOOSE(CONTROL!$C$42, 9.1841, 9.1841) * CHOOSE(CONTROL!$C$21, $C$9, 100%, $E$9)</f>
        <v>9.1841000000000008</v>
      </c>
      <c r="P202" s="14">
        <f>CHOOSE(CONTROL!$C$42, 8.9897, 8.9897) * CHOOSE(CONTROL!$C$21, $C$9, 100%, $E$9)</f>
        <v>8.9896999999999991</v>
      </c>
      <c r="Q202" s="14">
        <f>CHOOSE(CONTROL!$C$42, 9.7788, 9.7788) * CHOOSE(CONTROL!$C$21, $C$9, 100%, $E$9)</f>
        <v>9.7788000000000004</v>
      </c>
      <c r="R202" s="14">
        <f>CHOOSE(CONTROL!$C$42, 10.3903, 10.3903) * CHOOSE(CONTROL!$C$21, $C$9, 100%, $E$9)</f>
        <v>10.3903</v>
      </c>
      <c r="S202" s="14">
        <f>CHOOSE(CONTROL!$C$42, 8.7684, 8.7684) * CHOOSE(CONTROL!$C$21, $C$9, 100%, $E$9)</f>
        <v>8.7683999999999997</v>
      </c>
      <c r="T20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02" s="57">
        <f>(1000*CHOOSE(CONTROL!$C$42, 695, 695)*CHOOSE(CONTROL!$C$42, 0.5599, 0.5599)*CHOOSE(CONTROL!$C$42, 31, 31))/1000000</f>
        <v>12.063045499999998</v>
      </c>
      <c r="V202" s="57">
        <f>(1000*CHOOSE(CONTROL!$C$42, 500, 500)*CHOOSE(CONTROL!$C$42, 0.275, 0.275)*CHOOSE(CONTROL!$C$42, 31, 31))/1000000</f>
        <v>4.2625000000000002</v>
      </c>
      <c r="W202" s="57">
        <f>(1000*CHOOSE(CONTROL!$C$42, 0.1146, 0.1146)*CHOOSE(CONTROL!$C$42, 121.5, 121.5)*CHOOSE(CONTROL!$C$42, 31, 31))/1000000</f>
        <v>0.43164089999999994</v>
      </c>
      <c r="X202" s="57">
        <f>(31*0.1790888*245000/1000000)+(31*0.2374*100000/1000000)</f>
        <v>2.0961194359999999</v>
      </c>
      <c r="Y202" s="57"/>
      <c r="Z202" s="14"/>
      <c r="AA202" s="56"/>
      <c r="AB202" s="50">
        <f>(B202*131.881+C202*277.167+D202*79.08+E202*125.872+F202*40+G202*185+H202*0+I202*100+J202*300)/(131.881+277.167+79.08+125.872+0+40+185+100+300)</f>
        <v>9.170880379822437</v>
      </c>
      <c r="AC202" s="45">
        <f>(M202*'RAP TEMPLATE-GAS AVAILABILITY'!O201+N202*'RAP TEMPLATE-GAS AVAILABILITY'!P201+O202*'RAP TEMPLATE-GAS AVAILABILITY'!Q201+P202*'RAP TEMPLATE-GAS AVAILABILITY'!R201)/('RAP TEMPLATE-GAS AVAILABILITY'!O201+'RAP TEMPLATE-GAS AVAILABILITY'!P201+'RAP TEMPLATE-GAS AVAILABILITY'!Q201+'RAP TEMPLATE-GAS AVAILABILITY'!R201)</f>
        <v>9.0148683453237428</v>
      </c>
    </row>
    <row r="203" spans="1:29" ht="15.75" x14ac:dyDescent="0.25">
      <c r="A203" s="13">
        <v>47058</v>
      </c>
      <c r="B203" s="14">
        <f>CHOOSE(CONTROL!$C$42, 9.3938, 9.3938) * CHOOSE(CONTROL!$C$21, $C$9, 100%, $E$9)</f>
        <v>9.3938000000000006</v>
      </c>
      <c r="C203" s="14">
        <f>CHOOSE(CONTROL!$C$42, 9.3989, 9.3989) * CHOOSE(CONTROL!$C$21, $C$9, 100%, $E$9)</f>
        <v>9.3988999999999994</v>
      </c>
      <c r="D203" s="14">
        <f>CHOOSE(CONTROL!$C$42, 9.4627, 9.4627) * CHOOSE(CONTROL!$C$21, $C$9, 100%, $E$9)</f>
        <v>9.4626999999999999</v>
      </c>
      <c r="E203" s="14">
        <f>CHOOSE(CONTROL!$C$42, 9.4968, 9.4968) * CHOOSE(CONTROL!$C$21, $C$9, 100%, $E$9)</f>
        <v>9.4968000000000004</v>
      </c>
      <c r="F203" s="14">
        <f>CHOOSE(CONTROL!$C$42, 9.3962, 9.3962)*CHOOSE(CONTROL!$C$21, $C$9, 100%, $E$9)</f>
        <v>9.3962000000000003</v>
      </c>
      <c r="G203" s="14">
        <f>CHOOSE(CONTROL!$C$42, 9.4122, 9.4122)*CHOOSE(CONTROL!$C$21, $C$9, 100%, $E$9)</f>
        <v>9.4122000000000003</v>
      </c>
      <c r="H203" s="14">
        <f>CHOOSE(CONTROL!$C$42, 9.486, 9.486) * CHOOSE(CONTROL!$C$21, $C$9, 100%, $E$9)</f>
        <v>9.4860000000000007</v>
      </c>
      <c r="I203" s="14">
        <f>CHOOSE(CONTROL!$C$42, 9.4361, 9.4361)* CHOOSE(CONTROL!$C$21, $C$9, 100%, $E$9)</f>
        <v>9.4360999999999997</v>
      </c>
      <c r="J203" s="14">
        <f>CHOOSE(CONTROL!$C$42, 9.3892, 9.3892)* CHOOSE(CONTROL!$C$21, $C$9, 100%, $E$9)</f>
        <v>9.3892000000000007</v>
      </c>
      <c r="K203" s="53">
        <f>CHOOSE(CONTROL!$C$42, 9.4322, 9.4322) * CHOOSE(CONTROL!$C$21, $C$9, 100%, $E$9)</f>
        <v>9.4321999999999999</v>
      </c>
      <c r="L203" s="14">
        <f>CHOOSE(CONTROL!$C$42, 10.073, 10.073) * CHOOSE(CONTROL!$C$21, $C$9, 100%, $E$9)</f>
        <v>10.073</v>
      </c>
      <c r="M203" s="14">
        <f>CHOOSE(CONTROL!$C$42, 9.2045, 9.2045) * CHOOSE(CONTROL!$C$21, $C$9, 100%, $E$9)</f>
        <v>9.2044999999999995</v>
      </c>
      <c r="N203" s="14">
        <f>CHOOSE(CONTROL!$C$42, 9.2202, 9.2202) * CHOOSE(CONTROL!$C$21, $C$9, 100%, $E$9)</f>
        <v>9.2202000000000002</v>
      </c>
      <c r="O203" s="14">
        <f>CHOOSE(CONTROL!$C$42, 9.2993, 9.2993) * CHOOSE(CONTROL!$C$21, $C$9, 100%, $E$9)</f>
        <v>9.2993000000000006</v>
      </c>
      <c r="P203" s="14">
        <f>CHOOSE(CONTROL!$C$42, 9.2499, 9.2499) * CHOOSE(CONTROL!$C$21, $C$9, 100%, $E$9)</f>
        <v>9.2499000000000002</v>
      </c>
      <c r="Q203" s="14">
        <f>CHOOSE(CONTROL!$C$42, 9.894, 9.894) * CHOOSE(CONTROL!$C$21, $C$9, 100%, $E$9)</f>
        <v>9.8940000000000001</v>
      </c>
      <c r="R203" s="14">
        <f>CHOOSE(CONTROL!$C$42, 10.5057, 10.5057) * CHOOSE(CONTROL!$C$21, $C$9, 100%, $E$9)</f>
        <v>10.505699999999999</v>
      </c>
      <c r="S203" s="14">
        <f>CHOOSE(CONTROL!$C$42, 9.018, 9.018) * CHOOSE(CONTROL!$C$21, $C$9, 100%, $E$9)</f>
        <v>9.0180000000000007</v>
      </c>
      <c r="T20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03" s="57">
        <f>(1000*CHOOSE(CONTROL!$C$42, 695, 695)*CHOOSE(CONTROL!$C$42, 0.5599, 0.5599)*CHOOSE(CONTROL!$C$42, 30, 30))/1000000</f>
        <v>11.673914999999997</v>
      </c>
      <c r="V203" s="57">
        <f>(1000*CHOOSE(CONTROL!$C$42, 500, 500)*CHOOSE(CONTROL!$C$42, 0.275, 0.275)*CHOOSE(CONTROL!$C$42, 30, 30))/1000000</f>
        <v>4.125</v>
      </c>
      <c r="W203" s="57">
        <f>(1000*CHOOSE(CONTROL!$C$42, 0.1146, 0.1146)*CHOOSE(CONTROL!$C$42, 121.5, 121.5)*CHOOSE(CONTROL!$C$42, 30, 30))/1000000</f>
        <v>0.417717</v>
      </c>
      <c r="X203" s="57">
        <f>(30*0.1790888*100000/1000000)+(30*0.2374*100000/1000000)</f>
        <v>1.2494664</v>
      </c>
      <c r="Y203" s="57"/>
      <c r="Z203" s="14"/>
      <c r="AA203" s="56"/>
      <c r="AB203" s="50">
        <f>(B203*122.58+C203*297.941+D203*89.177+E203*40.302+F203*40+G203*160+H203*0+I203*100+J203*300)/(122.58+297.941+89.177+40.302+0+40+160+100+300)</f>
        <v>9.4091955655652164</v>
      </c>
      <c r="AC203" s="45">
        <f>(M203*'RAP TEMPLATE-GAS AVAILABILITY'!O202+N203*'RAP TEMPLATE-GAS AVAILABILITY'!P202+O203*'RAP TEMPLATE-GAS AVAILABILITY'!Q202+P203*'RAP TEMPLATE-GAS AVAILABILITY'!R202)/('RAP TEMPLATE-GAS AVAILABILITY'!O202+'RAP TEMPLATE-GAS AVAILABILITY'!P202+'RAP TEMPLATE-GAS AVAILABILITY'!Q202+'RAP TEMPLATE-GAS AVAILABILITY'!R202)</f>
        <v>9.254902877697841</v>
      </c>
    </row>
    <row r="204" spans="1:29" ht="15.75" x14ac:dyDescent="0.25">
      <c r="A204" s="13">
        <v>47088</v>
      </c>
      <c r="B204" s="14">
        <f>CHOOSE(CONTROL!$C$42, 10.0543, 10.0543) * CHOOSE(CONTROL!$C$21, $C$9, 100%, $E$9)</f>
        <v>10.0543</v>
      </c>
      <c r="C204" s="14">
        <f>CHOOSE(CONTROL!$C$42, 10.0593, 10.0593) * CHOOSE(CONTROL!$C$21, $C$9, 100%, $E$9)</f>
        <v>10.0593</v>
      </c>
      <c r="D204" s="14">
        <f>CHOOSE(CONTROL!$C$42, 10.1231, 10.1231) * CHOOSE(CONTROL!$C$21, $C$9, 100%, $E$9)</f>
        <v>10.123100000000001</v>
      </c>
      <c r="E204" s="14">
        <f>CHOOSE(CONTROL!$C$42, 10.1572, 10.1572) * CHOOSE(CONTROL!$C$21, $C$9, 100%, $E$9)</f>
        <v>10.1572</v>
      </c>
      <c r="F204" s="14">
        <f>CHOOSE(CONTROL!$C$42, 10.0589, 10.0589)*CHOOSE(CONTROL!$C$21, $C$9, 100%, $E$9)</f>
        <v>10.0589</v>
      </c>
      <c r="G204" s="14">
        <f>CHOOSE(CONTROL!$C$42, 10.0755, 10.0755)*CHOOSE(CONTROL!$C$21, $C$9, 100%, $E$9)</f>
        <v>10.0755</v>
      </c>
      <c r="H204" s="14">
        <f>CHOOSE(CONTROL!$C$42, 10.1464, 10.1464) * CHOOSE(CONTROL!$C$21, $C$9, 100%, $E$9)</f>
        <v>10.1464</v>
      </c>
      <c r="I204" s="14">
        <f>CHOOSE(CONTROL!$C$42, 10.0986, 10.0986)* CHOOSE(CONTROL!$C$21, $C$9, 100%, $E$9)</f>
        <v>10.098599999999999</v>
      </c>
      <c r="J204" s="14">
        <f>CHOOSE(CONTROL!$C$42, 10.0519, 10.0519)* CHOOSE(CONTROL!$C$21, $C$9, 100%, $E$9)</f>
        <v>10.0519</v>
      </c>
      <c r="K204" s="53">
        <f>CHOOSE(CONTROL!$C$42, 10.0947, 10.0947) * CHOOSE(CONTROL!$C$21, $C$9, 100%, $E$9)</f>
        <v>10.0947</v>
      </c>
      <c r="L204" s="14">
        <f>CHOOSE(CONTROL!$C$42, 10.7334, 10.7334) * CHOOSE(CONTROL!$C$21, $C$9, 100%, $E$9)</f>
        <v>10.7334</v>
      </c>
      <c r="M204" s="14">
        <f>CHOOSE(CONTROL!$C$42, 9.8536, 9.8536) * CHOOSE(CONTROL!$C$21, $C$9, 100%, $E$9)</f>
        <v>9.8536000000000001</v>
      </c>
      <c r="N204" s="14">
        <f>CHOOSE(CONTROL!$C$42, 9.8699, 9.8699) * CHOOSE(CONTROL!$C$21, $C$9, 100%, $E$9)</f>
        <v>9.8698999999999995</v>
      </c>
      <c r="O204" s="14">
        <f>CHOOSE(CONTROL!$C$42, 9.9462, 9.9462) * CHOOSE(CONTROL!$C$21, $C$9, 100%, $E$9)</f>
        <v>9.9461999999999993</v>
      </c>
      <c r="P204" s="14">
        <f>CHOOSE(CONTROL!$C$42, 9.8988, 9.8988) * CHOOSE(CONTROL!$C$21, $C$9, 100%, $E$9)</f>
        <v>9.8987999999999996</v>
      </c>
      <c r="Q204" s="14">
        <f>CHOOSE(CONTROL!$C$42, 10.5409, 10.5409) * CHOOSE(CONTROL!$C$21, $C$9, 100%, $E$9)</f>
        <v>10.540900000000001</v>
      </c>
      <c r="R204" s="14">
        <f>CHOOSE(CONTROL!$C$42, 11.1543, 11.1543) * CHOOSE(CONTROL!$C$21, $C$9, 100%, $E$9)</f>
        <v>11.154299999999999</v>
      </c>
      <c r="S204" s="14">
        <f>CHOOSE(CONTROL!$C$42, 9.6526, 9.6526) * CHOOSE(CONTROL!$C$21, $C$9, 100%, $E$9)</f>
        <v>9.6525999999999996</v>
      </c>
      <c r="T20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04" s="57">
        <f>(1000*CHOOSE(CONTROL!$C$42, 695, 695)*CHOOSE(CONTROL!$C$42, 0.5599, 0.5599)*CHOOSE(CONTROL!$C$42, 31, 31))/1000000</f>
        <v>12.063045499999998</v>
      </c>
      <c r="V204" s="57">
        <f>(1000*CHOOSE(CONTROL!$C$42, 500, 500)*CHOOSE(CONTROL!$C$42, 0.275, 0.275)*CHOOSE(CONTROL!$C$42, 31, 31))/1000000</f>
        <v>4.2625000000000002</v>
      </c>
      <c r="W204" s="57">
        <f>(1000*CHOOSE(CONTROL!$C$42, 0.1146, 0.1146)*CHOOSE(CONTROL!$C$42, 121.5, 121.5)*CHOOSE(CONTROL!$C$42, 31, 31))/1000000</f>
        <v>0.43164089999999994</v>
      </c>
      <c r="X204" s="57">
        <f>(31*0.1790888*100000/1000000)+(31*0.2374*100000/1000000)</f>
        <v>1.2911152800000001</v>
      </c>
      <c r="Y204" s="57"/>
      <c r="Z204" s="14"/>
      <c r="AA204" s="56"/>
      <c r="AB204" s="50">
        <f>(B204*122.58+C204*297.941+D204*89.177+E204*40.302+F204*40+G204*160+H204*0+I204*100+J204*300)/(122.58+297.941+89.177+40.302+0+40+160+100+300)</f>
        <v>10.070872311652172</v>
      </c>
      <c r="AC204" s="45">
        <f>(M204*'RAP TEMPLATE-GAS AVAILABILITY'!O203+N204*'RAP TEMPLATE-GAS AVAILABILITY'!P203+O204*'RAP TEMPLATE-GAS AVAILABILITY'!Q203+P204*'RAP TEMPLATE-GAS AVAILABILITY'!R203)/('RAP TEMPLATE-GAS AVAILABILITY'!O203+'RAP TEMPLATE-GAS AVAILABILITY'!P203+'RAP TEMPLATE-GAS AVAILABILITY'!Q203+'RAP TEMPLATE-GAS AVAILABILITY'!R203)</f>
        <v>9.9030115107913659</v>
      </c>
    </row>
    <row r="205" spans="1:29" ht="15.75" x14ac:dyDescent="0.25">
      <c r="A205" s="13">
        <v>47119</v>
      </c>
      <c r="B205" s="14">
        <f>CHOOSE(CONTROL!$C$42, 10.5871, 10.5871) * CHOOSE(CONTROL!$C$21, $C$9, 100%, $E$9)</f>
        <v>10.5871</v>
      </c>
      <c r="C205" s="14">
        <f>CHOOSE(CONTROL!$C$42, 10.5921, 10.5921) * CHOOSE(CONTROL!$C$21, $C$9, 100%, $E$9)</f>
        <v>10.5921</v>
      </c>
      <c r="D205" s="14">
        <f>CHOOSE(CONTROL!$C$42, 10.6586, 10.6586) * CHOOSE(CONTROL!$C$21, $C$9, 100%, $E$9)</f>
        <v>10.6586</v>
      </c>
      <c r="E205" s="14">
        <f>CHOOSE(CONTROL!$C$42, 10.6927, 10.6927) * CHOOSE(CONTROL!$C$21, $C$9, 100%, $E$9)</f>
        <v>10.6927</v>
      </c>
      <c r="F205" s="14">
        <f>CHOOSE(CONTROL!$C$42, 10.5744, 10.5744)*CHOOSE(CONTROL!$C$21, $C$9, 100%, $E$9)</f>
        <v>10.574400000000001</v>
      </c>
      <c r="G205" s="14">
        <f>CHOOSE(CONTROL!$C$42, 10.5899, 10.5899)*CHOOSE(CONTROL!$C$21, $C$9, 100%, $E$9)</f>
        <v>10.5899</v>
      </c>
      <c r="H205" s="14">
        <f>CHOOSE(CONTROL!$C$42, 10.6819, 10.6819) * CHOOSE(CONTROL!$C$21, $C$9, 100%, $E$9)</f>
        <v>10.681900000000001</v>
      </c>
      <c r="I205" s="14">
        <f>CHOOSE(CONTROL!$C$42, 10.6279, 10.6279)* CHOOSE(CONTROL!$C$21, $C$9, 100%, $E$9)</f>
        <v>10.6279</v>
      </c>
      <c r="J205" s="14">
        <f>CHOOSE(CONTROL!$C$42, 10.5674, 10.5674)* CHOOSE(CONTROL!$C$21, $C$9, 100%, $E$9)</f>
        <v>10.567399999999999</v>
      </c>
      <c r="K205" s="53">
        <f>CHOOSE(CONTROL!$C$42, 10.624, 10.624) * CHOOSE(CONTROL!$C$21, $C$9, 100%, $E$9)</f>
        <v>10.624000000000001</v>
      </c>
      <c r="L205" s="14">
        <f>CHOOSE(CONTROL!$C$42, 11.2689, 11.2689) * CHOOSE(CONTROL!$C$21, $C$9, 100%, $E$9)</f>
        <v>11.2689</v>
      </c>
      <c r="M205" s="14">
        <f>CHOOSE(CONTROL!$C$42, 10.3586, 10.3586) * CHOOSE(CONTROL!$C$21, $C$9, 100%, $E$9)</f>
        <v>10.358599999999999</v>
      </c>
      <c r="N205" s="14">
        <f>CHOOSE(CONTROL!$C$42, 10.3737, 10.3737) * CHOOSE(CONTROL!$C$21, $C$9, 100%, $E$9)</f>
        <v>10.373699999999999</v>
      </c>
      <c r="O205" s="14">
        <f>CHOOSE(CONTROL!$C$42, 10.4707, 10.4707) * CHOOSE(CONTROL!$C$21, $C$9, 100%, $E$9)</f>
        <v>10.470700000000001</v>
      </c>
      <c r="P205" s="14">
        <f>CHOOSE(CONTROL!$C$42, 10.4172, 10.4172) * CHOOSE(CONTROL!$C$21, $C$9, 100%, $E$9)</f>
        <v>10.417199999999999</v>
      </c>
      <c r="Q205" s="14">
        <f>CHOOSE(CONTROL!$C$42, 11.0654, 11.0654) * CHOOSE(CONTROL!$C$21, $C$9, 100%, $E$9)</f>
        <v>11.0654</v>
      </c>
      <c r="R205" s="14">
        <f>CHOOSE(CONTROL!$C$42, 11.68, 11.68) * CHOOSE(CONTROL!$C$21, $C$9, 100%, $E$9)</f>
        <v>11.68</v>
      </c>
      <c r="S205" s="14">
        <f>CHOOSE(CONTROL!$C$42, 10.1646, 10.1646) * CHOOSE(CONTROL!$C$21, $C$9, 100%, $E$9)</f>
        <v>10.1646</v>
      </c>
      <c r="T20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05" s="57">
        <f>(1000*CHOOSE(CONTROL!$C$42, 695, 695)*CHOOSE(CONTROL!$C$42, 0.5599, 0.5599)*CHOOSE(CONTROL!$C$42, 31, 31))/1000000</f>
        <v>12.063045499999998</v>
      </c>
      <c r="V205" s="57">
        <f>(1000*CHOOSE(CONTROL!$C$42, 500, 500)*CHOOSE(CONTROL!$C$42, 0.275, 0.275)*CHOOSE(CONTROL!$C$42, 31, 31))/1000000</f>
        <v>4.2625000000000002</v>
      </c>
      <c r="W205" s="57">
        <f>(1000*CHOOSE(CONTROL!$C$42, 0.1146, 0.1146)*CHOOSE(CONTROL!$C$42, 121.5, 121.5)*CHOOSE(CONTROL!$C$42, 31, 31))/1000000</f>
        <v>0.43164089999999994</v>
      </c>
      <c r="X205" s="57">
        <f>(31*0.1790888*100000/1000000)+(31*0.2374*100000/1000000)</f>
        <v>1.2911152800000001</v>
      </c>
      <c r="Y205" s="57"/>
      <c r="Z205" s="14"/>
      <c r="AA205" s="56"/>
      <c r="AB205" s="50">
        <f>(B205*122.58+C205*297.941+D205*89.177+E205*40.302+F205*40+G205*160+H205*0+I205*100+J205*300)/(122.58+297.941+89.177+40.302+0+40+160+100+300)</f>
        <v>10.595997175391302</v>
      </c>
      <c r="AC205" s="45">
        <f>(M205*'RAP TEMPLATE-GAS AVAILABILITY'!O204+N205*'RAP TEMPLATE-GAS AVAILABILITY'!P204+O205*'RAP TEMPLATE-GAS AVAILABILITY'!Q204+P205*'RAP TEMPLATE-GAS AVAILABILITY'!R204)/('RAP TEMPLATE-GAS AVAILABILITY'!O204+'RAP TEMPLATE-GAS AVAILABILITY'!P204+'RAP TEMPLATE-GAS AVAILABILITY'!Q204+'RAP TEMPLATE-GAS AVAILABILITY'!R204)</f>
        <v>10.418708633093525</v>
      </c>
    </row>
    <row r="206" spans="1:29" ht="15.75" x14ac:dyDescent="0.25">
      <c r="A206" s="13">
        <v>47150</v>
      </c>
      <c r="B206" s="14">
        <f>CHOOSE(CONTROL!$C$42, 10.7975, 10.7975) * CHOOSE(CONTROL!$C$21, $C$9, 100%, $E$9)</f>
        <v>10.797499999999999</v>
      </c>
      <c r="C206" s="14">
        <f>CHOOSE(CONTROL!$C$42, 10.8026, 10.8026) * CHOOSE(CONTROL!$C$21, $C$9, 100%, $E$9)</f>
        <v>10.8026</v>
      </c>
      <c r="D206" s="14">
        <f>CHOOSE(CONTROL!$C$42, 10.869, 10.869) * CHOOSE(CONTROL!$C$21, $C$9, 100%, $E$9)</f>
        <v>10.869</v>
      </c>
      <c r="E206" s="14">
        <f>CHOOSE(CONTROL!$C$42, 10.9031, 10.9031) * CHOOSE(CONTROL!$C$21, $C$9, 100%, $E$9)</f>
        <v>10.9031</v>
      </c>
      <c r="F206" s="14">
        <f>CHOOSE(CONTROL!$C$42, 10.7849, 10.7849)*CHOOSE(CONTROL!$C$21, $C$9, 100%, $E$9)</f>
        <v>10.7849</v>
      </c>
      <c r="G206" s="14">
        <f>CHOOSE(CONTROL!$C$42, 10.8004, 10.8004)*CHOOSE(CONTROL!$C$21, $C$9, 100%, $E$9)</f>
        <v>10.8004</v>
      </c>
      <c r="H206" s="14">
        <f>CHOOSE(CONTROL!$C$42, 10.8923, 10.8923) * CHOOSE(CONTROL!$C$21, $C$9, 100%, $E$9)</f>
        <v>10.892300000000001</v>
      </c>
      <c r="I206" s="14">
        <f>CHOOSE(CONTROL!$C$42, 10.839, 10.839)* CHOOSE(CONTROL!$C$21, $C$9, 100%, $E$9)</f>
        <v>10.839</v>
      </c>
      <c r="J206" s="14">
        <f>CHOOSE(CONTROL!$C$42, 10.7779, 10.7779)* CHOOSE(CONTROL!$C$21, $C$9, 100%, $E$9)</f>
        <v>10.777900000000001</v>
      </c>
      <c r="K206" s="53">
        <f>CHOOSE(CONTROL!$C$42, 10.8351, 10.8351) * CHOOSE(CONTROL!$C$21, $C$9, 100%, $E$9)</f>
        <v>10.835100000000001</v>
      </c>
      <c r="L206" s="14">
        <f>CHOOSE(CONTROL!$C$42, 11.4793, 11.4793) * CHOOSE(CONTROL!$C$21, $C$9, 100%, $E$9)</f>
        <v>11.4793</v>
      </c>
      <c r="M206" s="14">
        <f>CHOOSE(CONTROL!$C$42, 10.5648, 10.5648) * CHOOSE(CONTROL!$C$21, $C$9, 100%, $E$9)</f>
        <v>10.5648</v>
      </c>
      <c r="N206" s="14">
        <f>CHOOSE(CONTROL!$C$42, 10.58, 10.58) * CHOOSE(CONTROL!$C$21, $C$9, 100%, $E$9)</f>
        <v>10.58</v>
      </c>
      <c r="O206" s="14">
        <f>CHOOSE(CONTROL!$C$42, 10.6768, 10.6768) * CHOOSE(CONTROL!$C$21, $C$9, 100%, $E$9)</f>
        <v>10.6768</v>
      </c>
      <c r="P206" s="14">
        <f>CHOOSE(CONTROL!$C$42, 10.624, 10.624) * CHOOSE(CONTROL!$C$21, $C$9, 100%, $E$9)</f>
        <v>10.624000000000001</v>
      </c>
      <c r="Q206" s="14">
        <f>CHOOSE(CONTROL!$C$42, 11.2715, 11.2715) * CHOOSE(CONTROL!$C$21, $C$9, 100%, $E$9)</f>
        <v>11.2715</v>
      </c>
      <c r="R206" s="14">
        <f>CHOOSE(CONTROL!$C$42, 11.8867, 11.8867) * CHOOSE(CONTROL!$C$21, $C$9, 100%, $E$9)</f>
        <v>11.886699999999999</v>
      </c>
      <c r="S206" s="14">
        <f>CHOOSE(CONTROL!$C$42, 10.3668, 10.3668) * CHOOSE(CONTROL!$C$21, $C$9, 100%, $E$9)</f>
        <v>10.3668</v>
      </c>
      <c r="T20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06" s="57">
        <f>(1000*CHOOSE(CONTROL!$C$42, 695, 695)*CHOOSE(CONTROL!$C$42, 0.5599, 0.5599)*CHOOSE(CONTROL!$C$42, 28, 28))/1000000</f>
        <v>10.895653999999999</v>
      </c>
      <c r="V206" s="57">
        <f>(1000*CHOOSE(CONTROL!$C$42, 500, 500)*CHOOSE(CONTROL!$C$42, 0.275, 0.275)*CHOOSE(CONTROL!$C$42, 28, 28))/1000000</f>
        <v>3.85</v>
      </c>
      <c r="W206" s="57">
        <f>(1000*CHOOSE(CONTROL!$C$42, 0.1146, 0.1146)*CHOOSE(CONTROL!$C$42, 121.5, 121.5)*CHOOSE(CONTROL!$C$42, 28, 28))/1000000</f>
        <v>0.38986920000000003</v>
      </c>
      <c r="X206" s="57">
        <f>(28*0.1790888*100000/1000000)+(28*0.2374*100000/1000000)</f>
        <v>1.16616864</v>
      </c>
      <c r="Y206" s="57"/>
      <c r="Z206" s="14"/>
      <c r="AA206" s="56"/>
      <c r="AB206" s="50">
        <f>(B206*122.58+C206*297.941+D206*89.177+E206*40.302+F206*40+G206*160+H206*0+I206*100+J206*300)/(122.58+297.941+89.177+40.302+0+40+160+100+300)</f>
        <v>10.806527431130434</v>
      </c>
      <c r="AC206" s="45">
        <f>(M206*'RAP TEMPLATE-GAS AVAILABILITY'!O205+N206*'RAP TEMPLATE-GAS AVAILABILITY'!P205+O206*'RAP TEMPLATE-GAS AVAILABILITY'!Q205+P206*'RAP TEMPLATE-GAS AVAILABILITY'!R205)/('RAP TEMPLATE-GAS AVAILABILITY'!O205+'RAP TEMPLATE-GAS AVAILABILITY'!P205+'RAP TEMPLATE-GAS AVAILABILITY'!Q205+'RAP TEMPLATE-GAS AVAILABILITY'!R205)</f>
        <v>10.624955395683452</v>
      </c>
    </row>
    <row r="207" spans="1:29" ht="15.75" x14ac:dyDescent="0.25">
      <c r="A207" s="13">
        <v>47178</v>
      </c>
      <c r="B207" s="14">
        <f>CHOOSE(CONTROL!$C$42, 10.5129, 10.5129) * CHOOSE(CONTROL!$C$21, $C$9, 100%, $E$9)</f>
        <v>10.5129</v>
      </c>
      <c r="C207" s="14">
        <f>CHOOSE(CONTROL!$C$42, 10.5179, 10.5179) * CHOOSE(CONTROL!$C$21, $C$9, 100%, $E$9)</f>
        <v>10.517899999999999</v>
      </c>
      <c r="D207" s="14">
        <f>CHOOSE(CONTROL!$C$42, 10.5843, 10.5843) * CHOOSE(CONTROL!$C$21, $C$9, 100%, $E$9)</f>
        <v>10.584300000000001</v>
      </c>
      <c r="E207" s="14">
        <f>CHOOSE(CONTROL!$C$42, 10.6184, 10.6184) * CHOOSE(CONTROL!$C$21, $C$9, 100%, $E$9)</f>
        <v>10.618399999999999</v>
      </c>
      <c r="F207" s="14">
        <f>CHOOSE(CONTROL!$C$42, 10.4999, 10.4999)*CHOOSE(CONTROL!$C$21, $C$9, 100%, $E$9)</f>
        <v>10.4999</v>
      </c>
      <c r="G207" s="14">
        <f>CHOOSE(CONTROL!$C$42, 10.5152, 10.5152)*CHOOSE(CONTROL!$C$21, $C$9, 100%, $E$9)</f>
        <v>10.5152</v>
      </c>
      <c r="H207" s="14">
        <f>CHOOSE(CONTROL!$C$42, 10.6076, 10.6076) * CHOOSE(CONTROL!$C$21, $C$9, 100%, $E$9)</f>
        <v>10.6076</v>
      </c>
      <c r="I207" s="14">
        <f>CHOOSE(CONTROL!$C$42, 10.5534, 10.5534)* CHOOSE(CONTROL!$C$21, $C$9, 100%, $E$9)</f>
        <v>10.5534</v>
      </c>
      <c r="J207" s="14">
        <f>CHOOSE(CONTROL!$C$42, 10.4929, 10.4929)* CHOOSE(CONTROL!$C$21, $C$9, 100%, $E$9)</f>
        <v>10.492900000000001</v>
      </c>
      <c r="K207" s="53">
        <f>CHOOSE(CONTROL!$C$42, 10.5495, 10.5495) * CHOOSE(CONTROL!$C$21, $C$9, 100%, $E$9)</f>
        <v>10.5495</v>
      </c>
      <c r="L207" s="14">
        <f>CHOOSE(CONTROL!$C$42, 11.1946, 11.1946) * CHOOSE(CONTROL!$C$21, $C$9, 100%, $E$9)</f>
        <v>11.194599999999999</v>
      </c>
      <c r="M207" s="14">
        <f>CHOOSE(CONTROL!$C$42, 10.2856, 10.2856) * CHOOSE(CONTROL!$C$21, $C$9, 100%, $E$9)</f>
        <v>10.285600000000001</v>
      </c>
      <c r="N207" s="14">
        <f>CHOOSE(CONTROL!$C$42, 10.3006, 10.3006) * CHOOSE(CONTROL!$C$21, $C$9, 100%, $E$9)</f>
        <v>10.300599999999999</v>
      </c>
      <c r="O207" s="14">
        <f>CHOOSE(CONTROL!$C$42, 10.398, 10.398) * CHOOSE(CONTROL!$C$21, $C$9, 100%, $E$9)</f>
        <v>10.398</v>
      </c>
      <c r="P207" s="14">
        <f>CHOOSE(CONTROL!$C$42, 10.3443, 10.3443) * CHOOSE(CONTROL!$C$21, $C$9, 100%, $E$9)</f>
        <v>10.3443</v>
      </c>
      <c r="Q207" s="14">
        <f>CHOOSE(CONTROL!$C$42, 10.9927, 10.9927) * CHOOSE(CONTROL!$C$21, $C$9, 100%, $E$9)</f>
        <v>10.992699999999999</v>
      </c>
      <c r="R207" s="14">
        <f>CHOOSE(CONTROL!$C$42, 11.6072, 11.6072) * CHOOSE(CONTROL!$C$21, $C$9, 100%, $E$9)</f>
        <v>11.607200000000001</v>
      </c>
      <c r="S207" s="14">
        <f>CHOOSE(CONTROL!$C$42, 10.0933, 10.0933) * CHOOSE(CONTROL!$C$21, $C$9, 100%, $E$9)</f>
        <v>10.093299999999999</v>
      </c>
      <c r="T20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07" s="57">
        <f>(1000*CHOOSE(CONTROL!$C$42, 695, 695)*CHOOSE(CONTROL!$C$42, 0.5599, 0.5599)*CHOOSE(CONTROL!$C$42, 31, 31))/1000000</f>
        <v>12.063045499999998</v>
      </c>
      <c r="V207" s="57">
        <f>(1000*CHOOSE(CONTROL!$C$42, 500, 500)*CHOOSE(CONTROL!$C$42, 0.275, 0.275)*CHOOSE(CONTROL!$C$42, 31, 31))/1000000</f>
        <v>4.2625000000000002</v>
      </c>
      <c r="W207" s="57">
        <f>(1000*CHOOSE(CONTROL!$C$42, 0.1146, 0.1146)*CHOOSE(CONTROL!$C$42, 121.5, 121.5)*CHOOSE(CONTROL!$C$42, 31, 31))/1000000</f>
        <v>0.43164089999999994</v>
      </c>
      <c r="X207" s="57">
        <f>(31*0.1790888*100000/1000000)+(31*0.2374*100000/1000000)</f>
        <v>1.2911152800000001</v>
      </c>
      <c r="Y207" s="57"/>
      <c r="Z207" s="14"/>
      <c r="AA207" s="56"/>
      <c r="AB207" s="50">
        <f>(B207*122.58+C207*297.941+D207*89.177+E207*40.302+F207*40+G207*160+H207*0+I207*100+J207*300)/(122.58+297.941+89.177+40.302+0+40+160+100+300)</f>
        <v>10.521601568521739</v>
      </c>
      <c r="AC207" s="45">
        <f>(M207*'RAP TEMPLATE-GAS AVAILABILITY'!O206+N207*'RAP TEMPLATE-GAS AVAILABILITY'!P206+O207*'RAP TEMPLATE-GAS AVAILABILITY'!Q206+P207*'RAP TEMPLATE-GAS AVAILABILITY'!R206)/('RAP TEMPLATE-GAS AVAILABILITY'!O206+'RAP TEMPLATE-GAS AVAILABILITY'!P206+'RAP TEMPLATE-GAS AVAILABILITY'!Q206+'RAP TEMPLATE-GAS AVAILABILITY'!R206)</f>
        <v>10.345853237410072</v>
      </c>
    </row>
    <row r="208" spans="1:29" ht="15.75" x14ac:dyDescent="0.25">
      <c r="A208" s="13">
        <v>47209</v>
      </c>
      <c r="B208" s="14">
        <f>CHOOSE(CONTROL!$C$42, 10.5042, 10.5042) * CHOOSE(CONTROL!$C$21, $C$9, 100%, $E$9)</f>
        <v>10.504200000000001</v>
      </c>
      <c r="C208" s="14">
        <f>CHOOSE(CONTROL!$C$42, 10.5086, 10.5086) * CHOOSE(CONTROL!$C$21, $C$9, 100%, $E$9)</f>
        <v>10.508599999999999</v>
      </c>
      <c r="D208" s="14">
        <f>CHOOSE(CONTROL!$C$42, 10.7157, 10.7157) * CHOOSE(CONTROL!$C$21, $C$9, 100%, $E$9)</f>
        <v>10.7157</v>
      </c>
      <c r="E208" s="14">
        <f>CHOOSE(CONTROL!$C$42, 10.7478, 10.7478) * CHOOSE(CONTROL!$C$21, $C$9, 100%, $E$9)</f>
        <v>10.7478</v>
      </c>
      <c r="F208" s="14">
        <f>CHOOSE(CONTROL!$C$42, 10.486, 10.486)*CHOOSE(CONTROL!$C$21, $C$9, 100%, $E$9)</f>
        <v>10.486000000000001</v>
      </c>
      <c r="G208" s="14">
        <f>CHOOSE(CONTROL!$C$42, 10.5012, 10.5012)*CHOOSE(CONTROL!$C$21, $C$9, 100%, $E$9)</f>
        <v>10.501200000000001</v>
      </c>
      <c r="H208" s="14">
        <f>CHOOSE(CONTROL!$C$42, 10.7376, 10.7376) * CHOOSE(CONTROL!$C$21, $C$9, 100%, $E$9)</f>
        <v>10.7376</v>
      </c>
      <c r="I208" s="14">
        <f>CHOOSE(CONTROL!$C$42, 10.5439, 10.5439)* CHOOSE(CONTROL!$C$21, $C$9, 100%, $E$9)</f>
        <v>10.543900000000001</v>
      </c>
      <c r="J208" s="14">
        <f>CHOOSE(CONTROL!$C$42, 10.479, 10.479)* CHOOSE(CONTROL!$C$21, $C$9, 100%, $E$9)</f>
        <v>10.478999999999999</v>
      </c>
      <c r="K208" s="53">
        <f>CHOOSE(CONTROL!$C$42, 10.54, 10.54) * CHOOSE(CONTROL!$C$21, $C$9, 100%, $E$9)</f>
        <v>10.54</v>
      </c>
      <c r="L208" s="14">
        <f>CHOOSE(CONTROL!$C$42, 11.3246, 11.3246) * CHOOSE(CONTROL!$C$21, $C$9, 100%, $E$9)</f>
        <v>11.3246</v>
      </c>
      <c r="M208" s="14">
        <f>CHOOSE(CONTROL!$C$42, 10.272, 10.272) * CHOOSE(CONTROL!$C$21, $C$9, 100%, $E$9)</f>
        <v>10.272</v>
      </c>
      <c r="N208" s="14">
        <f>CHOOSE(CONTROL!$C$42, 10.2869, 10.2869) * CHOOSE(CONTROL!$C$21, $C$9, 100%, $E$9)</f>
        <v>10.286899999999999</v>
      </c>
      <c r="O208" s="14">
        <f>CHOOSE(CONTROL!$C$42, 10.5253, 10.5253) * CHOOSE(CONTROL!$C$21, $C$9, 100%, $E$9)</f>
        <v>10.5253</v>
      </c>
      <c r="P208" s="14">
        <f>CHOOSE(CONTROL!$C$42, 10.335, 10.335) * CHOOSE(CONTROL!$C$21, $C$9, 100%, $E$9)</f>
        <v>10.335000000000001</v>
      </c>
      <c r="Q208" s="14">
        <f>CHOOSE(CONTROL!$C$42, 11.12, 11.12) * CHOOSE(CONTROL!$C$21, $C$9, 100%, $E$9)</f>
        <v>11.12</v>
      </c>
      <c r="R208" s="14">
        <f>CHOOSE(CONTROL!$C$42, 11.7348, 11.7348) * CHOOSE(CONTROL!$C$21, $C$9, 100%, $E$9)</f>
        <v>11.7348</v>
      </c>
      <c r="S208" s="14">
        <f>CHOOSE(CONTROL!$C$42, 10.0841, 10.0841) * CHOOSE(CONTROL!$C$21, $C$9, 100%, $E$9)</f>
        <v>10.084099999999999</v>
      </c>
      <c r="T20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08" s="57">
        <f>(1000*CHOOSE(CONTROL!$C$42, 695, 695)*CHOOSE(CONTROL!$C$42, 0.5599, 0.5599)*CHOOSE(CONTROL!$C$42, 30, 30))/1000000</f>
        <v>11.673914999999997</v>
      </c>
      <c r="V208" s="57">
        <f>(1000*CHOOSE(CONTROL!$C$42, 500, 500)*CHOOSE(CONTROL!$C$42, 0.275, 0.275)*CHOOSE(CONTROL!$C$42, 30, 30))/1000000</f>
        <v>4.125</v>
      </c>
      <c r="W208" s="57">
        <f>(1000*CHOOSE(CONTROL!$C$42, 0.1146, 0.1146)*CHOOSE(CONTROL!$C$42, 121.5, 121.5)*CHOOSE(CONTROL!$C$42, 30, 30))/1000000</f>
        <v>0.417717</v>
      </c>
      <c r="X208" s="57">
        <f>(30*0.1790888*245000/1000000)+(30*0.2374*100000/1000000)</f>
        <v>2.0285026799999999</v>
      </c>
      <c r="Y208" s="57"/>
      <c r="Z208" s="14"/>
      <c r="AA208" s="56"/>
      <c r="AB208" s="50">
        <f>(B208*141.293+C208*267.993+D208*115.016+E208*89.698+F208*40+G208*185+H208*0+I208*100+J208*300)/(141.293+267.993+115.016+89.698+0+40+185+100+300)</f>
        <v>10.538487720742534</v>
      </c>
      <c r="AC208" s="45">
        <f>(M208*'RAP TEMPLATE-GAS AVAILABILITY'!O207+N208*'RAP TEMPLATE-GAS AVAILABILITY'!P207+O208*'RAP TEMPLATE-GAS AVAILABILITY'!Q207+P208*'RAP TEMPLATE-GAS AVAILABILITY'!R207)/('RAP TEMPLATE-GAS AVAILABILITY'!O207+'RAP TEMPLATE-GAS AVAILABILITY'!P207+'RAP TEMPLATE-GAS AVAILABILITY'!Q207+'RAP TEMPLATE-GAS AVAILABILITY'!R207)</f>
        <v>10.35556474820144</v>
      </c>
    </row>
    <row r="209" spans="1:29" ht="15.75" x14ac:dyDescent="0.25">
      <c r="A209" s="13">
        <v>47239</v>
      </c>
      <c r="B209" s="14">
        <f>CHOOSE(CONTROL!$C$42, 10.62, 10.62) * CHOOSE(CONTROL!$C$21, $C$9, 100%, $E$9)</f>
        <v>10.62</v>
      </c>
      <c r="C209" s="14">
        <f>CHOOSE(CONTROL!$C$42, 10.628, 10.628) * CHOOSE(CONTROL!$C$21, $C$9, 100%, $E$9)</f>
        <v>10.628</v>
      </c>
      <c r="D209" s="14">
        <f>CHOOSE(CONTROL!$C$42, 10.8319, 10.8319) * CHOOSE(CONTROL!$C$21, $C$9, 100%, $E$9)</f>
        <v>10.831899999999999</v>
      </c>
      <c r="E209" s="14">
        <f>CHOOSE(CONTROL!$C$42, 10.8634, 10.8634) * CHOOSE(CONTROL!$C$21, $C$9, 100%, $E$9)</f>
        <v>10.8634</v>
      </c>
      <c r="F209" s="14">
        <f>CHOOSE(CONTROL!$C$42, 10.6007, 10.6007)*CHOOSE(CONTROL!$C$21, $C$9, 100%, $E$9)</f>
        <v>10.6007</v>
      </c>
      <c r="G209" s="14">
        <f>CHOOSE(CONTROL!$C$42, 10.6164, 10.6164)*CHOOSE(CONTROL!$C$21, $C$9, 100%, $E$9)</f>
        <v>10.616400000000001</v>
      </c>
      <c r="H209" s="14">
        <f>CHOOSE(CONTROL!$C$42, 10.852, 10.852) * CHOOSE(CONTROL!$C$21, $C$9, 100%, $E$9)</f>
        <v>10.852</v>
      </c>
      <c r="I209" s="14">
        <f>CHOOSE(CONTROL!$C$42, 10.6587, 10.6587)* CHOOSE(CONTROL!$C$21, $C$9, 100%, $E$9)</f>
        <v>10.6587</v>
      </c>
      <c r="J209" s="14">
        <f>CHOOSE(CONTROL!$C$42, 10.5937, 10.5937)* CHOOSE(CONTROL!$C$21, $C$9, 100%, $E$9)</f>
        <v>10.5937</v>
      </c>
      <c r="K209" s="53">
        <f>CHOOSE(CONTROL!$C$42, 10.6548, 10.6548) * CHOOSE(CONTROL!$C$21, $C$9, 100%, $E$9)</f>
        <v>10.6548</v>
      </c>
      <c r="L209" s="14">
        <f>CHOOSE(CONTROL!$C$42, 11.439, 11.439) * CHOOSE(CONTROL!$C$21, $C$9, 100%, $E$9)</f>
        <v>11.439</v>
      </c>
      <c r="M209" s="14">
        <f>CHOOSE(CONTROL!$C$42, 10.3843, 10.3843) * CHOOSE(CONTROL!$C$21, $C$9, 100%, $E$9)</f>
        <v>10.3843</v>
      </c>
      <c r="N209" s="14">
        <f>CHOOSE(CONTROL!$C$42, 10.3997, 10.3997) * CHOOSE(CONTROL!$C$21, $C$9, 100%, $E$9)</f>
        <v>10.399699999999999</v>
      </c>
      <c r="O209" s="14">
        <f>CHOOSE(CONTROL!$C$42, 10.6374, 10.6374) * CHOOSE(CONTROL!$C$21, $C$9, 100%, $E$9)</f>
        <v>10.6374</v>
      </c>
      <c r="P209" s="14">
        <f>CHOOSE(CONTROL!$C$42, 10.4474, 10.4474) * CHOOSE(CONTROL!$C$21, $C$9, 100%, $E$9)</f>
        <v>10.4474</v>
      </c>
      <c r="Q209" s="14">
        <f>CHOOSE(CONTROL!$C$42, 11.2321, 11.2321) * CHOOSE(CONTROL!$C$21, $C$9, 100%, $E$9)</f>
        <v>11.232100000000001</v>
      </c>
      <c r="R209" s="14">
        <f>CHOOSE(CONTROL!$C$42, 11.8471, 11.8471) * CHOOSE(CONTROL!$C$21, $C$9, 100%, $E$9)</f>
        <v>11.847099999999999</v>
      </c>
      <c r="S209" s="14">
        <f>CHOOSE(CONTROL!$C$42, 10.1941, 10.1941) * CHOOSE(CONTROL!$C$21, $C$9, 100%, $E$9)</f>
        <v>10.194100000000001</v>
      </c>
      <c r="T20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09" s="57">
        <f>(1000*CHOOSE(CONTROL!$C$42, 695, 695)*CHOOSE(CONTROL!$C$42, 0.5599, 0.5599)*CHOOSE(CONTROL!$C$42, 31, 31))/1000000</f>
        <v>12.063045499999998</v>
      </c>
      <c r="V209" s="57">
        <f>(1000*CHOOSE(CONTROL!$C$42, 500, 500)*CHOOSE(CONTROL!$C$42, 0.275, 0.275)*CHOOSE(CONTROL!$C$42, 31, 31))/1000000</f>
        <v>4.2625000000000002</v>
      </c>
      <c r="W209" s="57">
        <f>(1000*CHOOSE(CONTROL!$C$42, 0.1146, 0.1146)*CHOOSE(CONTROL!$C$42, 121.5, 121.5)*CHOOSE(CONTROL!$C$42, 31, 31))/1000000</f>
        <v>0.43164089999999994</v>
      </c>
      <c r="X209" s="57">
        <f>(31*0.1790888*245000/1000000)+(31*0.2374*100000/1000000)</f>
        <v>2.0961194359999999</v>
      </c>
      <c r="Y209" s="57"/>
      <c r="Z209" s="14"/>
      <c r="AA209" s="56"/>
      <c r="AB209" s="50">
        <f>(B209*194.205+C209*267.466+D209*133.845+E209*53.484+F209*40+G209*185+H209*0+I209*100+J209*300)/(194.205+267.466+133.845+53.484+0+40+185+100+300)</f>
        <v>10.649875580141288</v>
      </c>
      <c r="AC209" s="45">
        <f>(M209*'RAP TEMPLATE-GAS AVAILABILITY'!O208+N209*'RAP TEMPLATE-GAS AVAILABILITY'!P208+O209*'RAP TEMPLATE-GAS AVAILABILITY'!Q208+P209*'RAP TEMPLATE-GAS AVAILABILITY'!R208)/('RAP TEMPLATE-GAS AVAILABILITY'!O208+'RAP TEMPLATE-GAS AVAILABILITY'!P208+'RAP TEMPLATE-GAS AVAILABILITY'!Q208+'RAP TEMPLATE-GAS AVAILABILITY'!R208)</f>
        <v>10.467938129496401</v>
      </c>
    </row>
    <row r="210" spans="1:29" ht="15.75" x14ac:dyDescent="0.25">
      <c r="A210" s="13">
        <v>47270</v>
      </c>
      <c r="B210" s="14">
        <f>CHOOSE(CONTROL!$C$42, 10.9433, 10.9433) * CHOOSE(CONTROL!$C$21, $C$9, 100%, $E$9)</f>
        <v>10.943300000000001</v>
      </c>
      <c r="C210" s="14">
        <f>CHOOSE(CONTROL!$C$42, 10.9514, 10.9514) * CHOOSE(CONTROL!$C$21, $C$9, 100%, $E$9)</f>
        <v>10.9514</v>
      </c>
      <c r="D210" s="14">
        <f>CHOOSE(CONTROL!$C$42, 11.1553, 11.1553) * CHOOSE(CONTROL!$C$21, $C$9, 100%, $E$9)</f>
        <v>11.1553</v>
      </c>
      <c r="E210" s="14">
        <f>CHOOSE(CONTROL!$C$42, 11.1868, 11.1868) * CHOOSE(CONTROL!$C$21, $C$9, 100%, $E$9)</f>
        <v>11.1868</v>
      </c>
      <c r="F210" s="14">
        <f>CHOOSE(CONTROL!$C$42, 10.9245, 10.9245)*CHOOSE(CONTROL!$C$21, $C$9, 100%, $E$9)</f>
        <v>10.9245</v>
      </c>
      <c r="G210" s="14">
        <f>CHOOSE(CONTROL!$C$42, 10.9403, 10.9403)*CHOOSE(CONTROL!$C$21, $C$9, 100%, $E$9)</f>
        <v>10.940300000000001</v>
      </c>
      <c r="H210" s="14">
        <f>CHOOSE(CONTROL!$C$42, 11.1754, 11.1754) * CHOOSE(CONTROL!$C$21, $C$9, 100%, $E$9)</f>
        <v>11.1754</v>
      </c>
      <c r="I210" s="14">
        <f>CHOOSE(CONTROL!$C$42, 10.9831, 10.9831)* CHOOSE(CONTROL!$C$21, $C$9, 100%, $E$9)</f>
        <v>10.9831</v>
      </c>
      <c r="J210" s="14">
        <f>CHOOSE(CONTROL!$C$42, 10.9175, 10.9175)* CHOOSE(CONTROL!$C$21, $C$9, 100%, $E$9)</f>
        <v>10.9175</v>
      </c>
      <c r="K210" s="53">
        <f>CHOOSE(CONTROL!$C$42, 10.9792, 10.9792) * CHOOSE(CONTROL!$C$21, $C$9, 100%, $E$9)</f>
        <v>10.979200000000001</v>
      </c>
      <c r="L210" s="14">
        <f>CHOOSE(CONTROL!$C$42, 11.7624, 11.7624) * CHOOSE(CONTROL!$C$21, $C$9, 100%, $E$9)</f>
        <v>11.7624</v>
      </c>
      <c r="M210" s="14">
        <f>CHOOSE(CONTROL!$C$42, 10.7015, 10.7015) * CHOOSE(CONTROL!$C$21, $C$9, 100%, $E$9)</f>
        <v>10.701499999999999</v>
      </c>
      <c r="N210" s="14">
        <f>CHOOSE(CONTROL!$C$42, 10.717, 10.717) * CHOOSE(CONTROL!$C$21, $C$9, 100%, $E$9)</f>
        <v>10.717000000000001</v>
      </c>
      <c r="O210" s="14">
        <f>CHOOSE(CONTROL!$C$42, 10.9541, 10.9541) * CHOOSE(CONTROL!$C$21, $C$9, 100%, $E$9)</f>
        <v>10.9541</v>
      </c>
      <c r="P210" s="14">
        <f>CHOOSE(CONTROL!$C$42, 10.7651, 10.7651) * CHOOSE(CONTROL!$C$21, $C$9, 100%, $E$9)</f>
        <v>10.7651</v>
      </c>
      <c r="Q210" s="14">
        <f>CHOOSE(CONTROL!$C$42, 11.5488, 11.5488) * CHOOSE(CONTROL!$C$21, $C$9, 100%, $E$9)</f>
        <v>11.5488</v>
      </c>
      <c r="R210" s="14">
        <f>CHOOSE(CONTROL!$C$42, 12.1647, 12.1647) * CHOOSE(CONTROL!$C$21, $C$9, 100%, $E$9)</f>
        <v>12.1647</v>
      </c>
      <c r="S210" s="14">
        <f>CHOOSE(CONTROL!$C$42, 10.5048, 10.5048) * CHOOSE(CONTROL!$C$21, $C$9, 100%, $E$9)</f>
        <v>10.504799999999999</v>
      </c>
      <c r="T21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10" s="57">
        <f>(1000*CHOOSE(CONTROL!$C$42, 695, 695)*CHOOSE(CONTROL!$C$42, 0.5599, 0.5599)*CHOOSE(CONTROL!$C$42, 30, 30))/1000000</f>
        <v>11.673914999999997</v>
      </c>
      <c r="V210" s="57">
        <f>(1000*CHOOSE(CONTROL!$C$42, 500, 500)*CHOOSE(CONTROL!$C$42, 0.275, 0.275)*CHOOSE(CONTROL!$C$42, 30, 30))/1000000</f>
        <v>4.125</v>
      </c>
      <c r="W210" s="57">
        <f>(1000*CHOOSE(CONTROL!$C$42, 0.1146, 0.1146)*CHOOSE(CONTROL!$C$42, 121.5, 121.5)*CHOOSE(CONTROL!$C$42, 30, 30))/1000000</f>
        <v>0.417717</v>
      </c>
      <c r="X210" s="57">
        <f>(30*0.1790888*245000/1000000)+(30*0.2374*100000/1000000)</f>
        <v>2.0285026799999999</v>
      </c>
      <c r="Y210" s="57"/>
      <c r="Z210" s="14"/>
      <c r="AA210" s="56"/>
      <c r="AB210" s="50">
        <f>(B210*194.205+C210*267.466+D210*133.845+E210*53.484+F210*40+G210*185+H210*0+I210*100+J210*300)/(194.205+267.466+133.845+53.484+0+40+185+100+300)</f>
        <v>10.973518185714285</v>
      </c>
      <c r="AC210" s="45">
        <f>(M210*'RAP TEMPLATE-GAS AVAILABILITY'!O209+N210*'RAP TEMPLATE-GAS AVAILABILITY'!P209+O210*'RAP TEMPLATE-GAS AVAILABILITY'!Q209+P210*'RAP TEMPLATE-GAS AVAILABILITY'!R209)/('RAP TEMPLATE-GAS AVAILABILITY'!O209+'RAP TEMPLATE-GAS AVAILABILITY'!P209+'RAP TEMPLATE-GAS AVAILABILITY'!Q209+'RAP TEMPLATE-GAS AVAILABILITY'!R209)</f>
        <v>10.785092805755395</v>
      </c>
    </row>
    <row r="211" spans="1:29" ht="15.75" x14ac:dyDescent="0.25">
      <c r="A211" s="13">
        <v>47300</v>
      </c>
      <c r="B211" s="14">
        <f>CHOOSE(CONTROL!$C$42, 10.7557, 10.7557) * CHOOSE(CONTROL!$C$21, $C$9, 100%, $E$9)</f>
        <v>10.755699999999999</v>
      </c>
      <c r="C211" s="14">
        <f>CHOOSE(CONTROL!$C$42, 10.7637, 10.7637) * CHOOSE(CONTROL!$C$21, $C$9, 100%, $E$9)</f>
        <v>10.7637</v>
      </c>
      <c r="D211" s="14">
        <f>CHOOSE(CONTROL!$C$42, 10.9677, 10.9677) * CHOOSE(CONTROL!$C$21, $C$9, 100%, $E$9)</f>
        <v>10.967700000000001</v>
      </c>
      <c r="E211" s="14">
        <f>CHOOSE(CONTROL!$C$42, 10.9991, 10.9991) * CHOOSE(CONTROL!$C$21, $C$9, 100%, $E$9)</f>
        <v>10.9991</v>
      </c>
      <c r="F211" s="14">
        <f>CHOOSE(CONTROL!$C$42, 10.7373, 10.7373)*CHOOSE(CONTROL!$C$21, $C$9, 100%, $E$9)</f>
        <v>10.737299999999999</v>
      </c>
      <c r="G211" s="14">
        <f>CHOOSE(CONTROL!$C$42, 10.7532, 10.7532)*CHOOSE(CONTROL!$C$21, $C$9, 100%, $E$9)</f>
        <v>10.7532</v>
      </c>
      <c r="H211" s="14">
        <f>CHOOSE(CONTROL!$C$42, 10.9878, 10.9878) * CHOOSE(CONTROL!$C$21, $C$9, 100%, $E$9)</f>
        <v>10.9878</v>
      </c>
      <c r="I211" s="14">
        <f>CHOOSE(CONTROL!$C$42, 10.7948, 10.7948)* CHOOSE(CONTROL!$C$21, $C$9, 100%, $E$9)</f>
        <v>10.7948</v>
      </c>
      <c r="J211" s="14">
        <f>CHOOSE(CONTROL!$C$42, 10.7303, 10.7303)* CHOOSE(CONTROL!$C$21, $C$9, 100%, $E$9)</f>
        <v>10.7303</v>
      </c>
      <c r="K211" s="53">
        <f>CHOOSE(CONTROL!$C$42, 10.7909, 10.7909) * CHOOSE(CONTROL!$C$21, $C$9, 100%, $E$9)</f>
        <v>10.790900000000001</v>
      </c>
      <c r="L211" s="14">
        <f>CHOOSE(CONTROL!$C$42, 11.5748, 11.5748) * CHOOSE(CONTROL!$C$21, $C$9, 100%, $E$9)</f>
        <v>11.5748</v>
      </c>
      <c r="M211" s="14">
        <f>CHOOSE(CONTROL!$C$42, 10.5182, 10.5182) * CHOOSE(CONTROL!$C$21, $C$9, 100%, $E$9)</f>
        <v>10.5182</v>
      </c>
      <c r="N211" s="14">
        <f>CHOOSE(CONTROL!$C$42, 10.5337, 10.5337) * CHOOSE(CONTROL!$C$21, $C$9, 100%, $E$9)</f>
        <v>10.5337</v>
      </c>
      <c r="O211" s="14">
        <f>CHOOSE(CONTROL!$C$42, 10.7703, 10.7703) * CHOOSE(CONTROL!$C$21, $C$9, 100%, $E$9)</f>
        <v>10.770300000000001</v>
      </c>
      <c r="P211" s="14">
        <f>CHOOSE(CONTROL!$C$42, 10.5808, 10.5808) * CHOOSE(CONTROL!$C$21, $C$9, 100%, $E$9)</f>
        <v>10.5808</v>
      </c>
      <c r="Q211" s="14">
        <f>CHOOSE(CONTROL!$C$42, 11.365, 11.365) * CHOOSE(CONTROL!$C$21, $C$9, 100%, $E$9)</f>
        <v>11.365</v>
      </c>
      <c r="R211" s="14">
        <f>CHOOSE(CONTROL!$C$42, 11.9804, 11.9804) * CHOOSE(CONTROL!$C$21, $C$9, 100%, $E$9)</f>
        <v>11.980399999999999</v>
      </c>
      <c r="S211" s="14">
        <f>CHOOSE(CONTROL!$C$42, 10.3245, 10.3245) * CHOOSE(CONTROL!$C$21, $C$9, 100%, $E$9)</f>
        <v>10.3245</v>
      </c>
      <c r="T21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11" s="57">
        <f>(1000*CHOOSE(CONTROL!$C$42, 695, 695)*CHOOSE(CONTROL!$C$42, 0.5599, 0.5599)*CHOOSE(CONTROL!$C$42, 31, 31))/1000000</f>
        <v>12.063045499999998</v>
      </c>
      <c r="V211" s="57">
        <f>(1000*CHOOSE(CONTROL!$C$42, 500, 500)*CHOOSE(CONTROL!$C$42, 0.275, 0.275)*CHOOSE(CONTROL!$C$42, 31, 31))/1000000</f>
        <v>4.2625000000000002</v>
      </c>
      <c r="W211" s="57">
        <f>(1000*CHOOSE(CONTROL!$C$42, 0.1146, 0.1146)*CHOOSE(CONTROL!$C$42, 121.5, 121.5)*CHOOSE(CONTROL!$C$42, 31, 31))/1000000</f>
        <v>0.43164089999999994</v>
      </c>
      <c r="X211" s="57">
        <f>(31*0.1790888*245000/1000000)+(31*0.2374*100000/1000000)</f>
        <v>2.0961194359999999</v>
      </c>
      <c r="Y211" s="57"/>
      <c r="Z211" s="14"/>
      <c r="AA211" s="56"/>
      <c r="AB211" s="50">
        <f>(B211*194.205+C211*267.466+D211*133.845+E211*53.484+F211*40+G211*185+H211*0+I211*100+J211*300)/(194.205+267.466+133.845+53.484+0+40+185+100+300)</f>
        <v>10.786017404709577</v>
      </c>
      <c r="AC211" s="45">
        <f>(M211*'RAP TEMPLATE-GAS AVAILABILITY'!O210+N211*'RAP TEMPLATE-GAS AVAILABILITY'!P210+O211*'RAP TEMPLATE-GAS AVAILABILITY'!Q210+P211*'RAP TEMPLATE-GAS AVAILABILITY'!R210)/('RAP TEMPLATE-GAS AVAILABILITY'!O210+'RAP TEMPLATE-GAS AVAILABILITY'!P210+'RAP TEMPLATE-GAS AVAILABILITY'!Q210+'RAP TEMPLATE-GAS AVAILABILITY'!R210)</f>
        <v>10.601508633093527</v>
      </c>
    </row>
    <row r="212" spans="1:29" ht="15.75" x14ac:dyDescent="0.25">
      <c r="A212" s="13">
        <v>47331</v>
      </c>
      <c r="B212" s="14">
        <f>CHOOSE(CONTROL!$C$42, 10.2461, 10.2461) * CHOOSE(CONTROL!$C$21, $C$9, 100%, $E$9)</f>
        <v>10.2461</v>
      </c>
      <c r="C212" s="14">
        <f>CHOOSE(CONTROL!$C$42, 10.2541, 10.2541) * CHOOSE(CONTROL!$C$21, $C$9, 100%, $E$9)</f>
        <v>10.254099999999999</v>
      </c>
      <c r="D212" s="14">
        <f>CHOOSE(CONTROL!$C$42, 10.458, 10.458) * CHOOSE(CONTROL!$C$21, $C$9, 100%, $E$9)</f>
        <v>10.458</v>
      </c>
      <c r="E212" s="14">
        <f>CHOOSE(CONTROL!$C$42, 10.4895, 10.4895) * CHOOSE(CONTROL!$C$21, $C$9, 100%, $E$9)</f>
        <v>10.4895</v>
      </c>
      <c r="F212" s="14">
        <f>CHOOSE(CONTROL!$C$42, 10.2279, 10.2279)*CHOOSE(CONTROL!$C$21, $C$9, 100%, $E$9)</f>
        <v>10.2279</v>
      </c>
      <c r="G212" s="14">
        <f>CHOOSE(CONTROL!$C$42, 10.2439, 10.2439)*CHOOSE(CONTROL!$C$21, $C$9, 100%, $E$9)</f>
        <v>10.2439</v>
      </c>
      <c r="H212" s="14">
        <f>CHOOSE(CONTROL!$C$42, 10.4781, 10.4781) * CHOOSE(CONTROL!$C$21, $C$9, 100%, $E$9)</f>
        <v>10.4781</v>
      </c>
      <c r="I212" s="14">
        <f>CHOOSE(CONTROL!$C$42, 10.2836, 10.2836)* CHOOSE(CONTROL!$C$21, $C$9, 100%, $E$9)</f>
        <v>10.2836</v>
      </c>
      <c r="J212" s="14">
        <f>CHOOSE(CONTROL!$C$42, 10.2209, 10.2209)* CHOOSE(CONTROL!$C$21, $C$9, 100%, $E$9)</f>
        <v>10.2209</v>
      </c>
      <c r="K212" s="53">
        <f>CHOOSE(CONTROL!$C$42, 10.2797, 10.2797) * CHOOSE(CONTROL!$C$21, $C$9, 100%, $E$9)</f>
        <v>10.2797</v>
      </c>
      <c r="L212" s="14">
        <f>CHOOSE(CONTROL!$C$42, 11.0651, 11.0651) * CHOOSE(CONTROL!$C$21, $C$9, 100%, $E$9)</f>
        <v>11.065099999999999</v>
      </c>
      <c r="M212" s="14">
        <f>CHOOSE(CONTROL!$C$42, 10.0192, 10.0192) * CHOOSE(CONTROL!$C$21, $C$9, 100%, $E$9)</f>
        <v>10.0192</v>
      </c>
      <c r="N212" s="14">
        <f>CHOOSE(CONTROL!$C$42, 10.0348, 10.0348) * CHOOSE(CONTROL!$C$21, $C$9, 100%, $E$9)</f>
        <v>10.034800000000001</v>
      </c>
      <c r="O212" s="14">
        <f>CHOOSE(CONTROL!$C$42, 10.2711, 10.2711) * CHOOSE(CONTROL!$C$21, $C$9, 100%, $E$9)</f>
        <v>10.271100000000001</v>
      </c>
      <c r="P212" s="14">
        <f>CHOOSE(CONTROL!$C$42, 10.08, 10.08) * CHOOSE(CONTROL!$C$21, $C$9, 100%, $E$9)</f>
        <v>10.08</v>
      </c>
      <c r="Q212" s="14">
        <f>CHOOSE(CONTROL!$C$42, 10.8658, 10.8658) * CHOOSE(CONTROL!$C$21, $C$9, 100%, $E$9)</f>
        <v>10.8658</v>
      </c>
      <c r="R212" s="14">
        <f>CHOOSE(CONTROL!$C$42, 11.48, 11.48) * CHOOSE(CONTROL!$C$21, $C$9, 100%, $E$9)</f>
        <v>11.48</v>
      </c>
      <c r="S212" s="14">
        <f>CHOOSE(CONTROL!$C$42, 9.8348, 9.8348) * CHOOSE(CONTROL!$C$21, $C$9, 100%, $E$9)</f>
        <v>9.8347999999999995</v>
      </c>
      <c r="T21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12" s="57">
        <f>(1000*CHOOSE(CONTROL!$C$42, 695, 695)*CHOOSE(CONTROL!$C$42, 0.5599, 0.5599)*CHOOSE(CONTROL!$C$42, 31, 31))/1000000</f>
        <v>12.063045499999998</v>
      </c>
      <c r="V212" s="57">
        <f>(1000*CHOOSE(CONTROL!$C$42, 500, 500)*CHOOSE(CONTROL!$C$42, 0.275, 0.275)*CHOOSE(CONTROL!$C$42, 31, 31))/1000000</f>
        <v>4.2625000000000002</v>
      </c>
      <c r="W212" s="57">
        <f>(1000*CHOOSE(CONTROL!$C$42, 0.1146, 0.1146)*CHOOSE(CONTROL!$C$42, 121.5, 121.5)*CHOOSE(CONTROL!$C$42, 31, 31))/1000000</f>
        <v>0.43164089999999994</v>
      </c>
      <c r="X212" s="57">
        <f>(31*0.1790888*245000/1000000)+(31*0.2374*100000/1000000)</f>
        <v>2.0961194359999999</v>
      </c>
      <c r="Y212" s="57"/>
      <c r="Z212" s="14"/>
      <c r="AA212" s="56"/>
      <c r="AB212" s="50">
        <f>(B212*194.205+C212*267.466+D212*133.845+E212*53.484+F212*40+G212*185+H212*0+I212*100+J212*300)/(194.205+267.466+133.845+53.484+0+40+185+100+300)</f>
        <v>10.2763782489011</v>
      </c>
      <c r="AC212" s="45">
        <f>(M212*'RAP TEMPLATE-GAS AVAILABILITY'!O211+N212*'RAP TEMPLATE-GAS AVAILABILITY'!P211+O212*'RAP TEMPLATE-GAS AVAILABILITY'!Q211+P212*'RAP TEMPLATE-GAS AVAILABILITY'!R211)/('RAP TEMPLATE-GAS AVAILABILITY'!O211+'RAP TEMPLATE-GAS AVAILABILITY'!P211+'RAP TEMPLATE-GAS AVAILABILITY'!Q211+'RAP TEMPLATE-GAS AVAILABILITY'!R211)</f>
        <v>10.102216546762589</v>
      </c>
    </row>
    <row r="213" spans="1:29" ht="15.75" x14ac:dyDescent="0.25">
      <c r="A213" s="13">
        <v>47362</v>
      </c>
      <c r="B213" s="14">
        <f>CHOOSE(CONTROL!$C$42, 9.6157, 9.6157) * CHOOSE(CONTROL!$C$21, $C$9, 100%, $E$9)</f>
        <v>9.6157000000000004</v>
      </c>
      <c r="C213" s="14">
        <f>CHOOSE(CONTROL!$C$42, 9.6237, 9.6237) * CHOOSE(CONTROL!$C$21, $C$9, 100%, $E$9)</f>
        <v>9.6236999999999995</v>
      </c>
      <c r="D213" s="14">
        <f>CHOOSE(CONTROL!$C$42, 9.8277, 9.8277) * CHOOSE(CONTROL!$C$21, $C$9, 100%, $E$9)</f>
        <v>9.8277000000000001</v>
      </c>
      <c r="E213" s="14">
        <f>CHOOSE(CONTROL!$C$42, 9.8591, 9.8591) * CHOOSE(CONTROL!$C$21, $C$9, 100%, $E$9)</f>
        <v>9.8590999999999998</v>
      </c>
      <c r="F213" s="14">
        <f>CHOOSE(CONTROL!$C$42, 9.5976, 9.5976)*CHOOSE(CONTROL!$C$21, $C$9, 100%, $E$9)</f>
        <v>9.5975999999999999</v>
      </c>
      <c r="G213" s="14">
        <f>CHOOSE(CONTROL!$C$42, 9.6136, 9.6136)*CHOOSE(CONTROL!$C$21, $C$9, 100%, $E$9)</f>
        <v>9.6135999999999999</v>
      </c>
      <c r="H213" s="14">
        <f>CHOOSE(CONTROL!$C$42, 9.8478, 9.8478) * CHOOSE(CONTROL!$C$21, $C$9, 100%, $E$9)</f>
        <v>9.8477999999999994</v>
      </c>
      <c r="I213" s="14">
        <f>CHOOSE(CONTROL!$C$42, 9.6513, 9.6513)* CHOOSE(CONTROL!$C$21, $C$9, 100%, $E$9)</f>
        <v>9.6513000000000009</v>
      </c>
      <c r="J213" s="14">
        <f>CHOOSE(CONTROL!$C$42, 9.5906, 9.5906)* CHOOSE(CONTROL!$C$21, $C$9, 100%, $E$9)</f>
        <v>9.5906000000000002</v>
      </c>
      <c r="K213" s="53">
        <f>CHOOSE(CONTROL!$C$42, 9.6474, 9.6474) * CHOOSE(CONTROL!$C$21, $C$9, 100%, $E$9)</f>
        <v>9.6473999999999993</v>
      </c>
      <c r="L213" s="14">
        <f>CHOOSE(CONTROL!$C$42, 10.4348, 10.4348) * CHOOSE(CONTROL!$C$21, $C$9, 100%, $E$9)</f>
        <v>10.434799999999999</v>
      </c>
      <c r="M213" s="14">
        <f>CHOOSE(CONTROL!$C$42, 9.4018, 9.4018) * CHOOSE(CONTROL!$C$21, $C$9, 100%, $E$9)</f>
        <v>9.4017999999999997</v>
      </c>
      <c r="N213" s="14">
        <f>CHOOSE(CONTROL!$C$42, 9.4174, 9.4174) * CHOOSE(CONTROL!$C$21, $C$9, 100%, $E$9)</f>
        <v>9.4174000000000007</v>
      </c>
      <c r="O213" s="14">
        <f>CHOOSE(CONTROL!$C$42, 9.6537, 9.6537) * CHOOSE(CONTROL!$C$21, $C$9, 100%, $E$9)</f>
        <v>9.6537000000000006</v>
      </c>
      <c r="P213" s="14">
        <f>CHOOSE(CONTROL!$C$42, 9.4607, 9.4607) * CHOOSE(CONTROL!$C$21, $C$9, 100%, $E$9)</f>
        <v>9.4606999999999992</v>
      </c>
      <c r="Q213" s="14">
        <f>CHOOSE(CONTROL!$C$42, 10.2484, 10.2484) * CHOOSE(CONTROL!$C$21, $C$9, 100%, $E$9)</f>
        <v>10.2484</v>
      </c>
      <c r="R213" s="14">
        <f>CHOOSE(CONTROL!$C$42, 10.861, 10.861) * CHOOSE(CONTROL!$C$21, $C$9, 100%, $E$9)</f>
        <v>10.861000000000001</v>
      </c>
      <c r="S213" s="14">
        <f>CHOOSE(CONTROL!$C$42, 9.2291, 9.2291) * CHOOSE(CONTROL!$C$21, $C$9, 100%, $E$9)</f>
        <v>9.2291000000000007</v>
      </c>
      <c r="T21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13" s="57">
        <f>(1000*CHOOSE(CONTROL!$C$42, 695, 695)*CHOOSE(CONTROL!$C$42, 0.5599, 0.5599)*CHOOSE(CONTROL!$C$42, 30, 30))/1000000</f>
        <v>11.673914999999997</v>
      </c>
      <c r="V213" s="57">
        <f>(1000*CHOOSE(CONTROL!$C$42, 500, 500)*CHOOSE(CONTROL!$C$42, 0.275, 0.275)*CHOOSE(CONTROL!$C$42, 30, 30))/1000000</f>
        <v>4.125</v>
      </c>
      <c r="W213" s="57">
        <f>(1000*CHOOSE(CONTROL!$C$42, 0.1146, 0.1146)*CHOOSE(CONTROL!$C$42, 121.5, 121.5)*CHOOSE(CONTROL!$C$42, 30, 30))/1000000</f>
        <v>0.417717</v>
      </c>
      <c r="X213" s="57">
        <f>(30*0.1790888*245000/1000000)+(30*0.2374*100000/1000000)</f>
        <v>2.0285026799999999</v>
      </c>
      <c r="Y213" s="57"/>
      <c r="Z213" s="14"/>
      <c r="AA213" s="56"/>
      <c r="AB213" s="50">
        <f>(B213*194.205+C213*267.466+D213*133.845+E213*53.484+F213*40+G213*185+H213*0+I213*100+J213*300)/(194.205+267.466+133.845+53.484+0+40+185+100+300)</f>
        <v>9.6458808270015695</v>
      </c>
      <c r="AC213" s="45">
        <f>(M213*'RAP TEMPLATE-GAS AVAILABILITY'!O212+N213*'RAP TEMPLATE-GAS AVAILABILITY'!P212+O213*'RAP TEMPLATE-GAS AVAILABILITY'!Q212+P213*'RAP TEMPLATE-GAS AVAILABILITY'!R212)/('RAP TEMPLATE-GAS AVAILABILITY'!O212+'RAP TEMPLATE-GAS AVAILABILITY'!P212+'RAP TEMPLATE-GAS AVAILABILITY'!Q212+'RAP TEMPLATE-GAS AVAILABILITY'!R212)</f>
        <v>9.4845431654676258</v>
      </c>
    </row>
    <row r="214" spans="1:29" ht="15.75" x14ac:dyDescent="0.25">
      <c r="A214" s="13">
        <v>47392</v>
      </c>
      <c r="B214" s="14">
        <f>CHOOSE(CONTROL!$C$42, 9.4383, 9.4383) * CHOOSE(CONTROL!$C$21, $C$9, 100%, $E$9)</f>
        <v>9.4382999999999999</v>
      </c>
      <c r="C214" s="14">
        <f>CHOOSE(CONTROL!$C$42, 9.4436, 9.4436) * CHOOSE(CONTROL!$C$21, $C$9, 100%, $E$9)</f>
        <v>9.4436</v>
      </c>
      <c r="D214" s="14">
        <f>CHOOSE(CONTROL!$C$42, 9.6525, 9.6525) * CHOOSE(CONTROL!$C$21, $C$9, 100%, $E$9)</f>
        <v>9.6524999999999999</v>
      </c>
      <c r="E214" s="14">
        <f>CHOOSE(CONTROL!$C$42, 9.6817, 9.6817) * CHOOSE(CONTROL!$C$21, $C$9, 100%, $E$9)</f>
        <v>9.6816999999999993</v>
      </c>
      <c r="F214" s="14">
        <f>CHOOSE(CONTROL!$C$42, 9.4223, 9.4223)*CHOOSE(CONTROL!$C$21, $C$9, 100%, $E$9)</f>
        <v>9.4222999999999999</v>
      </c>
      <c r="G214" s="14">
        <f>CHOOSE(CONTROL!$C$42, 9.438, 9.438)*CHOOSE(CONTROL!$C$21, $C$9, 100%, $E$9)</f>
        <v>9.4380000000000006</v>
      </c>
      <c r="H214" s="14">
        <f>CHOOSE(CONTROL!$C$42, 9.6721, 9.6721) * CHOOSE(CONTROL!$C$21, $C$9, 100%, $E$9)</f>
        <v>9.6721000000000004</v>
      </c>
      <c r="I214" s="14">
        <f>CHOOSE(CONTROL!$C$42, 9.4751, 9.4751)* CHOOSE(CONTROL!$C$21, $C$9, 100%, $E$9)</f>
        <v>9.4750999999999994</v>
      </c>
      <c r="J214" s="14">
        <f>CHOOSE(CONTROL!$C$42, 9.4153, 9.4153)* CHOOSE(CONTROL!$C$21, $C$9, 100%, $E$9)</f>
        <v>9.4153000000000002</v>
      </c>
      <c r="K214" s="53">
        <f>CHOOSE(CONTROL!$C$42, 9.4712, 9.4712) * CHOOSE(CONTROL!$C$21, $C$9, 100%, $E$9)</f>
        <v>9.4711999999999996</v>
      </c>
      <c r="L214" s="14">
        <f>CHOOSE(CONTROL!$C$42, 10.2591, 10.2591) * CHOOSE(CONTROL!$C$21, $C$9, 100%, $E$9)</f>
        <v>10.2591</v>
      </c>
      <c r="M214" s="14">
        <f>CHOOSE(CONTROL!$C$42, 9.2301, 9.2301) * CHOOSE(CONTROL!$C$21, $C$9, 100%, $E$9)</f>
        <v>9.2301000000000002</v>
      </c>
      <c r="N214" s="14">
        <f>CHOOSE(CONTROL!$C$42, 9.2454, 9.2454) * CHOOSE(CONTROL!$C$21, $C$9, 100%, $E$9)</f>
        <v>9.2454000000000001</v>
      </c>
      <c r="O214" s="14">
        <f>CHOOSE(CONTROL!$C$42, 9.4817, 9.4817) * CHOOSE(CONTROL!$C$21, $C$9, 100%, $E$9)</f>
        <v>9.4817</v>
      </c>
      <c r="P214" s="14">
        <f>CHOOSE(CONTROL!$C$42, 9.2881, 9.2881) * CHOOSE(CONTROL!$C$21, $C$9, 100%, $E$9)</f>
        <v>9.2881</v>
      </c>
      <c r="Q214" s="14">
        <f>CHOOSE(CONTROL!$C$42, 10.0764, 10.0764) * CHOOSE(CONTROL!$C$21, $C$9, 100%, $E$9)</f>
        <v>10.0764</v>
      </c>
      <c r="R214" s="14">
        <f>CHOOSE(CONTROL!$C$42, 10.6885, 10.6885) * CHOOSE(CONTROL!$C$21, $C$9, 100%, $E$9)</f>
        <v>10.688499999999999</v>
      </c>
      <c r="S214" s="14">
        <f>CHOOSE(CONTROL!$C$42, 9.0603, 9.0603) * CHOOSE(CONTROL!$C$21, $C$9, 100%, $E$9)</f>
        <v>9.0602999999999998</v>
      </c>
      <c r="T21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14" s="57">
        <f>(1000*CHOOSE(CONTROL!$C$42, 695, 695)*CHOOSE(CONTROL!$C$42, 0.5599, 0.5599)*CHOOSE(CONTROL!$C$42, 31, 31))/1000000</f>
        <v>12.063045499999998</v>
      </c>
      <c r="V214" s="57">
        <f>(1000*CHOOSE(CONTROL!$C$42, 500, 500)*CHOOSE(CONTROL!$C$42, 0.275, 0.275)*CHOOSE(CONTROL!$C$42, 31, 31))/1000000</f>
        <v>4.2625000000000002</v>
      </c>
      <c r="W214" s="57">
        <f>(1000*CHOOSE(CONTROL!$C$42, 0.1146, 0.1146)*CHOOSE(CONTROL!$C$42, 121.5, 121.5)*CHOOSE(CONTROL!$C$42, 31, 31))/1000000</f>
        <v>0.43164089999999994</v>
      </c>
      <c r="X214" s="57">
        <f>(31*0.1790888*245000/1000000)+(31*0.2374*100000/1000000)</f>
        <v>2.0961194359999999</v>
      </c>
      <c r="Y214" s="57"/>
      <c r="Z214" s="14"/>
      <c r="AA214" s="56"/>
      <c r="AB214" s="50">
        <f>(B214*131.881+C214*277.167+D214*79.08+E214*125.872+F214*40+G214*185+H214*0+I214*100+J214*300)/(131.881+277.167+79.08+125.872+0+40+185+100+300)</f>
        <v>9.4747242662631148</v>
      </c>
      <c r="AC214" s="45">
        <f>(M214*'RAP TEMPLATE-GAS AVAILABILITY'!O213+N214*'RAP TEMPLATE-GAS AVAILABILITY'!P213+O214*'RAP TEMPLATE-GAS AVAILABILITY'!Q213+P214*'RAP TEMPLATE-GAS AVAILABILITY'!R213)/('RAP TEMPLATE-GAS AVAILABILITY'!O213+'RAP TEMPLATE-GAS AVAILABILITY'!P213+'RAP TEMPLATE-GAS AVAILABILITY'!Q213+'RAP TEMPLATE-GAS AVAILABILITY'!R213)</f>
        <v>9.312560431654676</v>
      </c>
    </row>
    <row r="215" spans="1:29" ht="15.75" x14ac:dyDescent="0.25">
      <c r="A215" s="13">
        <v>47423</v>
      </c>
      <c r="B215" s="14">
        <f>CHOOSE(CONTROL!$C$42, 9.7062, 9.7062) * CHOOSE(CONTROL!$C$21, $C$9, 100%, $E$9)</f>
        <v>9.7062000000000008</v>
      </c>
      <c r="C215" s="14">
        <f>CHOOSE(CONTROL!$C$42, 9.7113, 9.7113) * CHOOSE(CONTROL!$C$21, $C$9, 100%, $E$9)</f>
        <v>9.7112999999999996</v>
      </c>
      <c r="D215" s="14">
        <f>CHOOSE(CONTROL!$C$42, 9.7751, 9.7751) * CHOOSE(CONTROL!$C$21, $C$9, 100%, $E$9)</f>
        <v>9.7751000000000001</v>
      </c>
      <c r="E215" s="14">
        <f>CHOOSE(CONTROL!$C$42, 9.8092, 9.8092) * CHOOSE(CONTROL!$C$21, $C$9, 100%, $E$9)</f>
        <v>9.8092000000000006</v>
      </c>
      <c r="F215" s="14">
        <f>CHOOSE(CONTROL!$C$42, 9.7086, 9.7086)*CHOOSE(CONTROL!$C$21, $C$9, 100%, $E$9)</f>
        <v>9.7086000000000006</v>
      </c>
      <c r="G215" s="14">
        <f>CHOOSE(CONTROL!$C$42, 9.7246, 9.7246)*CHOOSE(CONTROL!$C$21, $C$9, 100%, $E$9)</f>
        <v>9.7246000000000006</v>
      </c>
      <c r="H215" s="14">
        <f>CHOOSE(CONTROL!$C$42, 9.7984, 9.7984) * CHOOSE(CONTROL!$C$21, $C$9, 100%, $E$9)</f>
        <v>9.7984000000000009</v>
      </c>
      <c r="I215" s="14">
        <f>CHOOSE(CONTROL!$C$42, 9.7495, 9.7495)* CHOOSE(CONTROL!$C$21, $C$9, 100%, $E$9)</f>
        <v>9.7494999999999994</v>
      </c>
      <c r="J215" s="14">
        <f>CHOOSE(CONTROL!$C$42, 9.7016, 9.7016)* CHOOSE(CONTROL!$C$21, $C$9, 100%, $E$9)</f>
        <v>9.7015999999999991</v>
      </c>
      <c r="K215" s="53">
        <f>CHOOSE(CONTROL!$C$42, 9.7456, 9.7456) * CHOOSE(CONTROL!$C$21, $C$9, 100%, $E$9)</f>
        <v>9.7455999999999996</v>
      </c>
      <c r="L215" s="14">
        <f>CHOOSE(CONTROL!$C$42, 10.3854, 10.3854) * CHOOSE(CONTROL!$C$21, $C$9, 100%, $E$9)</f>
        <v>10.385400000000001</v>
      </c>
      <c r="M215" s="14">
        <f>CHOOSE(CONTROL!$C$42, 9.5105, 9.5105) * CHOOSE(CONTROL!$C$21, $C$9, 100%, $E$9)</f>
        <v>9.5105000000000004</v>
      </c>
      <c r="N215" s="14">
        <f>CHOOSE(CONTROL!$C$42, 9.5262, 9.5262) * CHOOSE(CONTROL!$C$21, $C$9, 100%, $E$9)</f>
        <v>9.5261999999999993</v>
      </c>
      <c r="O215" s="14">
        <f>CHOOSE(CONTROL!$C$42, 9.6053, 9.6053) * CHOOSE(CONTROL!$C$21, $C$9, 100%, $E$9)</f>
        <v>9.6052999999999997</v>
      </c>
      <c r="P215" s="14">
        <f>CHOOSE(CONTROL!$C$42, 9.5569, 9.5569) * CHOOSE(CONTROL!$C$21, $C$9, 100%, $E$9)</f>
        <v>9.5569000000000006</v>
      </c>
      <c r="Q215" s="14">
        <f>CHOOSE(CONTROL!$C$42, 10.2, 10.2) * CHOOSE(CONTROL!$C$21, $C$9, 100%, $E$9)</f>
        <v>10.199999999999999</v>
      </c>
      <c r="R215" s="14">
        <f>CHOOSE(CONTROL!$C$42, 10.8125, 10.8125) * CHOOSE(CONTROL!$C$21, $C$9, 100%, $E$9)</f>
        <v>10.8125</v>
      </c>
      <c r="S215" s="14">
        <f>CHOOSE(CONTROL!$C$42, 9.3182, 9.3182) * CHOOSE(CONTROL!$C$21, $C$9, 100%, $E$9)</f>
        <v>9.3181999999999992</v>
      </c>
      <c r="T21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15" s="57">
        <f>(1000*CHOOSE(CONTROL!$C$42, 695, 695)*CHOOSE(CONTROL!$C$42, 0.5599, 0.5599)*CHOOSE(CONTROL!$C$42, 30, 30))/1000000</f>
        <v>11.673914999999997</v>
      </c>
      <c r="V215" s="57">
        <f>(1000*CHOOSE(CONTROL!$C$42, 500, 500)*CHOOSE(CONTROL!$C$42, 0.275, 0.275)*CHOOSE(CONTROL!$C$42, 30, 30))/1000000</f>
        <v>4.125</v>
      </c>
      <c r="W215" s="57">
        <f>(1000*CHOOSE(CONTROL!$C$42, 0.1146, 0.1146)*CHOOSE(CONTROL!$C$42, 121.5, 121.5)*CHOOSE(CONTROL!$C$42, 30, 30))/1000000</f>
        <v>0.417717</v>
      </c>
      <c r="X215" s="57">
        <f>(30*0.1790888*100000/1000000)+(30*0.2374*100000/1000000)</f>
        <v>1.2494664</v>
      </c>
      <c r="Y215" s="57"/>
      <c r="Z215" s="14"/>
      <c r="AA215" s="56"/>
      <c r="AB215" s="50">
        <f>(B215*122.58+C215*297.941+D215*89.177+E215*40.302+F215*40+G215*160+H215*0+I215*100+J215*300)/(122.58+297.941+89.177+40.302+0+40+160+100+300)</f>
        <v>9.7216825220869563</v>
      </c>
      <c r="AC215" s="45">
        <f>(M215*'RAP TEMPLATE-GAS AVAILABILITY'!O214+N215*'RAP TEMPLATE-GAS AVAILABILITY'!P214+O215*'RAP TEMPLATE-GAS AVAILABILITY'!Q214+P215*'RAP TEMPLATE-GAS AVAILABILITY'!R214)/('RAP TEMPLATE-GAS AVAILABILITY'!O214+'RAP TEMPLATE-GAS AVAILABILITY'!P214+'RAP TEMPLATE-GAS AVAILABILITY'!Q214+'RAP TEMPLATE-GAS AVAILABILITY'!R214)</f>
        <v>9.5610467625899282</v>
      </c>
    </row>
    <row r="216" spans="1:29" ht="15.75" x14ac:dyDescent="0.25">
      <c r="A216" s="13">
        <v>47453</v>
      </c>
      <c r="B216" s="14">
        <f>CHOOSE(CONTROL!$C$42, 10.3887, 10.3887) * CHOOSE(CONTROL!$C$21, $C$9, 100%, $E$9)</f>
        <v>10.3887</v>
      </c>
      <c r="C216" s="14">
        <f>CHOOSE(CONTROL!$C$42, 10.3937, 10.3937) * CHOOSE(CONTROL!$C$21, $C$9, 100%, $E$9)</f>
        <v>10.393700000000001</v>
      </c>
      <c r="D216" s="14">
        <f>CHOOSE(CONTROL!$C$42, 10.4575, 10.4575) * CHOOSE(CONTROL!$C$21, $C$9, 100%, $E$9)</f>
        <v>10.4575</v>
      </c>
      <c r="E216" s="14">
        <f>CHOOSE(CONTROL!$C$42, 10.4916, 10.4916) * CHOOSE(CONTROL!$C$21, $C$9, 100%, $E$9)</f>
        <v>10.4916</v>
      </c>
      <c r="F216" s="14">
        <f>CHOOSE(CONTROL!$C$42, 10.3933, 10.3933)*CHOOSE(CONTROL!$C$21, $C$9, 100%, $E$9)</f>
        <v>10.3933</v>
      </c>
      <c r="G216" s="14">
        <f>CHOOSE(CONTROL!$C$42, 10.4099, 10.4099)*CHOOSE(CONTROL!$C$21, $C$9, 100%, $E$9)</f>
        <v>10.4099</v>
      </c>
      <c r="H216" s="14">
        <f>CHOOSE(CONTROL!$C$42, 10.4808, 10.4808) * CHOOSE(CONTROL!$C$21, $C$9, 100%, $E$9)</f>
        <v>10.4808</v>
      </c>
      <c r="I216" s="14">
        <f>CHOOSE(CONTROL!$C$42, 10.434, 10.434)* CHOOSE(CONTROL!$C$21, $C$9, 100%, $E$9)</f>
        <v>10.433999999999999</v>
      </c>
      <c r="J216" s="14">
        <f>CHOOSE(CONTROL!$C$42, 10.3863, 10.3863)* CHOOSE(CONTROL!$C$21, $C$9, 100%, $E$9)</f>
        <v>10.3863</v>
      </c>
      <c r="K216" s="53">
        <f>CHOOSE(CONTROL!$C$42, 10.4302, 10.4302) * CHOOSE(CONTROL!$C$21, $C$9, 100%, $E$9)</f>
        <v>10.430199999999999</v>
      </c>
      <c r="L216" s="14">
        <f>CHOOSE(CONTROL!$C$42, 11.0678, 11.0678) * CHOOSE(CONTROL!$C$21, $C$9, 100%, $E$9)</f>
        <v>11.0678</v>
      </c>
      <c r="M216" s="14">
        <f>CHOOSE(CONTROL!$C$42, 10.1812, 10.1812) * CHOOSE(CONTROL!$C$21, $C$9, 100%, $E$9)</f>
        <v>10.1812</v>
      </c>
      <c r="N216" s="14">
        <f>CHOOSE(CONTROL!$C$42, 10.1975, 10.1975) * CHOOSE(CONTROL!$C$21, $C$9, 100%, $E$9)</f>
        <v>10.1975</v>
      </c>
      <c r="O216" s="14">
        <f>CHOOSE(CONTROL!$C$42, 10.2738, 10.2738) * CHOOSE(CONTROL!$C$21, $C$9, 100%, $E$9)</f>
        <v>10.2738</v>
      </c>
      <c r="P216" s="14">
        <f>CHOOSE(CONTROL!$C$42, 10.2274, 10.2274) * CHOOSE(CONTROL!$C$21, $C$9, 100%, $E$9)</f>
        <v>10.227399999999999</v>
      </c>
      <c r="Q216" s="14">
        <f>CHOOSE(CONTROL!$C$42, 10.8685, 10.8685) * CHOOSE(CONTROL!$C$21, $C$9, 100%, $E$9)</f>
        <v>10.868499999999999</v>
      </c>
      <c r="R216" s="14">
        <f>CHOOSE(CONTROL!$C$42, 11.4827, 11.4827) * CHOOSE(CONTROL!$C$21, $C$9, 100%, $E$9)</f>
        <v>11.482699999999999</v>
      </c>
      <c r="S216" s="14">
        <f>CHOOSE(CONTROL!$C$42, 9.9739, 9.9739) * CHOOSE(CONTROL!$C$21, $C$9, 100%, $E$9)</f>
        <v>9.9739000000000004</v>
      </c>
      <c r="T21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16" s="57">
        <f>(1000*CHOOSE(CONTROL!$C$42, 695, 695)*CHOOSE(CONTROL!$C$42, 0.5599, 0.5599)*CHOOSE(CONTROL!$C$42, 31, 31))/1000000</f>
        <v>12.063045499999998</v>
      </c>
      <c r="V216" s="57">
        <f>(1000*CHOOSE(CONTROL!$C$42, 500, 500)*CHOOSE(CONTROL!$C$42, 0.275, 0.275)*CHOOSE(CONTROL!$C$42, 31, 31))/1000000</f>
        <v>4.2625000000000002</v>
      </c>
      <c r="W216" s="57">
        <f>(1000*CHOOSE(CONTROL!$C$42, 0.1146, 0.1146)*CHOOSE(CONTROL!$C$42, 121.5, 121.5)*CHOOSE(CONTROL!$C$42, 31, 31))/1000000</f>
        <v>0.43164089999999994</v>
      </c>
      <c r="X216" s="57">
        <f>(31*0.1790888*100000/1000000)+(31*0.2374*100000/1000000)</f>
        <v>1.2911152800000001</v>
      </c>
      <c r="Y216" s="57"/>
      <c r="Z216" s="14"/>
      <c r="AA216" s="56"/>
      <c r="AB216" s="50">
        <f>(B216*122.58+C216*297.941+D216*89.177+E216*40.302+F216*40+G216*160+H216*0+I216*100+J216*300)/(122.58+297.941+89.177+40.302+0+40+160+100+300)</f>
        <v>10.405359268173912</v>
      </c>
      <c r="AC216" s="45">
        <f>(M216*'RAP TEMPLATE-GAS AVAILABILITY'!O215+N216*'RAP TEMPLATE-GAS AVAILABILITY'!P215+O216*'RAP TEMPLATE-GAS AVAILABILITY'!Q215+P216*'RAP TEMPLATE-GAS AVAILABILITY'!R215)/('RAP TEMPLATE-GAS AVAILABILITY'!O215+'RAP TEMPLATE-GAS AVAILABILITY'!P215+'RAP TEMPLATE-GAS AVAILABILITY'!Q215+'RAP TEMPLATE-GAS AVAILABILITY'!R215)</f>
        <v>10.230755395683452</v>
      </c>
    </row>
    <row r="217" spans="1:29" ht="15.75" x14ac:dyDescent="0.25">
      <c r="A217" s="13">
        <v>47484</v>
      </c>
      <c r="B217" s="14">
        <f>CHOOSE(CONTROL!$C$42, 10.9211, 10.9211) * CHOOSE(CONTROL!$C$21, $C$9, 100%, $E$9)</f>
        <v>10.921099999999999</v>
      </c>
      <c r="C217" s="14">
        <f>CHOOSE(CONTROL!$C$42, 10.9262, 10.9262) * CHOOSE(CONTROL!$C$21, $C$9, 100%, $E$9)</f>
        <v>10.9262</v>
      </c>
      <c r="D217" s="14">
        <f>CHOOSE(CONTROL!$C$42, 10.9926, 10.9926) * CHOOSE(CONTROL!$C$21, $C$9, 100%, $E$9)</f>
        <v>10.992599999999999</v>
      </c>
      <c r="E217" s="14">
        <f>CHOOSE(CONTROL!$C$42, 11.0267, 11.0267) * CHOOSE(CONTROL!$C$21, $C$9, 100%, $E$9)</f>
        <v>11.0267</v>
      </c>
      <c r="F217" s="14">
        <f>CHOOSE(CONTROL!$C$42, 10.9084, 10.9084)*CHOOSE(CONTROL!$C$21, $C$9, 100%, $E$9)</f>
        <v>10.9084</v>
      </c>
      <c r="G217" s="14">
        <f>CHOOSE(CONTROL!$C$42, 10.9239, 10.9239)*CHOOSE(CONTROL!$C$21, $C$9, 100%, $E$9)</f>
        <v>10.9239</v>
      </c>
      <c r="H217" s="14">
        <f>CHOOSE(CONTROL!$C$42, 11.0159, 11.0159) * CHOOSE(CONTROL!$C$21, $C$9, 100%, $E$9)</f>
        <v>11.0159</v>
      </c>
      <c r="I217" s="14">
        <f>CHOOSE(CONTROL!$C$42, 10.9629, 10.9629)* CHOOSE(CONTROL!$C$21, $C$9, 100%, $E$9)</f>
        <v>10.962899999999999</v>
      </c>
      <c r="J217" s="14">
        <f>CHOOSE(CONTROL!$C$42, 10.9014, 10.9014)* CHOOSE(CONTROL!$C$21, $C$9, 100%, $E$9)</f>
        <v>10.901400000000001</v>
      </c>
      <c r="K217" s="53">
        <f>CHOOSE(CONTROL!$C$42, 10.9591, 10.9591) * CHOOSE(CONTROL!$C$21, $C$9, 100%, $E$9)</f>
        <v>10.959099999999999</v>
      </c>
      <c r="L217" s="14">
        <f>CHOOSE(CONTROL!$C$42, 11.6029, 11.6029) * CHOOSE(CONTROL!$C$21, $C$9, 100%, $E$9)</f>
        <v>11.6029</v>
      </c>
      <c r="M217" s="14">
        <f>CHOOSE(CONTROL!$C$42, 10.6858, 10.6858) * CHOOSE(CONTROL!$C$21, $C$9, 100%, $E$9)</f>
        <v>10.6858</v>
      </c>
      <c r="N217" s="14">
        <f>CHOOSE(CONTROL!$C$42, 10.7009, 10.7009) * CHOOSE(CONTROL!$C$21, $C$9, 100%, $E$9)</f>
        <v>10.700900000000001</v>
      </c>
      <c r="O217" s="14">
        <f>CHOOSE(CONTROL!$C$42, 10.7979, 10.7979) * CHOOSE(CONTROL!$C$21, $C$9, 100%, $E$9)</f>
        <v>10.7979</v>
      </c>
      <c r="P217" s="14">
        <f>CHOOSE(CONTROL!$C$42, 10.7454, 10.7454) * CHOOSE(CONTROL!$C$21, $C$9, 100%, $E$9)</f>
        <v>10.7454</v>
      </c>
      <c r="Q217" s="14">
        <f>CHOOSE(CONTROL!$C$42, 11.3926, 11.3926) * CHOOSE(CONTROL!$C$21, $C$9, 100%, $E$9)</f>
        <v>11.3926</v>
      </c>
      <c r="R217" s="14">
        <f>CHOOSE(CONTROL!$C$42, 12.0081, 12.0081) * CHOOSE(CONTROL!$C$21, $C$9, 100%, $E$9)</f>
        <v>12.008100000000001</v>
      </c>
      <c r="S217" s="14">
        <f>CHOOSE(CONTROL!$C$42, 10.4856, 10.4856) * CHOOSE(CONTROL!$C$21, $C$9, 100%, $E$9)</f>
        <v>10.4856</v>
      </c>
      <c r="T21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17" s="57">
        <f>(1000*CHOOSE(CONTROL!$C$42, 695, 695)*CHOOSE(CONTROL!$C$42, 0.5599, 0.5599)*CHOOSE(CONTROL!$C$42, 31, 31))/1000000</f>
        <v>12.063045499999998</v>
      </c>
      <c r="V217" s="57">
        <f>(1000*CHOOSE(CONTROL!$C$42, 500, 500)*CHOOSE(CONTROL!$C$42, 0.275, 0.275)*CHOOSE(CONTROL!$C$42, 31, 31))/1000000</f>
        <v>4.2625000000000002</v>
      </c>
      <c r="W217" s="57">
        <f>(1000*CHOOSE(CONTROL!$C$42, 0.1146, 0.1146)*CHOOSE(CONTROL!$C$42, 121.5, 121.5)*CHOOSE(CONTROL!$C$42, 31, 31))/1000000</f>
        <v>0.43164089999999994</v>
      </c>
      <c r="X217" s="57">
        <f>(31*0.1790888*100000/1000000)+(31*0.2374*100000/1000000)</f>
        <v>1.2911152800000001</v>
      </c>
      <c r="Y217" s="57"/>
      <c r="Z217" s="14"/>
      <c r="AA217" s="56"/>
      <c r="AB217" s="50">
        <f>(B217*122.58+C217*297.941+D217*89.177+E217*40.302+F217*40+G217*160+H217*0+I217*100+J217*300)/(122.58+297.941+89.177+40.302+0+40+160+100+300)</f>
        <v>10.930110039826086</v>
      </c>
      <c r="AC217" s="45">
        <f>(M217*'RAP TEMPLATE-GAS AVAILABILITY'!O216+N217*'RAP TEMPLATE-GAS AVAILABILITY'!P216+O217*'RAP TEMPLATE-GAS AVAILABILITY'!Q216+P217*'RAP TEMPLATE-GAS AVAILABILITY'!R216)/('RAP TEMPLATE-GAS AVAILABILITY'!O216+'RAP TEMPLATE-GAS AVAILABILITY'!P216+'RAP TEMPLATE-GAS AVAILABILITY'!Q216+'RAP TEMPLATE-GAS AVAILABILITY'!R216)</f>
        <v>10.746052517985612</v>
      </c>
    </row>
    <row r="218" spans="1:29" ht="15.75" x14ac:dyDescent="0.25">
      <c r="A218" s="13">
        <v>47515</v>
      </c>
      <c r="B218" s="14">
        <f>CHOOSE(CONTROL!$C$42, 11.1382, 11.1382) * CHOOSE(CONTROL!$C$21, $C$9, 100%, $E$9)</f>
        <v>11.138199999999999</v>
      </c>
      <c r="C218" s="14">
        <f>CHOOSE(CONTROL!$C$42, 11.1433, 11.1433) * CHOOSE(CONTROL!$C$21, $C$9, 100%, $E$9)</f>
        <v>11.1433</v>
      </c>
      <c r="D218" s="14">
        <f>CHOOSE(CONTROL!$C$42, 11.2097, 11.2097) * CHOOSE(CONTROL!$C$21, $C$9, 100%, $E$9)</f>
        <v>11.2097</v>
      </c>
      <c r="E218" s="14">
        <f>CHOOSE(CONTROL!$C$42, 11.2438, 11.2438) * CHOOSE(CONTROL!$C$21, $C$9, 100%, $E$9)</f>
        <v>11.2438</v>
      </c>
      <c r="F218" s="14">
        <f>CHOOSE(CONTROL!$C$42, 11.1256, 11.1256)*CHOOSE(CONTROL!$C$21, $C$9, 100%, $E$9)</f>
        <v>11.1256</v>
      </c>
      <c r="G218" s="14">
        <f>CHOOSE(CONTROL!$C$42, 11.1411, 11.1411)*CHOOSE(CONTROL!$C$21, $C$9, 100%, $E$9)</f>
        <v>11.1411</v>
      </c>
      <c r="H218" s="14">
        <f>CHOOSE(CONTROL!$C$42, 11.233, 11.233) * CHOOSE(CONTROL!$C$21, $C$9, 100%, $E$9)</f>
        <v>11.233000000000001</v>
      </c>
      <c r="I218" s="14">
        <f>CHOOSE(CONTROL!$C$42, 11.1807, 11.1807)* CHOOSE(CONTROL!$C$21, $C$9, 100%, $E$9)</f>
        <v>11.1807</v>
      </c>
      <c r="J218" s="14">
        <f>CHOOSE(CONTROL!$C$42, 11.1186, 11.1186)* CHOOSE(CONTROL!$C$21, $C$9, 100%, $E$9)</f>
        <v>11.118600000000001</v>
      </c>
      <c r="K218" s="53">
        <f>CHOOSE(CONTROL!$C$42, 11.1768, 11.1768) * CHOOSE(CONTROL!$C$21, $C$9, 100%, $E$9)</f>
        <v>11.1768</v>
      </c>
      <c r="L218" s="14">
        <f>CHOOSE(CONTROL!$C$42, 11.82, 11.82) * CHOOSE(CONTROL!$C$21, $C$9, 100%, $E$9)</f>
        <v>11.82</v>
      </c>
      <c r="M218" s="14">
        <f>CHOOSE(CONTROL!$C$42, 10.8985, 10.8985) * CHOOSE(CONTROL!$C$21, $C$9, 100%, $E$9)</f>
        <v>10.8985</v>
      </c>
      <c r="N218" s="14">
        <f>CHOOSE(CONTROL!$C$42, 10.9137, 10.9137) * CHOOSE(CONTROL!$C$21, $C$9, 100%, $E$9)</f>
        <v>10.9137</v>
      </c>
      <c r="O218" s="14">
        <f>CHOOSE(CONTROL!$C$42, 11.0105, 11.0105) * CHOOSE(CONTROL!$C$21, $C$9, 100%, $E$9)</f>
        <v>11.0105</v>
      </c>
      <c r="P218" s="14">
        <f>CHOOSE(CONTROL!$C$42, 10.9587, 10.9587) * CHOOSE(CONTROL!$C$21, $C$9, 100%, $E$9)</f>
        <v>10.9587</v>
      </c>
      <c r="Q218" s="14">
        <f>CHOOSE(CONTROL!$C$42, 11.6052, 11.6052) * CHOOSE(CONTROL!$C$21, $C$9, 100%, $E$9)</f>
        <v>11.6052</v>
      </c>
      <c r="R218" s="14">
        <f>CHOOSE(CONTROL!$C$42, 12.2213, 12.2213) * CHOOSE(CONTROL!$C$21, $C$9, 100%, $E$9)</f>
        <v>12.221299999999999</v>
      </c>
      <c r="S218" s="14">
        <f>CHOOSE(CONTROL!$C$42, 10.6942, 10.6942) * CHOOSE(CONTROL!$C$21, $C$9, 100%, $E$9)</f>
        <v>10.6942</v>
      </c>
      <c r="T21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18" s="57">
        <f>(1000*CHOOSE(CONTROL!$C$42, 695, 695)*CHOOSE(CONTROL!$C$42, 0.5599, 0.5599)*CHOOSE(CONTROL!$C$42, 28, 28))/1000000</f>
        <v>10.895653999999999</v>
      </c>
      <c r="V218" s="57">
        <f>(1000*CHOOSE(CONTROL!$C$42, 500, 500)*CHOOSE(CONTROL!$C$42, 0.275, 0.275)*CHOOSE(CONTROL!$C$42, 28, 28))/1000000</f>
        <v>3.85</v>
      </c>
      <c r="W218" s="57">
        <f>(1000*CHOOSE(CONTROL!$C$42, 0.1146, 0.1146)*CHOOSE(CONTROL!$C$42, 121.5, 121.5)*CHOOSE(CONTROL!$C$42, 28, 28))/1000000</f>
        <v>0.38986920000000003</v>
      </c>
      <c r="X218" s="57">
        <f>(28*0.1790888*100000/1000000)+(28*0.2374*100000/1000000)</f>
        <v>1.16616864</v>
      </c>
      <c r="Y218" s="57"/>
      <c r="Z218" s="14"/>
      <c r="AA218" s="56"/>
      <c r="AB218" s="50">
        <f>(B218*122.58+C218*297.941+D218*89.177+E218*40.302+F218*40+G218*160+H218*0+I218*100+J218*300)/(122.58+297.941+89.177+40.302+0+40+160+100+300)</f>
        <v>11.147314387652173</v>
      </c>
      <c r="AC218" s="45">
        <f>(M218*'RAP TEMPLATE-GAS AVAILABILITY'!O217+N218*'RAP TEMPLATE-GAS AVAILABILITY'!P217+O218*'RAP TEMPLATE-GAS AVAILABILITY'!Q217+P218*'RAP TEMPLATE-GAS AVAILABILITY'!R217)/('RAP TEMPLATE-GAS AVAILABILITY'!O217+'RAP TEMPLATE-GAS AVAILABILITY'!P217+'RAP TEMPLATE-GAS AVAILABILITY'!Q217+'RAP TEMPLATE-GAS AVAILABILITY'!R217)</f>
        <v>10.958799280575541</v>
      </c>
    </row>
    <row r="219" spans="1:29" ht="15.75" x14ac:dyDescent="0.25">
      <c r="A219" s="13">
        <v>47543</v>
      </c>
      <c r="B219" s="14">
        <f>CHOOSE(CONTROL!$C$42, 10.8446, 10.8446) * CHOOSE(CONTROL!$C$21, $C$9, 100%, $E$9)</f>
        <v>10.8446</v>
      </c>
      <c r="C219" s="14">
        <f>CHOOSE(CONTROL!$C$42, 10.8496, 10.8496) * CHOOSE(CONTROL!$C$21, $C$9, 100%, $E$9)</f>
        <v>10.849600000000001</v>
      </c>
      <c r="D219" s="14">
        <f>CHOOSE(CONTROL!$C$42, 10.916, 10.916) * CHOOSE(CONTROL!$C$21, $C$9, 100%, $E$9)</f>
        <v>10.916</v>
      </c>
      <c r="E219" s="14">
        <f>CHOOSE(CONTROL!$C$42, 10.9501, 10.9501) * CHOOSE(CONTROL!$C$21, $C$9, 100%, $E$9)</f>
        <v>10.950100000000001</v>
      </c>
      <c r="F219" s="14">
        <f>CHOOSE(CONTROL!$C$42, 10.8316, 10.8316)*CHOOSE(CONTROL!$C$21, $C$9, 100%, $E$9)</f>
        <v>10.8316</v>
      </c>
      <c r="G219" s="14">
        <f>CHOOSE(CONTROL!$C$42, 10.8469, 10.8469)*CHOOSE(CONTROL!$C$21, $C$9, 100%, $E$9)</f>
        <v>10.8469</v>
      </c>
      <c r="H219" s="14">
        <f>CHOOSE(CONTROL!$C$42, 10.9393, 10.9393) * CHOOSE(CONTROL!$C$21, $C$9, 100%, $E$9)</f>
        <v>10.939299999999999</v>
      </c>
      <c r="I219" s="14">
        <f>CHOOSE(CONTROL!$C$42, 10.8861, 10.8861)* CHOOSE(CONTROL!$C$21, $C$9, 100%, $E$9)</f>
        <v>10.886100000000001</v>
      </c>
      <c r="J219" s="14">
        <f>CHOOSE(CONTROL!$C$42, 10.8246, 10.8246)* CHOOSE(CONTROL!$C$21, $C$9, 100%, $E$9)</f>
        <v>10.8246</v>
      </c>
      <c r="K219" s="53">
        <f>CHOOSE(CONTROL!$C$42, 10.8823, 10.8823) * CHOOSE(CONTROL!$C$21, $C$9, 100%, $E$9)</f>
        <v>10.882300000000001</v>
      </c>
      <c r="L219" s="14">
        <f>CHOOSE(CONTROL!$C$42, 11.5263, 11.5263) * CHOOSE(CONTROL!$C$21, $C$9, 100%, $E$9)</f>
        <v>11.526300000000001</v>
      </c>
      <c r="M219" s="14">
        <f>CHOOSE(CONTROL!$C$42, 10.6105, 10.6105) * CHOOSE(CONTROL!$C$21, $C$9, 100%, $E$9)</f>
        <v>10.6105</v>
      </c>
      <c r="N219" s="14">
        <f>CHOOSE(CONTROL!$C$42, 10.6255, 10.6255) * CHOOSE(CONTROL!$C$21, $C$9, 100%, $E$9)</f>
        <v>10.625500000000001</v>
      </c>
      <c r="O219" s="14">
        <f>CHOOSE(CONTROL!$C$42, 10.7229, 10.7229) * CHOOSE(CONTROL!$C$21, $C$9, 100%, $E$9)</f>
        <v>10.722899999999999</v>
      </c>
      <c r="P219" s="14">
        <f>CHOOSE(CONTROL!$C$42, 10.6702, 10.6702) * CHOOSE(CONTROL!$C$21, $C$9, 100%, $E$9)</f>
        <v>10.670199999999999</v>
      </c>
      <c r="Q219" s="14">
        <f>CHOOSE(CONTROL!$C$42, 11.3176, 11.3176) * CHOOSE(CONTROL!$C$21, $C$9, 100%, $E$9)</f>
        <v>11.317600000000001</v>
      </c>
      <c r="R219" s="14">
        <f>CHOOSE(CONTROL!$C$42, 11.9329, 11.9329) * CHOOSE(CONTROL!$C$21, $C$9, 100%, $E$9)</f>
        <v>11.9329</v>
      </c>
      <c r="S219" s="14">
        <f>CHOOSE(CONTROL!$C$42, 10.412, 10.412) * CHOOSE(CONTROL!$C$21, $C$9, 100%, $E$9)</f>
        <v>10.412000000000001</v>
      </c>
      <c r="T21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19" s="57">
        <f>(1000*CHOOSE(CONTROL!$C$42, 695, 695)*CHOOSE(CONTROL!$C$42, 0.5599, 0.5599)*CHOOSE(CONTROL!$C$42, 31, 31))/1000000</f>
        <v>12.063045499999998</v>
      </c>
      <c r="V219" s="57">
        <f>(1000*CHOOSE(CONTROL!$C$42, 500, 500)*CHOOSE(CONTROL!$C$42, 0.275, 0.275)*CHOOSE(CONTROL!$C$42, 31, 31))/1000000</f>
        <v>4.2625000000000002</v>
      </c>
      <c r="W219" s="57">
        <f>(1000*CHOOSE(CONTROL!$C$42, 0.1146, 0.1146)*CHOOSE(CONTROL!$C$42, 121.5, 121.5)*CHOOSE(CONTROL!$C$42, 31, 31))/1000000</f>
        <v>0.43164089999999994</v>
      </c>
      <c r="X219" s="57">
        <f>(31*0.1790888*100000/1000000)+(31*0.2374*100000/1000000)</f>
        <v>1.2911152800000001</v>
      </c>
      <c r="Y219" s="57"/>
      <c r="Z219" s="14"/>
      <c r="AA219" s="56"/>
      <c r="AB219" s="50">
        <f>(B219*122.58+C219*297.941+D219*89.177+E219*40.302+F219*40+G219*160+H219*0+I219*100+J219*300)/(122.58+297.941+89.177+40.302+0+40+160+100+300)</f>
        <v>10.85338852504348</v>
      </c>
      <c r="AC219" s="45">
        <f>(M219*'RAP TEMPLATE-GAS AVAILABILITY'!O218+N219*'RAP TEMPLATE-GAS AVAILABILITY'!P218+O219*'RAP TEMPLATE-GAS AVAILABILITY'!Q218+P219*'RAP TEMPLATE-GAS AVAILABILITY'!R218)/('RAP TEMPLATE-GAS AVAILABILITY'!O218+'RAP TEMPLATE-GAS AVAILABILITY'!P218+'RAP TEMPLATE-GAS AVAILABILITY'!Q218+'RAP TEMPLATE-GAS AVAILABILITY'!R218)</f>
        <v>10.670897122302158</v>
      </c>
    </row>
    <row r="220" spans="1:29" ht="15.75" x14ac:dyDescent="0.25">
      <c r="A220" s="13">
        <v>47574</v>
      </c>
      <c r="B220" s="14">
        <f>CHOOSE(CONTROL!$C$42, 10.8355, 10.8355) * CHOOSE(CONTROL!$C$21, $C$9, 100%, $E$9)</f>
        <v>10.8355</v>
      </c>
      <c r="C220" s="14">
        <f>CHOOSE(CONTROL!$C$42, 10.84, 10.84) * CHOOSE(CONTROL!$C$21, $C$9, 100%, $E$9)</f>
        <v>10.84</v>
      </c>
      <c r="D220" s="14">
        <f>CHOOSE(CONTROL!$C$42, 11.0471, 11.0471) * CHOOSE(CONTROL!$C$21, $C$9, 100%, $E$9)</f>
        <v>11.0471</v>
      </c>
      <c r="E220" s="14">
        <f>CHOOSE(CONTROL!$C$42, 11.0792, 11.0792) * CHOOSE(CONTROL!$C$21, $C$9, 100%, $E$9)</f>
        <v>11.0792</v>
      </c>
      <c r="F220" s="14">
        <f>CHOOSE(CONTROL!$C$42, 10.8174, 10.8174)*CHOOSE(CONTROL!$C$21, $C$9, 100%, $E$9)</f>
        <v>10.817399999999999</v>
      </c>
      <c r="G220" s="14">
        <f>CHOOSE(CONTROL!$C$42, 10.8326, 10.8326)*CHOOSE(CONTROL!$C$21, $C$9, 100%, $E$9)</f>
        <v>10.832599999999999</v>
      </c>
      <c r="H220" s="14">
        <f>CHOOSE(CONTROL!$C$42, 11.069, 11.069) * CHOOSE(CONTROL!$C$21, $C$9, 100%, $E$9)</f>
        <v>11.069000000000001</v>
      </c>
      <c r="I220" s="14">
        <f>CHOOSE(CONTROL!$C$42, 10.8763, 10.8763)* CHOOSE(CONTROL!$C$21, $C$9, 100%, $E$9)</f>
        <v>10.876300000000001</v>
      </c>
      <c r="J220" s="14">
        <f>CHOOSE(CONTROL!$C$42, 10.8104, 10.8104)* CHOOSE(CONTROL!$C$21, $C$9, 100%, $E$9)</f>
        <v>10.8104</v>
      </c>
      <c r="K220" s="53">
        <f>CHOOSE(CONTROL!$C$42, 10.8724, 10.8724) * CHOOSE(CONTROL!$C$21, $C$9, 100%, $E$9)</f>
        <v>10.872400000000001</v>
      </c>
      <c r="L220" s="14">
        <f>CHOOSE(CONTROL!$C$42, 11.656, 11.656) * CHOOSE(CONTROL!$C$21, $C$9, 100%, $E$9)</f>
        <v>11.656000000000001</v>
      </c>
      <c r="M220" s="14">
        <f>CHOOSE(CONTROL!$C$42, 10.5966, 10.5966) * CHOOSE(CONTROL!$C$21, $C$9, 100%, $E$9)</f>
        <v>10.5966</v>
      </c>
      <c r="N220" s="14">
        <f>CHOOSE(CONTROL!$C$42, 10.6115, 10.6115) * CHOOSE(CONTROL!$C$21, $C$9, 100%, $E$9)</f>
        <v>10.611499999999999</v>
      </c>
      <c r="O220" s="14">
        <f>CHOOSE(CONTROL!$C$42, 10.8499, 10.8499) * CHOOSE(CONTROL!$C$21, $C$9, 100%, $E$9)</f>
        <v>10.8499</v>
      </c>
      <c r="P220" s="14">
        <f>CHOOSE(CONTROL!$C$42, 10.6606, 10.6606) * CHOOSE(CONTROL!$C$21, $C$9, 100%, $E$9)</f>
        <v>10.660600000000001</v>
      </c>
      <c r="Q220" s="14">
        <f>CHOOSE(CONTROL!$C$42, 11.4446, 11.4446) * CHOOSE(CONTROL!$C$21, $C$9, 100%, $E$9)</f>
        <v>11.444599999999999</v>
      </c>
      <c r="R220" s="14">
        <f>CHOOSE(CONTROL!$C$42, 12.0602, 12.0602) * CHOOSE(CONTROL!$C$21, $C$9, 100%, $E$9)</f>
        <v>12.0602</v>
      </c>
      <c r="S220" s="14">
        <f>CHOOSE(CONTROL!$C$42, 10.4026, 10.4026) * CHOOSE(CONTROL!$C$21, $C$9, 100%, $E$9)</f>
        <v>10.4026</v>
      </c>
      <c r="T22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20" s="57">
        <f>(1000*CHOOSE(CONTROL!$C$42, 695, 695)*CHOOSE(CONTROL!$C$42, 0.5599, 0.5599)*CHOOSE(CONTROL!$C$42, 30, 30))/1000000</f>
        <v>11.673914999999997</v>
      </c>
      <c r="V220" s="57">
        <f>(1000*CHOOSE(CONTROL!$C$42, 500, 500)*CHOOSE(CONTROL!$C$42, 0.275, 0.275)*CHOOSE(CONTROL!$C$42, 30, 30))/1000000</f>
        <v>4.125</v>
      </c>
      <c r="W220" s="57">
        <f>(1000*CHOOSE(CONTROL!$C$42, 0.1146, 0.1146)*CHOOSE(CONTROL!$C$42, 121.5, 121.5)*CHOOSE(CONTROL!$C$42, 30, 30))/1000000</f>
        <v>0.417717</v>
      </c>
      <c r="X220" s="57">
        <f>(30*0.1790888*245000/1000000)+(30*0.2374*100000/1000000)</f>
        <v>2.0285026799999999</v>
      </c>
      <c r="Y220" s="57"/>
      <c r="Z220" s="14"/>
      <c r="AA220" s="56"/>
      <c r="AB220" s="50">
        <f>(B220*141.293+C220*267.993+D220*115.016+E220*89.698+F220*40+G220*185+H220*0+I220*100+J220*300)/(141.293+267.993+115.016+89.698+0+40+185+100+300)</f>
        <v>10.869957027199353</v>
      </c>
      <c r="AC220" s="45">
        <f>(M220*'RAP TEMPLATE-GAS AVAILABILITY'!O219+N220*'RAP TEMPLATE-GAS AVAILABILITY'!P219+O220*'RAP TEMPLATE-GAS AVAILABILITY'!Q219+P220*'RAP TEMPLATE-GAS AVAILABILITY'!R219)/('RAP TEMPLATE-GAS AVAILABILITY'!O219+'RAP TEMPLATE-GAS AVAILABILITY'!P219+'RAP TEMPLATE-GAS AVAILABILITY'!Q219+'RAP TEMPLATE-GAS AVAILABILITY'!R219)</f>
        <v>10.680308633093526</v>
      </c>
    </row>
    <row r="221" spans="1:29" ht="15.75" x14ac:dyDescent="0.25">
      <c r="A221" s="13">
        <v>47604</v>
      </c>
      <c r="B221" s="14">
        <f>CHOOSE(CONTROL!$C$42, 10.955, 10.955) * CHOOSE(CONTROL!$C$21, $C$9, 100%, $E$9)</f>
        <v>10.955</v>
      </c>
      <c r="C221" s="14">
        <f>CHOOSE(CONTROL!$C$42, 10.963, 10.963) * CHOOSE(CONTROL!$C$21, $C$9, 100%, $E$9)</f>
        <v>10.962999999999999</v>
      </c>
      <c r="D221" s="14">
        <f>CHOOSE(CONTROL!$C$42, 11.1669, 11.1669) * CHOOSE(CONTROL!$C$21, $C$9, 100%, $E$9)</f>
        <v>11.1669</v>
      </c>
      <c r="E221" s="14">
        <f>CHOOSE(CONTROL!$C$42, 11.1984, 11.1984) * CHOOSE(CONTROL!$C$21, $C$9, 100%, $E$9)</f>
        <v>11.198399999999999</v>
      </c>
      <c r="F221" s="14">
        <f>CHOOSE(CONTROL!$C$42, 10.9357, 10.9357)*CHOOSE(CONTROL!$C$21, $C$9, 100%, $E$9)</f>
        <v>10.935700000000001</v>
      </c>
      <c r="G221" s="14">
        <f>CHOOSE(CONTROL!$C$42, 10.9514, 10.9514)*CHOOSE(CONTROL!$C$21, $C$9, 100%, $E$9)</f>
        <v>10.9514</v>
      </c>
      <c r="H221" s="14">
        <f>CHOOSE(CONTROL!$C$42, 11.187, 11.187) * CHOOSE(CONTROL!$C$21, $C$9, 100%, $E$9)</f>
        <v>11.186999999999999</v>
      </c>
      <c r="I221" s="14">
        <f>CHOOSE(CONTROL!$C$42, 10.9947, 10.9947)* CHOOSE(CONTROL!$C$21, $C$9, 100%, $E$9)</f>
        <v>10.9947</v>
      </c>
      <c r="J221" s="14">
        <f>CHOOSE(CONTROL!$C$42, 10.9287, 10.9287)* CHOOSE(CONTROL!$C$21, $C$9, 100%, $E$9)</f>
        <v>10.928699999999999</v>
      </c>
      <c r="K221" s="53">
        <f>CHOOSE(CONTROL!$C$42, 10.9908, 10.9908) * CHOOSE(CONTROL!$C$21, $C$9, 100%, $E$9)</f>
        <v>10.9908</v>
      </c>
      <c r="L221" s="14">
        <f>CHOOSE(CONTROL!$C$42, 11.774, 11.774) * CHOOSE(CONTROL!$C$21, $C$9, 100%, $E$9)</f>
        <v>11.773999999999999</v>
      </c>
      <c r="M221" s="14">
        <f>CHOOSE(CONTROL!$C$42, 10.7125, 10.7125) * CHOOSE(CONTROL!$C$21, $C$9, 100%, $E$9)</f>
        <v>10.7125</v>
      </c>
      <c r="N221" s="14">
        <f>CHOOSE(CONTROL!$C$42, 10.7278, 10.7278) * CHOOSE(CONTROL!$C$21, $C$9, 100%, $E$9)</f>
        <v>10.7278</v>
      </c>
      <c r="O221" s="14">
        <f>CHOOSE(CONTROL!$C$42, 10.9655, 10.9655) * CHOOSE(CONTROL!$C$21, $C$9, 100%, $E$9)</f>
        <v>10.9655</v>
      </c>
      <c r="P221" s="14">
        <f>CHOOSE(CONTROL!$C$42, 10.7765, 10.7765) * CHOOSE(CONTROL!$C$21, $C$9, 100%, $E$9)</f>
        <v>10.7765</v>
      </c>
      <c r="Q221" s="14">
        <f>CHOOSE(CONTROL!$C$42, 11.5602, 11.5602) * CHOOSE(CONTROL!$C$21, $C$9, 100%, $E$9)</f>
        <v>11.5602</v>
      </c>
      <c r="R221" s="14">
        <f>CHOOSE(CONTROL!$C$42, 12.1761, 12.1761) * CHOOSE(CONTROL!$C$21, $C$9, 100%, $E$9)</f>
        <v>12.1761</v>
      </c>
      <c r="S221" s="14">
        <f>CHOOSE(CONTROL!$C$42, 10.516, 10.516) * CHOOSE(CONTROL!$C$21, $C$9, 100%, $E$9)</f>
        <v>10.516</v>
      </c>
      <c r="T22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21" s="57">
        <f>(1000*CHOOSE(CONTROL!$C$42, 695, 695)*CHOOSE(CONTROL!$C$42, 0.5599, 0.5599)*CHOOSE(CONTROL!$C$42, 31, 31))/1000000</f>
        <v>12.063045499999998</v>
      </c>
      <c r="V221" s="57">
        <f>(1000*CHOOSE(CONTROL!$C$42, 500, 500)*CHOOSE(CONTROL!$C$42, 0.275, 0.275)*CHOOSE(CONTROL!$C$42, 31, 31))/1000000</f>
        <v>4.2625000000000002</v>
      </c>
      <c r="W221" s="57">
        <f>(1000*CHOOSE(CONTROL!$C$42, 0.1146, 0.1146)*CHOOSE(CONTROL!$C$42, 121.5, 121.5)*CHOOSE(CONTROL!$C$42, 31, 31))/1000000</f>
        <v>0.43164089999999994</v>
      </c>
      <c r="X221" s="57">
        <f>(31*0.1790888*245000/1000000)+(31*0.2374*100000/1000000)</f>
        <v>2.0961194359999999</v>
      </c>
      <c r="Y221" s="57"/>
      <c r="Z221" s="14"/>
      <c r="AA221" s="56"/>
      <c r="AB221" s="50">
        <f>(B221*194.205+C221*267.466+D221*133.845+E221*53.484+F221*40+G221*185+H221*0+I221*100+J221*300)/(194.205+267.466+133.845+53.484+0+40+185+100+300)</f>
        <v>10.984954073076921</v>
      </c>
      <c r="AC221" s="45">
        <f>(M221*'RAP TEMPLATE-GAS AVAILABILITY'!O220+N221*'RAP TEMPLATE-GAS AVAILABILITY'!P220+O221*'RAP TEMPLATE-GAS AVAILABILITY'!Q220+P221*'RAP TEMPLATE-GAS AVAILABILITY'!R220)/('RAP TEMPLATE-GAS AVAILABILITY'!O220+'RAP TEMPLATE-GAS AVAILABILITY'!P220+'RAP TEMPLATE-GAS AVAILABILITY'!Q220+'RAP TEMPLATE-GAS AVAILABILITY'!R220)</f>
        <v>10.796216546762592</v>
      </c>
    </row>
    <row r="222" spans="1:29" ht="15.75" x14ac:dyDescent="0.25">
      <c r="A222" s="13">
        <v>47635</v>
      </c>
      <c r="B222" s="14">
        <f>CHOOSE(CONTROL!$C$42, 11.2886, 11.2886) * CHOOSE(CONTROL!$C$21, $C$9, 100%, $E$9)</f>
        <v>11.288600000000001</v>
      </c>
      <c r="C222" s="14">
        <f>CHOOSE(CONTROL!$C$42, 11.2966, 11.2966) * CHOOSE(CONTROL!$C$21, $C$9, 100%, $E$9)</f>
        <v>11.2966</v>
      </c>
      <c r="D222" s="14">
        <f>CHOOSE(CONTROL!$C$42, 11.5005, 11.5005) * CHOOSE(CONTROL!$C$21, $C$9, 100%, $E$9)</f>
        <v>11.500500000000001</v>
      </c>
      <c r="E222" s="14">
        <f>CHOOSE(CONTROL!$C$42, 11.532, 11.532) * CHOOSE(CONTROL!$C$21, $C$9, 100%, $E$9)</f>
        <v>11.532</v>
      </c>
      <c r="F222" s="14">
        <f>CHOOSE(CONTROL!$C$42, 11.2697, 11.2697)*CHOOSE(CONTROL!$C$21, $C$9, 100%, $E$9)</f>
        <v>11.2697</v>
      </c>
      <c r="G222" s="14">
        <f>CHOOSE(CONTROL!$C$42, 11.2855, 11.2855)*CHOOSE(CONTROL!$C$21, $C$9, 100%, $E$9)</f>
        <v>11.285500000000001</v>
      </c>
      <c r="H222" s="14">
        <f>CHOOSE(CONTROL!$C$42, 11.5206, 11.5206) * CHOOSE(CONTROL!$C$21, $C$9, 100%, $E$9)</f>
        <v>11.5206</v>
      </c>
      <c r="I222" s="14">
        <f>CHOOSE(CONTROL!$C$42, 11.3293, 11.3293)* CHOOSE(CONTROL!$C$21, $C$9, 100%, $E$9)</f>
        <v>11.3293</v>
      </c>
      <c r="J222" s="14">
        <f>CHOOSE(CONTROL!$C$42, 11.2627, 11.2627)* CHOOSE(CONTROL!$C$21, $C$9, 100%, $E$9)</f>
        <v>11.262700000000001</v>
      </c>
      <c r="K222" s="53">
        <f>CHOOSE(CONTROL!$C$42, 11.3255, 11.3255) * CHOOSE(CONTROL!$C$21, $C$9, 100%, $E$9)</f>
        <v>11.3255</v>
      </c>
      <c r="L222" s="14">
        <f>CHOOSE(CONTROL!$C$42, 12.1076, 12.1076) * CHOOSE(CONTROL!$C$21, $C$9, 100%, $E$9)</f>
        <v>12.1076</v>
      </c>
      <c r="M222" s="14">
        <f>CHOOSE(CONTROL!$C$42, 11.0396, 11.0396) * CHOOSE(CONTROL!$C$21, $C$9, 100%, $E$9)</f>
        <v>11.0396</v>
      </c>
      <c r="N222" s="14">
        <f>CHOOSE(CONTROL!$C$42, 11.0551, 11.0551) * CHOOSE(CONTROL!$C$21, $C$9, 100%, $E$9)</f>
        <v>11.055099999999999</v>
      </c>
      <c r="O222" s="14">
        <f>CHOOSE(CONTROL!$C$42, 11.2923, 11.2923) * CHOOSE(CONTROL!$C$21, $C$9, 100%, $E$9)</f>
        <v>11.292299999999999</v>
      </c>
      <c r="P222" s="14">
        <f>CHOOSE(CONTROL!$C$42, 11.1043, 11.1043) * CHOOSE(CONTROL!$C$21, $C$9, 100%, $E$9)</f>
        <v>11.1043</v>
      </c>
      <c r="Q222" s="14">
        <f>CHOOSE(CONTROL!$C$42, 11.887, 11.887) * CHOOSE(CONTROL!$C$21, $C$9, 100%, $E$9)</f>
        <v>11.887</v>
      </c>
      <c r="R222" s="14">
        <f>CHOOSE(CONTROL!$C$42, 12.5037, 12.5037) * CHOOSE(CONTROL!$C$21, $C$9, 100%, $E$9)</f>
        <v>12.5037</v>
      </c>
      <c r="S222" s="14">
        <f>CHOOSE(CONTROL!$C$42, 10.8365, 10.8365) * CHOOSE(CONTROL!$C$21, $C$9, 100%, $E$9)</f>
        <v>10.836499999999999</v>
      </c>
      <c r="T22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22" s="57">
        <f>(1000*CHOOSE(CONTROL!$C$42, 695, 695)*CHOOSE(CONTROL!$C$42, 0.5599, 0.5599)*CHOOSE(CONTROL!$C$42, 30, 30))/1000000</f>
        <v>11.673914999999997</v>
      </c>
      <c r="V222" s="57">
        <f>(1000*CHOOSE(CONTROL!$C$42, 500, 500)*CHOOSE(CONTROL!$C$42, 0.275, 0.275)*CHOOSE(CONTROL!$C$42, 30, 30))/1000000</f>
        <v>4.125</v>
      </c>
      <c r="W222" s="57">
        <f>(1000*CHOOSE(CONTROL!$C$42, 0.1146, 0.1146)*CHOOSE(CONTROL!$C$42, 121.5, 121.5)*CHOOSE(CONTROL!$C$42, 30, 30))/1000000</f>
        <v>0.417717</v>
      </c>
      <c r="X222" s="57">
        <f>(30*0.1790888*245000/1000000)+(30*0.2374*100000/1000000)</f>
        <v>2.0285026799999999</v>
      </c>
      <c r="Y222" s="57"/>
      <c r="Z222" s="14"/>
      <c r="AA222" s="56"/>
      <c r="AB222" s="50">
        <f>(B222*194.205+C222*267.466+D222*133.845+E222*53.484+F222*40+G222*185+H222*0+I222*100+J222*300)/(194.205+267.466+133.845+53.484+0+40+185+100+300)</f>
        <v>11.318811922370489</v>
      </c>
      <c r="AC222" s="45">
        <f>(M222*'RAP TEMPLATE-GAS AVAILABILITY'!O221+N222*'RAP TEMPLATE-GAS AVAILABILITY'!P221+O222*'RAP TEMPLATE-GAS AVAILABILITY'!Q221+P222*'RAP TEMPLATE-GAS AVAILABILITY'!R221)/('RAP TEMPLATE-GAS AVAILABILITY'!O221+'RAP TEMPLATE-GAS AVAILABILITY'!P221+'RAP TEMPLATE-GAS AVAILABILITY'!Q221+'RAP TEMPLATE-GAS AVAILABILITY'!R221)</f>
        <v>11.123379136690646</v>
      </c>
    </row>
    <row r="223" spans="1:29" ht="15.75" x14ac:dyDescent="0.25">
      <c r="A223" s="13">
        <v>47665</v>
      </c>
      <c r="B223" s="14">
        <f>CHOOSE(CONTROL!$C$42, 11.095, 11.095) * CHOOSE(CONTROL!$C$21, $C$9, 100%, $E$9)</f>
        <v>11.095000000000001</v>
      </c>
      <c r="C223" s="14">
        <f>CHOOSE(CONTROL!$C$42, 11.103, 11.103) * CHOOSE(CONTROL!$C$21, $C$9, 100%, $E$9)</f>
        <v>11.103</v>
      </c>
      <c r="D223" s="14">
        <f>CHOOSE(CONTROL!$C$42, 11.307, 11.307) * CHOOSE(CONTROL!$C$21, $C$9, 100%, $E$9)</f>
        <v>11.307</v>
      </c>
      <c r="E223" s="14">
        <f>CHOOSE(CONTROL!$C$42, 11.3384, 11.3384) * CHOOSE(CONTROL!$C$21, $C$9, 100%, $E$9)</f>
        <v>11.3384</v>
      </c>
      <c r="F223" s="14">
        <f>CHOOSE(CONTROL!$C$42, 11.0766, 11.0766)*CHOOSE(CONTROL!$C$21, $C$9, 100%, $E$9)</f>
        <v>11.076599999999999</v>
      </c>
      <c r="G223" s="14">
        <f>CHOOSE(CONTROL!$C$42, 11.0925, 11.0925)*CHOOSE(CONTROL!$C$21, $C$9, 100%, $E$9)</f>
        <v>11.092499999999999</v>
      </c>
      <c r="H223" s="14">
        <f>CHOOSE(CONTROL!$C$42, 11.3271, 11.3271) * CHOOSE(CONTROL!$C$21, $C$9, 100%, $E$9)</f>
        <v>11.3271</v>
      </c>
      <c r="I223" s="14">
        <f>CHOOSE(CONTROL!$C$42, 11.1352, 11.1352)* CHOOSE(CONTROL!$C$21, $C$9, 100%, $E$9)</f>
        <v>11.135199999999999</v>
      </c>
      <c r="J223" s="14">
        <f>CHOOSE(CONTROL!$C$42, 11.0696, 11.0696)* CHOOSE(CONTROL!$C$21, $C$9, 100%, $E$9)</f>
        <v>11.069599999999999</v>
      </c>
      <c r="K223" s="53">
        <f>CHOOSE(CONTROL!$C$42, 11.1313, 11.1313) * CHOOSE(CONTROL!$C$21, $C$9, 100%, $E$9)</f>
        <v>11.1313</v>
      </c>
      <c r="L223" s="14">
        <f>CHOOSE(CONTROL!$C$42, 11.9141, 11.9141) * CHOOSE(CONTROL!$C$21, $C$9, 100%, $E$9)</f>
        <v>11.914099999999999</v>
      </c>
      <c r="M223" s="14">
        <f>CHOOSE(CONTROL!$C$42, 10.8505, 10.8505) * CHOOSE(CONTROL!$C$21, $C$9, 100%, $E$9)</f>
        <v>10.8505</v>
      </c>
      <c r="N223" s="14">
        <f>CHOOSE(CONTROL!$C$42, 10.8661, 10.8661) * CHOOSE(CONTROL!$C$21, $C$9, 100%, $E$9)</f>
        <v>10.866099999999999</v>
      </c>
      <c r="O223" s="14">
        <f>CHOOSE(CONTROL!$C$42, 11.1027, 11.1027) * CHOOSE(CONTROL!$C$21, $C$9, 100%, $E$9)</f>
        <v>11.1027</v>
      </c>
      <c r="P223" s="14">
        <f>CHOOSE(CONTROL!$C$42, 10.9141, 10.9141) * CHOOSE(CONTROL!$C$21, $C$9, 100%, $E$9)</f>
        <v>10.914099999999999</v>
      </c>
      <c r="Q223" s="14">
        <f>CHOOSE(CONTROL!$C$42, 11.6974, 11.6974) * CHOOSE(CONTROL!$C$21, $C$9, 100%, $E$9)</f>
        <v>11.6974</v>
      </c>
      <c r="R223" s="14">
        <f>CHOOSE(CONTROL!$C$42, 12.3136, 12.3136) * CHOOSE(CONTROL!$C$21, $C$9, 100%, $E$9)</f>
        <v>12.313599999999999</v>
      </c>
      <c r="S223" s="14">
        <f>CHOOSE(CONTROL!$C$42, 10.6506, 10.6506) * CHOOSE(CONTROL!$C$21, $C$9, 100%, $E$9)</f>
        <v>10.650600000000001</v>
      </c>
      <c r="T22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23" s="57">
        <f>(1000*CHOOSE(CONTROL!$C$42, 695, 695)*CHOOSE(CONTROL!$C$42, 0.5599, 0.5599)*CHOOSE(CONTROL!$C$42, 31, 31))/1000000</f>
        <v>12.063045499999998</v>
      </c>
      <c r="V223" s="57">
        <f>(1000*CHOOSE(CONTROL!$C$42, 500, 500)*CHOOSE(CONTROL!$C$42, 0.275, 0.275)*CHOOSE(CONTROL!$C$42, 31, 31))/1000000</f>
        <v>4.2625000000000002</v>
      </c>
      <c r="W223" s="57">
        <f>(1000*CHOOSE(CONTROL!$C$42, 0.1146, 0.1146)*CHOOSE(CONTROL!$C$42, 121.5, 121.5)*CHOOSE(CONTROL!$C$42, 31, 31))/1000000</f>
        <v>0.43164089999999994</v>
      </c>
      <c r="X223" s="57">
        <f>(31*0.1790888*245000/1000000)+(31*0.2374*100000/1000000)</f>
        <v>2.0961194359999999</v>
      </c>
      <c r="Y223" s="57"/>
      <c r="Z223" s="14"/>
      <c r="AA223" s="56"/>
      <c r="AB223" s="50">
        <f>(B223*194.205+C223*267.466+D223*133.845+E223*53.484+F223*40+G223*185+H223*0+I223*100+J223*300)/(194.205+267.466+133.845+53.484+0+40+185+100+300)</f>
        <v>11.125403746938776</v>
      </c>
      <c r="AC223" s="45">
        <f>(M223*'RAP TEMPLATE-GAS AVAILABILITY'!O222+N223*'RAP TEMPLATE-GAS AVAILABILITY'!P222+O223*'RAP TEMPLATE-GAS AVAILABILITY'!Q222+P223*'RAP TEMPLATE-GAS AVAILABILITY'!R222)/('RAP TEMPLATE-GAS AVAILABILITY'!O222+'RAP TEMPLATE-GAS AVAILABILITY'!P222+'RAP TEMPLATE-GAS AVAILABILITY'!Q222+'RAP TEMPLATE-GAS AVAILABILITY'!R222)</f>
        <v>10.934003597122302</v>
      </c>
    </row>
    <row r="224" spans="1:29" ht="15.75" x14ac:dyDescent="0.25">
      <c r="A224" s="13">
        <v>47696</v>
      </c>
      <c r="B224" s="14">
        <f>CHOOSE(CONTROL!$C$42, 10.5476, 10.5476) * CHOOSE(CONTROL!$C$21, $C$9, 100%, $E$9)</f>
        <v>10.547599999999999</v>
      </c>
      <c r="C224" s="14">
        <f>CHOOSE(CONTROL!$C$42, 10.5556, 10.5556) * CHOOSE(CONTROL!$C$21, $C$9, 100%, $E$9)</f>
        <v>10.5556</v>
      </c>
      <c r="D224" s="14">
        <f>CHOOSE(CONTROL!$C$42, 10.7595, 10.7595) * CHOOSE(CONTROL!$C$21, $C$9, 100%, $E$9)</f>
        <v>10.759499999999999</v>
      </c>
      <c r="E224" s="14">
        <f>CHOOSE(CONTROL!$C$42, 10.791, 10.791) * CHOOSE(CONTROL!$C$21, $C$9, 100%, $E$9)</f>
        <v>10.791</v>
      </c>
      <c r="F224" s="14">
        <f>CHOOSE(CONTROL!$C$42, 10.5294, 10.5294)*CHOOSE(CONTROL!$C$21, $C$9, 100%, $E$9)</f>
        <v>10.529400000000001</v>
      </c>
      <c r="G224" s="14">
        <f>CHOOSE(CONTROL!$C$42, 10.5454, 10.5454)*CHOOSE(CONTROL!$C$21, $C$9, 100%, $E$9)</f>
        <v>10.545400000000001</v>
      </c>
      <c r="H224" s="14">
        <f>CHOOSE(CONTROL!$C$42, 10.7796, 10.7796) * CHOOSE(CONTROL!$C$21, $C$9, 100%, $E$9)</f>
        <v>10.7796</v>
      </c>
      <c r="I224" s="14">
        <f>CHOOSE(CONTROL!$C$42, 10.586, 10.586)* CHOOSE(CONTROL!$C$21, $C$9, 100%, $E$9)</f>
        <v>10.586</v>
      </c>
      <c r="J224" s="14">
        <f>CHOOSE(CONTROL!$C$42, 10.5224, 10.5224)* CHOOSE(CONTROL!$C$21, $C$9, 100%, $E$9)</f>
        <v>10.522399999999999</v>
      </c>
      <c r="K224" s="53">
        <f>CHOOSE(CONTROL!$C$42, 10.5822, 10.5822) * CHOOSE(CONTROL!$C$21, $C$9, 100%, $E$9)</f>
        <v>10.5822</v>
      </c>
      <c r="L224" s="14">
        <f>CHOOSE(CONTROL!$C$42, 11.3666, 11.3666) * CHOOSE(CONTROL!$C$21, $C$9, 100%, $E$9)</f>
        <v>11.3666</v>
      </c>
      <c r="M224" s="14">
        <f>CHOOSE(CONTROL!$C$42, 10.3145, 10.3145) * CHOOSE(CONTROL!$C$21, $C$9, 100%, $E$9)</f>
        <v>10.314500000000001</v>
      </c>
      <c r="N224" s="14">
        <f>CHOOSE(CONTROL!$C$42, 10.3301, 10.3301) * CHOOSE(CONTROL!$C$21, $C$9, 100%, $E$9)</f>
        <v>10.3301</v>
      </c>
      <c r="O224" s="14">
        <f>CHOOSE(CONTROL!$C$42, 10.5664, 10.5664) * CHOOSE(CONTROL!$C$21, $C$9, 100%, $E$9)</f>
        <v>10.5664</v>
      </c>
      <c r="P224" s="14">
        <f>CHOOSE(CONTROL!$C$42, 10.3762, 10.3762) * CHOOSE(CONTROL!$C$21, $C$9, 100%, $E$9)</f>
        <v>10.376200000000001</v>
      </c>
      <c r="Q224" s="14">
        <f>CHOOSE(CONTROL!$C$42, 11.1611, 11.1611) * CHOOSE(CONTROL!$C$21, $C$9, 100%, $E$9)</f>
        <v>11.161099999999999</v>
      </c>
      <c r="R224" s="14">
        <f>CHOOSE(CONTROL!$C$42, 11.7761, 11.7761) * CHOOSE(CONTROL!$C$21, $C$9, 100%, $E$9)</f>
        <v>11.7761</v>
      </c>
      <c r="S224" s="14">
        <f>CHOOSE(CONTROL!$C$42, 10.1245, 10.1245) * CHOOSE(CONTROL!$C$21, $C$9, 100%, $E$9)</f>
        <v>10.124499999999999</v>
      </c>
      <c r="T22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24" s="57">
        <f>(1000*CHOOSE(CONTROL!$C$42, 695, 695)*CHOOSE(CONTROL!$C$42, 0.5599, 0.5599)*CHOOSE(CONTROL!$C$42, 31, 31))/1000000</f>
        <v>12.063045499999998</v>
      </c>
      <c r="V224" s="57">
        <f>(1000*CHOOSE(CONTROL!$C$42, 500, 500)*CHOOSE(CONTROL!$C$42, 0.275, 0.275)*CHOOSE(CONTROL!$C$42, 31, 31))/1000000</f>
        <v>4.2625000000000002</v>
      </c>
      <c r="W224" s="57">
        <f>(1000*CHOOSE(CONTROL!$C$42, 0.1146, 0.1146)*CHOOSE(CONTROL!$C$42, 121.5, 121.5)*CHOOSE(CONTROL!$C$42, 31, 31))/1000000</f>
        <v>0.43164089999999994</v>
      </c>
      <c r="X224" s="57">
        <f>(31*0.1790888*245000/1000000)+(31*0.2374*100000/1000000)</f>
        <v>2.0961194359999999</v>
      </c>
      <c r="Y224" s="57"/>
      <c r="Z224" s="14"/>
      <c r="AA224" s="56"/>
      <c r="AB224" s="50">
        <f>(B224*194.205+C224*267.466+D224*133.845+E224*53.484+F224*40+G224*185+H224*0+I224*100+J224*300)/(194.205+267.466+133.845+53.484+0+40+185+100+300)</f>
        <v>10.577948892543171</v>
      </c>
      <c r="AC224" s="45">
        <f>(M224*'RAP TEMPLATE-GAS AVAILABILITY'!O223+N224*'RAP TEMPLATE-GAS AVAILABILITY'!P223+O224*'RAP TEMPLATE-GAS AVAILABILITY'!Q223+P224*'RAP TEMPLATE-GAS AVAILABILITY'!R223)/('RAP TEMPLATE-GAS AVAILABILITY'!O223+'RAP TEMPLATE-GAS AVAILABILITY'!P223+'RAP TEMPLATE-GAS AVAILABILITY'!Q223+'RAP TEMPLATE-GAS AVAILABILITY'!R223)</f>
        <v>10.397646043165468</v>
      </c>
    </row>
    <row r="225" spans="1:29" ht="15.75" x14ac:dyDescent="0.25">
      <c r="A225" s="13">
        <v>47727</v>
      </c>
      <c r="B225" s="14">
        <f>CHOOSE(CONTROL!$C$42, 9.8783, 9.8783) * CHOOSE(CONTROL!$C$21, $C$9, 100%, $E$9)</f>
        <v>9.8782999999999994</v>
      </c>
      <c r="C225" s="14">
        <f>CHOOSE(CONTROL!$C$42, 9.8863, 9.8863) * CHOOSE(CONTROL!$C$21, $C$9, 100%, $E$9)</f>
        <v>9.8863000000000003</v>
      </c>
      <c r="D225" s="14">
        <f>CHOOSE(CONTROL!$C$42, 10.0903, 10.0903) * CHOOSE(CONTROL!$C$21, $C$9, 100%, $E$9)</f>
        <v>10.090299999999999</v>
      </c>
      <c r="E225" s="14">
        <f>CHOOSE(CONTROL!$C$42, 10.1217, 10.1217) * CHOOSE(CONTROL!$C$21, $C$9, 100%, $E$9)</f>
        <v>10.121700000000001</v>
      </c>
      <c r="F225" s="14">
        <f>CHOOSE(CONTROL!$C$42, 9.8602, 9.8602)*CHOOSE(CONTROL!$C$21, $C$9, 100%, $E$9)</f>
        <v>9.8602000000000007</v>
      </c>
      <c r="G225" s="14">
        <f>CHOOSE(CONTROL!$C$42, 9.8762, 9.8762)*CHOOSE(CONTROL!$C$21, $C$9, 100%, $E$9)</f>
        <v>9.8762000000000008</v>
      </c>
      <c r="H225" s="14">
        <f>CHOOSE(CONTROL!$C$42, 10.1104, 10.1104) * CHOOSE(CONTROL!$C$21, $C$9, 100%, $E$9)</f>
        <v>10.1104</v>
      </c>
      <c r="I225" s="14">
        <f>CHOOSE(CONTROL!$C$42, 9.9147, 9.9147)* CHOOSE(CONTROL!$C$21, $C$9, 100%, $E$9)</f>
        <v>9.9146999999999998</v>
      </c>
      <c r="J225" s="14">
        <f>CHOOSE(CONTROL!$C$42, 9.8532, 9.8532)* CHOOSE(CONTROL!$C$21, $C$9, 100%, $E$9)</f>
        <v>9.8531999999999993</v>
      </c>
      <c r="K225" s="53">
        <f>CHOOSE(CONTROL!$C$42, 9.9108, 9.9108) * CHOOSE(CONTROL!$C$21, $C$9, 100%, $E$9)</f>
        <v>9.9108000000000001</v>
      </c>
      <c r="L225" s="14">
        <f>CHOOSE(CONTROL!$C$42, 10.6974, 10.6974) * CHOOSE(CONTROL!$C$21, $C$9, 100%, $E$9)</f>
        <v>10.6974</v>
      </c>
      <c r="M225" s="14">
        <f>CHOOSE(CONTROL!$C$42, 9.659, 9.659) * CHOOSE(CONTROL!$C$21, $C$9, 100%, $E$9)</f>
        <v>9.6590000000000007</v>
      </c>
      <c r="N225" s="14">
        <f>CHOOSE(CONTROL!$C$42, 9.6747, 9.6747) * CHOOSE(CONTROL!$C$21, $C$9, 100%, $E$9)</f>
        <v>9.6746999999999996</v>
      </c>
      <c r="O225" s="14">
        <f>CHOOSE(CONTROL!$C$42, 9.9109, 9.9109) * CHOOSE(CONTROL!$C$21, $C$9, 100%, $E$9)</f>
        <v>9.9108999999999998</v>
      </c>
      <c r="P225" s="14">
        <f>CHOOSE(CONTROL!$C$42, 9.7187, 9.7187) * CHOOSE(CONTROL!$C$21, $C$9, 100%, $E$9)</f>
        <v>9.7187000000000001</v>
      </c>
      <c r="Q225" s="14">
        <f>CHOOSE(CONTROL!$C$42, 10.5056, 10.5056) * CHOOSE(CONTROL!$C$21, $C$9, 100%, $E$9)</f>
        <v>10.505599999999999</v>
      </c>
      <c r="R225" s="14">
        <f>CHOOSE(CONTROL!$C$42, 11.1189, 11.1189) * CHOOSE(CONTROL!$C$21, $C$9, 100%, $E$9)</f>
        <v>11.1189</v>
      </c>
      <c r="S225" s="14">
        <f>CHOOSE(CONTROL!$C$42, 9.4814, 9.4814) * CHOOSE(CONTROL!$C$21, $C$9, 100%, $E$9)</f>
        <v>9.4814000000000007</v>
      </c>
      <c r="T22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25" s="57">
        <f>(1000*CHOOSE(CONTROL!$C$42, 695, 695)*CHOOSE(CONTROL!$C$42, 0.5599, 0.5599)*CHOOSE(CONTROL!$C$42, 30, 30))/1000000</f>
        <v>11.673914999999997</v>
      </c>
      <c r="V225" s="57">
        <f>(1000*CHOOSE(CONTROL!$C$42, 500, 500)*CHOOSE(CONTROL!$C$42, 0.275, 0.275)*CHOOSE(CONTROL!$C$42, 30, 30))/1000000</f>
        <v>4.125</v>
      </c>
      <c r="W225" s="57">
        <f>(1000*CHOOSE(CONTROL!$C$42, 0.1146, 0.1146)*CHOOSE(CONTROL!$C$42, 121.5, 121.5)*CHOOSE(CONTROL!$C$42, 30, 30))/1000000</f>
        <v>0.417717</v>
      </c>
      <c r="X225" s="57">
        <f>(30*0.1790888*245000/1000000)+(30*0.2374*100000/1000000)</f>
        <v>2.0285026799999999</v>
      </c>
      <c r="Y225" s="57"/>
      <c r="Z225" s="14"/>
      <c r="AA225" s="56"/>
      <c r="AB225" s="50">
        <f>(B225*194.205+C225*267.466+D225*133.845+E225*53.484+F225*40+G225*185+H225*0+I225*100+J225*300)/(194.205+267.466+133.845+53.484+0+40+185+100+300)</f>
        <v>9.908543621350077</v>
      </c>
      <c r="AC225" s="45">
        <f>(M225*'RAP TEMPLATE-GAS AVAILABILITY'!O224+N225*'RAP TEMPLATE-GAS AVAILABILITY'!P224+O225*'RAP TEMPLATE-GAS AVAILABILITY'!Q224+P225*'RAP TEMPLATE-GAS AVAILABILITY'!R224)/('RAP TEMPLATE-GAS AVAILABILITY'!O224+'RAP TEMPLATE-GAS AVAILABILITY'!P224+'RAP TEMPLATE-GAS AVAILABILITY'!Q224+'RAP TEMPLATE-GAS AVAILABILITY'!R224)</f>
        <v>9.7418812949640294</v>
      </c>
    </row>
    <row r="226" spans="1:29" ht="15.75" x14ac:dyDescent="0.25">
      <c r="A226" s="13">
        <v>47757</v>
      </c>
      <c r="B226" s="14">
        <f>CHOOSE(CONTROL!$C$42, 9.6762, 9.6762) * CHOOSE(CONTROL!$C$21, $C$9, 100%, $E$9)</f>
        <v>9.6761999999999997</v>
      </c>
      <c r="C226" s="14">
        <f>CHOOSE(CONTROL!$C$42, 9.6815, 9.6815) * CHOOSE(CONTROL!$C$21, $C$9, 100%, $E$9)</f>
        <v>9.6814999999999998</v>
      </c>
      <c r="D226" s="14">
        <f>CHOOSE(CONTROL!$C$42, 9.8904, 9.8904) * CHOOSE(CONTROL!$C$21, $C$9, 100%, $E$9)</f>
        <v>9.8903999999999996</v>
      </c>
      <c r="E226" s="14">
        <f>CHOOSE(CONTROL!$C$42, 9.9196, 9.9196) * CHOOSE(CONTROL!$C$21, $C$9, 100%, $E$9)</f>
        <v>9.9196000000000009</v>
      </c>
      <c r="F226" s="14">
        <f>CHOOSE(CONTROL!$C$42, 9.6602, 9.6602)*CHOOSE(CONTROL!$C$21, $C$9, 100%, $E$9)</f>
        <v>9.6601999999999997</v>
      </c>
      <c r="G226" s="14">
        <f>CHOOSE(CONTROL!$C$42, 9.6759, 9.6759)*CHOOSE(CONTROL!$C$21, $C$9, 100%, $E$9)</f>
        <v>9.6759000000000004</v>
      </c>
      <c r="H226" s="14">
        <f>CHOOSE(CONTROL!$C$42, 9.91, 9.91) * CHOOSE(CONTROL!$C$21, $C$9, 100%, $E$9)</f>
        <v>9.91</v>
      </c>
      <c r="I226" s="14">
        <f>CHOOSE(CONTROL!$C$42, 9.7137, 9.7137)* CHOOSE(CONTROL!$C$21, $C$9, 100%, $E$9)</f>
        <v>9.7136999999999993</v>
      </c>
      <c r="J226" s="14">
        <f>CHOOSE(CONTROL!$C$42, 9.6532, 9.6532)* CHOOSE(CONTROL!$C$21, $C$9, 100%, $E$9)</f>
        <v>9.6532</v>
      </c>
      <c r="K226" s="53">
        <f>CHOOSE(CONTROL!$C$42, 9.7098, 9.7098) * CHOOSE(CONTROL!$C$21, $C$9, 100%, $E$9)</f>
        <v>9.7097999999999995</v>
      </c>
      <c r="L226" s="14">
        <f>CHOOSE(CONTROL!$C$42, 10.497, 10.497) * CHOOSE(CONTROL!$C$21, $C$9, 100%, $E$9)</f>
        <v>10.497</v>
      </c>
      <c r="M226" s="14">
        <f>CHOOSE(CONTROL!$C$42, 9.4631, 9.4631) * CHOOSE(CONTROL!$C$21, $C$9, 100%, $E$9)</f>
        <v>9.4631000000000007</v>
      </c>
      <c r="N226" s="14">
        <f>CHOOSE(CONTROL!$C$42, 9.4784, 9.4784) * CHOOSE(CONTROL!$C$21, $C$9, 100%, $E$9)</f>
        <v>9.4784000000000006</v>
      </c>
      <c r="O226" s="14">
        <f>CHOOSE(CONTROL!$C$42, 9.7147, 9.7147) * CHOOSE(CONTROL!$C$21, $C$9, 100%, $E$9)</f>
        <v>9.7147000000000006</v>
      </c>
      <c r="P226" s="14">
        <f>CHOOSE(CONTROL!$C$42, 9.5219, 9.5219) * CHOOSE(CONTROL!$C$21, $C$9, 100%, $E$9)</f>
        <v>9.5219000000000005</v>
      </c>
      <c r="Q226" s="14">
        <f>CHOOSE(CONTROL!$C$42, 10.3094, 10.3094) * CHOOSE(CONTROL!$C$21, $C$9, 100%, $E$9)</f>
        <v>10.3094</v>
      </c>
      <c r="R226" s="14">
        <f>CHOOSE(CONTROL!$C$42, 10.9222, 10.9222) * CHOOSE(CONTROL!$C$21, $C$9, 100%, $E$9)</f>
        <v>10.9222</v>
      </c>
      <c r="S226" s="14">
        <f>CHOOSE(CONTROL!$C$42, 9.2889, 9.2889) * CHOOSE(CONTROL!$C$21, $C$9, 100%, $E$9)</f>
        <v>9.2888999999999999</v>
      </c>
      <c r="T22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26" s="57">
        <f>(1000*CHOOSE(CONTROL!$C$42, 695, 695)*CHOOSE(CONTROL!$C$42, 0.5599, 0.5599)*CHOOSE(CONTROL!$C$42, 31, 31))/1000000</f>
        <v>12.063045499999998</v>
      </c>
      <c r="V226" s="57">
        <f>(1000*CHOOSE(CONTROL!$C$42, 500, 500)*CHOOSE(CONTROL!$C$42, 0.275, 0.275)*CHOOSE(CONTROL!$C$42, 31, 31))/1000000</f>
        <v>4.2625000000000002</v>
      </c>
      <c r="W226" s="57">
        <f>(1000*CHOOSE(CONTROL!$C$42, 0.1146, 0.1146)*CHOOSE(CONTROL!$C$42, 121.5, 121.5)*CHOOSE(CONTROL!$C$42, 31, 31))/1000000</f>
        <v>0.43164089999999994</v>
      </c>
      <c r="X226" s="57">
        <f>(31*0.1790888*245000/1000000)+(31*0.2374*100000/1000000)</f>
        <v>2.0961194359999999</v>
      </c>
      <c r="Y226" s="57"/>
      <c r="Z226" s="14"/>
      <c r="AA226" s="56"/>
      <c r="AB226" s="50">
        <f>(B226*131.881+C226*277.167+D226*79.08+E226*125.872+F226*40+G226*185+H226*0+I226*100+J226*300)/(131.881+277.167+79.08+125.872+0+40+185+100+300)</f>
        <v>9.7126807634382555</v>
      </c>
      <c r="AC226" s="45">
        <f>(M226*'RAP TEMPLATE-GAS AVAILABILITY'!O225+N226*'RAP TEMPLATE-GAS AVAILABILITY'!P225+O226*'RAP TEMPLATE-GAS AVAILABILITY'!Q225+P226*'RAP TEMPLATE-GAS AVAILABILITY'!R225)/('RAP TEMPLATE-GAS AVAILABILITY'!O225+'RAP TEMPLATE-GAS AVAILABILITY'!P225+'RAP TEMPLATE-GAS AVAILABILITY'!Q225+'RAP TEMPLATE-GAS AVAILABILITY'!R225)</f>
        <v>9.5456755395683466</v>
      </c>
    </row>
    <row r="227" spans="1:29" ht="15.75" x14ac:dyDescent="0.25">
      <c r="A227" s="13">
        <v>47788</v>
      </c>
      <c r="B227" s="14">
        <f>CHOOSE(CONTROL!$C$42, 9.9305, 9.9305) * CHOOSE(CONTROL!$C$21, $C$9, 100%, $E$9)</f>
        <v>9.9305000000000003</v>
      </c>
      <c r="C227" s="14">
        <f>CHOOSE(CONTROL!$C$42, 9.9355, 9.9355) * CHOOSE(CONTROL!$C$21, $C$9, 100%, $E$9)</f>
        <v>9.9354999999999993</v>
      </c>
      <c r="D227" s="14">
        <f>CHOOSE(CONTROL!$C$42, 9.9993, 9.9993) * CHOOSE(CONTROL!$C$21, $C$9, 100%, $E$9)</f>
        <v>9.9992999999999999</v>
      </c>
      <c r="E227" s="14">
        <f>CHOOSE(CONTROL!$C$42, 10.0334, 10.0334) * CHOOSE(CONTROL!$C$21, $C$9, 100%, $E$9)</f>
        <v>10.0334</v>
      </c>
      <c r="F227" s="14">
        <f>CHOOSE(CONTROL!$C$42, 9.9328, 9.9328)*CHOOSE(CONTROL!$C$21, $C$9, 100%, $E$9)</f>
        <v>9.9328000000000003</v>
      </c>
      <c r="G227" s="14">
        <f>CHOOSE(CONTROL!$C$42, 9.9489, 9.9489)*CHOOSE(CONTROL!$C$21, $C$9, 100%, $E$9)</f>
        <v>9.9489000000000001</v>
      </c>
      <c r="H227" s="14">
        <f>CHOOSE(CONTROL!$C$42, 10.0226, 10.0226) * CHOOSE(CONTROL!$C$21, $C$9, 100%, $E$9)</f>
        <v>10.022600000000001</v>
      </c>
      <c r="I227" s="14">
        <f>CHOOSE(CONTROL!$C$42, 9.9744, 9.9744)* CHOOSE(CONTROL!$C$21, $C$9, 100%, $E$9)</f>
        <v>9.9743999999999993</v>
      </c>
      <c r="J227" s="14">
        <f>CHOOSE(CONTROL!$C$42, 9.9258, 9.9258)* CHOOSE(CONTROL!$C$21, $C$9, 100%, $E$9)</f>
        <v>9.9258000000000006</v>
      </c>
      <c r="K227" s="53">
        <f>CHOOSE(CONTROL!$C$42, 9.9705, 9.9705) * CHOOSE(CONTROL!$C$21, $C$9, 100%, $E$9)</f>
        <v>9.9704999999999995</v>
      </c>
      <c r="L227" s="14">
        <f>CHOOSE(CONTROL!$C$42, 10.6096, 10.6096) * CHOOSE(CONTROL!$C$21, $C$9, 100%, $E$9)</f>
        <v>10.6096</v>
      </c>
      <c r="M227" s="14">
        <f>CHOOSE(CONTROL!$C$42, 9.7302, 9.7302) * CHOOSE(CONTROL!$C$21, $C$9, 100%, $E$9)</f>
        <v>9.7302</v>
      </c>
      <c r="N227" s="14">
        <f>CHOOSE(CONTROL!$C$42, 9.7458, 9.7458) * CHOOSE(CONTROL!$C$21, $C$9, 100%, $E$9)</f>
        <v>9.7457999999999991</v>
      </c>
      <c r="O227" s="14">
        <f>CHOOSE(CONTROL!$C$42, 9.825, 9.825) * CHOOSE(CONTROL!$C$21, $C$9, 100%, $E$9)</f>
        <v>9.8249999999999993</v>
      </c>
      <c r="P227" s="14">
        <f>CHOOSE(CONTROL!$C$42, 9.7772, 9.7772) * CHOOSE(CONTROL!$C$21, $C$9, 100%, $E$9)</f>
        <v>9.7772000000000006</v>
      </c>
      <c r="Q227" s="14">
        <f>CHOOSE(CONTROL!$C$42, 10.4197, 10.4197) * CHOOSE(CONTROL!$C$21, $C$9, 100%, $E$9)</f>
        <v>10.419700000000001</v>
      </c>
      <c r="R227" s="14">
        <f>CHOOSE(CONTROL!$C$42, 11.0327, 11.0327) * CHOOSE(CONTROL!$C$21, $C$9, 100%, $E$9)</f>
        <v>11.0327</v>
      </c>
      <c r="S227" s="14">
        <f>CHOOSE(CONTROL!$C$42, 9.5336, 9.5336) * CHOOSE(CONTROL!$C$21, $C$9, 100%, $E$9)</f>
        <v>9.5335999999999999</v>
      </c>
      <c r="T22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27" s="57">
        <f>(1000*CHOOSE(CONTROL!$C$42, 695, 695)*CHOOSE(CONTROL!$C$42, 0.5599, 0.5599)*CHOOSE(CONTROL!$C$42, 30, 30))/1000000</f>
        <v>11.673914999999997</v>
      </c>
      <c r="V227" s="57">
        <f>(1000*CHOOSE(CONTROL!$C$42, 500, 500)*CHOOSE(CONTROL!$C$42, 0.275, 0.275)*CHOOSE(CONTROL!$C$42, 30, 30))/1000000</f>
        <v>4.125</v>
      </c>
      <c r="W227" s="57">
        <f>(1000*CHOOSE(CONTROL!$C$42, 0.1146, 0.1146)*CHOOSE(CONTROL!$C$42, 121.5, 121.5)*CHOOSE(CONTROL!$C$42, 30, 30))/1000000</f>
        <v>0.417717</v>
      </c>
      <c r="X227" s="57">
        <f>(30*0.1790888*100000/1000000)+(30*0.2374*100000/1000000)</f>
        <v>1.2494664</v>
      </c>
      <c r="Y227" s="57"/>
      <c r="Z227" s="14"/>
      <c r="AA227" s="56"/>
      <c r="AB227" s="50">
        <f>(B227*122.58+C227*297.941+D227*89.177+E227*40.302+F227*40+G227*160+H227*0+I227*100+J227*300)/(122.58+297.941+89.177+40.302+0+40+160+100+300)</f>
        <v>9.9459679638260869</v>
      </c>
      <c r="AC227" s="45">
        <f>(M227*'RAP TEMPLATE-GAS AVAILABILITY'!O226+N227*'RAP TEMPLATE-GAS AVAILABILITY'!P226+O227*'RAP TEMPLATE-GAS AVAILABILITY'!Q226+P227*'RAP TEMPLATE-GAS AVAILABILITY'!R226)/('RAP TEMPLATE-GAS AVAILABILITY'!O226+'RAP TEMPLATE-GAS AVAILABILITY'!P226+'RAP TEMPLATE-GAS AVAILABILITY'!Q226+'RAP TEMPLATE-GAS AVAILABILITY'!R226)</f>
        <v>9.7808273381294963</v>
      </c>
    </row>
    <row r="228" spans="1:29" ht="15.75" x14ac:dyDescent="0.25">
      <c r="A228" s="13">
        <v>47818</v>
      </c>
      <c r="B228" s="14">
        <f>CHOOSE(CONTROL!$C$42, 10.6068, 10.6068) * CHOOSE(CONTROL!$C$21, $C$9, 100%, $E$9)</f>
        <v>10.6068</v>
      </c>
      <c r="C228" s="14">
        <f>CHOOSE(CONTROL!$C$42, 10.6119, 10.6119) * CHOOSE(CONTROL!$C$21, $C$9, 100%, $E$9)</f>
        <v>10.6119</v>
      </c>
      <c r="D228" s="14">
        <f>CHOOSE(CONTROL!$C$42, 10.6757, 10.6757) * CHOOSE(CONTROL!$C$21, $C$9, 100%, $E$9)</f>
        <v>10.675700000000001</v>
      </c>
      <c r="E228" s="14">
        <f>CHOOSE(CONTROL!$C$42, 10.7098, 10.7098) * CHOOSE(CONTROL!$C$21, $C$9, 100%, $E$9)</f>
        <v>10.7098</v>
      </c>
      <c r="F228" s="14">
        <f>CHOOSE(CONTROL!$C$42, 10.6115, 10.6115)*CHOOSE(CONTROL!$C$21, $C$9, 100%, $E$9)</f>
        <v>10.611499999999999</v>
      </c>
      <c r="G228" s="14">
        <f>CHOOSE(CONTROL!$C$42, 10.6281, 10.6281)*CHOOSE(CONTROL!$C$21, $C$9, 100%, $E$9)</f>
        <v>10.6281</v>
      </c>
      <c r="H228" s="14">
        <f>CHOOSE(CONTROL!$C$42, 10.699, 10.699) * CHOOSE(CONTROL!$C$21, $C$9, 100%, $E$9)</f>
        <v>10.699</v>
      </c>
      <c r="I228" s="14">
        <f>CHOOSE(CONTROL!$C$42, 10.6529, 10.6529)* CHOOSE(CONTROL!$C$21, $C$9, 100%, $E$9)</f>
        <v>10.652900000000001</v>
      </c>
      <c r="J228" s="14">
        <f>CHOOSE(CONTROL!$C$42, 10.6045, 10.6045)* CHOOSE(CONTROL!$C$21, $C$9, 100%, $E$9)</f>
        <v>10.6045</v>
      </c>
      <c r="K228" s="53">
        <f>CHOOSE(CONTROL!$C$42, 10.649, 10.649) * CHOOSE(CONTROL!$C$21, $C$9, 100%, $E$9)</f>
        <v>10.648999999999999</v>
      </c>
      <c r="L228" s="14">
        <f>CHOOSE(CONTROL!$C$42, 11.286, 11.286) * CHOOSE(CONTROL!$C$21, $C$9, 100%, $E$9)</f>
        <v>11.286</v>
      </c>
      <c r="M228" s="14">
        <f>CHOOSE(CONTROL!$C$42, 10.3949, 10.3949) * CHOOSE(CONTROL!$C$21, $C$9, 100%, $E$9)</f>
        <v>10.3949</v>
      </c>
      <c r="N228" s="14">
        <f>CHOOSE(CONTROL!$C$42, 10.4112, 10.4112) * CHOOSE(CONTROL!$C$21, $C$9, 100%, $E$9)</f>
        <v>10.411199999999999</v>
      </c>
      <c r="O228" s="14">
        <f>CHOOSE(CONTROL!$C$42, 10.4875, 10.4875) * CHOOSE(CONTROL!$C$21, $C$9, 100%, $E$9)</f>
        <v>10.487500000000001</v>
      </c>
      <c r="P228" s="14">
        <f>CHOOSE(CONTROL!$C$42, 10.4417, 10.4417) * CHOOSE(CONTROL!$C$21, $C$9, 100%, $E$9)</f>
        <v>10.441700000000001</v>
      </c>
      <c r="Q228" s="14">
        <f>CHOOSE(CONTROL!$C$42, 11.0822, 11.0822) * CHOOSE(CONTROL!$C$21, $C$9, 100%, $E$9)</f>
        <v>11.0822</v>
      </c>
      <c r="R228" s="14">
        <f>CHOOSE(CONTROL!$C$42, 11.6969, 11.6969) * CHOOSE(CONTROL!$C$21, $C$9, 100%, $E$9)</f>
        <v>11.696899999999999</v>
      </c>
      <c r="S228" s="14">
        <f>CHOOSE(CONTROL!$C$42, 10.1836, 10.1836) * CHOOSE(CONTROL!$C$21, $C$9, 100%, $E$9)</f>
        <v>10.1836</v>
      </c>
      <c r="T22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28" s="57">
        <f>(1000*CHOOSE(CONTROL!$C$42, 695, 695)*CHOOSE(CONTROL!$C$42, 0.5599, 0.5599)*CHOOSE(CONTROL!$C$42, 31, 31))/1000000</f>
        <v>12.063045499999998</v>
      </c>
      <c r="V228" s="57">
        <f>(1000*CHOOSE(CONTROL!$C$42, 500, 500)*CHOOSE(CONTROL!$C$42, 0.275, 0.275)*CHOOSE(CONTROL!$C$42, 31, 31))/1000000</f>
        <v>4.2625000000000002</v>
      </c>
      <c r="W228" s="57">
        <f>(1000*CHOOSE(CONTROL!$C$42, 0.1146, 0.1146)*CHOOSE(CONTROL!$C$42, 121.5, 121.5)*CHOOSE(CONTROL!$C$42, 31, 31))/1000000</f>
        <v>0.43164089999999994</v>
      </c>
      <c r="X228" s="57">
        <f>(31*0.1790888*100000/1000000)+(31*0.2374*100000/1000000)</f>
        <v>1.2911152800000001</v>
      </c>
      <c r="Y228" s="57"/>
      <c r="Z228" s="14"/>
      <c r="AA228" s="56"/>
      <c r="AB228" s="50">
        <f>(B228*122.58+C228*297.941+D228*89.177+E228*40.302+F228*40+G228*160+H228*0+I228*100+J228*300)/(122.58+297.941+89.177+40.302+0+40+160+100+300)</f>
        <v>10.623609478608696</v>
      </c>
      <c r="AC228" s="45">
        <f>(M228*'RAP TEMPLATE-GAS AVAILABILITY'!O227+N228*'RAP TEMPLATE-GAS AVAILABILITY'!P227+O228*'RAP TEMPLATE-GAS AVAILABILITY'!Q227+P228*'RAP TEMPLATE-GAS AVAILABILITY'!R227)/('RAP TEMPLATE-GAS AVAILABILITY'!O227+'RAP TEMPLATE-GAS AVAILABILITY'!P227+'RAP TEMPLATE-GAS AVAILABILITY'!Q227+'RAP TEMPLATE-GAS AVAILABILITY'!R227)</f>
        <v>10.444541726618706</v>
      </c>
    </row>
    <row r="229" spans="1:29" ht="15.75" x14ac:dyDescent="0.25">
      <c r="A229" s="13">
        <v>47849</v>
      </c>
      <c r="B229" s="14">
        <f>CHOOSE(CONTROL!$C$42, 11.4854, 11.4854) * CHOOSE(CONTROL!$C$21, $C$9, 100%, $E$9)</f>
        <v>11.4854</v>
      </c>
      <c r="C229" s="14">
        <f>CHOOSE(CONTROL!$C$42, 11.4904, 11.4904) * CHOOSE(CONTROL!$C$21, $C$9, 100%, $E$9)</f>
        <v>11.490399999999999</v>
      </c>
      <c r="D229" s="14">
        <f>CHOOSE(CONTROL!$C$42, 11.5568, 11.5568) * CHOOSE(CONTROL!$C$21, $C$9, 100%, $E$9)</f>
        <v>11.556800000000001</v>
      </c>
      <c r="E229" s="14">
        <f>CHOOSE(CONTROL!$C$42, 11.5909, 11.5909) * CHOOSE(CONTROL!$C$21, $C$9, 100%, $E$9)</f>
        <v>11.5909</v>
      </c>
      <c r="F229" s="14">
        <f>CHOOSE(CONTROL!$C$42, 11.4727, 11.4727)*CHOOSE(CONTROL!$C$21, $C$9, 100%, $E$9)</f>
        <v>11.4727</v>
      </c>
      <c r="G229" s="14">
        <f>CHOOSE(CONTROL!$C$42, 11.4882, 11.4882)*CHOOSE(CONTROL!$C$21, $C$9, 100%, $E$9)</f>
        <v>11.488200000000001</v>
      </c>
      <c r="H229" s="14">
        <f>CHOOSE(CONTROL!$C$42, 11.5801, 11.5801) * CHOOSE(CONTROL!$C$21, $C$9, 100%, $E$9)</f>
        <v>11.5801</v>
      </c>
      <c r="I229" s="14">
        <f>CHOOSE(CONTROL!$C$42, 11.529, 11.529)* CHOOSE(CONTROL!$C$21, $C$9, 100%, $E$9)</f>
        <v>11.529</v>
      </c>
      <c r="J229" s="14">
        <f>CHOOSE(CONTROL!$C$42, 11.4657, 11.4657)* CHOOSE(CONTROL!$C$21, $C$9, 100%, $E$9)</f>
        <v>11.4657</v>
      </c>
      <c r="K229" s="53">
        <f>CHOOSE(CONTROL!$C$42, 11.5251, 11.5251) * CHOOSE(CONTROL!$C$21, $C$9, 100%, $E$9)</f>
        <v>11.5251</v>
      </c>
      <c r="L229" s="14">
        <f>CHOOSE(CONTROL!$C$42, 12.1671, 12.1671) * CHOOSE(CONTROL!$C$21, $C$9, 100%, $E$9)</f>
        <v>12.1671</v>
      </c>
      <c r="M229" s="14">
        <f>CHOOSE(CONTROL!$C$42, 11.2385, 11.2385) * CHOOSE(CONTROL!$C$21, $C$9, 100%, $E$9)</f>
        <v>11.2385</v>
      </c>
      <c r="N229" s="14">
        <f>CHOOSE(CONTROL!$C$42, 11.2536, 11.2536) * CHOOSE(CONTROL!$C$21, $C$9, 100%, $E$9)</f>
        <v>11.2536</v>
      </c>
      <c r="O229" s="14">
        <f>CHOOSE(CONTROL!$C$42, 11.3506, 11.3506) * CHOOSE(CONTROL!$C$21, $C$9, 100%, $E$9)</f>
        <v>11.3506</v>
      </c>
      <c r="P229" s="14">
        <f>CHOOSE(CONTROL!$C$42, 11.2998, 11.2998) * CHOOSE(CONTROL!$C$21, $C$9, 100%, $E$9)</f>
        <v>11.299799999999999</v>
      </c>
      <c r="Q229" s="14">
        <f>CHOOSE(CONTROL!$C$42, 11.9453, 11.9453) * CHOOSE(CONTROL!$C$21, $C$9, 100%, $E$9)</f>
        <v>11.9453</v>
      </c>
      <c r="R229" s="14">
        <f>CHOOSE(CONTROL!$C$42, 12.5621, 12.5621) * CHOOSE(CONTROL!$C$21, $C$9, 100%, $E$9)</f>
        <v>12.562099999999999</v>
      </c>
      <c r="S229" s="14">
        <f>CHOOSE(CONTROL!$C$42, 11.0277, 11.0277) * CHOOSE(CONTROL!$C$21, $C$9, 100%, $E$9)</f>
        <v>11.027699999999999</v>
      </c>
      <c r="T22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29" s="57">
        <f>(1000*CHOOSE(CONTROL!$C$42, 695, 695)*CHOOSE(CONTROL!$C$42, 0.5599, 0.5599)*CHOOSE(CONTROL!$C$42, 31, 31))/1000000</f>
        <v>12.063045499999998</v>
      </c>
      <c r="V229" s="57">
        <f>(1000*CHOOSE(CONTROL!$C$42, 500, 500)*CHOOSE(CONTROL!$C$42, 0.275, 0.275)*CHOOSE(CONTROL!$C$42, 31, 31))/1000000</f>
        <v>4.2625000000000002</v>
      </c>
      <c r="W229" s="57">
        <f>(1000*CHOOSE(CONTROL!$C$42, 0.1146, 0.1146)*CHOOSE(CONTROL!$C$42, 121.5, 121.5)*CHOOSE(CONTROL!$C$42, 31, 31))/1000000</f>
        <v>0.43164089999999994</v>
      </c>
      <c r="X229" s="57">
        <f>(31*0.1790888*100000/1000000)+(31*0.2374*100000/1000000)</f>
        <v>1.2911152800000001</v>
      </c>
      <c r="Y229" s="57"/>
      <c r="Z229" s="14"/>
      <c r="AA229" s="56"/>
      <c r="AB229" s="50">
        <f>(B229*122.58+C229*297.941+D229*89.177+E229*40.302+F229*40+G229*160+H229*0+I229*100+J229*300)/(122.58+297.941+89.177+40.302+0+40+160+100+300)</f>
        <v>11.494529394608696</v>
      </c>
      <c r="AC229" s="45">
        <f>(M229*'RAP TEMPLATE-GAS AVAILABILITY'!O228+N229*'RAP TEMPLATE-GAS AVAILABILITY'!P228+O229*'RAP TEMPLATE-GAS AVAILABILITY'!Q228+P229*'RAP TEMPLATE-GAS AVAILABILITY'!R228)/('RAP TEMPLATE-GAS AVAILABILITY'!O228+'RAP TEMPLATE-GAS AVAILABILITY'!P228+'RAP TEMPLATE-GAS AVAILABILITY'!Q228+'RAP TEMPLATE-GAS AVAILABILITY'!R228)</f>
        <v>11.298997122302158</v>
      </c>
    </row>
    <row r="230" spans="1:29" ht="15.75" x14ac:dyDescent="0.25">
      <c r="A230" s="13">
        <v>47880</v>
      </c>
      <c r="B230" s="14">
        <f>CHOOSE(CONTROL!$C$42, 11.6896, 11.6896) * CHOOSE(CONTROL!$C$21, $C$9, 100%, $E$9)</f>
        <v>11.6896</v>
      </c>
      <c r="C230" s="14">
        <f>CHOOSE(CONTROL!$C$42, 11.6947, 11.6947) * CHOOSE(CONTROL!$C$21, $C$9, 100%, $E$9)</f>
        <v>11.694699999999999</v>
      </c>
      <c r="D230" s="14">
        <f>CHOOSE(CONTROL!$C$42, 11.7611, 11.7611) * CHOOSE(CONTROL!$C$21, $C$9, 100%, $E$9)</f>
        <v>11.761100000000001</v>
      </c>
      <c r="E230" s="14">
        <f>CHOOSE(CONTROL!$C$42, 11.7952, 11.7952) * CHOOSE(CONTROL!$C$21, $C$9, 100%, $E$9)</f>
        <v>11.795199999999999</v>
      </c>
      <c r="F230" s="14">
        <f>CHOOSE(CONTROL!$C$42, 11.677, 11.677)*CHOOSE(CONTROL!$C$21, $C$9, 100%, $E$9)</f>
        <v>11.677</v>
      </c>
      <c r="G230" s="14">
        <f>CHOOSE(CONTROL!$C$42, 11.6925, 11.6925)*CHOOSE(CONTROL!$C$21, $C$9, 100%, $E$9)</f>
        <v>11.692500000000001</v>
      </c>
      <c r="H230" s="14">
        <f>CHOOSE(CONTROL!$C$42, 11.7844, 11.7844) * CHOOSE(CONTROL!$C$21, $C$9, 100%, $E$9)</f>
        <v>11.7844</v>
      </c>
      <c r="I230" s="14">
        <f>CHOOSE(CONTROL!$C$42, 11.7339, 11.7339)* CHOOSE(CONTROL!$C$21, $C$9, 100%, $E$9)</f>
        <v>11.7339</v>
      </c>
      <c r="J230" s="14">
        <f>CHOOSE(CONTROL!$C$42, 11.67, 11.67)* CHOOSE(CONTROL!$C$21, $C$9, 100%, $E$9)</f>
        <v>11.67</v>
      </c>
      <c r="K230" s="53">
        <f>CHOOSE(CONTROL!$C$42, 11.73, 11.73) * CHOOSE(CONTROL!$C$21, $C$9, 100%, $E$9)</f>
        <v>11.73</v>
      </c>
      <c r="L230" s="14">
        <f>CHOOSE(CONTROL!$C$42, 12.3714, 12.3714) * CHOOSE(CONTROL!$C$21, $C$9, 100%, $E$9)</f>
        <v>12.3714</v>
      </c>
      <c r="M230" s="14">
        <f>CHOOSE(CONTROL!$C$42, 11.4386, 11.4386) * CHOOSE(CONTROL!$C$21, $C$9, 100%, $E$9)</f>
        <v>11.438599999999999</v>
      </c>
      <c r="N230" s="14">
        <f>CHOOSE(CONTROL!$C$42, 11.4538, 11.4538) * CHOOSE(CONTROL!$C$21, $C$9, 100%, $E$9)</f>
        <v>11.453799999999999</v>
      </c>
      <c r="O230" s="14">
        <f>CHOOSE(CONTROL!$C$42, 11.5507, 11.5507) * CHOOSE(CONTROL!$C$21, $C$9, 100%, $E$9)</f>
        <v>11.550700000000001</v>
      </c>
      <c r="P230" s="14">
        <f>CHOOSE(CONTROL!$C$42, 11.5005, 11.5005) * CHOOSE(CONTROL!$C$21, $C$9, 100%, $E$9)</f>
        <v>11.500500000000001</v>
      </c>
      <c r="Q230" s="14">
        <f>CHOOSE(CONTROL!$C$42, 12.1454, 12.1454) * CHOOSE(CONTROL!$C$21, $C$9, 100%, $E$9)</f>
        <v>12.1454</v>
      </c>
      <c r="R230" s="14">
        <f>CHOOSE(CONTROL!$C$42, 12.7627, 12.7627) * CHOOSE(CONTROL!$C$21, $C$9, 100%, $E$9)</f>
        <v>12.762700000000001</v>
      </c>
      <c r="S230" s="14">
        <f>CHOOSE(CONTROL!$C$42, 11.224, 11.224) * CHOOSE(CONTROL!$C$21, $C$9, 100%, $E$9)</f>
        <v>11.224</v>
      </c>
      <c r="T23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30" s="57">
        <f>(1000*CHOOSE(CONTROL!$C$42, 695, 695)*CHOOSE(CONTROL!$C$42, 0.5599, 0.5599)*CHOOSE(CONTROL!$C$42, 28, 28))/1000000</f>
        <v>10.895653999999999</v>
      </c>
      <c r="V230" s="57">
        <f>(1000*CHOOSE(CONTROL!$C$42, 500, 500)*CHOOSE(CONTROL!$C$42, 0.275, 0.275)*CHOOSE(CONTROL!$C$42, 28, 28))/1000000</f>
        <v>3.85</v>
      </c>
      <c r="W230" s="57">
        <f>(1000*CHOOSE(CONTROL!$C$42, 0.1146, 0.1146)*CHOOSE(CONTROL!$C$42, 121.5, 121.5)*CHOOSE(CONTROL!$C$42, 28, 28))/1000000</f>
        <v>0.38986920000000003</v>
      </c>
      <c r="X230" s="57">
        <f>(28*0.1790888*100000/1000000)+(28*0.2374*100000/1000000)</f>
        <v>1.16616864</v>
      </c>
      <c r="Y230" s="57"/>
      <c r="Z230" s="14"/>
      <c r="AA230" s="56"/>
      <c r="AB230" s="50">
        <f>(B230*122.58+C230*297.941+D230*89.177+E230*40.302+F230*40+G230*160+H230*0+I230*100+J230*300)/(122.58+297.941+89.177+40.302+0+40+160+100+300)</f>
        <v>11.698870909391303</v>
      </c>
      <c r="AC230" s="45">
        <f>(M230*'RAP TEMPLATE-GAS AVAILABILITY'!O229+N230*'RAP TEMPLATE-GAS AVAILABILITY'!P229+O230*'RAP TEMPLATE-GAS AVAILABILITY'!Q229+P230*'RAP TEMPLATE-GAS AVAILABILITY'!R229)/('RAP TEMPLATE-GAS AVAILABILITY'!O229+'RAP TEMPLATE-GAS AVAILABILITY'!P229+'RAP TEMPLATE-GAS AVAILABILITY'!Q229+'RAP TEMPLATE-GAS AVAILABILITY'!R229)</f>
        <v>11.499189208633094</v>
      </c>
    </row>
    <row r="231" spans="1:29" ht="15.75" x14ac:dyDescent="0.25">
      <c r="A231" s="13">
        <v>47908</v>
      </c>
      <c r="B231" s="14">
        <f>CHOOSE(CONTROL!$C$42, 11.358, 11.358) * CHOOSE(CONTROL!$C$21, $C$9, 100%, $E$9)</f>
        <v>11.358000000000001</v>
      </c>
      <c r="C231" s="14">
        <f>CHOOSE(CONTROL!$C$42, 11.3631, 11.3631) * CHOOSE(CONTROL!$C$21, $C$9, 100%, $E$9)</f>
        <v>11.363099999999999</v>
      </c>
      <c r="D231" s="14">
        <f>CHOOSE(CONTROL!$C$42, 11.4295, 11.4295) * CHOOSE(CONTROL!$C$21, $C$9, 100%, $E$9)</f>
        <v>11.429500000000001</v>
      </c>
      <c r="E231" s="14">
        <f>CHOOSE(CONTROL!$C$42, 11.4636, 11.4636) * CHOOSE(CONTROL!$C$21, $C$9, 100%, $E$9)</f>
        <v>11.4636</v>
      </c>
      <c r="F231" s="14">
        <f>CHOOSE(CONTROL!$C$42, 11.345, 11.345)*CHOOSE(CONTROL!$C$21, $C$9, 100%, $E$9)</f>
        <v>11.345000000000001</v>
      </c>
      <c r="G231" s="14">
        <f>CHOOSE(CONTROL!$C$42, 11.3604, 11.3604)*CHOOSE(CONTROL!$C$21, $C$9, 100%, $E$9)</f>
        <v>11.3604</v>
      </c>
      <c r="H231" s="14">
        <f>CHOOSE(CONTROL!$C$42, 11.4528, 11.4528) * CHOOSE(CONTROL!$C$21, $C$9, 100%, $E$9)</f>
        <v>11.4528</v>
      </c>
      <c r="I231" s="14">
        <f>CHOOSE(CONTROL!$C$42, 11.4012, 11.4012)* CHOOSE(CONTROL!$C$21, $C$9, 100%, $E$9)</f>
        <v>11.401199999999999</v>
      </c>
      <c r="J231" s="14">
        <f>CHOOSE(CONTROL!$C$42, 11.338, 11.338)* CHOOSE(CONTROL!$C$21, $C$9, 100%, $E$9)</f>
        <v>11.337999999999999</v>
      </c>
      <c r="K231" s="53">
        <f>CHOOSE(CONTROL!$C$42, 11.3973, 11.3973) * CHOOSE(CONTROL!$C$21, $C$9, 100%, $E$9)</f>
        <v>11.3973</v>
      </c>
      <c r="L231" s="14">
        <f>CHOOSE(CONTROL!$C$42, 12.0398, 12.0398) * CHOOSE(CONTROL!$C$21, $C$9, 100%, $E$9)</f>
        <v>12.0398</v>
      </c>
      <c r="M231" s="14">
        <f>CHOOSE(CONTROL!$C$42, 11.1134, 11.1134) * CHOOSE(CONTROL!$C$21, $C$9, 100%, $E$9)</f>
        <v>11.1134</v>
      </c>
      <c r="N231" s="14">
        <f>CHOOSE(CONTROL!$C$42, 11.1285, 11.1285) * CHOOSE(CONTROL!$C$21, $C$9, 100%, $E$9)</f>
        <v>11.128500000000001</v>
      </c>
      <c r="O231" s="14">
        <f>CHOOSE(CONTROL!$C$42, 11.2259, 11.2259) * CHOOSE(CONTROL!$C$21, $C$9, 100%, $E$9)</f>
        <v>11.225899999999999</v>
      </c>
      <c r="P231" s="14">
        <f>CHOOSE(CONTROL!$C$42, 11.1747, 11.1747) * CHOOSE(CONTROL!$C$21, $C$9, 100%, $E$9)</f>
        <v>11.1747</v>
      </c>
      <c r="Q231" s="14">
        <f>CHOOSE(CONTROL!$C$42, 11.8206, 11.8206) * CHOOSE(CONTROL!$C$21, $C$9, 100%, $E$9)</f>
        <v>11.820600000000001</v>
      </c>
      <c r="R231" s="14">
        <f>CHOOSE(CONTROL!$C$42, 12.4371, 12.4371) * CHOOSE(CONTROL!$C$21, $C$9, 100%, $E$9)</f>
        <v>12.437099999999999</v>
      </c>
      <c r="S231" s="14">
        <f>CHOOSE(CONTROL!$C$42, 10.9054, 10.9054) * CHOOSE(CONTROL!$C$21, $C$9, 100%, $E$9)</f>
        <v>10.9054</v>
      </c>
      <c r="T23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31" s="57">
        <f>(1000*CHOOSE(CONTROL!$C$42, 695, 695)*CHOOSE(CONTROL!$C$42, 0.5599, 0.5599)*CHOOSE(CONTROL!$C$42, 31, 31))/1000000</f>
        <v>12.063045499999998</v>
      </c>
      <c r="V231" s="57">
        <f>(1000*CHOOSE(CONTROL!$C$42, 500, 500)*CHOOSE(CONTROL!$C$42, 0.275, 0.275)*CHOOSE(CONTROL!$C$42, 31, 31))/1000000</f>
        <v>4.2625000000000002</v>
      </c>
      <c r="W231" s="57">
        <f>(1000*CHOOSE(CONTROL!$C$42, 0.1146, 0.1146)*CHOOSE(CONTROL!$C$42, 121.5, 121.5)*CHOOSE(CONTROL!$C$42, 31, 31))/1000000</f>
        <v>0.43164089999999994</v>
      </c>
      <c r="X231" s="57">
        <f>(31*0.1790888*100000/1000000)+(31*0.2374*100000/1000000)</f>
        <v>1.2911152800000001</v>
      </c>
      <c r="Y231" s="57"/>
      <c r="Z231" s="14"/>
      <c r="AA231" s="56"/>
      <c r="AB231" s="50">
        <f>(B231*122.58+C231*297.941+D231*89.177+E231*40.302+F231*40+G231*160+H231*0+I231*100+J231*300)/(122.58+297.941+89.177+40.302+0+40+160+100+300)</f>
        <v>11.366987431130434</v>
      </c>
      <c r="AC231" s="45">
        <f>(M231*'RAP TEMPLATE-GAS AVAILABILITY'!O230+N231*'RAP TEMPLATE-GAS AVAILABILITY'!P230+O231*'RAP TEMPLATE-GAS AVAILABILITY'!Q230+P231*'RAP TEMPLATE-GAS AVAILABILITY'!R230)/('RAP TEMPLATE-GAS AVAILABILITY'!O230+'RAP TEMPLATE-GAS AVAILABILITY'!P230+'RAP TEMPLATE-GAS AVAILABILITY'!Q230+'RAP TEMPLATE-GAS AVAILABILITY'!R230)</f>
        <v>11.174078417266186</v>
      </c>
    </row>
    <row r="232" spans="1:29" ht="15.75" x14ac:dyDescent="0.25">
      <c r="A232" s="13">
        <v>47939</v>
      </c>
      <c r="B232" s="14">
        <f>CHOOSE(CONTROL!$C$42, 11.3252, 11.3252) * CHOOSE(CONTROL!$C$21, $C$9, 100%, $E$9)</f>
        <v>11.325200000000001</v>
      </c>
      <c r="C232" s="14">
        <f>CHOOSE(CONTROL!$C$42, 11.3297, 11.3297) * CHOOSE(CONTROL!$C$21, $C$9, 100%, $E$9)</f>
        <v>11.329700000000001</v>
      </c>
      <c r="D232" s="14">
        <f>CHOOSE(CONTROL!$C$42, 11.5368, 11.5368) * CHOOSE(CONTROL!$C$21, $C$9, 100%, $E$9)</f>
        <v>11.536799999999999</v>
      </c>
      <c r="E232" s="14">
        <f>CHOOSE(CONTROL!$C$42, 11.5689, 11.5689) * CHOOSE(CONTROL!$C$21, $C$9, 100%, $E$9)</f>
        <v>11.568899999999999</v>
      </c>
      <c r="F232" s="14">
        <f>CHOOSE(CONTROL!$C$42, 11.3071, 11.3071)*CHOOSE(CONTROL!$C$21, $C$9, 100%, $E$9)</f>
        <v>11.3071</v>
      </c>
      <c r="G232" s="14">
        <f>CHOOSE(CONTROL!$C$42, 11.3223, 11.3223)*CHOOSE(CONTROL!$C$21, $C$9, 100%, $E$9)</f>
        <v>11.3223</v>
      </c>
      <c r="H232" s="14">
        <f>CHOOSE(CONTROL!$C$42, 11.5587, 11.5587) * CHOOSE(CONTROL!$C$21, $C$9, 100%, $E$9)</f>
        <v>11.5587</v>
      </c>
      <c r="I232" s="14">
        <f>CHOOSE(CONTROL!$C$42, 11.3675, 11.3675)* CHOOSE(CONTROL!$C$21, $C$9, 100%, $E$9)</f>
        <v>11.3675</v>
      </c>
      <c r="J232" s="14">
        <f>CHOOSE(CONTROL!$C$42, 11.3001, 11.3001)* CHOOSE(CONTROL!$C$21, $C$9, 100%, $E$9)</f>
        <v>11.3001</v>
      </c>
      <c r="K232" s="53">
        <f>CHOOSE(CONTROL!$C$42, 11.3637, 11.3637) * CHOOSE(CONTROL!$C$21, $C$9, 100%, $E$9)</f>
        <v>11.3637</v>
      </c>
      <c r="L232" s="14">
        <f>CHOOSE(CONTROL!$C$42, 12.1457, 12.1457) * CHOOSE(CONTROL!$C$21, $C$9, 100%, $E$9)</f>
        <v>12.1457</v>
      </c>
      <c r="M232" s="14">
        <f>CHOOSE(CONTROL!$C$42, 11.0763, 11.0763) * CHOOSE(CONTROL!$C$21, $C$9, 100%, $E$9)</f>
        <v>11.0763</v>
      </c>
      <c r="N232" s="14">
        <f>CHOOSE(CONTROL!$C$42, 11.0912, 11.0912) * CHOOSE(CONTROL!$C$21, $C$9, 100%, $E$9)</f>
        <v>11.091200000000001</v>
      </c>
      <c r="O232" s="14">
        <f>CHOOSE(CONTROL!$C$42, 11.3296, 11.3296) * CHOOSE(CONTROL!$C$21, $C$9, 100%, $E$9)</f>
        <v>11.329599999999999</v>
      </c>
      <c r="P232" s="14">
        <f>CHOOSE(CONTROL!$C$42, 11.1417, 11.1417) * CHOOSE(CONTROL!$C$21, $C$9, 100%, $E$9)</f>
        <v>11.1417</v>
      </c>
      <c r="Q232" s="14">
        <f>CHOOSE(CONTROL!$C$42, 11.9243, 11.9243) * CHOOSE(CONTROL!$C$21, $C$9, 100%, $E$9)</f>
        <v>11.924300000000001</v>
      </c>
      <c r="R232" s="14">
        <f>CHOOSE(CONTROL!$C$42, 12.5411, 12.5411) * CHOOSE(CONTROL!$C$21, $C$9, 100%, $E$9)</f>
        <v>12.5411</v>
      </c>
      <c r="S232" s="14">
        <f>CHOOSE(CONTROL!$C$42, 10.8731, 10.8731) * CHOOSE(CONTROL!$C$21, $C$9, 100%, $E$9)</f>
        <v>10.873100000000001</v>
      </c>
      <c r="T23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32" s="57">
        <f>(1000*CHOOSE(CONTROL!$C$42, 695, 695)*CHOOSE(CONTROL!$C$42, 0.5599, 0.5599)*CHOOSE(CONTROL!$C$42, 30, 30))/1000000</f>
        <v>11.673914999999997</v>
      </c>
      <c r="V232" s="57">
        <f>(1000*CHOOSE(CONTROL!$C$42, 500, 500)*CHOOSE(CONTROL!$C$42, 0.275, 0.275)*CHOOSE(CONTROL!$C$42, 30, 30))/1000000</f>
        <v>4.125</v>
      </c>
      <c r="W232" s="57">
        <f>(1000*CHOOSE(CONTROL!$C$42, 0.1146, 0.1146)*CHOOSE(CONTROL!$C$42, 121.5, 121.5)*CHOOSE(CONTROL!$C$42, 30, 30))/1000000</f>
        <v>0.417717</v>
      </c>
      <c r="X232" s="57">
        <f>(30*0.1790888*245000/1000000)+(30*0.2374*100000/1000000)</f>
        <v>2.0285026799999999</v>
      </c>
      <c r="Y232" s="57"/>
      <c r="Z232" s="14"/>
      <c r="AA232" s="56"/>
      <c r="AB232" s="50">
        <f>(B232*141.293+C232*267.993+D232*115.016+E232*89.698+F232*40+G232*185+H232*0+I232*100+J232*300)/(141.293+267.993+115.016+89.698+0+40+185+100+300)</f>
        <v>11.359778092574658</v>
      </c>
      <c r="AC232" s="45">
        <f>(M232*'RAP TEMPLATE-GAS AVAILABILITY'!O231+N232*'RAP TEMPLATE-GAS AVAILABILITY'!P231+O232*'RAP TEMPLATE-GAS AVAILABILITY'!Q231+P232*'RAP TEMPLATE-GAS AVAILABILITY'!R231)/('RAP TEMPLATE-GAS AVAILABILITY'!O231+'RAP TEMPLATE-GAS AVAILABILITY'!P231+'RAP TEMPLATE-GAS AVAILABILITY'!Q231+'RAP TEMPLATE-GAS AVAILABILITY'!R231)</f>
        <v>11.160210071942446</v>
      </c>
    </row>
    <row r="233" spans="1:29" ht="15.75" x14ac:dyDescent="0.25">
      <c r="A233" s="13">
        <v>47969</v>
      </c>
      <c r="B233" s="14">
        <f>CHOOSE(CONTROL!$C$42, 11.4265, 11.4265) * CHOOSE(CONTROL!$C$21, $C$9, 100%, $E$9)</f>
        <v>11.426500000000001</v>
      </c>
      <c r="C233" s="14">
        <f>CHOOSE(CONTROL!$C$42, 11.4345, 11.4345) * CHOOSE(CONTROL!$C$21, $C$9, 100%, $E$9)</f>
        <v>11.4345</v>
      </c>
      <c r="D233" s="14">
        <f>CHOOSE(CONTROL!$C$42, 11.6385, 11.6385) * CHOOSE(CONTROL!$C$21, $C$9, 100%, $E$9)</f>
        <v>11.638500000000001</v>
      </c>
      <c r="E233" s="14">
        <f>CHOOSE(CONTROL!$C$42, 11.6699, 11.6699) * CHOOSE(CONTROL!$C$21, $C$9, 100%, $E$9)</f>
        <v>11.6699</v>
      </c>
      <c r="F233" s="14">
        <f>CHOOSE(CONTROL!$C$42, 11.4072, 11.4072)*CHOOSE(CONTROL!$C$21, $C$9, 100%, $E$9)</f>
        <v>11.4072</v>
      </c>
      <c r="G233" s="14">
        <f>CHOOSE(CONTROL!$C$42, 11.4229, 11.4229)*CHOOSE(CONTROL!$C$21, $C$9, 100%, $E$9)</f>
        <v>11.4229</v>
      </c>
      <c r="H233" s="14">
        <f>CHOOSE(CONTROL!$C$42, 11.6586, 11.6586) * CHOOSE(CONTROL!$C$21, $C$9, 100%, $E$9)</f>
        <v>11.6586</v>
      </c>
      <c r="I233" s="14">
        <f>CHOOSE(CONTROL!$C$42, 11.4677, 11.4677)* CHOOSE(CONTROL!$C$21, $C$9, 100%, $E$9)</f>
        <v>11.467700000000001</v>
      </c>
      <c r="J233" s="14">
        <f>CHOOSE(CONTROL!$C$42, 11.4002, 11.4002)* CHOOSE(CONTROL!$C$21, $C$9, 100%, $E$9)</f>
        <v>11.4002</v>
      </c>
      <c r="K233" s="53">
        <f>CHOOSE(CONTROL!$C$42, 11.4638, 11.4638) * CHOOSE(CONTROL!$C$21, $C$9, 100%, $E$9)</f>
        <v>11.463800000000001</v>
      </c>
      <c r="L233" s="14">
        <f>CHOOSE(CONTROL!$C$42, 12.2456, 12.2456) * CHOOSE(CONTROL!$C$21, $C$9, 100%, $E$9)</f>
        <v>12.2456</v>
      </c>
      <c r="M233" s="14">
        <f>CHOOSE(CONTROL!$C$42, 11.1743, 11.1743) * CHOOSE(CONTROL!$C$21, $C$9, 100%, $E$9)</f>
        <v>11.174300000000001</v>
      </c>
      <c r="N233" s="14">
        <f>CHOOSE(CONTROL!$C$42, 11.1897, 11.1897) * CHOOSE(CONTROL!$C$21, $C$9, 100%, $E$9)</f>
        <v>11.1897</v>
      </c>
      <c r="O233" s="14">
        <f>CHOOSE(CONTROL!$C$42, 11.4274, 11.4274) * CHOOSE(CONTROL!$C$21, $C$9, 100%, $E$9)</f>
        <v>11.4274</v>
      </c>
      <c r="P233" s="14">
        <f>CHOOSE(CONTROL!$C$42, 11.2398, 11.2398) * CHOOSE(CONTROL!$C$21, $C$9, 100%, $E$9)</f>
        <v>11.239800000000001</v>
      </c>
      <c r="Q233" s="14">
        <f>CHOOSE(CONTROL!$C$42, 12.0221, 12.0221) * CHOOSE(CONTROL!$C$21, $C$9, 100%, $E$9)</f>
        <v>12.0221</v>
      </c>
      <c r="R233" s="14">
        <f>CHOOSE(CONTROL!$C$42, 12.6391, 12.6391) * CHOOSE(CONTROL!$C$21, $C$9, 100%, $E$9)</f>
        <v>12.639099999999999</v>
      </c>
      <c r="S233" s="14">
        <f>CHOOSE(CONTROL!$C$42, 10.9691, 10.9691) * CHOOSE(CONTROL!$C$21, $C$9, 100%, $E$9)</f>
        <v>10.969099999999999</v>
      </c>
      <c r="T23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33" s="57">
        <f>(1000*CHOOSE(CONTROL!$C$42, 695, 695)*CHOOSE(CONTROL!$C$42, 0.5599, 0.5599)*CHOOSE(CONTROL!$C$42, 31, 31))/1000000</f>
        <v>12.063045499999998</v>
      </c>
      <c r="V233" s="57">
        <f>(1000*CHOOSE(CONTROL!$C$42, 500, 500)*CHOOSE(CONTROL!$C$42, 0.275, 0.275)*CHOOSE(CONTROL!$C$42, 31, 31))/1000000</f>
        <v>4.2625000000000002</v>
      </c>
      <c r="W233" s="57">
        <f>(1000*CHOOSE(CONTROL!$C$42, 0.1146, 0.1146)*CHOOSE(CONTROL!$C$42, 121.5, 121.5)*CHOOSE(CONTROL!$C$42, 31, 31))/1000000</f>
        <v>0.43164089999999994</v>
      </c>
      <c r="X233" s="57">
        <f>(31*0.1790888*245000/1000000)+(31*0.2374*100000/1000000)</f>
        <v>2.0961194359999999</v>
      </c>
      <c r="Y233" s="57"/>
      <c r="Z233" s="14"/>
      <c r="AA233" s="56"/>
      <c r="AB233" s="50">
        <f>(B233*194.205+C233*267.466+D233*133.845+E233*53.484+F233*40+G233*185+H233*0+I233*100+J233*300)/(194.205+267.466+133.845+53.484+0+40+185+100+300)</f>
        <v>11.456582318367348</v>
      </c>
      <c r="AC233" s="45">
        <f>(M233*'RAP TEMPLATE-GAS AVAILABILITY'!O232+N233*'RAP TEMPLATE-GAS AVAILABILITY'!P232+O233*'RAP TEMPLATE-GAS AVAILABILITY'!Q232+P233*'RAP TEMPLATE-GAS AVAILABILITY'!R232)/('RAP TEMPLATE-GAS AVAILABILITY'!O232+'RAP TEMPLATE-GAS AVAILABILITY'!P232+'RAP TEMPLATE-GAS AVAILABILITY'!Q232+'RAP TEMPLATE-GAS AVAILABILITY'!R232)</f>
        <v>11.258283453237409</v>
      </c>
    </row>
    <row r="234" spans="1:29" ht="15.75" x14ac:dyDescent="0.25">
      <c r="A234" s="13">
        <v>48000</v>
      </c>
      <c r="B234" s="14">
        <f>CHOOSE(CONTROL!$C$42, 11.7503, 11.7503) * CHOOSE(CONTROL!$C$21, $C$9, 100%, $E$9)</f>
        <v>11.750299999999999</v>
      </c>
      <c r="C234" s="14">
        <f>CHOOSE(CONTROL!$C$42, 11.7583, 11.7583) * CHOOSE(CONTROL!$C$21, $C$9, 100%, $E$9)</f>
        <v>11.7583</v>
      </c>
      <c r="D234" s="14">
        <f>CHOOSE(CONTROL!$C$42, 11.9622, 11.9622) * CHOOSE(CONTROL!$C$21, $C$9, 100%, $E$9)</f>
        <v>11.962199999999999</v>
      </c>
      <c r="E234" s="14">
        <f>CHOOSE(CONTROL!$C$42, 11.9937, 11.9937) * CHOOSE(CONTROL!$C$21, $C$9, 100%, $E$9)</f>
        <v>11.9937</v>
      </c>
      <c r="F234" s="14">
        <f>CHOOSE(CONTROL!$C$42, 11.7314, 11.7314)*CHOOSE(CONTROL!$C$21, $C$9, 100%, $E$9)</f>
        <v>11.731400000000001</v>
      </c>
      <c r="G234" s="14">
        <f>CHOOSE(CONTROL!$C$42, 11.7472, 11.7472)*CHOOSE(CONTROL!$C$21, $C$9, 100%, $E$9)</f>
        <v>11.747199999999999</v>
      </c>
      <c r="H234" s="14">
        <f>CHOOSE(CONTROL!$C$42, 11.9823, 11.9823) * CHOOSE(CONTROL!$C$21, $C$9, 100%, $E$9)</f>
        <v>11.9823</v>
      </c>
      <c r="I234" s="14">
        <f>CHOOSE(CONTROL!$C$42, 11.7925, 11.7925)* CHOOSE(CONTROL!$C$21, $C$9, 100%, $E$9)</f>
        <v>11.7925</v>
      </c>
      <c r="J234" s="14">
        <f>CHOOSE(CONTROL!$C$42, 11.7244, 11.7244)* CHOOSE(CONTROL!$C$21, $C$9, 100%, $E$9)</f>
        <v>11.724399999999999</v>
      </c>
      <c r="K234" s="53">
        <f>CHOOSE(CONTROL!$C$42, 11.7886, 11.7886) * CHOOSE(CONTROL!$C$21, $C$9, 100%, $E$9)</f>
        <v>11.788600000000001</v>
      </c>
      <c r="L234" s="14">
        <f>CHOOSE(CONTROL!$C$42, 12.5693, 12.5693) * CHOOSE(CONTROL!$C$21, $C$9, 100%, $E$9)</f>
        <v>12.5693</v>
      </c>
      <c r="M234" s="14">
        <f>CHOOSE(CONTROL!$C$42, 11.4919, 11.4919) * CHOOSE(CONTROL!$C$21, $C$9, 100%, $E$9)</f>
        <v>11.491899999999999</v>
      </c>
      <c r="N234" s="14">
        <f>CHOOSE(CONTROL!$C$42, 11.5074, 11.5074) * CHOOSE(CONTROL!$C$21, $C$9, 100%, $E$9)</f>
        <v>11.507400000000001</v>
      </c>
      <c r="O234" s="14">
        <f>CHOOSE(CONTROL!$C$42, 11.7445, 11.7445) * CHOOSE(CONTROL!$C$21, $C$9, 100%, $E$9)</f>
        <v>11.7445</v>
      </c>
      <c r="P234" s="14">
        <f>CHOOSE(CONTROL!$C$42, 11.5579, 11.5579) * CHOOSE(CONTROL!$C$21, $C$9, 100%, $E$9)</f>
        <v>11.5579</v>
      </c>
      <c r="Q234" s="14">
        <f>CHOOSE(CONTROL!$C$42, 12.3392, 12.3392) * CHOOSE(CONTROL!$C$21, $C$9, 100%, $E$9)</f>
        <v>12.3392</v>
      </c>
      <c r="R234" s="14">
        <f>CHOOSE(CONTROL!$C$42, 12.9571, 12.9571) * CHOOSE(CONTROL!$C$21, $C$9, 100%, $E$9)</f>
        <v>12.957100000000001</v>
      </c>
      <c r="S234" s="14">
        <f>CHOOSE(CONTROL!$C$42, 11.2802, 11.2802) * CHOOSE(CONTROL!$C$21, $C$9, 100%, $E$9)</f>
        <v>11.280200000000001</v>
      </c>
      <c r="T23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34" s="57">
        <f>(1000*CHOOSE(CONTROL!$C$42, 695, 695)*CHOOSE(CONTROL!$C$42, 0.5599, 0.5599)*CHOOSE(CONTROL!$C$42, 30, 30))/1000000</f>
        <v>11.673914999999997</v>
      </c>
      <c r="V234" s="57">
        <f>(1000*CHOOSE(CONTROL!$C$42, 500, 500)*CHOOSE(CONTROL!$C$42, 0.275, 0.275)*CHOOSE(CONTROL!$C$42, 30, 30))/1000000</f>
        <v>4.125</v>
      </c>
      <c r="W234" s="57">
        <f>(1000*CHOOSE(CONTROL!$C$42, 0.1146, 0.1146)*CHOOSE(CONTROL!$C$42, 121.5, 121.5)*CHOOSE(CONTROL!$C$42, 30, 30))/1000000</f>
        <v>0.417717</v>
      </c>
      <c r="X234" s="57">
        <f>(30*0.1790888*245000/1000000)+(30*0.2374*100000/1000000)</f>
        <v>2.0285026799999999</v>
      </c>
      <c r="Y234" s="57"/>
      <c r="Z234" s="14"/>
      <c r="AA234" s="56"/>
      <c r="AB234" s="50">
        <f>(B234*194.205+C234*267.466+D234*133.845+E234*53.484+F234*40+G234*185+H234*0+I234*100+J234*300)/(194.205+267.466+133.845+53.484+0+40+185+100+300)</f>
        <v>11.78062966177394</v>
      </c>
      <c r="AC234" s="45">
        <f>(M234*'RAP TEMPLATE-GAS AVAILABILITY'!O233+N234*'RAP TEMPLATE-GAS AVAILABILITY'!P233+O234*'RAP TEMPLATE-GAS AVAILABILITY'!Q233+P234*'RAP TEMPLATE-GAS AVAILABILITY'!R233)/('RAP TEMPLATE-GAS AVAILABILITY'!O233+'RAP TEMPLATE-GAS AVAILABILITY'!P233+'RAP TEMPLATE-GAS AVAILABILITY'!Q233+'RAP TEMPLATE-GAS AVAILABILITY'!R233)</f>
        <v>11.575838129496402</v>
      </c>
    </row>
    <row r="235" spans="1:29" ht="15.75" x14ac:dyDescent="0.25">
      <c r="A235" s="13">
        <v>48030</v>
      </c>
      <c r="B235" s="14">
        <f>CHOOSE(CONTROL!$C$42, 11.5251, 11.5251) * CHOOSE(CONTROL!$C$21, $C$9, 100%, $E$9)</f>
        <v>11.5251</v>
      </c>
      <c r="C235" s="14">
        <f>CHOOSE(CONTROL!$C$42, 11.5331, 11.5331) * CHOOSE(CONTROL!$C$21, $C$9, 100%, $E$9)</f>
        <v>11.533099999999999</v>
      </c>
      <c r="D235" s="14">
        <f>CHOOSE(CONTROL!$C$42, 11.737, 11.737) * CHOOSE(CONTROL!$C$21, $C$9, 100%, $E$9)</f>
        <v>11.737</v>
      </c>
      <c r="E235" s="14">
        <f>CHOOSE(CONTROL!$C$42, 11.7685, 11.7685) * CHOOSE(CONTROL!$C$21, $C$9, 100%, $E$9)</f>
        <v>11.7685</v>
      </c>
      <c r="F235" s="14">
        <f>CHOOSE(CONTROL!$C$42, 11.5067, 11.5067)*CHOOSE(CONTROL!$C$21, $C$9, 100%, $E$9)</f>
        <v>11.5067</v>
      </c>
      <c r="G235" s="14">
        <f>CHOOSE(CONTROL!$C$42, 11.5226, 11.5226)*CHOOSE(CONTROL!$C$21, $C$9, 100%, $E$9)</f>
        <v>11.522600000000001</v>
      </c>
      <c r="H235" s="14">
        <f>CHOOSE(CONTROL!$C$42, 11.7571, 11.7571) * CHOOSE(CONTROL!$C$21, $C$9, 100%, $E$9)</f>
        <v>11.757099999999999</v>
      </c>
      <c r="I235" s="14">
        <f>CHOOSE(CONTROL!$C$42, 11.5666, 11.5666)* CHOOSE(CONTROL!$C$21, $C$9, 100%, $E$9)</f>
        <v>11.566599999999999</v>
      </c>
      <c r="J235" s="14">
        <f>CHOOSE(CONTROL!$C$42, 11.4997, 11.4997)* CHOOSE(CONTROL!$C$21, $C$9, 100%, $E$9)</f>
        <v>11.499700000000001</v>
      </c>
      <c r="K235" s="53">
        <f>CHOOSE(CONTROL!$C$42, 11.5627, 11.5627) * CHOOSE(CONTROL!$C$21, $C$9, 100%, $E$9)</f>
        <v>11.5627</v>
      </c>
      <c r="L235" s="14">
        <f>CHOOSE(CONTROL!$C$42, 12.3441, 12.3441) * CHOOSE(CONTROL!$C$21, $C$9, 100%, $E$9)</f>
        <v>12.344099999999999</v>
      </c>
      <c r="M235" s="14">
        <f>CHOOSE(CONTROL!$C$42, 11.2718, 11.2718) * CHOOSE(CONTROL!$C$21, $C$9, 100%, $E$9)</f>
        <v>11.271800000000001</v>
      </c>
      <c r="N235" s="14">
        <f>CHOOSE(CONTROL!$C$42, 11.2873, 11.2873) * CHOOSE(CONTROL!$C$21, $C$9, 100%, $E$9)</f>
        <v>11.2873</v>
      </c>
      <c r="O235" s="14">
        <f>CHOOSE(CONTROL!$C$42, 11.5239, 11.5239) * CHOOSE(CONTROL!$C$21, $C$9, 100%, $E$9)</f>
        <v>11.523899999999999</v>
      </c>
      <c r="P235" s="14">
        <f>CHOOSE(CONTROL!$C$42, 11.3367, 11.3367) * CHOOSE(CONTROL!$C$21, $C$9, 100%, $E$9)</f>
        <v>11.3367</v>
      </c>
      <c r="Q235" s="14">
        <f>CHOOSE(CONTROL!$C$42, 12.1186, 12.1186) * CHOOSE(CONTROL!$C$21, $C$9, 100%, $E$9)</f>
        <v>12.118600000000001</v>
      </c>
      <c r="R235" s="14">
        <f>CHOOSE(CONTROL!$C$42, 12.7359, 12.7359) * CHOOSE(CONTROL!$C$21, $C$9, 100%, $E$9)</f>
        <v>12.735900000000001</v>
      </c>
      <c r="S235" s="14">
        <f>CHOOSE(CONTROL!$C$42, 11.0638, 11.0638) * CHOOSE(CONTROL!$C$21, $C$9, 100%, $E$9)</f>
        <v>11.063800000000001</v>
      </c>
      <c r="T23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35" s="57">
        <f>(1000*CHOOSE(CONTROL!$C$42, 695, 695)*CHOOSE(CONTROL!$C$42, 0.5599, 0.5599)*CHOOSE(CONTROL!$C$42, 31, 31))/1000000</f>
        <v>12.063045499999998</v>
      </c>
      <c r="V235" s="57">
        <f>(1000*CHOOSE(CONTROL!$C$42, 500, 500)*CHOOSE(CONTROL!$C$42, 0.275, 0.275)*CHOOSE(CONTROL!$C$42, 31, 31))/1000000</f>
        <v>4.2625000000000002</v>
      </c>
      <c r="W235" s="57">
        <f>(1000*CHOOSE(CONTROL!$C$42, 0.1146, 0.1146)*CHOOSE(CONTROL!$C$42, 121.5, 121.5)*CHOOSE(CONTROL!$C$42, 31, 31))/1000000</f>
        <v>0.43164089999999994</v>
      </c>
      <c r="X235" s="57">
        <f>(31*0.1790888*245000/1000000)+(31*0.2374*100000/1000000)</f>
        <v>2.0961194359999999</v>
      </c>
      <c r="Y235" s="57"/>
      <c r="Z235" s="14"/>
      <c r="AA235" s="56"/>
      <c r="AB235" s="50">
        <f>(B235*194.205+C235*267.466+D235*133.845+E235*53.484+F235*40+G235*185+H235*0+I235*100+J235*300)/(194.205+267.466+133.845+53.484+0+40+185+100+300)</f>
        <v>11.555595281868131</v>
      </c>
      <c r="AC235" s="45">
        <f>(M235*'RAP TEMPLATE-GAS AVAILABILITY'!O234+N235*'RAP TEMPLATE-GAS AVAILABILITY'!P234+O235*'RAP TEMPLATE-GAS AVAILABILITY'!Q234+P235*'RAP TEMPLATE-GAS AVAILABILITY'!R234)/('RAP TEMPLATE-GAS AVAILABILITY'!O234+'RAP TEMPLATE-GAS AVAILABILITY'!P234+'RAP TEMPLATE-GAS AVAILABILITY'!Q234+'RAP TEMPLATE-GAS AVAILABILITY'!R234)</f>
        <v>11.355439568345323</v>
      </c>
    </row>
    <row r="236" spans="1:29" ht="15.75" x14ac:dyDescent="0.25">
      <c r="A236" s="13">
        <v>48061</v>
      </c>
      <c r="B236" s="14">
        <f>CHOOSE(CONTROL!$C$42, 10.9564, 10.9564) * CHOOSE(CONTROL!$C$21, $C$9, 100%, $E$9)</f>
        <v>10.9564</v>
      </c>
      <c r="C236" s="14">
        <f>CHOOSE(CONTROL!$C$42, 10.9644, 10.9644) * CHOOSE(CONTROL!$C$21, $C$9, 100%, $E$9)</f>
        <v>10.964399999999999</v>
      </c>
      <c r="D236" s="14">
        <f>CHOOSE(CONTROL!$C$42, 11.1684, 11.1684) * CHOOSE(CONTROL!$C$21, $C$9, 100%, $E$9)</f>
        <v>11.1684</v>
      </c>
      <c r="E236" s="14">
        <f>CHOOSE(CONTROL!$C$42, 11.1998, 11.1998) * CHOOSE(CONTROL!$C$21, $C$9, 100%, $E$9)</f>
        <v>11.1998</v>
      </c>
      <c r="F236" s="14">
        <f>CHOOSE(CONTROL!$C$42, 10.9383, 10.9383)*CHOOSE(CONTROL!$C$21, $C$9, 100%, $E$9)</f>
        <v>10.9383</v>
      </c>
      <c r="G236" s="14">
        <f>CHOOSE(CONTROL!$C$42, 10.9542, 10.9542)*CHOOSE(CONTROL!$C$21, $C$9, 100%, $E$9)</f>
        <v>10.9542</v>
      </c>
      <c r="H236" s="14">
        <f>CHOOSE(CONTROL!$C$42, 11.1885, 11.1885) * CHOOSE(CONTROL!$C$21, $C$9, 100%, $E$9)</f>
        <v>11.188499999999999</v>
      </c>
      <c r="I236" s="14">
        <f>CHOOSE(CONTROL!$C$42, 10.9962, 10.9962)* CHOOSE(CONTROL!$C$21, $C$9, 100%, $E$9)</f>
        <v>10.9962</v>
      </c>
      <c r="J236" s="14">
        <f>CHOOSE(CONTROL!$C$42, 10.9313, 10.9313)* CHOOSE(CONTROL!$C$21, $C$9, 100%, $E$9)</f>
        <v>10.9313</v>
      </c>
      <c r="K236" s="53">
        <f>CHOOSE(CONTROL!$C$42, 10.9923, 10.9923) * CHOOSE(CONTROL!$C$21, $C$9, 100%, $E$9)</f>
        <v>10.9923</v>
      </c>
      <c r="L236" s="14">
        <f>CHOOSE(CONTROL!$C$42, 11.7755, 11.7755) * CHOOSE(CONTROL!$C$21, $C$9, 100%, $E$9)</f>
        <v>11.775499999999999</v>
      </c>
      <c r="M236" s="14">
        <f>CHOOSE(CONTROL!$C$42, 10.715, 10.715) * CHOOSE(CONTROL!$C$21, $C$9, 100%, $E$9)</f>
        <v>10.715</v>
      </c>
      <c r="N236" s="14">
        <f>CHOOSE(CONTROL!$C$42, 10.7306, 10.7306) * CHOOSE(CONTROL!$C$21, $C$9, 100%, $E$9)</f>
        <v>10.730600000000001</v>
      </c>
      <c r="O236" s="14">
        <f>CHOOSE(CONTROL!$C$42, 10.9669, 10.9669) * CHOOSE(CONTROL!$C$21, $C$9, 100%, $E$9)</f>
        <v>10.966900000000001</v>
      </c>
      <c r="P236" s="14">
        <f>CHOOSE(CONTROL!$C$42, 10.7779, 10.7779) * CHOOSE(CONTROL!$C$21, $C$9, 100%, $E$9)</f>
        <v>10.777900000000001</v>
      </c>
      <c r="Q236" s="14">
        <f>CHOOSE(CONTROL!$C$42, 11.5616, 11.5616) * CHOOSE(CONTROL!$C$21, $C$9, 100%, $E$9)</f>
        <v>11.5616</v>
      </c>
      <c r="R236" s="14">
        <f>CHOOSE(CONTROL!$C$42, 12.1775, 12.1775) * CHOOSE(CONTROL!$C$21, $C$9, 100%, $E$9)</f>
        <v>12.1775</v>
      </c>
      <c r="S236" s="14">
        <f>CHOOSE(CONTROL!$C$42, 10.5174, 10.5174) * CHOOSE(CONTROL!$C$21, $C$9, 100%, $E$9)</f>
        <v>10.5174</v>
      </c>
      <c r="T23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36" s="57">
        <f>(1000*CHOOSE(CONTROL!$C$42, 695, 695)*CHOOSE(CONTROL!$C$42, 0.5599, 0.5599)*CHOOSE(CONTROL!$C$42, 31, 31))/1000000</f>
        <v>12.063045499999998</v>
      </c>
      <c r="V236" s="57">
        <f>(1000*CHOOSE(CONTROL!$C$42, 500, 500)*CHOOSE(CONTROL!$C$42, 0.275, 0.275)*CHOOSE(CONTROL!$C$42, 31, 31))/1000000</f>
        <v>4.2625000000000002</v>
      </c>
      <c r="W236" s="57">
        <f>(1000*CHOOSE(CONTROL!$C$42, 0.1146, 0.1146)*CHOOSE(CONTROL!$C$42, 121.5, 121.5)*CHOOSE(CONTROL!$C$42, 31, 31))/1000000</f>
        <v>0.43164089999999994</v>
      </c>
      <c r="X236" s="57">
        <f>(31*0.1790888*245000/1000000)+(31*0.2374*100000/1000000)</f>
        <v>2.0961194359999999</v>
      </c>
      <c r="Y236" s="57"/>
      <c r="Z236" s="14"/>
      <c r="AA236" s="56"/>
      <c r="AB236" s="50">
        <f>(B236*194.205+C236*267.466+D236*133.845+E236*53.484+F236*40+G236*185+H236*0+I236*100+J236*300)/(194.205+267.466+133.845+53.484+0+40+185+100+300)</f>
        <v>10.986895976138145</v>
      </c>
      <c r="AC236" s="45">
        <f>(M236*'RAP TEMPLATE-GAS AVAILABILITY'!O235+N236*'RAP TEMPLATE-GAS AVAILABILITY'!P235+O236*'RAP TEMPLATE-GAS AVAILABILITY'!Q235+P236*'RAP TEMPLATE-GAS AVAILABILITY'!R235)/('RAP TEMPLATE-GAS AVAILABILITY'!O235+'RAP TEMPLATE-GAS AVAILABILITY'!P235+'RAP TEMPLATE-GAS AVAILABILITY'!Q235+'RAP TEMPLATE-GAS AVAILABILITY'!R235)</f>
        <v>10.798318705035971</v>
      </c>
    </row>
    <row r="237" spans="1:29" ht="15.75" x14ac:dyDescent="0.25">
      <c r="A237" s="13">
        <v>48092</v>
      </c>
      <c r="B237" s="14">
        <f>CHOOSE(CONTROL!$C$42, 10.2612, 10.2612) * CHOOSE(CONTROL!$C$21, $C$9, 100%, $E$9)</f>
        <v>10.261200000000001</v>
      </c>
      <c r="C237" s="14">
        <f>CHOOSE(CONTROL!$C$42, 10.2692, 10.2692) * CHOOSE(CONTROL!$C$21, $C$9, 100%, $E$9)</f>
        <v>10.2692</v>
      </c>
      <c r="D237" s="14">
        <f>CHOOSE(CONTROL!$C$42, 10.4731, 10.4731) * CHOOSE(CONTROL!$C$21, $C$9, 100%, $E$9)</f>
        <v>10.473100000000001</v>
      </c>
      <c r="E237" s="14">
        <f>CHOOSE(CONTROL!$C$42, 10.5046, 10.5046) * CHOOSE(CONTROL!$C$21, $C$9, 100%, $E$9)</f>
        <v>10.5046</v>
      </c>
      <c r="F237" s="14">
        <f>CHOOSE(CONTROL!$C$42, 10.2431, 10.2431)*CHOOSE(CONTROL!$C$21, $C$9, 100%, $E$9)</f>
        <v>10.2431</v>
      </c>
      <c r="G237" s="14">
        <f>CHOOSE(CONTROL!$C$42, 10.2591, 10.2591)*CHOOSE(CONTROL!$C$21, $C$9, 100%, $E$9)</f>
        <v>10.2591</v>
      </c>
      <c r="H237" s="14">
        <f>CHOOSE(CONTROL!$C$42, 10.4932, 10.4932) * CHOOSE(CONTROL!$C$21, $C$9, 100%, $E$9)</f>
        <v>10.4932</v>
      </c>
      <c r="I237" s="14">
        <f>CHOOSE(CONTROL!$C$42, 10.2988, 10.2988)* CHOOSE(CONTROL!$C$21, $C$9, 100%, $E$9)</f>
        <v>10.2988</v>
      </c>
      <c r="J237" s="14">
        <f>CHOOSE(CONTROL!$C$42, 10.2361, 10.2361)* CHOOSE(CONTROL!$C$21, $C$9, 100%, $E$9)</f>
        <v>10.2361</v>
      </c>
      <c r="K237" s="53">
        <f>CHOOSE(CONTROL!$C$42, 10.2949, 10.2949) * CHOOSE(CONTROL!$C$21, $C$9, 100%, $E$9)</f>
        <v>10.2949</v>
      </c>
      <c r="L237" s="14">
        <f>CHOOSE(CONTROL!$C$42, 11.0802, 11.0802) * CHOOSE(CONTROL!$C$21, $C$9, 100%, $E$9)</f>
        <v>11.0802</v>
      </c>
      <c r="M237" s="14">
        <f>CHOOSE(CONTROL!$C$42, 10.0341, 10.0341) * CHOOSE(CONTROL!$C$21, $C$9, 100%, $E$9)</f>
        <v>10.0341</v>
      </c>
      <c r="N237" s="14">
        <f>CHOOSE(CONTROL!$C$42, 10.0497, 10.0497) * CHOOSE(CONTROL!$C$21, $C$9, 100%, $E$9)</f>
        <v>10.0497</v>
      </c>
      <c r="O237" s="14">
        <f>CHOOSE(CONTROL!$C$42, 10.2859, 10.2859) * CHOOSE(CONTROL!$C$21, $C$9, 100%, $E$9)</f>
        <v>10.2859</v>
      </c>
      <c r="P237" s="14">
        <f>CHOOSE(CONTROL!$C$42, 10.0949, 10.0949) * CHOOSE(CONTROL!$C$21, $C$9, 100%, $E$9)</f>
        <v>10.094900000000001</v>
      </c>
      <c r="Q237" s="14">
        <f>CHOOSE(CONTROL!$C$42, 10.8806, 10.8806) * CHOOSE(CONTROL!$C$21, $C$9, 100%, $E$9)</f>
        <v>10.880599999999999</v>
      </c>
      <c r="R237" s="14">
        <f>CHOOSE(CONTROL!$C$42, 11.4948, 11.4948) * CHOOSE(CONTROL!$C$21, $C$9, 100%, $E$9)</f>
        <v>11.4948</v>
      </c>
      <c r="S237" s="14">
        <f>CHOOSE(CONTROL!$C$42, 9.8493, 9.8493) * CHOOSE(CONTROL!$C$21, $C$9, 100%, $E$9)</f>
        <v>9.8492999999999995</v>
      </c>
      <c r="T23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37" s="57">
        <f>(1000*CHOOSE(CONTROL!$C$42, 695, 695)*CHOOSE(CONTROL!$C$42, 0.5599, 0.5599)*CHOOSE(CONTROL!$C$42, 30, 30))/1000000</f>
        <v>11.673914999999997</v>
      </c>
      <c r="V237" s="57">
        <f>(1000*CHOOSE(CONTROL!$C$42, 500, 500)*CHOOSE(CONTROL!$C$42, 0.275, 0.275)*CHOOSE(CONTROL!$C$42, 30, 30))/1000000</f>
        <v>4.125</v>
      </c>
      <c r="W237" s="57">
        <f>(1000*CHOOSE(CONTROL!$C$42, 0.1146, 0.1146)*CHOOSE(CONTROL!$C$42, 121.5, 121.5)*CHOOSE(CONTROL!$C$42, 30, 30))/1000000</f>
        <v>0.417717</v>
      </c>
      <c r="X237" s="57">
        <f>(30*0.1790888*245000/1000000)+(30*0.2374*100000/1000000)</f>
        <v>2.0285026799999999</v>
      </c>
      <c r="Y237" s="57"/>
      <c r="Z237" s="14"/>
      <c r="AA237" s="56"/>
      <c r="AB237" s="50">
        <f>(B237*194.205+C237*267.466+D237*133.845+E237*53.484+F237*40+G237*185+H237*0+I237*100+J237*300)/(194.205+267.466+133.845+53.484+0+40+185+100+300)</f>
        <v>10.291527306985873</v>
      </c>
      <c r="AC237" s="45">
        <f>(M237*'RAP TEMPLATE-GAS AVAILABILITY'!O236+N237*'RAP TEMPLATE-GAS AVAILABILITY'!P236+O237*'RAP TEMPLATE-GAS AVAILABILITY'!Q236+P237*'RAP TEMPLATE-GAS AVAILABILITY'!R236)/('RAP TEMPLATE-GAS AVAILABILITY'!O236+'RAP TEMPLATE-GAS AVAILABILITY'!P236+'RAP TEMPLATE-GAS AVAILABILITY'!Q236+'RAP TEMPLATE-GAS AVAILABILITY'!R236)</f>
        <v>10.117088489208633</v>
      </c>
    </row>
    <row r="238" spans="1:29" ht="15.75" x14ac:dyDescent="0.25">
      <c r="A238" s="13">
        <v>48122</v>
      </c>
      <c r="B238" s="14">
        <f>CHOOSE(CONTROL!$C$42, 10.0513, 10.0513) * CHOOSE(CONTROL!$C$21, $C$9, 100%, $E$9)</f>
        <v>10.051299999999999</v>
      </c>
      <c r="C238" s="14">
        <f>CHOOSE(CONTROL!$C$42, 10.0566, 10.0566) * CHOOSE(CONTROL!$C$21, $C$9, 100%, $E$9)</f>
        <v>10.0566</v>
      </c>
      <c r="D238" s="14">
        <f>CHOOSE(CONTROL!$C$42, 10.2656, 10.2656) * CHOOSE(CONTROL!$C$21, $C$9, 100%, $E$9)</f>
        <v>10.265599999999999</v>
      </c>
      <c r="E238" s="14">
        <f>CHOOSE(CONTROL!$C$42, 10.2947, 10.2947) * CHOOSE(CONTROL!$C$21, $C$9, 100%, $E$9)</f>
        <v>10.294700000000001</v>
      </c>
      <c r="F238" s="14">
        <f>CHOOSE(CONTROL!$C$42, 10.0353, 10.0353)*CHOOSE(CONTROL!$C$21, $C$9, 100%, $E$9)</f>
        <v>10.035299999999999</v>
      </c>
      <c r="G238" s="14">
        <f>CHOOSE(CONTROL!$C$42, 10.051, 10.051)*CHOOSE(CONTROL!$C$21, $C$9, 100%, $E$9)</f>
        <v>10.051</v>
      </c>
      <c r="H238" s="14">
        <f>CHOOSE(CONTROL!$C$42, 10.2851, 10.2851) * CHOOSE(CONTROL!$C$21, $C$9, 100%, $E$9)</f>
        <v>10.2851</v>
      </c>
      <c r="I238" s="14">
        <f>CHOOSE(CONTROL!$C$42, 10.09, 10.09)* CHOOSE(CONTROL!$C$21, $C$9, 100%, $E$9)</f>
        <v>10.09</v>
      </c>
      <c r="J238" s="14">
        <f>CHOOSE(CONTROL!$C$42, 10.0283, 10.0283)* CHOOSE(CONTROL!$C$21, $C$9, 100%, $E$9)</f>
        <v>10.0283</v>
      </c>
      <c r="K238" s="53">
        <f>CHOOSE(CONTROL!$C$42, 10.0861, 10.0861) * CHOOSE(CONTROL!$C$21, $C$9, 100%, $E$9)</f>
        <v>10.0861</v>
      </c>
      <c r="L238" s="14">
        <f>CHOOSE(CONTROL!$C$42, 10.8721, 10.8721) * CHOOSE(CONTROL!$C$21, $C$9, 100%, $E$9)</f>
        <v>10.8721</v>
      </c>
      <c r="M238" s="14">
        <f>CHOOSE(CONTROL!$C$42, 9.8305, 9.8305) * CHOOSE(CONTROL!$C$21, $C$9, 100%, $E$9)</f>
        <v>9.8305000000000007</v>
      </c>
      <c r="N238" s="14">
        <f>CHOOSE(CONTROL!$C$42, 9.8459, 9.8459) * CHOOSE(CONTROL!$C$21, $C$9, 100%, $E$9)</f>
        <v>9.8459000000000003</v>
      </c>
      <c r="O238" s="14">
        <f>CHOOSE(CONTROL!$C$42, 10.0821, 10.0821) * CHOOSE(CONTROL!$C$21, $C$9, 100%, $E$9)</f>
        <v>10.082100000000001</v>
      </c>
      <c r="P238" s="14">
        <f>CHOOSE(CONTROL!$C$42, 9.8904, 9.8904) * CHOOSE(CONTROL!$C$21, $C$9, 100%, $E$9)</f>
        <v>9.8903999999999996</v>
      </c>
      <c r="Q238" s="14">
        <f>CHOOSE(CONTROL!$C$42, 10.6768, 10.6768) * CHOOSE(CONTROL!$C$21, $C$9, 100%, $E$9)</f>
        <v>10.6768</v>
      </c>
      <c r="R238" s="14">
        <f>CHOOSE(CONTROL!$C$42, 11.2905, 11.2905) * CHOOSE(CONTROL!$C$21, $C$9, 100%, $E$9)</f>
        <v>11.2905</v>
      </c>
      <c r="S238" s="14">
        <f>CHOOSE(CONTROL!$C$42, 9.6494, 9.6494) * CHOOSE(CONTROL!$C$21, $C$9, 100%, $E$9)</f>
        <v>9.6494</v>
      </c>
      <c r="T23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38" s="57">
        <f>(1000*CHOOSE(CONTROL!$C$42, 695, 695)*CHOOSE(CONTROL!$C$42, 0.5599, 0.5599)*CHOOSE(CONTROL!$C$42, 31, 31))/1000000</f>
        <v>12.063045499999998</v>
      </c>
      <c r="V238" s="57">
        <f>(1000*CHOOSE(CONTROL!$C$42, 500, 500)*CHOOSE(CONTROL!$C$42, 0.275, 0.275)*CHOOSE(CONTROL!$C$42, 31, 31))/1000000</f>
        <v>4.2625000000000002</v>
      </c>
      <c r="W238" s="57">
        <f>(1000*CHOOSE(CONTROL!$C$42, 0.1146, 0.1146)*CHOOSE(CONTROL!$C$42, 121.5, 121.5)*CHOOSE(CONTROL!$C$42, 31, 31))/1000000</f>
        <v>0.43164089999999994</v>
      </c>
      <c r="X238" s="57">
        <f>(31*0.1790888*245000/1000000)+(31*0.2374*100000/1000000)</f>
        <v>2.0961194359999999</v>
      </c>
      <c r="Y238" s="57"/>
      <c r="Z238" s="14"/>
      <c r="AA238" s="56"/>
      <c r="AB238" s="50">
        <f>(B238*131.881+C238*277.167+D238*79.08+E238*125.872+F238*40+G238*185+H238*0+I238*100+J238*300)/(131.881+277.167+79.08+125.872+0+40+185+100+300)</f>
        <v>10.087883998305083</v>
      </c>
      <c r="AC238" s="45">
        <f>(M238*'RAP TEMPLATE-GAS AVAILABILITY'!O237+N238*'RAP TEMPLATE-GAS AVAILABILITY'!P237+O238*'RAP TEMPLATE-GAS AVAILABILITY'!Q237+P238*'RAP TEMPLATE-GAS AVAILABILITY'!R237)/('RAP TEMPLATE-GAS AVAILABILITY'!O237+'RAP TEMPLATE-GAS AVAILABILITY'!P237+'RAP TEMPLATE-GAS AVAILABILITY'!Q237+'RAP TEMPLATE-GAS AVAILABILITY'!R237)</f>
        <v>9.9132568345323744</v>
      </c>
    </row>
    <row r="239" spans="1:29" ht="15.75" x14ac:dyDescent="0.25">
      <c r="A239" s="13">
        <v>48153</v>
      </c>
      <c r="B239" s="14">
        <f>CHOOSE(CONTROL!$C$42, 10.3154, 10.3154) * CHOOSE(CONTROL!$C$21, $C$9, 100%, $E$9)</f>
        <v>10.3154</v>
      </c>
      <c r="C239" s="14">
        <f>CHOOSE(CONTROL!$C$42, 10.3205, 10.3205) * CHOOSE(CONTROL!$C$21, $C$9, 100%, $E$9)</f>
        <v>10.320499999999999</v>
      </c>
      <c r="D239" s="14">
        <f>CHOOSE(CONTROL!$C$42, 10.3843, 10.3843) * CHOOSE(CONTROL!$C$21, $C$9, 100%, $E$9)</f>
        <v>10.3843</v>
      </c>
      <c r="E239" s="14">
        <f>CHOOSE(CONTROL!$C$42, 10.4184, 10.4184) * CHOOSE(CONTROL!$C$21, $C$9, 100%, $E$9)</f>
        <v>10.4184</v>
      </c>
      <c r="F239" s="14">
        <f>CHOOSE(CONTROL!$C$42, 10.3178, 10.3178)*CHOOSE(CONTROL!$C$21, $C$9, 100%, $E$9)</f>
        <v>10.3178</v>
      </c>
      <c r="G239" s="14">
        <f>CHOOSE(CONTROL!$C$42, 10.3338, 10.3338)*CHOOSE(CONTROL!$C$21, $C$9, 100%, $E$9)</f>
        <v>10.3338</v>
      </c>
      <c r="H239" s="14">
        <f>CHOOSE(CONTROL!$C$42, 10.4076, 10.4076) * CHOOSE(CONTROL!$C$21, $C$9, 100%, $E$9)</f>
        <v>10.4076</v>
      </c>
      <c r="I239" s="14">
        <f>CHOOSE(CONTROL!$C$42, 10.3606, 10.3606)* CHOOSE(CONTROL!$C$21, $C$9, 100%, $E$9)</f>
        <v>10.3606</v>
      </c>
      <c r="J239" s="14">
        <f>CHOOSE(CONTROL!$C$42, 10.3108, 10.3108)* CHOOSE(CONTROL!$C$21, $C$9, 100%, $E$9)</f>
        <v>10.3108</v>
      </c>
      <c r="K239" s="53">
        <f>CHOOSE(CONTROL!$C$42, 10.3567, 10.3567) * CHOOSE(CONTROL!$C$21, $C$9, 100%, $E$9)</f>
        <v>10.3567</v>
      </c>
      <c r="L239" s="14">
        <f>CHOOSE(CONTROL!$C$42, 10.9946, 10.9946) * CHOOSE(CONTROL!$C$21, $C$9, 100%, $E$9)</f>
        <v>10.9946</v>
      </c>
      <c r="M239" s="14">
        <f>CHOOSE(CONTROL!$C$42, 10.1073, 10.1073) * CHOOSE(CONTROL!$C$21, $C$9, 100%, $E$9)</f>
        <v>10.1073</v>
      </c>
      <c r="N239" s="14">
        <f>CHOOSE(CONTROL!$C$42, 10.1229, 10.1229) * CHOOSE(CONTROL!$C$21, $C$9, 100%, $E$9)</f>
        <v>10.1229</v>
      </c>
      <c r="O239" s="14">
        <f>CHOOSE(CONTROL!$C$42, 10.2021, 10.2021) * CHOOSE(CONTROL!$C$21, $C$9, 100%, $E$9)</f>
        <v>10.2021</v>
      </c>
      <c r="P239" s="14">
        <f>CHOOSE(CONTROL!$C$42, 10.1554, 10.1554) * CHOOSE(CONTROL!$C$21, $C$9, 100%, $E$9)</f>
        <v>10.1554</v>
      </c>
      <c r="Q239" s="14">
        <f>CHOOSE(CONTROL!$C$42, 10.7968, 10.7968) * CHOOSE(CONTROL!$C$21, $C$9, 100%, $E$9)</f>
        <v>10.796799999999999</v>
      </c>
      <c r="R239" s="14">
        <f>CHOOSE(CONTROL!$C$42, 11.4108, 11.4108) * CHOOSE(CONTROL!$C$21, $C$9, 100%, $E$9)</f>
        <v>11.4108</v>
      </c>
      <c r="S239" s="14">
        <f>CHOOSE(CONTROL!$C$42, 9.9036, 9.9036) * CHOOSE(CONTROL!$C$21, $C$9, 100%, $E$9)</f>
        <v>9.9036000000000008</v>
      </c>
      <c r="T23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39" s="57">
        <f>(1000*CHOOSE(CONTROL!$C$42, 695, 695)*CHOOSE(CONTROL!$C$42, 0.5599, 0.5599)*CHOOSE(CONTROL!$C$42, 30, 30))/1000000</f>
        <v>11.673914999999997</v>
      </c>
      <c r="V239" s="57">
        <f>(1000*CHOOSE(CONTROL!$C$42, 500, 500)*CHOOSE(CONTROL!$C$42, 0.275, 0.275)*CHOOSE(CONTROL!$C$42, 30, 30))/1000000</f>
        <v>4.125</v>
      </c>
      <c r="W239" s="57">
        <f>(1000*CHOOSE(CONTROL!$C$42, 0.1146, 0.1146)*CHOOSE(CONTROL!$C$42, 121.5, 121.5)*CHOOSE(CONTROL!$C$42, 30, 30))/1000000</f>
        <v>0.417717</v>
      </c>
      <c r="X239" s="57">
        <f>(30*0.1790888*100000/1000000)+(30*0.2374*100000/1000000)</f>
        <v>1.2494664</v>
      </c>
      <c r="Y239" s="57"/>
      <c r="Z239" s="14"/>
      <c r="AA239" s="56"/>
      <c r="AB239" s="50">
        <f>(B239*122.58+C239*297.941+D239*89.177+E239*40.302+F239*40+G239*160+H239*0+I239*100+J239*300)/(122.58+297.941+89.177+40.302+0+40+160+100+300)</f>
        <v>10.33104773947826</v>
      </c>
      <c r="AC239" s="45">
        <f>(M239*'RAP TEMPLATE-GAS AVAILABILITY'!O238+N239*'RAP TEMPLATE-GAS AVAILABILITY'!P238+O239*'RAP TEMPLATE-GAS AVAILABILITY'!Q238+P239*'RAP TEMPLATE-GAS AVAILABILITY'!R238)/('RAP TEMPLATE-GAS AVAILABILITY'!O238+'RAP TEMPLATE-GAS AVAILABILITY'!P238+'RAP TEMPLATE-GAS AVAILABILITY'!Q238+'RAP TEMPLATE-GAS AVAILABILITY'!R238)</f>
        <v>10.15808561151079</v>
      </c>
    </row>
    <row r="240" spans="1:29" ht="15.75" x14ac:dyDescent="0.25">
      <c r="A240" s="13">
        <v>48183</v>
      </c>
      <c r="B240" s="14">
        <f>CHOOSE(CONTROL!$C$42, 11.0181, 11.0181) * CHOOSE(CONTROL!$C$21, $C$9, 100%, $E$9)</f>
        <v>11.0181</v>
      </c>
      <c r="C240" s="14">
        <f>CHOOSE(CONTROL!$C$42, 11.0231, 11.0231) * CHOOSE(CONTROL!$C$21, $C$9, 100%, $E$9)</f>
        <v>11.023099999999999</v>
      </c>
      <c r="D240" s="14">
        <f>CHOOSE(CONTROL!$C$42, 11.087, 11.087) * CHOOSE(CONTROL!$C$21, $C$9, 100%, $E$9)</f>
        <v>11.087</v>
      </c>
      <c r="E240" s="14">
        <f>CHOOSE(CONTROL!$C$42, 11.1211, 11.1211) * CHOOSE(CONTROL!$C$21, $C$9, 100%, $E$9)</f>
        <v>11.1211</v>
      </c>
      <c r="F240" s="14">
        <f>CHOOSE(CONTROL!$C$42, 11.0227, 11.0227)*CHOOSE(CONTROL!$C$21, $C$9, 100%, $E$9)</f>
        <v>11.0227</v>
      </c>
      <c r="G240" s="14">
        <f>CHOOSE(CONTROL!$C$42, 11.0393, 11.0393)*CHOOSE(CONTROL!$C$21, $C$9, 100%, $E$9)</f>
        <v>11.039300000000001</v>
      </c>
      <c r="H240" s="14">
        <f>CHOOSE(CONTROL!$C$42, 11.1103, 11.1103) * CHOOSE(CONTROL!$C$21, $C$9, 100%, $E$9)</f>
        <v>11.110300000000001</v>
      </c>
      <c r="I240" s="14">
        <f>CHOOSE(CONTROL!$C$42, 11.0654, 11.0654)* CHOOSE(CONTROL!$C$21, $C$9, 100%, $E$9)</f>
        <v>11.0654</v>
      </c>
      <c r="J240" s="14">
        <f>CHOOSE(CONTROL!$C$42, 11.0157, 11.0157)* CHOOSE(CONTROL!$C$21, $C$9, 100%, $E$9)</f>
        <v>11.015700000000001</v>
      </c>
      <c r="K240" s="53">
        <f>CHOOSE(CONTROL!$C$42, 11.0615, 11.0615) * CHOOSE(CONTROL!$C$21, $C$9, 100%, $E$9)</f>
        <v>11.061500000000001</v>
      </c>
      <c r="L240" s="14">
        <f>CHOOSE(CONTROL!$C$42, 11.6973, 11.6973) * CHOOSE(CONTROL!$C$21, $C$9, 100%, $E$9)</f>
        <v>11.6973</v>
      </c>
      <c r="M240" s="14">
        <f>CHOOSE(CONTROL!$C$42, 10.7977, 10.7977) * CHOOSE(CONTROL!$C$21, $C$9, 100%, $E$9)</f>
        <v>10.797700000000001</v>
      </c>
      <c r="N240" s="14">
        <f>CHOOSE(CONTROL!$C$42, 10.814, 10.814) * CHOOSE(CONTROL!$C$21, $C$9, 100%, $E$9)</f>
        <v>10.814</v>
      </c>
      <c r="O240" s="14">
        <f>CHOOSE(CONTROL!$C$42, 10.8903, 10.8903) * CHOOSE(CONTROL!$C$21, $C$9, 100%, $E$9)</f>
        <v>10.8903</v>
      </c>
      <c r="P240" s="14">
        <f>CHOOSE(CONTROL!$C$42, 10.8458, 10.8458) * CHOOSE(CONTROL!$C$21, $C$9, 100%, $E$9)</f>
        <v>10.845800000000001</v>
      </c>
      <c r="Q240" s="14">
        <f>CHOOSE(CONTROL!$C$42, 11.485, 11.485) * CHOOSE(CONTROL!$C$21, $C$9, 100%, $E$9)</f>
        <v>11.484999999999999</v>
      </c>
      <c r="R240" s="14">
        <f>CHOOSE(CONTROL!$C$42, 12.1007, 12.1007) * CHOOSE(CONTROL!$C$21, $C$9, 100%, $E$9)</f>
        <v>12.1007</v>
      </c>
      <c r="S240" s="14">
        <f>CHOOSE(CONTROL!$C$42, 10.5787, 10.5787) * CHOOSE(CONTROL!$C$21, $C$9, 100%, $E$9)</f>
        <v>10.5787</v>
      </c>
      <c r="T24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40" s="57">
        <f>(1000*CHOOSE(CONTROL!$C$42, 695, 695)*CHOOSE(CONTROL!$C$42, 0.5599, 0.5599)*CHOOSE(CONTROL!$C$42, 31, 31))/1000000</f>
        <v>12.063045499999998</v>
      </c>
      <c r="V240" s="57">
        <f>(1000*CHOOSE(CONTROL!$C$42, 500, 500)*CHOOSE(CONTROL!$C$42, 0.275, 0.275)*CHOOSE(CONTROL!$C$42, 31, 31))/1000000</f>
        <v>4.2625000000000002</v>
      </c>
      <c r="W240" s="57">
        <f>(1000*CHOOSE(CONTROL!$C$42, 0.1146, 0.1146)*CHOOSE(CONTROL!$C$42, 121.5, 121.5)*CHOOSE(CONTROL!$C$42, 31, 31))/1000000</f>
        <v>0.43164089999999994</v>
      </c>
      <c r="X240" s="57">
        <f>(31*0.1790888*100000/1000000)+(31*0.2374*100000/1000000)</f>
        <v>1.2911152800000001</v>
      </c>
      <c r="Y240" s="57"/>
      <c r="Z240" s="14"/>
      <c r="AA240" s="56"/>
      <c r="AB240" s="50">
        <f>(B240*122.58+C240*297.941+D240*89.177+E240*40.302+F240*40+G240*160+H240*0+I240*100+J240*300)/(122.58+297.941+89.177+40.302+0+40+160+100+300)</f>
        <v>11.034944440260869</v>
      </c>
      <c r="AC240" s="45">
        <f>(M240*'RAP TEMPLATE-GAS AVAILABILITY'!O239+N240*'RAP TEMPLATE-GAS AVAILABILITY'!P239+O240*'RAP TEMPLATE-GAS AVAILABILITY'!Q239+P240*'RAP TEMPLATE-GAS AVAILABILITY'!R239)/('RAP TEMPLATE-GAS AVAILABILITY'!O239+'RAP TEMPLATE-GAS AVAILABILITY'!P239+'RAP TEMPLATE-GAS AVAILABILITY'!Q239+'RAP TEMPLATE-GAS AVAILABILITY'!R239)</f>
        <v>10.847528776978418</v>
      </c>
    </row>
    <row r="241" spans="1:29" ht="15.75" x14ac:dyDescent="0.25">
      <c r="A241" s="13">
        <v>48214</v>
      </c>
      <c r="B241" s="14">
        <f>CHOOSE(CONTROL!$C$42, 11.9198, 11.9198) * CHOOSE(CONTROL!$C$21, $C$9, 100%, $E$9)</f>
        <v>11.9198</v>
      </c>
      <c r="C241" s="14">
        <f>CHOOSE(CONTROL!$C$42, 11.9249, 11.9249) * CHOOSE(CONTROL!$C$21, $C$9, 100%, $E$9)</f>
        <v>11.924899999999999</v>
      </c>
      <c r="D241" s="14">
        <f>CHOOSE(CONTROL!$C$42, 11.9913, 11.9913) * CHOOSE(CONTROL!$C$21, $C$9, 100%, $E$9)</f>
        <v>11.991300000000001</v>
      </c>
      <c r="E241" s="14">
        <f>CHOOSE(CONTROL!$C$42, 12.0254, 12.0254) * CHOOSE(CONTROL!$C$21, $C$9, 100%, $E$9)</f>
        <v>12.025399999999999</v>
      </c>
      <c r="F241" s="14">
        <f>CHOOSE(CONTROL!$C$42, 11.9072, 11.9072)*CHOOSE(CONTROL!$C$21, $C$9, 100%, $E$9)</f>
        <v>11.9072</v>
      </c>
      <c r="G241" s="14">
        <f>CHOOSE(CONTROL!$C$42, 11.9226, 11.9226)*CHOOSE(CONTROL!$C$21, $C$9, 100%, $E$9)</f>
        <v>11.922599999999999</v>
      </c>
      <c r="H241" s="14">
        <f>CHOOSE(CONTROL!$C$42, 12.0146, 12.0146) * CHOOSE(CONTROL!$C$21, $C$9, 100%, $E$9)</f>
        <v>12.0146</v>
      </c>
      <c r="I241" s="14">
        <f>CHOOSE(CONTROL!$C$42, 11.9648, 11.9648)* CHOOSE(CONTROL!$C$21, $C$9, 100%, $E$9)</f>
        <v>11.9648</v>
      </c>
      <c r="J241" s="14">
        <f>CHOOSE(CONTROL!$C$42, 11.9002, 11.9002)* CHOOSE(CONTROL!$C$21, $C$9, 100%, $E$9)</f>
        <v>11.9002</v>
      </c>
      <c r="K241" s="53">
        <f>CHOOSE(CONTROL!$C$42, 11.9609, 11.9609) * CHOOSE(CONTROL!$C$21, $C$9, 100%, $E$9)</f>
        <v>11.960900000000001</v>
      </c>
      <c r="L241" s="14">
        <f>CHOOSE(CONTROL!$C$42, 12.6016, 12.6016) * CHOOSE(CONTROL!$C$21, $C$9, 100%, $E$9)</f>
        <v>12.601599999999999</v>
      </c>
      <c r="M241" s="14">
        <f>CHOOSE(CONTROL!$C$42, 11.664, 11.664) * CHOOSE(CONTROL!$C$21, $C$9, 100%, $E$9)</f>
        <v>11.664</v>
      </c>
      <c r="N241" s="14">
        <f>CHOOSE(CONTROL!$C$42, 11.6792, 11.6792) * CHOOSE(CONTROL!$C$21, $C$9, 100%, $E$9)</f>
        <v>11.6792</v>
      </c>
      <c r="O241" s="14">
        <f>CHOOSE(CONTROL!$C$42, 11.7761, 11.7761) * CHOOSE(CONTROL!$C$21, $C$9, 100%, $E$9)</f>
        <v>11.7761</v>
      </c>
      <c r="P241" s="14">
        <f>CHOOSE(CONTROL!$C$42, 11.7267, 11.7267) * CHOOSE(CONTROL!$C$21, $C$9, 100%, $E$9)</f>
        <v>11.726699999999999</v>
      </c>
      <c r="Q241" s="14">
        <f>CHOOSE(CONTROL!$C$42, 12.3708, 12.3708) * CHOOSE(CONTROL!$C$21, $C$9, 100%, $E$9)</f>
        <v>12.370799999999999</v>
      </c>
      <c r="R241" s="14">
        <f>CHOOSE(CONTROL!$C$42, 12.9888, 12.9888) * CHOOSE(CONTROL!$C$21, $C$9, 100%, $E$9)</f>
        <v>12.988799999999999</v>
      </c>
      <c r="S241" s="14">
        <f>CHOOSE(CONTROL!$C$42, 11.4452, 11.4452) * CHOOSE(CONTROL!$C$21, $C$9, 100%, $E$9)</f>
        <v>11.4452</v>
      </c>
      <c r="T24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41" s="57">
        <f>(1000*CHOOSE(CONTROL!$C$42, 695, 695)*CHOOSE(CONTROL!$C$42, 0.5599, 0.5599)*CHOOSE(CONTROL!$C$42, 31, 31))/1000000</f>
        <v>12.063045499999998</v>
      </c>
      <c r="V241" s="57">
        <f>(1000*CHOOSE(CONTROL!$C$42, 500, 500)*CHOOSE(CONTROL!$C$42, 0.275, 0.275)*CHOOSE(CONTROL!$C$42, 31, 31))/1000000</f>
        <v>4.2625000000000002</v>
      </c>
      <c r="W241" s="57">
        <f>(1000*CHOOSE(CONTROL!$C$42, 0.1146, 0.1146)*CHOOSE(CONTROL!$C$42, 121.5, 121.5)*CHOOSE(CONTROL!$C$42, 31, 31))/1000000</f>
        <v>0.43164089999999994</v>
      </c>
      <c r="X241" s="57">
        <f>(31*0.1790888*100000/1000000)+(31*0.2374*100000/1000000)</f>
        <v>1.2911152800000001</v>
      </c>
      <c r="Y241" s="57"/>
      <c r="Z241" s="14"/>
      <c r="AA241" s="56"/>
      <c r="AB241" s="50">
        <f>(B241*122.58+C241*297.941+D241*89.177+E241*40.302+F241*40+G241*160+H241*0+I241*100+J241*300)/(122.58+297.941+89.177+40.302+0+40+160+100+300)</f>
        <v>11.929117865913042</v>
      </c>
      <c r="AC241" s="45">
        <f>(M241*'RAP TEMPLATE-GAS AVAILABILITY'!O240+N241*'RAP TEMPLATE-GAS AVAILABILITY'!P240+O241*'RAP TEMPLATE-GAS AVAILABILITY'!Q240+P241*'RAP TEMPLATE-GAS AVAILABILITY'!R240)/('RAP TEMPLATE-GAS AVAILABILITY'!O240+'RAP TEMPLATE-GAS AVAILABILITY'!P240+'RAP TEMPLATE-GAS AVAILABILITY'!Q240+'RAP TEMPLATE-GAS AVAILABILITY'!R240)</f>
        <v>11.724704316546763</v>
      </c>
    </row>
    <row r="242" spans="1:29" ht="15.75" x14ac:dyDescent="0.25">
      <c r="A242" s="13">
        <v>48245</v>
      </c>
      <c r="B242" s="14">
        <f>CHOOSE(CONTROL!$C$42, 12.1318, 12.1318) * CHOOSE(CONTROL!$C$21, $C$9, 100%, $E$9)</f>
        <v>12.1318</v>
      </c>
      <c r="C242" s="14">
        <f>CHOOSE(CONTROL!$C$42, 12.1369, 12.1369) * CHOOSE(CONTROL!$C$21, $C$9, 100%, $E$9)</f>
        <v>12.136900000000001</v>
      </c>
      <c r="D242" s="14">
        <f>CHOOSE(CONTROL!$C$42, 12.2033, 12.2033) * CHOOSE(CONTROL!$C$21, $C$9, 100%, $E$9)</f>
        <v>12.2033</v>
      </c>
      <c r="E242" s="14">
        <f>CHOOSE(CONTROL!$C$42, 12.2374, 12.2374) * CHOOSE(CONTROL!$C$21, $C$9, 100%, $E$9)</f>
        <v>12.237399999999999</v>
      </c>
      <c r="F242" s="14">
        <f>CHOOSE(CONTROL!$C$42, 12.1193, 12.1193)*CHOOSE(CONTROL!$C$21, $C$9, 100%, $E$9)</f>
        <v>12.119300000000001</v>
      </c>
      <c r="G242" s="14">
        <f>CHOOSE(CONTROL!$C$42, 12.1347, 12.1347)*CHOOSE(CONTROL!$C$21, $C$9, 100%, $E$9)</f>
        <v>12.1347</v>
      </c>
      <c r="H242" s="14">
        <f>CHOOSE(CONTROL!$C$42, 12.2266, 12.2266) * CHOOSE(CONTROL!$C$21, $C$9, 100%, $E$9)</f>
        <v>12.226599999999999</v>
      </c>
      <c r="I242" s="14">
        <f>CHOOSE(CONTROL!$C$42, 12.1775, 12.1775)* CHOOSE(CONTROL!$C$21, $C$9, 100%, $E$9)</f>
        <v>12.1775</v>
      </c>
      <c r="J242" s="14">
        <f>CHOOSE(CONTROL!$C$42, 12.1123, 12.1123)* CHOOSE(CONTROL!$C$21, $C$9, 100%, $E$9)</f>
        <v>12.112299999999999</v>
      </c>
      <c r="K242" s="53">
        <f>CHOOSE(CONTROL!$C$42, 12.1736, 12.1736) * CHOOSE(CONTROL!$C$21, $C$9, 100%, $E$9)</f>
        <v>12.1736</v>
      </c>
      <c r="L242" s="14">
        <f>CHOOSE(CONTROL!$C$42, 12.8136, 12.8136) * CHOOSE(CONTROL!$C$21, $C$9, 100%, $E$9)</f>
        <v>12.813599999999999</v>
      </c>
      <c r="M242" s="14">
        <f>CHOOSE(CONTROL!$C$42, 11.8718, 11.8718) * CHOOSE(CONTROL!$C$21, $C$9, 100%, $E$9)</f>
        <v>11.8718</v>
      </c>
      <c r="N242" s="14">
        <f>CHOOSE(CONTROL!$C$42, 11.8869, 11.8869) * CHOOSE(CONTROL!$C$21, $C$9, 100%, $E$9)</f>
        <v>11.886900000000001</v>
      </c>
      <c r="O242" s="14">
        <f>CHOOSE(CONTROL!$C$42, 11.9838, 11.9838) * CHOOSE(CONTROL!$C$21, $C$9, 100%, $E$9)</f>
        <v>11.9838</v>
      </c>
      <c r="P242" s="14">
        <f>CHOOSE(CONTROL!$C$42, 11.935, 11.935) * CHOOSE(CONTROL!$C$21, $C$9, 100%, $E$9)</f>
        <v>11.935</v>
      </c>
      <c r="Q242" s="14">
        <f>CHOOSE(CONTROL!$C$42, 12.5785, 12.5785) * CHOOSE(CONTROL!$C$21, $C$9, 100%, $E$9)</f>
        <v>12.5785</v>
      </c>
      <c r="R242" s="14">
        <f>CHOOSE(CONTROL!$C$42, 13.1969, 13.1969) * CHOOSE(CONTROL!$C$21, $C$9, 100%, $E$9)</f>
        <v>13.196899999999999</v>
      </c>
      <c r="S242" s="14">
        <f>CHOOSE(CONTROL!$C$42, 11.6489, 11.6489) * CHOOSE(CONTROL!$C$21, $C$9, 100%, $E$9)</f>
        <v>11.648899999999999</v>
      </c>
      <c r="T242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242" s="57">
        <f>(1000*CHOOSE(CONTROL!$C$42, 695, 695)*CHOOSE(CONTROL!$C$42, 0.5599, 0.5599)*CHOOSE(CONTROL!$C$42, 29, 29))/1000000</f>
        <v>11.284784499999999</v>
      </c>
      <c r="V242" s="57">
        <f>(1000*CHOOSE(CONTROL!$C$42, 500, 500)*CHOOSE(CONTROL!$C$42, 0.275, 0.275)*CHOOSE(CONTROL!$C$42, 29, 29))/1000000</f>
        <v>3.9874999999999998</v>
      </c>
      <c r="W242" s="57">
        <f>(1000*CHOOSE(CONTROL!$C$42, 0.1146, 0.1146)*CHOOSE(CONTROL!$C$42, 121.5, 121.5)*CHOOSE(CONTROL!$C$42, 29, 29))/1000000</f>
        <v>0.40379309999999996</v>
      </c>
      <c r="X242" s="57">
        <f>(29*0.1790888*100000/1000000)+(29*0.2374*100000/1000000)</f>
        <v>1.2078175199999999</v>
      </c>
      <c r="Y242" s="57"/>
      <c r="Z242" s="14"/>
      <c r="AA242" s="56"/>
      <c r="AB242" s="50">
        <f>(B242*122.58+C242*297.941+D242*89.177+E242*40.302+F242*40+G242*160+H242*0+I242*100+J242*300)/(122.58+297.941+89.177+40.302+0+40+160+100+300)</f>
        <v>12.14122221373913</v>
      </c>
      <c r="AC242" s="45">
        <f>(M242*'RAP TEMPLATE-GAS AVAILABILITY'!O241+N242*'RAP TEMPLATE-GAS AVAILABILITY'!P241+O242*'RAP TEMPLATE-GAS AVAILABILITY'!Q241+P242*'RAP TEMPLATE-GAS AVAILABILITY'!R241)/('RAP TEMPLATE-GAS AVAILABILITY'!O241+'RAP TEMPLATE-GAS AVAILABILITY'!P241+'RAP TEMPLATE-GAS AVAILABILITY'!Q241+'RAP TEMPLATE-GAS AVAILABILITY'!R241)</f>
        <v>11.932525179856114</v>
      </c>
    </row>
    <row r="243" spans="1:29" ht="15.75" x14ac:dyDescent="0.25">
      <c r="A243" s="13">
        <v>48274</v>
      </c>
      <c r="B243" s="14">
        <f>CHOOSE(CONTROL!$C$42, 11.7877, 11.7877) * CHOOSE(CONTROL!$C$21, $C$9, 100%, $E$9)</f>
        <v>11.787699999999999</v>
      </c>
      <c r="C243" s="14">
        <f>CHOOSE(CONTROL!$C$42, 11.7928, 11.7928) * CHOOSE(CONTROL!$C$21, $C$9, 100%, $E$9)</f>
        <v>11.7928</v>
      </c>
      <c r="D243" s="14">
        <f>CHOOSE(CONTROL!$C$42, 11.8592, 11.8592) * CHOOSE(CONTROL!$C$21, $C$9, 100%, $E$9)</f>
        <v>11.8592</v>
      </c>
      <c r="E243" s="14">
        <f>CHOOSE(CONTROL!$C$42, 11.8933, 11.8933) * CHOOSE(CONTROL!$C$21, $C$9, 100%, $E$9)</f>
        <v>11.8933</v>
      </c>
      <c r="F243" s="14">
        <f>CHOOSE(CONTROL!$C$42, 11.7747, 11.7747)*CHOOSE(CONTROL!$C$21, $C$9, 100%, $E$9)</f>
        <v>11.774699999999999</v>
      </c>
      <c r="G243" s="14">
        <f>CHOOSE(CONTROL!$C$42, 11.7901, 11.7901)*CHOOSE(CONTROL!$C$21, $C$9, 100%, $E$9)</f>
        <v>11.790100000000001</v>
      </c>
      <c r="H243" s="14">
        <f>CHOOSE(CONTROL!$C$42, 11.8825, 11.8825) * CHOOSE(CONTROL!$C$21, $C$9, 100%, $E$9)</f>
        <v>11.8825</v>
      </c>
      <c r="I243" s="14">
        <f>CHOOSE(CONTROL!$C$42, 11.8322, 11.8322)* CHOOSE(CONTROL!$C$21, $C$9, 100%, $E$9)</f>
        <v>11.8322</v>
      </c>
      <c r="J243" s="14">
        <f>CHOOSE(CONTROL!$C$42, 11.7677, 11.7677)* CHOOSE(CONTROL!$C$21, $C$9, 100%, $E$9)</f>
        <v>11.7677</v>
      </c>
      <c r="K243" s="53">
        <f>CHOOSE(CONTROL!$C$42, 11.8283, 11.8283) * CHOOSE(CONTROL!$C$21, $C$9, 100%, $E$9)</f>
        <v>11.8283</v>
      </c>
      <c r="L243" s="14">
        <f>CHOOSE(CONTROL!$C$42, 12.4695, 12.4695) * CHOOSE(CONTROL!$C$21, $C$9, 100%, $E$9)</f>
        <v>12.4695</v>
      </c>
      <c r="M243" s="14">
        <f>CHOOSE(CONTROL!$C$42, 11.5343, 11.5343) * CHOOSE(CONTROL!$C$21, $C$9, 100%, $E$9)</f>
        <v>11.5343</v>
      </c>
      <c r="N243" s="14">
        <f>CHOOSE(CONTROL!$C$42, 11.5493, 11.5493) * CHOOSE(CONTROL!$C$21, $C$9, 100%, $E$9)</f>
        <v>11.549300000000001</v>
      </c>
      <c r="O243" s="14">
        <f>CHOOSE(CONTROL!$C$42, 11.6467, 11.6467) * CHOOSE(CONTROL!$C$21, $C$9, 100%, $E$9)</f>
        <v>11.646699999999999</v>
      </c>
      <c r="P243" s="14">
        <f>CHOOSE(CONTROL!$C$42, 11.5968, 11.5968) * CHOOSE(CONTROL!$C$21, $C$9, 100%, $E$9)</f>
        <v>11.5968</v>
      </c>
      <c r="Q243" s="14">
        <f>CHOOSE(CONTROL!$C$42, 12.2414, 12.2414) * CHOOSE(CONTROL!$C$21, $C$9, 100%, $E$9)</f>
        <v>12.241400000000001</v>
      </c>
      <c r="R243" s="14">
        <f>CHOOSE(CONTROL!$C$42, 12.859, 12.859) * CHOOSE(CONTROL!$C$21, $C$9, 100%, $E$9)</f>
        <v>12.859</v>
      </c>
      <c r="S243" s="14">
        <f>CHOOSE(CONTROL!$C$42, 11.3182, 11.3182) * CHOOSE(CONTROL!$C$21, $C$9, 100%, $E$9)</f>
        <v>11.318199999999999</v>
      </c>
      <c r="T24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43" s="57">
        <f>(1000*CHOOSE(CONTROL!$C$42, 695, 695)*CHOOSE(CONTROL!$C$42, 0.5599, 0.5599)*CHOOSE(CONTROL!$C$42, 31, 31))/1000000</f>
        <v>12.063045499999998</v>
      </c>
      <c r="V243" s="57">
        <f>(1000*CHOOSE(CONTROL!$C$42, 500, 500)*CHOOSE(CONTROL!$C$42, 0.275, 0.275)*CHOOSE(CONTROL!$C$42, 31, 31))/1000000</f>
        <v>4.2625000000000002</v>
      </c>
      <c r="W243" s="57">
        <f>(1000*CHOOSE(CONTROL!$C$42, 0.1146, 0.1146)*CHOOSE(CONTROL!$C$42, 121.5, 121.5)*CHOOSE(CONTROL!$C$42, 31, 31))/1000000</f>
        <v>0.43164089999999994</v>
      </c>
      <c r="X243" s="57">
        <f>(31*0.1790888*100000/1000000)+(31*0.2374*100000/1000000)</f>
        <v>1.2911152800000001</v>
      </c>
      <c r="Y243" s="57"/>
      <c r="Z243" s="14"/>
      <c r="AA243" s="56"/>
      <c r="AB243" s="50">
        <f>(B243*122.58+C243*297.941+D243*89.177+E243*40.302+F243*40+G243*160+H243*0+I243*100+J243*300)/(122.58+297.941+89.177+40.302+0+40+160+100+300)</f>
        <v>11.796800474608695</v>
      </c>
      <c r="AC243" s="45">
        <f>(M243*'RAP TEMPLATE-GAS AVAILABILITY'!O242+N243*'RAP TEMPLATE-GAS AVAILABILITY'!P242+O243*'RAP TEMPLATE-GAS AVAILABILITY'!Q242+P243*'RAP TEMPLATE-GAS AVAILABILITY'!R242)/('RAP TEMPLATE-GAS AVAILABILITY'!O242+'RAP TEMPLATE-GAS AVAILABILITY'!P242+'RAP TEMPLATE-GAS AVAILABILITY'!Q242+'RAP TEMPLATE-GAS AVAILABILITY'!R242)</f>
        <v>11.5951</v>
      </c>
    </row>
    <row r="244" spans="1:29" ht="15.75" x14ac:dyDescent="0.25">
      <c r="A244" s="13">
        <v>48305</v>
      </c>
      <c r="B244" s="14">
        <f>CHOOSE(CONTROL!$C$42, 11.7536, 11.7536) * CHOOSE(CONTROL!$C$21, $C$9, 100%, $E$9)</f>
        <v>11.7536</v>
      </c>
      <c r="C244" s="14">
        <f>CHOOSE(CONTROL!$C$42, 11.7581, 11.7581) * CHOOSE(CONTROL!$C$21, $C$9, 100%, $E$9)</f>
        <v>11.758100000000001</v>
      </c>
      <c r="D244" s="14">
        <f>CHOOSE(CONTROL!$C$42, 11.9652, 11.9652) * CHOOSE(CONTROL!$C$21, $C$9, 100%, $E$9)</f>
        <v>11.965199999999999</v>
      </c>
      <c r="E244" s="14">
        <f>CHOOSE(CONTROL!$C$42, 11.9973, 11.9973) * CHOOSE(CONTROL!$C$21, $C$9, 100%, $E$9)</f>
        <v>11.997299999999999</v>
      </c>
      <c r="F244" s="14">
        <f>CHOOSE(CONTROL!$C$42, 11.7355, 11.7355)*CHOOSE(CONTROL!$C$21, $C$9, 100%, $E$9)</f>
        <v>11.7355</v>
      </c>
      <c r="G244" s="14">
        <f>CHOOSE(CONTROL!$C$42, 11.7507, 11.7507)*CHOOSE(CONTROL!$C$21, $C$9, 100%, $E$9)</f>
        <v>11.7507</v>
      </c>
      <c r="H244" s="14">
        <f>CHOOSE(CONTROL!$C$42, 11.9871, 11.9871) * CHOOSE(CONTROL!$C$21, $C$9, 100%, $E$9)</f>
        <v>11.9871</v>
      </c>
      <c r="I244" s="14">
        <f>CHOOSE(CONTROL!$C$42, 11.7972, 11.7972)* CHOOSE(CONTROL!$C$21, $C$9, 100%, $E$9)</f>
        <v>11.7972</v>
      </c>
      <c r="J244" s="14">
        <f>CHOOSE(CONTROL!$C$42, 11.7285, 11.7285)* CHOOSE(CONTROL!$C$21, $C$9, 100%, $E$9)</f>
        <v>11.7285</v>
      </c>
      <c r="K244" s="53">
        <f>CHOOSE(CONTROL!$C$42, 11.7934, 11.7934) * CHOOSE(CONTROL!$C$21, $C$9, 100%, $E$9)</f>
        <v>11.7934</v>
      </c>
      <c r="L244" s="14">
        <f>CHOOSE(CONTROL!$C$42, 12.5741, 12.5741) * CHOOSE(CONTROL!$C$21, $C$9, 100%, $E$9)</f>
        <v>12.5741</v>
      </c>
      <c r="M244" s="14">
        <f>CHOOSE(CONTROL!$C$42, 11.4959, 11.4959) * CHOOSE(CONTROL!$C$21, $C$9, 100%, $E$9)</f>
        <v>11.495900000000001</v>
      </c>
      <c r="N244" s="14">
        <f>CHOOSE(CONTROL!$C$42, 11.5107, 11.5107) * CHOOSE(CONTROL!$C$21, $C$9, 100%, $E$9)</f>
        <v>11.5107</v>
      </c>
      <c r="O244" s="14">
        <f>CHOOSE(CONTROL!$C$42, 11.7491, 11.7491) * CHOOSE(CONTROL!$C$21, $C$9, 100%, $E$9)</f>
        <v>11.7491</v>
      </c>
      <c r="P244" s="14">
        <f>CHOOSE(CONTROL!$C$42, 11.5626, 11.5626) * CHOOSE(CONTROL!$C$21, $C$9, 100%, $E$9)</f>
        <v>11.5626</v>
      </c>
      <c r="Q244" s="14">
        <f>CHOOSE(CONTROL!$C$42, 12.3438, 12.3438) * CHOOSE(CONTROL!$C$21, $C$9, 100%, $E$9)</f>
        <v>12.3438</v>
      </c>
      <c r="R244" s="14">
        <f>CHOOSE(CONTROL!$C$42, 12.9617, 12.9617) * CHOOSE(CONTROL!$C$21, $C$9, 100%, $E$9)</f>
        <v>12.9617</v>
      </c>
      <c r="S244" s="14">
        <f>CHOOSE(CONTROL!$C$42, 11.2847, 11.2847) * CHOOSE(CONTROL!$C$21, $C$9, 100%, $E$9)</f>
        <v>11.284700000000001</v>
      </c>
      <c r="T24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44" s="57">
        <f>(1000*CHOOSE(CONTROL!$C$42, 695, 695)*CHOOSE(CONTROL!$C$42, 0.5599, 0.5599)*CHOOSE(CONTROL!$C$42, 30, 30))/1000000</f>
        <v>11.673914999999997</v>
      </c>
      <c r="V244" s="57">
        <f>(1000*CHOOSE(CONTROL!$C$42, 500, 500)*CHOOSE(CONTROL!$C$42, 0.275, 0.275)*CHOOSE(CONTROL!$C$42, 30, 30))/1000000</f>
        <v>4.125</v>
      </c>
      <c r="W244" s="57">
        <f>(1000*CHOOSE(CONTROL!$C$42, 0.1146, 0.1146)*CHOOSE(CONTROL!$C$42, 121.5, 121.5)*CHOOSE(CONTROL!$C$42, 30, 30))/1000000</f>
        <v>0.417717</v>
      </c>
      <c r="X244" s="57">
        <f>(30*0.1790888*245000/1000000)+(30*0.2374*100000/1000000)</f>
        <v>2.0285026799999999</v>
      </c>
      <c r="Y244" s="57"/>
      <c r="Z244" s="14"/>
      <c r="AA244" s="56"/>
      <c r="AB244" s="50">
        <f>(B244*141.293+C244*267.993+D244*115.016+E244*89.698+F244*40+G244*185+H244*0+I244*100+J244*300)/(141.293+267.993+115.016+89.698+0+40+185+100+300)</f>
        <v>11.788283015899918</v>
      </c>
      <c r="AC244" s="45">
        <f>(M244*'RAP TEMPLATE-GAS AVAILABILITY'!O243+N244*'RAP TEMPLATE-GAS AVAILABILITY'!P243+O244*'RAP TEMPLATE-GAS AVAILABILITY'!Q243+P244*'RAP TEMPLATE-GAS AVAILABILITY'!R243)/('RAP TEMPLATE-GAS AVAILABILITY'!O243+'RAP TEMPLATE-GAS AVAILABILITY'!P243+'RAP TEMPLATE-GAS AVAILABILITY'!Q243+'RAP TEMPLATE-GAS AVAILABILITY'!R243)</f>
        <v>11.579946043165467</v>
      </c>
    </row>
    <row r="245" spans="1:29" ht="15.75" x14ac:dyDescent="0.25">
      <c r="A245" s="13">
        <v>48335</v>
      </c>
      <c r="B245" s="14">
        <f>CHOOSE(CONTROL!$C$42, 11.8586, 11.8586) * CHOOSE(CONTROL!$C$21, $C$9, 100%, $E$9)</f>
        <v>11.858599999999999</v>
      </c>
      <c r="C245" s="14">
        <f>CHOOSE(CONTROL!$C$42, 11.8667, 11.8667) * CHOOSE(CONTROL!$C$21, $C$9, 100%, $E$9)</f>
        <v>11.8667</v>
      </c>
      <c r="D245" s="14">
        <f>CHOOSE(CONTROL!$C$42, 12.0706, 12.0706) * CHOOSE(CONTROL!$C$21, $C$9, 100%, $E$9)</f>
        <v>12.070600000000001</v>
      </c>
      <c r="E245" s="14">
        <f>CHOOSE(CONTROL!$C$42, 12.1021, 12.1021) * CHOOSE(CONTROL!$C$21, $C$9, 100%, $E$9)</f>
        <v>12.1021</v>
      </c>
      <c r="F245" s="14">
        <f>CHOOSE(CONTROL!$C$42, 11.8394, 11.8394)*CHOOSE(CONTROL!$C$21, $C$9, 100%, $E$9)</f>
        <v>11.839399999999999</v>
      </c>
      <c r="G245" s="14">
        <f>CHOOSE(CONTROL!$C$42, 11.855, 11.855)*CHOOSE(CONTROL!$C$21, $C$9, 100%, $E$9)</f>
        <v>11.855</v>
      </c>
      <c r="H245" s="14">
        <f>CHOOSE(CONTROL!$C$42, 12.0907, 12.0907) * CHOOSE(CONTROL!$C$21, $C$9, 100%, $E$9)</f>
        <v>12.0907</v>
      </c>
      <c r="I245" s="14">
        <f>CHOOSE(CONTROL!$C$42, 11.9012, 11.9012)* CHOOSE(CONTROL!$C$21, $C$9, 100%, $E$9)</f>
        <v>11.901199999999999</v>
      </c>
      <c r="J245" s="14">
        <f>CHOOSE(CONTROL!$C$42, 11.8324, 11.8324)* CHOOSE(CONTROL!$C$21, $C$9, 100%, $E$9)</f>
        <v>11.8324</v>
      </c>
      <c r="K245" s="53">
        <f>CHOOSE(CONTROL!$C$42, 11.8973, 11.8973) * CHOOSE(CONTROL!$C$21, $C$9, 100%, $E$9)</f>
        <v>11.8973</v>
      </c>
      <c r="L245" s="14">
        <f>CHOOSE(CONTROL!$C$42, 12.6777, 12.6777) * CHOOSE(CONTROL!$C$21, $C$9, 100%, $E$9)</f>
        <v>12.6777</v>
      </c>
      <c r="M245" s="14">
        <f>CHOOSE(CONTROL!$C$42, 11.5976, 11.5976) * CHOOSE(CONTROL!$C$21, $C$9, 100%, $E$9)</f>
        <v>11.5976</v>
      </c>
      <c r="N245" s="14">
        <f>CHOOSE(CONTROL!$C$42, 11.613, 11.613) * CHOOSE(CONTROL!$C$21, $C$9, 100%, $E$9)</f>
        <v>11.613</v>
      </c>
      <c r="O245" s="14">
        <f>CHOOSE(CONTROL!$C$42, 11.8507, 11.8507) * CHOOSE(CONTROL!$C$21, $C$9, 100%, $E$9)</f>
        <v>11.8507</v>
      </c>
      <c r="P245" s="14">
        <f>CHOOSE(CONTROL!$C$42, 11.6644, 11.6644) * CHOOSE(CONTROL!$C$21, $C$9, 100%, $E$9)</f>
        <v>11.664400000000001</v>
      </c>
      <c r="Q245" s="14">
        <f>CHOOSE(CONTROL!$C$42, 12.4454, 12.4454) * CHOOSE(CONTROL!$C$21, $C$9, 100%, $E$9)</f>
        <v>12.445399999999999</v>
      </c>
      <c r="R245" s="14">
        <f>CHOOSE(CONTROL!$C$42, 13.0635, 13.0635) * CHOOSE(CONTROL!$C$21, $C$9, 100%, $E$9)</f>
        <v>13.063499999999999</v>
      </c>
      <c r="S245" s="14">
        <f>CHOOSE(CONTROL!$C$42, 11.3843, 11.3843) * CHOOSE(CONTROL!$C$21, $C$9, 100%, $E$9)</f>
        <v>11.3843</v>
      </c>
      <c r="T24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45" s="57">
        <f>(1000*CHOOSE(CONTROL!$C$42, 695, 695)*CHOOSE(CONTROL!$C$42, 0.5599, 0.5599)*CHOOSE(CONTROL!$C$42, 31, 31))/1000000</f>
        <v>12.063045499999998</v>
      </c>
      <c r="V245" s="57">
        <f>(1000*CHOOSE(CONTROL!$C$42, 500, 500)*CHOOSE(CONTROL!$C$42, 0.275, 0.275)*CHOOSE(CONTROL!$C$42, 31, 31))/1000000</f>
        <v>4.2625000000000002</v>
      </c>
      <c r="W245" s="57">
        <f>(1000*CHOOSE(CONTROL!$C$42, 0.1146, 0.1146)*CHOOSE(CONTROL!$C$42, 121.5, 121.5)*CHOOSE(CONTROL!$C$42, 31, 31))/1000000</f>
        <v>0.43164089999999994</v>
      </c>
      <c r="X245" s="57">
        <f>(31*0.1790888*245000/1000000)+(31*0.2374*100000/1000000)</f>
        <v>2.0961194359999999</v>
      </c>
      <c r="Y245" s="57"/>
      <c r="Z245" s="14"/>
      <c r="AA245" s="56"/>
      <c r="AB245" s="50">
        <f>(B245*194.205+C245*267.466+D245*133.845+E245*53.484+F245*40+G245*185+H245*0+I245*100+J245*300)/(194.205+267.466+133.845+53.484+0+40+185+100+300)</f>
        <v>11.888844088383044</v>
      </c>
      <c r="AC245" s="45">
        <f>(M245*'RAP TEMPLATE-GAS AVAILABILITY'!O244+N245*'RAP TEMPLATE-GAS AVAILABILITY'!P244+O245*'RAP TEMPLATE-GAS AVAILABILITY'!Q244+P245*'RAP TEMPLATE-GAS AVAILABILITY'!R244)/('RAP TEMPLATE-GAS AVAILABILITY'!O244+'RAP TEMPLATE-GAS AVAILABILITY'!P244+'RAP TEMPLATE-GAS AVAILABILITY'!Q244+'RAP TEMPLATE-GAS AVAILABILITY'!R244)</f>
        <v>11.681770503597122</v>
      </c>
    </row>
    <row r="246" spans="1:29" ht="15.75" x14ac:dyDescent="0.25">
      <c r="A246" s="13">
        <v>48366</v>
      </c>
      <c r="B246" s="14">
        <f>CHOOSE(CONTROL!$C$42, 12.1947, 12.1947) * CHOOSE(CONTROL!$C$21, $C$9, 100%, $E$9)</f>
        <v>12.194699999999999</v>
      </c>
      <c r="C246" s="14">
        <f>CHOOSE(CONTROL!$C$42, 12.2027, 12.2027) * CHOOSE(CONTROL!$C$21, $C$9, 100%, $E$9)</f>
        <v>12.2027</v>
      </c>
      <c r="D246" s="14">
        <f>CHOOSE(CONTROL!$C$42, 12.4066, 12.4066) * CHOOSE(CONTROL!$C$21, $C$9, 100%, $E$9)</f>
        <v>12.406599999999999</v>
      </c>
      <c r="E246" s="14">
        <f>CHOOSE(CONTROL!$C$42, 12.4381, 12.4381) * CHOOSE(CONTROL!$C$21, $C$9, 100%, $E$9)</f>
        <v>12.4381</v>
      </c>
      <c r="F246" s="14">
        <f>CHOOSE(CONTROL!$C$42, 12.1758, 12.1758)*CHOOSE(CONTROL!$C$21, $C$9, 100%, $E$9)</f>
        <v>12.175800000000001</v>
      </c>
      <c r="G246" s="14">
        <f>CHOOSE(CONTROL!$C$42, 12.1916, 12.1916)*CHOOSE(CONTROL!$C$21, $C$9, 100%, $E$9)</f>
        <v>12.191599999999999</v>
      </c>
      <c r="H246" s="14">
        <f>CHOOSE(CONTROL!$C$42, 12.4267, 12.4267) * CHOOSE(CONTROL!$C$21, $C$9, 100%, $E$9)</f>
        <v>12.4267</v>
      </c>
      <c r="I246" s="14">
        <f>CHOOSE(CONTROL!$C$42, 12.2383, 12.2383)* CHOOSE(CONTROL!$C$21, $C$9, 100%, $E$9)</f>
        <v>12.238300000000001</v>
      </c>
      <c r="J246" s="14">
        <f>CHOOSE(CONTROL!$C$42, 12.1688, 12.1688)* CHOOSE(CONTROL!$C$21, $C$9, 100%, $E$9)</f>
        <v>12.168799999999999</v>
      </c>
      <c r="K246" s="53">
        <f>CHOOSE(CONTROL!$C$42, 12.2344, 12.2344) * CHOOSE(CONTROL!$C$21, $C$9, 100%, $E$9)</f>
        <v>12.234400000000001</v>
      </c>
      <c r="L246" s="14">
        <f>CHOOSE(CONTROL!$C$42, 13.0137, 13.0137) * CHOOSE(CONTROL!$C$21, $C$9, 100%, $E$9)</f>
        <v>13.0137</v>
      </c>
      <c r="M246" s="14">
        <f>CHOOSE(CONTROL!$C$42, 11.9272, 11.9272) * CHOOSE(CONTROL!$C$21, $C$9, 100%, $E$9)</f>
        <v>11.927199999999999</v>
      </c>
      <c r="N246" s="14">
        <f>CHOOSE(CONTROL!$C$42, 11.9427, 11.9427) * CHOOSE(CONTROL!$C$21, $C$9, 100%, $E$9)</f>
        <v>11.9427</v>
      </c>
      <c r="O246" s="14">
        <f>CHOOSE(CONTROL!$C$42, 12.1798, 12.1798) * CHOOSE(CONTROL!$C$21, $C$9, 100%, $E$9)</f>
        <v>12.1798</v>
      </c>
      <c r="P246" s="14">
        <f>CHOOSE(CONTROL!$C$42, 11.9946, 11.9946) * CHOOSE(CONTROL!$C$21, $C$9, 100%, $E$9)</f>
        <v>11.9946</v>
      </c>
      <c r="Q246" s="14">
        <f>CHOOSE(CONTROL!$C$42, 12.7745, 12.7745) * CHOOSE(CONTROL!$C$21, $C$9, 100%, $E$9)</f>
        <v>12.7745</v>
      </c>
      <c r="R246" s="14">
        <f>CHOOSE(CONTROL!$C$42, 13.3934, 13.3934) * CHOOSE(CONTROL!$C$21, $C$9, 100%, $E$9)</f>
        <v>13.3934</v>
      </c>
      <c r="S246" s="14">
        <f>CHOOSE(CONTROL!$C$42, 11.7072, 11.7072) * CHOOSE(CONTROL!$C$21, $C$9, 100%, $E$9)</f>
        <v>11.7072</v>
      </c>
      <c r="T24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46" s="57">
        <f>(1000*CHOOSE(CONTROL!$C$42, 695, 695)*CHOOSE(CONTROL!$C$42, 0.5599, 0.5599)*CHOOSE(CONTROL!$C$42, 30, 30))/1000000</f>
        <v>11.673914999999997</v>
      </c>
      <c r="V246" s="57">
        <f>(1000*CHOOSE(CONTROL!$C$42, 500, 500)*CHOOSE(CONTROL!$C$42, 0.275, 0.275)*CHOOSE(CONTROL!$C$42, 30, 30))/1000000</f>
        <v>4.125</v>
      </c>
      <c r="W246" s="57">
        <f>(1000*CHOOSE(CONTROL!$C$42, 0.1146, 0.1146)*CHOOSE(CONTROL!$C$42, 121.5, 121.5)*CHOOSE(CONTROL!$C$42, 30, 30))/1000000</f>
        <v>0.417717</v>
      </c>
      <c r="X246" s="57">
        <f>(30*0.1790888*245000/1000000)+(30*0.2374*100000/1000000)</f>
        <v>2.0285026799999999</v>
      </c>
      <c r="Y246" s="57"/>
      <c r="Z246" s="14"/>
      <c r="AA246" s="56"/>
      <c r="AB246" s="50">
        <f>(B246*194.205+C246*267.466+D246*133.845+E246*53.484+F246*40+G246*185+H246*0+I246*100+J246*300)/(194.205+267.466+133.845+53.484+0+40+185+100+300)</f>
        <v>12.22513955188383</v>
      </c>
      <c r="AC246" s="45">
        <f>(M246*'RAP TEMPLATE-GAS AVAILABILITY'!O245+N246*'RAP TEMPLATE-GAS AVAILABILITY'!P245+O246*'RAP TEMPLATE-GAS AVAILABILITY'!Q245+P246*'RAP TEMPLATE-GAS AVAILABILITY'!R245)/('RAP TEMPLATE-GAS AVAILABILITY'!O245+'RAP TEMPLATE-GAS AVAILABILITY'!P245+'RAP TEMPLATE-GAS AVAILABILITY'!Q245+'RAP TEMPLATE-GAS AVAILABILITY'!R245)</f>
        <v>12.011339568345326</v>
      </c>
    </row>
    <row r="247" spans="1:29" ht="15.75" x14ac:dyDescent="0.25">
      <c r="A247" s="13">
        <v>48396</v>
      </c>
      <c r="B247" s="14">
        <f>CHOOSE(CONTROL!$C$42, 11.961, 11.961) * CHOOSE(CONTROL!$C$21, $C$9, 100%, $E$9)</f>
        <v>11.961</v>
      </c>
      <c r="C247" s="14">
        <f>CHOOSE(CONTROL!$C$42, 11.969, 11.969) * CHOOSE(CONTROL!$C$21, $C$9, 100%, $E$9)</f>
        <v>11.968999999999999</v>
      </c>
      <c r="D247" s="14">
        <f>CHOOSE(CONTROL!$C$42, 12.1729, 12.1729) * CHOOSE(CONTROL!$C$21, $C$9, 100%, $E$9)</f>
        <v>12.1729</v>
      </c>
      <c r="E247" s="14">
        <f>CHOOSE(CONTROL!$C$42, 12.2044, 12.2044) * CHOOSE(CONTROL!$C$21, $C$9, 100%, $E$9)</f>
        <v>12.2044</v>
      </c>
      <c r="F247" s="14">
        <f>CHOOSE(CONTROL!$C$42, 11.9426, 11.9426)*CHOOSE(CONTROL!$C$21, $C$9, 100%, $E$9)</f>
        <v>11.942600000000001</v>
      </c>
      <c r="G247" s="14">
        <f>CHOOSE(CONTROL!$C$42, 11.9585, 11.9585)*CHOOSE(CONTROL!$C$21, $C$9, 100%, $E$9)</f>
        <v>11.958500000000001</v>
      </c>
      <c r="H247" s="14">
        <f>CHOOSE(CONTROL!$C$42, 12.193, 12.193) * CHOOSE(CONTROL!$C$21, $C$9, 100%, $E$9)</f>
        <v>12.193</v>
      </c>
      <c r="I247" s="14">
        <f>CHOOSE(CONTROL!$C$42, 12.0039, 12.0039)* CHOOSE(CONTROL!$C$21, $C$9, 100%, $E$9)</f>
        <v>12.0039</v>
      </c>
      <c r="J247" s="14">
        <f>CHOOSE(CONTROL!$C$42, 11.9356, 11.9356)* CHOOSE(CONTROL!$C$21, $C$9, 100%, $E$9)</f>
        <v>11.935600000000001</v>
      </c>
      <c r="K247" s="53">
        <f>CHOOSE(CONTROL!$C$42, 12, 12) * CHOOSE(CONTROL!$C$21, $C$9, 100%, $E$9)</f>
        <v>12</v>
      </c>
      <c r="L247" s="14">
        <f>CHOOSE(CONTROL!$C$42, 12.78, 12.78) * CHOOSE(CONTROL!$C$21, $C$9, 100%, $E$9)</f>
        <v>12.78</v>
      </c>
      <c r="M247" s="14">
        <f>CHOOSE(CONTROL!$C$42, 11.6987, 11.6987) * CHOOSE(CONTROL!$C$21, $C$9, 100%, $E$9)</f>
        <v>11.698700000000001</v>
      </c>
      <c r="N247" s="14">
        <f>CHOOSE(CONTROL!$C$42, 11.7143, 11.7143) * CHOOSE(CONTROL!$C$21, $C$9, 100%, $E$9)</f>
        <v>11.7143</v>
      </c>
      <c r="O247" s="14">
        <f>CHOOSE(CONTROL!$C$42, 11.9509, 11.9509) * CHOOSE(CONTROL!$C$21, $C$9, 100%, $E$9)</f>
        <v>11.950900000000001</v>
      </c>
      <c r="P247" s="14">
        <f>CHOOSE(CONTROL!$C$42, 11.7649, 11.7649) * CHOOSE(CONTROL!$C$21, $C$9, 100%, $E$9)</f>
        <v>11.764900000000001</v>
      </c>
      <c r="Q247" s="14">
        <f>CHOOSE(CONTROL!$C$42, 12.5456, 12.5456) * CHOOSE(CONTROL!$C$21, $C$9, 100%, $E$9)</f>
        <v>12.5456</v>
      </c>
      <c r="R247" s="14">
        <f>CHOOSE(CONTROL!$C$42, 13.1639, 13.1639) * CHOOSE(CONTROL!$C$21, $C$9, 100%, $E$9)</f>
        <v>13.1639</v>
      </c>
      <c r="S247" s="14">
        <f>CHOOSE(CONTROL!$C$42, 11.4827, 11.4827) * CHOOSE(CONTROL!$C$21, $C$9, 100%, $E$9)</f>
        <v>11.482699999999999</v>
      </c>
      <c r="T24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47" s="57">
        <f>(1000*CHOOSE(CONTROL!$C$42, 695, 695)*CHOOSE(CONTROL!$C$42, 0.5599, 0.5599)*CHOOSE(CONTROL!$C$42, 31, 31))/1000000</f>
        <v>12.063045499999998</v>
      </c>
      <c r="V247" s="57">
        <f>(1000*CHOOSE(CONTROL!$C$42, 500, 500)*CHOOSE(CONTROL!$C$42, 0.275, 0.275)*CHOOSE(CONTROL!$C$42, 31, 31))/1000000</f>
        <v>4.2625000000000002</v>
      </c>
      <c r="W247" s="57">
        <f>(1000*CHOOSE(CONTROL!$C$42, 0.1146, 0.1146)*CHOOSE(CONTROL!$C$42, 121.5, 121.5)*CHOOSE(CONTROL!$C$42, 31, 31))/1000000</f>
        <v>0.43164089999999994</v>
      </c>
      <c r="X247" s="57">
        <f>(31*0.1790888*245000/1000000)+(31*0.2374*100000/1000000)</f>
        <v>2.0961194359999999</v>
      </c>
      <c r="Y247" s="57"/>
      <c r="Z247" s="14"/>
      <c r="AA247" s="56"/>
      <c r="AB247" s="50">
        <f>(B247*194.205+C247*267.466+D247*133.845+E247*53.484+F247*40+G247*185+H247*0+I247*100+J247*300)/(194.205+267.466+133.845+53.484+0+40+185+100+300)</f>
        <v>11.991605171978021</v>
      </c>
      <c r="AC247" s="45">
        <f>(M247*'RAP TEMPLATE-GAS AVAILABILITY'!O246+N247*'RAP TEMPLATE-GAS AVAILABILITY'!P246+O247*'RAP TEMPLATE-GAS AVAILABILITY'!Q246+P247*'RAP TEMPLATE-GAS AVAILABILITY'!R246)/('RAP TEMPLATE-GAS AVAILABILITY'!O246+'RAP TEMPLATE-GAS AVAILABILITY'!P246+'RAP TEMPLATE-GAS AVAILABILITY'!Q246+'RAP TEMPLATE-GAS AVAILABILITY'!R246)</f>
        <v>11.782577697841727</v>
      </c>
    </row>
    <row r="248" spans="1:29" ht="15.75" x14ac:dyDescent="0.25">
      <c r="A248" s="13">
        <v>48427</v>
      </c>
      <c r="B248" s="14">
        <f>CHOOSE(CONTROL!$C$42, 11.3708, 11.3708) * CHOOSE(CONTROL!$C$21, $C$9, 100%, $E$9)</f>
        <v>11.370799999999999</v>
      </c>
      <c r="C248" s="14">
        <f>CHOOSE(CONTROL!$C$42, 11.3788, 11.3788) * CHOOSE(CONTROL!$C$21, $C$9, 100%, $E$9)</f>
        <v>11.3788</v>
      </c>
      <c r="D248" s="14">
        <f>CHOOSE(CONTROL!$C$42, 11.5827, 11.5827) * CHOOSE(CONTROL!$C$21, $C$9, 100%, $E$9)</f>
        <v>11.582700000000001</v>
      </c>
      <c r="E248" s="14">
        <f>CHOOSE(CONTROL!$C$42, 11.6142, 11.6142) * CHOOSE(CONTROL!$C$21, $C$9, 100%, $E$9)</f>
        <v>11.6142</v>
      </c>
      <c r="F248" s="14">
        <f>CHOOSE(CONTROL!$C$42, 11.3526, 11.3526)*CHOOSE(CONTROL!$C$21, $C$9, 100%, $E$9)</f>
        <v>11.352600000000001</v>
      </c>
      <c r="G248" s="14">
        <f>CHOOSE(CONTROL!$C$42, 11.3686, 11.3686)*CHOOSE(CONTROL!$C$21, $C$9, 100%, $E$9)</f>
        <v>11.368600000000001</v>
      </c>
      <c r="H248" s="14">
        <f>CHOOSE(CONTROL!$C$42, 11.6028, 11.6028) * CHOOSE(CONTROL!$C$21, $C$9, 100%, $E$9)</f>
        <v>11.6028</v>
      </c>
      <c r="I248" s="14">
        <f>CHOOSE(CONTROL!$C$42, 11.4118, 11.4118)* CHOOSE(CONTROL!$C$21, $C$9, 100%, $E$9)</f>
        <v>11.411799999999999</v>
      </c>
      <c r="J248" s="14">
        <f>CHOOSE(CONTROL!$C$42, 11.3456, 11.3456)* CHOOSE(CONTROL!$C$21, $C$9, 100%, $E$9)</f>
        <v>11.345599999999999</v>
      </c>
      <c r="K248" s="53">
        <f>CHOOSE(CONTROL!$C$42, 11.4079, 11.4079) * CHOOSE(CONTROL!$C$21, $C$9, 100%, $E$9)</f>
        <v>11.4079</v>
      </c>
      <c r="L248" s="14">
        <f>CHOOSE(CONTROL!$C$42, 12.1898, 12.1898) * CHOOSE(CONTROL!$C$21, $C$9, 100%, $E$9)</f>
        <v>12.1898</v>
      </c>
      <c r="M248" s="14">
        <f>CHOOSE(CONTROL!$C$42, 11.1208, 11.1208) * CHOOSE(CONTROL!$C$21, $C$9, 100%, $E$9)</f>
        <v>11.120799999999999</v>
      </c>
      <c r="N248" s="14">
        <f>CHOOSE(CONTROL!$C$42, 11.1365, 11.1365) * CHOOSE(CONTROL!$C$21, $C$9, 100%, $E$9)</f>
        <v>11.1365</v>
      </c>
      <c r="O248" s="14">
        <f>CHOOSE(CONTROL!$C$42, 11.3728, 11.3728) * CHOOSE(CONTROL!$C$21, $C$9, 100%, $E$9)</f>
        <v>11.3728</v>
      </c>
      <c r="P248" s="14">
        <f>CHOOSE(CONTROL!$C$42, 11.185, 11.185) * CHOOSE(CONTROL!$C$21, $C$9, 100%, $E$9)</f>
        <v>11.185</v>
      </c>
      <c r="Q248" s="14">
        <f>CHOOSE(CONTROL!$C$42, 11.9675, 11.9675) * CHOOSE(CONTROL!$C$21, $C$9, 100%, $E$9)</f>
        <v>11.967499999999999</v>
      </c>
      <c r="R248" s="14">
        <f>CHOOSE(CONTROL!$C$42, 12.5844, 12.5844) * CHOOSE(CONTROL!$C$21, $C$9, 100%, $E$9)</f>
        <v>12.5844</v>
      </c>
      <c r="S248" s="14">
        <f>CHOOSE(CONTROL!$C$42, 10.9155, 10.9155) * CHOOSE(CONTROL!$C$21, $C$9, 100%, $E$9)</f>
        <v>10.9155</v>
      </c>
      <c r="T24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48" s="57">
        <f>(1000*CHOOSE(CONTROL!$C$42, 695, 695)*CHOOSE(CONTROL!$C$42, 0.5599, 0.5599)*CHOOSE(CONTROL!$C$42, 31, 31))/1000000</f>
        <v>12.063045499999998</v>
      </c>
      <c r="V248" s="57">
        <f>(1000*CHOOSE(CONTROL!$C$42, 500, 500)*CHOOSE(CONTROL!$C$42, 0.275, 0.275)*CHOOSE(CONTROL!$C$42, 31, 31))/1000000</f>
        <v>4.2625000000000002</v>
      </c>
      <c r="W248" s="57">
        <f>(1000*CHOOSE(CONTROL!$C$42, 0.1146, 0.1146)*CHOOSE(CONTROL!$C$42, 121.5, 121.5)*CHOOSE(CONTROL!$C$42, 31, 31))/1000000</f>
        <v>0.43164089999999994</v>
      </c>
      <c r="X248" s="57">
        <f>(31*0.1790888*245000/1000000)+(31*0.2374*100000/1000000)</f>
        <v>2.0961194359999999</v>
      </c>
      <c r="Y248" s="57"/>
      <c r="Z248" s="14"/>
      <c r="AA248" s="56"/>
      <c r="AB248" s="50">
        <f>(B248*194.205+C248*267.466+D248*133.845+E248*53.484+F248*40+G248*185+H248*0+I248*100+J248*300)/(194.205+267.466+133.845+53.484+0+40+185+100+300)</f>
        <v>11.401352974175825</v>
      </c>
      <c r="AC248" s="45">
        <f>(M248*'RAP TEMPLATE-GAS AVAILABILITY'!O247+N248*'RAP TEMPLATE-GAS AVAILABILITY'!P247+O248*'RAP TEMPLATE-GAS AVAILABILITY'!Q247+P248*'RAP TEMPLATE-GAS AVAILABILITY'!R247)/('RAP TEMPLATE-GAS AVAILABILITY'!O247+'RAP TEMPLATE-GAS AVAILABILITY'!P247+'RAP TEMPLATE-GAS AVAILABILITY'!Q247+'RAP TEMPLATE-GAS AVAILABILITY'!R247)</f>
        <v>11.204356834532373</v>
      </c>
    </row>
    <row r="249" spans="1:29" ht="15.75" x14ac:dyDescent="0.25">
      <c r="A249" s="13">
        <v>48458</v>
      </c>
      <c r="B249" s="14">
        <f>CHOOSE(CONTROL!$C$42, 10.6492, 10.6492) * CHOOSE(CONTROL!$C$21, $C$9, 100%, $E$9)</f>
        <v>10.6492</v>
      </c>
      <c r="C249" s="14">
        <f>CHOOSE(CONTROL!$C$42, 10.6573, 10.6573) * CHOOSE(CONTROL!$C$21, $C$9, 100%, $E$9)</f>
        <v>10.657299999999999</v>
      </c>
      <c r="D249" s="14">
        <f>CHOOSE(CONTROL!$C$42, 10.8612, 10.8612) * CHOOSE(CONTROL!$C$21, $C$9, 100%, $E$9)</f>
        <v>10.8612</v>
      </c>
      <c r="E249" s="14">
        <f>CHOOSE(CONTROL!$C$42, 10.8927, 10.8927) * CHOOSE(CONTROL!$C$21, $C$9, 100%, $E$9)</f>
        <v>10.8927</v>
      </c>
      <c r="F249" s="14">
        <f>CHOOSE(CONTROL!$C$42, 10.6311, 10.6311)*CHOOSE(CONTROL!$C$21, $C$9, 100%, $E$9)</f>
        <v>10.6311</v>
      </c>
      <c r="G249" s="14">
        <f>CHOOSE(CONTROL!$C$42, 10.6471, 10.6471)*CHOOSE(CONTROL!$C$21, $C$9, 100%, $E$9)</f>
        <v>10.6471</v>
      </c>
      <c r="H249" s="14">
        <f>CHOOSE(CONTROL!$C$42, 10.8813, 10.8813) * CHOOSE(CONTROL!$C$21, $C$9, 100%, $E$9)</f>
        <v>10.8813</v>
      </c>
      <c r="I249" s="14">
        <f>CHOOSE(CONTROL!$C$42, 10.688, 10.688)* CHOOSE(CONTROL!$C$21, $C$9, 100%, $E$9)</f>
        <v>10.688000000000001</v>
      </c>
      <c r="J249" s="14">
        <f>CHOOSE(CONTROL!$C$42, 10.6241, 10.6241)* CHOOSE(CONTROL!$C$21, $C$9, 100%, $E$9)</f>
        <v>10.6241</v>
      </c>
      <c r="K249" s="53">
        <f>CHOOSE(CONTROL!$C$42, 10.6841, 10.6841) * CHOOSE(CONTROL!$C$21, $C$9, 100%, $E$9)</f>
        <v>10.684100000000001</v>
      </c>
      <c r="L249" s="14">
        <f>CHOOSE(CONTROL!$C$42, 11.4683, 11.4683) * CHOOSE(CONTROL!$C$21, $C$9, 100%, $E$9)</f>
        <v>11.468299999999999</v>
      </c>
      <c r="M249" s="14">
        <f>CHOOSE(CONTROL!$C$42, 10.4141, 10.4141) * CHOOSE(CONTROL!$C$21, $C$9, 100%, $E$9)</f>
        <v>10.414099999999999</v>
      </c>
      <c r="N249" s="14">
        <f>CHOOSE(CONTROL!$C$42, 10.4298, 10.4298) * CHOOSE(CONTROL!$C$21, $C$9, 100%, $E$9)</f>
        <v>10.4298</v>
      </c>
      <c r="O249" s="14">
        <f>CHOOSE(CONTROL!$C$42, 10.666, 10.666) * CHOOSE(CONTROL!$C$21, $C$9, 100%, $E$9)</f>
        <v>10.666</v>
      </c>
      <c r="P249" s="14">
        <f>CHOOSE(CONTROL!$C$42, 10.4761, 10.4761) * CHOOSE(CONTROL!$C$21, $C$9, 100%, $E$9)</f>
        <v>10.476100000000001</v>
      </c>
      <c r="Q249" s="14">
        <f>CHOOSE(CONTROL!$C$42, 11.2607, 11.2607) * CHOOSE(CONTROL!$C$21, $C$9, 100%, $E$9)</f>
        <v>11.2607</v>
      </c>
      <c r="R249" s="14">
        <f>CHOOSE(CONTROL!$C$42, 11.8759, 11.8759) * CHOOSE(CONTROL!$C$21, $C$9, 100%, $E$9)</f>
        <v>11.8759</v>
      </c>
      <c r="S249" s="14">
        <f>CHOOSE(CONTROL!$C$42, 10.2222, 10.2222) * CHOOSE(CONTROL!$C$21, $C$9, 100%, $E$9)</f>
        <v>10.222200000000001</v>
      </c>
      <c r="T24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49" s="57">
        <f>(1000*CHOOSE(CONTROL!$C$42, 695, 695)*CHOOSE(CONTROL!$C$42, 0.5599, 0.5599)*CHOOSE(CONTROL!$C$42, 30, 30))/1000000</f>
        <v>11.673914999999997</v>
      </c>
      <c r="V249" s="57">
        <f>(1000*CHOOSE(CONTROL!$C$42, 500, 500)*CHOOSE(CONTROL!$C$42, 0.275, 0.275)*CHOOSE(CONTROL!$C$42, 30, 30))/1000000</f>
        <v>4.125</v>
      </c>
      <c r="W249" s="57">
        <f>(1000*CHOOSE(CONTROL!$C$42, 0.1146, 0.1146)*CHOOSE(CONTROL!$C$42, 121.5, 121.5)*CHOOSE(CONTROL!$C$42, 30, 30))/1000000</f>
        <v>0.417717</v>
      </c>
      <c r="X249" s="57">
        <f>(30*0.1790888*245000/1000000)+(30*0.2374*100000/1000000)</f>
        <v>2.0285026799999999</v>
      </c>
      <c r="Y249" s="57"/>
      <c r="Z249" s="14"/>
      <c r="AA249" s="56"/>
      <c r="AB249" s="50">
        <f>(B249*194.205+C249*267.466+D249*133.845+E249*53.484+F249*40+G249*185+H249*0+I249*100+J249*300)/(194.205+267.466+133.845+53.484+0+40+185+100+300)</f>
        <v>10.679657196703296</v>
      </c>
      <c r="AC249" s="45">
        <f>(M249*'RAP TEMPLATE-GAS AVAILABILITY'!O248+N249*'RAP TEMPLATE-GAS AVAILABILITY'!P248+O249*'RAP TEMPLATE-GAS AVAILABILITY'!Q248+P249*'RAP TEMPLATE-GAS AVAILABILITY'!R248)/('RAP TEMPLATE-GAS AVAILABILITY'!O248+'RAP TEMPLATE-GAS AVAILABILITY'!P248+'RAP TEMPLATE-GAS AVAILABILITY'!Q248+'RAP TEMPLATE-GAS AVAILABILITY'!R248)</f>
        <v>10.497312230215826</v>
      </c>
    </row>
    <row r="250" spans="1:29" ht="15.75" x14ac:dyDescent="0.25">
      <c r="A250" s="13">
        <v>48488</v>
      </c>
      <c r="B250" s="14">
        <f>CHOOSE(CONTROL!$C$42, 10.4315, 10.4315) * CHOOSE(CONTROL!$C$21, $C$9, 100%, $E$9)</f>
        <v>10.4315</v>
      </c>
      <c r="C250" s="14">
        <f>CHOOSE(CONTROL!$C$42, 10.4368, 10.4368) * CHOOSE(CONTROL!$C$21, $C$9, 100%, $E$9)</f>
        <v>10.4368</v>
      </c>
      <c r="D250" s="14">
        <f>CHOOSE(CONTROL!$C$42, 10.6457, 10.6457) * CHOOSE(CONTROL!$C$21, $C$9, 100%, $E$9)</f>
        <v>10.6457</v>
      </c>
      <c r="E250" s="14">
        <f>CHOOSE(CONTROL!$C$42, 10.6748, 10.6748) * CHOOSE(CONTROL!$C$21, $C$9, 100%, $E$9)</f>
        <v>10.674799999999999</v>
      </c>
      <c r="F250" s="14">
        <f>CHOOSE(CONTROL!$C$42, 10.4155, 10.4155)*CHOOSE(CONTROL!$C$21, $C$9, 100%, $E$9)</f>
        <v>10.4155</v>
      </c>
      <c r="G250" s="14">
        <f>CHOOSE(CONTROL!$C$42, 10.4311, 10.4311)*CHOOSE(CONTROL!$C$21, $C$9, 100%, $E$9)</f>
        <v>10.431100000000001</v>
      </c>
      <c r="H250" s="14">
        <f>CHOOSE(CONTROL!$C$42, 10.6653, 10.6653) * CHOOSE(CONTROL!$C$21, $C$9, 100%, $E$9)</f>
        <v>10.6653</v>
      </c>
      <c r="I250" s="14">
        <f>CHOOSE(CONTROL!$C$42, 10.4714, 10.4714)* CHOOSE(CONTROL!$C$21, $C$9, 100%, $E$9)</f>
        <v>10.471399999999999</v>
      </c>
      <c r="J250" s="14">
        <f>CHOOSE(CONTROL!$C$42, 10.4085, 10.4085)* CHOOSE(CONTROL!$C$21, $C$9, 100%, $E$9)</f>
        <v>10.4085</v>
      </c>
      <c r="K250" s="53">
        <f>CHOOSE(CONTROL!$C$42, 10.4675, 10.4675) * CHOOSE(CONTROL!$C$21, $C$9, 100%, $E$9)</f>
        <v>10.467499999999999</v>
      </c>
      <c r="L250" s="14">
        <f>CHOOSE(CONTROL!$C$42, 11.2523, 11.2523) * CHOOSE(CONTROL!$C$21, $C$9, 100%, $E$9)</f>
        <v>11.2523</v>
      </c>
      <c r="M250" s="14">
        <f>CHOOSE(CONTROL!$C$42, 10.2029, 10.2029) * CHOOSE(CONTROL!$C$21, $C$9, 100%, $E$9)</f>
        <v>10.2029</v>
      </c>
      <c r="N250" s="14">
        <f>CHOOSE(CONTROL!$C$42, 10.2182, 10.2182) * CHOOSE(CONTROL!$C$21, $C$9, 100%, $E$9)</f>
        <v>10.2182</v>
      </c>
      <c r="O250" s="14">
        <f>CHOOSE(CONTROL!$C$42, 10.4545, 10.4545) * CHOOSE(CONTROL!$C$21, $C$9, 100%, $E$9)</f>
        <v>10.454499999999999</v>
      </c>
      <c r="P250" s="14">
        <f>CHOOSE(CONTROL!$C$42, 10.2639, 10.2639) * CHOOSE(CONTROL!$C$21, $C$9, 100%, $E$9)</f>
        <v>10.2639</v>
      </c>
      <c r="Q250" s="14">
        <f>CHOOSE(CONTROL!$C$42, 11.0492, 11.0492) * CHOOSE(CONTROL!$C$21, $C$9, 100%, $E$9)</f>
        <v>11.049200000000001</v>
      </c>
      <c r="R250" s="14">
        <f>CHOOSE(CONTROL!$C$42, 11.6638, 11.6638) * CHOOSE(CONTROL!$C$21, $C$9, 100%, $E$9)</f>
        <v>11.6638</v>
      </c>
      <c r="S250" s="14">
        <f>CHOOSE(CONTROL!$C$42, 10.0147, 10.0147) * CHOOSE(CONTROL!$C$21, $C$9, 100%, $E$9)</f>
        <v>10.014699999999999</v>
      </c>
      <c r="T25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50" s="57">
        <f>(1000*CHOOSE(CONTROL!$C$42, 695, 695)*CHOOSE(CONTROL!$C$42, 0.5599, 0.5599)*CHOOSE(CONTROL!$C$42, 31, 31))/1000000</f>
        <v>12.063045499999998</v>
      </c>
      <c r="V250" s="57">
        <f>(1000*CHOOSE(CONTROL!$C$42, 500, 500)*CHOOSE(CONTROL!$C$42, 0.275, 0.275)*CHOOSE(CONTROL!$C$42, 31, 31))/1000000</f>
        <v>4.2625000000000002</v>
      </c>
      <c r="W250" s="57">
        <f>(1000*CHOOSE(CONTROL!$C$42, 0.1146, 0.1146)*CHOOSE(CONTROL!$C$42, 121.5, 121.5)*CHOOSE(CONTROL!$C$42, 31, 31))/1000000</f>
        <v>0.43164089999999994</v>
      </c>
      <c r="X250" s="57">
        <f>(31*0.1790888*245000/1000000)+(31*0.2374*100000/1000000)</f>
        <v>2.0961194359999999</v>
      </c>
      <c r="Y250" s="57"/>
      <c r="Z250" s="14"/>
      <c r="AA250" s="56"/>
      <c r="AB250" s="50">
        <f>(B250*131.881+C250*277.167+D250*79.08+E250*125.872+F250*40+G250*185+H250*0+I250*100+J250*300)/(131.881+277.167+79.08+125.872+0+40+185+100+300)</f>
        <v>10.46814937748184</v>
      </c>
      <c r="AC250" s="45">
        <f>(M250*'RAP TEMPLATE-GAS AVAILABILITY'!O249+N250*'RAP TEMPLATE-GAS AVAILABILITY'!P249+O250*'RAP TEMPLATE-GAS AVAILABILITY'!Q249+P250*'RAP TEMPLATE-GAS AVAILABILITY'!R249)/('RAP TEMPLATE-GAS AVAILABILITY'!O249+'RAP TEMPLATE-GAS AVAILABILITY'!P249+'RAP TEMPLATE-GAS AVAILABILITY'!Q249+'RAP TEMPLATE-GAS AVAILABILITY'!R249)</f>
        <v>10.285792086330936</v>
      </c>
    </row>
    <row r="251" spans="1:29" ht="15.75" x14ac:dyDescent="0.25">
      <c r="A251" s="13">
        <v>48519</v>
      </c>
      <c r="B251" s="14">
        <f>CHOOSE(CONTROL!$C$42, 10.7056, 10.7056) * CHOOSE(CONTROL!$C$21, $C$9, 100%, $E$9)</f>
        <v>10.7056</v>
      </c>
      <c r="C251" s="14">
        <f>CHOOSE(CONTROL!$C$42, 10.7107, 10.7107) * CHOOSE(CONTROL!$C$21, $C$9, 100%, $E$9)</f>
        <v>10.710699999999999</v>
      </c>
      <c r="D251" s="14">
        <f>CHOOSE(CONTROL!$C$42, 10.7745, 10.7745) * CHOOSE(CONTROL!$C$21, $C$9, 100%, $E$9)</f>
        <v>10.7745</v>
      </c>
      <c r="E251" s="14">
        <f>CHOOSE(CONTROL!$C$42, 10.8086, 10.8086) * CHOOSE(CONTROL!$C$21, $C$9, 100%, $E$9)</f>
        <v>10.8086</v>
      </c>
      <c r="F251" s="14">
        <f>CHOOSE(CONTROL!$C$42, 10.708, 10.708)*CHOOSE(CONTROL!$C$21, $C$9, 100%, $E$9)</f>
        <v>10.708</v>
      </c>
      <c r="G251" s="14">
        <f>CHOOSE(CONTROL!$C$42, 10.724, 10.724)*CHOOSE(CONTROL!$C$21, $C$9, 100%, $E$9)</f>
        <v>10.724</v>
      </c>
      <c r="H251" s="14">
        <f>CHOOSE(CONTROL!$C$42, 10.7978, 10.7978) * CHOOSE(CONTROL!$C$21, $C$9, 100%, $E$9)</f>
        <v>10.797800000000001</v>
      </c>
      <c r="I251" s="14">
        <f>CHOOSE(CONTROL!$C$42, 10.752, 10.752)* CHOOSE(CONTROL!$C$21, $C$9, 100%, $E$9)</f>
        <v>10.752000000000001</v>
      </c>
      <c r="J251" s="14">
        <f>CHOOSE(CONTROL!$C$42, 10.701, 10.701)* CHOOSE(CONTROL!$C$21, $C$9, 100%, $E$9)</f>
        <v>10.701000000000001</v>
      </c>
      <c r="K251" s="53">
        <f>CHOOSE(CONTROL!$C$42, 10.7481, 10.7481) * CHOOSE(CONTROL!$C$21, $C$9, 100%, $E$9)</f>
        <v>10.748100000000001</v>
      </c>
      <c r="L251" s="14">
        <f>CHOOSE(CONTROL!$C$42, 11.3848, 11.3848) * CHOOSE(CONTROL!$C$21, $C$9, 100%, $E$9)</f>
        <v>11.3848</v>
      </c>
      <c r="M251" s="14">
        <f>CHOOSE(CONTROL!$C$42, 10.4894, 10.4894) * CHOOSE(CONTROL!$C$21, $C$9, 100%, $E$9)</f>
        <v>10.4894</v>
      </c>
      <c r="N251" s="14">
        <f>CHOOSE(CONTROL!$C$42, 10.5051, 10.5051) * CHOOSE(CONTROL!$C$21, $C$9, 100%, $E$9)</f>
        <v>10.505100000000001</v>
      </c>
      <c r="O251" s="14">
        <f>CHOOSE(CONTROL!$C$42, 10.5843, 10.5843) * CHOOSE(CONTROL!$C$21, $C$9, 100%, $E$9)</f>
        <v>10.584300000000001</v>
      </c>
      <c r="P251" s="14">
        <f>CHOOSE(CONTROL!$C$42, 10.5388, 10.5388) * CHOOSE(CONTROL!$C$21, $C$9, 100%, $E$9)</f>
        <v>10.5388</v>
      </c>
      <c r="Q251" s="14">
        <f>CHOOSE(CONTROL!$C$42, 11.179, 11.179) * CHOOSE(CONTROL!$C$21, $C$9, 100%, $E$9)</f>
        <v>11.179</v>
      </c>
      <c r="R251" s="14">
        <f>CHOOSE(CONTROL!$C$42, 11.7939, 11.7939) * CHOOSE(CONTROL!$C$21, $C$9, 100%, $E$9)</f>
        <v>11.793900000000001</v>
      </c>
      <c r="S251" s="14">
        <f>CHOOSE(CONTROL!$C$42, 10.2785, 10.2785) * CHOOSE(CONTROL!$C$21, $C$9, 100%, $E$9)</f>
        <v>10.278499999999999</v>
      </c>
      <c r="T25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51" s="57">
        <f>(1000*CHOOSE(CONTROL!$C$42, 695, 695)*CHOOSE(CONTROL!$C$42, 0.5599, 0.5599)*CHOOSE(CONTROL!$C$42, 30, 30))/1000000</f>
        <v>11.673914999999997</v>
      </c>
      <c r="V251" s="57">
        <f>(1000*CHOOSE(CONTROL!$C$42, 500, 500)*CHOOSE(CONTROL!$C$42, 0.275, 0.275)*CHOOSE(CONTROL!$C$42, 30, 30))/1000000</f>
        <v>4.125</v>
      </c>
      <c r="W251" s="57">
        <f>(1000*CHOOSE(CONTROL!$C$42, 0.1146, 0.1146)*CHOOSE(CONTROL!$C$42, 121.5, 121.5)*CHOOSE(CONTROL!$C$42, 30, 30))/1000000</f>
        <v>0.417717</v>
      </c>
      <c r="X251" s="57">
        <f>(30*0.1790888*100000/1000000)+(30*0.2374*100000/1000000)</f>
        <v>1.2494664</v>
      </c>
      <c r="Y251" s="57"/>
      <c r="Z251" s="14"/>
      <c r="AA251" s="56"/>
      <c r="AB251" s="50">
        <f>(B251*122.58+C251*297.941+D251*89.177+E251*40.302+F251*40+G251*160+H251*0+I251*100+J251*300)/(122.58+297.941+89.177+40.302+0+40+160+100+300)</f>
        <v>10.721352087304346</v>
      </c>
      <c r="AC251" s="45">
        <f>(M251*'RAP TEMPLATE-GAS AVAILABILITY'!O250+N251*'RAP TEMPLATE-GAS AVAILABILITY'!P250+O251*'RAP TEMPLATE-GAS AVAILABILITY'!Q250+P251*'RAP TEMPLATE-GAS AVAILABILITY'!R250)/('RAP TEMPLATE-GAS AVAILABILITY'!O250+'RAP TEMPLATE-GAS AVAILABILITY'!P250+'RAP TEMPLATE-GAS AVAILABILITY'!Q250+'RAP TEMPLATE-GAS AVAILABILITY'!R250)</f>
        <v>10.540423741007194</v>
      </c>
    </row>
    <row r="252" spans="1:29" ht="15.75" x14ac:dyDescent="0.25">
      <c r="A252" s="13">
        <v>48549</v>
      </c>
      <c r="B252" s="14">
        <f>CHOOSE(CONTROL!$C$42, 11.4349, 11.4349) * CHOOSE(CONTROL!$C$21, $C$9, 100%, $E$9)</f>
        <v>11.434900000000001</v>
      </c>
      <c r="C252" s="14">
        <f>CHOOSE(CONTROL!$C$42, 11.4399, 11.4399) * CHOOSE(CONTROL!$C$21, $C$9, 100%, $E$9)</f>
        <v>11.4399</v>
      </c>
      <c r="D252" s="14">
        <f>CHOOSE(CONTROL!$C$42, 11.5037, 11.5037) * CHOOSE(CONTROL!$C$21, $C$9, 100%, $E$9)</f>
        <v>11.5037</v>
      </c>
      <c r="E252" s="14">
        <f>CHOOSE(CONTROL!$C$42, 11.5378, 11.5378) * CHOOSE(CONTROL!$C$21, $C$9, 100%, $E$9)</f>
        <v>11.537800000000001</v>
      </c>
      <c r="F252" s="14">
        <f>CHOOSE(CONTROL!$C$42, 11.4395, 11.4395)*CHOOSE(CONTROL!$C$21, $C$9, 100%, $E$9)</f>
        <v>11.439500000000001</v>
      </c>
      <c r="G252" s="14">
        <f>CHOOSE(CONTROL!$C$42, 11.4561, 11.4561)*CHOOSE(CONTROL!$C$21, $C$9, 100%, $E$9)</f>
        <v>11.456099999999999</v>
      </c>
      <c r="H252" s="14">
        <f>CHOOSE(CONTROL!$C$42, 11.527, 11.527) * CHOOSE(CONTROL!$C$21, $C$9, 100%, $E$9)</f>
        <v>11.526999999999999</v>
      </c>
      <c r="I252" s="14">
        <f>CHOOSE(CONTROL!$C$42, 11.4835, 11.4835)* CHOOSE(CONTROL!$C$21, $C$9, 100%, $E$9)</f>
        <v>11.483499999999999</v>
      </c>
      <c r="J252" s="14">
        <f>CHOOSE(CONTROL!$C$42, 11.4325, 11.4325)* CHOOSE(CONTROL!$C$21, $C$9, 100%, $E$9)</f>
        <v>11.432499999999999</v>
      </c>
      <c r="K252" s="53">
        <f>CHOOSE(CONTROL!$C$42, 11.4796, 11.4796) * CHOOSE(CONTROL!$C$21, $C$9, 100%, $E$9)</f>
        <v>11.4796</v>
      </c>
      <c r="L252" s="14">
        <f>CHOOSE(CONTROL!$C$42, 12.114, 12.114) * CHOOSE(CONTROL!$C$21, $C$9, 100%, $E$9)</f>
        <v>12.114000000000001</v>
      </c>
      <c r="M252" s="14">
        <f>CHOOSE(CONTROL!$C$42, 11.2059, 11.2059) * CHOOSE(CONTROL!$C$21, $C$9, 100%, $E$9)</f>
        <v>11.2059</v>
      </c>
      <c r="N252" s="14">
        <f>CHOOSE(CONTROL!$C$42, 11.2222, 11.2222) * CHOOSE(CONTROL!$C$21, $C$9, 100%, $E$9)</f>
        <v>11.222200000000001</v>
      </c>
      <c r="O252" s="14">
        <f>CHOOSE(CONTROL!$C$42, 11.2986, 11.2986) * CHOOSE(CONTROL!$C$21, $C$9, 100%, $E$9)</f>
        <v>11.2986</v>
      </c>
      <c r="P252" s="14">
        <f>CHOOSE(CONTROL!$C$42, 11.2553, 11.2553) * CHOOSE(CONTROL!$C$21, $C$9, 100%, $E$9)</f>
        <v>11.2553</v>
      </c>
      <c r="Q252" s="14">
        <f>CHOOSE(CONTROL!$C$42, 11.8933, 11.8933) * CHOOSE(CONTROL!$C$21, $C$9, 100%, $E$9)</f>
        <v>11.8933</v>
      </c>
      <c r="R252" s="14">
        <f>CHOOSE(CONTROL!$C$42, 12.51, 12.51) * CHOOSE(CONTROL!$C$21, $C$9, 100%, $E$9)</f>
        <v>12.51</v>
      </c>
      <c r="S252" s="14">
        <f>CHOOSE(CONTROL!$C$42, 10.9792, 10.9792) * CHOOSE(CONTROL!$C$21, $C$9, 100%, $E$9)</f>
        <v>10.979200000000001</v>
      </c>
      <c r="T25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52" s="57">
        <f>(1000*CHOOSE(CONTROL!$C$42, 695, 695)*CHOOSE(CONTROL!$C$42, 0.5599, 0.5599)*CHOOSE(CONTROL!$C$42, 31, 31))/1000000</f>
        <v>12.063045499999998</v>
      </c>
      <c r="V252" s="57">
        <f>(1000*CHOOSE(CONTROL!$C$42, 500, 500)*CHOOSE(CONTROL!$C$42, 0.275, 0.275)*CHOOSE(CONTROL!$C$42, 31, 31))/1000000</f>
        <v>4.2625000000000002</v>
      </c>
      <c r="W252" s="57">
        <f>(1000*CHOOSE(CONTROL!$C$42, 0.1146, 0.1146)*CHOOSE(CONTROL!$C$42, 121.5, 121.5)*CHOOSE(CONTROL!$C$42, 31, 31))/1000000</f>
        <v>0.43164089999999994</v>
      </c>
      <c r="X252" s="57">
        <f>(31*0.1790888*100000/1000000)+(31*0.2374*100000/1000000)</f>
        <v>1.2911152800000001</v>
      </c>
      <c r="Y252" s="57"/>
      <c r="Z252" s="14"/>
      <c r="AA252" s="56"/>
      <c r="AB252" s="50">
        <f>(B252*122.58+C252*297.941+D252*89.177+E252*40.302+F252*40+G252*160+H252*0+I252*100+J252*300)/(122.58+297.941+89.177+40.302+0+40+160+100+300)</f>
        <v>11.451846224695652</v>
      </c>
      <c r="AC252" s="45">
        <f>(M252*'RAP TEMPLATE-GAS AVAILABILITY'!O251+N252*'RAP TEMPLATE-GAS AVAILABILITY'!P251+O252*'RAP TEMPLATE-GAS AVAILABILITY'!Q251+P252*'RAP TEMPLATE-GAS AVAILABILITY'!R251)/('RAP TEMPLATE-GAS AVAILABILITY'!O251+'RAP TEMPLATE-GAS AVAILABILITY'!P251+'RAP TEMPLATE-GAS AVAILABILITY'!Q251+'RAP TEMPLATE-GAS AVAILABILITY'!R251)</f>
        <v>11.255961151079136</v>
      </c>
    </row>
    <row r="253" spans="1:29" ht="15.75" x14ac:dyDescent="0.25">
      <c r="A253" s="13">
        <v>48580</v>
      </c>
      <c r="B253" s="14">
        <f>CHOOSE(CONTROL!$C$42, 12.3707, 12.3707) * CHOOSE(CONTROL!$C$21, $C$9, 100%, $E$9)</f>
        <v>12.370699999999999</v>
      </c>
      <c r="C253" s="14">
        <f>CHOOSE(CONTROL!$C$42, 12.3758, 12.3758) * CHOOSE(CONTROL!$C$21, $C$9, 100%, $E$9)</f>
        <v>12.3758</v>
      </c>
      <c r="D253" s="14">
        <f>CHOOSE(CONTROL!$C$42, 12.4422, 12.4422) * CHOOSE(CONTROL!$C$21, $C$9, 100%, $E$9)</f>
        <v>12.4422</v>
      </c>
      <c r="E253" s="14">
        <f>CHOOSE(CONTROL!$C$42, 12.4763, 12.4763) * CHOOSE(CONTROL!$C$21, $C$9, 100%, $E$9)</f>
        <v>12.4763</v>
      </c>
      <c r="F253" s="14">
        <f>CHOOSE(CONTROL!$C$42, 12.3581, 12.3581)*CHOOSE(CONTROL!$C$21, $C$9, 100%, $E$9)</f>
        <v>12.3581</v>
      </c>
      <c r="G253" s="14">
        <f>CHOOSE(CONTROL!$C$42, 12.3735, 12.3735)*CHOOSE(CONTROL!$C$21, $C$9, 100%, $E$9)</f>
        <v>12.3735</v>
      </c>
      <c r="H253" s="14">
        <f>CHOOSE(CONTROL!$C$42, 12.4655, 12.4655) * CHOOSE(CONTROL!$C$21, $C$9, 100%, $E$9)</f>
        <v>12.4655</v>
      </c>
      <c r="I253" s="14">
        <f>CHOOSE(CONTROL!$C$42, 12.4171, 12.4171)* CHOOSE(CONTROL!$C$21, $C$9, 100%, $E$9)</f>
        <v>12.4171</v>
      </c>
      <c r="J253" s="14">
        <f>CHOOSE(CONTROL!$C$42, 12.3511, 12.3511)* CHOOSE(CONTROL!$C$21, $C$9, 100%, $E$9)</f>
        <v>12.351100000000001</v>
      </c>
      <c r="K253" s="53">
        <f>CHOOSE(CONTROL!$C$42, 12.4132, 12.4132) * CHOOSE(CONTROL!$C$21, $C$9, 100%, $E$9)</f>
        <v>12.4132</v>
      </c>
      <c r="L253" s="14">
        <f>CHOOSE(CONTROL!$C$42, 13.0525, 13.0525) * CHOOSE(CONTROL!$C$21, $C$9, 100%, $E$9)</f>
        <v>13.0525</v>
      </c>
      <c r="M253" s="14">
        <f>CHOOSE(CONTROL!$C$42, 12.1057, 12.1057) * CHOOSE(CONTROL!$C$21, $C$9, 100%, $E$9)</f>
        <v>12.105700000000001</v>
      </c>
      <c r="N253" s="14">
        <f>CHOOSE(CONTROL!$C$42, 12.1208, 12.1208) * CHOOSE(CONTROL!$C$21, $C$9, 100%, $E$9)</f>
        <v>12.120799999999999</v>
      </c>
      <c r="O253" s="14">
        <f>CHOOSE(CONTROL!$C$42, 12.2178, 12.2178) * CHOOSE(CONTROL!$C$21, $C$9, 100%, $E$9)</f>
        <v>12.2178</v>
      </c>
      <c r="P253" s="14">
        <f>CHOOSE(CONTROL!$C$42, 12.1697, 12.1697) * CHOOSE(CONTROL!$C$21, $C$9, 100%, $E$9)</f>
        <v>12.169700000000001</v>
      </c>
      <c r="Q253" s="14">
        <f>CHOOSE(CONTROL!$C$42, 12.8125, 12.8125) * CHOOSE(CONTROL!$C$21, $C$9, 100%, $E$9)</f>
        <v>12.8125</v>
      </c>
      <c r="R253" s="14">
        <f>CHOOSE(CONTROL!$C$42, 13.4315, 13.4315) * CHOOSE(CONTROL!$C$21, $C$9, 100%, $E$9)</f>
        <v>13.4315</v>
      </c>
      <c r="S253" s="14">
        <f>CHOOSE(CONTROL!$C$42, 11.8785, 11.8785) * CHOOSE(CONTROL!$C$21, $C$9, 100%, $E$9)</f>
        <v>11.878500000000001</v>
      </c>
      <c r="T25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53" s="57">
        <f>(1000*CHOOSE(CONTROL!$C$42, 695, 695)*CHOOSE(CONTROL!$C$42, 0.5599, 0.5599)*CHOOSE(CONTROL!$C$42, 31, 31))/1000000</f>
        <v>12.063045499999998</v>
      </c>
      <c r="V253" s="57">
        <f>(1000*CHOOSE(CONTROL!$C$42, 500, 500)*CHOOSE(CONTROL!$C$42, 0.275, 0.275)*CHOOSE(CONTROL!$C$42, 31, 31))/1000000</f>
        <v>4.2625000000000002</v>
      </c>
      <c r="W253" s="57">
        <f>(1000*CHOOSE(CONTROL!$C$42, 0.1146, 0.1146)*CHOOSE(CONTROL!$C$42, 121.5, 121.5)*CHOOSE(CONTROL!$C$42, 31, 31))/1000000</f>
        <v>0.43164089999999994</v>
      </c>
      <c r="X253" s="57">
        <f>(31*0.1790888*100000/1000000)+(31*0.2374*100000/1000000)</f>
        <v>1.2911152800000001</v>
      </c>
      <c r="Y253" s="57"/>
      <c r="Z253" s="14"/>
      <c r="AA253" s="56"/>
      <c r="AB253" s="50">
        <f>(B253*122.58+C253*297.941+D253*89.177+E253*40.302+F253*40+G253*160+H253*0+I253*100+J253*300)/(122.58+297.941+89.177+40.302+0+40+160+100+300)</f>
        <v>12.380139605043478</v>
      </c>
      <c r="AC253" s="45">
        <f>(M253*'RAP TEMPLATE-GAS AVAILABILITY'!O252+N253*'RAP TEMPLATE-GAS AVAILABILITY'!P252+O253*'RAP TEMPLATE-GAS AVAILABILITY'!Q252+P253*'RAP TEMPLATE-GAS AVAILABILITY'!R252)/('RAP TEMPLATE-GAS AVAILABILITY'!O252+'RAP TEMPLATE-GAS AVAILABILITY'!P252+'RAP TEMPLATE-GAS AVAILABILITY'!Q252+'RAP TEMPLATE-GAS AVAILABILITY'!R252)</f>
        <v>12.166585611510792</v>
      </c>
    </row>
    <row r="254" spans="1:29" ht="15.75" x14ac:dyDescent="0.25">
      <c r="A254" s="13">
        <v>48611</v>
      </c>
      <c r="B254" s="14">
        <f>CHOOSE(CONTROL!$C$42, 12.5908, 12.5908) * CHOOSE(CONTROL!$C$21, $C$9, 100%, $E$9)</f>
        <v>12.5908</v>
      </c>
      <c r="C254" s="14">
        <f>CHOOSE(CONTROL!$C$42, 12.5959, 12.5959) * CHOOSE(CONTROL!$C$21, $C$9, 100%, $E$9)</f>
        <v>12.5959</v>
      </c>
      <c r="D254" s="14">
        <f>CHOOSE(CONTROL!$C$42, 12.6623, 12.6623) * CHOOSE(CONTROL!$C$21, $C$9, 100%, $E$9)</f>
        <v>12.6623</v>
      </c>
      <c r="E254" s="14">
        <f>CHOOSE(CONTROL!$C$42, 12.6964, 12.6964) * CHOOSE(CONTROL!$C$21, $C$9, 100%, $E$9)</f>
        <v>12.696400000000001</v>
      </c>
      <c r="F254" s="14">
        <f>CHOOSE(CONTROL!$C$42, 12.5782, 12.5782)*CHOOSE(CONTROL!$C$21, $C$9, 100%, $E$9)</f>
        <v>12.578200000000001</v>
      </c>
      <c r="G254" s="14">
        <f>CHOOSE(CONTROL!$C$42, 12.5937, 12.5937)*CHOOSE(CONTROL!$C$21, $C$9, 100%, $E$9)</f>
        <v>12.5937</v>
      </c>
      <c r="H254" s="14">
        <f>CHOOSE(CONTROL!$C$42, 12.6856, 12.6856) * CHOOSE(CONTROL!$C$21, $C$9, 100%, $E$9)</f>
        <v>12.685600000000001</v>
      </c>
      <c r="I254" s="14">
        <f>CHOOSE(CONTROL!$C$42, 12.6378, 12.6378)* CHOOSE(CONTROL!$C$21, $C$9, 100%, $E$9)</f>
        <v>12.6378</v>
      </c>
      <c r="J254" s="14">
        <f>CHOOSE(CONTROL!$C$42, 12.5712, 12.5712)* CHOOSE(CONTROL!$C$21, $C$9, 100%, $E$9)</f>
        <v>12.571199999999999</v>
      </c>
      <c r="K254" s="53">
        <f>CHOOSE(CONTROL!$C$42, 12.634, 12.634) * CHOOSE(CONTROL!$C$21, $C$9, 100%, $E$9)</f>
        <v>12.634</v>
      </c>
      <c r="L254" s="14">
        <f>CHOOSE(CONTROL!$C$42, 13.2726, 13.2726) * CHOOSE(CONTROL!$C$21, $C$9, 100%, $E$9)</f>
        <v>13.272600000000001</v>
      </c>
      <c r="M254" s="14">
        <f>CHOOSE(CONTROL!$C$42, 12.3213, 12.3213) * CHOOSE(CONTROL!$C$21, $C$9, 100%, $E$9)</f>
        <v>12.321300000000001</v>
      </c>
      <c r="N254" s="14">
        <f>CHOOSE(CONTROL!$C$42, 12.3365, 12.3365) * CHOOSE(CONTROL!$C$21, $C$9, 100%, $E$9)</f>
        <v>12.336499999999999</v>
      </c>
      <c r="O254" s="14">
        <f>CHOOSE(CONTROL!$C$42, 12.4333, 12.4333) * CHOOSE(CONTROL!$C$21, $C$9, 100%, $E$9)</f>
        <v>12.433299999999999</v>
      </c>
      <c r="P254" s="14">
        <f>CHOOSE(CONTROL!$C$42, 12.3859, 12.3859) * CHOOSE(CONTROL!$C$21, $C$9, 100%, $E$9)</f>
        <v>12.385899999999999</v>
      </c>
      <c r="Q254" s="14">
        <f>CHOOSE(CONTROL!$C$42, 13.028, 13.028) * CHOOSE(CONTROL!$C$21, $C$9, 100%, $E$9)</f>
        <v>13.028</v>
      </c>
      <c r="R254" s="14">
        <f>CHOOSE(CONTROL!$C$42, 13.6476, 13.6476) * CHOOSE(CONTROL!$C$21, $C$9, 100%, $E$9)</f>
        <v>13.647600000000001</v>
      </c>
      <c r="S254" s="14">
        <f>CHOOSE(CONTROL!$C$42, 12.0899, 12.0899) * CHOOSE(CONTROL!$C$21, $C$9, 100%, $E$9)</f>
        <v>12.0899</v>
      </c>
      <c r="T25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54" s="57">
        <f>(1000*CHOOSE(CONTROL!$C$42, 695, 695)*CHOOSE(CONTROL!$C$42, 0.5599, 0.5599)*CHOOSE(CONTROL!$C$42, 28, 28))/1000000</f>
        <v>10.895653999999999</v>
      </c>
      <c r="V254" s="57">
        <f>(1000*CHOOSE(CONTROL!$C$42, 500, 500)*CHOOSE(CONTROL!$C$42, 0.275, 0.275)*CHOOSE(CONTROL!$C$42, 28, 28))/1000000</f>
        <v>3.85</v>
      </c>
      <c r="W254" s="57">
        <f>(1000*CHOOSE(CONTROL!$C$42, 0.1146, 0.1146)*CHOOSE(CONTROL!$C$42, 121.5, 121.5)*CHOOSE(CONTROL!$C$42, 28, 28))/1000000</f>
        <v>0.38986920000000003</v>
      </c>
      <c r="X254" s="57">
        <f>(28*0.1790888*100000/1000000)+(28*0.2374*100000/1000000)</f>
        <v>1.16616864</v>
      </c>
      <c r="Y254" s="57"/>
      <c r="Z254" s="14"/>
      <c r="AA254" s="56"/>
      <c r="AB254" s="50">
        <f>(B254*122.58+C254*297.941+D254*89.177+E254*40.302+F254*40+G254*160+H254*0+I254*100+J254*300)/(122.58+297.941+89.177+40.302+0+40+160+100+300)</f>
        <v>12.600305692000001</v>
      </c>
      <c r="AC254" s="45">
        <f>(M254*'RAP TEMPLATE-GAS AVAILABILITY'!O253+N254*'RAP TEMPLATE-GAS AVAILABILITY'!P253+O254*'RAP TEMPLATE-GAS AVAILABILITY'!Q253+P254*'RAP TEMPLATE-GAS AVAILABILITY'!R253)/('RAP TEMPLATE-GAS AVAILABILITY'!O253+'RAP TEMPLATE-GAS AVAILABILITY'!P253+'RAP TEMPLATE-GAS AVAILABILITY'!Q253+'RAP TEMPLATE-GAS AVAILABILITY'!R253)</f>
        <v>12.382232374100719</v>
      </c>
    </row>
    <row r="255" spans="1:29" ht="15.75" x14ac:dyDescent="0.25">
      <c r="A255" s="13">
        <v>48639</v>
      </c>
      <c r="B255" s="14">
        <f>CHOOSE(CONTROL!$C$42, 12.2336, 12.2336) * CHOOSE(CONTROL!$C$21, $C$9, 100%, $E$9)</f>
        <v>12.233599999999999</v>
      </c>
      <c r="C255" s="14">
        <f>CHOOSE(CONTROL!$C$42, 12.2387, 12.2387) * CHOOSE(CONTROL!$C$21, $C$9, 100%, $E$9)</f>
        <v>12.2387</v>
      </c>
      <c r="D255" s="14">
        <f>CHOOSE(CONTROL!$C$42, 12.3051, 12.3051) * CHOOSE(CONTROL!$C$21, $C$9, 100%, $E$9)</f>
        <v>12.305099999999999</v>
      </c>
      <c r="E255" s="14">
        <f>CHOOSE(CONTROL!$C$42, 12.3392, 12.3392) * CHOOSE(CONTROL!$C$21, $C$9, 100%, $E$9)</f>
        <v>12.3392</v>
      </c>
      <c r="F255" s="14">
        <f>CHOOSE(CONTROL!$C$42, 12.2206, 12.2206)*CHOOSE(CONTROL!$C$21, $C$9, 100%, $E$9)</f>
        <v>12.220599999999999</v>
      </c>
      <c r="G255" s="14">
        <f>CHOOSE(CONTROL!$C$42, 12.236, 12.236)*CHOOSE(CONTROL!$C$21, $C$9, 100%, $E$9)</f>
        <v>12.236000000000001</v>
      </c>
      <c r="H255" s="14">
        <f>CHOOSE(CONTROL!$C$42, 12.3284, 12.3284) * CHOOSE(CONTROL!$C$21, $C$9, 100%, $E$9)</f>
        <v>12.3284</v>
      </c>
      <c r="I255" s="14">
        <f>CHOOSE(CONTROL!$C$42, 12.2795, 12.2795)* CHOOSE(CONTROL!$C$21, $C$9, 100%, $E$9)</f>
        <v>12.279500000000001</v>
      </c>
      <c r="J255" s="14">
        <f>CHOOSE(CONTROL!$C$42, 12.2136, 12.2136)* CHOOSE(CONTROL!$C$21, $C$9, 100%, $E$9)</f>
        <v>12.2136</v>
      </c>
      <c r="K255" s="53">
        <f>CHOOSE(CONTROL!$C$42, 12.2756, 12.2756) * CHOOSE(CONTROL!$C$21, $C$9, 100%, $E$9)</f>
        <v>12.275600000000001</v>
      </c>
      <c r="L255" s="14">
        <f>CHOOSE(CONTROL!$C$42, 12.9154, 12.9154) * CHOOSE(CONTROL!$C$21, $C$9, 100%, $E$9)</f>
        <v>12.9154</v>
      </c>
      <c r="M255" s="14">
        <f>CHOOSE(CONTROL!$C$42, 11.9711, 11.9711) * CHOOSE(CONTROL!$C$21, $C$9, 100%, $E$9)</f>
        <v>11.9711</v>
      </c>
      <c r="N255" s="14">
        <f>CHOOSE(CONTROL!$C$42, 11.9861, 11.9861) * CHOOSE(CONTROL!$C$21, $C$9, 100%, $E$9)</f>
        <v>11.9861</v>
      </c>
      <c r="O255" s="14">
        <f>CHOOSE(CONTROL!$C$42, 12.0835, 12.0835) * CHOOSE(CONTROL!$C$21, $C$9, 100%, $E$9)</f>
        <v>12.083500000000001</v>
      </c>
      <c r="P255" s="14">
        <f>CHOOSE(CONTROL!$C$42, 12.0349, 12.0349) * CHOOSE(CONTROL!$C$21, $C$9, 100%, $E$9)</f>
        <v>12.0349</v>
      </c>
      <c r="Q255" s="14">
        <f>CHOOSE(CONTROL!$C$42, 12.6782, 12.6782) * CHOOSE(CONTROL!$C$21, $C$9, 100%, $E$9)</f>
        <v>12.6782</v>
      </c>
      <c r="R255" s="14">
        <f>CHOOSE(CONTROL!$C$42, 13.2969, 13.2969) * CHOOSE(CONTROL!$C$21, $C$9, 100%, $E$9)</f>
        <v>13.296900000000001</v>
      </c>
      <c r="S255" s="14">
        <f>CHOOSE(CONTROL!$C$42, 11.7467, 11.7467) * CHOOSE(CONTROL!$C$21, $C$9, 100%, $E$9)</f>
        <v>11.746700000000001</v>
      </c>
      <c r="T25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55" s="57">
        <f>(1000*CHOOSE(CONTROL!$C$42, 695, 695)*CHOOSE(CONTROL!$C$42, 0.5599, 0.5599)*CHOOSE(CONTROL!$C$42, 31, 31))/1000000</f>
        <v>12.063045499999998</v>
      </c>
      <c r="V255" s="57">
        <f>(1000*CHOOSE(CONTROL!$C$42, 500, 500)*CHOOSE(CONTROL!$C$42, 0.275, 0.275)*CHOOSE(CONTROL!$C$42, 31, 31))/1000000</f>
        <v>4.2625000000000002</v>
      </c>
      <c r="W255" s="57">
        <f>(1000*CHOOSE(CONTROL!$C$42, 0.1146, 0.1146)*CHOOSE(CONTROL!$C$42, 121.5, 121.5)*CHOOSE(CONTROL!$C$42, 31, 31))/1000000</f>
        <v>0.43164089999999994</v>
      </c>
      <c r="X255" s="57">
        <f>(31*0.1790888*100000/1000000)+(31*0.2374*100000/1000000)</f>
        <v>1.2911152800000001</v>
      </c>
      <c r="Y255" s="57"/>
      <c r="Z255" s="14"/>
      <c r="AA255" s="56"/>
      <c r="AB255" s="50">
        <f>(B255*122.58+C255*297.941+D255*89.177+E255*40.302+F255*40+G255*160+H255*0+I255*100+J255*300)/(122.58+297.941+89.177+40.302+0+40+160+100+300)</f>
        <v>12.242822213739132</v>
      </c>
      <c r="AC255" s="45">
        <f>(M255*'RAP TEMPLATE-GAS AVAILABILITY'!O254+N255*'RAP TEMPLATE-GAS AVAILABILITY'!P254+O255*'RAP TEMPLATE-GAS AVAILABILITY'!Q254+P255*'RAP TEMPLATE-GAS AVAILABILITY'!R254)/('RAP TEMPLATE-GAS AVAILABILITY'!O254+'RAP TEMPLATE-GAS AVAILABILITY'!P254+'RAP TEMPLATE-GAS AVAILABILITY'!Q254+'RAP TEMPLATE-GAS AVAILABILITY'!R254)</f>
        <v>12.032087050359712</v>
      </c>
    </row>
    <row r="256" spans="1:29" ht="15.75" x14ac:dyDescent="0.25">
      <c r="A256" s="13">
        <v>48670</v>
      </c>
      <c r="B256" s="14">
        <f>CHOOSE(CONTROL!$C$42, 12.1982, 12.1982) * CHOOSE(CONTROL!$C$21, $C$9, 100%, $E$9)</f>
        <v>12.1982</v>
      </c>
      <c r="C256" s="14">
        <f>CHOOSE(CONTROL!$C$42, 12.2027, 12.2027) * CHOOSE(CONTROL!$C$21, $C$9, 100%, $E$9)</f>
        <v>12.2027</v>
      </c>
      <c r="D256" s="14">
        <f>CHOOSE(CONTROL!$C$42, 12.4097, 12.4097) * CHOOSE(CONTROL!$C$21, $C$9, 100%, $E$9)</f>
        <v>12.409700000000001</v>
      </c>
      <c r="E256" s="14">
        <f>CHOOSE(CONTROL!$C$42, 12.4418, 12.4418) * CHOOSE(CONTROL!$C$21, $C$9, 100%, $E$9)</f>
        <v>12.441800000000001</v>
      </c>
      <c r="F256" s="14">
        <f>CHOOSE(CONTROL!$C$42, 12.1801, 12.1801)*CHOOSE(CONTROL!$C$21, $C$9, 100%, $E$9)</f>
        <v>12.180099999999999</v>
      </c>
      <c r="G256" s="14">
        <f>CHOOSE(CONTROL!$C$42, 12.1953, 12.1953)*CHOOSE(CONTROL!$C$21, $C$9, 100%, $E$9)</f>
        <v>12.1953</v>
      </c>
      <c r="H256" s="14">
        <f>CHOOSE(CONTROL!$C$42, 12.4316, 12.4316) * CHOOSE(CONTROL!$C$21, $C$9, 100%, $E$9)</f>
        <v>12.4316</v>
      </c>
      <c r="I256" s="14">
        <f>CHOOSE(CONTROL!$C$42, 12.2432, 12.2432)* CHOOSE(CONTROL!$C$21, $C$9, 100%, $E$9)</f>
        <v>12.2432</v>
      </c>
      <c r="J256" s="14">
        <f>CHOOSE(CONTROL!$C$42, 12.1731, 12.1731)* CHOOSE(CONTROL!$C$21, $C$9, 100%, $E$9)</f>
        <v>12.1731</v>
      </c>
      <c r="K256" s="53">
        <f>CHOOSE(CONTROL!$C$42, 12.2393, 12.2393) * CHOOSE(CONTROL!$C$21, $C$9, 100%, $E$9)</f>
        <v>12.2393</v>
      </c>
      <c r="L256" s="14">
        <f>CHOOSE(CONTROL!$C$42, 13.0186, 13.0186) * CHOOSE(CONTROL!$C$21, $C$9, 100%, $E$9)</f>
        <v>13.018599999999999</v>
      </c>
      <c r="M256" s="14">
        <f>CHOOSE(CONTROL!$C$42, 11.9313, 11.9313) * CHOOSE(CONTROL!$C$21, $C$9, 100%, $E$9)</f>
        <v>11.9313</v>
      </c>
      <c r="N256" s="14">
        <f>CHOOSE(CONTROL!$C$42, 11.9462, 11.9462) * CHOOSE(CONTROL!$C$21, $C$9, 100%, $E$9)</f>
        <v>11.946199999999999</v>
      </c>
      <c r="O256" s="14">
        <f>CHOOSE(CONTROL!$C$42, 12.1846, 12.1846) * CHOOSE(CONTROL!$C$21, $C$9, 100%, $E$9)</f>
        <v>12.1846</v>
      </c>
      <c r="P256" s="14">
        <f>CHOOSE(CONTROL!$C$42, 11.9994, 11.9994) * CHOOSE(CONTROL!$C$21, $C$9, 100%, $E$9)</f>
        <v>11.9994</v>
      </c>
      <c r="Q256" s="14">
        <f>CHOOSE(CONTROL!$C$42, 12.7793, 12.7793) * CHOOSE(CONTROL!$C$21, $C$9, 100%, $E$9)</f>
        <v>12.779299999999999</v>
      </c>
      <c r="R256" s="14">
        <f>CHOOSE(CONTROL!$C$42, 13.3983, 13.3983) * CHOOSE(CONTROL!$C$21, $C$9, 100%, $E$9)</f>
        <v>13.398300000000001</v>
      </c>
      <c r="S256" s="14">
        <f>CHOOSE(CONTROL!$C$42, 11.7119, 11.7119) * CHOOSE(CONTROL!$C$21, $C$9, 100%, $E$9)</f>
        <v>11.7119</v>
      </c>
      <c r="T25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56" s="57">
        <f>(1000*CHOOSE(CONTROL!$C$42, 695, 695)*CHOOSE(CONTROL!$C$42, 0.5599, 0.5599)*CHOOSE(CONTROL!$C$42, 30, 30))/1000000</f>
        <v>11.673914999999997</v>
      </c>
      <c r="V256" s="57">
        <f>(1000*CHOOSE(CONTROL!$C$42, 500, 500)*CHOOSE(CONTROL!$C$42, 0.275, 0.275)*CHOOSE(CONTROL!$C$42, 30, 30))/1000000</f>
        <v>4.125</v>
      </c>
      <c r="W256" s="57">
        <f>(1000*CHOOSE(CONTROL!$C$42, 0.1146, 0.1146)*CHOOSE(CONTROL!$C$42, 121.5, 121.5)*CHOOSE(CONTROL!$C$42, 30, 30))/1000000</f>
        <v>0.417717</v>
      </c>
      <c r="X256" s="57">
        <f>(30*0.1790888*245000/1000000)+(30*0.2374*100000/1000000)</f>
        <v>2.0285026799999999</v>
      </c>
      <c r="Y256" s="57"/>
      <c r="Z256" s="14"/>
      <c r="AA256" s="56"/>
      <c r="AB256" s="50">
        <f>(B256*141.293+C256*267.993+D256*115.016+E256*89.698+F256*40+G256*185+H256*0+I256*100+J256*300)/(141.293+267.993+115.016+89.698+0+40+185+100+300)</f>
        <v>12.232979487732042</v>
      </c>
      <c r="AC256" s="45">
        <f>(M256*'RAP TEMPLATE-GAS AVAILABILITY'!O255+N256*'RAP TEMPLATE-GAS AVAILABILITY'!P255+O256*'RAP TEMPLATE-GAS AVAILABILITY'!Q255+P256*'RAP TEMPLATE-GAS AVAILABILITY'!R255)/('RAP TEMPLATE-GAS AVAILABILITY'!O255+'RAP TEMPLATE-GAS AVAILABILITY'!P255+'RAP TEMPLATE-GAS AVAILABILITY'!Q255+'RAP TEMPLATE-GAS AVAILABILITY'!R255)</f>
        <v>12.01559856115108</v>
      </c>
    </row>
    <row r="257" spans="1:29" ht="15.75" x14ac:dyDescent="0.25">
      <c r="A257" s="13">
        <v>48700</v>
      </c>
      <c r="B257" s="14">
        <f>CHOOSE(CONTROL!$C$42, 12.3071, 12.3071) * CHOOSE(CONTROL!$C$21, $C$9, 100%, $E$9)</f>
        <v>12.3071</v>
      </c>
      <c r="C257" s="14">
        <f>CHOOSE(CONTROL!$C$42, 12.3152, 12.3152) * CHOOSE(CONTROL!$C$21, $C$9, 100%, $E$9)</f>
        <v>12.315200000000001</v>
      </c>
      <c r="D257" s="14">
        <f>CHOOSE(CONTROL!$C$42, 12.5191, 12.5191) * CHOOSE(CONTROL!$C$21, $C$9, 100%, $E$9)</f>
        <v>12.5191</v>
      </c>
      <c r="E257" s="14">
        <f>CHOOSE(CONTROL!$C$42, 12.5506, 12.5506) * CHOOSE(CONTROL!$C$21, $C$9, 100%, $E$9)</f>
        <v>12.550599999999999</v>
      </c>
      <c r="F257" s="14">
        <f>CHOOSE(CONTROL!$C$42, 12.2879, 12.2879)*CHOOSE(CONTROL!$C$21, $C$9, 100%, $E$9)</f>
        <v>12.2879</v>
      </c>
      <c r="G257" s="14">
        <f>CHOOSE(CONTROL!$C$42, 12.3035, 12.3035)*CHOOSE(CONTROL!$C$21, $C$9, 100%, $E$9)</f>
        <v>12.3035</v>
      </c>
      <c r="H257" s="14">
        <f>CHOOSE(CONTROL!$C$42, 12.5392, 12.5392) * CHOOSE(CONTROL!$C$21, $C$9, 100%, $E$9)</f>
        <v>12.539199999999999</v>
      </c>
      <c r="I257" s="14">
        <f>CHOOSE(CONTROL!$C$42, 12.3511, 12.3511)* CHOOSE(CONTROL!$C$21, $C$9, 100%, $E$9)</f>
        <v>12.351100000000001</v>
      </c>
      <c r="J257" s="14">
        <f>CHOOSE(CONTROL!$C$42, 12.2809, 12.2809)* CHOOSE(CONTROL!$C$21, $C$9, 100%, $E$9)</f>
        <v>12.280900000000001</v>
      </c>
      <c r="K257" s="53">
        <f>CHOOSE(CONTROL!$C$42, 12.3472, 12.3472) * CHOOSE(CONTROL!$C$21, $C$9, 100%, $E$9)</f>
        <v>12.347200000000001</v>
      </c>
      <c r="L257" s="14">
        <f>CHOOSE(CONTROL!$C$42, 13.1262, 13.1262) * CHOOSE(CONTROL!$C$21, $C$9, 100%, $E$9)</f>
        <v>13.126200000000001</v>
      </c>
      <c r="M257" s="14">
        <f>CHOOSE(CONTROL!$C$42, 12.0369, 12.0369) * CHOOSE(CONTROL!$C$21, $C$9, 100%, $E$9)</f>
        <v>12.036899999999999</v>
      </c>
      <c r="N257" s="14">
        <f>CHOOSE(CONTROL!$C$42, 12.0523, 12.0523) * CHOOSE(CONTROL!$C$21, $C$9, 100%, $E$9)</f>
        <v>12.052300000000001</v>
      </c>
      <c r="O257" s="14">
        <f>CHOOSE(CONTROL!$C$42, 12.29, 12.29) * CHOOSE(CONTROL!$C$21, $C$9, 100%, $E$9)</f>
        <v>12.29</v>
      </c>
      <c r="P257" s="14">
        <f>CHOOSE(CONTROL!$C$42, 12.1051, 12.1051) * CHOOSE(CONTROL!$C$21, $C$9, 100%, $E$9)</f>
        <v>12.1051</v>
      </c>
      <c r="Q257" s="14">
        <f>CHOOSE(CONTROL!$C$42, 12.8847, 12.8847) * CHOOSE(CONTROL!$C$21, $C$9, 100%, $E$9)</f>
        <v>12.8847</v>
      </c>
      <c r="R257" s="14">
        <f>CHOOSE(CONTROL!$C$42, 13.5039, 13.5039) * CHOOSE(CONTROL!$C$21, $C$9, 100%, $E$9)</f>
        <v>13.5039</v>
      </c>
      <c r="S257" s="14">
        <f>CHOOSE(CONTROL!$C$42, 11.8153, 11.8153) * CHOOSE(CONTROL!$C$21, $C$9, 100%, $E$9)</f>
        <v>11.815300000000001</v>
      </c>
      <c r="T25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57" s="57">
        <f>(1000*CHOOSE(CONTROL!$C$42, 695, 695)*CHOOSE(CONTROL!$C$42, 0.5599, 0.5599)*CHOOSE(CONTROL!$C$42, 31, 31))/1000000</f>
        <v>12.063045499999998</v>
      </c>
      <c r="V257" s="57">
        <f>(1000*CHOOSE(CONTROL!$C$42, 500, 500)*CHOOSE(CONTROL!$C$42, 0.275, 0.275)*CHOOSE(CONTROL!$C$42, 31, 31))/1000000</f>
        <v>4.2625000000000002</v>
      </c>
      <c r="W257" s="57">
        <f>(1000*CHOOSE(CONTROL!$C$42, 0.1146, 0.1146)*CHOOSE(CONTROL!$C$42, 121.5, 121.5)*CHOOSE(CONTROL!$C$42, 31, 31))/1000000</f>
        <v>0.43164089999999994</v>
      </c>
      <c r="X257" s="57">
        <f>(31*0.1790888*245000/1000000)+(31*0.2374*100000/1000000)</f>
        <v>2.0961194359999999</v>
      </c>
      <c r="Y257" s="57"/>
      <c r="Z257" s="14"/>
      <c r="AA257" s="56"/>
      <c r="AB257" s="50">
        <f>(B257*194.205+C257*267.466+D257*133.845+E257*53.484+F257*40+G257*185+H257*0+I257*100+J257*300)/(194.205+267.466+133.845+53.484+0+40+185+100+300)</f>
        <v>12.337453978492938</v>
      </c>
      <c r="AC257" s="45">
        <f>(M257*'RAP TEMPLATE-GAS AVAILABILITY'!O256+N257*'RAP TEMPLATE-GAS AVAILABILITY'!P256+O257*'RAP TEMPLATE-GAS AVAILABILITY'!Q256+P257*'RAP TEMPLATE-GAS AVAILABILITY'!R256)/('RAP TEMPLATE-GAS AVAILABILITY'!O256+'RAP TEMPLATE-GAS AVAILABILITY'!P256+'RAP TEMPLATE-GAS AVAILABILITY'!Q256+'RAP TEMPLATE-GAS AVAILABILITY'!R256)</f>
        <v>12.121271942446043</v>
      </c>
    </row>
    <row r="258" spans="1:29" ht="15.75" x14ac:dyDescent="0.25">
      <c r="A258" s="13">
        <v>48731</v>
      </c>
      <c r="B258" s="14">
        <f>CHOOSE(CONTROL!$C$42, 12.6559, 12.6559) * CHOOSE(CONTROL!$C$21, $C$9, 100%, $E$9)</f>
        <v>12.655900000000001</v>
      </c>
      <c r="C258" s="14">
        <f>CHOOSE(CONTROL!$C$42, 12.6639, 12.6639) * CHOOSE(CONTROL!$C$21, $C$9, 100%, $E$9)</f>
        <v>12.6639</v>
      </c>
      <c r="D258" s="14">
        <f>CHOOSE(CONTROL!$C$42, 12.8679, 12.8679) * CHOOSE(CONTROL!$C$21, $C$9, 100%, $E$9)</f>
        <v>12.867900000000001</v>
      </c>
      <c r="E258" s="14">
        <f>CHOOSE(CONTROL!$C$42, 12.8993, 12.8993) * CHOOSE(CONTROL!$C$21, $C$9, 100%, $E$9)</f>
        <v>12.8993</v>
      </c>
      <c r="F258" s="14">
        <f>CHOOSE(CONTROL!$C$42, 12.6371, 12.6371)*CHOOSE(CONTROL!$C$21, $C$9, 100%, $E$9)</f>
        <v>12.6371</v>
      </c>
      <c r="G258" s="14">
        <f>CHOOSE(CONTROL!$C$42, 12.6528, 12.6528)*CHOOSE(CONTROL!$C$21, $C$9, 100%, $E$9)</f>
        <v>12.652799999999999</v>
      </c>
      <c r="H258" s="14">
        <f>CHOOSE(CONTROL!$C$42, 12.888, 12.888) * CHOOSE(CONTROL!$C$21, $C$9, 100%, $E$9)</f>
        <v>12.888</v>
      </c>
      <c r="I258" s="14">
        <f>CHOOSE(CONTROL!$C$42, 12.701, 12.701)* CHOOSE(CONTROL!$C$21, $C$9, 100%, $E$9)</f>
        <v>12.701000000000001</v>
      </c>
      <c r="J258" s="14">
        <f>CHOOSE(CONTROL!$C$42, 12.6301, 12.6301)* CHOOSE(CONTROL!$C$21, $C$9, 100%, $E$9)</f>
        <v>12.630100000000001</v>
      </c>
      <c r="K258" s="53">
        <f>CHOOSE(CONTROL!$C$42, 12.6971, 12.6971) * CHOOSE(CONTROL!$C$21, $C$9, 100%, $E$9)</f>
        <v>12.697100000000001</v>
      </c>
      <c r="L258" s="14">
        <f>CHOOSE(CONTROL!$C$42, 13.475, 13.475) * CHOOSE(CONTROL!$C$21, $C$9, 100%, $E$9)</f>
        <v>13.475</v>
      </c>
      <c r="M258" s="14">
        <f>CHOOSE(CONTROL!$C$42, 12.379, 12.379) * CHOOSE(CONTROL!$C$21, $C$9, 100%, $E$9)</f>
        <v>12.379</v>
      </c>
      <c r="N258" s="14">
        <f>CHOOSE(CONTROL!$C$42, 12.3944, 12.3944) * CHOOSE(CONTROL!$C$21, $C$9, 100%, $E$9)</f>
        <v>12.394399999999999</v>
      </c>
      <c r="O258" s="14">
        <f>CHOOSE(CONTROL!$C$42, 12.6316, 12.6316) * CHOOSE(CONTROL!$C$21, $C$9, 100%, $E$9)</f>
        <v>12.631600000000001</v>
      </c>
      <c r="P258" s="14">
        <f>CHOOSE(CONTROL!$C$42, 12.4477, 12.4477) * CHOOSE(CONTROL!$C$21, $C$9, 100%, $E$9)</f>
        <v>12.447699999999999</v>
      </c>
      <c r="Q258" s="14">
        <f>CHOOSE(CONTROL!$C$42, 13.2263, 13.2263) * CHOOSE(CONTROL!$C$21, $C$9, 100%, $E$9)</f>
        <v>13.2263</v>
      </c>
      <c r="R258" s="14">
        <f>CHOOSE(CONTROL!$C$42, 13.8464, 13.8464) * CHOOSE(CONTROL!$C$21, $C$9, 100%, $E$9)</f>
        <v>13.846399999999999</v>
      </c>
      <c r="S258" s="14">
        <f>CHOOSE(CONTROL!$C$42, 12.1504, 12.1504) * CHOOSE(CONTROL!$C$21, $C$9, 100%, $E$9)</f>
        <v>12.150399999999999</v>
      </c>
      <c r="T25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58" s="57">
        <f>(1000*CHOOSE(CONTROL!$C$42, 695, 695)*CHOOSE(CONTROL!$C$42, 0.5599, 0.5599)*CHOOSE(CONTROL!$C$42, 30, 30))/1000000</f>
        <v>11.673914999999997</v>
      </c>
      <c r="V258" s="57">
        <f>(1000*CHOOSE(CONTROL!$C$42, 500, 500)*CHOOSE(CONTROL!$C$42, 0.275, 0.275)*CHOOSE(CONTROL!$C$42, 30, 30))/1000000</f>
        <v>4.125</v>
      </c>
      <c r="W258" s="57">
        <f>(1000*CHOOSE(CONTROL!$C$42, 0.1146, 0.1146)*CHOOSE(CONTROL!$C$42, 121.5, 121.5)*CHOOSE(CONTROL!$C$42, 30, 30))/1000000</f>
        <v>0.417717</v>
      </c>
      <c r="X258" s="57">
        <f>(30*0.1790888*245000/1000000)+(30*0.2374*100000/1000000)</f>
        <v>2.0285026799999999</v>
      </c>
      <c r="Y258" s="57"/>
      <c r="Z258" s="14"/>
      <c r="AA258" s="56"/>
      <c r="AB258" s="50">
        <f>(B258*194.205+C258*267.466+D258*133.845+E258*53.484+F258*40+G258*185+H258*0+I258*100+J258*300)/(194.205+267.466+133.845+53.484+0+40+185+100+300)</f>
        <v>12.686494484772371</v>
      </c>
      <c r="AC258" s="45">
        <f>(M258*'RAP TEMPLATE-GAS AVAILABILITY'!O257+N258*'RAP TEMPLATE-GAS AVAILABILITY'!P257+O258*'RAP TEMPLATE-GAS AVAILABILITY'!Q257+P258*'RAP TEMPLATE-GAS AVAILABILITY'!R257)/('RAP TEMPLATE-GAS AVAILABILITY'!O257+'RAP TEMPLATE-GAS AVAILABILITY'!P257+'RAP TEMPLATE-GAS AVAILABILITY'!Q257+'RAP TEMPLATE-GAS AVAILABILITY'!R257)</f>
        <v>12.463303597122303</v>
      </c>
    </row>
    <row r="259" spans="1:29" ht="15.75" x14ac:dyDescent="0.25">
      <c r="A259" s="13">
        <v>48761</v>
      </c>
      <c r="B259" s="14">
        <f>CHOOSE(CONTROL!$C$42, 12.4133, 12.4133) * CHOOSE(CONTROL!$C$21, $C$9, 100%, $E$9)</f>
        <v>12.4133</v>
      </c>
      <c r="C259" s="14">
        <f>CHOOSE(CONTROL!$C$42, 12.4214, 12.4214) * CHOOSE(CONTROL!$C$21, $C$9, 100%, $E$9)</f>
        <v>12.4214</v>
      </c>
      <c r="D259" s="14">
        <f>CHOOSE(CONTROL!$C$42, 12.6253, 12.6253) * CHOOSE(CONTROL!$C$21, $C$9, 100%, $E$9)</f>
        <v>12.625299999999999</v>
      </c>
      <c r="E259" s="14">
        <f>CHOOSE(CONTROL!$C$42, 12.6568, 12.6568) * CHOOSE(CONTROL!$C$21, $C$9, 100%, $E$9)</f>
        <v>12.6568</v>
      </c>
      <c r="F259" s="14">
        <f>CHOOSE(CONTROL!$C$42, 12.395, 12.395)*CHOOSE(CONTROL!$C$21, $C$9, 100%, $E$9)</f>
        <v>12.395</v>
      </c>
      <c r="G259" s="14">
        <f>CHOOSE(CONTROL!$C$42, 12.4109, 12.4109)*CHOOSE(CONTROL!$C$21, $C$9, 100%, $E$9)</f>
        <v>12.4109</v>
      </c>
      <c r="H259" s="14">
        <f>CHOOSE(CONTROL!$C$42, 12.6454, 12.6454) * CHOOSE(CONTROL!$C$21, $C$9, 100%, $E$9)</f>
        <v>12.6454</v>
      </c>
      <c r="I259" s="14">
        <f>CHOOSE(CONTROL!$C$42, 12.4577, 12.4577)* CHOOSE(CONTROL!$C$21, $C$9, 100%, $E$9)</f>
        <v>12.457700000000001</v>
      </c>
      <c r="J259" s="14">
        <f>CHOOSE(CONTROL!$C$42, 12.388, 12.388)* CHOOSE(CONTROL!$C$21, $C$9, 100%, $E$9)</f>
        <v>12.388</v>
      </c>
      <c r="K259" s="53">
        <f>CHOOSE(CONTROL!$C$42, 12.4538, 12.4538) * CHOOSE(CONTROL!$C$21, $C$9, 100%, $E$9)</f>
        <v>12.453799999999999</v>
      </c>
      <c r="L259" s="14">
        <f>CHOOSE(CONTROL!$C$42, 13.2324, 13.2324) * CHOOSE(CONTROL!$C$21, $C$9, 100%, $E$9)</f>
        <v>13.2324</v>
      </c>
      <c r="M259" s="14">
        <f>CHOOSE(CONTROL!$C$42, 12.1418, 12.1418) * CHOOSE(CONTROL!$C$21, $C$9, 100%, $E$9)</f>
        <v>12.1418</v>
      </c>
      <c r="N259" s="14">
        <f>CHOOSE(CONTROL!$C$42, 12.1574, 12.1574) * CHOOSE(CONTROL!$C$21, $C$9, 100%, $E$9)</f>
        <v>12.157400000000001</v>
      </c>
      <c r="O259" s="14">
        <f>CHOOSE(CONTROL!$C$42, 12.394, 12.394) * CHOOSE(CONTROL!$C$21, $C$9, 100%, $E$9)</f>
        <v>12.394</v>
      </c>
      <c r="P259" s="14">
        <f>CHOOSE(CONTROL!$C$42, 12.2094, 12.2094) * CHOOSE(CONTROL!$C$21, $C$9, 100%, $E$9)</f>
        <v>12.2094</v>
      </c>
      <c r="Q259" s="14">
        <f>CHOOSE(CONTROL!$C$42, 12.9887, 12.9887) * CHOOSE(CONTROL!$C$21, $C$9, 100%, $E$9)</f>
        <v>12.9887</v>
      </c>
      <c r="R259" s="14">
        <f>CHOOSE(CONTROL!$C$42, 13.6082, 13.6082) * CHOOSE(CONTROL!$C$21, $C$9, 100%, $E$9)</f>
        <v>13.6082</v>
      </c>
      <c r="S259" s="14">
        <f>CHOOSE(CONTROL!$C$42, 11.9173, 11.9173) * CHOOSE(CONTROL!$C$21, $C$9, 100%, $E$9)</f>
        <v>11.917299999999999</v>
      </c>
      <c r="T25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59" s="57">
        <f>(1000*CHOOSE(CONTROL!$C$42, 695, 695)*CHOOSE(CONTROL!$C$42, 0.5599, 0.5599)*CHOOSE(CONTROL!$C$42, 31, 31))/1000000</f>
        <v>12.063045499999998</v>
      </c>
      <c r="V259" s="57">
        <f>(1000*CHOOSE(CONTROL!$C$42, 500, 500)*CHOOSE(CONTROL!$C$42, 0.275, 0.275)*CHOOSE(CONTROL!$C$42, 31, 31))/1000000</f>
        <v>4.2625000000000002</v>
      </c>
      <c r="W259" s="57">
        <f>(1000*CHOOSE(CONTROL!$C$42, 0.1146, 0.1146)*CHOOSE(CONTROL!$C$42, 121.5, 121.5)*CHOOSE(CONTROL!$C$42, 31, 31))/1000000</f>
        <v>0.43164089999999994</v>
      </c>
      <c r="X259" s="57">
        <f>(31*0.1790888*245000/1000000)+(31*0.2374*100000/1000000)</f>
        <v>2.0961194359999999</v>
      </c>
      <c r="Y259" s="57"/>
      <c r="Z259" s="14"/>
      <c r="AA259" s="56"/>
      <c r="AB259" s="50">
        <f>(B259*194.205+C259*267.466+D259*133.845+E259*53.484+F259*40+G259*185+H259*0+I259*100+J259*300)/(194.205+267.466+133.845+53.484+0+40+185+100+300)</f>
        <v>12.444099818367347</v>
      </c>
      <c r="AC259" s="45">
        <f>(M259*'RAP TEMPLATE-GAS AVAILABILITY'!O258+N259*'RAP TEMPLATE-GAS AVAILABILITY'!P258+O259*'RAP TEMPLATE-GAS AVAILABILITY'!Q258+P259*'RAP TEMPLATE-GAS AVAILABILITY'!R258)/('RAP TEMPLATE-GAS AVAILABILITY'!O258+'RAP TEMPLATE-GAS AVAILABILITY'!P258+'RAP TEMPLATE-GAS AVAILABILITY'!Q258+'RAP TEMPLATE-GAS AVAILABILITY'!R258)</f>
        <v>12.225879136690649</v>
      </c>
    </row>
    <row r="260" spans="1:29" ht="15.75" x14ac:dyDescent="0.25">
      <c r="A260" s="13">
        <v>48792</v>
      </c>
      <c r="B260" s="14">
        <f>CHOOSE(CONTROL!$C$42, 11.8008, 11.8008) * CHOOSE(CONTROL!$C$21, $C$9, 100%, $E$9)</f>
        <v>11.800800000000001</v>
      </c>
      <c r="C260" s="14">
        <f>CHOOSE(CONTROL!$C$42, 11.8088, 11.8088) * CHOOSE(CONTROL!$C$21, $C$9, 100%, $E$9)</f>
        <v>11.8088</v>
      </c>
      <c r="D260" s="14">
        <f>CHOOSE(CONTROL!$C$42, 12.0127, 12.0127) * CHOOSE(CONTROL!$C$21, $C$9, 100%, $E$9)</f>
        <v>12.012700000000001</v>
      </c>
      <c r="E260" s="14">
        <f>CHOOSE(CONTROL!$C$42, 12.0442, 12.0442) * CHOOSE(CONTROL!$C$21, $C$9, 100%, $E$9)</f>
        <v>12.0442</v>
      </c>
      <c r="F260" s="14">
        <f>CHOOSE(CONTROL!$C$42, 11.7826, 11.7826)*CHOOSE(CONTROL!$C$21, $C$9, 100%, $E$9)</f>
        <v>11.7826</v>
      </c>
      <c r="G260" s="14">
        <f>CHOOSE(CONTROL!$C$42, 11.7986, 11.7986)*CHOOSE(CONTROL!$C$21, $C$9, 100%, $E$9)</f>
        <v>11.7986</v>
      </c>
      <c r="H260" s="14">
        <f>CHOOSE(CONTROL!$C$42, 12.0328, 12.0328) * CHOOSE(CONTROL!$C$21, $C$9, 100%, $E$9)</f>
        <v>12.0328</v>
      </c>
      <c r="I260" s="14">
        <f>CHOOSE(CONTROL!$C$42, 11.8432, 11.8432)* CHOOSE(CONTROL!$C$21, $C$9, 100%, $E$9)</f>
        <v>11.8432</v>
      </c>
      <c r="J260" s="14">
        <f>CHOOSE(CONTROL!$C$42, 11.7756, 11.7756)* CHOOSE(CONTROL!$C$21, $C$9, 100%, $E$9)</f>
        <v>11.775600000000001</v>
      </c>
      <c r="K260" s="53">
        <f>CHOOSE(CONTROL!$C$42, 11.8393, 11.8393) * CHOOSE(CONTROL!$C$21, $C$9, 100%, $E$9)</f>
        <v>11.8393</v>
      </c>
      <c r="L260" s="14">
        <f>CHOOSE(CONTROL!$C$42, 12.6198, 12.6198) * CHOOSE(CONTROL!$C$21, $C$9, 100%, $E$9)</f>
        <v>12.6198</v>
      </c>
      <c r="M260" s="14">
        <f>CHOOSE(CONTROL!$C$42, 11.542, 11.542) * CHOOSE(CONTROL!$C$21, $C$9, 100%, $E$9)</f>
        <v>11.542</v>
      </c>
      <c r="N260" s="14">
        <f>CHOOSE(CONTROL!$C$42, 11.5577, 11.5577) * CHOOSE(CONTROL!$C$21, $C$9, 100%, $E$9)</f>
        <v>11.557700000000001</v>
      </c>
      <c r="O260" s="14">
        <f>CHOOSE(CONTROL!$C$42, 11.794, 11.794) * CHOOSE(CONTROL!$C$21, $C$9, 100%, $E$9)</f>
        <v>11.794</v>
      </c>
      <c r="P260" s="14">
        <f>CHOOSE(CONTROL!$C$42, 11.6075, 11.6075) * CHOOSE(CONTROL!$C$21, $C$9, 100%, $E$9)</f>
        <v>11.6075</v>
      </c>
      <c r="Q260" s="14">
        <f>CHOOSE(CONTROL!$C$42, 12.3887, 12.3887) * CHOOSE(CONTROL!$C$21, $C$9, 100%, $E$9)</f>
        <v>12.3887</v>
      </c>
      <c r="R260" s="14">
        <f>CHOOSE(CONTROL!$C$42, 13.0067, 13.0067) * CHOOSE(CONTROL!$C$21, $C$9, 100%, $E$9)</f>
        <v>13.0067</v>
      </c>
      <c r="S260" s="14">
        <f>CHOOSE(CONTROL!$C$42, 11.3287, 11.3287) * CHOOSE(CONTROL!$C$21, $C$9, 100%, $E$9)</f>
        <v>11.3287</v>
      </c>
      <c r="T26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60" s="57">
        <f>(1000*CHOOSE(CONTROL!$C$42, 695, 695)*CHOOSE(CONTROL!$C$42, 0.5599, 0.5599)*CHOOSE(CONTROL!$C$42, 31, 31))/1000000</f>
        <v>12.063045499999998</v>
      </c>
      <c r="V260" s="57">
        <f>(1000*CHOOSE(CONTROL!$C$42, 500, 500)*CHOOSE(CONTROL!$C$42, 0.275, 0.275)*CHOOSE(CONTROL!$C$42, 31, 31))/1000000</f>
        <v>4.2625000000000002</v>
      </c>
      <c r="W260" s="57">
        <f>(1000*CHOOSE(CONTROL!$C$42, 0.1146, 0.1146)*CHOOSE(CONTROL!$C$42, 121.5, 121.5)*CHOOSE(CONTROL!$C$42, 31, 31))/1000000</f>
        <v>0.43164089999999994</v>
      </c>
      <c r="X260" s="57">
        <f>(31*0.1790888*245000/1000000)+(31*0.2374*100000/1000000)</f>
        <v>2.0961194359999999</v>
      </c>
      <c r="Y260" s="57"/>
      <c r="Z260" s="14"/>
      <c r="AA260" s="56"/>
      <c r="AB260" s="50">
        <f>(B260*194.205+C260*267.466+D260*133.845+E260*53.484+F260*40+G260*185+H260*0+I260*100+J260*300)/(194.205+267.466+133.845+53.484+0+40+185+100+300)</f>
        <v>11.831462864285715</v>
      </c>
      <c r="AC260" s="45">
        <f>(M260*'RAP TEMPLATE-GAS AVAILABILITY'!O259+N260*'RAP TEMPLATE-GAS AVAILABILITY'!P259+O260*'RAP TEMPLATE-GAS AVAILABILITY'!Q259+P260*'RAP TEMPLATE-GAS AVAILABILITY'!R259)/('RAP TEMPLATE-GAS AVAILABILITY'!O259+'RAP TEMPLATE-GAS AVAILABILITY'!P259+'RAP TEMPLATE-GAS AVAILABILITY'!Q259+'RAP TEMPLATE-GAS AVAILABILITY'!R259)</f>
        <v>11.625743884892087</v>
      </c>
    </row>
    <row r="261" spans="1:29" ht="15.75" x14ac:dyDescent="0.25">
      <c r="A261" s="13">
        <v>48823</v>
      </c>
      <c r="B261" s="14">
        <f>CHOOSE(CONTROL!$C$42, 11.052, 11.052) * CHOOSE(CONTROL!$C$21, $C$9, 100%, $E$9)</f>
        <v>11.052</v>
      </c>
      <c r="C261" s="14">
        <f>CHOOSE(CONTROL!$C$42, 11.06, 11.06) * CHOOSE(CONTROL!$C$21, $C$9, 100%, $E$9)</f>
        <v>11.06</v>
      </c>
      <c r="D261" s="14">
        <f>CHOOSE(CONTROL!$C$42, 11.2639, 11.2639) * CHOOSE(CONTROL!$C$21, $C$9, 100%, $E$9)</f>
        <v>11.2639</v>
      </c>
      <c r="E261" s="14">
        <f>CHOOSE(CONTROL!$C$42, 11.2954, 11.2954) * CHOOSE(CONTROL!$C$21, $C$9, 100%, $E$9)</f>
        <v>11.295400000000001</v>
      </c>
      <c r="F261" s="14">
        <f>CHOOSE(CONTROL!$C$42, 11.0339, 11.0339)*CHOOSE(CONTROL!$C$21, $C$9, 100%, $E$9)</f>
        <v>11.033899999999999</v>
      </c>
      <c r="G261" s="14">
        <f>CHOOSE(CONTROL!$C$42, 11.0498, 11.0498)*CHOOSE(CONTROL!$C$21, $C$9, 100%, $E$9)</f>
        <v>11.049799999999999</v>
      </c>
      <c r="H261" s="14">
        <f>CHOOSE(CONTROL!$C$42, 11.284, 11.284) * CHOOSE(CONTROL!$C$21, $C$9, 100%, $E$9)</f>
        <v>11.284000000000001</v>
      </c>
      <c r="I261" s="14">
        <f>CHOOSE(CONTROL!$C$42, 11.092, 11.092)* CHOOSE(CONTROL!$C$21, $C$9, 100%, $E$9)</f>
        <v>11.092000000000001</v>
      </c>
      <c r="J261" s="14">
        <f>CHOOSE(CONTROL!$C$42, 11.0269, 11.0269)* CHOOSE(CONTROL!$C$21, $C$9, 100%, $E$9)</f>
        <v>11.026899999999999</v>
      </c>
      <c r="K261" s="53">
        <f>CHOOSE(CONTROL!$C$42, 11.0881, 11.0881) * CHOOSE(CONTROL!$C$21, $C$9, 100%, $E$9)</f>
        <v>11.088100000000001</v>
      </c>
      <c r="L261" s="14">
        <f>CHOOSE(CONTROL!$C$42, 11.871, 11.871) * CHOOSE(CONTROL!$C$21, $C$9, 100%, $E$9)</f>
        <v>11.871</v>
      </c>
      <c r="M261" s="14">
        <f>CHOOSE(CONTROL!$C$42, 10.8086, 10.8086) * CHOOSE(CONTROL!$C$21, $C$9, 100%, $E$9)</f>
        <v>10.8086</v>
      </c>
      <c r="N261" s="14">
        <f>CHOOSE(CONTROL!$C$42, 10.8243, 10.8243) * CHOOSE(CONTROL!$C$21, $C$9, 100%, $E$9)</f>
        <v>10.824299999999999</v>
      </c>
      <c r="O261" s="14">
        <f>CHOOSE(CONTROL!$C$42, 11.0605, 11.0605) * CHOOSE(CONTROL!$C$21, $C$9, 100%, $E$9)</f>
        <v>11.060499999999999</v>
      </c>
      <c r="P261" s="14">
        <f>CHOOSE(CONTROL!$C$42, 10.8718, 10.8718) * CHOOSE(CONTROL!$C$21, $C$9, 100%, $E$9)</f>
        <v>10.8718</v>
      </c>
      <c r="Q261" s="14">
        <f>CHOOSE(CONTROL!$C$42, 11.6552, 11.6552) * CHOOSE(CONTROL!$C$21, $C$9, 100%, $E$9)</f>
        <v>11.655200000000001</v>
      </c>
      <c r="R261" s="14">
        <f>CHOOSE(CONTROL!$C$42, 12.2713, 12.2713) * CHOOSE(CONTROL!$C$21, $C$9, 100%, $E$9)</f>
        <v>12.2713</v>
      </c>
      <c r="S261" s="14">
        <f>CHOOSE(CONTROL!$C$42, 10.6092, 10.6092) * CHOOSE(CONTROL!$C$21, $C$9, 100%, $E$9)</f>
        <v>10.6092</v>
      </c>
      <c r="T26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61" s="57">
        <f>(1000*CHOOSE(CONTROL!$C$42, 695, 695)*CHOOSE(CONTROL!$C$42, 0.5599, 0.5599)*CHOOSE(CONTROL!$C$42, 30, 30))/1000000</f>
        <v>11.673914999999997</v>
      </c>
      <c r="V261" s="57">
        <f>(1000*CHOOSE(CONTROL!$C$42, 500, 500)*CHOOSE(CONTROL!$C$42, 0.275, 0.275)*CHOOSE(CONTROL!$C$42, 30, 30))/1000000</f>
        <v>4.125</v>
      </c>
      <c r="W261" s="57">
        <f>(1000*CHOOSE(CONTROL!$C$42, 0.1146, 0.1146)*CHOOSE(CONTROL!$C$42, 121.5, 121.5)*CHOOSE(CONTROL!$C$42, 30, 30))/1000000</f>
        <v>0.417717</v>
      </c>
      <c r="X261" s="57">
        <f>(30*0.1790888*245000/1000000)+(30*0.2374*100000/1000000)</f>
        <v>2.0285026799999999</v>
      </c>
      <c r="Y261" s="57"/>
      <c r="Z261" s="14"/>
      <c r="AA261" s="56"/>
      <c r="AB261" s="50">
        <f>(B261*194.205+C261*267.466+D261*133.845+E261*53.484+F261*40+G261*185+H261*0+I261*100+J261*300)/(194.205+267.466+133.845+53.484+0+40+185+100+300)</f>
        <v>11.082501168838306</v>
      </c>
      <c r="AC261" s="45">
        <f>(M261*'RAP TEMPLATE-GAS AVAILABILITY'!O260+N261*'RAP TEMPLATE-GAS AVAILABILITY'!P260+O261*'RAP TEMPLATE-GAS AVAILABILITY'!Q260+P261*'RAP TEMPLATE-GAS AVAILABILITY'!R260)/('RAP TEMPLATE-GAS AVAILABILITY'!O260+'RAP TEMPLATE-GAS AVAILABILITY'!P260+'RAP TEMPLATE-GAS AVAILABILITY'!Q260+'RAP TEMPLATE-GAS AVAILABILITY'!R260)</f>
        <v>10.891984892086329</v>
      </c>
    </row>
    <row r="262" spans="1:29" ht="15.75" x14ac:dyDescent="0.25">
      <c r="A262" s="13">
        <v>48853</v>
      </c>
      <c r="B262" s="14">
        <f>CHOOSE(CONTROL!$C$42, 10.826, 10.826) * CHOOSE(CONTROL!$C$21, $C$9, 100%, $E$9)</f>
        <v>10.826000000000001</v>
      </c>
      <c r="C262" s="14">
        <f>CHOOSE(CONTROL!$C$42, 10.8314, 10.8314) * CHOOSE(CONTROL!$C$21, $C$9, 100%, $E$9)</f>
        <v>10.8314</v>
      </c>
      <c r="D262" s="14">
        <f>CHOOSE(CONTROL!$C$42, 11.0403, 11.0403) * CHOOSE(CONTROL!$C$21, $C$9, 100%, $E$9)</f>
        <v>11.0403</v>
      </c>
      <c r="E262" s="14">
        <f>CHOOSE(CONTROL!$C$42, 11.0694, 11.0694) * CHOOSE(CONTROL!$C$21, $C$9, 100%, $E$9)</f>
        <v>11.0694</v>
      </c>
      <c r="F262" s="14">
        <f>CHOOSE(CONTROL!$C$42, 10.81, 10.81)*CHOOSE(CONTROL!$C$21, $C$9, 100%, $E$9)</f>
        <v>10.81</v>
      </c>
      <c r="G262" s="14">
        <f>CHOOSE(CONTROL!$C$42, 10.8257, 10.8257)*CHOOSE(CONTROL!$C$21, $C$9, 100%, $E$9)</f>
        <v>10.825699999999999</v>
      </c>
      <c r="H262" s="14">
        <f>CHOOSE(CONTROL!$C$42, 11.0599, 11.0599) * CHOOSE(CONTROL!$C$21, $C$9, 100%, $E$9)</f>
        <v>11.059900000000001</v>
      </c>
      <c r="I262" s="14">
        <f>CHOOSE(CONTROL!$C$42, 10.8672, 10.8672)* CHOOSE(CONTROL!$C$21, $C$9, 100%, $E$9)</f>
        <v>10.8672</v>
      </c>
      <c r="J262" s="14">
        <f>CHOOSE(CONTROL!$C$42, 10.803, 10.803)* CHOOSE(CONTROL!$C$21, $C$9, 100%, $E$9)</f>
        <v>10.803000000000001</v>
      </c>
      <c r="K262" s="53">
        <f>CHOOSE(CONTROL!$C$42, 10.8633, 10.8633) * CHOOSE(CONTROL!$C$21, $C$9, 100%, $E$9)</f>
        <v>10.863300000000001</v>
      </c>
      <c r="L262" s="14">
        <f>CHOOSE(CONTROL!$C$42, 11.6469, 11.6469) * CHOOSE(CONTROL!$C$21, $C$9, 100%, $E$9)</f>
        <v>11.6469</v>
      </c>
      <c r="M262" s="14">
        <f>CHOOSE(CONTROL!$C$42, 10.5894, 10.5894) * CHOOSE(CONTROL!$C$21, $C$9, 100%, $E$9)</f>
        <v>10.589399999999999</v>
      </c>
      <c r="N262" s="14">
        <f>CHOOSE(CONTROL!$C$42, 10.6047, 10.6047) * CHOOSE(CONTROL!$C$21, $C$9, 100%, $E$9)</f>
        <v>10.604699999999999</v>
      </c>
      <c r="O262" s="14">
        <f>CHOOSE(CONTROL!$C$42, 10.8409, 10.8409) * CHOOSE(CONTROL!$C$21, $C$9, 100%, $E$9)</f>
        <v>10.8409</v>
      </c>
      <c r="P262" s="14">
        <f>CHOOSE(CONTROL!$C$42, 10.6516, 10.6516) * CHOOSE(CONTROL!$C$21, $C$9, 100%, $E$9)</f>
        <v>10.6516</v>
      </c>
      <c r="Q262" s="14">
        <f>CHOOSE(CONTROL!$C$42, 11.4356, 11.4356) * CHOOSE(CONTROL!$C$21, $C$9, 100%, $E$9)</f>
        <v>11.435600000000001</v>
      </c>
      <c r="R262" s="14">
        <f>CHOOSE(CONTROL!$C$42, 12.0512, 12.0512) * CHOOSE(CONTROL!$C$21, $C$9, 100%, $E$9)</f>
        <v>12.0512</v>
      </c>
      <c r="S262" s="14">
        <f>CHOOSE(CONTROL!$C$42, 10.3938, 10.3938) * CHOOSE(CONTROL!$C$21, $C$9, 100%, $E$9)</f>
        <v>10.393800000000001</v>
      </c>
      <c r="T26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62" s="57">
        <f>(1000*CHOOSE(CONTROL!$C$42, 695, 695)*CHOOSE(CONTROL!$C$42, 0.5599, 0.5599)*CHOOSE(CONTROL!$C$42, 31, 31))/1000000</f>
        <v>12.063045499999998</v>
      </c>
      <c r="V262" s="57">
        <f>(1000*CHOOSE(CONTROL!$C$42, 500, 500)*CHOOSE(CONTROL!$C$42, 0.275, 0.275)*CHOOSE(CONTROL!$C$42, 31, 31))/1000000</f>
        <v>4.2625000000000002</v>
      </c>
      <c r="W262" s="57">
        <f>(1000*CHOOSE(CONTROL!$C$42, 0.1146, 0.1146)*CHOOSE(CONTROL!$C$42, 121.5, 121.5)*CHOOSE(CONTROL!$C$42, 31, 31))/1000000</f>
        <v>0.43164089999999994</v>
      </c>
      <c r="X262" s="57">
        <f>(31*0.1790888*245000/1000000)+(31*0.2374*100000/1000000)</f>
        <v>2.0961194359999999</v>
      </c>
      <c r="Y262" s="57"/>
      <c r="Z262" s="14"/>
      <c r="AA262" s="56"/>
      <c r="AB262" s="50">
        <f>(B262*131.881+C262*277.167+D262*79.08+E262*125.872+F262*40+G262*185+H262*0+I262*100+J262*300)/(131.881+277.167+79.08+125.872+0+40+185+100+300)</f>
        <v>10.862808144148504</v>
      </c>
      <c r="AC262" s="45">
        <f>(M262*'RAP TEMPLATE-GAS AVAILABILITY'!O261+N262*'RAP TEMPLATE-GAS AVAILABILITY'!P261+O262*'RAP TEMPLATE-GAS AVAILABILITY'!Q261+P262*'RAP TEMPLATE-GAS AVAILABILITY'!R261)/('RAP TEMPLATE-GAS AVAILABILITY'!O261+'RAP TEMPLATE-GAS AVAILABILITY'!P261+'RAP TEMPLATE-GAS AVAILABILITY'!Q261+'RAP TEMPLATE-GAS AVAILABILITY'!R261)</f>
        <v>10.67243669064748</v>
      </c>
    </row>
    <row r="263" spans="1:29" ht="15.75" x14ac:dyDescent="0.25">
      <c r="A263" s="13">
        <v>48884</v>
      </c>
      <c r="B263" s="14">
        <f>CHOOSE(CONTROL!$C$42, 11.1106, 11.1106) * CHOOSE(CONTROL!$C$21, $C$9, 100%, $E$9)</f>
        <v>11.1106</v>
      </c>
      <c r="C263" s="14">
        <f>CHOOSE(CONTROL!$C$42, 11.1156, 11.1156) * CHOOSE(CONTROL!$C$21, $C$9, 100%, $E$9)</f>
        <v>11.115600000000001</v>
      </c>
      <c r="D263" s="14">
        <f>CHOOSE(CONTROL!$C$42, 11.1794, 11.1794) * CHOOSE(CONTROL!$C$21, $C$9, 100%, $E$9)</f>
        <v>11.179399999999999</v>
      </c>
      <c r="E263" s="14">
        <f>CHOOSE(CONTROL!$C$42, 11.2135, 11.2135) * CHOOSE(CONTROL!$C$21, $C$9, 100%, $E$9)</f>
        <v>11.2135</v>
      </c>
      <c r="F263" s="14">
        <f>CHOOSE(CONTROL!$C$42, 11.113, 11.113)*CHOOSE(CONTROL!$C$21, $C$9, 100%, $E$9)</f>
        <v>11.113</v>
      </c>
      <c r="G263" s="14">
        <f>CHOOSE(CONTROL!$C$42, 11.129, 11.129)*CHOOSE(CONTROL!$C$21, $C$9, 100%, $E$9)</f>
        <v>11.129</v>
      </c>
      <c r="H263" s="14">
        <f>CHOOSE(CONTROL!$C$42, 11.2027, 11.2027) * CHOOSE(CONTROL!$C$21, $C$9, 100%, $E$9)</f>
        <v>11.2027</v>
      </c>
      <c r="I263" s="14">
        <f>CHOOSE(CONTROL!$C$42, 11.1582, 11.1582)* CHOOSE(CONTROL!$C$21, $C$9, 100%, $E$9)</f>
        <v>11.158200000000001</v>
      </c>
      <c r="J263" s="14">
        <f>CHOOSE(CONTROL!$C$42, 11.106, 11.106)* CHOOSE(CONTROL!$C$21, $C$9, 100%, $E$9)</f>
        <v>11.106</v>
      </c>
      <c r="K263" s="53">
        <f>CHOOSE(CONTROL!$C$42, 11.1543, 11.1543) * CHOOSE(CONTROL!$C$21, $C$9, 100%, $E$9)</f>
        <v>11.154299999999999</v>
      </c>
      <c r="L263" s="14">
        <f>CHOOSE(CONTROL!$C$42, 11.7897, 11.7897) * CHOOSE(CONTROL!$C$21, $C$9, 100%, $E$9)</f>
        <v>11.7897</v>
      </c>
      <c r="M263" s="14">
        <f>CHOOSE(CONTROL!$C$42, 10.8861, 10.8861) * CHOOSE(CONTROL!$C$21, $C$9, 100%, $E$9)</f>
        <v>10.886100000000001</v>
      </c>
      <c r="N263" s="14">
        <f>CHOOSE(CONTROL!$C$42, 10.9018, 10.9018) * CHOOSE(CONTROL!$C$21, $C$9, 100%, $E$9)</f>
        <v>10.9018</v>
      </c>
      <c r="O263" s="14">
        <f>CHOOSE(CONTROL!$C$42, 10.9809, 10.9809) * CHOOSE(CONTROL!$C$21, $C$9, 100%, $E$9)</f>
        <v>10.9809</v>
      </c>
      <c r="P263" s="14">
        <f>CHOOSE(CONTROL!$C$42, 10.9367, 10.9367) * CHOOSE(CONTROL!$C$21, $C$9, 100%, $E$9)</f>
        <v>10.9367</v>
      </c>
      <c r="Q263" s="14">
        <f>CHOOSE(CONTROL!$C$42, 11.5756, 11.5756) * CHOOSE(CONTROL!$C$21, $C$9, 100%, $E$9)</f>
        <v>11.5756</v>
      </c>
      <c r="R263" s="14">
        <f>CHOOSE(CONTROL!$C$42, 12.1915, 12.1915) * CHOOSE(CONTROL!$C$21, $C$9, 100%, $E$9)</f>
        <v>12.1915</v>
      </c>
      <c r="S263" s="14">
        <f>CHOOSE(CONTROL!$C$42, 10.6676, 10.6676) * CHOOSE(CONTROL!$C$21, $C$9, 100%, $E$9)</f>
        <v>10.6676</v>
      </c>
      <c r="T26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63" s="57">
        <f>(1000*CHOOSE(CONTROL!$C$42, 695, 695)*CHOOSE(CONTROL!$C$42, 0.5599, 0.5599)*CHOOSE(CONTROL!$C$42, 30, 30))/1000000</f>
        <v>11.673914999999997</v>
      </c>
      <c r="V263" s="57">
        <f>(1000*CHOOSE(CONTROL!$C$42, 500, 500)*CHOOSE(CONTROL!$C$42, 0.275, 0.275)*CHOOSE(CONTROL!$C$42, 30, 30))/1000000</f>
        <v>4.125</v>
      </c>
      <c r="W263" s="57">
        <f>(1000*CHOOSE(CONTROL!$C$42, 0.1146, 0.1146)*CHOOSE(CONTROL!$C$42, 121.5, 121.5)*CHOOSE(CONTROL!$C$42, 30, 30))/1000000</f>
        <v>0.417717</v>
      </c>
      <c r="X263" s="57">
        <f>(30*0.1790888*100000/1000000)+(30*0.2374*100000/1000000)</f>
        <v>1.2494664</v>
      </c>
      <c r="Y263" s="57"/>
      <c r="Z263" s="14"/>
      <c r="AA263" s="56"/>
      <c r="AB263" s="50">
        <f>(B263*122.58+C263*297.941+D263*89.177+E263*40.302+F263*40+G263*160+H263*0+I263*100+J263*300)/(122.58+297.941+89.177+40.302+0+40+160+100+300)</f>
        <v>11.126419268173914</v>
      </c>
      <c r="AC263" s="45">
        <f>(M263*'RAP TEMPLATE-GAS AVAILABILITY'!O262+N263*'RAP TEMPLATE-GAS AVAILABILITY'!P262+O263*'RAP TEMPLATE-GAS AVAILABILITY'!Q262+P263*'RAP TEMPLATE-GAS AVAILABILITY'!R262)/('RAP TEMPLATE-GAS AVAILABILITY'!O262+'RAP TEMPLATE-GAS AVAILABILITY'!P262+'RAP TEMPLATE-GAS AVAILABILITY'!Q262+'RAP TEMPLATE-GAS AVAILABILITY'!R262)</f>
        <v>10.937251079136692</v>
      </c>
    </row>
    <row r="264" spans="1:29" ht="15.75" x14ac:dyDescent="0.25">
      <c r="A264" s="13">
        <v>48914</v>
      </c>
      <c r="B264" s="14">
        <f>CHOOSE(CONTROL!$C$42, 11.8674, 11.8674) * CHOOSE(CONTROL!$C$21, $C$9, 100%, $E$9)</f>
        <v>11.8674</v>
      </c>
      <c r="C264" s="14">
        <f>CHOOSE(CONTROL!$C$42, 11.8725, 11.8725) * CHOOSE(CONTROL!$C$21, $C$9, 100%, $E$9)</f>
        <v>11.8725</v>
      </c>
      <c r="D264" s="14">
        <f>CHOOSE(CONTROL!$C$42, 11.9363, 11.9363) * CHOOSE(CONTROL!$C$21, $C$9, 100%, $E$9)</f>
        <v>11.936299999999999</v>
      </c>
      <c r="E264" s="14">
        <f>CHOOSE(CONTROL!$C$42, 11.9704, 11.9704) * CHOOSE(CONTROL!$C$21, $C$9, 100%, $E$9)</f>
        <v>11.9704</v>
      </c>
      <c r="F264" s="14">
        <f>CHOOSE(CONTROL!$C$42, 11.8721, 11.8721)*CHOOSE(CONTROL!$C$21, $C$9, 100%, $E$9)</f>
        <v>11.8721</v>
      </c>
      <c r="G264" s="14">
        <f>CHOOSE(CONTROL!$C$42, 11.8887, 11.8887)*CHOOSE(CONTROL!$C$21, $C$9, 100%, $E$9)</f>
        <v>11.8887</v>
      </c>
      <c r="H264" s="14">
        <f>CHOOSE(CONTROL!$C$42, 11.9596, 11.9596) * CHOOSE(CONTROL!$C$21, $C$9, 100%, $E$9)</f>
        <v>11.9596</v>
      </c>
      <c r="I264" s="14">
        <f>CHOOSE(CONTROL!$C$42, 11.9174, 11.9174)* CHOOSE(CONTROL!$C$21, $C$9, 100%, $E$9)</f>
        <v>11.917400000000001</v>
      </c>
      <c r="J264" s="14">
        <f>CHOOSE(CONTROL!$C$42, 11.8651, 11.8651)* CHOOSE(CONTROL!$C$21, $C$9, 100%, $E$9)</f>
        <v>11.8651</v>
      </c>
      <c r="K264" s="53">
        <f>CHOOSE(CONTROL!$C$42, 11.9135, 11.9135) * CHOOSE(CONTROL!$C$21, $C$9, 100%, $E$9)</f>
        <v>11.913500000000001</v>
      </c>
      <c r="L264" s="14">
        <f>CHOOSE(CONTROL!$C$42, 12.5466, 12.5466) * CHOOSE(CONTROL!$C$21, $C$9, 100%, $E$9)</f>
        <v>12.5466</v>
      </c>
      <c r="M264" s="14">
        <f>CHOOSE(CONTROL!$C$42, 11.6296, 11.6296) * CHOOSE(CONTROL!$C$21, $C$9, 100%, $E$9)</f>
        <v>11.6296</v>
      </c>
      <c r="N264" s="14">
        <f>CHOOSE(CONTROL!$C$42, 11.6459, 11.6459) * CHOOSE(CONTROL!$C$21, $C$9, 100%, $E$9)</f>
        <v>11.645899999999999</v>
      </c>
      <c r="O264" s="14">
        <f>CHOOSE(CONTROL!$C$42, 11.7222, 11.7222) * CHOOSE(CONTROL!$C$21, $C$9, 100%, $E$9)</f>
        <v>11.722200000000001</v>
      </c>
      <c r="P264" s="14">
        <f>CHOOSE(CONTROL!$C$42, 11.6803, 11.6803) * CHOOSE(CONTROL!$C$21, $C$9, 100%, $E$9)</f>
        <v>11.680300000000001</v>
      </c>
      <c r="Q264" s="14">
        <f>CHOOSE(CONTROL!$C$42, 12.3169, 12.3169) * CHOOSE(CONTROL!$C$21, $C$9, 100%, $E$9)</f>
        <v>12.3169</v>
      </c>
      <c r="R264" s="14">
        <f>CHOOSE(CONTROL!$C$42, 12.9347, 12.9347) * CHOOSE(CONTROL!$C$21, $C$9, 100%, $E$9)</f>
        <v>12.934699999999999</v>
      </c>
      <c r="S264" s="14">
        <f>CHOOSE(CONTROL!$C$42, 11.3949, 11.3949) * CHOOSE(CONTROL!$C$21, $C$9, 100%, $E$9)</f>
        <v>11.3949</v>
      </c>
      <c r="T26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64" s="57">
        <f>(1000*CHOOSE(CONTROL!$C$42, 695, 695)*CHOOSE(CONTROL!$C$42, 0.5599, 0.5599)*CHOOSE(CONTROL!$C$42, 31, 31))/1000000</f>
        <v>12.063045499999998</v>
      </c>
      <c r="V264" s="57">
        <f>(1000*CHOOSE(CONTROL!$C$42, 500, 500)*CHOOSE(CONTROL!$C$42, 0.275, 0.275)*CHOOSE(CONTROL!$C$42, 31, 31))/1000000</f>
        <v>4.2625000000000002</v>
      </c>
      <c r="W264" s="57">
        <f>(1000*CHOOSE(CONTROL!$C$42, 0.1146, 0.1146)*CHOOSE(CONTROL!$C$42, 121.5, 121.5)*CHOOSE(CONTROL!$C$42, 31, 31))/1000000</f>
        <v>0.43164089999999994</v>
      </c>
      <c r="X264" s="57">
        <f>(31*0.1790888*100000/1000000)+(31*0.2374*100000/1000000)</f>
        <v>1.2911152800000001</v>
      </c>
      <c r="Y264" s="57"/>
      <c r="Z264" s="14"/>
      <c r="AA264" s="56"/>
      <c r="AB264" s="50">
        <f>(B264*122.58+C264*297.941+D264*89.177+E264*40.302+F264*40+G264*160+H264*0+I264*100+J264*300)/(122.58+297.941+89.177+40.302+0+40+160+100+300)</f>
        <v>11.884548609043478</v>
      </c>
      <c r="AC264" s="45">
        <f>(M264*'RAP TEMPLATE-GAS AVAILABILITY'!O263+N264*'RAP TEMPLATE-GAS AVAILABILITY'!P263+O264*'RAP TEMPLATE-GAS AVAILABILITY'!Q263+P264*'RAP TEMPLATE-GAS AVAILABILITY'!R263)/('RAP TEMPLATE-GAS AVAILABILITY'!O263+'RAP TEMPLATE-GAS AVAILABILITY'!P263+'RAP TEMPLATE-GAS AVAILABILITY'!Q263+'RAP TEMPLATE-GAS AVAILABILITY'!R263)</f>
        <v>11.679802877697842</v>
      </c>
    </row>
    <row r="265" spans="1:29" ht="15.75" x14ac:dyDescent="0.25">
      <c r="A265" s="13">
        <v>48945</v>
      </c>
      <c r="B265" s="14">
        <f>CHOOSE(CONTROL!$C$42, 12.8387, 12.8387) * CHOOSE(CONTROL!$C$21, $C$9, 100%, $E$9)</f>
        <v>12.838699999999999</v>
      </c>
      <c r="C265" s="14">
        <f>CHOOSE(CONTROL!$C$42, 12.8438, 12.8438) * CHOOSE(CONTROL!$C$21, $C$9, 100%, $E$9)</f>
        <v>12.8438</v>
      </c>
      <c r="D265" s="14">
        <f>CHOOSE(CONTROL!$C$42, 12.9102, 12.9102) * CHOOSE(CONTROL!$C$21, $C$9, 100%, $E$9)</f>
        <v>12.9102</v>
      </c>
      <c r="E265" s="14">
        <f>CHOOSE(CONTROL!$C$42, 12.9443, 12.9443) * CHOOSE(CONTROL!$C$21, $C$9, 100%, $E$9)</f>
        <v>12.9443</v>
      </c>
      <c r="F265" s="14">
        <f>CHOOSE(CONTROL!$C$42, 12.8261, 12.8261)*CHOOSE(CONTROL!$C$21, $C$9, 100%, $E$9)</f>
        <v>12.8261</v>
      </c>
      <c r="G265" s="14">
        <f>CHOOSE(CONTROL!$C$42, 12.8415, 12.8415)*CHOOSE(CONTROL!$C$21, $C$9, 100%, $E$9)</f>
        <v>12.8415</v>
      </c>
      <c r="H265" s="14">
        <f>CHOOSE(CONTROL!$C$42, 12.9335, 12.9335) * CHOOSE(CONTROL!$C$21, $C$9, 100%, $E$9)</f>
        <v>12.9335</v>
      </c>
      <c r="I265" s="14">
        <f>CHOOSE(CONTROL!$C$42, 12.8866, 12.8866)* CHOOSE(CONTROL!$C$21, $C$9, 100%, $E$9)</f>
        <v>12.8866</v>
      </c>
      <c r="J265" s="14">
        <f>CHOOSE(CONTROL!$C$42, 12.8191, 12.8191)* CHOOSE(CONTROL!$C$21, $C$9, 100%, $E$9)</f>
        <v>12.819100000000001</v>
      </c>
      <c r="K265" s="53">
        <f>CHOOSE(CONTROL!$C$42, 12.8827, 12.8827) * CHOOSE(CONTROL!$C$21, $C$9, 100%, $E$9)</f>
        <v>12.8827</v>
      </c>
      <c r="L265" s="14">
        <f>CHOOSE(CONTROL!$C$42, 13.5205, 13.5205) * CHOOSE(CONTROL!$C$21, $C$9, 100%, $E$9)</f>
        <v>13.5205</v>
      </c>
      <c r="M265" s="14">
        <f>CHOOSE(CONTROL!$C$42, 12.5641, 12.5641) * CHOOSE(CONTROL!$C$21, $C$9, 100%, $E$9)</f>
        <v>12.5641</v>
      </c>
      <c r="N265" s="14">
        <f>CHOOSE(CONTROL!$C$42, 12.5792, 12.5792) * CHOOSE(CONTROL!$C$21, $C$9, 100%, $E$9)</f>
        <v>12.5792</v>
      </c>
      <c r="O265" s="14">
        <f>CHOOSE(CONTROL!$C$42, 12.6762, 12.6762) * CHOOSE(CONTROL!$C$21, $C$9, 100%, $E$9)</f>
        <v>12.6762</v>
      </c>
      <c r="P265" s="14">
        <f>CHOOSE(CONTROL!$C$42, 12.6295, 12.6295) * CHOOSE(CONTROL!$C$21, $C$9, 100%, $E$9)</f>
        <v>12.6295</v>
      </c>
      <c r="Q265" s="14">
        <f>CHOOSE(CONTROL!$C$42, 13.2709, 13.2709) * CHOOSE(CONTROL!$C$21, $C$9, 100%, $E$9)</f>
        <v>13.270899999999999</v>
      </c>
      <c r="R265" s="14">
        <f>CHOOSE(CONTROL!$C$42, 13.8911, 13.8911) * CHOOSE(CONTROL!$C$21, $C$9, 100%, $E$9)</f>
        <v>13.8911</v>
      </c>
      <c r="S265" s="14">
        <f>CHOOSE(CONTROL!$C$42, 12.3282, 12.3282) * CHOOSE(CONTROL!$C$21, $C$9, 100%, $E$9)</f>
        <v>12.328200000000001</v>
      </c>
      <c r="T26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65" s="57">
        <f>(1000*CHOOSE(CONTROL!$C$42, 695, 695)*CHOOSE(CONTROL!$C$42, 0.5599, 0.5599)*CHOOSE(CONTROL!$C$42, 31, 31))/1000000</f>
        <v>12.063045499999998</v>
      </c>
      <c r="V265" s="57">
        <f>(1000*CHOOSE(CONTROL!$C$42, 500, 500)*CHOOSE(CONTROL!$C$42, 0.275, 0.275)*CHOOSE(CONTROL!$C$42, 31, 31))/1000000</f>
        <v>4.2625000000000002</v>
      </c>
      <c r="W265" s="57">
        <f>(1000*CHOOSE(CONTROL!$C$42, 0.1146, 0.1146)*CHOOSE(CONTROL!$C$42, 121.5, 121.5)*CHOOSE(CONTROL!$C$42, 31, 31))/1000000</f>
        <v>0.43164089999999994</v>
      </c>
      <c r="X265" s="57">
        <f>(31*0.1790888*100000/1000000)+(31*0.2374*100000/1000000)</f>
        <v>1.2911152800000001</v>
      </c>
      <c r="Y265" s="57"/>
      <c r="Z265" s="14"/>
      <c r="AA265" s="56"/>
      <c r="AB265" s="50">
        <f>(B265*122.58+C265*297.941+D265*89.177+E265*40.302+F265*40+G265*160+H265*0+I265*100+J265*300)/(122.58+297.941+89.177+40.302+0+40+160+100+300)</f>
        <v>12.848270039826085</v>
      </c>
      <c r="AC265" s="45">
        <f>(M265*'RAP TEMPLATE-GAS AVAILABILITY'!O264+N265*'RAP TEMPLATE-GAS AVAILABILITY'!P264+O265*'RAP TEMPLATE-GAS AVAILABILITY'!Q264+P265*'RAP TEMPLATE-GAS AVAILABILITY'!R264)/('RAP TEMPLATE-GAS AVAILABILITY'!O264+'RAP TEMPLATE-GAS AVAILABILITY'!P264+'RAP TEMPLATE-GAS AVAILABILITY'!Q264+'RAP TEMPLATE-GAS AVAILABILITY'!R264)</f>
        <v>12.625187050359713</v>
      </c>
    </row>
    <row r="266" spans="1:29" ht="15.75" x14ac:dyDescent="0.25">
      <c r="A266" s="13">
        <v>48976</v>
      </c>
      <c r="B266" s="14">
        <f>CHOOSE(CONTROL!$C$42, 13.0671, 13.0671) * CHOOSE(CONTROL!$C$21, $C$9, 100%, $E$9)</f>
        <v>13.0671</v>
      </c>
      <c r="C266" s="14">
        <f>CHOOSE(CONTROL!$C$42, 13.0722, 13.0722) * CHOOSE(CONTROL!$C$21, $C$9, 100%, $E$9)</f>
        <v>13.0722</v>
      </c>
      <c r="D266" s="14">
        <f>CHOOSE(CONTROL!$C$42, 13.1386, 13.1386) * CHOOSE(CONTROL!$C$21, $C$9, 100%, $E$9)</f>
        <v>13.1386</v>
      </c>
      <c r="E266" s="14">
        <f>CHOOSE(CONTROL!$C$42, 13.1727, 13.1727) * CHOOSE(CONTROL!$C$21, $C$9, 100%, $E$9)</f>
        <v>13.172700000000001</v>
      </c>
      <c r="F266" s="14">
        <f>CHOOSE(CONTROL!$C$42, 13.0545, 13.0545)*CHOOSE(CONTROL!$C$21, $C$9, 100%, $E$9)</f>
        <v>13.054500000000001</v>
      </c>
      <c r="G266" s="14">
        <f>CHOOSE(CONTROL!$C$42, 13.07, 13.07)*CHOOSE(CONTROL!$C$21, $C$9, 100%, $E$9)</f>
        <v>13.07</v>
      </c>
      <c r="H266" s="14">
        <f>CHOOSE(CONTROL!$C$42, 13.1619, 13.1619) * CHOOSE(CONTROL!$C$21, $C$9, 100%, $E$9)</f>
        <v>13.161899999999999</v>
      </c>
      <c r="I266" s="14">
        <f>CHOOSE(CONTROL!$C$42, 13.1157, 13.1157)* CHOOSE(CONTROL!$C$21, $C$9, 100%, $E$9)</f>
        <v>13.1157</v>
      </c>
      <c r="J266" s="14">
        <f>CHOOSE(CONTROL!$C$42, 13.0475, 13.0475)* CHOOSE(CONTROL!$C$21, $C$9, 100%, $E$9)</f>
        <v>13.047499999999999</v>
      </c>
      <c r="K266" s="53">
        <f>CHOOSE(CONTROL!$C$42, 13.1118, 13.1118) * CHOOSE(CONTROL!$C$21, $C$9, 100%, $E$9)</f>
        <v>13.111800000000001</v>
      </c>
      <c r="L266" s="14">
        <f>CHOOSE(CONTROL!$C$42, 13.7489, 13.7489) * CHOOSE(CONTROL!$C$21, $C$9, 100%, $E$9)</f>
        <v>13.748900000000001</v>
      </c>
      <c r="M266" s="14">
        <f>CHOOSE(CONTROL!$C$42, 12.7879, 12.7879) * CHOOSE(CONTROL!$C$21, $C$9, 100%, $E$9)</f>
        <v>12.7879</v>
      </c>
      <c r="N266" s="14">
        <f>CHOOSE(CONTROL!$C$42, 12.803, 12.803) * CHOOSE(CONTROL!$C$21, $C$9, 100%, $E$9)</f>
        <v>12.803000000000001</v>
      </c>
      <c r="O266" s="14">
        <f>CHOOSE(CONTROL!$C$42, 12.8999, 12.8999) * CHOOSE(CONTROL!$C$21, $C$9, 100%, $E$9)</f>
        <v>12.899900000000001</v>
      </c>
      <c r="P266" s="14">
        <f>CHOOSE(CONTROL!$C$42, 12.8539, 12.8539) * CHOOSE(CONTROL!$C$21, $C$9, 100%, $E$9)</f>
        <v>12.853899999999999</v>
      </c>
      <c r="Q266" s="14">
        <f>CHOOSE(CONTROL!$C$42, 13.4946, 13.4946) * CHOOSE(CONTROL!$C$21, $C$9, 100%, $E$9)</f>
        <v>13.4946</v>
      </c>
      <c r="R266" s="14">
        <f>CHOOSE(CONTROL!$C$42, 14.1153, 14.1153) * CHOOSE(CONTROL!$C$21, $C$9, 100%, $E$9)</f>
        <v>14.1153</v>
      </c>
      <c r="S266" s="14">
        <f>CHOOSE(CONTROL!$C$42, 12.5476, 12.5476) * CHOOSE(CONTROL!$C$21, $C$9, 100%, $E$9)</f>
        <v>12.547599999999999</v>
      </c>
      <c r="T26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66" s="57">
        <f>(1000*CHOOSE(CONTROL!$C$42, 695, 695)*CHOOSE(CONTROL!$C$42, 0.5599, 0.5599)*CHOOSE(CONTROL!$C$42, 28, 28))/1000000</f>
        <v>10.895653999999999</v>
      </c>
      <c r="V266" s="57">
        <f>(1000*CHOOSE(CONTROL!$C$42, 500, 500)*CHOOSE(CONTROL!$C$42, 0.275, 0.275)*CHOOSE(CONTROL!$C$42, 28, 28))/1000000</f>
        <v>3.85</v>
      </c>
      <c r="W266" s="57">
        <f>(1000*CHOOSE(CONTROL!$C$42, 0.1146, 0.1146)*CHOOSE(CONTROL!$C$42, 121.5, 121.5)*CHOOSE(CONTROL!$C$42, 28, 28))/1000000</f>
        <v>0.38986920000000003</v>
      </c>
      <c r="X266" s="57">
        <f>(28*0.1790888*100000/1000000)+(28*0.2374*100000/1000000)</f>
        <v>1.16616864</v>
      </c>
      <c r="Y266" s="57"/>
      <c r="Z266" s="14"/>
      <c r="AA266" s="56"/>
      <c r="AB266" s="50">
        <f>(B266*122.58+C266*297.941+D266*89.177+E266*40.302+F266*40+G266*160+H266*0+I266*100+J266*300)/(122.58+297.941+89.177+40.302+0+40+160+100+300)</f>
        <v>13.076744822434781</v>
      </c>
      <c r="AC266" s="45">
        <f>(M266*'RAP TEMPLATE-GAS AVAILABILITY'!O265+N266*'RAP TEMPLATE-GAS AVAILABILITY'!P265+O266*'RAP TEMPLATE-GAS AVAILABILITY'!Q265+P266*'RAP TEMPLATE-GAS AVAILABILITY'!R265)/('RAP TEMPLATE-GAS AVAILABILITY'!O265+'RAP TEMPLATE-GAS AVAILABILITY'!P265+'RAP TEMPLATE-GAS AVAILABILITY'!Q265+'RAP TEMPLATE-GAS AVAILABILITY'!R265)</f>
        <v>12.849028057553959</v>
      </c>
    </row>
    <row r="267" spans="1:29" ht="15.75" x14ac:dyDescent="0.25">
      <c r="A267" s="13">
        <v>49004</v>
      </c>
      <c r="B267" s="14">
        <f>CHOOSE(CONTROL!$C$42, 12.6964, 12.6964) * CHOOSE(CONTROL!$C$21, $C$9, 100%, $E$9)</f>
        <v>12.696400000000001</v>
      </c>
      <c r="C267" s="14">
        <f>CHOOSE(CONTROL!$C$42, 12.7015, 12.7015) * CHOOSE(CONTROL!$C$21, $C$9, 100%, $E$9)</f>
        <v>12.701499999999999</v>
      </c>
      <c r="D267" s="14">
        <f>CHOOSE(CONTROL!$C$42, 12.7679, 12.7679) * CHOOSE(CONTROL!$C$21, $C$9, 100%, $E$9)</f>
        <v>12.767899999999999</v>
      </c>
      <c r="E267" s="14">
        <f>CHOOSE(CONTROL!$C$42, 12.802, 12.802) * CHOOSE(CONTROL!$C$21, $C$9, 100%, $E$9)</f>
        <v>12.802</v>
      </c>
      <c r="F267" s="14">
        <f>CHOOSE(CONTROL!$C$42, 12.6834, 12.6834)*CHOOSE(CONTROL!$C$21, $C$9, 100%, $E$9)</f>
        <v>12.683400000000001</v>
      </c>
      <c r="G267" s="14">
        <f>CHOOSE(CONTROL!$C$42, 12.6988, 12.6988)*CHOOSE(CONTROL!$C$21, $C$9, 100%, $E$9)</f>
        <v>12.6988</v>
      </c>
      <c r="H267" s="14">
        <f>CHOOSE(CONTROL!$C$42, 12.7912, 12.7912) * CHOOSE(CONTROL!$C$21, $C$9, 100%, $E$9)</f>
        <v>12.7912</v>
      </c>
      <c r="I267" s="14">
        <f>CHOOSE(CONTROL!$C$42, 12.7438, 12.7438)* CHOOSE(CONTROL!$C$21, $C$9, 100%, $E$9)</f>
        <v>12.7438</v>
      </c>
      <c r="J267" s="14">
        <f>CHOOSE(CONTROL!$C$42, 12.6764, 12.6764)* CHOOSE(CONTROL!$C$21, $C$9, 100%, $E$9)</f>
        <v>12.676399999999999</v>
      </c>
      <c r="K267" s="53">
        <f>CHOOSE(CONTROL!$C$42, 12.7399, 12.7399) * CHOOSE(CONTROL!$C$21, $C$9, 100%, $E$9)</f>
        <v>12.7399</v>
      </c>
      <c r="L267" s="14">
        <f>CHOOSE(CONTROL!$C$42, 13.3782, 13.3782) * CHOOSE(CONTROL!$C$21, $C$9, 100%, $E$9)</f>
        <v>13.3782</v>
      </c>
      <c r="M267" s="14">
        <f>CHOOSE(CONTROL!$C$42, 12.4244, 12.4244) * CHOOSE(CONTROL!$C$21, $C$9, 100%, $E$9)</f>
        <v>12.4244</v>
      </c>
      <c r="N267" s="14">
        <f>CHOOSE(CONTROL!$C$42, 12.4394, 12.4394) * CHOOSE(CONTROL!$C$21, $C$9, 100%, $E$9)</f>
        <v>12.439399999999999</v>
      </c>
      <c r="O267" s="14">
        <f>CHOOSE(CONTROL!$C$42, 12.5368, 12.5368) * CHOOSE(CONTROL!$C$21, $C$9, 100%, $E$9)</f>
        <v>12.536799999999999</v>
      </c>
      <c r="P267" s="14">
        <f>CHOOSE(CONTROL!$C$42, 12.4896, 12.4896) * CHOOSE(CONTROL!$C$21, $C$9, 100%, $E$9)</f>
        <v>12.489599999999999</v>
      </c>
      <c r="Q267" s="14">
        <f>CHOOSE(CONTROL!$C$42, 13.1315, 13.1315) * CHOOSE(CONTROL!$C$21, $C$9, 100%, $E$9)</f>
        <v>13.131500000000001</v>
      </c>
      <c r="R267" s="14">
        <f>CHOOSE(CONTROL!$C$42, 13.7513, 13.7513) * CHOOSE(CONTROL!$C$21, $C$9, 100%, $E$9)</f>
        <v>13.751300000000001</v>
      </c>
      <c r="S267" s="14">
        <f>CHOOSE(CONTROL!$C$42, 12.1914, 12.1914) * CHOOSE(CONTROL!$C$21, $C$9, 100%, $E$9)</f>
        <v>12.1914</v>
      </c>
      <c r="T26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67" s="57">
        <f>(1000*CHOOSE(CONTROL!$C$42, 695, 695)*CHOOSE(CONTROL!$C$42, 0.5599, 0.5599)*CHOOSE(CONTROL!$C$42, 31, 31))/1000000</f>
        <v>12.063045499999998</v>
      </c>
      <c r="V267" s="57">
        <f>(1000*CHOOSE(CONTROL!$C$42, 500, 500)*CHOOSE(CONTROL!$C$42, 0.275, 0.275)*CHOOSE(CONTROL!$C$42, 31, 31))/1000000</f>
        <v>4.2625000000000002</v>
      </c>
      <c r="W267" s="57">
        <f>(1000*CHOOSE(CONTROL!$C$42, 0.1146, 0.1146)*CHOOSE(CONTROL!$C$42, 121.5, 121.5)*CHOOSE(CONTROL!$C$42, 31, 31))/1000000</f>
        <v>0.43164089999999994</v>
      </c>
      <c r="X267" s="57">
        <f>(31*0.1790888*100000/1000000)+(31*0.2374*100000/1000000)</f>
        <v>1.2911152800000001</v>
      </c>
      <c r="Y267" s="57"/>
      <c r="Z267" s="14"/>
      <c r="AA267" s="56"/>
      <c r="AB267" s="50">
        <f>(B267*122.58+C267*297.941+D267*89.177+E267*40.302+F267*40+G267*160+H267*0+I267*100+J267*300)/(122.58+297.941+89.177+40.302+0+40+160+100+300)</f>
        <v>12.70575264852174</v>
      </c>
      <c r="AC267" s="45">
        <f>(M267*'RAP TEMPLATE-GAS AVAILABILITY'!O266+N267*'RAP TEMPLATE-GAS AVAILABILITY'!P266+O267*'RAP TEMPLATE-GAS AVAILABILITY'!Q266+P267*'RAP TEMPLATE-GAS AVAILABILITY'!R266)/('RAP TEMPLATE-GAS AVAILABILITY'!O266+'RAP TEMPLATE-GAS AVAILABILITY'!P266+'RAP TEMPLATE-GAS AVAILABILITY'!Q266+'RAP TEMPLATE-GAS AVAILABILITY'!R266)</f>
        <v>12.485588489208634</v>
      </c>
    </row>
    <row r="268" spans="1:29" ht="15.75" x14ac:dyDescent="0.25">
      <c r="A268" s="13">
        <v>49035</v>
      </c>
      <c r="B268" s="14">
        <f>CHOOSE(CONTROL!$C$42, 12.6596, 12.6596) * CHOOSE(CONTROL!$C$21, $C$9, 100%, $E$9)</f>
        <v>12.659599999999999</v>
      </c>
      <c r="C268" s="14">
        <f>CHOOSE(CONTROL!$C$42, 12.6641, 12.6641) * CHOOSE(CONTROL!$C$21, $C$9, 100%, $E$9)</f>
        <v>12.664099999999999</v>
      </c>
      <c r="D268" s="14">
        <f>CHOOSE(CONTROL!$C$42, 12.8711, 12.8711) * CHOOSE(CONTROL!$C$21, $C$9, 100%, $E$9)</f>
        <v>12.8711</v>
      </c>
      <c r="E268" s="14">
        <f>CHOOSE(CONTROL!$C$42, 12.9033, 12.9033) * CHOOSE(CONTROL!$C$21, $C$9, 100%, $E$9)</f>
        <v>12.9033</v>
      </c>
      <c r="F268" s="14">
        <f>CHOOSE(CONTROL!$C$42, 12.6415, 12.6415)*CHOOSE(CONTROL!$C$21, $C$9, 100%, $E$9)</f>
        <v>12.641500000000001</v>
      </c>
      <c r="G268" s="14">
        <f>CHOOSE(CONTROL!$C$42, 12.6567, 12.6567)*CHOOSE(CONTROL!$C$21, $C$9, 100%, $E$9)</f>
        <v>12.656700000000001</v>
      </c>
      <c r="H268" s="14">
        <f>CHOOSE(CONTROL!$C$42, 12.893, 12.893) * CHOOSE(CONTROL!$C$21, $C$9, 100%, $E$9)</f>
        <v>12.893000000000001</v>
      </c>
      <c r="I268" s="14">
        <f>CHOOSE(CONTROL!$C$42, 12.7061, 12.7061)* CHOOSE(CONTROL!$C$21, $C$9, 100%, $E$9)</f>
        <v>12.706099999999999</v>
      </c>
      <c r="J268" s="14">
        <f>CHOOSE(CONTROL!$C$42, 12.6345, 12.6345)* CHOOSE(CONTROL!$C$21, $C$9, 100%, $E$9)</f>
        <v>12.634499999999999</v>
      </c>
      <c r="K268" s="53">
        <f>CHOOSE(CONTROL!$C$42, 12.7022, 12.7022) * CHOOSE(CONTROL!$C$21, $C$9, 100%, $E$9)</f>
        <v>12.702199999999999</v>
      </c>
      <c r="L268" s="14">
        <f>CHOOSE(CONTROL!$C$42, 13.48, 13.48) * CHOOSE(CONTROL!$C$21, $C$9, 100%, $E$9)</f>
        <v>13.48</v>
      </c>
      <c r="M268" s="14">
        <f>CHOOSE(CONTROL!$C$42, 12.3833, 12.3833) * CHOOSE(CONTROL!$C$21, $C$9, 100%, $E$9)</f>
        <v>12.3833</v>
      </c>
      <c r="N268" s="14">
        <f>CHOOSE(CONTROL!$C$42, 12.3982, 12.3982) * CHOOSE(CONTROL!$C$21, $C$9, 100%, $E$9)</f>
        <v>12.398199999999999</v>
      </c>
      <c r="O268" s="14">
        <f>CHOOSE(CONTROL!$C$42, 12.6366, 12.6366) * CHOOSE(CONTROL!$C$21, $C$9, 100%, $E$9)</f>
        <v>12.6366</v>
      </c>
      <c r="P268" s="14">
        <f>CHOOSE(CONTROL!$C$42, 12.4527, 12.4527) * CHOOSE(CONTROL!$C$21, $C$9, 100%, $E$9)</f>
        <v>12.4527</v>
      </c>
      <c r="Q268" s="14">
        <f>CHOOSE(CONTROL!$C$42, 13.2313, 13.2313) * CHOOSE(CONTROL!$C$21, $C$9, 100%, $E$9)</f>
        <v>13.231299999999999</v>
      </c>
      <c r="R268" s="14">
        <f>CHOOSE(CONTROL!$C$42, 13.8513, 13.8513) * CHOOSE(CONTROL!$C$21, $C$9, 100%, $E$9)</f>
        <v>13.8513</v>
      </c>
      <c r="S268" s="14">
        <f>CHOOSE(CONTROL!$C$42, 12.1553, 12.1553) * CHOOSE(CONTROL!$C$21, $C$9, 100%, $E$9)</f>
        <v>12.1553</v>
      </c>
      <c r="T26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68" s="57">
        <f>(1000*CHOOSE(CONTROL!$C$42, 695, 695)*CHOOSE(CONTROL!$C$42, 0.5599, 0.5599)*CHOOSE(CONTROL!$C$42, 30, 30))/1000000</f>
        <v>11.673914999999997</v>
      </c>
      <c r="V268" s="57">
        <f>(1000*CHOOSE(CONTROL!$C$42, 500, 500)*CHOOSE(CONTROL!$C$42, 0.275, 0.275)*CHOOSE(CONTROL!$C$42, 30, 30))/1000000</f>
        <v>4.125</v>
      </c>
      <c r="W268" s="57">
        <f>(1000*CHOOSE(CONTROL!$C$42, 0.1146, 0.1146)*CHOOSE(CONTROL!$C$42, 121.5, 121.5)*CHOOSE(CONTROL!$C$42, 30, 30))/1000000</f>
        <v>0.417717</v>
      </c>
      <c r="X268" s="57">
        <f>(30*0.1790888*245000/1000000)+(30*0.2374*100000/1000000)</f>
        <v>2.0285026799999999</v>
      </c>
      <c r="Y268" s="57"/>
      <c r="Z268" s="14"/>
      <c r="AA268" s="56"/>
      <c r="AB268" s="50">
        <f>(B268*141.293+C268*267.993+D268*115.016+E268*89.698+F268*40+G268*185+H268*0+I268*100+J268*300)/(141.293+267.993+115.016+89.698+0+40+185+100+300)</f>
        <v>12.694507792655367</v>
      </c>
      <c r="AC268" s="45">
        <f>(M268*'RAP TEMPLATE-GAS AVAILABILITY'!O267+N268*'RAP TEMPLATE-GAS AVAILABILITY'!P267+O268*'RAP TEMPLATE-GAS AVAILABILITY'!Q267+P268*'RAP TEMPLATE-GAS AVAILABILITY'!R267)/('RAP TEMPLATE-GAS AVAILABILITY'!O267+'RAP TEMPLATE-GAS AVAILABILITY'!P267+'RAP TEMPLATE-GAS AVAILABILITY'!Q267+'RAP TEMPLATE-GAS AVAILABILITY'!R267)</f>
        <v>12.46778561151079</v>
      </c>
    </row>
    <row r="269" spans="1:29" ht="15.75" x14ac:dyDescent="0.25">
      <c r="A269" s="13">
        <v>49065</v>
      </c>
      <c r="B269" s="14">
        <f>CHOOSE(CONTROL!$C$42, 12.7726, 12.7726) * CHOOSE(CONTROL!$C$21, $C$9, 100%, $E$9)</f>
        <v>12.772600000000001</v>
      </c>
      <c r="C269" s="14">
        <f>CHOOSE(CONTROL!$C$42, 12.7807, 12.7807) * CHOOSE(CONTROL!$C$21, $C$9, 100%, $E$9)</f>
        <v>12.7807</v>
      </c>
      <c r="D269" s="14">
        <f>CHOOSE(CONTROL!$C$42, 12.9846, 12.9846) * CHOOSE(CONTROL!$C$21, $C$9, 100%, $E$9)</f>
        <v>12.9846</v>
      </c>
      <c r="E269" s="14">
        <f>CHOOSE(CONTROL!$C$42, 13.016, 13.016) * CHOOSE(CONTROL!$C$21, $C$9, 100%, $E$9)</f>
        <v>13.016</v>
      </c>
      <c r="F269" s="14">
        <f>CHOOSE(CONTROL!$C$42, 12.7534, 12.7534)*CHOOSE(CONTROL!$C$21, $C$9, 100%, $E$9)</f>
        <v>12.753399999999999</v>
      </c>
      <c r="G269" s="14">
        <f>CHOOSE(CONTROL!$C$42, 12.769, 12.769)*CHOOSE(CONTROL!$C$21, $C$9, 100%, $E$9)</f>
        <v>12.769</v>
      </c>
      <c r="H269" s="14">
        <f>CHOOSE(CONTROL!$C$42, 13.0047, 13.0047) * CHOOSE(CONTROL!$C$21, $C$9, 100%, $E$9)</f>
        <v>13.0047</v>
      </c>
      <c r="I269" s="14">
        <f>CHOOSE(CONTROL!$C$42, 12.8181, 12.8181)* CHOOSE(CONTROL!$C$21, $C$9, 100%, $E$9)</f>
        <v>12.818099999999999</v>
      </c>
      <c r="J269" s="14">
        <f>CHOOSE(CONTROL!$C$42, 12.7464, 12.7464)* CHOOSE(CONTROL!$C$21, $C$9, 100%, $E$9)</f>
        <v>12.7464</v>
      </c>
      <c r="K269" s="53">
        <f>CHOOSE(CONTROL!$C$42, 12.8142, 12.8142) * CHOOSE(CONTROL!$C$21, $C$9, 100%, $E$9)</f>
        <v>12.8142</v>
      </c>
      <c r="L269" s="14">
        <f>CHOOSE(CONTROL!$C$42, 13.5917, 13.5917) * CHOOSE(CONTROL!$C$21, $C$9, 100%, $E$9)</f>
        <v>13.591699999999999</v>
      </c>
      <c r="M269" s="14">
        <f>CHOOSE(CONTROL!$C$42, 12.4929, 12.4929) * CHOOSE(CONTROL!$C$21, $C$9, 100%, $E$9)</f>
        <v>12.492900000000001</v>
      </c>
      <c r="N269" s="14">
        <f>CHOOSE(CONTROL!$C$42, 12.5082, 12.5082) * CHOOSE(CONTROL!$C$21, $C$9, 100%, $E$9)</f>
        <v>12.5082</v>
      </c>
      <c r="O269" s="14">
        <f>CHOOSE(CONTROL!$C$42, 12.7459, 12.7459) * CHOOSE(CONTROL!$C$21, $C$9, 100%, $E$9)</f>
        <v>12.745900000000001</v>
      </c>
      <c r="P269" s="14">
        <f>CHOOSE(CONTROL!$C$42, 12.5624, 12.5624) * CHOOSE(CONTROL!$C$21, $C$9, 100%, $E$9)</f>
        <v>12.5624</v>
      </c>
      <c r="Q269" s="14">
        <f>CHOOSE(CONTROL!$C$42, 13.3406, 13.3406) * CHOOSE(CONTROL!$C$21, $C$9, 100%, $E$9)</f>
        <v>13.3406</v>
      </c>
      <c r="R269" s="14">
        <f>CHOOSE(CONTROL!$C$42, 13.961, 13.961) * CHOOSE(CONTROL!$C$21, $C$9, 100%, $E$9)</f>
        <v>13.961</v>
      </c>
      <c r="S269" s="14">
        <f>CHOOSE(CONTROL!$C$42, 12.2626, 12.2626) * CHOOSE(CONTROL!$C$21, $C$9, 100%, $E$9)</f>
        <v>12.262600000000001</v>
      </c>
      <c r="T26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69" s="57">
        <f>(1000*CHOOSE(CONTROL!$C$42, 695, 695)*CHOOSE(CONTROL!$C$42, 0.5599, 0.5599)*CHOOSE(CONTROL!$C$42, 31, 31))/1000000</f>
        <v>12.063045499999998</v>
      </c>
      <c r="V269" s="57">
        <f>(1000*CHOOSE(CONTROL!$C$42, 500, 500)*CHOOSE(CONTROL!$C$42, 0.275, 0.275)*CHOOSE(CONTROL!$C$42, 31, 31))/1000000</f>
        <v>4.2625000000000002</v>
      </c>
      <c r="W269" s="57">
        <f>(1000*CHOOSE(CONTROL!$C$42, 0.1146, 0.1146)*CHOOSE(CONTROL!$C$42, 121.5, 121.5)*CHOOSE(CONTROL!$C$42, 31, 31))/1000000</f>
        <v>0.43164089999999994</v>
      </c>
      <c r="X269" s="57">
        <f>(31*0.1790888*245000/1000000)+(31*0.2374*100000/1000000)</f>
        <v>2.0961194359999999</v>
      </c>
      <c r="Y269" s="57"/>
      <c r="Z269" s="14"/>
      <c r="AA269" s="56"/>
      <c r="AB269" s="50">
        <f>(B269*194.205+C269*267.466+D269*133.845+E269*53.484+F269*40+G269*185+H269*0+I269*100+J269*300)/(194.205+267.466+133.845+53.484+0+40+185+100+300)</f>
        <v>12.803067519780219</v>
      </c>
      <c r="AC269" s="45">
        <f>(M269*'RAP TEMPLATE-GAS AVAILABILITY'!O268+N269*'RAP TEMPLATE-GAS AVAILABILITY'!P268+O269*'RAP TEMPLATE-GAS AVAILABILITY'!Q268+P269*'RAP TEMPLATE-GAS AVAILABILITY'!R268)/('RAP TEMPLATE-GAS AVAILABILITY'!O268+'RAP TEMPLATE-GAS AVAILABILITY'!P268+'RAP TEMPLATE-GAS AVAILABILITY'!Q268+'RAP TEMPLATE-GAS AVAILABILITY'!R268)</f>
        <v>12.577407913669067</v>
      </c>
    </row>
    <row r="270" spans="1:29" ht="15.75" x14ac:dyDescent="0.25">
      <c r="A270" s="13">
        <v>49096</v>
      </c>
      <c r="B270" s="14">
        <f>CHOOSE(CONTROL!$C$42, 13.1346, 13.1346) * CHOOSE(CONTROL!$C$21, $C$9, 100%, $E$9)</f>
        <v>13.134600000000001</v>
      </c>
      <c r="C270" s="14">
        <f>CHOOSE(CONTROL!$C$42, 13.1426, 13.1426) * CHOOSE(CONTROL!$C$21, $C$9, 100%, $E$9)</f>
        <v>13.1426</v>
      </c>
      <c r="D270" s="14">
        <f>CHOOSE(CONTROL!$C$42, 13.3465, 13.3465) * CHOOSE(CONTROL!$C$21, $C$9, 100%, $E$9)</f>
        <v>13.346500000000001</v>
      </c>
      <c r="E270" s="14">
        <f>CHOOSE(CONTROL!$C$42, 13.378, 13.378) * CHOOSE(CONTROL!$C$21, $C$9, 100%, $E$9)</f>
        <v>13.378</v>
      </c>
      <c r="F270" s="14">
        <f>CHOOSE(CONTROL!$C$42, 13.1158, 13.1158)*CHOOSE(CONTROL!$C$21, $C$9, 100%, $E$9)</f>
        <v>13.1158</v>
      </c>
      <c r="G270" s="14">
        <f>CHOOSE(CONTROL!$C$42, 13.1315, 13.1315)*CHOOSE(CONTROL!$C$21, $C$9, 100%, $E$9)</f>
        <v>13.131500000000001</v>
      </c>
      <c r="H270" s="14">
        <f>CHOOSE(CONTROL!$C$42, 13.3666, 13.3666) * CHOOSE(CONTROL!$C$21, $C$9, 100%, $E$9)</f>
        <v>13.3666</v>
      </c>
      <c r="I270" s="14">
        <f>CHOOSE(CONTROL!$C$42, 13.1812, 13.1812)* CHOOSE(CONTROL!$C$21, $C$9, 100%, $E$9)</f>
        <v>13.1812</v>
      </c>
      <c r="J270" s="14">
        <f>CHOOSE(CONTROL!$C$42, 13.1088, 13.1088)* CHOOSE(CONTROL!$C$21, $C$9, 100%, $E$9)</f>
        <v>13.1088</v>
      </c>
      <c r="K270" s="53">
        <f>CHOOSE(CONTROL!$C$42, 13.1773, 13.1773) * CHOOSE(CONTROL!$C$21, $C$9, 100%, $E$9)</f>
        <v>13.177300000000001</v>
      </c>
      <c r="L270" s="14">
        <f>CHOOSE(CONTROL!$C$42, 13.9536, 13.9536) * CHOOSE(CONTROL!$C$21, $C$9, 100%, $E$9)</f>
        <v>13.9536</v>
      </c>
      <c r="M270" s="14">
        <f>CHOOSE(CONTROL!$C$42, 12.8479, 12.8479) * CHOOSE(CONTROL!$C$21, $C$9, 100%, $E$9)</f>
        <v>12.847899999999999</v>
      </c>
      <c r="N270" s="14">
        <f>CHOOSE(CONTROL!$C$42, 12.8633, 12.8633) * CHOOSE(CONTROL!$C$21, $C$9, 100%, $E$9)</f>
        <v>12.863300000000001</v>
      </c>
      <c r="O270" s="14">
        <f>CHOOSE(CONTROL!$C$42, 13.1005, 13.1005) * CHOOSE(CONTROL!$C$21, $C$9, 100%, $E$9)</f>
        <v>13.1005</v>
      </c>
      <c r="P270" s="14">
        <f>CHOOSE(CONTROL!$C$42, 12.918, 12.918) * CHOOSE(CONTROL!$C$21, $C$9, 100%, $E$9)</f>
        <v>12.917999999999999</v>
      </c>
      <c r="Q270" s="14">
        <f>CHOOSE(CONTROL!$C$42, 13.6952, 13.6952) * CHOOSE(CONTROL!$C$21, $C$9, 100%, $E$9)</f>
        <v>13.6952</v>
      </c>
      <c r="R270" s="14">
        <f>CHOOSE(CONTROL!$C$42, 14.3164, 14.3164) * CHOOSE(CONTROL!$C$21, $C$9, 100%, $E$9)</f>
        <v>14.3164</v>
      </c>
      <c r="S270" s="14">
        <f>CHOOSE(CONTROL!$C$42, 12.6104, 12.6104) * CHOOSE(CONTROL!$C$21, $C$9, 100%, $E$9)</f>
        <v>12.6104</v>
      </c>
      <c r="T27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70" s="57">
        <f>(1000*CHOOSE(CONTROL!$C$42, 695, 695)*CHOOSE(CONTROL!$C$42, 0.5599, 0.5599)*CHOOSE(CONTROL!$C$42, 30, 30))/1000000</f>
        <v>11.673914999999997</v>
      </c>
      <c r="V270" s="57">
        <f>(1000*CHOOSE(CONTROL!$C$42, 500, 500)*CHOOSE(CONTROL!$C$42, 0.275, 0.275)*CHOOSE(CONTROL!$C$42, 30, 30))/1000000</f>
        <v>4.125</v>
      </c>
      <c r="W270" s="57">
        <f>(1000*CHOOSE(CONTROL!$C$42, 0.1146, 0.1146)*CHOOSE(CONTROL!$C$42, 121.5, 121.5)*CHOOSE(CONTROL!$C$42, 30, 30))/1000000</f>
        <v>0.417717</v>
      </c>
      <c r="X270" s="57">
        <f>(30*0.1790888*245000/1000000)+(30*0.2374*100000/1000000)</f>
        <v>2.0285026799999999</v>
      </c>
      <c r="Y270" s="57"/>
      <c r="Z270" s="14"/>
      <c r="AA270" s="56"/>
      <c r="AB270" s="50">
        <f>(B270*194.205+C270*267.466+D270*133.845+E270*53.484+F270*40+G270*185+H270*0+I270*100+J270*300)/(194.205+267.466+133.845+53.484+0+40+185+100+300)</f>
        <v>13.165301718288855</v>
      </c>
      <c r="AC270" s="45">
        <f>(M270*'RAP TEMPLATE-GAS AVAILABILITY'!O269+N270*'RAP TEMPLATE-GAS AVAILABILITY'!P269+O270*'RAP TEMPLATE-GAS AVAILABILITY'!Q269+P270*'RAP TEMPLATE-GAS AVAILABILITY'!R269)/('RAP TEMPLATE-GAS AVAILABILITY'!O269+'RAP TEMPLATE-GAS AVAILABILITY'!P269+'RAP TEMPLATE-GAS AVAILABILITY'!Q269+'RAP TEMPLATE-GAS AVAILABILITY'!R269)</f>
        <v>12.932405035971222</v>
      </c>
    </row>
    <row r="271" spans="1:29" ht="15.75" x14ac:dyDescent="0.25">
      <c r="A271" s="13">
        <v>49126</v>
      </c>
      <c r="B271" s="14">
        <f>CHOOSE(CONTROL!$C$42, 12.8828, 12.8828) * CHOOSE(CONTROL!$C$21, $C$9, 100%, $E$9)</f>
        <v>12.8828</v>
      </c>
      <c r="C271" s="14">
        <f>CHOOSE(CONTROL!$C$42, 12.8909, 12.8909) * CHOOSE(CONTROL!$C$21, $C$9, 100%, $E$9)</f>
        <v>12.8909</v>
      </c>
      <c r="D271" s="14">
        <f>CHOOSE(CONTROL!$C$42, 13.0948, 13.0948) * CHOOSE(CONTROL!$C$21, $C$9, 100%, $E$9)</f>
        <v>13.094799999999999</v>
      </c>
      <c r="E271" s="14">
        <f>CHOOSE(CONTROL!$C$42, 13.1263, 13.1263) * CHOOSE(CONTROL!$C$21, $C$9, 100%, $E$9)</f>
        <v>13.126300000000001</v>
      </c>
      <c r="F271" s="14">
        <f>CHOOSE(CONTROL!$C$42, 12.8645, 12.8645)*CHOOSE(CONTROL!$C$21, $C$9, 100%, $E$9)</f>
        <v>12.8645</v>
      </c>
      <c r="G271" s="14">
        <f>CHOOSE(CONTROL!$C$42, 12.8804, 12.8804)*CHOOSE(CONTROL!$C$21, $C$9, 100%, $E$9)</f>
        <v>12.8804</v>
      </c>
      <c r="H271" s="14">
        <f>CHOOSE(CONTROL!$C$42, 13.1149, 13.1149) * CHOOSE(CONTROL!$C$21, $C$9, 100%, $E$9)</f>
        <v>13.1149</v>
      </c>
      <c r="I271" s="14">
        <f>CHOOSE(CONTROL!$C$42, 12.9286, 12.9286)* CHOOSE(CONTROL!$C$21, $C$9, 100%, $E$9)</f>
        <v>12.928599999999999</v>
      </c>
      <c r="J271" s="14">
        <f>CHOOSE(CONTROL!$C$42, 12.8575, 12.8575)* CHOOSE(CONTROL!$C$21, $C$9, 100%, $E$9)</f>
        <v>12.8575</v>
      </c>
      <c r="K271" s="53">
        <f>CHOOSE(CONTROL!$C$42, 12.9247, 12.9247) * CHOOSE(CONTROL!$C$21, $C$9, 100%, $E$9)</f>
        <v>12.9247</v>
      </c>
      <c r="L271" s="14">
        <f>CHOOSE(CONTROL!$C$42, 13.7019, 13.7019) * CHOOSE(CONTROL!$C$21, $C$9, 100%, $E$9)</f>
        <v>13.7019</v>
      </c>
      <c r="M271" s="14">
        <f>CHOOSE(CONTROL!$C$42, 12.6017, 12.6017) * CHOOSE(CONTROL!$C$21, $C$9, 100%, $E$9)</f>
        <v>12.601699999999999</v>
      </c>
      <c r="N271" s="14">
        <f>CHOOSE(CONTROL!$C$42, 12.6173, 12.6173) * CHOOSE(CONTROL!$C$21, $C$9, 100%, $E$9)</f>
        <v>12.6173</v>
      </c>
      <c r="O271" s="14">
        <f>CHOOSE(CONTROL!$C$42, 12.8539, 12.8539) * CHOOSE(CONTROL!$C$21, $C$9, 100%, $E$9)</f>
        <v>12.853899999999999</v>
      </c>
      <c r="P271" s="14">
        <f>CHOOSE(CONTROL!$C$42, 12.6707, 12.6707) * CHOOSE(CONTROL!$C$21, $C$9, 100%, $E$9)</f>
        <v>12.6707</v>
      </c>
      <c r="Q271" s="14">
        <f>CHOOSE(CONTROL!$C$42, 13.4486, 13.4486) * CHOOSE(CONTROL!$C$21, $C$9, 100%, $E$9)</f>
        <v>13.448600000000001</v>
      </c>
      <c r="R271" s="14">
        <f>CHOOSE(CONTROL!$C$42, 14.0692, 14.0692) * CHOOSE(CONTROL!$C$21, $C$9, 100%, $E$9)</f>
        <v>14.0692</v>
      </c>
      <c r="S271" s="14">
        <f>CHOOSE(CONTROL!$C$42, 12.3685, 12.3685) * CHOOSE(CONTROL!$C$21, $C$9, 100%, $E$9)</f>
        <v>12.368499999999999</v>
      </c>
      <c r="T27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71" s="57">
        <f>(1000*CHOOSE(CONTROL!$C$42, 695, 695)*CHOOSE(CONTROL!$C$42, 0.5599, 0.5599)*CHOOSE(CONTROL!$C$42, 31, 31))/1000000</f>
        <v>12.063045499999998</v>
      </c>
      <c r="V271" s="57">
        <f>(1000*CHOOSE(CONTROL!$C$42, 500, 500)*CHOOSE(CONTROL!$C$42, 0.275, 0.275)*CHOOSE(CONTROL!$C$42, 31, 31))/1000000</f>
        <v>4.2625000000000002</v>
      </c>
      <c r="W271" s="57">
        <f>(1000*CHOOSE(CONTROL!$C$42, 0.1146, 0.1146)*CHOOSE(CONTROL!$C$42, 121.5, 121.5)*CHOOSE(CONTROL!$C$42, 31, 31))/1000000</f>
        <v>0.43164089999999994</v>
      </c>
      <c r="X271" s="57">
        <f>(31*0.1790888*245000/1000000)+(31*0.2374*100000/1000000)</f>
        <v>2.0961194359999999</v>
      </c>
      <c r="Y271" s="57"/>
      <c r="Z271" s="14"/>
      <c r="AA271" s="56"/>
      <c r="AB271" s="50">
        <f>(B271*194.205+C271*267.466+D271*133.845+E271*53.484+F271*40+G271*185+H271*0+I271*100+J271*300)/(194.205+267.466+133.845+53.484+0+40+185+100+300)</f>
        <v>12.913709708477239</v>
      </c>
      <c r="AC271" s="45">
        <f>(M271*'RAP TEMPLATE-GAS AVAILABILITY'!O270+N271*'RAP TEMPLATE-GAS AVAILABILITY'!P270+O271*'RAP TEMPLATE-GAS AVAILABILITY'!Q270+P271*'RAP TEMPLATE-GAS AVAILABILITY'!R270)/('RAP TEMPLATE-GAS AVAILABILITY'!O270+'RAP TEMPLATE-GAS AVAILABILITY'!P270+'RAP TEMPLATE-GAS AVAILABILITY'!Q270+'RAP TEMPLATE-GAS AVAILABILITY'!R270)</f>
        <v>12.685980575539567</v>
      </c>
    </row>
    <row r="272" spans="1:29" ht="15.75" x14ac:dyDescent="0.25">
      <c r="A272" s="13">
        <v>49157</v>
      </c>
      <c r="B272" s="14">
        <f>CHOOSE(CONTROL!$C$42, 12.2471, 12.2471) * CHOOSE(CONTROL!$C$21, $C$9, 100%, $E$9)</f>
        <v>12.2471</v>
      </c>
      <c r="C272" s="14">
        <f>CHOOSE(CONTROL!$C$42, 12.2551, 12.2551) * CHOOSE(CONTROL!$C$21, $C$9, 100%, $E$9)</f>
        <v>12.255100000000001</v>
      </c>
      <c r="D272" s="14">
        <f>CHOOSE(CONTROL!$C$42, 12.4591, 12.4591) * CHOOSE(CONTROL!$C$21, $C$9, 100%, $E$9)</f>
        <v>12.459099999999999</v>
      </c>
      <c r="E272" s="14">
        <f>CHOOSE(CONTROL!$C$42, 12.4905, 12.4905) * CHOOSE(CONTROL!$C$21, $C$9, 100%, $E$9)</f>
        <v>12.490500000000001</v>
      </c>
      <c r="F272" s="14">
        <f>CHOOSE(CONTROL!$C$42, 12.2289, 12.2289)*CHOOSE(CONTROL!$C$21, $C$9, 100%, $E$9)</f>
        <v>12.228899999999999</v>
      </c>
      <c r="G272" s="14">
        <f>CHOOSE(CONTROL!$C$42, 12.2449, 12.2449)*CHOOSE(CONTROL!$C$21, $C$9, 100%, $E$9)</f>
        <v>12.244899999999999</v>
      </c>
      <c r="H272" s="14">
        <f>CHOOSE(CONTROL!$C$42, 12.4791, 12.4791) * CHOOSE(CONTROL!$C$21, $C$9, 100%, $E$9)</f>
        <v>12.479100000000001</v>
      </c>
      <c r="I272" s="14">
        <f>CHOOSE(CONTROL!$C$42, 12.2909, 12.2909)* CHOOSE(CONTROL!$C$21, $C$9, 100%, $E$9)</f>
        <v>12.290900000000001</v>
      </c>
      <c r="J272" s="14">
        <f>CHOOSE(CONTROL!$C$42, 12.2219, 12.2219)* CHOOSE(CONTROL!$C$21, $C$9, 100%, $E$9)</f>
        <v>12.2219</v>
      </c>
      <c r="K272" s="53">
        <f>CHOOSE(CONTROL!$C$42, 12.287, 12.287) * CHOOSE(CONTROL!$C$21, $C$9, 100%, $E$9)</f>
        <v>12.287000000000001</v>
      </c>
      <c r="L272" s="14">
        <f>CHOOSE(CONTROL!$C$42, 13.0661, 13.0661) * CHOOSE(CONTROL!$C$21, $C$9, 100%, $E$9)</f>
        <v>13.0661</v>
      </c>
      <c r="M272" s="14">
        <f>CHOOSE(CONTROL!$C$42, 11.9792, 11.9792) * CHOOSE(CONTROL!$C$21, $C$9, 100%, $E$9)</f>
        <v>11.979200000000001</v>
      </c>
      <c r="N272" s="14">
        <f>CHOOSE(CONTROL!$C$42, 11.9948, 11.9948) * CHOOSE(CONTROL!$C$21, $C$9, 100%, $E$9)</f>
        <v>11.9948</v>
      </c>
      <c r="O272" s="14">
        <f>CHOOSE(CONTROL!$C$42, 12.2312, 12.2312) * CHOOSE(CONTROL!$C$21, $C$9, 100%, $E$9)</f>
        <v>12.231199999999999</v>
      </c>
      <c r="P272" s="14">
        <f>CHOOSE(CONTROL!$C$42, 12.0461, 12.0461) * CHOOSE(CONTROL!$C$21, $C$9, 100%, $E$9)</f>
        <v>12.046099999999999</v>
      </c>
      <c r="Q272" s="14">
        <f>CHOOSE(CONTROL!$C$42, 12.8259, 12.8259) * CHOOSE(CONTROL!$C$21, $C$9, 100%, $E$9)</f>
        <v>12.825900000000001</v>
      </c>
      <c r="R272" s="14">
        <f>CHOOSE(CONTROL!$C$42, 13.4449, 13.4449) * CHOOSE(CONTROL!$C$21, $C$9, 100%, $E$9)</f>
        <v>13.444900000000001</v>
      </c>
      <c r="S272" s="14">
        <f>CHOOSE(CONTROL!$C$42, 11.7576, 11.7576) * CHOOSE(CONTROL!$C$21, $C$9, 100%, $E$9)</f>
        <v>11.7576</v>
      </c>
      <c r="T27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72" s="57">
        <f>(1000*CHOOSE(CONTROL!$C$42, 695, 695)*CHOOSE(CONTROL!$C$42, 0.5599, 0.5599)*CHOOSE(CONTROL!$C$42, 31, 31))/1000000</f>
        <v>12.063045499999998</v>
      </c>
      <c r="V272" s="57">
        <f>(1000*CHOOSE(CONTROL!$C$42, 500, 500)*CHOOSE(CONTROL!$C$42, 0.275, 0.275)*CHOOSE(CONTROL!$C$42, 31, 31))/1000000</f>
        <v>4.2625000000000002</v>
      </c>
      <c r="W272" s="57">
        <f>(1000*CHOOSE(CONTROL!$C$42, 0.1146, 0.1146)*CHOOSE(CONTROL!$C$42, 121.5, 121.5)*CHOOSE(CONTROL!$C$42, 31, 31))/1000000</f>
        <v>0.43164089999999994</v>
      </c>
      <c r="X272" s="57">
        <f>(31*0.1790888*245000/1000000)+(31*0.2374*100000/1000000)</f>
        <v>2.0961194359999999</v>
      </c>
      <c r="Y272" s="57"/>
      <c r="Z272" s="14"/>
      <c r="AA272" s="56"/>
      <c r="AB272" s="50">
        <f>(B272*194.205+C272*267.466+D272*133.845+E272*53.484+F272*40+G272*185+H272*0+I272*100+J272*300)/(194.205+267.466+133.845+53.484+0+40+185+100+300)</f>
        <v>12.277883260282575</v>
      </c>
      <c r="AC272" s="45">
        <f>(M272*'RAP TEMPLATE-GAS AVAILABILITY'!O271+N272*'RAP TEMPLATE-GAS AVAILABILITY'!P271+O272*'RAP TEMPLATE-GAS AVAILABILITY'!Q271+P272*'RAP TEMPLATE-GAS AVAILABILITY'!R271)/('RAP TEMPLATE-GAS AVAILABILITY'!O271+'RAP TEMPLATE-GAS AVAILABILITY'!P271+'RAP TEMPLATE-GAS AVAILABILITY'!Q271+'RAP TEMPLATE-GAS AVAILABILITY'!R271)</f>
        <v>12.063122302158275</v>
      </c>
    </row>
    <row r="273" spans="1:29" ht="15.75" x14ac:dyDescent="0.25">
      <c r="A273" s="13">
        <v>49188</v>
      </c>
      <c r="B273" s="14">
        <f>CHOOSE(CONTROL!$C$42, 11.4699, 11.4699) * CHOOSE(CONTROL!$C$21, $C$9, 100%, $E$9)</f>
        <v>11.469900000000001</v>
      </c>
      <c r="C273" s="14">
        <f>CHOOSE(CONTROL!$C$42, 11.478, 11.478) * CHOOSE(CONTROL!$C$21, $C$9, 100%, $E$9)</f>
        <v>11.478</v>
      </c>
      <c r="D273" s="14">
        <f>CHOOSE(CONTROL!$C$42, 11.6819, 11.6819) * CHOOSE(CONTROL!$C$21, $C$9, 100%, $E$9)</f>
        <v>11.681900000000001</v>
      </c>
      <c r="E273" s="14">
        <f>CHOOSE(CONTROL!$C$42, 11.7134, 11.7134) * CHOOSE(CONTROL!$C$21, $C$9, 100%, $E$9)</f>
        <v>11.7134</v>
      </c>
      <c r="F273" s="14">
        <f>CHOOSE(CONTROL!$C$42, 11.4518, 11.4518)*CHOOSE(CONTROL!$C$21, $C$9, 100%, $E$9)</f>
        <v>11.4518</v>
      </c>
      <c r="G273" s="14">
        <f>CHOOSE(CONTROL!$C$42, 11.4678, 11.4678)*CHOOSE(CONTROL!$C$21, $C$9, 100%, $E$9)</f>
        <v>11.4678</v>
      </c>
      <c r="H273" s="14">
        <f>CHOOSE(CONTROL!$C$42, 11.702, 11.702) * CHOOSE(CONTROL!$C$21, $C$9, 100%, $E$9)</f>
        <v>11.702</v>
      </c>
      <c r="I273" s="14">
        <f>CHOOSE(CONTROL!$C$42, 11.5113, 11.5113)* CHOOSE(CONTROL!$C$21, $C$9, 100%, $E$9)</f>
        <v>11.5113</v>
      </c>
      <c r="J273" s="14">
        <f>CHOOSE(CONTROL!$C$42, 11.4448, 11.4448)* CHOOSE(CONTROL!$C$21, $C$9, 100%, $E$9)</f>
        <v>11.444800000000001</v>
      </c>
      <c r="K273" s="53">
        <f>CHOOSE(CONTROL!$C$42, 11.5074, 11.5074) * CHOOSE(CONTROL!$C$21, $C$9, 100%, $E$9)</f>
        <v>11.507400000000001</v>
      </c>
      <c r="L273" s="14">
        <f>CHOOSE(CONTROL!$C$42, 12.289, 12.289) * CHOOSE(CONTROL!$C$21, $C$9, 100%, $E$9)</f>
        <v>12.289</v>
      </c>
      <c r="M273" s="14">
        <f>CHOOSE(CONTROL!$C$42, 11.218, 11.218) * CHOOSE(CONTROL!$C$21, $C$9, 100%, $E$9)</f>
        <v>11.218</v>
      </c>
      <c r="N273" s="14">
        <f>CHOOSE(CONTROL!$C$42, 11.2337, 11.2337) * CHOOSE(CONTROL!$C$21, $C$9, 100%, $E$9)</f>
        <v>11.233700000000001</v>
      </c>
      <c r="O273" s="14">
        <f>CHOOSE(CONTROL!$C$42, 11.4699, 11.4699) * CHOOSE(CONTROL!$C$21, $C$9, 100%, $E$9)</f>
        <v>11.469900000000001</v>
      </c>
      <c r="P273" s="14">
        <f>CHOOSE(CONTROL!$C$42, 11.2825, 11.2825) * CHOOSE(CONTROL!$C$21, $C$9, 100%, $E$9)</f>
        <v>11.282500000000001</v>
      </c>
      <c r="Q273" s="14">
        <f>CHOOSE(CONTROL!$C$42, 12.0646, 12.0646) * CHOOSE(CONTROL!$C$21, $C$9, 100%, $E$9)</f>
        <v>12.0646</v>
      </c>
      <c r="R273" s="14">
        <f>CHOOSE(CONTROL!$C$42, 12.6818, 12.6818) * CHOOSE(CONTROL!$C$21, $C$9, 100%, $E$9)</f>
        <v>12.681800000000001</v>
      </c>
      <c r="S273" s="14">
        <f>CHOOSE(CONTROL!$C$42, 11.0108, 11.0108) * CHOOSE(CONTROL!$C$21, $C$9, 100%, $E$9)</f>
        <v>11.0108</v>
      </c>
      <c r="T27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73" s="57">
        <f>(1000*CHOOSE(CONTROL!$C$42, 695, 695)*CHOOSE(CONTROL!$C$42, 0.5599, 0.5599)*CHOOSE(CONTROL!$C$42, 30, 30))/1000000</f>
        <v>11.673914999999997</v>
      </c>
      <c r="V273" s="57">
        <f>(1000*CHOOSE(CONTROL!$C$42, 500, 500)*CHOOSE(CONTROL!$C$42, 0.275, 0.275)*CHOOSE(CONTROL!$C$42, 30, 30))/1000000</f>
        <v>4.125</v>
      </c>
      <c r="W273" s="57">
        <f>(1000*CHOOSE(CONTROL!$C$42, 0.1146, 0.1146)*CHOOSE(CONTROL!$C$42, 121.5, 121.5)*CHOOSE(CONTROL!$C$42, 30, 30))/1000000</f>
        <v>0.417717</v>
      </c>
      <c r="X273" s="57">
        <f>(30*0.1790888*245000/1000000)+(30*0.2374*100000/1000000)</f>
        <v>2.0285026799999999</v>
      </c>
      <c r="Y273" s="57"/>
      <c r="Z273" s="14"/>
      <c r="AA273" s="56"/>
      <c r="AB273" s="50">
        <f>(B273*194.205+C273*267.466+D273*133.845+E273*53.484+F273*40+G273*185+H273*0+I273*100+J273*300)/(194.205+267.466+133.845+53.484+0+40+185+100+300)</f>
        <v>11.500561278335951</v>
      </c>
      <c r="AC273" s="45">
        <f>(M273*'RAP TEMPLATE-GAS AVAILABILITY'!O272+N273*'RAP TEMPLATE-GAS AVAILABILITY'!P272+O273*'RAP TEMPLATE-GAS AVAILABILITY'!Q272+P273*'RAP TEMPLATE-GAS AVAILABILITY'!R272)/('RAP TEMPLATE-GAS AVAILABILITY'!O272+'RAP TEMPLATE-GAS AVAILABILITY'!P272+'RAP TEMPLATE-GAS AVAILABILITY'!Q272+'RAP TEMPLATE-GAS AVAILABILITY'!R272)</f>
        <v>11.301571942446044</v>
      </c>
    </row>
    <row r="274" spans="1:29" ht="15.75" x14ac:dyDescent="0.25">
      <c r="A274" s="13">
        <v>49218</v>
      </c>
      <c r="B274" s="14">
        <f>CHOOSE(CONTROL!$C$42, 11.2355, 11.2355) * CHOOSE(CONTROL!$C$21, $C$9, 100%, $E$9)</f>
        <v>11.2355</v>
      </c>
      <c r="C274" s="14">
        <f>CHOOSE(CONTROL!$C$42, 11.2409, 11.2409) * CHOOSE(CONTROL!$C$21, $C$9, 100%, $E$9)</f>
        <v>11.2409</v>
      </c>
      <c r="D274" s="14">
        <f>CHOOSE(CONTROL!$C$42, 11.4498, 11.4498) * CHOOSE(CONTROL!$C$21, $C$9, 100%, $E$9)</f>
        <v>11.4498</v>
      </c>
      <c r="E274" s="14">
        <f>CHOOSE(CONTROL!$C$42, 11.4789, 11.4789) * CHOOSE(CONTROL!$C$21, $C$9, 100%, $E$9)</f>
        <v>11.478899999999999</v>
      </c>
      <c r="F274" s="14">
        <f>CHOOSE(CONTROL!$C$42, 11.2195, 11.2195)*CHOOSE(CONTROL!$C$21, $C$9, 100%, $E$9)</f>
        <v>11.2195</v>
      </c>
      <c r="G274" s="14">
        <f>CHOOSE(CONTROL!$C$42, 11.2352, 11.2352)*CHOOSE(CONTROL!$C$21, $C$9, 100%, $E$9)</f>
        <v>11.235200000000001</v>
      </c>
      <c r="H274" s="14">
        <f>CHOOSE(CONTROL!$C$42, 11.4693, 11.4693) * CHOOSE(CONTROL!$C$21, $C$9, 100%, $E$9)</f>
        <v>11.4693</v>
      </c>
      <c r="I274" s="14">
        <f>CHOOSE(CONTROL!$C$42, 11.2779, 11.2779)* CHOOSE(CONTROL!$C$21, $C$9, 100%, $E$9)</f>
        <v>11.277900000000001</v>
      </c>
      <c r="J274" s="14">
        <f>CHOOSE(CONTROL!$C$42, 11.2125, 11.2125)* CHOOSE(CONTROL!$C$21, $C$9, 100%, $E$9)</f>
        <v>11.2125</v>
      </c>
      <c r="K274" s="53">
        <f>CHOOSE(CONTROL!$C$42, 11.274, 11.274) * CHOOSE(CONTROL!$C$21, $C$9, 100%, $E$9)</f>
        <v>11.273999999999999</v>
      </c>
      <c r="L274" s="14">
        <f>CHOOSE(CONTROL!$C$42, 12.0563, 12.0563) * CHOOSE(CONTROL!$C$21, $C$9, 100%, $E$9)</f>
        <v>12.0563</v>
      </c>
      <c r="M274" s="14">
        <f>CHOOSE(CONTROL!$C$42, 10.9905, 10.9905) * CHOOSE(CONTROL!$C$21, $C$9, 100%, $E$9)</f>
        <v>10.990500000000001</v>
      </c>
      <c r="N274" s="14">
        <f>CHOOSE(CONTROL!$C$42, 11.0058, 11.0058) * CHOOSE(CONTROL!$C$21, $C$9, 100%, $E$9)</f>
        <v>11.005800000000001</v>
      </c>
      <c r="O274" s="14">
        <f>CHOOSE(CONTROL!$C$42, 11.242, 11.242) * CHOOSE(CONTROL!$C$21, $C$9, 100%, $E$9)</f>
        <v>11.242000000000001</v>
      </c>
      <c r="P274" s="14">
        <f>CHOOSE(CONTROL!$C$42, 11.0539, 11.0539) * CHOOSE(CONTROL!$C$21, $C$9, 100%, $E$9)</f>
        <v>11.053900000000001</v>
      </c>
      <c r="Q274" s="14">
        <f>CHOOSE(CONTROL!$C$42, 11.8367, 11.8367) * CHOOSE(CONTROL!$C$21, $C$9, 100%, $E$9)</f>
        <v>11.8367</v>
      </c>
      <c r="R274" s="14">
        <f>CHOOSE(CONTROL!$C$42, 12.4533, 12.4533) * CHOOSE(CONTROL!$C$21, $C$9, 100%, $E$9)</f>
        <v>12.4533</v>
      </c>
      <c r="S274" s="14">
        <f>CHOOSE(CONTROL!$C$42, 10.7873, 10.7873) * CHOOSE(CONTROL!$C$21, $C$9, 100%, $E$9)</f>
        <v>10.7873</v>
      </c>
      <c r="T27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74" s="57">
        <f>(1000*CHOOSE(CONTROL!$C$42, 695, 695)*CHOOSE(CONTROL!$C$42, 0.5599, 0.5599)*CHOOSE(CONTROL!$C$42, 31, 31))/1000000</f>
        <v>12.063045499999998</v>
      </c>
      <c r="V274" s="57">
        <f>(1000*CHOOSE(CONTROL!$C$42, 500, 500)*CHOOSE(CONTROL!$C$42, 0.275, 0.275)*CHOOSE(CONTROL!$C$42, 31, 31))/1000000</f>
        <v>4.2625000000000002</v>
      </c>
      <c r="W274" s="57">
        <f>(1000*CHOOSE(CONTROL!$C$42, 0.1146, 0.1146)*CHOOSE(CONTROL!$C$42, 121.5, 121.5)*CHOOSE(CONTROL!$C$42, 31, 31))/1000000</f>
        <v>0.43164089999999994</v>
      </c>
      <c r="X274" s="57">
        <f>(31*0.1790888*245000/1000000)+(31*0.2374*100000/1000000)</f>
        <v>2.0961194359999999</v>
      </c>
      <c r="Y274" s="57"/>
      <c r="Z274" s="14"/>
      <c r="AA274" s="56"/>
      <c r="AB274" s="50">
        <f>(B274*131.881+C274*277.167+D274*79.08+E274*125.872+F274*40+G274*185+H274*0+I274*100+J274*300)/(131.881+277.167+79.08+125.872+0+40+185+100+300)</f>
        <v>11.272404996448749</v>
      </c>
      <c r="AC274" s="45">
        <f>(M274*'RAP TEMPLATE-GAS AVAILABILITY'!O273+N274*'RAP TEMPLATE-GAS AVAILABILITY'!P273+O274*'RAP TEMPLATE-GAS AVAILABILITY'!Q273+P274*'RAP TEMPLATE-GAS AVAILABILITY'!R273)/('RAP TEMPLATE-GAS AVAILABILITY'!O273+'RAP TEMPLATE-GAS AVAILABILITY'!P273+'RAP TEMPLATE-GAS AVAILABILITY'!Q273+'RAP TEMPLATE-GAS AVAILABILITY'!R273)</f>
        <v>11.073709352517985</v>
      </c>
    </row>
    <row r="275" spans="1:29" ht="15.75" x14ac:dyDescent="0.25">
      <c r="A275" s="13">
        <v>49249</v>
      </c>
      <c r="B275" s="14">
        <f>CHOOSE(CONTROL!$C$42, 11.5308, 11.5308) * CHOOSE(CONTROL!$C$21, $C$9, 100%, $E$9)</f>
        <v>11.530799999999999</v>
      </c>
      <c r="C275" s="14">
        <f>CHOOSE(CONTROL!$C$42, 11.5359, 11.5359) * CHOOSE(CONTROL!$C$21, $C$9, 100%, $E$9)</f>
        <v>11.5359</v>
      </c>
      <c r="D275" s="14">
        <f>CHOOSE(CONTROL!$C$42, 11.5997, 11.5997) * CHOOSE(CONTROL!$C$21, $C$9, 100%, $E$9)</f>
        <v>11.5997</v>
      </c>
      <c r="E275" s="14">
        <f>CHOOSE(CONTROL!$C$42, 11.6338, 11.6338) * CHOOSE(CONTROL!$C$21, $C$9, 100%, $E$9)</f>
        <v>11.633800000000001</v>
      </c>
      <c r="F275" s="14">
        <f>CHOOSE(CONTROL!$C$42, 11.5332, 11.5332)*CHOOSE(CONTROL!$C$21, $C$9, 100%, $E$9)</f>
        <v>11.533200000000001</v>
      </c>
      <c r="G275" s="14">
        <f>CHOOSE(CONTROL!$C$42, 11.5492, 11.5492)*CHOOSE(CONTROL!$C$21, $C$9, 100%, $E$9)</f>
        <v>11.549200000000001</v>
      </c>
      <c r="H275" s="14">
        <f>CHOOSE(CONTROL!$C$42, 11.623, 11.623) * CHOOSE(CONTROL!$C$21, $C$9, 100%, $E$9)</f>
        <v>11.622999999999999</v>
      </c>
      <c r="I275" s="14">
        <f>CHOOSE(CONTROL!$C$42, 11.5798, 11.5798)* CHOOSE(CONTROL!$C$21, $C$9, 100%, $E$9)</f>
        <v>11.579800000000001</v>
      </c>
      <c r="J275" s="14">
        <f>CHOOSE(CONTROL!$C$42, 11.5262, 11.5262)* CHOOSE(CONTROL!$C$21, $C$9, 100%, $E$9)</f>
        <v>11.526199999999999</v>
      </c>
      <c r="K275" s="53">
        <f>CHOOSE(CONTROL!$C$42, 11.5759, 11.5759) * CHOOSE(CONTROL!$C$21, $C$9, 100%, $E$9)</f>
        <v>11.575900000000001</v>
      </c>
      <c r="L275" s="14">
        <f>CHOOSE(CONTROL!$C$42, 12.21, 12.21) * CHOOSE(CONTROL!$C$21, $C$9, 100%, $E$9)</f>
        <v>12.21</v>
      </c>
      <c r="M275" s="14">
        <f>CHOOSE(CONTROL!$C$42, 11.2978, 11.2978) * CHOOSE(CONTROL!$C$21, $C$9, 100%, $E$9)</f>
        <v>11.297800000000001</v>
      </c>
      <c r="N275" s="14">
        <f>CHOOSE(CONTROL!$C$42, 11.3134, 11.3134) * CHOOSE(CONTROL!$C$21, $C$9, 100%, $E$9)</f>
        <v>11.3134</v>
      </c>
      <c r="O275" s="14">
        <f>CHOOSE(CONTROL!$C$42, 11.3926, 11.3926) * CHOOSE(CONTROL!$C$21, $C$9, 100%, $E$9)</f>
        <v>11.3926</v>
      </c>
      <c r="P275" s="14">
        <f>CHOOSE(CONTROL!$C$42, 11.3496, 11.3496) * CHOOSE(CONTROL!$C$21, $C$9, 100%, $E$9)</f>
        <v>11.349600000000001</v>
      </c>
      <c r="Q275" s="14">
        <f>CHOOSE(CONTROL!$C$42, 11.9873, 11.9873) * CHOOSE(CONTROL!$C$21, $C$9, 100%, $E$9)</f>
        <v>11.987299999999999</v>
      </c>
      <c r="R275" s="14">
        <f>CHOOSE(CONTROL!$C$42, 12.6042, 12.6042) * CHOOSE(CONTROL!$C$21, $C$9, 100%, $E$9)</f>
        <v>12.604200000000001</v>
      </c>
      <c r="S275" s="14">
        <f>CHOOSE(CONTROL!$C$42, 11.0714, 11.0714) * CHOOSE(CONTROL!$C$21, $C$9, 100%, $E$9)</f>
        <v>11.071400000000001</v>
      </c>
      <c r="T27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75" s="57">
        <f>(1000*CHOOSE(CONTROL!$C$42, 695, 695)*CHOOSE(CONTROL!$C$42, 0.5599, 0.5599)*CHOOSE(CONTROL!$C$42, 30, 30))/1000000</f>
        <v>11.673914999999997</v>
      </c>
      <c r="V275" s="57">
        <f>(1000*CHOOSE(CONTROL!$C$42, 500, 500)*CHOOSE(CONTROL!$C$42, 0.275, 0.275)*CHOOSE(CONTROL!$C$42, 30, 30))/1000000</f>
        <v>4.125</v>
      </c>
      <c r="W275" s="57">
        <f>(1000*CHOOSE(CONTROL!$C$42, 0.1146, 0.1146)*CHOOSE(CONTROL!$C$42, 121.5, 121.5)*CHOOSE(CONTROL!$C$42, 30, 30))/1000000</f>
        <v>0.417717</v>
      </c>
      <c r="X275" s="57">
        <f>(30*0.1790888*100000/1000000)+(30*0.2374*100000/1000000)</f>
        <v>1.2494664</v>
      </c>
      <c r="Y275" s="57"/>
      <c r="Z275" s="14"/>
      <c r="AA275" s="56"/>
      <c r="AB275" s="50">
        <f>(B275*122.58+C275*297.941+D275*89.177+E275*40.302+F275*40+G275*160+H275*0+I275*100+J275*300)/(122.58+297.941+89.177+40.302+0+40+160+100+300)</f>
        <v>11.54677817426087</v>
      </c>
      <c r="AC275" s="45">
        <f>(M275*'RAP TEMPLATE-GAS AVAILABILITY'!O274+N275*'RAP TEMPLATE-GAS AVAILABILITY'!P274+O275*'RAP TEMPLATE-GAS AVAILABILITY'!Q274+P275*'RAP TEMPLATE-GAS AVAILABILITY'!R274)/('RAP TEMPLATE-GAS AVAILABILITY'!O274+'RAP TEMPLATE-GAS AVAILABILITY'!P274+'RAP TEMPLATE-GAS AVAILABILITY'!Q274+'RAP TEMPLATE-GAS AVAILABILITY'!R274)</f>
        <v>11.34911798561151</v>
      </c>
    </row>
    <row r="276" spans="1:29" ht="15.75" x14ac:dyDescent="0.25">
      <c r="A276" s="13">
        <v>49279</v>
      </c>
      <c r="B276" s="14">
        <f>CHOOSE(CONTROL!$C$42, 12.3164, 12.3164) * CHOOSE(CONTROL!$C$21, $C$9, 100%, $E$9)</f>
        <v>12.3164</v>
      </c>
      <c r="C276" s="14">
        <f>CHOOSE(CONTROL!$C$42, 12.3214, 12.3214) * CHOOSE(CONTROL!$C$21, $C$9, 100%, $E$9)</f>
        <v>12.321400000000001</v>
      </c>
      <c r="D276" s="14">
        <f>CHOOSE(CONTROL!$C$42, 12.3852, 12.3852) * CHOOSE(CONTROL!$C$21, $C$9, 100%, $E$9)</f>
        <v>12.385199999999999</v>
      </c>
      <c r="E276" s="14">
        <f>CHOOSE(CONTROL!$C$42, 12.4193, 12.4193) * CHOOSE(CONTROL!$C$21, $C$9, 100%, $E$9)</f>
        <v>12.4193</v>
      </c>
      <c r="F276" s="14">
        <f>CHOOSE(CONTROL!$C$42, 12.321, 12.321)*CHOOSE(CONTROL!$C$21, $C$9, 100%, $E$9)</f>
        <v>12.321</v>
      </c>
      <c r="G276" s="14">
        <f>CHOOSE(CONTROL!$C$42, 12.3376, 12.3376)*CHOOSE(CONTROL!$C$21, $C$9, 100%, $E$9)</f>
        <v>12.3376</v>
      </c>
      <c r="H276" s="14">
        <f>CHOOSE(CONTROL!$C$42, 12.4085, 12.4085) * CHOOSE(CONTROL!$C$21, $C$9, 100%, $E$9)</f>
        <v>12.4085</v>
      </c>
      <c r="I276" s="14">
        <f>CHOOSE(CONTROL!$C$42, 12.3678, 12.3678)* CHOOSE(CONTROL!$C$21, $C$9, 100%, $E$9)</f>
        <v>12.367800000000001</v>
      </c>
      <c r="J276" s="14">
        <f>CHOOSE(CONTROL!$C$42, 12.314, 12.314)* CHOOSE(CONTROL!$C$21, $C$9, 100%, $E$9)</f>
        <v>12.314</v>
      </c>
      <c r="K276" s="53">
        <f>CHOOSE(CONTROL!$C$42, 12.3639, 12.3639) * CHOOSE(CONTROL!$C$21, $C$9, 100%, $E$9)</f>
        <v>12.363899999999999</v>
      </c>
      <c r="L276" s="14">
        <f>CHOOSE(CONTROL!$C$42, 12.9955, 12.9955) * CHOOSE(CONTROL!$C$21, $C$9, 100%, $E$9)</f>
        <v>12.9955</v>
      </c>
      <c r="M276" s="14">
        <f>CHOOSE(CONTROL!$C$42, 12.0694, 12.0694) * CHOOSE(CONTROL!$C$21, $C$9, 100%, $E$9)</f>
        <v>12.0694</v>
      </c>
      <c r="N276" s="14">
        <f>CHOOSE(CONTROL!$C$42, 12.0856, 12.0856) * CHOOSE(CONTROL!$C$21, $C$9, 100%, $E$9)</f>
        <v>12.085599999999999</v>
      </c>
      <c r="O276" s="14">
        <f>CHOOSE(CONTROL!$C$42, 12.162, 12.162) * CHOOSE(CONTROL!$C$21, $C$9, 100%, $E$9)</f>
        <v>12.162000000000001</v>
      </c>
      <c r="P276" s="14">
        <f>CHOOSE(CONTROL!$C$42, 12.1214, 12.1214) * CHOOSE(CONTROL!$C$21, $C$9, 100%, $E$9)</f>
        <v>12.1214</v>
      </c>
      <c r="Q276" s="14">
        <f>CHOOSE(CONTROL!$C$42, 12.7567, 12.7567) * CHOOSE(CONTROL!$C$21, $C$9, 100%, $E$9)</f>
        <v>12.7567</v>
      </c>
      <c r="R276" s="14">
        <f>CHOOSE(CONTROL!$C$42, 13.3756, 13.3756) * CHOOSE(CONTROL!$C$21, $C$9, 100%, $E$9)</f>
        <v>13.3756</v>
      </c>
      <c r="S276" s="14">
        <f>CHOOSE(CONTROL!$C$42, 11.8262, 11.8262) * CHOOSE(CONTROL!$C$21, $C$9, 100%, $E$9)</f>
        <v>11.8262</v>
      </c>
      <c r="T27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76" s="57">
        <f>(1000*CHOOSE(CONTROL!$C$42, 695, 695)*CHOOSE(CONTROL!$C$42, 0.5599, 0.5599)*CHOOSE(CONTROL!$C$42, 31, 31))/1000000</f>
        <v>12.063045499999998</v>
      </c>
      <c r="V276" s="57">
        <f>(1000*CHOOSE(CONTROL!$C$42, 500, 500)*CHOOSE(CONTROL!$C$42, 0.275, 0.275)*CHOOSE(CONTROL!$C$42, 31, 31))/1000000</f>
        <v>4.2625000000000002</v>
      </c>
      <c r="W276" s="57">
        <f>(1000*CHOOSE(CONTROL!$C$42, 0.1146, 0.1146)*CHOOSE(CONTROL!$C$42, 121.5, 121.5)*CHOOSE(CONTROL!$C$42, 31, 31))/1000000</f>
        <v>0.43164089999999994</v>
      </c>
      <c r="X276" s="57">
        <f>(31*0.1790888*100000/1000000)+(31*0.2374*100000/1000000)</f>
        <v>1.2911152800000001</v>
      </c>
      <c r="Y276" s="57"/>
      <c r="Z276" s="14"/>
      <c r="AA276" s="56"/>
      <c r="AB276" s="50">
        <f>(B276*122.58+C276*297.941+D276*89.177+E276*40.302+F276*40+G276*160+H276*0+I276*100+J276*300)/(122.58+297.941+89.177+40.302+0+40+160+100+300)</f>
        <v>12.333589702956521</v>
      </c>
      <c r="AC276" s="45">
        <f>(M276*'RAP TEMPLATE-GAS AVAILABILITY'!O275+N276*'RAP TEMPLATE-GAS AVAILABILITY'!P275+O276*'RAP TEMPLATE-GAS AVAILABILITY'!Q275+P276*'RAP TEMPLATE-GAS AVAILABILITY'!R275)/('RAP TEMPLATE-GAS AVAILABILITY'!O275+'RAP TEMPLATE-GAS AVAILABILITY'!P275+'RAP TEMPLATE-GAS AVAILABILITY'!Q275+'RAP TEMPLATE-GAS AVAILABILITY'!R275)</f>
        <v>12.11978417266187</v>
      </c>
    </row>
    <row r="277" spans="1:29" ht="15.75" x14ac:dyDescent="0.25">
      <c r="A277" s="13">
        <v>49310</v>
      </c>
      <c r="B277" s="14">
        <f>CHOOSE(CONTROL!$C$42, 13.3244, 13.3244) * CHOOSE(CONTROL!$C$21, $C$9, 100%, $E$9)</f>
        <v>13.324400000000001</v>
      </c>
      <c r="C277" s="14">
        <f>CHOOSE(CONTROL!$C$42, 13.3295, 13.3295) * CHOOSE(CONTROL!$C$21, $C$9, 100%, $E$9)</f>
        <v>13.329499999999999</v>
      </c>
      <c r="D277" s="14">
        <f>CHOOSE(CONTROL!$C$42, 13.3959, 13.3959) * CHOOSE(CONTROL!$C$21, $C$9, 100%, $E$9)</f>
        <v>13.395899999999999</v>
      </c>
      <c r="E277" s="14">
        <f>CHOOSE(CONTROL!$C$42, 13.43, 13.43) * CHOOSE(CONTROL!$C$21, $C$9, 100%, $E$9)</f>
        <v>13.43</v>
      </c>
      <c r="F277" s="14">
        <f>CHOOSE(CONTROL!$C$42, 13.3118, 13.3118)*CHOOSE(CONTROL!$C$21, $C$9, 100%, $E$9)</f>
        <v>13.3118</v>
      </c>
      <c r="G277" s="14">
        <f>CHOOSE(CONTROL!$C$42, 13.3272, 13.3272)*CHOOSE(CONTROL!$C$21, $C$9, 100%, $E$9)</f>
        <v>13.327199999999999</v>
      </c>
      <c r="H277" s="14">
        <f>CHOOSE(CONTROL!$C$42, 13.4192, 13.4192) * CHOOSE(CONTROL!$C$21, $C$9, 100%, $E$9)</f>
        <v>13.4192</v>
      </c>
      <c r="I277" s="14">
        <f>CHOOSE(CONTROL!$C$42, 13.3738, 13.3738)* CHOOSE(CONTROL!$C$21, $C$9, 100%, $E$9)</f>
        <v>13.373799999999999</v>
      </c>
      <c r="J277" s="14">
        <f>CHOOSE(CONTROL!$C$42, 13.3048, 13.3048)* CHOOSE(CONTROL!$C$21, $C$9, 100%, $E$9)</f>
        <v>13.3048</v>
      </c>
      <c r="K277" s="53">
        <f>CHOOSE(CONTROL!$C$42, 13.3699, 13.3699) * CHOOSE(CONTROL!$C$21, $C$9, 100%, $E$9)</f>
        <v>13.369899999999999</v>
      </c>
      <c r="L277" s="14">
        <f>CHOOSE(CONTROL!$C$42, 14.0062, 14.0062) * CHOOSE(CONTROL!$C$21, $C$9, 100%, $E$9)</f>
        <v>14.0062</v>
      </c>
      <c r="M277" s="14">
        <f>CHOOSE(CONTROL!$C$42, 13.0399, 13.0399) * CHOOSE(CONTROL!$C$21, $C$9, 100%, $E$9)</f>
        <v>13.039899999999999</v>
      </c>
      <c r="N277" s="14">
        <f>CHOOSE(CONTROL!$C$42, 13.055, 13.055) * CHOOSE(CONTROL!$C$21, $C$9, 100%, $E$9)</f>
        <v>13.055</v>
      </c>
      <c r="O277" s="14">
        <f>CHOOSE(CONTROL!$C$42, 13.152, 13.152) * CHOOSE(CONTROL!$C$21, $C$9, 100%, $E$9)</f>
        <v>13.151999999999999</v>
      </c>
      <c r="P277" s="14">
        <f>CHOOSE(CONTROL!$C$42, 13.1067, 13.1067) * CHOOSE(CONTROL!$C$21, $C$9, 100%, $E$9)</f>
        <v>13.1067</v>
      </c>
      <c r="Q277" s="14">
        <f>CHOOSE(CONTROL!$C$42, 13.7467, 13.7467) * CHOOSE(CONTROL!$C$21, $C$9, 100%, $E$9)</f>
        <v>13.746700000000001</v>
      </c>
      <c r="R277" s="14">
        <f>CHOOSE(CONTROL!$C$42, 14.368, 14.368) * CHOOSE(CONTROL!$C$21, $C$9, 100%, $E$9)</f>
        <v>14.368</v>
      </c>
      <c r="S277" s="14">
        <f>CHOOSE(CONTROL!$C$42, 12.7949, 12.7949) * CHOOSE(CONTROL!$C$21, $C$9, 100%, $E$9)</f>
        <v>12.7949</v>
      </c>
      <c r="T27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77" s="57">
        <f>(1000*CHOOSE(CONTROL!$C$42, 695, 695)*CHOOSE(CONTROL!$C$42, 0.5599, 0.5599)*CHOOSE(CONTROL!$C$42, 31, 31))/1000000</f>
        <v>12.063045499999998</v>
      </c>
      <c r="V277" s="57">
        <f>(1000*CHOOSE(CONTROL!$C$42, 500, 500)*CHOOSE(CONTROL!$C$42, 0.275, 0.275)*CHOOSE(CONTROL!$C$42, 31, 31))/1000000</f>
        <v>4.2625000000000002</v>
      </c>
      <c r="W277" s="57">
        <f>(1000*CHOOSE(CONTROL!$C$42, 0.1146, 0.1146)*CHOOSE(CONTROL!$C$42, 121.5, 121.5)*CHOOSE(CONTROL!$C$42, 31, 31))/1000000</f>
        <v>0.43164089999999994</v>
      </c>
      <c r="X277" s="57">
        <f>(31*0.1790888*100000/1000000)+(31*0.2374*100000/1000000)</f>
        <v>1.2911152800000001</v>
      </c>
      <c r="Y277" s="57"/>
      <c r="Z277" s="14"/>
      <c r="AA277" s="56"/>
      <c r="AB277" s="50">
        <f>(B277*122.58+C277*297.941+D277*89.177+E277*40.302+F277*40+G277*160+H277*0+I277*100+J277*300)/(122.58+297.941+89.177+40.302+0+40+160+100+300)</f>
        <v>13.334100474608693</v>
      </c>
      <c r="AC277" s="45">
        <f>(M277*'RAP TEMPLATE-GAS AVAILABILITY'!O276+N277*'RAP TEMPLATE-GAS AVAILABILITY'!P276+O277*'RAP TEMPLATE-GAS AVAILABILITY'!Q276+P277*'RAP TEMPLATE-GAS AVAILABILITY'!R276)/('RAP TEMPLATE-GAS AVAILABILITY'!O276+'RAP TEMPLATE-GAS AVAILABILITY'!P276+'RAP TEMPLATE-GAS AVAILABILITY'!Q276+'RAP TEMPLATE-GAS AVAILABILITY'!R276)</f>
        <v>13.101188489208635</v>
      </c>
    </row>
    <row r="278" spans="1:29" ht="15.75" x14ac:dyDescent="0.25">
      <c r="A278" s="13">
        <v>49341</v>
      </c>
      <c r="B278" s="14">
        <f>CHOOSE(CONTROL!$C$42, 13.5615, 13.5615) * CHOOSE(CONTROL!$C$21, $C$9, 100%, $E$9)</f>
        <v>13.561500000000001</v>
      </c>
      <c r="C278" s="14">
        <f>CHOOSE(CONTROL!$C$42, 13.5665, 13.5665) * CHOOSE(CONTROL!$C$21, $C$9, 100%, $E$9)</f>
        <v>13.5665</v>
      </c>
      <c r="D278" s="14">
        <f>CHOOSE(CONTROL!$C$42, 13.6329, 13.6329) * CHOOSE(CONTROL!$C$21, $C$9, 100%, $E$9)</f>
        <v>13.632899999999999</v>
      </c>
      <c r="E278" s="14">
        <f>CHOOSE(CONTROL!$C$42, 13.667, 13.667) * CHOOSE(CONTROL!$C$21, $C$9, 100%, $E$9)</f>
        <v>13.667</v>
      </c>
      <c r="F278" s="14">
        <f>CHOOSE(CONTROL!$C$42, 13.5489, 13.5489)*CHOOSE(CONTROL!$C$21, $C$9, 100%, $E$9)</f>
        <v>13.5489</v>
      </c>
      <c r="G278" s="14">
        <f>CHOOSE(CONTROL!$C$42, 13.5644, 13.5644)*CHOOSE(CONTROL!$C$21, $C$9, 100%, $E$9)</f>
        <v>13.564399999999999</v>
      </c>
      <c r="H278" s="14">
        <f>CHOOSE(CONTROL!$C$42, 13.6562, 13.6562) * CHOOSE(CONTROL!$C$21, $C$9, 100%, $E$9)</f>
        <v>13.6562</v>
      </c>
      <c r="I278" s="14">
        <f>CHOOSE(CONTROL!$C$42, 13.6116, 13.6116)* CHOOSE(CONTROL!$C$21, $C$9, 100%, $E$9)</f>
        <v>13.611599999999999</v>
      </c>
      <c r="J278" s="14">
        <f>CHOOSE(CONTROL!$C$42, 13.5419, 13.5419)* CHOOSE(CONTROL!$C$21, $C$9, 100%, $E$9)</f>
        <v>13.5419</v>
      </c>
      <c r="K278" s="53">
        <f>CHOOSE(CONTROL!$C$42, 13.6077, 13.6077) * CHOOSE(CONTROL!$C$21, $C$9, 100%, $E$9)</f>
        <v>13.607699999999999</v>
      </c>
      <c r="L278" s="14">
        <f>CHOOSE(CONTROL!$C$42, 14.2432, 14.2432) * CHOOSE(CONTROL!$C$21, $C$9, 100%, $E$9)</f>
        <v>14.2432</v>
      </c>
      <c r="M278" s="14">
        <f>CHOOSE(CONTROL!$C$42, 13.2721, 13.2721) * CHOOSE(CONTROL!$C$21, $C$9, 100%, $E$9)</f>
        <v>13.2721</v>
      </c>
      <c r="N278" s="14">
        <f>CHOOSE(CONTROL!$C$42, 13.2873, 13.2873) * CHOOSE(CONTROL!$C$21, $C$9, 100%, $E$9)</f>
        <v>13.2873</v>
      </c>
      <c r="O278" s="14">
        <f>CHOOSE(CONTROL!$C$42, 13.3841, 13.3841) * CHOOSE(CONTROL!$C$21, $C$9, 100%, $E$9)</f>
        <v>13.3841</v>
      </c>
      <c r="P278" s="14">
        <f>CHOOSE(CONTROL!$C$42, 13.3396, 13.3396) * CHOOSE(CONTROL!$C$21, $C$9, 100%, $E$9)</f>
        <v>13.339600000000001</v>
      </c>
      <c r="Q278" s="14">
        <f>CHOOSE(CONTROL!$C$42, 13.9788, 13.9788) * CHOOSE(CONTROL!$C$21, $C$9, 100%, $E$9)</f>
        <v>13.9788</v>
      </c>
      <c r="R278" s="14">
        <f>CHOOSE(CONTROL!$C$42, 14.6008, 14.6008) * CHOOSE(CONTROL!$C$21, $C$9, 100%, $E$9)</f>
        <v>14.6008</v>
      </c>
      <c r="S278" s="14">
        <f>CHOOSE(CONTROL!$C$42, 13.0227, 13.0227) * CHOOSE(CONTROL!$C$21, $C$9, 100%, $E$9)</f>
        <v>13.0227</v>
      </c>
      <c r="T27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78" s="57">
        <f>(1000*CHOOSE(CONTROL!$C$42, 695, 695)*CHOOSE(CONTROL!$C$42, 0.5599, 0.5599)*CHOOSE(CONTROL!$C$42, 28, 28))/1000000</f>
        <v>10.895653999999999</v>
      </c>
      <c r="V278" s="57">
        <f>(1000*CHOOSE(CONTROL!$C$42, 500, 500)*CHOOSE(CONTROL!$C$42, 0.275, 0.275)*CHOOSE(CONTROL!$C$42, 28, 28))/1000000</f>
        <v>3.85</v>
      </c>
      <c r="W278" s="57">
        <f>(1000*CHOOSE(CONTROL!$C$42, 0.1146, 0.1146)*CHOOSE(CONTROL!$C$42, 121.5, 121.5)*CHOOSE(CONTROL!$C$42, 28, 28))/1000000</f>
        <v>0.38986920000000003</v>
      </c>
      <c r="X278" s="57">
        <f>(28*0.1790888*100000/1000000)+(28*0.2374*100000/1000000)</f>
        <v>1.16616864</v>
      </c>
      <c r="Y278" s="57"/>
      <c r="Z278" s="14"/>
      <c r="AA278" s="56"/>
      <c r="AB278" s="50">
        <f>(B278*122.58+C278*297.941+D278*89.177+E278*40.302+F278*40+G278*160+H278*0+I278*100+J278*300)/(122.58+297.941+89.177+40.302+0+40+160+100+300)</f>
        <v>13.57123809026087</v>
      </c>
      <c r="AC278" s="45">
        <f>(M278*'RAP TEMPLATE-GAS AVAILABILITY'!O277+N278*'RAP TEMPLATE-GAS AVAILABILITY'!P277+O278*'RAP TEMPLATE-GAS AVAILABILITY'!Q277+P278*'RAP TEMPLATE-GAS AVAILABILITY'!R277)/('RAP TEMPLATE-GAS AVAILABILITY'!O277+'RAP TEMPLATE-GAS AVAILABILITY'!P277+'RAP TEMPLATE-GAS AVAILABILITY'!Q277+'RAP TEMPLATE-GAS AVAILABILITY'!R277)</f>
        <v>13.333449640287771</v>
      </c>
    </row>
    <row r="279" spans="1:29" ht="15.75" x14ac:dyDescent="0.25">
      <c r="A279" s="13">
        <v>49369</v>
      </c>
      <c r="B279" s="14">
        <f>CHOOSE(CONTROL!$C$42, 13.1767, 13.1767) * CHOOSE(CONTROL!$C$21, $C$9, 100%, $E$9)</f>
        <v>13.1767</v>
      </c>
      <c r="C279" s="14">
        <f>CHOOSE(CONTROL!$C$42, 13.1818, 13.1818) * CHOOSE(CONTROL!$C$21, $C$9, 100%, $E$9)</f>
        <v>13.181800000000001</v>
      </c>
      <c r="D279" s="14">
        <f>CHOOSE(CONTROL!$C$42, 13.2482, 13.2482) * CHOOSE(CONTROL!$C$21, $C$9, 100%, $E$9)</f>
        <v>13.248200000000001</v>
      </c>
      <c r="E279" s="14">
        <f>CHOOSE(CONTROL!$C$42, 13.2823, 13.2823) * CHOOSE(CONTROL!$C$21, $C$9, 100%, $E$9)</f>
        <v>13.282299999999999</v>
      </c>
      <c r="F279" s="14">
        <f>CHOOSE(CONTROL!$C$42, 13.1637, 13.1637)*CHOOSE(CONTROL!$C$21, $C$9, 100%, $E$9)</f>
        <v>13.1637</v>
      </c>
      <c r="G279" s="14">
        <f>CHOOSE(CONTROL!$C$42, 13.1791, 13.1791)*CHOOSE(CONTROL!$C$21, $C$9, 100%, $E$9)</f>
        <v>13.1791</v>
      </c>
      <c r="H279" s="14">
        <f>CHOOSE(CONTROL!$C$42, 13.2715, 13.2715) * CHOOSE(CONTROL!$C$21, $C$9, 100%, $E$9)</f>
        <v>13.2715</v>
      </c>
      <c r="I279" s="14">
        <f>CHOOSE(CONTROL!$C$42, 13.2256, 13.2256)* CHOOSE(CONTROL!$C$21, $C$9, 100%, $E$9)</f>
        <v>13.2256</v>
      </c>
      <c r="J279" s="14">
        <f>CHOOSE(CONTROL!$C$42, 13.1567, 13.1567)* CHOOSE(CONTROL!$C$21, $C$9, 100%, $E$9)</f>
        <v>13.156700000000001</v>
      </c>
      <c r="K279" s="53">
        <f>CHOOSE(CONTROL!$C$42, 13.2217, 13.2217) * CHOOSE(CONTROL!$C$21, $C$9, 100%, $E$9)</f>
        <v>13.2217</v>
      </c>
      <c r="L279" s="14">
        <f>CHOOSE(CONTROL!$C$42, 13.8585, 13.8585) * CHOOSE(CONTROL!$C$21, $C$9, 100%, $E$9)</f>
        <v>13.858499999999999</v>
      </c>
      <c r="M279" s="14">
        <f>CHOOSE(CONTROL!$C$42, 12.8948, 12.8948) * CHOOSE(CONTROL!$C$21, $C$9, 100%, $E$9)</f>
        <v>12.8948</v>
      </c>
      <c r="N279" s="14">
        <f>CHOOSE(CONTROL!$C$42, 12.9099, 12.9099) * CHOOSE(CONTROL!$C$21, $C$9, 100%, $E$9)</f>
        <v>12.9099</v>
      </c>
      <c r="O279" s="14">
        <f>CHOOSE(CONTROL!$C$42, 13.0073, 13.0073) * CHOOSE(CONTROL!$C$21, $C$9, 100%, $E$9)</f>
        <v>13.007300000000001</v>
      </c>
      <c r="P279" s="14">
        <f>CHOOSE(CONTROL!$C$42, 12.9616, 12.9616) * CHOOSE(CONTROL!$C$21, $C$9, 100%, $E$9)</f>
        <v>12.961600000000001</v>
      </c>
      <c r="Q279" s="14">
        <f>CHOOSE(CONTROL!$C$42, 13.602, 13.602) * CHOOSE(CONTROL!$C$21, $C$9, 100%, $E$9)</f>
        <v>13.602</v>
      </c>
      <c r="R279" s="14">
        <f>CHOOSE(CONTROL!$C$42, 14.223, 14.223) * CHOOSE(CONTROL!$C$21, $C$9, 100%, $E$9)</f>
        <v>14.223000000000001</v>
      </c>
      <c r="S279" s="14">
        <f>CHOOSE(CONTROL!$C$42, 12.653, 12.653) * CHOOSE(CONTROL!$C$21, $C$9, 100%, $E$9)</f>
        <v>12.653</v>
      </c>
      <c r="T27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79" s="57">
        <f>(1000*CHOOSE(CONTROL!$C$42, 695, 695)*CHOOSE(CONTROL!$C$42, 0.5599, 0.5599)*CHOOSE(CONTROL!$C$42, 31, 31))/1000000</f>
        <v>12.063045499999998</v>
      </c>
      <c r="V279" s="57">
        <f>(1000*CHOOSE(CONTROL!$C$42, 500, 500)*CHOOSE(CONTROL!$C$42, 0.275, 0.275)*CHOOSE(CONTROL!$C$42, 31, 31))/1000000</f>
        <v>4.2625000000000002</v>
      </c>
      <c r="W279" s="57">
        <f>(1000*CHOOSE(CONTROL!$C$42, 0.1146, 0.1146)*CHOOSE(CONTROL!$C$42, 121.5, 121.5)*CHOOSE(CONTROL!$C$42, 31, 31))/1000000</f>
        <v>0.43164089999999994</v>
      </c>
      <c r="X279" s="57">
        <f>(31*0.1790888*100000/1000000)+(31*0.2374*100000/1000000)</f>
        <v>1.2911152800000001</v>
      </c>
      <c r="Y279" s="57"/>
      <c r="Z279" s="14"/>
      <c r="AA279" s="56"/>
      <c r="AB279" s="50">
        <f>(B279*122.58+C279*297.941+D279*89.177+E279*40.302+F279*40+G279*160+H279*0+I279*100+J279*300)/(122.58+297.941+89.177+40.302+0+40+160+100+300)</f>
        <v>13.186183083304346</v>
      </c>
      <c r="AC279" s="45">
        <f>(M279*'RAP TEMPLATE-GAS AVAILABILITY'!O278+N279*'RAP TEMPLATE-GAS AVAILABILITY'!P278+O279*'RAP TEMPLATE-GAS AVAILABILITY'!Q278+P279*'RAP TEMPLATE-GAS AVAILABILITY'!R278)/('RAP TEMPLATE-GAS AVAILABILITY'!O278+'RAP TEMPLATE-GAS AVAILABILITY'!P278+'RAP TEMPLATE-GAS AVAILABILITY'!Q278+'RAP TEMPLATE-GAS AVAILABILITY'!R278)</f>
        <v>12.956269784172662</v>
      </c>
    </row>
    <row r="280" spans="1:29" ht="15.75" x14ac:dyDescent="0.25">
      <c r="A280" s="13">
        <v>49400</v>
      </c>
      <c r="B280" s="14">
        <f>CHOOSE(CONTROL!$C$42, 13.1385, 13.1385) * CHOOSE(CONTROL!$C$21, $C$9, 100%, $E$9)</f>
        <v>13.138500000000001</v>
      </c>
      <c r="C280" s="14">
        <f>CHOOSE(CONTROL!$C$42, 13.143, 13.143) * CHOOSE(CONTROL!$C$21, $C$9, 100%, $E$9)</f>
        <v>13.143000000000001</v>
      </c>
      <c r="D280" s="14">
        <f>CHOOSE(CONTROL!$C$42, 13.35, 13.35) * CHOOSE(CONTROL!$C$21, $C$9, 100%, $E$9)</f>
        <v>13.35</v>
      </c>
      <c r="E280" s="14">
        <f>CHOOSE(CONTROL!$C$42, 13.3821, 13.3821) * CHOOSE(CONTROL!$C$21, $C$9, 100%, $E$9)</f>
        <v>13.382099999999999</v>
      </c>
      <c r="F280" s="14">
        <f>CHOOSE(CONTROL!$C$42, 13.1203, 13.1203)*CHOOSE(CONTROL!$C$21, $C$9, 100%, $E$9)</f>
        <v>13.1203</v>
      </c>
      <c r="G280" s="14">
        <f>CHOOSE(CONTROL!$C$42, 13.1355, 13.1355)*CHOOSE(CONTROL!$C$21, $C$9, 100%, $E$9)</f>
        <v>13.1355</v>
      </c>
      <c r="H280" s="14">
        <f>CHOOSE(CONTROL!$C$42, 13.3719, 13.3719) * CHOOSE(CONTROL!$C$21, $C$9, 100%, $E$9)</f>
        <v>13.3719</v>
      </c>
      <c r="I280" s="14">
        <f>CHOOSE(CONTROL!$C$42, 13.1865, 13.1865)* CHOOSE(CONTROL!$C$21, $C$9, 100%, $E$9)</f>
        <v>13.186500000000001</v>
      </c>
      <c r="J280" s="14">
        <f>CHOOSE(CONTROL!$C$42, 13.1133, 13.1133)* CHOOSE(CONTROL!$C$21, $C$9, 100%, $E$9)</f>
        <v>13.113300000000001</v>
      </c>
      <c r="K280" s="53">
        <f>CHOOSE(CONTROL!$C$42, 13.1826, 13.1826) * CHOOSE(CONTROL!$C$21, $C$9, 100%, $E$9)</f>
        <v>13.182600000000001</v>
      </c>
      <c r="L280" s="14">
        <f>CHOOSE(CONTROL!$C$42, 13.9589, 13.9589) * CHOOSE(CONTROL!$C$21, $C$9, 100%, $E$9)</f>
        <v>13.9589</v>
      </c>
      <c r="M280" s="14">
        <f>CHOOSE(CONTROL!$C$42, 12.8524, 12.8524) * CHOOSE(CONTROL!$C$21, $C$9, 100%, $E$9)</f>
        <v>12.852399999999999</v>
      </c>
      <c r="N280" s="14">
        <f>CHOOSE(CONTROL!$C$42, 12.8672, 12.8672) * CHOOSE(CONTROL!$C$21, $C$9, 100%, $E$9)</f>
        <v>12.8672</v>
      </c>
      <c r="O280" s="14">
        <f>CHOOSE(CONTROL!$C$42, 13.1056, 13.1056) * CHOOSE(CONTROL!$C$21, $C$9, 100%, $E$9)</f>
        <v>13.105600000000001</v>
      </c>
      <c r="P280" s="14">
        <f>CHOOSE(CONTROL!$C$42, 12.9232, 12.9232) * CHOOSE(CONTROL!$C$21, $C$9, 100%, $E$9)</f>
        <v>12.9232</v>
      </c>
      <c r="Q280" s="14">
        <f>CHOOSE(CONTROL!$C$42, 13.7003, 13.7003) * CHOOSE(CONTROL!$C$21, $C$9, 100%, $E$9)</f>
        <v>13.7003</v>
      </c>
      <c r="R280" s="14">
        <f>CHOOSE(CONTROL!$C$42, 14.3216, 14.3216) * CHOOSE(CONTROL!$C$21, $C$9, 100%, $E$9)</f>
        <v>14.3216</v>
      </c>
      <c r="S280" s="14">
        <f>CHOOSE(CONTROL!$C$42, 12.6155, 12.6155) * CHOOSE(CONTROL!$C$21, $C$9, 100%, $E$9)</f>
        <v>12.615500000000001</v>
      </c>
      <c r="T28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80" s="57">
        <f>(1000*CHOOSE(CONTROL!$C$42, 695, 695)*CHOOSE(CONTROL!$C$42, 0.5599, 0.5599)*CHOOSE(CONTROL!$C$42, 30, 30))/1000000</f>
        <v>11.673914999999997</v>
      </c>
      <c r="V280" s="57">
        <f>(1000*CHOOSE(CONTROL!$C$42, 500, 500)*CHOOSE(CONTROL!$C$42, 0.275, 0.275)*CHOOSE(CONTROL!$C$42, 30, 30))/1000000</f>
        <v>4.125</v>
      </c>
      <c r="W280" s="57">
        <f>(1000*CHOOSE(CONTROL!$C$42, 0.1146, 0.1146)*CHOOSE(CONTROL!$C$42, 121.5, 121.5)*CHOOSE(CONTROL!$C$42, 30, 30))/1000000</f>
        <v>0.417717</v>
      </c>
      <c r="X280" s="57">
        <f>(30*0.1790888*245000/1000000)+(30*0.2374*100000/1000000)</f>
        <v>2.0285026799999999</v>
      </c>
      <c r="Y280" s="57"/>
      <c r="Z280" s="14"/>
      <c r="AA280" s="56"/>
      <c r="AB280" s="50">
        <f>(B280*141.293+C280*267.993+D280*115.016+E280*89.698+F280*40+G280*185+H280*0+I280*100+J280*300)/(141.293+267.993+115.016+89.698+0+40+185+100+300)</f>
        <v>13.173479245601293</v>
      </c>
      <c r="AC280" s="45">
        <f>(M280*'RAP TEMPLATE-GAS AVAILABILITY'!O279+N280*'RAP TEMPLATE-GAS AVAILABILITY'!P279+O280*'RAP TEMPLATE-GAS AVAILABILITY'!Q279+P280*'RAP TEMPLATE-GAS AVAILABILITY'!R279)/('RAP TEMPLATE-GAS AVAILABILITY'!O279+'RAP TEMPLATE-GAS AVAILABILITY'!P279+'RAP TEMPLATE-GAS AVAILABILITY'!Q279+'RAP TEMPLATE-GAS AVAILABILITY'!R279)</f>
        <v>12.937035971223022</v>
      </c>
    </row>
    <row r="281" spans="1:29" ht="15.75" x14ac:dyDescent="0.25">
      <c r="A281" s="13">
        <v>49430</v>
      </c>
      <c r="B281" s="14">
        <f>CHOOSE(CONTROL!$C$42, 13.2557, 13.2557) * CHOOSE(CONTROL!$C$21, $C$9, 100%, $E$9)</f>
        <v>13.255699999999999</v>
      </c>
      <c r="C281" s="14">
        <f>CHOOSE(CONTROL!$C$42, 13.2638, 13.2638) * CHOOSE(CONTROL!$C$21, $C$9, 100%, $E$9)</f>
        <v>13.2638</v>
      </c>
      <c r="D281" s="14">
        <f>CHOOSE(CONTROL!$C$42, 13.4677, 13.4677) * CHOOSE(CONTROL!$C$21, $C$9, 100%, $E$9)</f>
        <v>13.467700000000001</v>
      </c>
      <c r="E281" s="14">
        <f>CHOOSE(CONTROL!$C$42, 13.4992, 13.4992) * CHOOSE(CONTROL!$C$21, $C$9, 100%, $E$9)</f>
        <v>13.4992</v>
      </c>
      <c r="F281" s="14">
        <f>CHOOSE(CONTROL!$C$42, 13.2365, 13.2365)*CHOOSE(CONTROL!$C$21, $C$9, 100%, $E$9)</f>
        <v>13.236499999999999</v>
      </c>
      <c r="G281" s="14">
        <f>CHOOSE(CONTROL!$C$42, 13.2521, 13.2521)*CHOOSE(CONTROL!$C$21, $C$9, 100%, $E$9)</f>
        <v>13.2521</v>
      </c>
      <c r="H281" s="14">
        <f>CHOOSE(CONTROL!$C$42, 13.4878, 13.4878) * CHOOSE(CONTROL!$C$21, $C$9, 100%, $E$9)</f>
        <v>13.4878</v>
      </c>
      <c r="I281" s="14">
        <f>CHOOSE(CONTROL!$C$42, 13.3027, 13.3027)* CHOOSE(CONTROL!$C$21, $C$9, 100%, $E$9)</f>
        <v>13.3027</v>
      </c>
      <c r="J281" s="14">
        <f>CHOOSE(CONTROL!$C$42, 13.2295, 13.2295)* CHOOSE(CONTROL!$C$21, $C$9, 100%, $E$9)</f>
        <v>13.2295</v>
      </c>
      <c r="K281" s="53">
        <f>CHOOSE(CONTROL!$C$42, 13.2988, 13.2988) * CHOOSE(CONTROL!$C$21, $C$9, 100%, $E$9)</f>
        <v>13.2988</v>
      </c>
      <c r="L281" s="14">
        <f>CHOOSE(CONTROL!$C$42, 14.0748, 14.0748) * CHOOSE(CONTROL!$C$21, $C$9, 100%, $E$9)</f>
        <v>14.0748</v>
      </c>
      <c r="M281" s="14">
        <f>CHOOSE(CONTROL!$C$42, 12.9661, 12.9661) * CHOOSE(CONTROL!$C$21, $C$9, 100%, $E$9)</f>
        <v>12.966100000000001</v>
      </c>
      <c r="N281" s="14">
        <f>CHOOSE(CONTROL!$C$42, 12.9814, 12.9814) * CHOOSE(CONTROL!$C$21, $C$9, 100%, $E$9)</f>
        <v>12.981400000000001</v>
      </c>
      <c r="O281" s="14">
        <f>CHOOSE(CONTROL!$C$42, 13.2191, 13.2191) * CHOOSE(CONTROL!$C$21, $C$9, 100%, $E$9)</f>
        <v>13.219099999999999</v>
      </c>
      <c r="P281" s="14">
        <f>CHOOSE(CONTROL!$C$42, 13.0371, 13.0371) * CHOOSE(CONTROL!$C$21, $C$9, 100%, $E$9)</f>
        <v>13.037100000000001</v>
      </c>
      <c r="Q281" s="14">
        <f>CHOOSE(CONTROL!$C$42, 13.8138, 13.8138) * CHOOSE(CONTROL!$C$21, $C$9, 100%, $E$9)</f>
        <v>13.813800000000001</v>
      </c>
      <c r="R281" s="14">
        <f>CHOOSE(CONTROL!$C$42, 14.4354, 14.4354) * CHOOSE(CONTROL!$C$21, $C$9, 100%, $E$9)</f>
        <v>14.4354</v>
      </c>
      <c r="S281" s="14">
        <f>CHOOSE(CONTROL!$C$42, 12.7268, 12.7268) * CHOOSE(CONTROL!$C$21, $C$9, 100%, $E$9)</f>
        <v>12.726800000000001</v>
      </c>
      <c r="T28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81" s="57">
        <f>(1000*CHOOSE(CONTROL!$C$42, 695, 695)*CHOOSE(CONTROL!$C$42, 0.5599, 0.5599)*CHOOSE(CONTROL!$C$42, 31, 31))/1000000</f>
        <v>12.063045499999998</v>
      </c>
      <c r="V281" s="57">
        <f>(1000*CHOOSE(CONTROL!$C$42, 500, 500)*CHOOSE(CONTROL!$C$42, 0.275, 0.275)*CHOOSE(CONTROL!$C$42, 31, 31))/1000000</f>
        <v>4.2625000000000002</v>
      </c>
      <c r="W281" s="57">
        <f>(1000*CHOOSE(CONTROL!$C$42, 0.1146, 0.1146)*CHOOSE(CONTROL!$C$42, 121.5, 121.5)*CHOOSE(CONTROL!$C$42, 31, 31))/1000000</f>
        <v>0.43164089999999994</v>
      </c>
      <c r="X281" s="57">
        <f>(31*0.1790888*245000/1000000)+(31*0.2374*100000/1000000)</f>
        <v>2.0961194359999999</v>
      </c>
      <c r="Y281" s="57"/>
      <c r="Z281" s="14"/>
      <c r="AA281" s="56"/>
      <c r="AB281" s="50">
        <f>(B281*194.205+C281*267.466+D281*133.845+E281*53.484+F281*40+G281*185+H281*0+I281*100+J281*300)/(194.205+267.466+133.845+53.484+0+40+185+100+300)</f>
        <v>13.286289457299842</v>
      </c>
      <c r="AC281" s="45">
        <f>(M281*'RAP TEMPLATE-GAS AVAILABILITY'!O280+N281*'RAP TEMPLATE-GAS AVAILABILITY'!P280+O281*'RAP TEMPLATE-GAS AVAILABILITY'!Q280+P281*'RAP TEMPLATE-GAS AVAILABILITY'!R280)/('RAP TEMPLATE-GAS AVAILABILITY'!O280+'RAP TEMPLATE-GAS AVAILABILITY'!P280+'RAP TEMPLATE-GAS AVAILABILITY'!Q280+'RAP TEMPLATE-GAS AVAILABILITY'!R280)</f>
        <v>13.050823741007196</v>
      </c>
    </row>
    <row r="282" spans="1:29" ht="15.75" x14ac:dyDescent="0.25">
      <c r="A282" s="34">
        <v>49461</v>
      </c>
      <c r="B282" s="14">
        <f>CHOOSE(CONTROL!$C$42, 13.6314, 13.6314) * CHOOSE(CONTROL!$C$21, $C$9, 100%, $E$9)</f>
        <v>13.631399999999999</v>
      </c>
      <c r="C282" s="14">
        <f>CHOOSE(CONTROL!$C$42, 13.6394, 13.6394) * CHOOSE(CONTROL!$C$21, $C$9, 100%, $E$9)</f>
        <v>13.6394</v>
      </c>
      <c r="D282" s="14">
        <f>CHOOSE(CONTROL!$C$42, 13.8434, 13.8434) * CHOOSE(CONTROL!$C$21, $C$9, 100%, $E$9)</f>
        <v>13.843400000000001</v>
      </c>
      <c r="E282" s="14">
        <f>CHOOSE(CONTROL!$C$42, 13.8748, 13.8748) * CHOOSE(CONTROL!$C$21, $C$9, 100%, $E$9)</f>
        <v>13.8748</v>
      </c>
      <c r="F282" s="14">
        <f>CHOOSE(CONTROL!$C$42, 13.6126, 13.6126)*CHOOSE(CONTROL!$C$21, $C$9, 100%, $E$9)</f>
        <v>13.6126</v>
      </c>
      <c r="G282" s="14">
        <f>CHOOSE(CONTROL!$C$42, 13.6283, 13.6283)*CHOOSE(CONTROL!$C$21, $C$9, 100%, $E$9)</f>
        <v>13.628299999999999</v>
      </c>
      <c r="H282" s="14">
        <f>CHOOSE(CONTROL!$C$42, 13.8635, 13.8635) * CHOOSE(CONTROL!$C$21, $C$9, 100%, $E$9)</f>
        <v>13.8635</v>
      </c>
      <c r="I282" s="14">
        <f>CHOOSE(CONTROL!$C$42, 13.6795, 13.6795)* CHOOSE(CONTROL!$C$21, $C$9, 100%, $E$9)</f>
        <v>13.679500000000001</v>
      </c>
      <c r="J282" s="14">
        <f>CHOOSE(CONTROL!$C$42, 13.6056, 13.6056)* CHOOSE(CONTROL!$C$21, $C$9, 100%, $E$9)</f>
        <v>13.605600000000001</v>
      </c>
      <c r="K282" s="53">
        <f>CHOOSE(CONTROL!$C$42, 13.6756, 13.6756) * CHOOSE(CONTROL!$C$21, $C$9, 100%, $E$9)</f>
        <v>13.675599999999999</v>
      </c>
      <c r="L282" s="14">
        <f>CHOOSE(CONTROL!$C$42, 14.4505, 14.4505) * CHOOSE(CONTROL!$C$21, $C$9, 100%, $E$9)</f>
        <v>14.4505</v>
      </c>
      <c r="M282" s="14">
        <f>CHOOSE(CONTROL!$C$42, 13.3345, 13.3345) * CHOOSE(CONTROL!$C$21, $C$9, 100%, $E$9)</f>
        <v>13.3345</v>
      </c>
      <c r="N282" s="14">
        <f>CHOOSE(CONTROL!$C$42, 13.3499, 13.3499) * CHOOSE(CONTROL!$C$21, $C$9, 100%, $E$9)</f>
        <v>13.3499</v>
      </c>
      <c r="O282" s="14">
        <f>CHOOSE(CONTROL!$C$42, 13.5871, 13.5871) * CHOOSE(CONTROL!$C$21, $C$9, 100%, $E$9)</f>
        <v>13.5871</v>
      </c>
      <c r="P282" s="14">
        <f>CHOOSE(CONTROL!$C$42, 13.4062, 13.4062) * CHOOSE(CONTROL!$C$21, $C$9, 100%, $E$9)</f>
        <v>13.4062</v>
      </c>
      <c r="Q282" s="14">
        <f>CHOOSE(CONTROL!$C$42, 14.1818, 14.1818) * CHOOSE(CONTROL!$C$21, $C$9, 100%, $E$9)</f>
        <v>14.181800000000001</v>
      </c>
      <c r="R282" s="14">
        <f>CHOOSE(CONTROL!$C$42, 14.8042, 14.8042) * CHOOSE(CONTROL!$C$21, $C$9, 100%, $E$9)</f>
        <v>14.8042</v>
      </c>
      <c r="S282" s="14">
        <f>CHOOSE(CONTROL!$C$42, 13.0878, 13.0878) * CHOOSE(CONTROL!$C$21, $C$9, 100%, $E$9)</f>
        <v>13.0878</v>
      </c>
      <c r="T28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82" s="57">
        <f>(1000*CHOOSE(CONTROL!$C$42, 695, 695)*CHOOSE(CONTROL!$C$42, 0.5599, 0.5599)*CHOOSE(CONTROL!$C$42, 30, 30))/1000000</f>
        <v>11.673914999999997</v>
      </c>
      <c r="V282" s="57">
        <f>(1000*CHOOSE(CONTROL!$C$42, 500, 500)*CHOOSE(CONTROL!$C$42, 0.275, 0.275)*CHOOSE(CONTROL!$C$42, 30, 30))/1000000</f>
        <v>4.125</v>
      </c>
      <c r="W282" s="57">
        <f>(1000*CHOOSE(CONTROL!$C$42, 0.1146, 0.1146)*CHOOSE(CONTROL!$C$42, 121.5, 121.5)*CHOOSE(CONTROL!$C$42, 30, 30))/1000000</f>
        <v>0.417717</v>
      </c>
      <c r="X282" s="57">
        <f>(30*0.1790888*245000/1000000)+(30*0.2374*100000/1000000)</f>
        <v>2.0285026799999999</v>
      </c>
      <c r="Y282" s="57"/>
      <c r="Z282" s="14"/>
      <c r="AA282" s="56"/>
      <c r="AB282" s="50">
        <f>(B282*194.205+C282*267.466+D282*133.845+E282*53.484+F282*40+G282*185+H282*0+I282*100+J282*300)/(194.205+267.466+133.845+53.484+0+40+185+100+300)</f>
        <v>13.66222996357928</v>
      </c>
      <c r="AC282" s="45">
        <f>(M282*'RAP TEMPLATE-GAS AVAILABILITY'!O281+N282*'RAP TEMPLATE-GAS AVAILABILITY'!P281+O282*'RAP TEMPLATE-GAS AVAILABILITY'!Q281+P282*'RAP TEMPLATE-GAS AVAILABILITY'!R281)/('RAP TEMPLATE-GAS AVAILABILITY'!O281+'RAP TEMPLATE-GAS AVAILABILITY'!P281+'RAP TEMPLATE-GAS AVAILABILITY'!Q281+'RAP TEMPLATE-GAS AVAILABILITY'!R281)</f>
        <v>13.419235251798561</v>
      </c>
    </row>
    <row r="283" spans="1:29" ht="15.75" x14ac:dyDescent="0.25">
      <c r="A283" s="34">
        <v>49491</v>
      </c>
      <c r="B283" s="14">
        <f>CHOOSE(CONTROL!$C$42, 13.3701, 13.3701) * CHOOSE(CONTROL!$C$21, $C$9, 100%, $E$9)</f>
        <v>13.370100000000001</v>
      </c>
      <c r="C283" s="14">
        <f>CHOOSE(CONTROL!$C$42, 13.3781, 13.3781) * CHOOSE(CONTROL!$C$21, $C$9, 100%, $E$9)</f>
        <v>13.3781</v>
      </c>
      <c r="D283" s="14">
        <f>CHOOSE(CONTROL!$C$42, 13.5821, 13.5821) * CHOOSE(CONTROL!$C$21, $C$9, 100%, $E$9)</f>
        <v>13.582100000000001</v>
      </c>
      <c r="E283" s="14">
        <f>CHOOSE(CONTROL!$C$42, 13.6135, 13.6135) * CHOOSE(CONTROL!$C$21, $C$9, 100%, $E$9)</f>
        <v>13.6135</v>
      </c>
      <c r="F283" s="14">
        <f>CHOOSE(CONTROL!$C$42, 13.3517, 13.3517)*CHOOSE(CONTROL!$C$21, $C$9, 100%, $E$9)</f>
        <v>13.351699999999999</v>
      </c>
      <c r="G283" s="14">
        <f>CHOOSE(CONTROL!$C$42, 13.3676, 13.3676)*CHOOSE(CONTROL!$C$21, $C$9, 100%, $E$9)</f>
        <v>13.367599999999999</v>
      </c>
      <c r="H283" s="14">
        <f>CHOOSE(CONTROL!$C$42, 13.6022, 13.6022) * CHOOSE(CONTROL!$C$21, $C$9, 100%, $E$9)</f>
        <v>13.6022</v>
      </c>
      <c r="I283" s="14">
        <f>CHOOSE(CONTROL!$C$42, 13.4174, 13.4174)* CHOOSE(CONTROL!$C$21, $C$9, 100%, $E$9)</f>
        <v>13.417400000000001</v>
      </c>
      <c r="J283" s="14">
        <f>CHOOSE(CONTROL!$C$42, 13.3447, 13.3447)* CHOOSE(CONTROL!$C$21, $C$9, 100%, $E$9)</f>
        <v>13.3447</v>
      </c>
      <c r="K283" s="53">
        <f>CHOOSE(CONTROL!$C$42, 13.4135, 13.4135) * CHOOSE(CONTROL!$C$21, $C$9, 100%, $E$9)</f>
        <v>13.413500000000001</v>
      </c>
      <c r="L283" s="14">
        <f>CHOOSE(CONTROL!$C$42, 14.1892, 14.1892) * CHOOSE(CONTROL!$C$21, $C$9, 100%, $E$9)</f>
        <v>14.1892</v>
      </c>
      <c r="M283" s="14">
        <f>CHOOSE(CONTROL!$C$42, 13.079, 13.079) * CHOOSE(CONTROL!$C$21, $C$9, 100%, $E$9)</f>
        <v>13.079000000000001</v>
      </c>
      <c r="N283" s="14">
        <f>CHOOSE(CONTROL!$C$42, 13.0946, 13.0946) * CHOOSE(CONTROL!$C$21, $C$9, 100%, $E$9)</f>
        <v>13.0946</v>
      </c>
      <c r="O283" s="14">
        <f>CHOOSE(CONTROL!$C$42, 13.3312, 13.3312) * CHOOSE(CONTROL!$C$21, $C$9, 100%, $E$9)</f>
        <v>13.331200000000001</v>
      </c>
      <c r="P283" s="14">
        <f>CHOOSE(CONTROL!$C$42, 13.1494, 13.1494) * CHOOSE(CONTROL!$C$21, $C$9, 100%, $E$9)</f>
        <v>13.1494</v>
      </c>
      <c r="Q283" s="14">
        <f>CHOOSE(CONTROL!$C$42, 13.9259, 13.9259) * CHOOSE(CONTROL!$C$21, $C$9, 100%, $E$9)</f>
        <v>13.9259</v>
      </c>
      <c r="R283" s="14">
        <f>CHOOSE(CONTROL!$C$42, 14.5477, 14.5477) * CHOOSE(CONTROL!$C$21, $C$9, 100%, $E$9)</f>
        <v>14.547700000000001</v>
      </c>
      <c r="S283" s="14">
        <f>CHOOSE(CONTROL!$C$42, 12.8367, 12.8367) * CHOOSE(CONTROL!$C$21, $C$9, 100%, $E$9)</f>
        <v>12.8367</v>
      </c>
      <c r="T28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83" s="57">
        <f>(1000*CHOOSE(CONTROL!$C$42, 695, 695)*CHOOSE(CONTROL!$C$42, 0.5599, 0.5599)*CHOOSE(CONTROL!$C$42, 31, 31))/1000000</f>
        <v>12.063045499999998</v>
      </c>
      <c r="V283" s="57">
        <f>(1000*CHOOSE(CONTROL!$C$42, 500, 500)*CHOOSE(CONTROL!$C$42, 0.275, 0.275)*CHOOSE(CONTROL!$C$42, 31, 31))/1000000</f>
        <v>4.2625000000000002</v>
      </c>
      <c r="W283" s="57">
        <f>(1000*CHOOSE(CONTROL!$C$42, 0.1146, 0.1146)*CHOOSE(CONTROL!$C$42, 121.5, 121.5)*CHOOSE(CONTROL!$C$42, 31, 31))/1000000</f>
        <v>0.43164089999999994</v>
      </c>
      <c r="X283" s="57">
        <f>(31*0.1790888*245000/1000000)+(31*0.2374*100000/1000000)</f>
        <v>2.0961194359999999</v>
      </c>
      <c r="Y283" s="57"/>
      <c r="Z283" s="14"/>
      <c r="AA283" s="56"/>
      <c r="AB283" s="50">
        <f>(B283*194.205+C283*267.466+D283*133.845+E283*53.484+F283*40+G283*185+H283*0+I283*100+J283*300)/(194.205+267.466+133.845+53.484+0+40+185+100+300)</f>
        <v>13.401061046781788</v>
      </c>
      <c r="AC283" s="45">
        <f>(M283*'RAP TEMPLATE-GAS AVAILABILITY'!O282+N283*'RAP TEMPLATE-GAS AVAILABILITY'!P282+O283*'RAP TEMPLATE-GAS AVAILABILITY'!Q282+P283*'RAP TEMPLATE-GAS AVAILABILITY'!R282)/('RAP TEMPLATE-GAS AVAILABILITY'!O282+'RAP TEMPLATE-GAS AVAILABILITY'!P282+'RAP TEMPLATE-GAS AVAILABILITY'!Q282+'RAP TEMPLATE-GAS AVAILABILITY'!R282)</f>
        <v>13.163482014388491</v>
      </c>
    </row>
    <row r="284" spans="1:29" ht="15.75" x14ac:dyDescent="0.25">
      <c r="A284" s="34">
        <v>49522</v>
      </c>
      <c r="B284" s="14">
        <f>CHOOSE(CONTROL!$C$42, 12.7103, 12.7103) * CHOOSE(CONTROL!$C$21, $C$9, 100%, $E$9)</f>
        <v>12.7103</v>
      </c>
      <c r="C284" s="14">
        <f>CHOOSE(CONTROL!$C$42, 12.7183, 12.7183) * CHOOSE(CONTROL!$C$21, $C$9, 100%, $E$9)</f>
        <v>12.718299999999999</v>
      </c>
      <c r="D284" s="14">
        <f>CHOOSE(CONTROL!$C$42, 12.9223, 12.9223) * CHOOSE(CONTROL!$C$21, $C$9, 100%, $E$9)</f>
        <v>12.9223</v>
      </c>
      <c r="E284" s="14">
        <f>CHOOSE(CONTROL!$C$42, 12.9537, 12.9537) * CHOOSE(CONTROL!$C$21, $C$9, 100%, $E$9)</f>
        <v>12.9537</v>
      </c>
      <c r="F284" s="14">
        <f>CHOOSE(CONTROL!$C$42, 12.6922, 12.6922)*CHOOSE(CONTROL!$C$21, $C$9, 100%, $E$9)</f>
        <v>12.6922</v>
      </c>
      <c r="G284" s="14">
        <f>CHOOSE(CONTROL!$C$42, 12.7081, 12.7081)*CHOOSE(CONTROL!$C$21, $C$9, 100%, $E$9)</f>
        <v>12.7081</v>
      </c>
      <c r="H284" s="14">
        <f>CHOOSE(CONTROL!$C$42, 12.9424, 12.9424) * CHOOSE(CONTROL!$C$21, $C$9, 100%, $E$9)</f>
        <v>12.942399999999999</v>
      </c>
      <c r="I284" s="14">
        <f>CHOOSE(CONTROL!$C$42, 12.7555, 12.7555)* CHOOSE(CONTROL!$C$21, $C$9, 100%, $E$9)</f>
        <v>12.7555</v>
      </c>
      <c r="J284" s="14">
        <f>CHOOSE(CONTROL!$C$42, 12.6852, 12.6852)* CHOOSE(CONTROL!$C$21, $C$9, 100%, $E$9)</f>
        <v>12.6852</v>
      </c>
      <c r="K284" s="53">
        <f>CHOOSE(CONTROL!$C$42, 12.7517, 12.7517) * CHOOSE(CONTROL!$C$21, $C$9, 100%, $E$9)</f>
        <v>12.7517</v>
      </c>
      <c r="L284" s="14">
        <f>CHOOSE(CONTROL!$C$42, 13.5294, 13.5294) * CHOOSE(CONTROL!$C$21, $C$9, 100%, $E$9)</f>
        <v>13.529400000000001</v>
      </c>
      <c r="M284" s="14">
        <f>CHOOSE(CONTROL!$C$42, 12.4329, 12.4329) * CHOOSE(CONTROL!$C$21, $C$9, 100%, $E$9)</f>
        <v>12.4329</v>
      </c>
      <c r="N284" s="14">
        <f>CHOOSE(CONTROL!$C$42, 12.4486, 12.4486) * CHOOSE(CONTROL!$C$21, $C$9, 100%, $E$9)</f>
        <v>12.448600000000001</v>
      </c>
      <c r="O284" s="14">
        <f>CHOOSE(CONTROL!$C$42, 12.6849, 12.6849) * CHOOSE(CONTROL!$C$21, $C$9, 100%, $E$9)</f>
        <v>12.684900000000001</v>
      </c>
      <c r="P284" s="14">
        <f>CHOOSE(CONTROL!$C$42, 12.5012, 12.5012) * CHOOSE(CONTROL!$C$21, $C$9, 100%, $E$9)</f>
        <v>12.501200000000001</v>
      </c>
      <c r="Q284" s="14">
        <f>CHOOSE(CONTROL!$C$42, 13.2796, 13.2796) * CHOOSE(CONTROL!$C$21, $C$9, 100%, $E$9)</f>
        <v>13.2796</v>
      </c>
      <c r="R284" s="14">
        <f>CHOOSE(CONTROL!$C$42, 13.8998, 13.8998) * CHOOSE(CONTROL!$C$21, $C$9, 100%, $E$9)</f>
        <v>13.899800000000001</v>
      </c>
      <c r="S284" s="14">
        <f>CHOOSE(CONTROL!$C$42, 12.2027, 12.2027) * CHOOSE(CONTROL!$C$21, $C$9, 100%, $E$9)</f>
        <v>12.2027</v>
      </c>
      <c r="T28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84" s="57">
        <f>(1000*CHOOSE(CONTROL!$C$42, 695, 695)*CHOOSE(CONTROL!$C$42, 0.5599, 0.5599)*CHOOSE(CONTROL!$C$42, 31, 31))/1000000</f>
        <v>12.063045499999998</v>
      </c>
      <c r="V284" s="57">
        <f>(1000*CHOOSE(CONTROL!$C$42, 500, 500)*CHOOSE(CONTROL!$C$42, 0.275, 0.275)*CHOOSE(CONTROL!$C$42, 31, 31))/1000000</f>
        <v>4.2625000000000002</v>
      </c>
      <c r="W284" s="57">
        <f>(1000*CHOOSE(CONTROL!$C$42, 0.1146, 0.1146)*CHOOSE(CONTROL!$C$42, 121.5, 121.5)*CHOOSE(CONTROL!$C$42, 31, 31))/1000000</f>
        <v>0.43164089999999994</v>
      </c>
      <c r="X284" s="57">
        <f>(31*0.1790888*245000/1000000)+(31*0.2374*100000/1000000)</f>
        <v>2.0961194359999999</v>
      </c>
      <c r="Y284" s="57"/>
      <c r="Z284" s="14"/>
      <c r="AA284" s="56"/>
      <c r="AB284" s="50">
        <f>(B284*194.205+C284*267.466+D284*133.845+E284*53.484+F284*40+G284*185+H284*0+I284*100+J284*300)/(194.205+267.466+133.845+53.484+0+40+185+100+300)</f>
        <v>12.741219837990579</v>
      </c>
      <c r="AC284" s="45">
        <f>(M284*'RAP TEMPLATE-GAS AVAILABILITY'!O283+N284*'RAP TEMPLATE-GAS AVAILABILITY'!P283+O284*'RAP TEMPLATE-GAS AVAILABILITY'!Q283+P284*'RAP TEMPLATE-GAS AVAILABILITY'!R283)/('RAP TEMPLATE-GAS AVAILABILITY'!O283+'RAP TEMPLATE-GAS AVAILABILITY'!P283+'RAP TEMPLATE-GAS AVAILABILITY'!Q283+'RAP TEMPLATE-GAS AVAILABILITY'!R283)</f>
        <v>12.517046762589931</v>
      </c>
    </row>
    <row r="285" spans="1:29" ht="15.75" x14ac:dyDescent="0.25">
      <c r="A285" s="34">
        <v>49553</v>
      </c>
      <c r="B285" s="14">
        <f>CHOOSE(CONTROL!$C$42, 11.9037, 11.9037) * CHOOSE(CONTROL!$C$21, $C$9, 100%, $E$9)</f>
        <v>11.903700000000001</v>
      </c>
      <c r="C285" s="14">
        <f>CHOOSE(CONTROL!$C$42, 11.9118, 11.9118) * CHOOSE(CONTROL!$C$21, $C$9, 100%, $E$9)</f>
        <v>11.911799999999999</v>
      </c>
      <c r="D285" s="14">
        <f>CHOOSE(CONTROL!$C$42, 12.1157, 12.1157) * CHOOSE(CONTROL!$C$21, $C$9, 100%, $E$9)</f>
        <v>12.1157</v>
      </c>
      <c r="E285" s="14">
        <f>CHOOSE(CONTROL!$C$42, 12.1472, 12.1472) * CHOOSE(CONTROL!$C$21, $C$9, 100%, $E$9)</f>
        <v>12.1472</v>
      </c>
      <c r="F285" s="14">
        <f>CHOOSE(CONTROL!$C$42, 11.8856, 11.8856)*CHOOSE(CONTROL!$C$21, $C$9, 100%, $E$9)</f>
        <v>11.8856</v>
      </c>
      <c r="G285" s="14">
        <f>CHOOSE(CONTROL!$C$42, 11.9016, 11.9016)*CHOOSE(CONTROL!$C$21, $C$9, 100%, $E$9)</f>
        <v>11.9016</v>
      </c>
      <c r="H285" s="14">
        <f>CHOOSE(CONTROL!$C$42, 12.1358, 12.1358) * CHOOSE(CONTROL!$C$21, $C$9, 100%, $E$9)</f>
        <v>12.1358</v>
      </c>
      <c r="I285" s="14">
        <f>CHOOSE(CONTROL!$C$42, 11.9465, 11.9465)* CHOOSE(CONTROL!$C$21, $C$9, 100%, $E$9)</f>
        <v>11.9465</v>
      </c>
      <c r="J285" s="14">
        <f>CHOOSE(CONTROL!$C$42, 11.8786, 11.8786)* CHOOSE(CONTROL!$C$21, $C$9, 100%, $E$9)</f>
        <v>11.8786</v>
      </c>
      <c r="K285" s="53">
        <f>CHOOSE(CONTROL!$C$42, 11.9426, 11.9426) * CHOOSE(CONTROL!$C$21, $C$9, 100%, $E$9)</f>
        <v>11.942600000000001</v>
      </c>
      <c r="L285" s="14">
        <f>CHOOSE(CONTROL!$C$42, 12.7228, 12.7228) * CHOOSE(CONTROL!$C$21, $C$9, 100%, $E$9)</f>
        <v>12.722799999999999</v>
      </c>
      <c r="M285" s="14">
        <f>CHOOSE(CONTROL!$C$42, 11.6429, 11.6429) * CHOOSE(CONTROL!$C$21, $C$9, 100%, $E$9)</f>
        <v>11.642899999999999</v>
      </c>
      <c r="N285" s="14">
        <f>CHOOSE(CONTROL!$C$42, 11.6586, 11.6586) * CHOOSE(CONTROL!$C$21, $C$9, 100%, $E$9)</f>
        <v>11.6586</v>
      </c>
      <c r="O285" s="14">
        <f>CHOOSE(CONTROL!$C$42, 11.8948, 11.8948) * CHOOSE(CONTROL!$C$21, $C$9, 100%, $E$9)</f>
        <v>11.8948</v>
      </c>
      <c r="P285" s="14">
        <f>CHOOSE(CONTROL!$C$42, 11.7087, 11.7087) * CHOOSE(CONTROL!$C$21, $C$9, 100%, $E$9)</f>
        <v>11.7087</v>
      </c>
      <c r="Q285" s="14">
        <f>CHOOSE(CONTROL!$C$42, 12.4895, 12.4895) * CHOOSE(CONTROL!$C$21, $C$9, 100%, $E$9)</f>
        <v>12.4895</v>
      </c>
      <c r="R285" s="14">
        <f>CHOOSE(CONTROL!$C$42, 13.1078, 13.1078) * CHOOSE(CONTROL!$C$21, $C$9, 100%, $E$9)</f>
        <v>13.107799999999999</v>
      </c>
      <c r="S285" s="14">
        <f>CHOOSE(CONTROL!$C$42, 11.4277, 11.4277) * CHOOSE(CONTROL!$C$21, $C$9, 100%, $E$9)</f>
        <v>11.4277</v>
      </c>
      <c r="T28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85" s="57">
        <f>(1000*CHOOSE(CONTROL!$C$42, 695, 695)*CHOOSE(CONTROL!$C$42, 0.5599, 0.5599)*CHOOSE(CONTROL!$C$42, 30, 30))/1000000</f>
        <v>11.673914999999997</v>
      </c>
      <c r="V285" s="57">
        <f>(1000*CHOOSE(CONTROL!$C$42, 500, 500)*CHOOSE(CONTROL!$C$42, 0.275, 0.275)*CHOOSE(CONTROL!$C$42, 30, 30))/1000000</f>
        <v>4.125</v>
      </c>
      <c r="W285" s="57">
        <f>(1000*CHOOSE(CONTROL!$C$42, 0.1146, 0.1146)*CHOOSE(CONTROL!$C$42, 121.5, 121.5)*CHOOSE(CONTROL!$C$42, 30, 30))/1000000</f>
        <v>0.417717</v>
      </c>
      <c r="X285" s="57">
        <f>(30*0.1790888*245000/1000000)+(30*0.2374*100000/1000000)</f>
        <v>2.0285026799999999</v>
      </c>
      <c r="Y285" s="57"/>
      <c r="Z285" s="14"/>
      <c r="AA285" s="56"/>
      <c r="AB285" s="50">
        <f>(B285*194.205+C285*267.466+D285*133.845+E285*53.484+F285*40+G285*185+H285*0+I285*100+J285*300)/(194.205+267.466+133.845+53.484+0+40+185+100+300)</f>
        <v>11.934471168445841</v>
      </c>
      <c r="AC285" s="45">
        <f>(M285*'RAP TEMPLATE-GAS AVAILABILITY'!O284+N285*'RAP TEMPLATE-GAS AVAILABILITY'!P284+O285*'RAP TEMPLATE-GAS AVAILABILITY'!Q284+P285*'RAP TEMPLATE-GAS AVAILABILITY'!R284)/('RAP TEMPLATE-GAS AVAILABILITY'!O284+'RAP TEMPLATE-GAS AVAILABILITY'!P284+'RAP TEMPLATE-GAS AVAILABILITY'!Q284+'RAP TEMPLATE-GAS AVAILABILITY'!R284)</f>
        <v>11.726658992805755</v>
      </c>
    </row>
    <row r="286" spans="1:29" ht="15.75" x14ac:dyDescent="0.25">
      <c r="A286" s="34">
        <v>49583</v>
      </c>
      <c r="B286" s="14">
        <f>CHOOSE(CONTROL!$C$42, 11.6605, 11.6605) * CHOOSE(CONTROL!$C$21, $C$9, 100%, $E$9)</f>
        <v>11.660500000000001</v>
      </c>
      <c r="C286" s="14">
        <f>CHOOSE(CONTROL!$C$42, 11.6658, 11.6658) * CHOOSE(CONTROL!$C$21, $C$9, 100%, $E$9)</f>
        <v>11.665800000000001</v>
      </c>
      <c r="D286" s="14">
        <f>CHOOSE(CONTROL!$C$42, 11.8747, 11.8747) * CHOOSE(CONTROL!$C$21, $C$9, 100%, $E$9)</f>
        <v>11.874700000000001</v>
      </c>
      <c r="E286" s="14">
        <f>CHOOSE(CONTROL!$C$42, 11.9039, 11.9039) * CHOOSE(CONTROL!$C$21, $C$9, 100%, $E$9)</f>
        <v>11.9039</v>
      </c>
      <c r="F286" s="14">
        <f>CHOOSE(CONTROL!$C$42, 11.6445, 11.6445)*CHOOSE(CONTROL!$C$21, $C$9, 100%, $E$9)</f>
        <v>11.644500000000001</v>
      </c>
      <c r="G286" s="14">
        <f>CHOOSE(CONTROL!$C$42, 11.6602, 11.6602)*CHOOSE(CONTROL!$C$21, $C$9, 100%, $E$9)</f>
        <v>11.6602</v>
      </c>
      <c r="H286" s="14">
        <f>CHOOSE(CONTROL!$C$42, 11.8943, 11.8943) * CHOOSE(CONTROL!$C$21, $C$9, 100%, $E$9)</f>
        <v>11.894299999999999</v>
      </c>
      <c r="I286" s="14">
        <f>CHOOSE(CONTROL!$C$42, 11.7042, 11.7042)* CHOOSE(CONTROL!$C$21, $C$9, 100%, $E$9)</f>
        <v>11.7042</v>
      </c>
      <c r="J286" s="14">
        <f>CHOOSE(CONTROL!$C$42, 11.6375, 11.6375)* CHOOSE(CONTROL!$C$21, $C$9, 100%, $E$9)</f>
        <v>11.637499999999999</v>
      </c>
      <c r="K286" s="53">
        <f>CHOOSE(CONTROL!$C$42, 11.7004, 11.7004) * CHOOSE(CONTROL!$C$21, $C$9, 100%, $E$9)</f>
        <v>11.7004</v>
      </c>
      <c r="L286" s="14">
        <f>CHOOSE(CONTROL!$C$42, 12.4813, 12.4813) * CHOOSE(CONTROL!$C$21, $C$9, 100%, $E$9)</f>
        <v>12.481299999999999</v>
      </c>
      <c r="M286" s="14">
        <f>CHOOSE(CONTROL!$C$42, 11.4068, 11.4068) * CHOOSE(CONTROL!$C$21, $C$9, 100%, $E$9)</f>
        <v>11.4068</v>
      </c>
      <c r="N286" s="14">
        <f>CHOOSE(CONTROL!$C$42, 11.4221, 11.4221) * CHOOSE(CONTROL!$C$21, $C$9, 100%, $E$9)</f>
        <v>11.4221</v>
      </c>
      <c r="O286" s="14">
        <f>CHOOSE(CONTROL!$C$42, 11.6583, 11.6583) * CHOOSE(CONTROL!$C$21, $C$9, 100%, $E$9)</f>
        <v>11.658300000000001</v>
      </c>
      <c r="P286" s="14">
        <f>CHOOSE(CONTROL!$C$42, 11.4715, 11.4715) * CHOOSE(CONTROL!$C$21, $C$9, 100%, $E$9)</f>
        <v>11.471500000000001</v>
      </c>
      <c r="Q286" s="14">
        <f>CHOOSE(CONTROL!$C$42, 12.253, 12.253) * CHOOSE(CONTROL!$C$21, $C$9, 100%, $E$9)</f>
        <v>12.253</v>
      </c>
      <c r="R286" s="14">
        <f>CHOOSE(CONTROL!$C$42, 12.8707, 12.8707) * CHOOSE(CONTROL!$C$21, $C$9, 100%, $E$9)</f>
        <v>12.870699999999999</v>
      </c>
      <c r="S286" s="14">
        <f>CHOOSE(CONTROL!$C$42, 11.1957, 11.1957) * CHOOSE(CONTROL!$C$21, $C$9, 100%, $E$9)</f>
        <v>11.1957</v>
      </c>
      <c r="T28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86" s="57">
        <f>(1000*CHOOSE(CONTROL!$C$42, 695, 695)*CHOOSE(CONTROL!$C$42, 0.5599, 0.5599)*CHOOSE(CONTROL!$C$42, 31, 31))/1000000</f>
        <v>12.063045499999998</v>
      </c>
      <c r="V286" s="57">
        <f>(1000*CHOOSE(CONTROL!$C$42, 500, 500)*CHOOSE(CONTROL!$C$42, 0.275, 0.275)*CHOOSE(CONTROL!$C$42, 31, 31))/1000000</f>
        <v>4.2625000000000002</v>
      </c>
      <c r="W286" s="57">
        <f>(1000*CHOOSE(CONTROL!$C$42, 0.1146, 0.1146)*CHOOSE(CONTROL!$C$42, 121.5, 121.5)*CHOOSE(CONTROL!$C$42, 31, 31))/1000000</f>
        <v>0.43164089999999994</v>
      </c>
      <c r="X286" s="57">
        <f>(31*0.1790888*245000/1000000)+(31*0.2374*100000/1000000)</f>
        <v>2.0961194359999999</v>
      </c>
      <c r="Y286" s="57"/>
      <c r="Z286" s="14"/>
      <c r="AA286" s="56"/>
      <c r="AB286" s="50">
        <f>(B286*131.881+C286*277.167+D286*79.08+E286*125.872+F286*40+G286*185+H286*0+I286*100+J286*300)/(131.881+277.167+79.08+125.872+0+40+185+100+300)</f>
        <v>11.697481166989506</v>
      </c>
      <c r="AC286" s="45">
        <f>(M286*'RAP TEMPLATE-GAS AVAILABILITY'!O285+N286*'RAP TEMPLATE-GAS AVAILABILITY'!P285+O286*'RAP TEMPLATE-GAS AVAILABILITY'!Q285+P286*'RAP TEMPLATE-GAS AVAILABILITY'!R285)/('RAP TEMPLATE-GAS AVAILABILITY'!O285+'RAP TEMPLATE-GAS AVAILABILITY'!P285+'RAP TEMPLATE-GAS AVAILABILITY'!Q285+'RAP TEMPLATE-GAS AVAILABILITY'!R285)</f>
        <v>11.490196402877698</v>
      </c>
    </row>
    <row r="287" spans="1:29" ht="15.75" x14ac:dyDescent="0.25">
      <c r="A287" s="34">
        <v>49614</v>
      </c>
      <c r="B287" s="14">
        <f>CHOOSE(CONTROL!$C$42, 11.967, 11.967) * CHOOSE(CONTROL!$C$21, $C$9, 100%, $E$9)</f>
        <v>11.967000000000001</v>
      </c>
      <c r="C287" s="14">
        <f>CHOOSE(CONTROL!$C$42, 11.9721, 11.9721) * CHOOSE(CONTROL!$C$21, $C$9, 100%, $E$9)</f>
        <v>11.972099999999999</v>
      </c>
      <c r="D287" s="14">
        <f>CHOOSE(CONTROL!$C$42, 12.0359, 12.0359) * CHOOSE(CONTROL!$C$21, $C$9, 100%, $E$9)</f>
        <v>12.0359</v>
      </c>
      <c r="E287" s="14">
        <f>CHOOSE(CONTROL!$C$42, 12.07, 12.07) * CHOOSE(CONTROL!$C$21, $C$9, 100%, $E$9)</f>
        <v>12.07</v>
      </c>
      <c r="F287" s="14">
        <f>CHOOSE(CONTROL!$C$42, 11.9694, 11.9694)*CHOOSE(CONTROL!$C$21, $C$9, 100%, $E$9)</f>
        <v>11.9694</v>
      </c>
      <c r="G287" s="14">
        <f>CHOOSE(CONTROL!$C$42, 11.9854, 11.9854)*CHOOSE(CONTROL!$C$21, $C$9, 100%, $E$9)</f>
        <v>11.9854</v>
      </c>
      <c r="H287" s="14">
        <f>CHOOSE(CONTROL!$C$42, 12.0592, 12.0592) * CHOOSE(CONTROL!$C$21, $C$9, 100%, $E$9)</f>
        <v>12.059200000000001</v>
      </c>
      <c r="I287" s="14">
        <f>CHOOSE(CONTROL!$C$42, 12.0174, 12.0174)* CHOOSE(CONTROL!$C$21, $C$9, 100%, $E$9)</f>
        <v>12.0174</v>
      </c>
      <c r="J287" s="14">
        <f>CHOOSE(CONTROL!$C$42, 11.9624, 11.9624)* CHOOSE(CONTROL!$C$21, $C$9, 100%, $E$9)</f>
        <v>11.962400000000001</v>
      </c>
      <c r="K287" s="53">
        <f>CHOOSE(CONTROL!$C$42, 12.0135, 12.0135) * CHOOSE(CONTROL!$C$21, $C$9, 100%, $E$9)</f>
        <v>12.013500000000001</v>
      </c>
      <c r="L287" s="14">
        <f>CHOOSE(CONTROL!$C$42, 12.6462, 12.6462) * CHOOSE(CONTROL!$C$21, $C$9, 100%, $E$9)</f>
        <v>12.6462</v>
      </c>
      <c r="M287" s="14">
        <f>CHOOSE(CONTROL!$C$42, 11.725, 11.725) * CHOOSE(CONTROL!$C$21, $C$9, 100%, $E$9)</f>
        <v>11.725</v>
      </c>
      <c r="N287" s="14">
        <f>CHOOSE(CONTROL!$C$42, 11.7407, 11.7407) * CHOOSE(CONTROL!$C$21, $C$9, 100%, $E$9)</f>
        <v>11.7407</v>
      </c>
      <c r="O287" s="14">
        <f>CHOOSE(CONTROL!$C$42, 11.8198, 11.8198) * CHOOSE(CONTROL!$C$21, $C$9, 100%, $E$9)</f>
        <v>11.819800000000001</v>
      </c>
      <c r="P287" s="14">
        <f>CHOOSE(CONTROL!$C$42, 11.7781, 11.7781) * CHOOSE(CONTROL!$C$21, $C$9, 100%, $E$9)</f>
        <v>11.7781</v>
      </c>
      <c r="Q287" s="14">
        <f>CHOOSE(CONTROL!$C$42, 12.4145, 12.4145) * CHOOSE(CONTROL!$C$21, $C$9, 100%, $E$9)</f>
        <v>12.4145</v>
      </c>
      <c r="R287" s="14">
        <f>CHOOSE(CONTROL!$C$42, 13.0326, 13.0326) * CHOOSE(CONTROL!$C$21, $C$9, 100%, $E$9)</f>
        <v>13.0326</v>
      </c>
      <c r="S287" s="14">
        <f>CHOOSE(CONTROL!$C$42, 11.4906, 11.4906) * CHOOSE(CONTROL!$C$21, $C$9, 100%, $E$9)</f>
        <v>11.490600000000001</v>
      </c>
      <c r="T28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87" s="57">
        <f>(1000*CHOOSE(CONTROL!$C$42, 695, 695)*CHOOSE(CONTROL!$C$42, 0.5599, 0.5599)*CHOOSE(CONTROL!$C$42, 30, 30))/1000000</f>
        <v>11.673914999999997</v>
      </c>
      <c r="V287" s="57">
        <f>(1000*CHOOSE(CONTROL!$C$42, 500, 500)*CHOOSE(CONTROL!$C$42, 0.275, 0.275)*CHOOSE(CONTROL!$C$42, 30, 30))/1000000</f>
        <v>4.125</v>
      </c>
      <c r="W287" s="57">
        <f>(1000*CHOOSE(CONTROL!$C$42, 0.1146, 0.1146)*CHOOSE(CONTROL!$C$42, 121.5, 121.5)*CHOOSE(CONTROL!$C$42, 30, 30))/1000000</f>
        <v>0.417717</v>
      </c>
      <c r="X287" s="57">
        <f>(30*0.1790888*100000/1000000)+(30*0.2374*100000/1000000)</f>
        <v>1.2494664</v>
      </c>
      <c r="Y287" s="57"/>
      <c r="Z287" s="14"/>
      <c r="AA287" s="56"/>
      <c r="AB287" s="50">
        <f>(B287*122.58+C287*297.941+D287*89.177+E287*40.302+F287*40+G287*160+H287*0+I287*100+J287*300)/(122.58+297.941+89.177+40.302+0+40+160+100+300)</f>
        <v>11.983099913391305</v>
      </c>
      <c r="AC287" s="45">
        <f>(M287*'RAP TEMPLATE-GAS AVAILABILITY'!O286+N287*'RAP TEMPLATE-GAS AVAILABILITY'!P286+O287*'RAP TEMPLATE-GAS AVAILABILITY'!Q286+P287*'RAP TEMPLATE-GAS AVAILABILITY'!R286)/('RAP TEMPLATE-GAS AVAILABILITY'!O286+'RAP TEMPLATE-GAS AVAILABILITY'!P286+'RAP TEMPLATE-GAS AVAILABILITY'!Q286+'RAP TEMPLATE-GAS AVAILABILITY'!R286)</f>
        <v>11.776510791366906</v>
      </c>
    </row>
    <row r="288" spans="1:29" ht="15.75" x14ac:dyDescent="0.25">
      <c r="A288" s="34">
        <v>49644</v>
      </c>
      <c r="B288" s="14">
        <f>CHOOSE(CONTROL!$C$42, 12.7823, 12.7823) * CHOOSE(CONTROL!$C$21, $C$9, 100%, $E$9)</f>
        <v>12.782299999999999</v>
      </c>
      <c r="C288" s="14">
        <f>CHOOSE(CONTROL!$C$42, 12.7873, 12.7873) * CHOOSE(CONTROL!$C$21, $C$9, 100%, $E$9)</f>
        <v>12.7873</v>
      </c>
      <c r="D288" s="14">
        <f>CHOOSE(CONTROL!$C$42, 12.8512, 12.8512) * CHOOSE(CONTROL!$C$21, $C$9, 100%, $E$9)</f>
        <v>12.8512</v>
      </c>
      <c r="E288" s="14">
        <f>CHOOSE(CONTROL!$C$42, 12.8853, 12.8853) * CHOOSE(CONTROL!$C$21, $C$9, 100%, $E$9)</f>
        <v>12.885300000000001</v>
      </c>
      <c r="F288" s="14">
        <f>CHOOSE(CONTROL!$C$42, 12.7869, 12.7869)*CHOOSE(CONTROL!$C$21, $C$9, 100%, $E$9)</f>
        <v>12.786899999999999</v>
      </c>
      <c r="G288" s="14">
        <f>CHOOSE(CONTROL!$C$42, 12.8035, 12.8035)*CHOOSE(CONTROL!$C$21, $C$9, 100%, $E$9)</f>
        <v>12.8035</v>
      </c>
      <c r="H288" s="14">
        <f>CHOOSE(CONTROL!$C$42, 12.8745, 12.8745) * CHOOSE(CONTROL!$C$21, $C$9, 100%, $E$9)</f>
        <v>12.874499999999999</v>
      </c>
      <c r="I288" s="14">
        <f>CHOOSE(CONTROL!$C$42, 12.8352, 12.8352)* CHOOSE(CONTROL!$C$21, $C$9, 100%, $E$9)</f>
        <v>12.8352</v>
      </c>
      <c r="J288" s="14">
        <f>CHOOSE(CONTROL!$C$42, 12.7799, 12.7799)* CHOOSE(CONTROL!$C$21, $C$9, 100%, $E$9)</f>
        <v>12.7799</v>
      </c>
      <c r="K288" s="53">
        <f>CHOOSE(CONTROL!$C$42, 12.8313, 12.8313) * CHOOSE(CONTROL!$C$21, $C$9, 100%, $E$9)</f>
        <v>12.831300000000001</v>
      </c>
      <c r="L288" s="14">
        <f>CHOOSE(CONTROL!$C$42, 13.4615, 13.4615) * CHOOSE(CONTROL!$C$21, $C$9, 100%, $E$9)</f>
        <v>13.461499999999999</v>
      </c>
      <c r="M288" s="14">
        <f>CHOOSE(CONTROL!$C$42, 12.5258, 12.5258) * CHOOSE(CONTROL!$C$21, $C$9, 100%, $E$9)</f>
        <v>12.5258</v>
      </c>
      <c r="N288" s="14">
        <f>CHOOSE(CONTROL!$C$42, 12.542, 12.542) * CHOOSE(CONTROL!$C$21, $C$9, 100%, $E$9)</f>
        <v>12.542</v>
      </c>
      <c r="O288" s="14">
        <f>CHOOSE(CONTROL!$C$42, 12.6184, 12.6184) * CHOOSE(CONTROL!$C$21, $C$9, 100%, $E$9)</f>
        <v>12.618399999999999</v>
      </c>
      <c r="P288" s="14">
        <f>CHOOSE(CONTROL!$C$42, 12.5791, 12.5791) * CHOOSE(CONTROL!$C$21, $C$9, 100%, $E$9)</f>
        <v>12.5791</v>
      </c>
      <c r="Q288" s="14">
        <f>CHOOSE(CONTROL!$C$42, 13.2131, 13.2131) * CHOOSE(CONTROL!$C$21, $C$9, 100%, $E$9)</f>
        <v>13.213100000000001</v>
      </c>
      <c r="R288" s="14">
        <f>CHOOSE(CONTROL!$C$42, 13.8331, 13.8331) * CHOOSE(CONTROL!$C$21, $C$9, 100%, $E$9)</f>
        <v>13.8331</v>
      </c>
      <c r="S288" s="14">
        <f>CHOOSE(CONTROL!$C$42, 12.274, 12.274) * CHOOSE(CONTROL!$C$21, $C$9, 100%, $E$9)</f>
        <v>12.273999999999999</v>
      </c>
      <c r="T28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88" s="57">
        <f>(1000*CHOOSE(CONTROL!$C$42, 695, 695)*CHOOSE(CONTROL!$C$42, 0.5599, 0.5599)*CHOOSE(CONTROL!$C$42, 31, 31))/1000000</f>
        <v>12.063045499999998</v>
      </c>
      <c r="V288" s="57">
        <f>(1000*CHOOSE(CONTROL!$C$42, 500, 500)*CHOOSE(CONTROL!$C$42, 0.275, 0.275)*CHOOSE(CONTROL!$C$42, 31, 31))/1000000</f>
        <v>4.2625000000000002</v>
      </c>
      <c r="W288" s="57">
        <f>(1000*CHOOSE(CONTROL!$C$42, 0.1146, 0.1146)*CHOOSE(CONTROL!$C$42, 121.5, 121.5)*CHOOSE(CONTROL!$C$42, 31, 31))/1000000</f>
        <v>0.43164089999999994</v>
      </c>
      <c r="X288" s="57">
        <f>(31*0.1790888*100000/1000000)+(31*0.2374*100000/1000000)</f>
        <v>1.2911152800000001</v>
      </c>
      <c r="Y288" s="57"/>
      <c r="Z288" s="14"/>
      <c r="AA288" s="56"/>
      <c r="AB288" s="50">
        <f>(B288*122.58+C288*297.941+D288*89.177+E288*40.302+F288*40+G288*160+H288*0+I288*100+J288*300)/(122.58+297.941+89.177+40.302+0+40+160+100+300)</f>
        <v>12.799631396782608</v>
      </c>
      <c r="AC288" s="45">
        <f>(M288*'RAP TEMPLATE-GAS AVAILABILITY'!O287+N288*'RAP TEMPLATE-GAS AVAILABILITY'!P287+O288*'RAP TEMPLATE-GAS AVAILABILITY'!Q287+P288*'RAP TEMPLATE-GAS AVAILABILITY'!R287)/('RAP TEMPLATE-GAS AVAILABILITY'!O287+'RAP TEMPLATE-GAS AVAILABILITY'!P287+'RAP TEMPLATE-GAS AVAILABILITY'!Q287+'RAP TEMPLATE-GAS AVAILABILITY'!R287)</f>
        <v>12.576371223021582</v>
      </c>
    </row>
    <row r="289" spans="1:29" ht="15.75" x14ac:dyDescent="0.25">
      <c r="A289" s="34">
        <v>49675</v>
      </c>
      <c r="B289" s="14">
        <f>CHOOSE(CONTROL!$C$42, 13.8285, 13.8285) * CHOOSE(CONTROL!$C$21, $C$9, 100%, $E$9)</f>
        <v>13.8285</v>
      </c>
      <c r="C289" s="14">
        <f>CHOOSE(CONTROL!$C$42, 13.8336, 13.8336) * CHOOSE(CONTROL!$C$21, $C$9, 100%, $E$9)</f>
        <v>13.833600000000001</v>
      </c>
      <c r="D289" s="14">
        <f>CHOOSE(CONTROL!$C$42, 13.9, 13.9) * CHOOSE(CONTROL!$C$21, $C$9, 100%, $E$9)</f>
        <v>13.9</v>
      </c>
      <c r="E289" s="14">
        <f>CHOOSE(CONTROL!$C$42, 13.9341, 13.9341) * CHOOSE(CONTROL!$C$21, $C$9, 100%, $E$9)</f>
        <v>13.934100000000001</v>
      </c>
      <c r="F289" s="14">
        <f>CHOOSE(CONTROL!$C$42, 13.8159, 13.8159)*CHOOSE(CONTROL!$C$21, $C$9, 100%, $E$9)</f>
        <v>13.815899999999999</v>
      </c>
      <c r="G289" s="14">
        <f>CHOOSE(CONTROL!$C$42, 13.8313, 13.8313)*CHOOSE(CONTROL!$C$21, $C$9, 100%, $E$9)</f>
        <v>13.831300000000001</v>
      </c>
      <c r="H289" s="14">
        <f>CHOOSE(CONTROL!$C$42, 13.9233, 13.9233) * CHOOSE(CONTROL!$C$21, $C$9, 100%, $E$9)</f>
        <v>13.923299999999999</v>
      </c>
      <c r="I289" s="14">
        <f>CHOOSE(CONTROL!$C$42, 13.8795, 13.8795)* CHOOSE(CONTROL!$C$21, $C$9, 100%, $E$9)</f>
        <v>13.8795</v>
      </c>
      <c r="J289" s="14">
        <f>CHOOSE(CONTROL!$C$42, 13.8089, 13.8089)* CHOOSE(CONTROL!$C$21, $C$9, 100%, $E$9)</f>
        <v>13.8089</v>
      </c>
      <c r="K289" s="53">
        <f>CHOOSE(CONTROL!$C$42, 13.8756, 13.8756) * CHOOSE(CONTROL!$C$21, $C$9, 100%, $E$9)</f>
        <v>13.8756</v>
      </c>
      <c r="L289" s="14">
        <f>CHOOSE(CONTROL!$C$42, 14.5103, 14.5103) * CHOOSE(CONTROL!$C$21, $C$9, 100%, $E$9)</f>
        <v>14.510300000000001</v>
      </c>
      <c r="M289" s="14">
        <f>CHOOSE(CONTROL!$C$42, 13.5336, 13.5336) * CHOOSE(CONTROL!$C$21, $C$9, 100%, $E$9)</f>
        <v>13.5336</v>
      </c>
      <c r="N289" s="14">
        <f>CHOOSE(CONTROL!$C$42, 13.5488, 13.5488) * CHOOSE(CONTROL!$C$21, $C$9, 100%, $E$9)</f>
        <v>13.5488</v>
      </c>
      <c r="O289" s="14">
        <f>CHOOSE(CONTROL!$C$42, 13.6457, 13.6457) * CHOOSE(CONTROL!$C$21, $C$9, 100%, $E$9)</f>
        <v>13.6457</v>
      </c>
      <c r="P289" s="14">
        <f>CHOOSE(CONTROL!$C$42, 13.602, 13.602) * CHOOSE(CONTROL!$C$21, $C$9, 100%, $E$9)</f>
        <v>13.602</v>
      </c>
      <c r="Q289" s="14">
        <f>CHOOSE(CONTROL!$C$42, 14.2404, 14.2404) * CHOOSE(CONTROL!$C$21, $C$9, 100%, $E$9)</f>
        <v>14.240399999999999</v>
      </c>
      <c r="R289" s="14">
        <f>CHOOSE(CONTROL!$C$42, 14.863, 14.863) * CHOOSE(CONTROL!$C$21, $C$9, 100%, $E$9)</f>
        <v>14.863</v>
      </c>
      <c r="S289" s="14">
        <f>CHOOSE(CONTROL!$C$42, 13.2793, 13.2793) * CHOOSE(CONTROL!$C$21, $C$9, 100%, $E$9)</f>
        <v>13.279299999999999</v>
      </c>
      <c r="T28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89" s="57">
        <f>(1000*CHOOSE(CONTROL!$C$42, 695, 695)*CHOOSE(CONTROL!$C$42, 0.5599, 0.5599)*CHOOSE(CONTROL!$C$42, 31, 31))/1000000</f>
        <v>12.063045499999998</v>
      </c>
      <c r="V289" s="57">
        <f>(1000*CHOOSE(CONTROL!$C$42, 500, 500)*CHOOSE(CONTROL!$C$42, 0.275, 0.275)*CHOOSE(CONTROL!$C$42, 31, 31))/1000000</f>
        <v>4.2625000000000002</v>
      </c>
      <c r="W289" s="57">
        <f>(1000*CHOOSE(CONTROL!$C$42, 0.1146, 0.1146)*CHOOSE(CONTROL!$C$42, 121.5, 121.5)*CHOOSE(CONTROL!$C$42, 31, 31))/1000000</f>
        <v>0.43164089999999994</v>
      </c>
      <c r="X289" s="57">
        <f>(31*0.1790888*100000/1000000)+(31*0.2374*100000/1000000)</f>
        <v>1.2911152800000001</v>
      </c>
      <c r="Y289" s="57"/>
      <c r="Z289" s="14"/>
      <c r="AA289" s="56"/>
      <c r="AB289" s="50">
        <f>(B289*122.58+C289*297.941+D289*89.177+E289*40.302+F289*40+G289*160+H289*0+I289*100+J289*300)/(122.58+297.941+89.177+40.302+0+40+160+100+300)</f>
        <v>13.83833960504348</v>
      </c>
      <c r="AC289" s="45">
        <f>(M289*'RAP TEMPLATE-GAS AVAILABILITY'!O288+N289*'RAP TEMPLATE-GAS AVAILABILITY'!P288+O289*'RAP TEMPLATE-GAS AVAILABILITY'!Q288+P289*'RAP TEMPLATE-GAS AVAILABILITY'!R288)/('RAP TEMPLATE-GAS AVAILABILITY'!O288+'RAP TEMPLATE-GAS AVAILABILITY'!P288+'RAP TEMPLATE-GAS AVAILABILITY'!Q288+'RAP TEMPLATE-GAS AVAILABILITY'!R288)</f>
        <v>13.595124460431654</v>
      </c>
    </row>
    <row r="290" spans="1:29" ht="15.75" x14ac:dyDescent="0.25">
      <c r="A290" s="34">
        <v>49706</v>
      </c>
      <c r="B290" s="14">
        <f>CHOOSE(CONTROL!$C$42, 14.0745, 14.0745) * CHOOSE(CONTROL!$C$21, $C$9, 100%, $E$9)</f>
        <v>14.0745</v>
      </c>
      <c r="C290" s="14">
        <f>CHOOSE(CONTROL!$C$42, 14.0796, 14.0796) * CHOOSE(CONTROL!$C$21, $C$9, 100%, $E$9)</f>
        <v>14.079599999999999</v>
      </c>
      <c r="D290" s="14">
        <f>CHOOSE(CONTROL!$C$42, 14.146, 14.146) * CHOOSE(CONTROL!$C$21, $C$9, 100%, $E$9)</f>
        <v>14.146000000000001</v>
      </c>
      <c r="E290" s="14">
        <f>CHOOSE(CONTROL!$C$42, 14.1801, 14.1801) * CHOOSE(CONTROL!$C$21, $C$9, 100%, $E$9)</f>
        <v>14.180099999999999</v>
      </c>
      <c r="F290" s="14">
        <f>CHOOSE(CONTROL!$C$42, 14.0619, 14.0619)*CHOOSE(CONTROL!$C$21, $C$9, 100%, $E$9)</f>
        <v>14.0619</v>
      </c>
      <c r="G290" s="14">
        <f>CHOOSE(CONTROL!$C$42, 14.0774, 14.0774)*CHOOSE(CONTROL!$C$21, $C$9, 100%, $E$9)</f>
        <v>14.077400000000001</v>
      </c>
      <c r="H290" s="14">
        <f>CHOOSE(CONTROL!$C$42, 14.1693, 14.1693) * CHOOSE(CONTROL!$C$21, $C$9, 100%, $E$9)</f>
        <v>14.1693</v>
      </c>
      <c r="I290" s="14">
        <f>CHOOSE(CONTROL!$C$42, 14.1262, 14.1262)* CHOOSE(CONTROL!$C$21, $C$9, 100%, $E$9)</f>
        <v>14.126200000000001</v>
      </c>
      <c r="J290" s="14">
        <f>CHOOSE(CONTROL!$C$42, 14.0549, 14.0549)* CHOOSE(CONTROL!$C$21, $C$9, 100%, $E$9)</f>
        <v>14.0549</v>
      </c>
      <c r="K290" s="53">
        <f>CHOOSE(CONTROL!$C$42, 14.1223, 14.1223) * CHOOSE(CONTROL!$C$21, $C$9, 100%, $E$9)</f>
        <v>14.122299999999999</v>
      </c>
      <c r="L290" s="14">
        <f>CHOOSE(CONTROL!$C$42, 14.7563, 14.7563) * CHOOSE(CONTROL!$C$21, $C$9, 100%, $E$9)</f>
        <v>14.7563</v>
      </c>
      <c r="M290" s="14">
        <f>CHOOSE(CONTROL!$C$42, 13.7747, 13.7747) * CHOOSE(CONTROL!$C$21, $C$9, 100%, $E$9)</f>
        <v>13.774699999999999</v>
      </c>
      <c r="N290" s="14">
        <f>CHOOSE(CONTROL!$C$42, 13.7898, 13.7898) * CHOOSE(CONTROL!$C$21, $C$9, 100%, $E$9)</f>
        <v>13.7898</v>
      </c>
      <c r="O290" s="14">
        <f>CHOOSE(CONTROL!$C$42, 13.8867, 13.8867) * CHOOSE(CONTROL!$C$21, $C$9, 100%, $E$9)</f>
        <v>13.886699999999999</v>
      </c>
      <c r="P290" s="14">
        <f>CHOOSE(CONTROL!$C$42, 13.8437, 13.8437) * CHOOSE(CONTROL!$C$21, $C$9, 100%, $E$9)</f>
        <v>13.8437</v>
      </c>
      <c r="Q290" s="14">
        <f>CHOOSE(CONTROL!$C$42, 14.4814, 14.4814) * CHOOSE(CONTROL!$C$21, $C$9, 100%, $E$9)</f>
        <v>14.481400000000001</v>
      </c>
      <c r="R290" s="14">
        <f>CHOOSE(CONTROL!$C$42, 15.1046, 15.1046) * CHOOSE(CONTROL!$C$21, $C$9, 100%, $E$9)</f>
        <v>15.1046</v>
      </c>
      <c r="S290" s="14">
        <f>CHOOSE(CONTROL!$C$42, 13.5157, 13.5157) * CHOOSE(CONTROL!$C$21, $C$9, 100%, $E$9)</f>
        <v>13.515700000000001</v>
      </c>
      <c r="T290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290" s="57">
        <f>(1000*CHOOSE(CONTROL!$C$42, 695, 695)*CHOOSE(CONTROL!$C$42, 0.5599, 0.5599)*CHOOSE(CONTROL!$C$42, 29, 29))/1000000</f>
        <v>11.284784499999999</v>
      </c>
      <c r="V290" s="57">
        <f>(1000*CHOOSE(CONTROL!$C$42, 500, 500)*CHOOSE(CONTROL!$C$42, 0.275, 0.275)*CHOOSE(CONTROL!$C$42, 29, 29))/1000000</f>
        <v>3.9874999999999998</v>
      </c>
      <c r="W290" s="57">
        <f>(1000*CHOOSE(CONTROL!$C$42, 0.1146, 0.1146)*CHOOSE(CONTROL!$C$42, 121.5, 121.5)*CHOOSE(CONTROL!$C$42, 29, 29))/1000000</f>
        <v>0.40379309999999996</v>
      </c>
      <c r="X290" s="57">
        <f>(29*0.1790888*100000/1000000)+(29*0.2374*100000/1000000)</f>
        <v>1.2078175199999999</v>
      </c>
      <c r="Y290" s="57"/>
      <c r="Z290" s="14"/>
      <c r="AA290" s="56"/>
      <c r="AB290" s="50">
        <f>(B290*122.58+C290*297.941+D290*89.177+E290*40.302+F290*40+G290*160+H290*0+I290*100+J290*300)/(122.58+297.941+89.177+40.302+0+40+160+100+300)</f>
        <v>14.084414387652176</v>
      </c>
      <c r="AC290" s="45">
        <f>(M290*'RAP TEMPLATE-GAS AVAILABILITY'!O289+N290*'RAP TEMPLATE-GAS AVAILABILITY'!P289+O290*'RAP TEMPLATE-GAS AVAILABILITY'!Q289+P290*'RAP TEMPLATE-GAS AVAILABILITY'!R289)/('RAP TEMPLATE-GAS AVAILABILITY'!O289+'RAP TEMPLATE-GAS AVAILABILITY'!P289+'RAP TEMPLATE-GAS AVAILABILITY'!Q289+'RAP TEMPLATE-GAS AVAILABILITY'!R289)</f>
        <v>13.836259712230216</v>
      </c>
    </row>
    <row r="291" spans="1:29" ht="15.75" x14ac:dyDescent="0.25">
      <c r="A291" s="34">
        <v>49735</v>
      </c>
      <c r="B291" s="14">
        <f>CHOOSE(CONTROL!$C$42, 13.6752, 13.6752) * CHOOSE(CONTROL!$C$21, $C$9, 100%, $E$9)</f>
        <v>13.6752</v>
      </c>
      <c r="C291" s="14">
        <f>CHOOSE(CONTROL!$C$42, 13.6803, 13.6803) * CHOOSE(CONTROL!$C$21, $C$9, 100%, $E$9)</f>
        <v>13.680300000000001</v>
      </c>
      <c r="D291" s="14">
        <f>CHOOSE(CONTROL!$C$42, 13.7467, 13.7467) * CHOOSE(CONTROL!$C$21, $C$9, 100%, $E$9)</f>
        <v>13.746700000000001</v>
      </c>
      <c r="E291" s="14">
        <f>CHOOSE(CONTROL!$C$42, 13.7808, 13.7808) * CHOOSE(CONTROL!$C$21, $C$9, 100%, $E$9)</f>
        <v>13.780799999999999</v>
      </c>
      <c r="F291" s="14">
        <f>CHOOSE(CONTROL!$C$42, 13.6622, 13.6622)*CHOOSE(CONTROL!$C$21, $C$9, 100%, $E$9)</f>
        <v>13.6622</v>
      </c>
      <c r="G291" s="14">
        <f>CHOOSE(CONTROL!$C$42, 13.6776, 13.6776)*CHOOSE(CONTROL!$C$21, $C$9, 100%, $E$9)</f>
        <v>13.6776</v>
      </c>
      <c r="H291" s="14">
        <f>CHOOSE(CONTROL!$C$42, 13.77, 13.77) * CHOOSE(CONTROL!$C$21, $C$9, 100%, $E$9)</f>
        <v>13.77</v>
      </c>
      <c r="I291" s="14">
        <f>CHOOSE(CONTROL!$C$42, 13.7257, 13.7257)* CHOOSE(CONTROL!$C$21, $C$9, 100%, $E$9)</f>
        <v>13.7257</v>
      </c>
      <c r="J291" s="14">
        <f>CHOOSE(CONTROL!$C$42, 13.6552, 13.6552)* CHOOSE(CONTROL!$C$21, $C$9, 100%, $E$9)</f>
        <v>13.655200000000001</v>
      </c>
      <c r="K291" s="53">
        <f>CHOOSE(CONTROL!$C$42, 13.7218, 13.7218) * CHOOSE(CONTROL!$C$21, $C$9, 100%, $E$9)</f>
        <v>13.7218</v>
      </c>
      <c r="L291" s="14">
        <f>CHOOSE(CONTROL!$C$42, 14.357, 14.357) * CHOOSE(CONTROL!$C$21, $C$9, 100%, $E$9)</f>
        <v>14.356999999999999</v>
      </c>
      <c r="M291" s="14">
        <f>CHOOSE(CONTROL!$C$42, 13.3831, 13.3831) * CHOOSE(CONTROL!$C$21, $C$9, 100%, $E$9)</f>
        <v>13.383100000000001</v>
      </c>
      <c r="N291" s="14">
        <f>CHOOSE(CONTROL!$C$42, 13.3982, 13.3982) * CHOOSE(CONTROL!$C$21, $C$9, 100%, $E$9)</f>
        <v>13.398199999999999</v>
      </c>
      <c r="O291" s="14">
        <f>CHOOSE(CONTROL!$C$42, 13.4956, 13.4956) * CHOOSE(CONTROL!$C$21, $C$9, 100%, $E$9)</f>
        <v>13.4956</v>
      </c>
      <c r="P291" s="14">
        <f>CHOOSE(CONTROL!$C$42, 13.4514, 13.4514) * CHOOSE(CONTROL!$C$21, $C$9, 100%, $E$9)</f>
        <v>13.4514</v>
      </c>
      <c r="Q291" s="14">
        <f>CHOOSE(CONTROL!$C$42, 14.0903, 14.0903) * CHOOSE(CONTROL!$C$21, $C$9, 100%, $E$9)</f>
        <v>14.090299999999999</v>
      </c>
      <c r="R291" s="14">
        <f>CHOOSE(CONTROL!$C$42, 14.7125, 14.7125) * CHOOSE(CONTROL!$C$21, $C$9, 100%, $E$9)</f>
        <v>14.7125</v>
      </c>
      <c r="S291" s="14">
        <f>CHOOSE(CONTROL!$C$42, 13.132, 13.132) * CHOOSE(CONTROL!$C$21, $C$9, 100%, $E$9)</f>
        <v>13.132</v>
      </c>
      <c r="T29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91" s="57">
        <f>(1000*CHOOSE(CONTROL!$C$42, 695, 695)*CHOOSE(CONTROL!$C$42, 0.5599, 0.5599)*CHOOSE(CONTROL!$C$42, 31, 31))/1000000</f>
        <v>12.063045499999998</v>
      </c>
      <c r="V291" s="57">
        <f>(1000*CHOOSE(CONTROL!$C$42, 500, 500)*CHOOSE(CONTROL!$C$42, 0.275, 0.275)*CHOOSE(CONTROL!$C$42, 31, 31))/1000000</f>
        <v>4.2625000000000002</v>
      </c>
      <c r="W291" s="57">
        <f>(1000*CHOOSE(CONTROL!$C$42, 0.1146, 0.1146)*CHOOSE(CONTROL!$C$42, 121.5, 121.5)*CHOOSE(CONTROL!$C$42, 31, 31))/1000000</f>
        <v>0.43164089999999994</v>
      </c>
      <c r="X291" s="57">
        <f>(31*0.1790888*100000/1000000)+(31*0.2374*100000/1000000)</f>
        <v>1.2911152800000001</v>
      </c>
      <c r="Y291" s="57"/>
      <c r="Z291" s="14"/>
      <c r="AA291" s="56"/>
      <c r="AB291" s="50">
        <f>(B291*122.58+C291*297.941+D291*89.177+E291*40.302+F291*40+G291*160+H291*0+I291*100+J291*300)/(122.58+297.941+89.177+40.302+0+40+160+100+300)</f>
        <v>13.684822213739134</v>
      </c>
      <c r="AC291" s="45">
        <f>(M291*'RAP TEMPLATE-GAS AVAILABILITY'!O290+N291*'RAP TEMPLATE-GAS AVAILABILITY'!P290+O291*'RAP TEMPLATE-GAS AVAILABILITY'!Q290+P291*'RAP TEMPLATE-GAS AVAILABILITY'!R290)/('RAP TEMPLATE-GAS AVAILABILITY'!O290+'RAP TEMPLATE-GAS AVAILABILITY'!P290+'RAP TEMPLATE-GAS AVAILABILITY'!Q290+'RAP TEMPLATE-GAS AVAILABILITY'!R290)</f>
        <v>13.444785611510788</v>
      </c>
    </row>
    <row r="292" spans="1:29" ht="15.75" x14ac:dyDescent="0.25">
      <c r="A292" s="34">
        <v>49766</v>
      </c>
      <c r="B292" s="14">
        <f>CHOOSE(CONTROL!$C$42, 13.6355, 13.6355) * CHOOSE(CONTROL!$C$21, $C$9, 100%, $E$9)</f>
        <v>13.6355</v>
      </c>
      <c r="C292" s="14">
        <f>CHOOSE(CONTROL!$C$42, 13.64, 13.64) * CHOOSE(CONTROL!$C$21, $C$9, 100%, $E$9)</f>
        <v>13.64</v>
      </c>
      <c r="D292" s="14">
        <f>CHOOSE(CONTROL!$C$42, 13.847, 13.847) * CHOOSE(CONTROL!$C$21, $C$9, 100%, $E$9)</f>
        <v>13.847</v>
      </c>
      <c r="E292" s="14">
        <f>CHOOSE(CONTROL!$C$42, 13.8791, 13.8791) * CHOOSE(CONTROL!$C$21, $C$9, 100%, $E$9)</f>
        <v>13.879099999999999</v>
      </c>
      <c r="F292" s="14">
        <f>CHOOSE(CONTROL!$C$42, 13.6174, 13.6174)*CHOOSE(CONTROL!$C$21, $C$9, 100%, $E$9)</f>
        <v>13.6174</v>
      </c>
      <c r="G292" s="14">
        <f>CHOOSE(CONTROL!$C$42, 13.6326, 13.6326)*CHOOSE(CONTROL!$C$21, $C$9, 100%, $E$9)</f>
        <v>13.6326</v>
      </c>
      <c r="H292" s="14">
        <f>CHOOSE(CONTROL!$C$42, 13.8689, 13.8689) * CHOOSE(CONTROL!$C$21, $C$9, 100%, $E$9)</f>
        <v>13.8689</v>
      </c>
      <c r="I292" s="14">
        <f>CHOOSE(CONTROL!$C$42, 13.685, 13.685)* CHOOSE(CONTROL!$C$21, $C$9, 100%, $E$9)</f>
        <v>13.685</v>
      </c>
      <c r="J292" s="14">
        <f>CHOOSE(CONTROL!$C$42, 13.6104, 13.6104)* CHOOSE(CONTROL!$C$21, $C$9, 100%, $E$9)</f>
        <v>13.6104</v>
      </c>
      <c r="K292" s="53">
        <f>CHOOSE(CONTROL!$C$42, 13.6811, 13.6811) * CHOOSE(CONTROL!$C$21, $C$9, 100%, $E$9)</f>
        <v>13.681100000000001</v>
      </c>
      <c r="L292" s="14">
        <f>CHOOSE(CONTROL!$C$42, 14.4559, 14.4559) * CHOOSE(CONTROL!$C$21, $C$9, 100%, $E$9)</f>
        <v>14.4559</v>
      </c>
      <c r="M292" s="14">
        <f>CHOOSE(CONTROL!$C$42, 13.3392, 13.3392) * CHOOSE(CONTROL!$C$21, $C$9, 100%, $E$9)</f>
        <v>13.3392</v>
      </c>
      <c r="N292" s="14">
        <f>CHOOSE(CONTROL!$C$42, 13.3541, 13.3541) * CHOOSE(CONTROL!$C$21, $C$9, 100%, $E$9)</f>
        <v>13.354100000000001</v>
      </c>
      <c r="O292" s="14">
        <f>CHOOSE(CONTROL!$C$42, 13.5925, 13.5925) * CHOOSE(CONTROL!$C$21, $C$9, 100%, $E$9)</f>
        <v>13.592499999999999</v>
      </c>
      <c r="P292" s="14">
        <f>CHOOSE(CONTROL!$C$42, 13.4115, 13.4115) * CHOOSE(CONTROL!$C$21, $C$9, 100%, $E$9)</f>
        <v>13.4115</v>
      </c>
      <c r="Q292" s="14">
        <f>CHOOSE(CONTROL!$C$42, 14.1872, 14.1872) * CHOOSE(CONTROL!$C$21, $C$9, 100%, $E$9)</f>
        <v>14.187200000000001</v>
      </c>
      <c r="R292" s="14">
        <f>CHOOSE(CONTROL!$C$42, 14.8096, 14.8096) * CHOOSE(CONTROL!$C$21, $C$9, 100%, $E$9)</f>
        <v>14.8096</v>
      </c>
      <c r="S292" s="14">
        <f>CHOOSE(CONTROL!$C$42, 13.093, 13.093) * CHOOSE(CONTROL!$C$21, $C$9, 100%, $E$9)</f>
        <v>13.093</v>
      </c>
      <c r="T29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92" s="57">
        <f>(1000*CHOOSE(CONTROL!$C$42, 695, 695)*CHOOSE(CONTROL!$C$42, 0.5599, 0.5599)*CHOOSE(CONTROL!$C$42, 30, 30))/1000000</f>
        <v>11.673914999999997</v>
      </c>
      <c r="V292" s="57">
        <f>(1000*CHOOSE(CONTROL!$C$42, 500, 500)*CHOOSE(CONTROL!$C$42, 0.275, 0.275)*CHOOSE(CONTROL!$C$42, 30, 30))/1000000</f>
        <v>4.125</v>
      </c>
      <c r="W292" s="57">
        <f>(1000*CHOOSE(CONTROL!$C$42, 0.1146, 0.1146)*CHOOSE(CONTROL!$C$42, 121.5, 121.5)*CHOOSE(CONTROL!$C$42, 30, 30))/1000000</f>
        <v>0.417717</v>
      </c>
      <c r="X292" s="57">
        <f>(30*0.1790888*245000/1000000)+(30*0.2374*100000/1000000)</f>
        <v>2.0285026799999999</v>
      </c>
      <c r="Y292" s="57"/>
      <c r="Z292" s="14"/>
      <c r="AA292" s="56"/>
      <c r="AB292" s="50">
        <f>(B292*141.293+C292*267.993+D292*115.016+E292*89.698+F292*40+G292*185+H292*0+I292*100+J292*300)/(141.293+267.993+115.016+89.698+0+40+185+100+300)</f>
        <v>13.670642683857951</v>
      </c>
      <c r="AC292" s="45">
        <f>(M292*'RAP TEMPLATE-GAS AVAILABILITY'!O291+N292*'RAP TEMPLATE-GAS AVAILABILITY'!P291+O292*'RAP TEMPLATE-GAS AVAILABILITY'!Q291+P292*'RAP TEMPLATE-GAS AVAILABILITY'!R291)/('RAP TEMPLATE-GAS AVAILABILITY'!O291+'RAP TEMPLATE-GAS AVAILABILITY'!P291+'RAP TEMPLATE-GAS AVAILABILITY'!Q291+'RAP TEMPLATE-GAS AVAILABILITY'!R291)</f>
        <v>13.424102877697843</v>
      </c>
    </row>
    <row r="293" spans="1:29" ht="15.75" x14ac:dyDescent="0.25">
      <c r="A293" s="34">
        <v>49796</v>
      </c>
      <c r="B293" s="14">
        <f>CHOOSE(CONTROL!$C$42, 13.7571, 13.7571) * CHOOSE(CONTROL!$C$21, $C$9, 100%, $E$9)</f>
        <v>13.757099999999999</v>
      </c>
      <c r="C293" s="14">
        <f>CHOOSE(CONTROL!$C$42, 13.7652, 13.7652) * CHOOSE(CONTROL!$C$21, $C$9, 100%, $E$9)</f>
        <v>13.7652</v>
      </c>
      <c r="D293" s="14">
        <f>CHOOSE(CONTROL!$C$42, 13.9691, 13.9691) * CHOOSE(CONTROL!$C$21, $C$9, 100%, $E$9)</f>
        <v>13.969099999999999</v>
      </c>
      <c r="E293" s="14">
        <f>CHOOSE(CONTROL!$C$42, 14.0005, 14.0005) * CHOOSE(CONTROL!$C$21, $C$9, 100%, $E$9)</f>
        <v>14.000500000000001</v>
      </c>
      <c r="F293" s="14">
        <f>CHOOSE(CONTROL!$C$42, 13.7379, 13.7379)*CHOOSE(CONTROL!$C$21, $C$9, 100%, $E$9)</f>
        <v>13.7379</v>
      </c>
      <c r="G293" s="14">
        <f>CHOOSE(CONTROL!$C$42, 13.7535, 13.7535)*CHOOSE(CONTROL!$C$21, $C$9, 100%, $E$9)</f>
        <v>13.753500000000001</v>
      </c>
      <c r="H293" s="14">
        <f>CHOOSE(CONTROL!$C$42, 13.9892, 13.9892) * CHOOSE(CONTROL!$C$21, $C$9, 100%, $E$9)</f>
        <v>13.9892</v>
      </c>
      <c r="I293" s="14">
        <f>CHOOSE(CONTROL!$C$42, 13.8057, 13.8057)* CHOOSE(CONTROL!$C$21, $C$9, 100%, $E$9)</f>
        <v>13.8057</v>
      </c>
      <c r="J293" s="14">
        <f>CHOOSE(CONTROL!$C$42, 13.7309, 13.7309)* CHOOSE(CONTROL!$C$21, $C$9, 100%, $E$9)</f>
        <v>13.7309</v>
      </c>
      <c r="K293" s="53">
        <f>CHOOSE(CONTROL!$C$42, 13.8018, 13.8018) * CHOOSE(CONTROL!$C$21, $C$9, 100%, $E$9)</f>
        <v>13.8018</v>
      </c>
      <c r="L293" s="14">
        <f>CHOOSE(CONTROL!$C$42, 14.5762, 14.5762) * CHOOSE(CONTROL!$C$21, $C$9, 100%, $E$9)</f>
        <v>14.5762</v>
      </c>
      <c r="M293" s="14">
        <f>CHOOSE(CONTROL!$C$42, 13.4572, 13.4572) * CHOOSE(CONTROL!$C$21, $C$9, 100%, $E$9)</f>
        <v>13.4572</v>
      </c>
      <c r="N293" s="14">
        <f>CHOOSE(CONTROL!$C$42, 13.4726, 13.4726) * CHOOSE(CONTROL!$C$21, $C$9, 100%, $E$9)</f>
        <v>13.4726</v>
      </c>
      <c r="O293" s="14">
        <f>CHOOSE(CONTROL!$C$42, 13.7102, 13.7102) * CHOOSE(CONTROL!$C$21, $C$9, 100%, $E$9)</f>
        <v>13.7102</v>
      </c>
      <c r="P293" s="14">
        <f>CHOOSE(CONTROL!$C$42, 13.5297, 13.5297) * CHOOSE(CONTROL!$C$21, $C$9, 100%, $E$9)</f>
        <v>13.5297</v>
      </c>
      <c r="Q293" s="14">
        <f>CHOOSE(CONTROL!$C$42, 14.3049, 14.3049) * CHOOSE(CONTROL!$C$21, $C$9, 100%, $E$9)</f>
        <v>14.3049</v>
      </c>
      <c r="R293" s="14">
        <f>CHOOSE(CONTROL!$C$42, 14.9277, 14.9277) * CHOOSE(CONTROL!$C$21, $C$9, 100%, $E$9)</f>
        <v>14.9277</v>
      </c>
      <c r="S293" s="14">
        <f>CHOOSE(CONTROL!$C$42, 13.2086, 13.2086) * CHOOSE(CONTROL!$C$21, $C$9, 100%, $E$9)</f>
        <v>13.208600000000001</v>
      </c>
      <c r="T29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93" s="57">
        <f>(1000*CHOOSE(CONTROL!$C$42, 695, 695)*CHOOSE(CONTROL!$C$42, 0.5599, 0.5599)*CHOOSE(CONTROL!$C$42, 31, 31))/1000000</f>
        <v>12.063045499999998</v>
      </c>
      <c r="V293" s="57">
        <f>(1000*CHOOSE(CONTROL!$C$42, 500, 500)*CHOOSE(CONTROL!$C$42, 0.275, 0.275)*CHOOSE(CONTROL!$C$42, 31, 31))/1000000</f>
        <v>4.2625000000000002</v>
      </c>
      <c r="W293" s="57">
        <f>(1000*CHOOSE(CONTROL!$C$42, 0.1146, 0.1146)*CHOOSE(CONTROL!$C$42, 121.5, 121.5)*CHOOSE(CONTROL!$C$42, 31, 31))/1000000</f>
        <v>0.43164089999999994</v>
      </c>
      <c r="X293" s="57">
        <f>(31*0.1790888*245000/1000000)+(31*0.2374*100000/1000000)</f>
        <v>2.0961194359999999</v>
      </c>
      <c r="Y293" s="57"/>
      <c r="Z293" s="14"/>
      <c r="AA293" s="56"/>
      <c r="AB293" s="50">
        <f>(B293*194.205+C293*267.466+D293*133.845+E293*53.484+F293*40+G293*185+H293*0+I293*100+J293*300)/(194.205+267.466+133.845+53.484+0+40+185+100+300)</f>
        <v>13.78781084788069</v>
      </c>
      <c r="AC293" s="45">
        <f>(M293*'RAP TEMPLATE-GAS AVAILABILITY'!O292+N293*'RAP TEMPLATE-GAS AVAILABILITY'!P292+O293*'RAP TEMPLATE-GAS AVAILABILITY'!Q292+P293*'RAP TEMPLATE-GAS AVAILABILITY'!R292)/('RAP TEMPLATE-GAS AVAILABILITY'!O292+'RAP TEMPLATE-GAS AVAILABILITY'!P292+'RAP TEMPLATE-GAS AVAILABILITY'!Q292+'RAP TEMPLATE-GAS AVAILABILITY'!R292)</f>
        <v>13.542162589928058</v>
      </c>
    </row>
    <row r="294" spans="1:29" ht="15.75" x14ac:dyDescent="0.25">
      <c r="A294" s="34">
        <v>49827</v>
      </c>
      <c r="B294" s="14">
        <f>CHOOSE(CONTROL!$C$42, 14.147, 14.147) * CHOOSE(CONTROL!$C$21, $C$9, 100%, $E$9)</f>
        <v>14.147</v>
      </c>
      <c r="C294" s="14">
        <f>CHOOSE(CONTROL!$C$42, 14.155, 14.155) * CHOOSE(CONTROL!$C$21, $C$9, 100%, $E$9)</f>
        <v>14.154999999999999</v>
      </c>
      <c r="D294" s="14">
        <f>CHOOSE(CONTROL!$C$42, 14.359, 14.359) * CHOOSE(CONTROL!$C$21, $C$9, 100%, $E$9)</f>
        <v>14.359</v>
      </c>
      <c r="E294" s="14">
        <f>CHOOSE(CONTROL!$C$42, 14.3904, 14.3904) * CHOOSE(CONTROL!$C$21, $C$9, 100%, $E$9)</f>
        <v>14.3904</v>
      </c>
      <c r="F294" s="14">
        <f>CHOOSE(CONTROL!$C$42, 14.1282, 14.1282)*CHOOSE(CONTROL!$C$21, $C$9, 100%, $E$9)</f>
        <v>14.1282</v>
      </c>
      <c r="G294" s="14">
        <f>CHOOSE(CONTROL!$C$42, 14.144, 14.144)*CHOOSE(CONTROL!$C$21, $C$9, 100%, $E$9)</f>
        <v>14.144</v>
      </c>
      <c r="H294" s="14">
        <f>CHOOSE(CONTROL!$C$42, 14.3791, 14.3791) * CHOOSE(CONTROL!$C$21, $C$9, 100%, $E$9)</f>
        <v>14.379099999999999</v>
      </c>
      <c r="I294" s="14">
        <f>CHOOSE(CONTROL!$C$42, 14.1968, 14.1968)* CHOOSE(CONTROL!$C$21, $C$9, 100%, $E$9)</f>
        <v>14.1968</v>
      </c>
      <c r="J294" s="14">
        <f>CHOOSE(CONTROL!$C$42, 14.1212, 14.1212)* CHOOSE(CONTROL!$C$21, $C$9, 100%, $E$9)</f>
        <v>14.1212</v>
      </c>
      <c r="K294" s="53">
        <f>CHOOSE(CONTROL!$C$42, 14.1929, 14.1929) * CHOOSE(CONTROL!$C$21, $C$9, 100%, $E$9)</f>
        <v>14.1929</v>
      </c>
      <c r="L294" s="14">
        <f>CHOOSE(CONTROL!$C$42, 14.9661, 14.9661) * CHOOSE(CONTROL!$C$21, $C$9, 100%, $E$9)</f>
        <v>14.966100000000001</v>
      </c>
      <c r="M294" s="14">
        <f>CHOOSE(CONTROL!$C$42, 13.8395, 13.8395) * CHOOSE(CONTROL!$C$21, $C$9, 100%, $E$9)</f>
        <v>13.839499999999999</v>
      </c>
      <c r="N294" s="14">
        <f>CHOOSE(CONTROL!$C$42, 13.855, 13.855) * CHOOSE(CONTROL!$C$21, $C$9, 100%, $E$9)</f>
        <v>13.855</v>
      </c>
      <c r="O294" s="14">
        <f>CHOOSE(CONTROL!$C$42, 14.0921, 14.0921) * CHOOSE(CONTROL!$C$21, $C$9, 100%, $E$9)</f>
        <v>14.0921</v>
      </c>
      <c r="P294" s="14">
        <f>CHOOSE(CONTROL!$C$42, 13.9128, 13.9128) * CHOOSE(CONTROL!$C$21, $C$9, 100%, $E$9)</f>
        <v>13.912800000000001</v>
      </c>
      <c r="Q294" s="14">
        <f>CHOOSE(CONTROL!$C$42, 14.6868, 14.6868) * CHOOSE(CONTROL!$C$21, $C$9, 100%, $E$9)</f>
        <v>14.6868</v>
      </c>
      <c r="R294" s="14">
        <f>CHOOSE(CONTROL!$C$42, 15.3106, 15.3106) * CHOOSE(CONTROL!$C$21, $C$9, 100%, $E$9)</f>
        <v>15.310600000000001</v>
      </c>
      <c r="S294" s="14">
        <f>CHOOSE(CONTROL!$C$42, 13.5832, 13.5832) * CHOOSE(CONTROL!$C$21, $C$9, 100%, $E$9)</f>
        <v>13.5832</v>
      </c>
      <c r="T29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94" s="57">
        <f>(1000*CHOOSE(CONTROL!$C$42, 695, 695)*CHOOSE(CONTROL!$C$42, 0.5599, 0.5599)*CHOOSE(CONTROL!$C$42, 30, 30))/1000000</f>
        <v>11.673914999999997</v>
      </c>
      <c r="V294" s="57">
        <f>(1000*CHOOSE(CONTROL!$C$42, 500, 500)*CHOOSE(CONTROL!$C$42, 0.275, 0.275)*CHOOSE(CONTROL!$C$42, 30, 30))/1000000</f>
        <v>4.125</v>
      </c>
      <c r="W294" s="57">
        <f>(1000*CHOOSE(CONTROL!$C$42, 0.1146, 0.1146)*CHOOSE(CONTROL!$C$42, 121.5, 121.5)*CHOOSE(CONTROL!$C$42, 30, 30))/1000000</f>
        <v>0.417717</v>
      </c>
      <c r="X294" s="57">
        <f>(30*0.1790888*245000/1000000)+(30*0.2374*100000/1000000)</f>
        <v>2.0285026799999999</v>
      </c>
      <c r="Y294" s="57"/>
      <c r="Z294" s="14"/>
      <c r="AA294" s="56"/>
      <c r="AB294" s="50">
        <f>(B294*194.205+C294*267.466+D294*133.845+E294*53.484+F294*40+G294*185+H294*0+I294*100+J294*300)/(194.205+267.466+133.845+53.484+0+40+185+100+300)</f>
        <v>14.177977922762951</v>
      </c>
      <c r="AC294" s="45">
        <f>(M294*'RAP TEMPLATE-GAS AVAILABILITY'!O293+N294*'RAP TEMPLATE-GAS AVAILABILITY'!P293+O294*'RAP TEMPLATE-GAS AVAILABILITY'!Q293+P294*'RAP TEMPLATE-GAS AVAILABILITY'!R293)/('RAP TEMPLATE-GAS AVAILABILITY'!O293+'RAP TEMPLATE-GAS AVAILABILITY'!P293+'RAP TEMPLATE-GAS AVAILABILITY'!Q293+'RAP TEMPLATE-GAS AVAILABILITY'!R293)</f>
        <v>13.924488489208633</v>
      </c>
    </row>
    <row r="295" spans="1:29" ht="15.75" x14ac:dyDescent="0.25">
      <c r="A295" s="34">
        <v>49857</v>
      </c>
      <c r="B295" s="14">
        <f>CHOOSE(CONTROL!$C$42, 13.8758, 13.8758) * CHOOSE(CONTROL!$C$21, $C$9, 100%, $E$9)</f>
        <v>13.8758</v>
      </c>
      <c r="C295" s="14">
        <f>CHOOSE(CONTROL!$C$42, 13.8839, 13.8839) * CHOOSE(CONTROL!$C$21, $C$9, 100%, $E$9)</f>
        <v>13.883900000000001</v>
      </c>
      <c r="D295" s="14">
        <f>CHOOSE(CONTROL!$C$42, 14.0878, 14.0878) * CHOOSE(CONTROL!$C$21, $C$9, 100%, $E$9)</f>
        <v>14.0878</v>
      </c>
      <c r="E295" s="14">
        <f>CHOOSE(CONTROL!$C$42, 14.1193, 14.1193) * CHOOSE(CONTROL!$C$21, $C$9, 100%, $E$9)</f>
        <v>14.119300000000001</v>
      </c>
      <c r="F295" s="14">
        <f>CHOOSE(CONTROL!$C$42, 13.8575, 13.8575)*CHOOSE(CONTROL!$C$21, $C$9, 100%, $E$9)</f>
        <v>13.8575</v>
      </c>
      <c r="G295" s="14">
        <f>CHOOSE(CONTROL!$C$42, 13.8734, 13.8734)*CHOOSE(CONTROL!$C$21, $C$9, 100%, $E$9)</f>
        <v>13.8734</v>
      </c>
      <c r="H295" s="14">
        <f>CHOOSE(CONTROL!$C$42, 14.1079, 14.1079) * CHOOSE(CONTROL!$C$21, $C$9, 100%, $E$9)</f>
        <v>14.107900000000001</v>
      </c>
      <c r="I295" s="14">
        <f>CHOOSE(CONTROL!$C$42, 13.9247, 13.9247)* CHOOSE(CONTROL!$C$21, $C$9, 100%, $E$9)</f>
        <v>13.9247</v>
      </c>
      <c r="J295" s="14">
        <f>CHOOSE(CONTROL!$C$42, 13.8505, 13.8505)* CHOOSE(CONTROL!$C$21, $C$9, 100%, $E$9)</f>
        <v>13.8505</v>
      </c>
      <c r="K295" s="53">
        <f>CHOOSE(CONTROL!$C$42, 13.9209, 13.9209) * CHOOSE(CONTROL!$C$21, $C$9, 100%, $E$9)</f>
        <v>13.9209</v>
      </c>
      <c r="L295" s="14">
        <f>CHOOSE(CONTROL!$C$42, 14.6949, 14.6949) * CHOOSE(CONTROL!$C$21, $C$9, 100%, $E$9)</f>
        <v>14.694900000000001</v>
      </c>
      <c r="M295" s="14">
        <f>CHOOSE(CONTROL!$C$42, 13.5744, 13.5744) * CHOOSE(CONTROL!$C$21, $C$9, 100%, $E$9)</f>
        <v>13.574400000000001</v>
      </c>
      <c r="N295" s="14">
        <f>CHOOSE(CONTROL!$C$42, 13.5899, 13.5899) * CHOOSE(CONTROL!$C$21, $C$9, 100%, $E$9)</f>
        <v>13.5899</v>
      </c>
      <c r="O295" s="14">
        <f>CHOOSE(CONTROL!$C$42, 13.8265, 13.8265) * CHOOSE(CONTROL!$C$21, $C$9, 100%, $E$9)</f>
        <v>13.826499999999999</v>
      </c>
      <c r="P295" s="14">
        <f>CHOOSE(CONTROL!$C$42, 13.6463, 13.6463) * CHOOSE(CONTROL!$C$21, $C$9, 100%, $E$9)</f>
        <v>13.6463</v>
      </c>
      <c r="Q295" s="14">
        <f>CHOOSE(CONTROL!$C$42, 14.4212, 14.4212) * CHOOSE(CONTROL!$C$21, $C$9, 100%, $E$9)</f>
        <v>14.421200000000001</v>
      </c>
      <c r="R295" s="14">
        <f>CHOOSE(CONTROL!$C$42, 15.0443, 15.0443) * CHOOSE(CONTROL!$C$21, $C$9, 100%, $E$9)</f>
        <v>15.0443</v>
      </c>
      <c r="S295" s="14">
        <f>CHOOSE(CONTROL!$C$42, 13.3227, 13.3227) * CHOOSE(CONTROL!$C$21, $C$9, 100%, $E$9)</f>
        <v>13.322699999999999</v>
      </c>
      <c r="T29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95" s="57">
        <f>(1000*CHOOSE(CONTROL!$C$42, 695, 695)*CHOOSE(CONTROL!$C$42, 0.5599, 0.5599)*CHOOSE(CONTROL!$C$42, 31, 31))/1000000</f>
        <v>12.063045499999998</v>
      </c>
      <c r="V295" s="57">
        <f>(1000*CHOOSE(CONTROL!$C$42, 500, 500)*CHOOSE(CONTROL!$C$42, 0.275, 0.275)*CHOOSE(CONTROL!$C$42, 31, 31))/1000000</f>
        <v>4.2625000000000002</v>
      </c>
      <c r="W295" s="57">
        <f>(1000*CHOOSE(CONTROL!$C$42, 0.1146, 0.1146)*CHOOSE(CONTROL!$C$42, 121.5, 121.5)*CHOOSE(CONTROL!$C$42, 31, 31))/1000000</f>
        <v>0.43164089999999994</v>
      </c>
      <c r="X295" s="57">
        <f>(31*0.1790888*245000/1000000)+(31*0.2374*100000/1000000)</f>
        <v>2.0961194359999999</v>
      </c>
      <c r="Y295" s="57"/>
      <c r="Z295" s="14"/>
      <c r="AA295" s="56"/>
      <c r="AB295" s="50">
        <f>(B295*194.205+C295*267.466+D295*133.845+E295*53.484+F295*40+G295*185+H295*0+I295*100+J295*300)/(194.205+267.466+133.845+53.484+0+40+185+100+300)</f>
        <v>13.906953036577706</v>
      </c>
      <c r="AC295" s="45">
        <f>(M295*'RAP TEMPLATE-GAS AVAILABILITY'!O294+N295*'RAP TEMPLATE-GAS AVAILABILITY'!P294+O295*'RAP TEMPLATE-GAS AVAILABILITY'!Q294+P295*'RAP TEMPLATE-GAS AVAILABILITY'!R294)/('RAP TEMPLATE-GAS AVAILABILITY'!O294+'RAP TEMPLATE-GAS AVAILABILITY'!P294+'RAP TEMPLATE-GAS AVAILABILITY'!Q294+'RAP TEMPLATE-GAS AVAILABILITY'!R294)</f>
        <v>13.659046762589925</v>
      </c>
    </row>
    <row r="296" spans="1:29" ht="15.75" x14ac:dyDescent="0.25">
      <c r="A296" s="34">
        <v>49888</v>
      </c>
      <c r="B296" s="14">
        <f>CHOOSE(CONTROL!$C$42, 13.1911, 13.1911) * CHOOSE(CONTROL!$C$21, $C$9, 100%, $E$9)</f>
        <v>13.1911</v>
      </c>
      <c r="C296" s="14">
        <f>CHOOSE(CONTROL!$C$42, 13.1991, 13.1991) * CHOOSE(CONTROL!$C$21, $C$9, 100%, $E$9)</f>
        <v>13.1991</v>
      </c>
      <c r="D296" s="14">
        <f>CHOOSE(CONTROL!$C$42, 13.403, 13.403) * CHOOSE(CONTROL!$C$21, $C$9, 100%, $E$9)</f>
        <v>13.403</v>
      </c>
      <c r="E296" s="14">
        <f>CHOOSE(CONTROL!$C$42, 13.4345, 13.4345) * CHOOSE(CONTROL!$C$21, $C$9, 100%, $E$9)</f>
        <v>13.4345</v>
      </c>
      <c r="F296" s="14">
        <f>CHOOSE(CONTROL!$C$42, 13.1729, 13.1729)*CHOOSE(CONTROL!$C$21, $C$9, 100%, $E$9)</f>
        <v>13.1729</v>
      </c>
      <c r="G296" s="14">
        <f>CHOOSE(CONTROL!$C$42, 13.1889, 13.1889)*CHOOSE(CONTROL!$C$21, $C$9, 100%, $E$9)</f>
        <v>13.1889</v>
      </c>
      <c r="H296" s="14">
        <f>CHOOSE(CONTROL!$C$42, 13.4231, 13.4231) * CHOOSE(CONTROL!$C$21, $C$9, 100%, $E$9)</f>
        <v>13.4231</v>
      </c>
      <c r="I296" s="14">
        <f>CHOOSE(CONTROL!$C$42, 13.2378, 13.2378)* CHOOSE(CONTROL!$C$21, $C$9, 100%, $E$9)</f>
        <v>13.2378</v>
      </c>
      <c r="J296" s="14">
        <f>CHOOSE(CONTROL!$C$42, 13.1659, 13.1659)* CHOOSE(CONTROL!$C$21, $C$9, 100%, $E$9)</f>
        <v>13.165900000000001</v>
      </c>
      <c r="K296" s="53">
        <f>CHOOSE(CONTROL!$C$42, 13.2339, 13.2339) * CHOOSE(CONTROL!$C$21, $C$9, 100%, $E$9)</f>
        <v>13.2339</v>
      </c>
      <c r="L296" s="14">
        <f>CHOOSE(CONTROL!$C$42, 14.0101, 14.0101) * CHOOSE(CONTROL!$C$21, $C$9, 100%, $E$9)</f>
        <v>14.0101</v>
      </c>
      <c r="M296" s="14">
        <f>CHOOSE(CONTROL!$C$42, 12.9038, 12.9038) * CHOOSE(CONTROL!$C$21, $C$9, 100%, $E$9)</f>
        <v>12.9038</v>
      </c>
      <c r="N296" s="14">
        <f>CHOOSE(CONTROL!$C$42, 12.9195, 12.9195) * CHOOSE(CONTROL!$C$21, $C$9, 100%, $E$9)</f>
        <v>12.919499999999999</v>
      </c>
      <c r="O296" s="14">
        <f>CHOOSE(CONTROL!$C$42, 13.1558, 13.1558) * CHOOSE(CONTROL!$C$21, $C$9, 100%, $E$9)</f>
        <v>13.155799999999999</v>
      </c>
      <c r="P296" s="14">
        <f>CHOOSE(CONTROL!$C$42, 12.9735, 12.9735) * CHOOSE(CONTROL!$C$21, $C$9, 100%, $E$9)</f>
        <v>12.9735</v>
      </c>
      <c r="Q296" s="14">
        <f>CHOOSE(CONTROL!$C$42, 13.7505, 13.7505) * CHOOSE(CONTROL!$C$21, $C$9, 100%, $E$9)</f>
        <v>13.750500000000001</v>
      </c>
      <c r="R296" s="14">
        <f>CHOOSE(CONTROL!$C$42, 14.3718, 14.3718) * CHOOSE(CONTROL!$C$21, $C$9, 100%, $E$9)</f>
        <v>14.3718</v>
      </c>
      <c r="S296" s="14">
        <f>CHOOSE(CONTROL!$C$42, 12.6646, 12.6646) * CHOOSE(CONTROL!$C$21, $C$9, 100%, $E$9)</f>
        <v>12.6646</v>
      </c>
      <c r="T29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96" s="57">
        <f>(1000*CHOOSE(CONTROL!$C$42, 695, 695)*CHOOSE(CONTROL!$C$42, 0.5599, 0.5599)*CHOOSE(CONTROL!$C$42, 31, 31))/1000000</f>
        <v>12.063045499999998</v>
      </c>
      <c r="V296" s="57">
        <f>(1000*CHOOSE(CONTROL!$C$42, 500, 500)*CHOOSE(CONTROL!$C$42, 0.275, 0.275)*CHOOSE(CONTROL!$C$42, 31, 31))/1000000</f>
        <v>4.2625000000000002</v>
      </c>
      <c r="W296" s="57">
        <f>(1000*CHOOSE(CONTROL!$C$42, 0.1146, 0.1146)*CHOOSE(CONTROL!$C$42, 121.5, 121.5)*CHOOSE(CONTROL!$C$42, 31, 31))/1000000</f>
        <v>0.43164089999999994</v>
      </c>
      <c r="X296" s="57">
        <f>(31*0.1790888*245000/1000000)+(31*0.2374*100000/1000000)</f>
        <v>2.0961194359999999</v>
      </c>
      <c r="Y296" s="57"/>
      <c r="Z296" s="14"/>
      <c r="AA296" s="56"/>
      <c r="AB296" s="50">
        <f>(B296*194.205+C296*267.466+D296*133.845+E296*53.484+F296*40+G296*185+H296*0+I296*100+J296*300)/(194.205+267.466+133.845+53.484+0+40+185+100+300)</f>
        <v>13.22210038390895</v>
      </c>
      <c r="AC296" s="45">
        <f>(M296*'RAP TEMPLATE-GAS AVAILABILITY'!O295+N296*'RAP TEMPLATE-GAS AVAILABILITY'!P295+O296*'RAP TEMPLATE-GAS AVAILABILITY'!Q295+P296*'RAP TEMPLATE-GAS AVAILABILITY'!R295)/('RAP TEMPLATE-GAS AVAILABILITY'!O295+'RAP TEMPLATE-GAS AVAILABILITY'!P295+'RAP TEMPLATE-GAS AVAILABILITY'!Q295+'RAP TEMPLATE-GAS AVAILABILITY'!R295)</f>
        <v>12.98814820143885</v>
      </c>
    </row>
    <row r="297" spans="1:29" ht="15.75" x14ac:dyDescent="0.25">
      <c r="A297" s="34">
        <v>49919</v>
      </c>
      <c r="B297" s="14">
        <f>CHOOSE(CONTROL!$C$42, 12.354, 12.354) * CHOOSE(CONTROL!$C$21, $C$9, 100%, $E$9)</f>
        <v>12.353999999999999</v>
      </c>
      <c r="C297" s="14">
        <f>CHOOSE(CONTROL!$C$42, 12.362, 12.362) * CHOOSE(CONTROL!$C$21, $C$9, 100%, $E$9)</f>
        <v>12.362</v>
      </c>
      <c r="D297" s="14">
        <f>CHOOSE(CONTROL!$C$42, 12.5659, 12.5659) * CHOOSE(CONTROL!$C$21, $C$9, 100%, $E$9)</f>
        <v>12.565899999999999</v>
      </c>
      <c r="E297" s="14">
        <f>CHOOSE(CONTROL!$C$42, 12.5974, 12.5974) * CHOOSE(CONTROL!$C$21, $C$9, 100%, $E$9)</f>
        <v>12.5974</v>
      </c>
      <c r="F297" s="14">
        <f>CHOOSE(CONTROL!$C$42, 12.3359, 12.3359)*CHOOSE(CONTROL!$C$21, $C$9, 100%, $E$9)</f>
        <v>12.335900000000001</v>
      </c>
      <c r="G297" s="14">
        <f>CHOOSE(CONTROL!$C$42, 12.3518, 12.3518)*CHOOSE(CONTROL!$C$21, $C$9, 100%, $E$9)</f>
        <v>12.351800000000001</v>
      </c>
      <c r="H297" s="14">
        <f>CHOOSE(CONTROL!$C$42, 12.586, 12.586) * CHOOSE(CONTROL!$C$21, $C$9, 100%, $E$9)</f>
        <v>12.586</v>
      </c>
      <c r="I297" s="14">
        <f>CHOOSE(CONTROL!$C$42, 12.3981, 12.3981)* CHOOSE(CONTROL!$C$21, $C$9, 100%, $E$9)</f>
        <v>12.398099999999999</v>
      </c>
      <c r="J297" s="14">
        <f>CHOOSE(CONTROL!$C$42, 12.3289, 12.3289)* CHOOSE(CONTROL!$C$21, $C$9, 100%, $E$9)</f>
        <v>12.328900000000001</v>
      </c>
      <c r="K297" s="53">
        <f>CHOOSE(CONTROL!$C$42, 12.3942, 12.3942) * CHOOSE(CONTROL!$C$21, $C$9, 100%, $E$9)</f>
        <v>12.3942</v>
      </c>
      <c r="L297" s="14">
        <f>CHOOSE(CONTROL!$C$42, 13.173, 13.173) * CHOOSE(CONTROL!$C$21, $C$9, 100%, $E$9)</f>
        <v>13.173</v>
      </c>
      <c r="M297" s="14">
        <f>CHOOSE(CONTROL!$C$42, 12.0839, 12.0839) * CHOOSE(CONTROL!$C$21, $C$9, 100%, $E$9)</f>
        <v>12.0839</v>
      </c>
      <c r="N297" s="14">
        <f>CHOOSE(CONTROL!$C$42, 12.0996, 12.0996) * CHOOSE(CONTROL!$C$21, $C$9, 100%, $E$9)</f>
        <v>12.099600000000001</v>
      </c>
      <c r="O297" s="14">
        <f>CHOOSE(CONTROL!$C$42, 12.3358, 12.3358) * CHOOSE(CONTROL!$C$21, $C$9, 100%, $E$9)</f>
        <v>12.335800000000001</v>
      </c>
      <c r="P297" s="14">
        <f>CHOOSE(CONTROL!$C$42, 12.1511, 12.1511) * CHOOSE(CONTROL!$C$21, $C$9, 100%, $E$9)</f>
        <v>12.1511</v>
      </c>
      <c r="Q297" s="14">
        <f>CHOOSE(CONTROL!$C$42, 12.9305, 12.9305) * CHOOSE(CONTROL!$C$21, $C$9, 100%, $E$9)</f>
        <v>12.9305</v>
      </c>
      <c r="R297" s="14">
        <f>CHOOSE(CONTROL!$C$42, 13.5499, 13.5499) * CHOOSE(CONTROL!$C$21, $C$9, 100%, $E$9)</f>
        <v>13.549899999999999</v>
      </c>
      <c r="S297" s="14">
        <f>CHOOSE(CONTROL!$C$42, 11.8603, 11.8603) * CHOOSE(CONTROL!$C$21, $C$9, 100%, $E$9)</f>
        <v>11.860300000000001</v>
      </c>
      <c r="T29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97" s="57">
        <f>(1000*CHOOSE(CONTROL!$C$42, 695, 695)*CHOOSE(CONTROL!$C$42, 0.5599, 0.5599)*CHOOSE(CONTROL!$C$42, 30, 30))/1000000</f>
        <v>11.673914999999997</v>
      </c>
      <c r="V297" s="57">
        <f>(1000*CHOOSE(CONTROL!$C$42, 500, 500)*CHOOSE(CONTROL!$C$42, 0.275, 0.275)*CHOOSE(CONTROL!$C$42, 30, 30))/1000000</f>
        <v>4.125</v>
      </c>
      <c r="W297" s="57">
        <f>(1000*CHOOSE(CONTROL!$C$42, 0.1146, 0.1146)*CHOOSE(CONTROL!$C$42, 121.5, 121.5)*CHOOSE(CONTROL!$C$42, 30, 30))/1000000</f>
        <v>0.417717</v>
      </c>
      <c r="X297" s="57">
        <f>(30*0.1790888*245000/1000000)+(30*0.2374*100000/1000000)</f>
        <v>2.0285026799999999</v>
      </c>
      <c r="Y297" s="57"/>
      <c r="Z297" s="14"/>
      <c r="AA297" s="56"/>
      <c r="AB297" s="50">
        <f>(B297*194.205+C297*267.466+D297*133.845+E297*53.484+F297*40+G297*185+H297*0+I297*100+J297*300)/(194.205+267.466+133.845+53.484+0+40+185+100+300)</f>
        <v>12.384822989874412</v>
      </c>
      <c r="AC297" s="45">
        <f>(M297*'RAP TEMPLATE-GAS AVAILABILITY'!O296+N297*'RAP TEMPLATE-GAS AVAILABILITY'!P296+O297*'RAP TEMPLATE-GAS AVAILABILITY'!Q296+P297*'RAP TEMPLATE-GAS AVAILABILITY'!R296)/('RAP TEMPLATE-GAS AVAILABILITY'!O296+'RAP TEMPLATE-GAS AVAILABILITY'!P296+'RAP TEMPLATE-GAS AVAILABILITY'!Q296+'RAP TEMPLATE-GAS AVAILABILITY'!R296)</f>
        <v>12.167860431654677</v>
      </c>
    </row>
    <row r="298" spans="1:29" ht="15.75" x14ac:dyDescent="0.25">
      <c r="A298" s="34">
        <v>49949</v>
      </c>
      <c r="B298" s="14">
        <f>CHOOSE(CONTROL!$C$42, 12.1016, 12.1016) * CHOOSE(CONTROL!$C$21, $C$9, 100%, $E$9)</f>
        <v>12.101599999999999</v>
      </c>
      <c r="C298" s="14">
        <f>CHOOSE(CONTROL!$C$42, 12.1069, 12.1069) * CHOOSE(CONTROL!$C$21, $C$9, 100%, $E$9)</f>
        <v>12.1069</v>
      </c>
      <c r="D298" s="14">
        <f>CHOOSE(CONTROL!$C$42, 12.3158, 12.3158) * CHOOSE(CONTROL!$C$21, $C$9, 100%, $E$9)</f>
        <v>12.315799999999999</v>
      </c>
      <c r="E298" s="14">
        <f>CHOOSE(CONTROL!$C$42, 12.345, 12.345) * CHOOSE(CONTROL!$C$21, $C$9, 100%, $E$9)</f>
        <v>12.345000000000001</v>
      </c>
      <c r="F298" s="14">
        <f>CHOOSE(CONTROL!$C$42, 12.0856, 12.0856)*CHOOSE(CONTROL!$C$21, $C$9, 100%, $E$9)</f>
        <v>12.085599999999999</v>
      </c>
      <c r="G298" s="14">
        <f>CHOOSE(CONTROL!$C$42, 12.1013, 12.1013)*CHOOSE(CONTROL!$C$21, $C$9, 100%, $E$9)</f>
        <v>12.1013</v>
      </c>
      <c r="H298" s="14">
        <f>CHOOSE(CONTROL!$C$42, 12.3354, 12.3354) * CHOOSE(CONTROL!$C$21, $C$9, 100%, $E$9)</f>
        <v>12.3354</v>
      </c>
      <c r="I298" s="14">
        <f>CHOOSE(CONTROL!$C$42, 12.1467, 12.1467)* CHOOSE(CONTROL!$C$21, $C$9, 100%, $E$9)</f>
        <v>12.146699999999999</v>
      </c>
      <c r="J298" s="14">
        <f>CHOOSE(CONTROL!$C$42, 12.0786, 12.0786)* CHOOSE(CONTROL!$C$21, $C$9, 100%, $E$9)</f>
        <v>12.0786</v>
      </c>
      <c r="K298" s="53">
        <f>CHOOSE(CONTROL!$C$42, 12.1428, 12.1428) * CHOOSE(CONTROL!$C$21, $C$9, 100%, $E$9)</f>
        <v>12.142799999999999</v>
      </c>
      <c r="L298" s="14">
        <f>CHOOSE(CONTROL!$C$42, 12.9224, 12.9224) * CHOOSE(CONTROL!$C$21, $C$9, 100%, $E$9)</f>
        <v>12.9224</v>
      </c>
      <c r="M298" s="14">
        <f>CHOOSE(CONTROL!$C$42, 11.8388, 11.8388) * CHOOSE(CONTROL!$C$21, $C$9, 100%, $E$9)</f>
        <v>11.838800000000001</v>
      </c>
      <c r="N298" s="14">
        <f>CHOOSE(CONTROL!$C$42, 11.8541, 11.8541) * CHOOSE(CONTROL!$C$21, $C$9, 100%, $E$9)</f>
        <v>11.854100000000001</v>
      </c>
      <c r="O298" s="14">
        <f>CHOOSE(CONTROL!$C$42, 12.0904, 12.0904) * CHOOSE(CONTROL!$C$21, $C$9, 100%, $E$9)</f>
        <v>12.090400000000001</v>
      </c>
      <c r="P298" s="14">
        <f>CHOOSE(CONTROL!$C$42, 11.9048, 11.9048) * CHOOSE(CONTROL!$C$21, $C$9, 100%, $E$9)</f>
        <v>11.9048</v>
      </c>
      <c r="Q298" s="14">
        <f>CHOOSE(CONTROL!$C$42, 12.6851, 12.6851) * CHOOSE(CONTROL!$C$21, $C$9, 100%, $E$9)</f>
        <v>12.6851</v>
      </c>
      <c r="R298" s="14">
        <f>CHOOSE(CONTROL!$C$42, 13.3038, 13.3038) * CHOOSE(CONTROL!$C$21, $C$9, 100%, $E$9)</f>
        <v>13.303800000000001</v>
      </c>
      <c r="S298" s="14">
        <f>CHOOSE(CONTROL!$C$42, 11.6195, 11.6195) * CHOOSE(CONTROL!$C$21, $C$9, 100%, $E$9)</f>
        <v>11.6195</v>
      </c>
      <c r="T29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98" s="57">
        <f>(1000*CHOOSE(CONTROL!$C$42, 695, 695)*CHOOSE(CONTROL!$C$42, 0.5599, 0.5599)*CHOOSE(CONTROL!$C$42, 31, 31))/1000000</f>
        <v>12.063045499999998</v>
      </c>
      <c r="V298" s="57">
        <f>(1000*CHOOSE(CONTROL!$C$42, 500, 500)*CHOOSE(CONTROL!$C$42, 0.275, 0.275)*CHOOSE(CONTROL!$C$42, 31, 31))/1000000</f>
        <v>4.2625000000000002</v>
      </c>
      <c r="W298" s="57">
        <f>(1000*CHOOSE(CONTROL!$C$42, 0.1146, 0.1146)*CHOOSE(CONTROL!$C$42, 121.5, 121.5)*CHOOSE(CONTROL!$C$42, 31, 31))/1000000</f>
        <v>0.43164089999999994</v>
      </c>
      <c r="X298" s="57">
        <f>(31*0.1790888*245000/1000000)+(31*0.2374*100000/1000000)</f>
        <v>2.0961194359999999</v>
      </c>
      <c r="Y298" s="57"/>
      <c r="Z298" s="14"/>
      <c r="AA298" s="56"/>
      <c r="AB298" s="50">
        <f>(B298*131.881+C298*277.167+D298*79.08+E298*125.872+F298*40+G298*185+H298*0+I298*100+J298*300)/(131.881+277.167+79.08+125.872+0+40+185+100+300)</f>
        <v>12.138694161339789</v>
      </c>
      <c r="AC298" s="45">
        <f>(M298*'RAP TEMPLATE-GAS AVAILABILITY'!O297+N298*'RAP TEMPLATE-GAS AVAILABILITY'!P297+O298*'RAP TEMPLATE-GAS AVAILABILITY'!Q297+P298*'RAP TEMPLATE-GAS AVAILABILITY'!R297)/('RAP TEMPLATE-GAS AVAILABILITY'!O297+'RAP TEMPLATE-GAS AVAILABILITY'!P297+'RAP TEMPLATE-GAS AVAILABILITY'!Q297+'RAP TEMPLATE-GAS AVAILABILITY'!R297)</f>
        <v>11.922411510791369</v>
      </c>
    </row>
    <row r="299" spans="1:29" ht="15.75" x14ac:dyDescent="0.25">
      <c r="A299" s="34">
        <v>49980</v>
      </c>
      <c r="B299" s="14">
        <f>CHOOSE(CONTROL!$C$42, 12.4197, 12.4197) * CHOOSE(CONTROL!$C$21, $C$9, 100%, $E$9)</f>
        <v>12.419700000000001</v>
      </c>
      <c r="C299" s="14">
        <f>CHOOSE(CONTROL!$C$42, 12.4248, 12.4248) * CHOOSE(CONTROL!$C$21, $C$9, 100%, $E$9)</f>
        <v>12.424799999999999</v>
      </c>
      <c r="D299" s="14">
        <f>CHOOSE(CONTROL!$C$42, 12.4886, 12.4886) * CHOOSE(CONTROL!$C$21, $C$9, 100%, $E$9)</f>
        <v>12.4886</v>
      </c>
      <c r="E299" s="14">
        <f>CHOOSE(CONTROL!$C$42, 12.5227, 12.5227) * CHOOSE(CONTROL!$C$21, $C$9, 100%, $E$9)</f>
        <v>12.5227</v>
      </c>
      <c r="F299" s="14">
        <f>CHOOSE(CONTROL!$C$42, 12.4221, 12.4221)*CHOOSE(CONTROL!$C$21, $C$9, 100%, $E$9)</f>
        <v>12.4221</v>
      </c>
      <c r="G299" s="14">
        <f>CHOOSE(CONTROL!$C$42, 12.4381, 12.4381)*CHOOSE(CONTROL!$C$21, $C$9, 100%, $E$9)</f>
        <v>12.4381</v>
      </c>
      <c r="H299" s="14">
        <f>CHOOSE(CONTROL!$C$42, 12.5119, 12.5119) * CHOOSE(CONTROL!$C$21, $C$9, 100%, $E$9)</f>
        <v>12.511900000000001</v>
      </c>
      <c r="I299" s="14">
        <f>CHOOSE(CONTROL!$C$42, 12.4715, 12.4715)* CHOOSE(CONTROL!$C$21, $C$9, 100%, $E$9)</f>
        <v>12.471500000000001</v>
      </c>
      <c r="J299" s="14">
        <f>CHOOSE(CONTROL!$C$42, 12.4151, 12.4151)* CHOOSE(CONTROL!$C$21, $C$9, 100%, $E$9)</f>
        <v>12.415100000000001</v>
      </c>
      <c r="K299" s="53">
        <f>CHOOSE(CONTROL!$C$42, 12.4676, 12.4676) * CHOOSE(CONTROL!$C$21, $C$9, 100%, $E$9)</f>
        <v>12.467599999999999</v>
      </c>
      <c r="L299" s="14">
        <f>CHOOSE(CONTROL!$C$42, 13.0989, 13.0989) * CHOOSE(CONTROL!$C$21, $C$9, 100%, $E$9)</f>
        <v>13.0989</v>
      </c>
      <c r="M299" s="14">
        <f>CHOOSE(CONTROL!$C$42, 12.1684, 12.1684) * CHOOSE(CONTROL!$C$21, $C$9, 100%, $E$9)</f>
        <v>12.1684</v>
      </c>
      <c r="N299" s="14">
        <f>CHOOSE(CONTROL!$C$42, 12.1841, 12.1841) * CHOOSE(CONTROL!$C$21, $C$9, 100%, $E$9)</f>
        <v>12.184100000000001</v>
      </c>
      <c r="O299" s="14">
        <f>CHOOSE(CONTROL!$C$42, 12.2632, 12.2632) * CHOOSE(CONTROL!$C$21, $C$9, 100%, $E$9)</f>
        <v>12.263199999999999</v>
      </c>
      <c r="P299" s="14">
        <f>CHOOSE(CONTROL!$C$42, 12.2229, 12.2229) * CHOOSE(CONTROL!$C$21, $C$9, 100%, $E$9)</f>
        <v>12.222899999999999</v>
      </c>
      <c r="Q299" s="14">
        <f>CHOOSE(CONTROL!$C$42, 12.8579, 12.8579) * CHOOSE(CONTROL!$C$21, $C$9, 100%, $E$9)</f>
        <v>12.857900000000001</v>
      </c>
      <c r="R299" s="14">
        <f>CHOOSE(CONTROL!$C$42, 13.4771, 13.4771) * CHOOSE(CONTROL!$C$21, $C$9, 100%, $E$9)</f>
        <v>13.4771</v>
      </c>
      <c r="S299" s="14">
        <f>CHOOSE(CONTROL!$C$42, 11.9256, 11.9256) * CHOOSE(CONTROL!$C$21, $C$9, 100%, $E$9)</f>
        <v>11.925599999999999</v>
      </c>
      <c r="T29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99" s="57">
        <f>(1000*CHOOSE(CONTROL!$C$42, 695, 695)*CHOOSE(CONTROL!$C$42, 0.5599, 0.5599)*CHOOSE(CONTROL!$C$42, 30, 30))/1000000</f>
        <v>11.673914999999997</v>
      </c>
      <c r="V299" s="57">
        <f>(1000*CHOOSE(CONTROL!$C$42, 500, 500)*CHOOSE(CONTROL!$C$42, 0.275, 0.275)*CHOOSE(CONTROL!$C$42, 30, 30))/1000000</f>
        <v>4.125</v>
      </c>
      <c r="W299" s="57">
        <f>(1000*CHOOSE(CONTROL!$C$42, 0.1146, 0.1146)*CHOOSE(CONTROL!$C$42, 121.5, 121.5)*CHOOSE(CONTROL!$C$42, 30, 30))/1000000</f>
        <v>0.417717</v>
      </c>
      <c r="X299" s="57">
        <f>(30*0.1790888*100000/1000000)+(30*0.2374*100000/1000000)</f>
        <v>1.2494664</v>
      </c>
      <c r="Y299" s="57"/>
      <c r="Z299" s="14"/>
      <c r="AA299" s="56"/>
      <c r="AB299" s="50">
        <f>(B299*122.58+C299*297.941+D299*89.177+E299*40.302+F299*40+G299*160+H299*0+I299*100+J299*300)/(122.58+297.941+89.177+40.302+0+40+160+100+300)</f>
        <v>12.435921652521738</v>
      </c>
      <c r="AC299" s="45">
        <f>(M299*'RAP TEMPLATE-GAS AVAILABILITY'!O298+N299*'RAP TEMPLATE-GAS AVAILABILITY'!P298+O299*'RAP TEMPLATE-GAS AVAILABILITY'!Q298+P299*'RAP TEMPLATE-GAS AVAILABILITY'!R298)/('RAP TEMPLATE-GAS AVAILABILITY'!O298+'RAP TEMPLATE-GAS AVAILABILITY'!P298+'RAP TEMPLATE-GAS AVAILABILITY'!Q298+'RAP TEMPLATE-GAS AVAILABILITY'!R298)</f>
        <v>12.220112230215825</v>
      </c>
    </row>
    <row r="300" spans="1:29" ht="15.75" x14ac:dyDescent="0.25">
      <c r="A300" s="34">
        <v>50010</v>
      </c>
      <c r="B300" s="14">
        <f>CHOOSE(CONTROL!$C$42, 13.2658, 13.2658) * CHOOSE(CONTROL!$C$21, $C$9, 100%, $E$9)</f>
        <v>13.2658</v>
      </c>
      <c r="C300" s="14">
        <f>CHOOSE(CONTROL!$C$42, 13.2709, 13.2709) * CHOOSE(CONTROL!$C$21, $C$9, 100%, $E$9)</f>
        <v>13.270899999999999</v>
      </c>
      <c r="D300" s="14">
        <f>CHOOSE(CONTROL!$C$42, 13.3347, 13.3347) * CHOOSE(CONTROL!$C$21, $C$9, 100%, $E$9)</f>
        <v>13.3347</v>
      </c>
      <c r="E300" s="14">
        <f>CHOOSE(CONTROL!$C$42, 13.3688, 13.3688) * CHOOSE(CONTROL!$C$21, $C$9, 100%, $E$9)</f>
        <v>13.3688</v>
      </c>
      <c r="F300" s="14">
        <f>CHOOSE(CONTROL!$C$42, 13.2705, 13.2705)*CHOOSE(CONTROL!$C$21, $C$9, 100%, $E$9)</f>
        <v>13.2705</v>
      </c>
      <c r="G300" s="14">
        <f>CHOOSE(CONTROL!$C$42, 13.2871, 13.2871)*CHOOSE(CONTROL!$C$21, $C$9, 100%, $E$9)</f>
        <v>13.287100000000001</v>
      </c>
      <c r="H300" s="14">
        <f>CHOOSE(CONTROL!$C$42, 13.358, 13.358) * CHOOSE(CONTROL!$C$21, $C$9, 100%, $E$9)</f>
        <v>13.358000000000001</v>
      </c>
      <c r="I300" s="14">
        <f>CHOOSE(CONTROL!$C$42, 13.3202, 13.3202)* CHOOSE(CONTROL!$C$21, $C$9, 100%, $E$9)</f>
        <v>13.3202</v>
      </c>
      <c r="J300" s="14">
        <f>CHOOSE(CONTROL!$C$42, 13.2635, 13.2635)* CHOOSE(CONTROL!$C$21, $C$9, 100%, $E$9)</f>
        <v>13.263500000000001</v>
      </c>
      <c r="K300" s="53">
        <f>CHOOSE(CONTROL!$C$42, 13.3163, 13.3163) * CHOOSE(CONTROL!$C$21, $C$9, 100%, $E$9)</f>
        <v>13.3163</v>
      </c>
      <c r="L300" s="14">
        <f>CHOOSE(CONTROL!$C$42, 13.945, 13.945) * CHOOSE(CONTROL!$C$21, $C$9, 100%, $E$9)</f>
        <v>13.945</v>
      </c>
      <c r="M300" s="14">
        <f>CHOOSE(CONTROL!$C$42, 12.9994, 12.9994) * CHOOSE(CONTROL!$C$21, $C$9, 100%, $E$9)</f>
        <v>12.9994</v>
      </c>
      <c r="N300" s="14">
        <f>CHOOSE(CONTROL!$C$42, 13.0157, 13.0157) * CHOOSE(CONTROL!$C$21, $C$9, 100%, $E$9)</f>
        <v>13.015700000000001</v>
      </c>
      <c r="O300" s="14">
        <f>CHOOSE(CONTROL!$C$42, 13.092, 13.092) * CHOOSE(CONTROL!$C$21, $C$9, 100%, $E$9)</f>
        <v>13.092000000000001</v>
      </c>
      <c r="P300" s="14">
        <f>CHOOSE(CONTROL!$C$42, 13.0543, 13.0543) * CHOOSE(CONTROL!$C$21, $C$9, 100%, $E$9)</f>
        <v>13.0543</v>
      </c>
      <c r="Q300" s="14">
        <f>CHOOSE(CONTROL!$C$42, 13.6867, 13.6867) * CHOOSE(CONTROL!$C$21, $C$9, 100%, $E$9)</f>
        <v>13.6867</v>
      </c>
      <c r="R300" s="14">
        <f>CHOOSE(CONTROL!$C$42, 14.3079, 14.3079) * CHOOSE(CONTROL!$C$21, $C$9, 100%, $E$9)</f>
        <v>14.3079</v>
      </c>
      <c r="S300" s="14">
        <f>CHOOSE(CONTROL!$C$42, 12.7386, 12.7386) * CHOOSE(CONTROL!$C$21, $C$9, 100%, $E$9)</f>
        <v>12.7386</v>
      </c>
      <c r="T30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00" s="57">
        <f>(1000*CHOOSE(CONTROL!$C$42, 695, 695)*CHOOSE(CONTROL!$C$42, 0.5599, 0.5599)*CHOOSE(CONTROL!$C$42, 31, 31))/1000000</f>
        <v>12.063045499999998</v>
      </c>
      <c r="V300" s="57">
        <f>(1000*CHOOSE(CONTROL!$C$42, 500, 500)*CHOOSE(CONTROL!$C$42, 0.275, 0.275)*CHOOSE(CONTROL!$C$42, 31, 31))/1000000</f>
        <v>4.2625000000000002</v>
      </c>
      <c r="W300" s="57">
        <f>(1000*CHOOSE(CONTROL!$C$42, 0.1146, 0.1146)*CHOOSE(CONTROL!$C$42, 121.5, 121.5)*CHOOSE(CONTROL!$C$42, 31, 31))/1000000</f>
        <v>0.43164089999999994</v>
      </c>
      <c r="X300" s="57">
        <f>(31*0.1790888*100000/1000000)+(31*0.2374*100000/1000000)</f>
        <v>1.2911152800000001</v>
      </c>
      <c r="Y300" s="57"/>
      <c r="Z300" s="14"/>
      <c r="AA300" s="56"/>
      <c r="AB300" s="50">
        <f>(B300*122.58+C300*297.941+D300*89.177+E300*40.302+F300*40+G300*160+H300*0+I300*100+J300*300)/(122.58+297.941+89.177+40.302+0+40+160+100+300)</f>
        <v>13.28333121773913</v>
      </c>
      <c r="AC300" s="45">
        <f>(M300*'RAP TEMPLATE-GAS AVAILABILITY'!O299+N300*'RAP TEMPLATE-GAS AVAILABILITY'!P299+O300*'RAP TEMPLATE-GAS AVAILABILITY'!Q299+P300*'RAP TEMPLATE-GAS AVAILABILITY'!R299)/('RAP TEMPLATE-GAS AVAILABILITY'!O299+'RAP TEMPLATE-GAS AVAILABILITY'!P299+'RAP TEMPLATE-GAS AVAILABILITY'!Q299+'RAP TEMPLATE-GAS AVAILABILITY'!R299)</f>
        <v>13.050207194244605</v>
      </c>
    </row>
    <row r="301" spans="1:29" ht="15.75" x14ac:dyDescent="0.25">
      <c r="A301" s="34">
        <v>50041</v>
      </c>
      <c r="B301" s="14">
        <f>CHOOSE(CONTROL!$C$42, 14.3517, 14.3517) * CHOOSE(CONTROL!$C$21, $C$9, 100%, $E$9)</f>
        <v>14.351699999999999</v>
      </c>
      <c r="C301" s="14">
        <f>CHOOSE(CONTROL!$C$42, 14.3568, 14.3568) * CHOOSE(CONTROL!$C$21, $C$9, 100%, $E$9)</f>
        <v>14.3568</v>
      </c>
      <c r="D301" s="14">
        <f>CHOOSE(CONTROL!$C$42, 14.4232, 14.4232) * CHOOSE(CONTROL!$C$21, $C$9, 100%, $E$9)</f>
        <v>14.4232</v>
      </c>
      <c r="E301" s="14">
        <f>CHOOSE(CONTROL!$C$42, 14.4573, 14.4573) * CHOOSE(CONTROL!$C$21, $C$9, 100%, $E$9)</f>
        <v>14.4573</v>
      </c>
      <c r="F301" s="14">
        <f>CHOOSE(CONTROL!$C$42, 14.339, 14.339)*CHOOSE(CONTROL!$C$21, $C$9, 100%, $E$9)</f>
        <v>14.339</v>
      </c>
      <c r="G301" s="14">
        <f>CHOOSE(CONTROL!$C$42, 14.3545, 14.3545)*CHOOSE(CONTROL!$C$21, $C$9, 100%, $E$9)</f>
        <v>14.3545</v>
      </c>
      <c r="H301" s="14">
        <f>CHOOSE(CONTROL!$C$42, 14.4465, 14.4465) * CHOOSE(CONTROL!$C$21, $C$9, 100%, $E$9)</f>
        <v>14.4465</v>
      </c>
      <c r="I301" s="14">
        <f>CHOOSE(CONTROL!$C$42, 14.4043, 14.4043)* CHOOSE(CONTROL!$C$21, $C$9, 100%, $E$9)</f>
        <v>14.404299999999999</v>
      </c>
      <c r="J301" s="14">
        <f>CHOOSE(CONTROL!$C$42, 14.332, 14.332)* CHOOSE(CONTROL!$C$21, $C$9, 100%, $E$9)</f>
        <v>14.332000000000001</v>
      </c>
      <c r="K301" s="53">
        <f>CHOOSE(CONTROL!$C$42, 14.4004, 14.4004) * CHOOSE(CONTROL!$C$21, $C$9, 100%, $E$9)</f>
        <v>14.400399999999999</v>
      </c>
      <c r="L301" s="14">
        <f>CHOOSE(CONTROL!$C$42, 15.0335, 15.0335) * CHOOSE(CONTROL!$C$21, $C$9, 100%, $E$9)</f>
        <v>15.0335</v>
      </c>
      <c r="M301" s="14">
        <f>CHOOSE(CONTROL!$C$42, 14.0461, 14.0461) * CHOOSE(CONTROL!$C$21, $C$9, 100%, $E$9)</f>
        <v>14.046099999999999</v>
      </c>
      <c r="N301" s="14">
        <f>CHOOSE(CONTROL!$C$42, 14.0612, 14.0612) * CHOOSE(CONTROL!$C$21, $C$9, 100%, $E$9)</f>
        <v>14.061199999999999</v>
      </c>
      <c r="O301" s="14">
        <f>CHOOSE(CONTROL!$C$42, 14.1582, 14.1582) * CHOOSE(CONTROL!$C$21, $C$9, 100%, $E$9)</f>
        <v>14.158200000000001</v>
      </c>
      <c r="P301" s="14">
        <f>CHOOSE(CONTROL!$C$42, 14.116, 14.116) * CHOOSE(CONTROL!$C$21, $C$9, 100%, $E$9)</f>
        <v>14.116</v>
      </c>
      <c r="Q301" s="14">
        <f>CHOOSE(CONTROL!$C$42, 14.7529, 14.7529) * CHOOSE(CONTROL!$C$21, $C$9, 100%, $E$9)</f>
        <v>14.7529</v>
      </c>
      <c r="R301" s="14">
        <f>CHOOSE(CONTROL!$C$42, 15.3768, 15.3768) * CHOOSE(CONTROL!$C$21, $C$9, 100%, $E$9)</f>
        <v>15.376799999999999</v>
      </c>
      <c r="S301" s="14">
        <f>CHOOSE(CONTROL!$C$42, 13.782, 13.782) * CHOOSE(CONTROL!$C$21, $C$9, 100%, $E$9)</f>
        <v>13.782</v>
      </c>
      <c r="T30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01" s="57">
        <f>(1000*CHOOSE(CONTROL!$C$42, 695, 695)*CHOOSE(CONTROL!$C$42, 0.5599, 0.5599)*CHOOSE(CONTROL!$C$42, 31, 31))/1000000</f>
        <v>12.063045499999998</v>
      </c>
      <c r="V301" s="57">
        <f>(1000*CHOOSE(CONTROL!$C$42, 500, 500)*CHOOSE(CONTROL!$C$42, 0.275, 0.275)*CHOOSE(CONTROL!$C$42, 31, 31))/1000000</f>
        <v>4.2625000000000002</v>
      </c>
      <c r="W301" s="57">
        <f>(1000*CHOOSE(CONTROL!$C$42, 0.1146, 0.1146)*CHOOSE(CONTROL!$C$42, 121.5, 121.5)*CHOOSE(CONTROL!$C$42, 31, 31))/1000000</f>
        <v>0.43164089999999994</v>
      </c>
      <c r="X301" s="57">
        <f>(31*0.1790888*100000/1000000)+(31*0.2374*100000/1000000)</f>
        <v>1.2911152800000001</v>
      </c>
      <c r="Y301" s="57"/>
      <c r="Z301" s="14"/>
      <c r="AA301" s="56"/>
      <c r="AB301" s="50">
        <f>(B301*122.58+C301*297.941+D301*89.177+E301*40.302+F301*40+G301*160+H301*0+I301*100+J301*300)/(122.58+297.941+89.177+40.302+0+40+160+100+300)</f>
        <v>14.361649170260868</v>
      </c>
      <c r="AC301" s="45">
        <f>(M301*'RAP TEMPLATE-GAS AVAILABILITY'!O300+N301*'RAP TEMPLATE-GAS AVAILABILITY'!P300+O301*'RAP TEMPLATE-GAS AVAILABILITY'!Q300+P301*'RAP TEMPLATE-GAS AVAILABILITY'!R300)/('RAP TEMPLATE-GAS AVAILABILITY'!O300+'RAP TEMPLATE-GAS AVAILABILITY'!P300+'RAP TEMPLATE-GAS AVAILABILITY'!Q300+'RAP TEMPLATE-GAS AVAILABILITY'!R300)</f>
        <v>14.107834532374103</v>
      </c>
    </row>
    <row r="302" spans="1:29" ht="15.75" x14ac:dyDescent="0.25">
      <c r="A302" s="34">
        <v>50072</v>
      </c>
      <c r="B302" s="14">
        <f>CHOOSE(CONTROL!$C$42, 14.607, 14.607) * CHOOSE(CONTROL!$C$21, $C$9, 100%, $E$9)</f>
        <v>14.606999999999999</v>
      </c>
      <c r="C302" s="14">
        <f>CHOOSE(CONTROL!$C$42, 14.6121, 14.6121) * CHOOSE(CONTROL!$C$21, $C$9, 100%, $E$9)</f>
        <v>14.6121</v>
      </c>
      <c r="D302" s="14">
        <f>CHOOSE(CONTROL!$C$42, 14.6785, 14.6785) * CHOOSE(CONTROL!$C$21, $C$9, 100%, $E$9)</f>
        <v>14.6785</v>
      </c>
      <c r="E302" s="14">
        <f>CHOOSE(CONTROL!$C$42, 14.7126, 14.7126) * CHOOSE(CONTROL!$C$21, $C$9, 100%, $E$9)</f>
        <v>14.7126</v>
      </c>
      <c r="F302" s="14">
        <f>CHOOSE(CONTROL!$C$42, 14.5944, 14.5944)*CHOOSE(CONTROL!$C$21, $C$9, 100%, $E$9)</f>
        <v>14.5944</v>
      </c>
      <c r="G302" s="14">
        <f>CHOOSE(CONTROL!$C$42, 14.6099, 14.6099)*CHOOSE(CONTROL!$C$21, $C$9, 100%, $E$9)</f>
        <v>14.6099</v>
      </c>
      <c r="H302" s="14">
        <f>CHOOSE(CONTROL!$C$42, 14.7018, 14.7018) * CHOOSE(CONTROL!$C$21, $C$9, 100%, $E$9)</f>
        <v>14.7018</v>
      </c>
      <c r="I302" s="14">
        <f>CHOOSE(CONTROL!$C$42, 14.6604, 14.6604)* CHOOSE(CONTROL!$C$21, $C$9, 100%, $E$9)</f>
        <v>14.660399999999999</v>
      </c>
      <c r="J302" s="14">
        <f>CHOOSE(CONTROL!$C$42, 14.5874, 14.5874)* CHOOSE(CONTROL!$C$21, $C$9, 100%, $E$9)</f>
        <v>14.587400000000001</v>
      </c>
      <c r="K302" s="53">
        <f>CHOOSE(CONTROL!$C$42, 14.6565, 14.6565) * CHOOSE(CONTROL!$C$21, $C$9, 100%, $E$9)</f>
        <v>14.656499999999999</v>
      </c>
      <c r="L302" s="14">
        <f>CHOOSE(CONTROL!$C$42, 15.2888, 15.2888) * CHOOSE(CONTROL!$C$21, $C$9, 100%, $E$9)</f>
        <v>15.2888</v>
      </c>
      <c r="M302" s="14">
        <f>CHOOSE(CONTROL!$C$42, 14.2962, 14.2962) * CHOOSE(CONTROL!$C$21, $C$9, 100%, $E$9)</f>
        <v>14.296200000000001</v>
      </c>
      <c r="N302" s="14">
        <f>CHOOSE(CONTROL!$C$42, 14.3114, 14.3114) * CHOOSE(CONTROL!$C$21, $C$9, 100%, $E$9)</f>
        <v>14.311400000000001</v>
      </c>
      <c r="O302" s="14">
        <f>CHOOSE(CONTROL!$C$42, 14.4083, 14.4083) * CHOOSE(CONTROL!$C$21, $C$9, 100%, $E$9)</f>
        <v>14.408300000000001</v>
      </c>
      <c r="P302" s="14">
        <f>CHOOSE(CONTROL!$C$42, 14.3669, 14.3669) * CHOOSE(CONTROL!$C$21, $C$9, 100%, $E$9)</f>
        <v>14.366899999999999</v>
      </c>
      <c r="Q302" s="14">
        <f>CHOOSE(CONTROL!$C$42, 15.003, 15.003) * CHOOSE(CONTROL!$C$21, $C$9, 100%, $E$9)</f>
        <v>15.003</v>
      </c>
      <c r="R302" s="14">
        <f>CHOOSE(CONTROL!$C$42, 15.6275, 15.6275) * CHOOSE(CONTROL!$C$21, $C$9, 100%, $E$9)</f>
        <v>15.6275</v>
      </c>
      <c r="S302" s="14">
        <f>CHOOSE(CONTROL!$C$42, 14.0273, 14.0273) * CHOOSE(CONTROL!$C$21, $C$9, 100%, $E$9)</f>
        <v>14.0273</v>
      </c>
      <c r="T30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02" s="57">
        <f>(1000*CHOOSE(CONTROL!$C$42, 695, 695)*CHOOSE(CONTROL!$C$42, 0.5599, 0.5599)*CHOOSE(CONTROL!$C$42, 28, 28))/1000000</f>
        <v>10.895653999999999</v>
      </c>
      <c r="V302" s="57">
        <f>(1000*CHOOSE(CONTROL!$C$42, 500, 500)*CHOOSE(CONTROL!$C$42, 0.275, 0.275)*CHOOSE(CONTROL!$C$42, 28, 28))/1000000</f>
        <v>3.85</v>
      </c>
      <c r="W302" s="57">
        <f>(1000*CHOOSE(CONTROL!$C$42, 0.1146, 0.1146)*CHOOSE(CONTROL!$C$42, 121.5, 121.5)*CHOOSE(CONTROL!$C$42, 28, 28))/1000000</f>
        <v>0.38986920000000003</v>
      </c>
      <c r="X302" s="57">
        <f>(28*0.1790888*100000/1000000)+(28*0.2374*100000/1000000)</f>
        <v>1.16616864</v>
      </c>
      <c r="Y302" s="57"/>
      <c r="Z302" s="14"/>
      <c r="AA302" s="56"/>
      <c r="AB302" s="50">
        <f>(B302*122.58+C302*297.941+D302*89.177+E302*40.302+F302*40+G302*160+H302*0+I302*100+J302*300)/(122.58+297.941+89.177+40.302+0+40+160+100+300)</f>
        <v>14.61706221373913</v>
      </c>
      <c r="AC302" s="45">
        <f>(M302*'RAP TEMPLATE-GAS AVAILABILITY'!O301+N302*'RAP TEMPLATE-GAS AVAILABILITY'!P301+O302*'RAP TEMPLATE-GAS AVAILABILITY'!Q301+P302*'RAP TEMPLATE-GAS AVAILABILITY'!R301)/('RAP TEMPLATE-GAS AVAILABILITY'!O301+'RAP TEMPLATE-GAS AVAILABILITY'!P301+'RAP TEMPLATE-GAS AVAILABILITY'!Q301+'RAP TEMPLATE-GAS AVAILABILITY'!R301)</f>
        <v>14.358055395683456</v>
      </c>
    </row>
    <row r="303" spans="1:29" ht="15.75" x14ac:dyDescent="0.25">
      <c r="A303" s="34">
        <v>50100</v>
      </c>
      <c r="B303" s="14">
        <f>CHOOSE(CONTROL!$C$42, 14.1926, 14.1926) * CHOOSE(CONTROL!$C$21, $C$9, 100%, $E$9)</f>
        <v>14.192600000000001</v>
      </c>
      <c r="C303" s="14">
        <f>CHOOSE(CONTROL!$C$42, 14.1977, 14.1977) * CHOOSE(CONTROL!$C$21, $C$9, 100%, $E$9)</f>
        <v>14.197699999999999</v>
      </c>
      <c r="D303" s="14">
        <f>CHOOSE(CONTROL!$C$42, 14.2641, 14.2641) * CHOOSE(CONTROL!$C$21, $C$9, 100%, $E$9)</f>
        <v>14.264099999999999</v>
      </c>
      <c r="E303" s="14">
        <f>CHOOSE(CONTROL!$C$42, 14.2982, 14.2982) * CHOOSE(CONTROL!$C$21, $C$9, 100%, $E$9)</f>
        <v>14.2982</v>
      </c>
      <c r="F303" s="14">
        <f>CHOOSE(CONTROL!$C$42, 14.1796, 14.1796)*CHOOSE(CONTROL!$C$21, $C$9, 100%, $E$9)</f>
        <v>14.179600000000001</v>
      </c>
      <c r="G303" s="14">
        <f>CHOOSE(CONTROL!$C$42, 14.195, 14.195)*CHOOSE(CONTROL!$C$21, $C$9, 100%, $E$9)</f>
        <v>14.195</v>
      </c>
      <c r="H303" s="14">
        <f>CHOOSE(CONTROL!$C$42, 14.2874, 14.2874) * CHOOSE(CONTROL!$C$21, $C$9, 100%, $E$9)</f>
        <v>14.2874</v>
      </c>
      <c r="I303" s="14">
        <f>CHOOSE(CONTROL!$C$42, 14.2447, 14.2447)* CHOOSE(CONTROL!$C$21, $C$9, 100%, $E$9)</f>
        <v>14.2447</v>
      </c>
      <c r="J303" s="14">
        <f>CHOOSE(CONTROL!$C$42, 14.1726, 14.1726)* CHOOSE(CONTROL!$C$21, $C$9, 100%, $E$9)</f>
        <v>14.172599999999999</v>
      </c>
      <c r="K303" s="53">
        <f>CHOOSE(CONTROL!$C$42, 14.2408, 14.2408) * CHOOSE(CONTROL!$C$21, $C$9, 100%, $E$9)</f>
        <v>14.2408</v>
      </c>
      <c r="L303" s="14">
        <f>CHOOSE(CONTROL!$C$42, 14.8744, 14.8744) * CHOOSE(CONTROL!$C$21, $C$9, 100%, $E$9)</f>
        <v>14.8744</v>
      </c>
      <c r="M303" s="14">
        <f>CHOOSE(CONTROL!$C$42, 13.8899, 13.8899) * CHOOSE(CONTROL!$C$21, $C$9, 100%, $E$9)</f>
        <v>13.889900000000001</v>
      </c>
      <c r="N303" s="14">
        <f>CHOOSE(CONTROL!$C$42, 13.905, 13.905) * CHOOSE(CONTROL!$C$21, $C$9, 100%, $E$9)</f>
        <v>13.904999999999999</v>
      </c>
      <c r="O303" s="14">
        <f>CHOOSE(CONTROL!$C$42, 14.0023, 14.0023) * CHOOSE(CONTROL!$C$21, $C$9, 100%, $E$9)</f>
        <v>14.0023</v>
      </c>
      <c r="P303" s="14">
        <f>CHOOSE(CONTROL!$C$42, 13.9597, 13.9597) * CHOOSE(CONTROL!$C$21, $C$9, 100%, $E$9)</f>
        <v>13.9597</v>
      </c>
      <c r="Q303" s="14">
        <f>CHOOSE(CONTROL!$C$42, 14.597, 14.597) * CHOOSE(CONTROL!$C$21, $C$9, 100%, $E$9)</f>
        <v>14.597</v>
      </c>
      <c r="R303" s="14">
        <f>CHOOSE(CONTROL!$C$42, 15.2205, 15.2205) * CHOOSE(CONTROL!$C$21, $C$9, 100%, $E$9)</f>
        <v>15.220499999999999</v>
      </c>
      <c r="S303" s="14">
        <f>CHOOSE(CONTROL!$C$42, 13.6291, 13.6291) * CHOOSE(CONTROL!$C$21, $C$9, 100%, $E$9)</f>
        <v>13.629099999999999</v>
      </c>
      <c r="T30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03" s="57">
        <f>(1000*CHOOSE(CONTROL!$C$42, 695, 695)*CHOOSE(CONTROL!$C$42, 0.5599, 0.5599)*CHOOSE(CONTROL!$C$42, 31, 31))/1000000</f>
        <v>12.063045499999998</v>
      </c>
      <c r="V303" s="57">
        <f>(1000*CHOOSE(CONTROL!$C$42, 500, 500)*CHOOSE(CONTROL!$C$42, 0.275, 0.275)*CHOOSE(CONTROL!$C$42, 31, 31))/1000000</f>
        <v>4.2625000000000002</v>
      </c>
      <c r="W303" s="57">
        <f>(1000*CHOOSE(CONTROL!$C$42, 0.1146, 0.1146)*CHOOSE(CONTROL!$C$42, 121.5, 121.5)*CHOOSE(CONTROL!$C$42, 31, 31))/1000000</f>
        <v>0.43164089999999994</v>
      </c>
      <c r="X303" s="57">
        <f>(31*0.1790888*100000/1000000)+(31*0.2374*100000/1000000)</f>
        <v>1.2911152800000001</v>
      </c>
      <c r="Y303" s="57"/>
      <c r="Z303" s="14"/>
      <c r="AA303" s="56"/>
      <c r="AB303" s="50">
        <f>(B303*122.58+C303*297.941+D303*89.177+E303*40.302+F303*40+G303*160+H303*0+I303*100+J303*300)/(122.58+297.941+89.177+40.302+0+40+160+100+300)</f>
        <v>14.20236134417391</v>
      </c>
      <c r="AC303" s="45">
        <f>(M303*'RAP TEMPLATE-GAS AVAILABILITY'!O302+N303*'RAP TEMPLATE-GAS AVAILABILITY'!P302+O303*'RAP TEMPLATE-GAS AVAILABILITY'!Q302+P303*'RAP TEMPLATE-GAS AVAILABILITY'!R302)/('RAP TEMPLATE-GAS AVAILABILITY'!O302+'RAP TEMPLATE-GAS AVAILABILITY'!P302+'RAP TEMPLATE-GAS AVAILABILITY'!Q302+'RAP TEMPLATE-GAS AVAILABILITY'!R302)</f>
        <v>13.951756115107912</v>
      </c>
    </row>
    <row r="304" spans="1:29" ht="15.75" x14ac:dyDescent="0.25">
      <c r="A304" s="34">
        <v>50131</v>
      </c>
      <c r="B304" s="14">
        <f>CHOOSE(CONTROL!$C$42, 14.1513, 14.1513) * CHOOSE(CONTROL!$C$21, $C$9, 100%, $E$9)</f>
        <v>14.151300000000001</v>
      </c>
      <c r="C304" s="14">
        <f>CHOOSE(CONTROL!$C$42, 14.1558, 14.1558) * CHOOSE(CONTROL!$C$21, $C$9, 100%, $E$9)</f>
        <v>14.155799999999999</v>
      </c>
      <c r="D304" s="14">
        <f>CHOOSE(CONTROL!$C$42, 14.3629, 14.3629) * CHOOSE(CONTROL!$C$21, $C$9, 100%, $E$9)</f>
        <v>14.3629</v>
      </c>
      <c r="E304" s="14">
        <f>CHOOSE(CONTROL!$C$42, 14.395, 14.395) * CHOOSE(CONTROL!$C$21, $C$9, 100%, $E$9)</f>
        <v>14.395</v>
      </c>
      <c r="F304" s="14">
        <f>CHOOSE(CONTROL!$C$42, 14.1332, 14.1332)*CHOOSE(CONTROL!$C$21, $C$9, 100%, $E$9)</f>
        <v>14.1332</v>
      </c>
      <c r="G304" s="14">
        <f>CHOOSE(CONTROL!$C$42, 14.1484, 14.1484)*CHOOSE(CONTROL!$C$21, $C$9, 100%, $E$9)</f>
        <v>14.148400000000001</v>
      </c>
      <c r="H304" s="14">
        <f>CHOOSE(CONTROL!$C$42, 14.3848, 14.3848) * CHOOSE(CONTROL!$C$21, $C$9, 100%, $E$9)</f>
        <v>14.3848</v>
      </c>
      <c r="I304" s="14">
        <f>CHOOSE(CONTROL!$C$42, 14.2025, 14.2025)* CHOOSE(CONTROL!$C$21, $C$9, 100%, $E$9)</f>
        <v>14.202500000000001</v>
      </c>
      <c r="J304" s="14">
        <f>CHOOSE(CONTROL!$C$42, 14.1262, 14.1262)* CHOOSE(CONTROL!$C$21, $C$9, 100%, $E$9)</f>
        <v>14.126200000000001</v>
      </c>
      <c r="K304" s="53">
        <f>CHOOSE(CONTROL!$C$42, 14.1986, 14.1986) * CHOOSE(CONTROL!$C$21, $C$9, 100%, $E$9)</f>
        <v>14.198600000000001</v>
      </c>
      <c r="L304" s="14">
        <f>CHOOSE(CONTROL!$C$42, 14.9718, 14.9718) * CHOOSE(CONTROL!$C$21, $C$9, 100%, $E$9)</f>
        <v>14.9718</v>
      </c>
      <c r="M304" s="14">
        <f>CHOOSE(CONTROL!$C$42, 13.8444, 13.8444) * CHOOSE(CONTROL!$C$21, $C$9, 100%, $E$9)</f>
        <v>13.8444</v>
      </c>
      <c r="N304" s="14">
        <f>CHOOSE(CONTROL!$C$42, 13.8593, 13.8593) * CHOOSE(CONTROL!$C$21, $C$9, 100%, $E$9)</f>
        <v>13.859299999999999</v>
      </c>
      <c r="O304" s="14">
        <f>CHOOSE(CONTROL!$C$42, 14.0977, 14.0977) * CHOOSE(CONTROL!$C$21, $C$9, 100%, $E$9)</f>
        <v>14.0977</v>
      </c>
      <c r="P304" s="14">
        <f>CHOOSE(CONTROL!$C$42, 13.9183, 13.9183) * CHOOSE(CONTROL!$C$21, $C$9, 100%, $E$9)</f>
        <v>13.9183</v>
      </c>
      <c r="Q304" s="14">
        <f>CHOOSE(CONTROL!$C$42, 14.6924, 14.6924) * CHOOSE(CONTROL!$C$21, $C$9, 100%, $E$9)</f>
        <v>14.692399999999999</v>
      </c>
      <c r="R304" s="14">
        <f>CHOOSE(CONTROL!$C$42, 15.3161, 15.3161) * CHOOSE(CONTROL!$C$21, $C$9, 100%, $E$9)</f>
        <v>15.3161</v>
      </c>
      <c r="S304" s="14">
        <f>CHOOSE(CONTROL!$C$42, 13.5887, 13.5887) * CHOOSE(CONTROL!$C$21, $C$9, 100%, $E$9)</f>
        <v>13.588699999999999</v>
      </c>
      <c r="T30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04" s="57">
        <f>(1000*CHOOSE(CONTROL!$C$42, 695, 695)*CHOOSE(CONTROL!$C$42, 0.5599, 0.5599)*CHOOSE(CONTROL!$C$42, 30, 30))/1000000</f>
        <v>11.673914999999997</v>
      </c>
      <c r="V304" s="57">
        <f>(1000*CHOOSE(CONTROL!$C$42, 500, 500)*CHOOSE(CONTROL!$C$42, 0.275, 0.275)*CHOOSE(CONTROL!$C$42, 30, 30))/1000000</f>
        <v>4.125</v>
      </c>
      <c r="W304" s="57">
        <f>(1000*CHOOSE(CONTROL!$C$42, 0.1146, 0.1146)*CHOOSE(CONTROL!$C$42, 121.5, 121.5)*CHOOSE(CONTROL!$C$42, 30, 30))/1000000</f>
        <v>0.417717</v>
      </c>
      <c r="X304" s="57">
        <f>(30*0.1790888*245000/1000000)+(30*0.2374*100000/1000000)</f>
        <v>2.0285026799999999</v>
      </c>
      <c r="Y304" s="57"/>
      <c r="Z304" s="14"/>
      <c r="AA304" s="56"/>
      <c r="AB304" s="50">
        <f>(B304*141.293+C304*267.993+D304*115.016+E304*89.698+F304*40+G304*185+H304*0+I304*100+J304*300)/(141.293+267.993+115.016+89.698+0+40+185+100+300)</f>
        <v>14.186596413801453</v>
      </c>
      <c r="AC304" s="45">
        <f>(M304*'RAP TEMPLATE-GAS AVAILABILITY'!O303+N304*'RAP TEMPLATE-GAS AVAILABILITY'!P303+O304*'RAP TEMPLATE-GAS AVAILABILITY'!Q303+P304*'RAP TEMPLATE-GAS AVAILABILITY'!R303)/('RAP TEMPLATE-GAS AVAILABILITY'!O303+'RAP TEMPLATE-GAS AVAILABILITY'!P303+'RAP TEMPLATE-GAS AVAILABILITY'!Q303+'RAP TEMPLATE-GAS AVAILABILITY'!R303)</f>
        <v>13.92953309352518</v>
      </c>
    </row>
    <row r="305" spans="1:29" ht="15.75" x14ac:dyDescent="0.25">
      <c r="A305" s="34">
        <v>50161</v>
      </c>
      <c r="B305" s="14">
        <f>CHOOSE(CONTROL!$C$42, 14.2775, 14.2775) * CHOOSE(CONTROL!$C$21, $C$9, 100%, $E$9)</f>
        <v>14.2775</v>
      </c>
      <c r="C305" s="14">
        <f>CHOOSE(CONTROL!$C$42, 14.2855, 14.2855) * CHOOSE(CONTROL!$C$21, $C$9, 100%, $E$9)</f>
        <v>14.285500000000001</v>
      </c>
      <c r="D305" s="14">
        <f>CHOOSE(CONTROL!$C$42, 14.4895, 14.4895) * CHOOSE(CONTROL!$C$21, $C$9, 100%, $E$9)</f>
        <v>14.4895</v>
      </c>
      <c r="E305" s="14">
        <f>CHOOSE(CONTROL!$C$42, 14.5209, 14.5209) * CHOOSE(CONTROL!$C$21, $C$9, 100%, $E$9)</f>
        <v>14.520899999999999</v>
      </c>
      <c r="F305" s="14">
        <f>CHOOSE(CONTROL!$C$42, 14.2582, 14.2582)*CHOOSE(CONTROL!$C$21, $C$9, 100%, $E$9)</f>
        <v>14.2582</v>
      </c>
      <c r="G305" s="14">
        <f>CHOOSE(CONTROL!$C$42, 14.2739, 14.2739)*CHOOSE(CONTROL!$C$21, $C$9, 100%, $E$9)</f>
        <v>14.273899999999999</v>
      </c>
      <c r="H305" s="14">
        <f>CHOOSE(CONTROL!$C$42, 14.5096, 14.5096) * CHOOSE(CONTROL!$C$21, $C$9, 100%, $E$9)</f>
        <v>14.509600000000001</v>
      </c>
      <c r="I305" s="14">
        <f>CHOOSE(CONTROL!$C$42, 14.3277, 14.3277)* CHOOSE(CONTROL!$C$21, $C$9, 100%, $E$9)</f>
        <v>14.3277</v>
      </c>
      <c r="J305" s="14">
        <f>CHOOSE(CONTROL!$C$42, 14.2512, 14.2512)* CHOOSE(CONTROL!$C$21, $C$9, 100%, $E$9)</f>
        <v>14.251200000000001</v>
      </c>
      <c r="K305" s="53">
        <f>CHOOSE(CONTROL!$C$42, 14.3238, 14.3238) * CHOOSE(CONTROL!$C$21, $C$9, 100%, $E$9)</f>
        <v>14.3238</v>
      </c>
      <c r="L305" s="14">
        <f>CHOOSE(CONTROL!$C$42, 15.0966, 15.0966) * CHOOSE(CONTROL!$C$21, $C$9, 100%, $E$9)</f>
        <v>15.0966</v>
      </c>
      <c r="M305" s="14">
        <f>CHOOSE(CONTROL!$C$42, 13.9669, 13.9669) * CHOOSE(CONTROL!$C$21, $C$9, 100%, $E$9)</f>
        <v>13.966900000000001</v>
      </c>
      <c r="N305" s="14">
        <f>CHOOSE(CONTROL!$C$42, 13.9823, 13.9823) * CHOOSE(CONTROL!$C$21, $C$9, 100%, $E$9)</f>
        <v>13.9823</v>
      </c>
      <c r="O305" s="14">
        <f>CHOOSE(CONTROL!$C$42, 14.22, 14.22) * CHOOSE(CONTROL!$C$21, $C$9, 100%, $E$9)</f>
        <v>14.22</v>
      </c>
      <c r="P305" s="14">
        <f>CHOOSE(CONTROL!$C$42, 14.041, 14.041) * CHOOSE(CONTROL!$C$21, $C$9, 100%, $E$9)</f>
        <v>14.041</v>
      </c>
      <c r="Q305" s="14">
        <f>CHOOSE(CONTROL!$C$42, 14.8147, 14.8147) * CHOOSE(CONTROL!$C$21, $C$9, 100%, $E$9)</f>
        <v>14.8147</v>
      </c>
      <c r="R305" s="14">
        <f>CHOOSE(CONTROL!$C$42, 15.4387, 15.4387) * CHOOSE(CONTROL!$C$21, $C$9, 100%, $E$9)</f>
        <v>15.438700000000001</v>
      </c>
      <c r="S305" s="14">
        <f>CHOOSE(CONTROL!$C$42, 13.7086, 13.7086) * CHOOSE(CONTROL!$C$21, $C$9, 100%, $E$9)</f>
        <v>13.708600000000001</v>
      </c>
      <c r="T30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05" s="57">
        <f>(1000*CHOOSE(CONTROL!$C$42, 695, 695)*CHOOSE(CONTROL!$C$42, 0.5599, 0.5599)*CHOOSE(CONTROL!$C$42, 31, 31))/1000000</f>
        <v>12.063045499999998</v>
      </c>
      <c r="V305" s="57">
        <f>(1000*CHOOSE(CONTROL!$C$42, 500, 500)*CHOOSE(CONTROL!$C$42, 0.275, 0.275)*CHOOSE(CONTROL!$C$42, 31, 31))/1000000</f>
        <v>4.2625000000000002</v>
      </c>
      <c r="W305" s="57">
        <f>(1000*CHOOSE(CONTROL!$C$42, 0.1146, 0.1146)*CHOOSE(CONTROL!$C$42, 121.5, 121.5)*CHOOSE(CONTROL!$C$42, 31, 31))/1000000</f>
        <v>0.43164089999999994</v>
      </c>
      <c r="X305" s="57">
        <f>(31*0.1790888*245000/1000000)+(31*0.2374*100000/1000000)</f>
        <v>2.0961194359999999</v>
      </c>
      <c r="Y305" s="57"/>
      <c r="Z305" s="14"/>
      <c r="AA305" s="56"/>
      <c r="AB305" s="50">
        <f>(B305*194.205+C305*267.466+D305*133.845+E305*53.484+F305*40+G305*185+H305*0+I305*100+J305*300)/(194.205+267.466+133.845+53.484+0+40+185+100+300)</f>
        <v>14.308288754788069</v>
      </c>
      <c r="AC305" s="45">
        <f>(M305*'RAP TEMPLATE-GAS AVAILABILITY'!O304+N305*'RAP TEMPLATE-GAS AVAILABILITY'!P304+O305*'RAP TEMPLATE-GAS AVAILABILITY'!Q304+P305*'RAP TEMPLATE-GAS AVAILABILITY'!R304)/('RAP TEMPLATE-GAS AVAILABILITY'!O304+'RAP TEMPLATE-GAS AVAILABILITY'!P304+'RAP TEMPLATE-GAS AVAILABILITY'!Q304+'RAP TEMPLATE-GAS AVAILABILITY'!R304)</f>
        <v>14.052120863309353</v>
      </c>
    </row>
    <row r="306" spans="1:29" ht="15.75" x14ac:dyDescent="0.25">
      <c r="A306" s="34">
        <v>50192</v>
      </c>
      <c r="B306" s="14">
        <f>CHOOSE(CONTROL!$C$42, 14.6822, 14.6822) * CHOOSE(CONTROL!$C$21, $C$9, 100%, $E$9)</f>
        <v>14.6822</v>
      </c>
      <c r="C306" s="14">
        <f>CHOOSE(CONTROL!$C$42, 14.6902, 14.6902) * CHOOSE(CONTROL!$C$21, $C$9, 100%, $E$9)</f>
        <v>14.690200000000001</v>
      </c>
      <c r="D306" s="14">
        <f>CHOOSE(CONTROL!$C$42, 14.8941, 14.8941) * CHOOSE(CONTROL!$C$21, $C$9, 100%, $E$9)</f>
        <v>14.8941</v>
      </c>
      <c r="E306" s="14">
        <f>CHOOSE(CONTROL!$C$42, 14.9256, 14.9256) * CHOOSE(CONTROL!$C$21, $C$9, 100%, $E$9)</f>
        <v>14.925599999999999</v>
      </c>
      <c r="F306" s="14">
        <f>CHOOSE(CONTROL!$C$42, 14.6633, 14.6633)*CHOOSE(CONTROL!$C$21, $C$9, 100%, $E$9)</f>
        <v>14.6633</v>
      </c>
      <c r="G306" s="14">
        <f>CHOOSE(CONTROL!$C$42, 14.6791, 14.6791)*CHOOSE(CONTROL!$C$21, $C$9, 100%, $E$9)</f>
        <v>14.6791</v>
      </c>
      <c r="H306" s="14">
        <f>CHOOSE(CONTROL!$C$42, 14.9142, 14.9142) * CHOOSE(CONTROL!$C$21, $C$9, 100%, $E$9)</f>
        <v>14.914199999999999</v>
      </c>
      <c r="I306" s="14">
        <f>CHOOSE(CONTROL!$C$42, 14.7336, 14.7336)* CHOOSE(CONTROL!$C$21, $C$9, 100%, $E$9)</f>
        <v>14.733599999999999</v>
      </c>
      <c r="J306" s="14">
        <f>CHOOSE(CONTROL!$C$42, 14.6563, 14.6563)* CHOOSE(CONTROL!$C$21, $C$9, 100%, $E$9)</f>
        <v>14.6563</v>
      </c>
      <c r="K306" s="53">
        <f>CHOOSE(CONTROL!$C$42, 14.7297, 14.7297) * CHOOSE(CONTROL!$C$21, $C$9, 100%, $E$9)</f>
        <v>14.729699999999999</v>
      </c>
      <c r="L306" s="14">
        <f>CHOOSE(CONTROL!$C$42, 15.5012, 15.5012) * CHOOSE(CONTROL!$C$21, $C$9, 100%, $E$9)</f>
        <v>15.501200000000001</v>
      </c>
      <c r="M306" s="14">
        <f>CHOOSE(CONTROL!$C$42, 14.3637, 14.3637) * CHOOSE(CONTROL!$C$21, $C$9, 100%, $E$9)</f>
        <v>14.3637</v>
      </c>
      <c r="N306" s="14">
        <f>CHOOSE(CONTROL!$C$42, 14.3792, 14.3792) * CHOOSE(CONTROL!$C$21, $C$9, 100%, $E$9)</f>
        <v>14.379200000000001</v>
      </c>
      <c r="O306" s="14">
        <f>CHOOSE(CONTROL!$C$42, 14.6163, 14.6163) * CHOOSE(CONTROL!$C$21, $C$9, 100%, $E$9)</f>
        <v>14.616300000000001</v>
      </c>
      <c r="P306" s="14">
        <f>CHOOSE(CONTROL!$C$42, 14.4385, 14.4385) * CHOOSE(CONTROL!$C$21, $C$9, 100%, $E$9)</f>
        <v>14.438499999999999</v>
      </c>
      <c r="Q306" s="14">
        <f>CHOOSE(CONTROL!$C$42, 15.211, 15.211) * CHOOSE(CONTROL!$C$21, $C$9, 100%, $E$9)</f>
        <v>15.211</v>
      </c>
      <c r="R306" s="14">
        <f>CHOOSE(CONTROL!$C$42, 15.8361, 15.8361) * CHOOSE(CONTROL!$C$21, $C$9, 100%, $E$9)</f>
        <v>15.8361</v>
      </c>
      <c r="S306" s="14">
        <f>CHOOSE(CONTROL!$C$42, 14.0975, 14.0975) * CHOOSE(CONTROL!$C$21, $C$9, 100%, $E$9)</f>
        <v>14.0975</v>
      </c>
      <c r="T30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06" s="57">
        <f>(1000*CHOOSE(CONTROL!$C$42, 695, 695)*CHOOSE(CONTROL!$C$42, 0.5599, 0.5599)*CHOOSE(CONTROL!$C$42, 30, 30))/1000000</f>
        <v>11.673914999999997</v>
      </c>
      <c r="V306" s="57">
        <f>(1000*CHOOSE(CONTROL!$C$42, 500, 500)*CHOOSE(CONTROL!$C$42, 0.275, 0.275)*CHOOSE(CONTROL!$C$42, 30, 30))/1000000</f>
        <v>4.125</v>
      </c>
      <c r="W306" s="57">
        <f>(1000*CHOOSE(CONTROL!$C$42, 0.1146, 0.1146)*CHOOSE(CONTROL!$C$42, 121.5, 121.5)*CHOOSE(CONTROL!$C$42, 30, 30))/1000000</f>
        <v>0.417717</v>
      </c>
      <c r="X306" s="57">
        <f>(30*0.1790888*245000/1000000)+(30*0.2374*100000/1000000)</f>
        <v>2.0285026799999999</v>
      </c>
      <c r="Y306" s="57"/>
      <c r="Z306" s="14"/>
      <c r="AA306" s="56"/>
      <c r="AB306" s="50">
        <f>(B306*194.205+C306*267.466+D306*133.845+E306*53.484+F306*40+G306*185+H306*0+I306*100+J306*300)/(194.205+267.466+133.845+53.484+0+40+185+100+300)</f>
        <v>14.713251796781789</v>
      </c>
      <c r="AC306" s="45">
        <f>(M306*'RAP TEMPLATE-GAS AVAILABILITY'!O305+N306*'RAP TEMPLATE-GAS AVAILABILITY'!P305+O306*'RAP TEMPLATE-GAS AVAILABILITY'!Q305+P306*'RAP TEMPLATE-GAS AVAILABILITY'!R305)/('RAP TEMPLATE-GAS AVAILABILITY'!O305+'RAP TEMPLATE-GAS AVAILABILITY'!P305+'RAP TEMPLATE-GAS AVAILABILITY'!Q305+'RAP TEMPLATE-GAS AVAILABILITY'!R305)</f>
        <v>14.448904316546765</v>
      </c>
    </row>
    <row r="307" spans="1:29" ht="15.75" x14ac:dyDescent="0.25">
      <c r="A307" s="34">
        <v>50222</v>
      </c>
      <c r="B307" s="14">
        <f>CHOOSE(CONTROL!$C$42, 14.4007, 14.4007) * CHOOSE(CONTROL!$C$21, $C$9, 100%, $E$9)</f>
        <v>14.400700000000001</v>
      </c>
      <c r="C307" s="14">
        <f>CHOOSE(CONTROL!$C$42, 14.4087, 14.4087) * CHOOSE(CONTROL!$C$21, $C$9, 100%, $E$9)</f>
        <v>14.4087</v>
      </c>
      <c r="D307" s="14">
        <f>CHOOSE(CONTROL!$C$42, 14.6127, 14.6127) * CHOOSE(CONTROL!$C$21, $C$9, 100%, $E$9)</f>
        <v>14.6127</v>
      </c>
      <c r="E307" s="14">
        <f>CHOOSE(CONTROL!$C$42, 14.6441, 14.6441) * CHOOSE(CONTROL!$C$21, $C$9, 100%, $E$9)</f>
        <v>14.6441</v>
      </c>
      <c r="F307" s="14">
        <f>CHOOSE(CONTROL!$C$42, 14.3823, 14.3823)*CHOOSE(CONTROL!$C$21, $C$9, 100%, $E$9)</f>
        <v>14.382300000000001</v>
      </c>
      <c r="G307" s="14">
        <f>CHOOSE(CONTROL!$C$42, 14.3982, 14.3982)*CHOOSE(CONTROL!$C$21, $C$9, 100%, $E$9)</f>
        <v>14.398199999999999</v>
      </c>
      <c r="H307" s="14">
        <f>CHOOSE(CONTROL!$C$42, 14.6328, 14.6328) * CHOOSE(CONTROL!$C$21, $C$9, 100%, $E$9)</f>
        <v>14.6328</v>
      </c>
      <c r="I307" s="14">
        <f>CHOOSE(CONTROL!$C$42, 14.4513, 14.4513)* CHOOSE(CONTROL!$C$21, $C$9, 100%, $E$9)</f>
        <v>14.4513</v>
      </c>
      <c r="J307" s="14">
        <f>CHOOSE(CONTROL!$C$42, 14.3753, 14.3753)* CHOOSE(CONTROL!$C$21, $C$9, 100%, $E$9)</f>
        <v>14.375299999999999</v>
      </c>
      <c r="K307" s="53">
        <f>CHOOSE(CONTROL!$C$42, 14.4474, 14.4474) * CHOOSE(CONTROL!$C$21, $C$9, 100%, $E$9)</f>
        <v>14.4474</v>
      </c>
      <c r="L307" s="14">
        <f>CHOOSE(CONTROL!$C$42, 15.2198, 15.2198) * CHOOSE(CONTROL!$C$21, $C$9, 100%, $E$9)</f>
        <v>15.219799999999999</v>
      </c>
      <c r="M307" s="14">
        <f>CHOOSE(CONTROL!$C$42, 14.0885, 14.0885) * CHOOSE(CONTROL!$C$21, $C$9, 100%, $E$9)</f>
        <v>14.0885</v>
      </c>
      <c r="N307" s="14">
        <f>CHOOSE(CONTROL!$C$42, 14.1041, 14.1041) * CHOOSE(CONTROL!$C$21, $C$9, 100%, $E$9)</f>
        <v>14.104100000000001</v>
      </c>
      <c r="O307" s="14">
        <f>CHOOSE(CONTROL!$C$42, 14.3407, 14.3407) * CHOOSE(CONTROL!$C$21, $C$9, 100%, $E$9)</f>
        <v>14.3407</v>
      </c>
      <c r="P307" s="14">
        <f>CHOOSE(CONTROL!$C$42, 14.162, 14.162) * CHOOSE(CONTROL!$C$21, $C$9, 100%, $E$9)</f>
        <v>14.162000000000001</v>
      </c>
      <c r="Q307" s="14">
        <f>CHOOSE(CONTROL!$C$42, 14.9354, 14.9354) * CHOOSE(CONTROL!$C$21, $C$9, 100%, $E$9)</f>
        <v>14.9354</v>
      </c>
      <c r="R307" s="14">
        <f>CHOOSE(CONTROL!$C$42, 15.5597, 15.5597) * CHOOSE(CONTROL!$C$21, $C$9, 100%, $E$9)</f>
        <v>15.559699999999999</v>
      </c>
      <c r="S307" s="14">
        <f>CHOOSE(CONTROL!$C$42, 13.827, 13.827) * CHOOSE(CONTROL!$C$21, $C$9, 100%, $E$9)</f>
        <v>13.827</v>
      </c>
      <c r="T30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07" s="57">
        <f>(1000*CHOOSE(CONTROL!$C$42, 695, 695)*CHOOSE(CONTROL!$C$42, 0.5599, 0.5599)*CHOOSE(CONTROL!$C$42, 31, 31))/1000000</f>
        <v>12.063045499999998</v>
      </c>
      <c r="V307" s="57">
        <f>(1000*CHOOSE(CONTROL!$C$42, 500, 500)*CHOOSE(CONTROL!$C$42, 0.275, 0.275)*CHOOSE(CONTROL!$C$42, 31, 31))/1000000</f>
        <v>4.2625000000000002</v>
      </c>
      <c r="W307" s="57">
        <f>(1000*CHOOSE(CONTROL!$C$42, 0.1146, 0.1146)*CHOOSE(CONTROL!$C$42, 121.5, 121.5)*CHOOSE(CONTROL!$C$42, 31, 31))/1000000</f>
        <v>0.43164089999999994</v>
      </c>
      <c r="X307" s="57">
        <f>(31*0.1790888*245000/1000000)+(31*0.2374*100000/1000000)</f>
        <v>2.0961194359999999</v>
      </c>
      <c r="Y307" s="57"/>
      <c r="Z307" s="14"/>
      <c r="AA307" s="56"/>
      <c r="AB307" s="50">
        <f>(B307*194.205+C307*267.466+D307*133.845+E307*53.484+F307*40+G307*185+H307*0+I307*100+J307*300)/(194.205+267.466+133.845+53.484+0+40+185+100+300)</f>
        <v>14.431920073469389</v>
      </c>
      <c r="AC307" s="45">
        <f>(M307*'RAP TEMPLATE-GAS AVAILABILITY'!O306+N307*'RAP TEMPLATE-GAS AVAILABILITY'!P306+O307*'RAP TEMPLATE-GAS AVAILABILITY'!Q306+P307*'RAP TEMPLATE-GAS AVAILABILITY'!R306)/('RAP TEMPLATE-GAS AVAILABILITY'!O306+'RAP TEMPLATE-GAS AVAILABILITY'!P306+'RAP TEMPLATE-GAS AVAILABILITY'!Q306+'RAP TEMPLATE-GAS AVAILABILITY'!R306)</f>
        <v>14.173428057553959</v>
      </c>
    </row>
    <row r="308" spans="1:29" ht="15.75" x14ac:dyDescent="0.25">
      <c r="A308" s="34">
        <v>50253</v>
      </c>
      <c r="B308" s="14">
        <f>CHOOSE(CONTROL!$C$42, 13.69, 13.69) * CHOOSE(CONTROL!$C$21, $C$9, 100%, $E$9)</f>
        <v>13.69</v>
      </c>
      <c r="C308" s="14">
        <f>CHOOSE(CONTROL!$C$42, 13.698, 13.698) * CHOOSE(CONTROL!$C$21, $C$9, 100%, $E$9)</f>
        <v>13.698</v>
      </c>
      <c r="D308" s="14">
        <f>CHOOSE(CONTROL!$C$42, 13.902, 13.902) * CHOOSE(CONTROL!$C$21, $C$9, 100%, $E$9)</f>
        <v>13.901999999999999</v>
      </c>
      <c r="E308" s="14">
        <f>CHOOSE(CONTROL!$C$42, 13.9334, 13.9334) * CHOOSE(CONTROL!$C$21, $C$9, 100%, $E$9)</f>
        <v>13.933400000000001</v>
      </c>
      <c r="F308" s="14">
        <f>CHOOSE(CONTROL!$C$42, 13.6718, 13.6718)*CHOOSE(CONTROL!$C$21, $C$9, 100%, $E$9)</f>
        <v>13.671799999999999</v>
      </c>
      <c r="G308" s="14">
        <f>CHOOSE(CONTROL!$C$42, 13.6878, 13.6878)*CHOOSE(CONTROL!$C$21, $C$9, 100%, $E$9)</f>
        <v>13.687799999999999</v>
      </c>
      <c r="H308" s="14">
        <f>CHOOSE(CONTROL!$C$42, 13.9221, 13.9221) * CHOOSE(CONTROL!$C$21, $C$9, 100%, $E$9)</f>
        <v>13.9221</v>
      </c>
      <c r="I308" s="14">
        <f>CHOOSE(CONTROL!$C$42, 13.7383, 13.7383)* CHOOSE(CONTROL!$C$21, $C$9, 100%, $E$9)</f>
        <v>13.738300000000001</v>
      </c>
      <c r="J308" s="14">
        <f>CHOOSE(CONTROL!$C$42, 13.6648, 13.6648)* CHOOSE(CONTROL!$C$21, $C$9, 100%, $E$9)</f>
        <v>13.6648</v>
      </c>
      <c r="K308" s="53">
        <f>CHOOSE(CONTROL!$C$42, 13.7344, 13.7344) * CHOOSE(CONTROL!$C$21, $C$9, 100%, $E$9)</f>
        <v>13.734400000000001</v>
      </c>
      <c r="L308" s="14">
        <f>CHOOSE(CONTROL!$C$42, 14.5091, 14.5091) * CHOOSE(CONTROL!$C$21, $C$9, 100%, $E$9)</f>
        <v>14.5091</v>
      </c>
      <c r="M308" s="14">
        <f>CHOOSE(CONTROL!$C$42, 13.3926, 13.3926) * CHOOSE(CONTROL!$C$21, $C$9, 100%, $E$9)</f>
        <v>13.3926</v>
      </c>
      <c r="N308" s="14">
        <f>CHOOSE(CONTROL!$C$42, 13.4082, 13.4082) * CHOOSE(CONTROL!$C$21, $C$9, 100%, $E$9)</f>
        <v>13.408200000000001</v>
      </c>
      <c r="O308" s="14">
        <f>CHOOSE(CONTROL!$C$42, 13.6445, 13.6445) * CHOOSE(CONTROL!$C$21, $C$9, 100%, $E$9)</f>
        <v>13.644500000000001</v>
      </c>
      <c r="P308" s="14">
        <f>CHOOSE(CONTROL!$C$42, 13.4637, 13.4637) * CHOOSE(CONTROL!$C$21, $C$9, 100%, $E$9)</f>
        <v>13.463699999999999</v>
      </c>
      <c r="Q308" s="14">
        <f>CHOOSE(CONTROL!$C$42, 14.2392, 14.2392) * CHOOSE(CONTROL!$C$21, $C$9, 100%, $E$9)</f>
        <v>14.2392</v>
      </c>
      <c r="R308" s="14">
        <f>CHOOSE(CONTROL!$C$42, 14.8618, 14.8618) * CHOOSE(CONTROL!$C$21, $C$9, 100%, $E$9)</f>
        <v>14.861800000000001</v>
      </c>
      <c r="S308" s="14">
        <f>CHOOSE(CONTROL!$C$42, 13.1441, 13.1441) * CHOOSE(CONTROL!$C$21, $C$9, 100%, $E$9)</f>
        <v>13.1441</v>
      </c>
      <c r="T30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08" s="57">
        <f>(1000*CHOOSE(CONTROL!$C$42, 695, 695)*CHOOSE(CONTROL!$C$42, 0.5599, 0.5599)*CHOOSE(CONTROL!$C$42, 31, 31))/1000000</f>
        <v>12.063045499999998</v>
      </c>
      <c r="V308" s="57">
        <f>(1000*CHOOSE(CONTROL!$C$42, 500, 500)*CHOOSE(CONTROL!$C$42, 0.275, 0.275)*CHOOSE(CONTROL!$C$42, 31, 31))/1000000</f>
        <v>4.2625000000000002</v>
      </c>
      <c r="W308" s="57">
        <f>(1000*CHOOSE(CONTROL!$C$42, 0.1146, 0.1146)*CHOOSE(CONTROL!$C$42, 121.5, 121.5)*CHOOSE(CONTROL!$C$42, 31, 31))/1000000</f>
        <v>0.43164089999999994</v>
      </c>
      <c r="X308" s="57">
        <f>(31*0.1790888*245000/1000000)+(31*0.2374*100000/1000000)</f>
        <v>2.0961194359999999</v>
      </c>
      <c r="Y308" s="57"/>
      <c r="Z308" s="14"/>
      <c r="AA308" s="56"/>
      <c r="AB308" s="50">
        <f>(B308*194.205+C308*267.466+D308*133.845+E308*53.484+F308*40+G308*185+H308*0+I308*100+J308*300)/(194.205+267.466+133.845+53.484+0+40+185+100+300)</f>
        <v>13.721136478492935</v>
      </c>
      <c r="AC308" s="45">
        <f>(M308*'RAP TEMPLATE-GAS AVAILABILITY'!O307+N308*'RAP TEMPLATE-GAS AVAILABILITY'!P307+O308*'RAP TEMPLATE-GAS AVAILABILITY'!Q307+P308*'RAP TEMPLATE-GAS AVAILABILITY'!R307)/('RAP TEMPLATE-GAS AVAILABILITY'!O307+'RAP TEMPLATE-GAS AVAILABILITY'!P307+'RAP TEMPLATE-GAS AVAILABILITY'!Q307+'RAP TEMPLATE-GAS AVAILABILITY'!R307)</f>
        <v>13.477098561151079</v>
      </c>
    </row>
    <row r="309" spans="1:29" ht="15.75" x14ac:dyDescent="0.25">
      <c r="A309" s="34">
        <v>50284</v>
      </c>
      <c r="B309" s="14">
        <f>CHOOSE(CONTROL!$C$42, 12.8212, 12.8212) * CHOOSE(CONTROL!$C$21, $C$9, 100%, $E$9)</f>
        <v>12.821199999999999</v>
      </c>
      <c r="C309" s="14">
        <f>CHOOSE(CONTROL!$C$42, 12.8293, 12.8293) * CHOOSE(CONTROL!$C$21, $C$9, 100%, $E$9)</f>
        <v>12.8293</v>
      </c>
      <c r="D309" s="14">
        <f>CHOOSE(CONTROL!$C$42, 13.0332, 13.0332) * CHOOSE(CONTROL!$C$21, $C$9, 100%, $E$9)</f>
        <v>13.033200000000001</v>
      </c>
      <c r="E309" s="14">
        <f>CHOOSE(CONTROL!$C$42, 13.0647, 13.0647) * CHOOSE(CONTROL!$C$21, $C$9, 100%, $E$9)</f>
        <v>13.0647</v>
      </c>
      <c r="F309" s="14">
        <f>CHOOSE(CONTROL!$C$42, 12.8031, 12.8031)*CHOOSE(CONTROL!$C$21, $C$9, 100%, $E$9)</f>
        <v>12.803100000000001</v>
      </c>
      <c r="G309" s="14">
        <f>CHOOSE(CONTROL!$C$42, 12.8191, 12.8191)*CHOOSE(CONTROL!$C$21, $C$9, 100%, $E$9)</f>
        <v>12.819100000000001</v>
      </c>
      <c r="H309" s="14">
        <f>CHOOSE(CONTROL!$C$42, 13.0533, 13.0533) * CHOOSE(CONTROL!$C$21, $C$9, 100%, $E$9)</f>
        <v>13.0533</v>
      </c>
      <c r="I309" s="14">
        <f>CHOOSE(CONTROL!$C$42, 12.8668, 12.8668)* CHOOSE(CONTROL!$C$21, $C$9, 100%, $E$9)</f>
        <v>12.8668</v>
      </c>
      <c r="J309" s="14">
        <f>CHOOSE(CONTROL!$C$42, 12.7961, 12.7961)* CHOOSE(CONTROL!$C$21, $C$9, 100%, $E$9)</f>
        <v>12.796099999999999</v>
      </c>
      <c r="K309" s="53">
        <f>CHOOSE(CONTROL!$C$42, 12.8629, 12.8629) * CHOOSE(CONTROL!$C$21, $C$9, 100%, $E$9)</f>
        <v>12.8629</v>
      </c>
      <c r="L309" s="14">
        <f>CHOOSE(CONTROL!$C$42, 13.6403, 13.6403) * CHOOSE(CONTROL!$C$21, $C$9, 100%, $E$9)</f>
        <v>13.6403</v>
      </c>
      <c r="M309" s="14">
        <f>CHOOSE(CONTROL!$C$42, 12.5416, 12.5416) * CHOOSE(CONTROL!$C$21, $C$9, 100%, $E$9)</f>
        <v>12.541600000000001</v>
      </c>
      <c r="N309" s="14">
        <f>CHOOSE(CONTROL!$C$42, 12.5573, 12.5573) * CHOOSE(CONTROL!$C$21, $C$9, 100%, $E$9)</f>
        <v>12.5573</v>
      </c>
      <c r="O309" s="14">
        <f>CHOOSE(CONTROL!$C$42, 12.7935, 12.7935) * CHOOSE(CONTROL!$C$21, $C$9, 100%, $E$9)</f>
        <v>12.7935</v>
      </c>
      <c r="P309" s="14">
        <f>CHOOSE(CONTROL!$C$42, 12.6102, 12.6102) * CHOOSE(CONTROL!$C$21, $C$9, 100%, $E$9)</f>
        <v>12.610200000000001</v>
      </c>
      <c r="Q309" s="14">
        <f>CHOOSE(CONTROL!$C$42, 13.3882, 13.3882) * CHOOSE(CONTROL!$C$21, $C$9, 100%, $E$9)</f>
        <v>13.388199999999999</v>
      </c>
      <c r="R309" s="14">
        <f>CHOOSE(CONTROL!$C$42, 14.0087, 14.0087) * CHOOSE(CONTROL!$C$21, $C$9, 100%, $E$9)</f>
        <v>14.008699999999999</v>
      </c>
      <c r="S309" s="14">
        <f>CHOOSE(CONTROL!$C$42, 12.3093, 12.3093) * CHOOSE(CONTROL!$C$21, $C$9, 100%, $E$9)</f>
        <v>12.3093</v>
      </c>
      <c r="T30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09" s="57">
        <f>(1000*CHOOSE(CONTROL!$C$42, 695, 695)*CHOOSE(CONTROL!$C$42, 0.5599, 0.5599)*CHOOSE(CONTROL!$C$42, 30, 30))/1000000</f>
        <v>11.673914999999997</v>
      </c>
      <c r="V309" s="57">
        <f>(1000*CHOOSE(CONTROL!$C$42, 500, 500)*CHOOSE(CONTROL!$C$42, 0.275, 0.275)*CHOOSE(CONTROL!$C$42, 30, 30))/1000000</f>
        <v>4.125</v>
      </c>
      <c r="W309" s="57">
        <f>(1000*CHOOSE(CONTROL!$C$42, 0.1146, 0.1146)*CHOOSE(CONTROL!$C$42, 121.5, 121.5)*CHOOSE(CONTROL!$C$42, 30, 30))/1000000</f>
        <v>0.417717</v>
      </c>
      <c r="X309" s="57">
        <f>(30*0.1790888*245000/1000000)+(30*0.2374*100000/1000000)</f>
        <v>2.0285026799999999</v>
      </c>
      <c r="Y309" s="57"/>
      <c r="Z309" s="14"/>
      <c r="AA309" s="56"/>
      <c r="AB309" s="50">
        <f>(B309*194.205+C309*267.466+D309*133.845+E309*53.484+F309*40+G309*185+H309*0+I309*100+J309*300)/(194.205+267.466+133.845+53.484+0+40+185+100+300)</f>
        <v>12.852190948665619</v>
      </c>
      <c r="AC309" s="45">
        <f>(M309*'RAP TEMPLATE-GAS AVAILABILITY'!O308+N309*'RAP TEMPLATE-GAS AVAILABILITY'!P308+O309*'RAP TEMPLATE-GAS AVAILABILITY'!Q308+P309*'RAP TEMPLATE-GAS AVAILABILITY'!R308)/('RAP TEMPLATE-GAS AVAILABILITY'!O308+'RAP TEMPLATE-GAS AVAILABILITY'!P308+'RAP TEMPLATE-GAS AVAILABILITY'!Q308+'RAP TEMPLATE-GAS AVAILABILITY'!R308)</f>
        <v>12.625761870503599</v>
      </c>
    </row>
    <row r="310" spans="1:29" ht="15.75" x14ac:dyDescent="0.25">
      <c r="A310" s="34">
        <v>50314</v>
      </c>
      <c r="B310" s="14">
        <f>CHOOSE(CONTROL!$C$42, 12.5594, 12.5594) * CHOOSE(CONTROL!$C$21, $C$9, 100%, $E$9)</f>
        <v>12.5594</v>
      </c>
      <c r="C310" s="14">
        <f>CHOOSE(CONTROL!$C$42, 12.5647, 12.5647) * CHOOSE(CONTROL!$C$21, $C$9, 100%, $E$9)</f>
        <v>12.5647</v>
      </c>
      <c r="D310" s="14">
        <f>CHOOSE(CONTROL!$C$42, 12.7736, 12.7736) * CHOOSE(CONTROL!$C$21, $C$9, 100%, $E$9)</f>
        <v>12.7736</v>
      </c>
      <c r="E310" s="14">
        <f>CHOOSE(CONTROL!$C$42, 12.8027, 12.8027) * CHOOSE(CONTROL!$C$21, $C$9, 100%, $E$9)</f>
        <v>12.8027</v>
      </c>
      <c r="F310" s="14">
        <f>CHOOSE(CONTROL!$C$42, 12.5434, 12.5434)*CHOOSE(CONTROL!$C$21, $C$9, 100%, $E$9)</f>
        <v>12.5434</v>
      </c>
      <c r="G310" s="14">
        <f>CHOOSE(CONTROL!$C$42, 12.559, 12.559)*CHOOSE(CONTROL!$C$21, $C$9, 100%, $E$9)</f>
        <v>12.558999999999999</v>
      </c>
      <c r="H310" s="14">
        <f>CHOOSE(CONTROL!$C$42, 12.7932, 12.7932) * CHOOSE(CONTROL!$C$21, $C$9, 100%, $E$9)</f>
        <v>12.793200000000001</v>
      </c>
      <c r="I310" s="14">
        <f>CHOOSE(CONTROL!$C$42, 12.6059, 12.6059)* CHOOSE(CONTROL!$C$21, $C$9, 100%, $E$9)</f>
        <v>12.6059</v>
      </c>
      <c r="J310" s="14">
        <f>CHOOSE(CONTROL!$C$42, 12.5364, 12.5364)* CHOOSE(CONTROL!$C$21, $C$9, 100%, $E$9)</f>
        <v>12.5364</v>
      </c>
      <c r="K310" s="53">
        <f>CHOOSE(CONTROL!$C$42, 12.602, 12.602) * CHOOSE(CONTROL!$C$21, $C$9, 100%, $E$9)</f>
        <v>12.602</v>
      </c>
      <c r="L310" s="14">
        <f>CHOOSE(CONTROL!$C$42, 13.3802, 13.3802) * CHOOSE(CONTROL!$C$21, $C$9, 100%, $E$9)</f>
        <v>13.3802</v>
      </c>
      <c r="M310" s="14">
        <f>CHOOSE(CONTROL!$C$42, 12.2872, 12.2872) * CHOOSE(CONTROL!$C$21, $C$9, 100%, $E$9)</f>
        <v>12.2872</v>
      </c>
      <c r="N310" s="14">
        <f>CHOOSE(CONTROL!$C$42, 12.3025, 12.3025) * CHOOSE(CONTROL!$C$21, $C$9, 100%, $E$9)</f>
        <v>12.3025</v>
      </c>
      <c r="O310" s="14">
        <f>CHOOSE(CONTROL!$C$42, 12.5388, 12.5388) * CHOOSE(CONTROL!$C$21, $C$9, 100%, $E$9)</f>
        <v>12.5388</v>
      </c>
      <c r="P310" s="14">
        <f>CHOOSE(CONTROL!$C$42, 12.3546, 12.3546) * CHOOSE(CONTROL!$C$21, $C$9, 100%, $E$9)</f>
        <v>12.3546</v>
      </c>
      <c r="Q310" s="14">
        <f>CHOOSE(CONTROL!$C$42, 13.1335, 13.1335) * CHOOSE(CONTROL!$C$21, $C$9, 100%, $E$9)</f>
        <v>13.1335</v>
      </c>
      <c r="R310" s="14">
        <f>CHOOSE(CONTROL!$C$42, 13.7533, 13.7533) * CHOOSE(CONTROL!$C$21, $C$9, 100%, $E$9)</f>
        <v>13.753299999999999</v>
      </c>
      <c r="S310" s="14">
        <f>CHOOSE(CONTROL!$C$42, 12.0594, 12.0594) * CHOOSE(CONTROL!$C$21, $C$9, 100%, $E$9)</f>
        <v>12.0594</v>
      </c>
      <c r="T31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10" s="57">
        <f>(1000*CHOOSE(CONTROL!$C$42, 695, 695)*CHOOSE(CONTROL!$C$42, 0.5599, 0.5599)*CHOOSE(CONTROL!$C$42, 31, 31))/1000000</f>
        <v>12.063045499999998</v>
      </c>
      <c r="V310" s="57">
        <f>(1000*CHOOSE(CONTROL!$C$42, 500, 500)*CHOOSE(CONTROL!$C$42, 0.275, 0.275)*CHOOSE(CONTROL!$C$42, 31, 31))/1000000</f>
        <v>4.2625000000000002</v>
      </c>
      <c r="W310" s="57">
        <f>(1000*CHOOSE(CONTROL!$C$42, 0.1146, 0.1146)*CHOOSE(CONTROL!$C$42, 121.5, 121.5)*CHOOSE(CONTROL!$C$42, 31, 31))/1000000</f>
        <v>0.43164089999999994</v>
      </c>
      <c r="X310" s="57">
        <f>(31*0.1790888*245000/1000000)+(31*0.2374*100000/1000000)</f>
        <v>2.0961194359999999</v>
      </c>
      <c r="Y310" s="57"/>
      <c r="Z310" s="14"/>
      <c r="AA310" s="56"/>
      <c r="AB310" s="50">
        <f>(B310*131.881+C310*277.167+D310*79.08+E310*125.872+F310*40+G310*185+H310*0+I310*100+J310*300)/(131.881+277.167+79.08+125.872+0+40+185+100+300)</f>
        <v>12.596582065133171</v>
      </c>
      <c r="AC310" s="45">
        <f>(M310*'RAP TEMPLATE-GAS AVAILABILITY'!O309+N310*'RAP TEMPLATE-GAS AVAILABILITY'!P309+O310*'RAP TEMPLATE-GAS AVAILABILITY'!Q309+P310*'RAP TEMPLATE-GAS AVAILABILITY'!R309)/('RAP TEMPLATE-GAS AVAILABILITY'!O309+'RAP TEMPLATE-GAS AVAILABILITY'!P309+'RAP TEMPLATE-GAS AVAILABILITY'!Q309+'RAP TEMPLATE-GAS AVAILABILITY'!R309)</f>
        <v>12.371012949640287</v>
      </c>
    </row>
    <row r="311" spans="1:29" ht="15.75" x14ac:dyDescent="0.25">
      <c r="A311" s="34">
        <v>50345</v>
      </c>
      <c r="B311" s="14">
        <f>CHOOSE(CONTROL!$C$42, 12.8896, 12.8896) * CHOOSE(CONTROL!$C$21, $C$9, 100%, $E$9)</f>
        <v>12.8896</v>
      </c>
      <c r="C311" s="14">
        <f>CHOOSE(CONTROL!$C$42, 12.8946, 12.8946) * CHOOSE(CONTROL!$C$21, $C$9, 100%, $E$9)</f>
        <v>12.894600000000001</v>
      </c>
      <c r="D311" s="14">
        <f>CHOOSE(CONTROL!$C$42, 12.9585, 12.9585) * CHOOSE(CONTROL!$C$21, $C$9, 100%, $E$9)</f>
        <v>12.958500000000001</v>
      </c>
      <c r="E311" s="14">
        <f>CHOOSE(CONTROL!$C$42, 12.9926, 12.9926) * CHOOSE(CONTROL!$C$21, $C$9, 100%, $E$9)</f>
        <v>12.992599999999999</v>
      </c>
      <c r="F311" s="14">
        <f>CHOOSE(CONTROL!$C$42, 12.892, 12.892)*CHOOSE(CONTROL!$C$21, $C$9, 100%, $E$9)</f>
        <v>12.891999999999999</v>
      </c>
      <c r="G311" s="14">
        <f>CHOOSE(CONTROL!$C$42, 12.908, 12.908)*CHOOSE(CONTROL!$C$21, $C$9, 100%, $E$9)</f>
        <v>12.907999999999999</v>
      </c>
      <c r="H311" s="14">
        <f>CHOOSE(CONTROL!$C$42, 12.9818, 12.9818) * CHOOSE(CONTROL!$C$21, $C$9, 100%, $E$9)</f>
        <v>12.9818</v>
      </c>
      <c r="I311" s="14">
        <f>CHOOSE(CONTROL!$C$42, 12.9428, 12.9428)* CHOOSE(CONTROL!$C$21, $C$9, 100%, $E$9)</f>
        <v>12.9428</v>
      </c>
      <c r="J311" s="14">
        <f>CHOOSE(CONTROL!$C$42, 12.885, 12.885)* CHOOSE(CONTROL!$C$21, $C$9, 100%, $E$9)</f>
        <v>12.885</v>
      </c>
      <c r="K311" s="53">
        <f>CHOOSE(CONTROL!$C$42, 12.9389, 12.9389) * CHOOSE(CONTROL!$C$21, $C$9, 100%, $E$9)</f>
        <v>12.9389</v>
      </c>
      <c r="L311" s="14">
        <f>CHOOSE(CONTROL!$C$42, 13.5688, 13.5688) * CHOOSE(CONTROL!$C$21, $C$9, 100%, $E$9)</f>
        <v>13.5688</v>
      </c>
      <c r="M311" s="14">
        <f>CHOOSE(CONTROL!$C$42, 12.6287, 12.6287) * CHOOSE(CONTROL!$C$21, $C$9, 100%, $E$9)</f>
        <v>12.6287</v>
      </c>
      <c r="N311" s="14">
        <f>CHOOSE(CONTROL!$C$42, 12.6443, 12.6443) * CHOOSE(CONTROL!$C$21, $C$9, 100%, $E$9)</f>
        <v>12.644299999999999</v>
      </c>
      <c r="O311" s="14">
        <f>CHOOSE(CONTROL!$C$42, 12.7235, 12.7235) * CHOOSE(CONTROL!$C$21, $C$9, 100%, $E$9)</f>
        <v>12.7235</v>
      </c>
      <c r="P311" s="14">
        <f>CHOOSE(CONTROL!$C$42, 12.6846, 12.6846) * CHOOSE(CONTROL!$C$21, $C$9, 100%, $E$9)</f>
        <v>12.6846</v>
      </c>
      <c r="Q311" s="14">
        <f>CHOOSE(CONTROL!$C$42, 13.3182, 13.3182) * CHOOSE(CONTROL!$C$21, $C$9, 100%, $E$9)</f>
        <v>13.318199999999999</v>
      </c>
      <c r="R311" s="14">
        <f>CHOOSE(CONTROL!$C$42, 13.9385, 13.9385) * CHOOSE(CONTROL!$C$21, $C$9, 100%, $E$9)</f>
        <v>13.938499999999999</v>
      </c>
      <c r="S311" s="14">
        <f>CHOOSE(CONTROL!$C$42, 12.3771, 12.3771) * CHOOSE(CONTROL!$C$21, $C$9, 100%, $E$9)</f>
        <v>12.3771</v>
      </c>
      <c r="T31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11" s="57">
        <f>(1000*CHOOSE(CONTROL!$C$42, 695, 695)*CHOOSE(CONTROL!$C$42, 0.5599, 0.5599)*CHOOSE(CONTROL!$C$42, 30, 30))/1000000</f>
        <v>11.673914999999997</v>
      </c>
      <c r="V311" s="57">
        <f>(1000*CHOOSE(CONTROL!$C$42, 500, 500)*CHOOSE(CONTROL!$C$42, 0.275, 0.275)*CHOOSE(CONTROL!$C$42, 30, 30))/1000000</f>
        <v>4.125</v>
      </c>
      <c r="W311" s="57">
        <f>(1000*CHOOSE(CONTROL!$C$42, 0.1146, 0.1146)*CHOOSE(CONTROL!$C$42, 121.5, 121.5)*CHOOSE(CONTROL!$C$42, 30, 30))/1000000</f>
        <v>0.417717</v>
      </c>
      <c r="X311" s="57">
        <f>(30*0.1790888*100000/1000000)+(30*0.2374*100000/1000000)</f>
        <v>1.2494664</v>
      </c>
      <c r="Y311" s="57"/>
      <c r="Z311" s="14"/>
      <c r="AA311" s="56"/>
      <c r="AB311" s="50">
        <f>(B311*122.58+C311*297.941+D311*89.177+E311*40.302+F311*40+G311*160+H311*0+I311*100+J311*300)/(122.58+297.941+89.177+40.302+0+40+160+100+300)</f>
        <v>12.905917483739131</v>
      </c>
      <c r="AC311" s="45">
        <f>(M311*'RAP TEMPLATE-GAS AVAILABILITY'!O310+N311*'RAP TEMPLATE-GAS AVAILABILITY'!P310+O311*'RAP TEMPLATE-GAS AVAILABILITY'!Q310+P311*'RAP TEMPLATE-GAS AVAILABILITY'!R310)/('RAP TEMPLATE-GAS AVAILABILITY'!O310+'RAP TEMPLATE-GAS AVAILABILITY'!P310+'RAP TEMPLATE-GAS AVAILABILITY'!Q310+'RAP TEMPLATE-GAS AVAILABILITY'!R310)</f>
        <v>12.680607913669064</v>
      </c>
    </row>
    <row r="312" spans="1:29" ht="15.75" x14ac:dyDescent="0.25">
      <c r="A312" s="34">
        <v>50375</v>
      </c>
      <c r="B312" s="14">
        <f>CHOOSE(CONTROL!$C$42, 13.7677, 13.7677) * CHOOSE(CONTROL!$C$21, $C$9, 100%, $E$9)</f>
        <v>13.7677</v>
      </c>
      <c r="C312" s="14">
        <f>CHOOSE(CONTROL!$C$42, 13.7728, 13.7728) * CHOOSE(CONTROL!$C$21, $C$9, 100%, $E$9)</f>
        <v>13.7728</v>
      </c>
      <c r="D312" s="14">
        <f>CHOOSE(CONTROL!$C$42, 13.8366, 13.8366) * CHOOSE(CONTROL!$C$21, $C$9, 100%, $E$9)</f>
        <v>13.836600000000001</v>
      </c>
      <c r="E312" s="14">
        <f>CHOOSE(CONTROL!$C$42, 13.8707, 13.8707) * CHOOSE(CONTROL!$C$21, $C$9, 100%, $E$9)</f>
        <v>13.870699999999999</v>
      </c>
      <c r="F312" s="14">
        <f>CHOOSE(CONTROL!$C$42, 13.7724, 13.7724)*CHOOSE(CONTROL!$C$21, $C$9, 100%, $E$9)</f>
        <v>13.772399999999999</v>
      </c>
      <c r="G312" s="14">
        <f>CHOOSE(CONTROL!$C$42, 13.789, 13.789)*CHOOSE(CONTROL!$C$21, $C$9, 100%, $E$9)</f>
        <v>13.789</v>
      </c>
      <c r="H312" s="14">
        <f>CHOOSE(CONTROL!$C$42, 13.8599, 13.8599) * CHOOSE(CONTROL!$C$21, $C$9, 100%, $E$9)</f>
        <v>13.8599</v>
      </c>
      <c r="I312" s="14">
        <f>CHOOSE(CONTROL!$C$42, 13.8237, 13.8237)* CHOOSE(CONTROL!$C$21, $C$9, 100%, $E$9)</f>
        <v>13.823700000000001</v>
      </c>
      <c r="J312" s="14">
        <f>CHOOSE(CONTROL!$C$42, 13.7654, 13.7654)* CHOOSE(CONTROL!$C$21, $C$9, 100%, $E$9)</f>
        <v>13.7654</v>
      </c>
      <c r="K312" s="53">
        <f>CHOOSE(CONTROL!$C$42, 13.8198, 13.8198) * CHOOSE(CONTROL!$C$21, $C$9, 100%, $E$9)</f>
        <v>13.819800000000001</v>
      </c>
      <c r="L312" s="14">
        <f>CHOOSE(CONTROL!$C$42, 14.4469, 14.4469) * CHOOSE(CONTROL!$C$21, $C$9, 100%, $E$9)</f>
        <v>14.446899999999999</v>
      </c>
      <c r="M312" s="14">
        <f>CHOOSE(CONTROL!$C$42, 13.491, 13.491) * CHOOSE(CONTROL!$C$21, $C$9, 100%, $E$9)</f>
        <v>13.491</v>
      </c>
      <c r="N312" s="14">
        <f>CHOOSE(CONTROL!$C$42, 13.5073, 13.5073) * CHOOSE(CONTROL!$C$21, $C$9, 100%, $E$9)</f>
        <v>13.507300000000001</v>
      </c>
      <c r="O312" s="14">
        <f>CHOOSE(CONTROL!$C$42, 13.5836, 13.5836) * CHOOSE(CONTROL!$C$21, $C$9, 100%, $E$9)</f>
        <v>13.583600000000001</v>
      </c>
      <c r="P312" s="14">
        <f>CHOOSE(CONTROL!$C$42, 13.5474, 13.5474) * CHOOSE(CONTROL!$C$21, $C$9, 100%, $E$9)</f>
        <v>13.5474</v>
      </c>
      <c r="Q312" s="14">
        <f>CHOOSE(CONTROL!$C$42, 14.1783, 14.1783) * CHOOSE(CONTROL!$C$21, $C$9, 100%, $E$9)</f>
        <v>14.1783</v>
      </c>
      <c r="R312" s="14">
        <f>CHOOSE(CONTROL!$C$42, 14.8008, 14.8008) * CHOOSE(CONTROL!$C$21, $C$9, 100%, $E$9)</f>
        <v>14.800800000000001</v>
      </c>
      <c r="S312" s="14">
        <f>CHOOSE(CONTROL!$C$42, 13.2209, 13.2209) * CHOOSE(CONTROL!$C$21, $C$9, 100%, $E$9)</f>
        <v>13.2209</v>
      </c>
      <c r="T31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12" s="57">
        <f>(1000*CHOOSE(CONTROL!$C$42, 695, 695)*CHOOSE(CONTROL!$C$42, 0.5599, 0.5599)*CHOOSE(CONTROL!$C$42, 31, 31))/1000000</f>
        <v>12.063045499999998</v>
      </c>
      <c r="V312" s="57">
        <f>(1000*CHOOSE(CONTROL!$C$42, 500, 500)*CHOOSE(CONTROL!$C$42, 0.275, 0.275)*CHOOSE(CONTROL!$C$42, 31, 31))/1000000</f>
        <v>4.2625000000000002</v>
      </c>
      <c r="W312" s="57">
        <f>(1000*CHOOSE(CONTROL!$C$42, 0.1146, 0.1146)*CHOOSE(CONTROL!$C$42, 121.5, 121.5)*CHOOSE(CONTROL!$C$42, 31, 31))/1000000</f>
        <v>0.43164089999999994</v>
      </c>
      <c r="X312" s="57">
        <f>(31*0.1790888*100000/1000000)+(31*0.2374*100000/1000000)</f>
        <v>1.2911152800000001</v>
      </c>
      <c r="Y312" s="57"/>
      <c r="Z312" s="14"/>
      <c r="AA312" s="56"/>
      <c r="AB312" s="50">
        <f>(B312*122.58+C312*297.941+D312*89.177+E312*40.302+F312*40+G312*160+H312*0+I312*100+J312*300)/(122.58+297.941+89.177+40.302+0+40+160+100+300)</f>
        <v>13.785370348173915</v>
      </c>
      <c r="AC312" s="45">
        <f>(M312*'RAP TEMPLATE-GAS AVAILABILITY'!O311+N312*'RAP TEMPLATE-GAS AVAILABILITY'!P311+O312*'RAP TEMPLATE-GAS AVAILABILITY'!Q311+P312*'RAP TEMPLATE-GAS AVAILABILITY'!R311)/('RAP TEMPLATE-GAS AVAILABILITY'!O311+'RAP TEMPLATE-GAS AVAILABILITY'!P311+'RAP TEMPLATE-GAS AVAILABILITY'!Q311+'RAP TEMPLATE-GAS AVAILABILITY'!R311)</f>
        <v>13.542023021582734</v>
      </c>
    </row>
    <row r="313" spans="1:29" ht="15.75" x14ac:dyDescent="0.25">
      <c r="A313" s="33">
        <v>50436</v>
      </c>
      <c r="B313" s="14">
        <f>CHOOSE(CONTROL!$C$42, 14.8947, 14.8947) * CHOOSE(CONTROL!$C$21, $C$9, 100%, $E$9)</f>
        <v>14.8947</v>
      </c>
      <c r="C313" s="14">
        <f>CHOOSE(CONTROL!$C$42, 14.8998, 14.8998) * CHOOSE(CONTROL!$C$21, $C$9, 100%, $E$9)</f>
        <v>14.899800000000001</v>
      </c>
      <c r="D313" s="14">
        <f>CHOOSE(CONTROL!$C$42, 14.9662, 14.9662) * CHOOSE(CONTROL!$C$21, $C$9, 100%, $E$9)</f>
        <v>14.966200000000001</v>
      </c>
      <c r="E313" s="14">
        <f>CHOOSE(CONTROL!$C$42, 15.0003, 15.0003) * CHOOSE(CONTROL!$C$21, $C$9, 100%, $E$9)</f>
        <v>15.000299999999999</v>
      </c>
      <c r="F313" s="14">
        <f>CHOOSE(CONTROL!$C$42, 14.882, 14.882)*CHOOSE(CONTROL!$C$21, $C$9, 100%, $E$9)</f>
        <v>14.882</v>
      </c>
      <c r="G313" s="14">
        <f>CHOOSE(CONTROL!$C$42, 14.8975, 14.8975)*CHOOSE(CONTROL!$C$21, $C$9, 100%, $E$9)</f>
        <v>14.897500000000001</v>
      </c>
      <c r="H313" s="14">
        <f>CHOOSE(CONTROL!$C$42, 14.9895, 14.9895) * CHOOSE(CONTROL!$C$21, $C$9, 100%, $E$9)</f>
        <v>14.9895</v>
      </c>
      <c r="I313" s="14">
        <f>CHOOSE(CONTROL!$C$42, 14.949, 14.949)* CHOOSE(CONTROL!$C$21, $C$9, 100%, $E$9)</f>
        <v>14.949</v>
      </c>
      <c r="J313" s="14">
        <f>CHOOSE(CONTROL!$C$42, 14.875, 14.875)* CHOOSE(CONTROL!$C$21, $C$9, 100%, $E$9)</f>
        <v>14.875</v>
      </c>
      <c r="K313" s="53">
        <f>CHOOSE(CONTROL!$C$42, 14.9451, 14.9451) * CHOOSE(CONTROL!$C$21, $C$9, 100%, $E$9)</f>
        <v>14.9451</v>
      </c>
      <c r="L313" s="14">
        <f>CHOOSE(CONTROL!$C$42, 15.5765, 15.5765) * CHOOSE(CONTROL!$C$21, $C$9, 100%, $E$9)</f>
        <v>15.576499999999999</v>
      </c>
      <c r="M313" s="14">
        <f>CHOOSE(CONTROL!$C$42, 14.5779, 14.5779) * CHOOSE(CONTROL!$C$21, $C$9, 100%, $E$9)</f>
        <v>14.5779</v>
      </c>
      <c r="N313" s="14">
        <f>CHOOSE(CONTROL!$C$42, 14.5931, 14.5931) * CHOOSE(CONTROL!$C$21, $C$9, 100%, $E$9)</f>
        <v>14.5931</v>
      </c>
      <c r="O313" s="14">
        <f>CHOOSE(CONTROL!$C$42, 14.6901, 14.6901) * CHOOSE(CONTROL!$C$21, $C$9, 100%, $E$9)</f>
        <v>14.690099999999999</v>
      </c>
      <c r="P313" s="14">
        <f>CHOOSE(CONTROL!$C$42, 14.6495, 14.6495) * CHOOSE(CONTROL!$C$21, $C$9, 100%, $E$9)</f>
        <v>14.6495</v>
      </c>
      <c r="Q313" s="14">
        <f>CHOOSE(CONTROL!$C$42, 15.2848, 15.2848) * CHOOSE(CONTROL!$C$21, $C$9, 100%, $E$9)</f>
        <v>15.284800000000001</v>
      </c>
      <c r="R313" s="14">
        <f>CHOOSE(CONTROL!$C$42, 15.91, 15.91) * CHOOSE(CONTROL!$C$21, $C$9, 100%, $E$9)</f>
        <v>15.91</v>
      </c>
      <c r="S313" s="14">
        <f>CHOOSE(CONTROL!$C$42, 14.3038, 14.3038) * CHOOSE(CONTROL!$C$21, $C$9, 100%, $E$9)</f>
        <v>14.303800000000001</v>
      </c>
      <c r="T31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13" s="57">
        <f>(1000*CHOOSE(CONTROL!$C$42, 695, 695)*CHOOSE(CONTROL!$C$42, 0.5599, 0.5599)*CHOOSE(CONTROL!$C$42, 31, 31))/1000000</f>
        <v>12.063045499999998</v>
      </c>
      <c r="V313" s="57">
        <f>(1000*CHOOSE(CONTROL!$C$42, 500, 500)*CHOOSE(CONTROL!$C$42, 0.275, 0.275)*CHOOSE(CONTROL!$C$42, 31, 31))/1000000</f>
        <v>4.2625000000000002</v>
      </c>
      <c r="W313" s="57">
        <f>(1000*CHOOSE(CONTROL!$C$42, 0.1146, 0.1146)*CHOOSE(CONTROL!$C$42, 121.5, 121.5)*CHOOSE(CONTROL!$C$42, 31, 31))/1000000</f>
        <v>0.43164089999999994</v>
      </c>
      <c r="X313" s="57">
        <f>(31*0.1790888*100000/1000000)+(31*0.2374*100000/1000000)</f>
        <v>1.2911152800000001</v>
      </c>
      <c r="Y313" s="57"/>
      <c r="Z313" s="14"/>
      <c r="AA313" s="56"/>
      <c r="AB313" s="50">
        <f>(B313*122.58+C313*297.941+D313*89.177+E313*40.302+F313*40+G313*160+H313*0+I313*100+J313*300)/(122.58+297.941+89.177+40.302+0+40+160+100+300)</f>
        <v>14.904796996347823</v>
      </c>
      <c r="AC313" s="45">
        <f>(M313*'RAP TEMPLATE-GAS AVAILABILITY'!O312+N313*'RAP TEMPLATE-GAS AVAILABILITY'!P312+O313*'RAP TEMPLATE-GAS AVAILABILITY'!Q312+P313*'RAP TEMPLATE-GAS AVAILABILITY'!R312)/('RAP TEMPLATE-GAS AVAILABILITY'!O312+'RAP TEMPLATE-GAS AVAILABILITY'!P312+'RAP TEMPLATE-GAS AVAILABILITY'!Q312+'RAP TEMPLATE-GAS AVAILABILITY'!R312)</f>
        <v>14.639930215827338</v>
      </c>
    </row>
    <row r="314" spans="1:29" ht="15.75" x14ac:dyDescent="0.25">
      <c r="A314" s="33">
        <v>50464</v>
      </c>
      <c r="B314" s="14">
        <f>CHOOSE(CONTROL!$C$42, 15.1597, 15.1597) * CHOOSE(CONTROL!$C$21, $C$9, 100%, $E$9)</f>
        <v>15.159700000000001</v>
      </c>
      <c r="C314" s="14">
        <f>CHOOSE(CONTROL!$C$42, 15.1647, 15.1647) * CHOOSE(CONTROL!$C$21, $C$9, 100%, $E$9)</f>
        <v>15.1647</v>
      </c>
      <c r="D314" s="14">
        <f>CHOOSE(CONTROL!$C$42, 15.2312, 15.2312) * CHOOSE(CONTROL!$C$21, $C$9, 100%, $E$9)</f>
        <v>15.231199999999999</v>
      </c>
      <c r="E314" s="14">
        <f>CHOOSE(CONTROL!$C$42, 15.2653, 15.2653) * CHOOSE(CONTROL!$C$21, $C$9, 100%, $E$9)</f>
        <v>15.2653</v>
      </c>
      <c r="F314" s="14">
        <f>CHOOSE(CONTROL!$C$42, 15.1471, 15.1471)*CHOOSE(CONTROL!$C$21, $C$9, 100%, $E$9)</f>
        <v>15.1471</v>
      </c>
      <c r="G314" s="14">
        <f>CHOOSE(CONTROL!$C$42, 15.1626, 15.1626)*CHOOSE(CONTROL!$C$21, $C$9, 100%, $E$9)</f>
        <v>15.162599999999999</v>
      </c>
      <c r="H314" s="14">
        <f>CHOOSE(CONTROL!$C$42, 15.2545, 15.2545) * CHOOSE(CONTROL!$C$21, $C$9, 100%, $E$9)</f>
        <v>15.2545</v>
      </c>
      <c r="I314" s="14">
        <f>CHOOSE(CONTROL!$C$42, 15.2148, 15.2148)* CHOOSE(CONTROL!$C$21, $C$9, 100%, $E$9)</f>
        <v>15.2148</v>
      </c>
      <c r="J314" s="14">
        <f>CHOOSE(CONTROL!$C$42, 15.1401, 15.1401)* CHOOSE(CONTROL!$C$21, $C$9, 100%, $E$9)</f>
        <v>15.1401</v>
      </c>
      <c r="K314" s="53">
        <f>CHOOSE(CONTROL!$C$42, 15.2109, 15.2109) * CHOOSE(CONTROL!$C$21, $C$9, 100%, $E$9)</f>
        <v>15.210900000000001</v>
      </c>
      <c r="L314" s="14">
        <f>CHOOSE(CONTROL!$C$42, 15.8415, 15.8415) * CHOOSE(CONTROL!$C$21, $C$9, 100%, $E$9)</f>
        <v>15.8415</v>
      </c>
      <c r="M314" s="14">
        <f>CHOOSE(CONTROL!$C$42, 14.8376, 14.8376) * CHOOSE(CONTROL!$C$21, $C$9, 100%, $E$9)</f>
        <v>14.8376</v>
      </c>
      <c r="N314" s="14">
        <f>CHOOSE(CONTROL!$C$42, 14.8527, 14.8527) * CHOOSE(CONTROL!$C$21, $C$9, 100%, $E$9)</f>
        <v>14.8527</v>
      </c>
      <c r="O314" s="14">
        <f>CHOOSE(CONTROL!$C$42, 14.9496, 14.9496) * CHOOSE(CONTROL!$C$21, $C$9, 100%, $E$9)</f>
        <v>14.9496</v>
      </c>
      <c r="P314" s="14">
        <f>CHOOSE(CONTROL!$C$42, 14.9099, 14.9099) * CHOOSE(CONTROL!$C$21, $C$9, 100%, $E$9)</f>
        <v>14.9099</v>
      </c>
      <c r="Q314" s="14">
        <f>CHOOSE(CONTROL!$C$42, 15.5443, 15.5443) * CHOOSE(CONTROL!$C$21, $C$9, 100%, $E$9)</f>
        <v>15.5443</v>
      </c>
      <c r="R314" s="14">
        <f>CHOOSE(CONTROL!$C$42, 16.1702, 16.1702) * CHOOSE(CONTROL!$C$21, $C$9, 100%, $E$9)</f>
        <v>16.170200000000001</v>
      </c>
      <c r="S314" s="14">
        <f>CHOOSE(CONTROL!$C$42, 14.5584, 14.5584) * CHOOSE(CONTROL!$C$21, $C$9, 100%, $E$9)</f>
        <v>14.558400000000001</v>
      </c>
      <c r="T31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14" s="57">
        <f>(1000*CHOOSE(CONTROL!$C$42, 695, 695)*CHOOSE(CONTROL!$C$42, 0.5599, 0.5599)*CHOOSE(CONTROL!$C$42, 28, 28))/1000000</f>
        <v>10.895653999999999</v>
      </c>
      <c r="V314" s="57">
        <f>(1000*CHOOSE(CONTROL!$C$42, 500, 500)*CHOOSE(CONTROL!$C$42, 0.275, 0.275)*CHOOSE(CONTROL!$C$42, 28, 28))/1000000</f>
        <v>3.85</v>
      </c>
      <c r="W314" s="57">
        <f>(1000*CHOOSE(CONTROL!$C$42, 0.1146, 0.1146)*CHOOSE(CONTROL!$C$42, 121.5, 121.5)*CHOOSE(CONTROL!$C$42, 28, 28))/1000000</f>
        <v>0.38986920000000003</v>
      </c>
      <c r="X314" s="57">
        <f>(28*0.1790888*100000/1000000)+(28*0.2374*100000/1000000)</f>
        <v>1.16616864</v>
      </c>
      <c r="Y314" s="57"/>
      <c r="Z314" s="14"/>
      <c r="AA314" s="56"/>
      <c r="AB314" s="50">
        <f>(B314*122.58+C314*297.941+D314*89.177+E314*40.302+F314*40+G314*160+H314*0+I314*100+J314*300)/(122.58+297.941+89.177+40.302+0+40+160+100+300)</f>
        <v>15.169884131913044</v>
      </c>
      <c r="AC314" s="45">
        <f>(M314*'RAP TEMPLATE-GAS AVAILABILITY'!O313+N314*'RAP TEMPLATE-GAS AVAILABILITY'!P313+O314*'RAP TEMPLATE-GAS AVAILABILITY'!Q313+P314*'RAP TEMPLATE-GAS AVAILABILITY'!R313)/('RAP TEMPLATE-GAS AVAILABILITY'!O313+'RAP TEMPLATE-GAS AVAILABILITY'!P313+'RAP TEMPLATE-GAS AVAILABILITY'!Q313+'RAP TEMPLATE-GAS AVAILABILITY'!R313)</f>
        <v>14.899634532374099</v>
      </c>
    </row>
    <row r="315" spans="1:29" ht="15.75" x14ac:dyDescent="0.25">
      <c r="A315" s="33">
        <v>50495</v>
      </c>
      <c r="B315" s="14">
        <f>CHOOSE(CONTROL!$C$42, 14.7296, 14.7296) * CHOOSE(CONTROL!$C$21, $C$9, 100%, $E$9)</f>
        <v>14.7296</v>
      </c>
      <c r="C315" s="14">
        <f>CHOOSE(CONTROL!$C$42, 14.7346, 14.7346) * CHOOSE(CONTROL!$C$21, $C$9, 100%, $E$9)</f>
        <v>14.7346</v>
      </c>
      <c r="D315" s="14">
        <f>CHOOSE(CONTROL!$C$42, 14.801, 14.801) * CHOOSE(CONTROL!$C$21, $C$9, 100%, $E$9)</f>
        <v>14.801</v>
      </c>
      <c r="E315" s="14">
        <f>CHOOSE(CONTROL!$C$42, 14.8351, 14.8351) * CHOOSE(CONTROL!$C$21, $C$9, 100%, $E$9)</f>
        <v>14.835100000000001</v>
      </c>
      <c r="F315" s="14">
        <f>CHOOSE(CONTROL!$C$42, 14.7166, 14.7166)*CHOOSE(CONTROL!$C$21, $C$9, 100%, $E$9)</f>
        <v>14.7166</v>
      </c>
      <c r="G315" s="14">
        <f>CHOOSE(CONTROL!$C$42, 14.7319, 14.7319)*CHOOSE(CONTROL!$C$21, $C$9, 100%, $E$9)</f>
        <v>14.7319</v>
      </c>
      <c r="H315" s="14">
        <f>CHOOSE(CONTROL!$C$42, 14.8243, 14.8243) * CHOOSE(CONTROL!$C$21, $C$9, 100%, $E$9)</f>
        <v>14.824299999999999</v>
      </c>
      <c r="I315" s="14">
        <f>CHOOSE(CONTROL!$C$42, 14.7833, 14.7833)* CHOOSE(CONTROL!$C$21, $C$9, 100%, $E$9)</f>
        <v>14.783300000000001</v>
      </c>
      <c r="J315" s="14">
        <f>CHOOSE(CONTROL!$C$42, 14.7096, 14.7096)* CHOOSE(CONTROL!$C$21, $C$9, 100%, $E$9)</f>
        <v>14.7096</v>
      </c>
      <c r="K315" s="53">
        <f>CHOOSE(CONTROL!$C$42, 14.7794, 14.7794) * CHOOSE(CONTROL!$C$21, $C$9, 100%, $E$9)</f>
        <v>14.779400000000001</v>
      </c>
      <c r="L315" s="14">
        <f>CHOOSE(CONTROL!$C$42, 15.4113, 15.4113) * CHOOSE(CONTROL!$C$21, $C$9, 100%, $E$9)</f>
        <v>15.411300000000001</v>
      </c>
      <c r="M315" s="14">
        <f>CHOOSE(CONTROL!$C$42, 14.4159, 14.4159) * CHOOSE(CONTROL!$C$21, $C$9, 100%, $E$9)</f>
        <v>14.415900000000001</v>
      </c>
      <c r="N315" s="14">
        <f>CHOOSE(CONTROL!$C$42, 14.4309, 14.4309) * CHOOSE(CONTROL!$C$21, $C$9, 100%, $E$9)</f>
        <v>14.430899999999999</v>
      </c>
      <c r="O315" s="14">
        <f>CHOOSE(CONTROL!$C$42, 14.5283, 14.5283) * CHOOSE(CONTROL!$C$21, $C$9, 100%, $E$9)</f>
        <v>14.5283</v>
      </c>
      <c r="P315" s="14">
        <f>CHOOSE(CONTROL!$C$42, 14.4873, 14.4873) * CHOOSE(CONTROL!$C$21, $C$9, 100%, $E$9)</f>
        <v>14.487299999999999</v>
      </c>
      <c r="Q315" s="14">
        <f>CHOOSE(CONTROL!$C$42, 15.123, 15.123) * CHOOSE(CONTROL!$C$21, $C$9, 100%, $E$9)</f>
        <v>15.122999999999999</v>
      </c>
      <c r="R315" s="14">
        <f>CHOOSE(CONTROL!$C$42, 15.7478, 15.7478) * CHOOSE(CONTROL!$C$21, $C$9, 100%, $E$9)</f>
        <v>15.7478</v>
      </c>
      <c r="S315" s="14">
        <f>CHOOSE(CONTROL!$C$42, 14.1451, 14.1451) * CHOOSE(CONTROL!$C$21, $C$9, 100%, $E$9)</f>
        <v>14.145099999999999</v>
      </c>
      <c r="T31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15" s="57">
        <f>(1000*CHOOSE(CONTROL!$C$42, 695, 695)*CHOOSE(CONTROL!$C$42, 0.5599, 0.5599)*CHOOSE(CONTROL!$C$42, 31, 31))/1000000</f>
        <v>12.063045499999998</v>
      </c>
      <c r="V315" s="57">
        <f>(1000*CHOOSE(CONTROL!$C$42, 500, 500)*CHOOSE(CONTROL!$C$42, 0.275, 0.275)*CHOOSE(CONTROL!$C$42, 31, 31))/1000000</f>
        <v>4.2625000000000002</v>
      </c>
      <c r="W315" s="57">
        <f>(1000*CHOOSE(CONTROL!$C$42, 0.1146, 0.1146)*CHOOSE(CONTROL!$C$42, 121.5, 121.5)*CHOOSE(CONTROL!$C$42, 31, 31))/1000000</f>
        <v>0.43164089999999994</v>
      </c>
      <c r="X315" s="57">
        <f>(31*0.1790888*100000/1000000)+(31*0.2374*100000/1000000)</f>
        <v>1.2911152800000001</v>
      </c>
      <c r="Y315" s="57"/>
      <c r="Z315" s="14"/>
      <c r="AA315" s="56"/>
      <c r="AB315" s="50">
        <f>(B315*122.58+C315*297.941+D315*89.177+E315*40.302+F315*40+G315*160+H315*0+I315*100+J315*300)/(122.58+297.941+89.177+40.302+0+40+160+100+300)</f>
        <v>14.739449394608695</v>
      </c>
      <c r="AC315" s="45">
        <f>(M315*'RAP TEMPLATE-GAS AVAILABILITY'!O314+N315*'RAP TEMPLATE-GAS AVAILABILITY'!P314+O315*'RAP TEMPLATE-GAS AVAILABILITY'!Q314+P315*'RAP TEMPLATE-GAS AVAILABILITY'!R314)/('RAP TEMPLATE-GAS AVAILABILITY'!O314+'RAP TEMPLATE-GAS AVAILABILITY'!P314+'RAP TEMPLATE-GAS AVAILABILITY'!Q314+'RAP TEMPLATE-GAS AVAILABILITY'!R314)</f>
        <v>14.477980575539569</v>
      </c>
    </row>
    <row r="316" spans="1:29" ht="15.75" x14ac:dyDescent="0.25">
      <c r="A316" s="33">
        <v>50525</v>
      </c>
      <c r="B316" s="14">
        <f>CHOOSE(CONTROL!$C$42, 14.6867, 14.6867) * CHOOSE(CONTROL!$C$21, $C$9, 100%, $E$9)</f>
        <v>14.6867</v>
      </c>
      <c r="C316" s="14">
        <f>CHOOSE(CONTROL!$C$42, 14.6911, 14.6911) * CHOOSE(CONTROL!$C$21, $C$9, 100%, $E$9)</f>
        <v>14.6911</v>
      </c>
      <c r="D316" s="14">
        <f>CHOOSE(CONTROL!$C$42, 14.8982, 14.8982) * CHOOSE(CONTROL!$C$21, $C$9, 100%, $E$9)</f>
        <v>14.898199999999999</v>
      </c>
      <c r="E316" s="14">
        <f>CHOOSE(CONTROL!$C$42, 14.9303, 14.9303) * CHOOSE(CONTROL!$C$21, $C$9, 100%, $E$9)</f>
        <v>14.930300000000001</v>
      </c>
      <c r="F316" s="14">
        <f>CHOOSE(CONTROL!$C$42, 14.6685, 14.6685)*CHOOSE(CONTROL!$C$21, $C$9, 100%, $E$9)</f>
        <v>14.6685</v>
      </c>
      <c r="G316" s="14">
        <f>CHOOSE(CONTROL!$C$42, 14.6837, 14.6837)*CHOOSE(CONTROL!$C$21, $C$9, 100%, $E$9)</f>
        <v>14.6837</v>
      </c>
      <c r="H316" s="14">
        <f>CHOOSE(CONTROL!$C$42, 14.9201, 14.9201) * CHOOSE(CONTROL!$C$21, $C$9, 100%, $E$9)</f>
        <v>14.9201</v>
      </c>
      <c r="I316" s="14">
        <f>CHOOSE(CONTROL!$C$42, 14.7395, 14.7395)* CHOOSE(CONTROL!$C$21, $C$9, 100%, $E$9)</f>
        <v>14.7395</v>
      </c>
      <c r="J316" s="14">
        <f>CHOOSE(CONTROL!$C$42, 14.6615, 14.6615)* CHOOSE(CONTROL!$C$21, $C$9, 100%, $E$9)</f>
        <v>14.6615</v>
      </c>
      <c r="K316" s="53">
        <f>CHOOSE(CONTROL!$C$42, 14.7356, 14.7356) * CHOOSE(CONTROL!$C$21, $C$9, 100%, $E$9)</f>
        <v>14.7356</v>
      </c>
      <c r="L316" s="14">
        <f>CHOOSE(CONTROL!$C$42, 15.5071, 15.5071) * CHOOSE(CONTROL!$C$21, $C$9, 100%, $E$9)</f>
        <v>15.507099999999999</v>
      </c>
      <c r="M316" s="14">
        <f>CHOOSE(CONTROL!$C$42, 14.3688, 14.3688) * CHOOSE(CONTROL!$C$21, $C$9, 100%, $E$9)</f>
        <v>14.3688</v>
      </c>
      <c r="N316" s="14">
        <f>CHOOSE(CONTROL!$C$42, 14.3837, 14.3837) * CHOOSE(CONTROL!$C$21, $C$9, 100%, $E$9)</f>
        <v>14.383699999999999</v>
      </c>
      <c r="O316" s="14">
        <f>CHOOSE(CONTROL!$C$42, 14.6221, 14.6221) * CHOOSE(CONTROL!$C$21, $C$9, 100%, $E$9)</f>
        <v>14.6221</v>
      </c>
      <c r="P316" s="14">
        <f>CHOOSE(CONTROL!$C$42, 14.4443, 14.4443) * CHOOSE(CONTROL!$C$21, $C$9, 100%, $E$9)</f>
        <v>14.4443</v>
      </c>
      <c r="Q316" s="14">
        <f>CHOOSE(CONTROL!$C$42, 15.2168, 15.2168) * CHOOSE(CONTROL!$C$21, $C$9, 100%, $E$9)</f>
        <v>15.216799999999999</v>
      </c>
      <c r="R316" s="14">
        <f>CHOOSE(CONTROL!$C$42, 15.8418, 15.8418) * CHOOSE(CONTROL!$C$21, $C$9, 100%, $E$9)</f>
        <v>15.841799999999999</v>
      </c>
      <c r="S316" s="14">
        <f>CHOOSE(CONTROL!$C$42, 14.1031, 14.1031) * CHOOSE(CONTROL!$C$21, $C$9, 100%, $E$9)</f>
        <v>14.1031</v>
      </c>
      <c r="T31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16" s="57">
        <f>(1000*CHOOSE(CONTROL!$C$42, 695, 695)*CHOOSE(CONTROL!$C$42, 0.5599, 0.5599)*CHOOSE(CONTROL!$C$42, 30, 30))/1000000</f>
        <v>11.673914999999997</v>
      </c>
      <c r="V316" s="57">
        <f>(1000*CHOOSE(CONTROL!$C$42, 500, 500)*CHOOSE(CONTROL!$C$42, 0.275, 0.275)*CHOOSE(CONTROL!$C$42, 30, 30))/1000000</f>
        <v>4.125</v>
      </c>
      <c r="W316" s="57">
        <f>(1000*CHOOSE(CONTROL!$C$42, 0.1146, 0.1146)*CHOOSE(CONTROL!$C$42, 121.5, 121.5)*CHOOSE(CONTROL!$C$42, 30, 30))/1000000</f>
        <v>0.417717</v>
      </c>
      <c r="X316" s="57">
        <f>(30*0.1790888*245000/1000000)+(30*0.2374*100000/1000000)</f>
        <v>2.0285026799999999</v>
      </c>
      <c r="Y316" s="57"/>
      <c r="Z316" s="14"/>
      <c r="AA316" s="56"/>
      <c r="AB316" s="50">
        <f>(B316*141.293+C316*267.993+D316*115.016+E316*89.698+F316*40+G316*185+H316*0+I316*100+J316*300)/(141.293+267.993+115.016+89.698+0+40+185+100+300)</f>
        <v>14.722045025020179</v>
      </c>
      <c r="AC316" s="45">
        <f>(M316*'RAP TEMPLATE-GAS AVAILABILITY'!O315+N316*'RAP TEMPLATE-GAS AVAILABILITY'!P315+O316*'RAP TEMPLATE-GAS AVAILABILITY'!Q315+P316*'RAP TEMPLATE-GAS AVAILABILITY'!R315)/('RAP TEMPLATE-GAS AVAILABILITY'!O315+'RAP TEMPLATE-GAS AVAILABILITY'!P315+'RAP TEMPLATE-GAS AVAILABILITY'!Q315+'RAP TEMPLATE-GAS AVAILABILITY'!R315)</f>
        <v>14.454163309352518</v>
      </c>
    </row>
    <row r="317" spans="1:29" ht="15.75" x14ac:dyDescent="0.25">
      <c r="A317" s="33">
        <v>50556</v>
      </c>
      <c r="B317" s="14">
        <f>CHOOSE(CONTROL!$C$42, 14.8176, 14.8176) * CHOOSE(CONTROL!$C$21, $C$9, 100%, $E$9)</f>
        <v>14.817600000000001</v>
      </c>
      <c r="C317" s="14">
        <f>CHOOSE(CONTROL!$C$42, 14.8256, 14.8256) * CHOOSE(CONTROL!$C$21, $C$9, 100%, $E$9)</f>
        <v>14.8256</v>
      </c>
      <c r="D317" s="14">
        <f>CHOOSE(CONTROL!$C$42, 15.0295, 15.0295) * CHOOSE(CONTROL!$C$21, $C$9, 100%, $E$9)</f>
        <v>15.029500000000001</v>
      </c>
      <c r="E317" s="14">
        <f>CHOOSE(CONTROL!$C$42, 15.061, 15.061) * CHOOSE(CONTROL!$C$21, $C$9, 100%, $E$9)</f>
        <v>15.061</v>
      </c>
      <c r="F317" s="14">
        <f>CHOOSE(CONTROL!$C$42, 14.7983, 14.7983)*CHOOSE(CONTROL!$C$21, $C$9, 100%, $E$9)</f>
        <v>14.798299999999999</v>
      </c>
      <c r="G317" s="14">
        <f>CHOOSE(CONTROL!$C$42, 14.814, 14.814)*CHOOSE(CONTROL!$C$21, $C$9, 100%, $E$9)</f>
        <v>14.814</v>
      </c>
      <c r="H317" s="14">
        <f>CHOOSE(CONTROL!$C$42, 15.0496, 15.0496) * CHOOSE(CONTROL!$C$21, $C$9, 100%, $E$9)</f>
        <v>15.0496</v>
      </c>
      <c r="I317" s="14">
        <f>CHOOSE(CONTROL!$C$42, 14.8694, 14.8694)* CHOOSE(CONTROL!$C$21, $C$9, 100%, $E$9)</f>
        <v>14.869400000000001</v>
      </c>
      <c r="J317" s="14">
        <f>CHOOSE(CONTROL!$C$42, 14.7913, 14.7913)* CHOOSE(CONTROL!$C$21, $C$9, 100%, $E$9)</f>
        <v>14.7913</v>
      </c>
      <c r="K317" s="53">
        <f>CHOOSE(CONTROL!$C$42, 14.8655, 14.8655) * CHOOSE(CONTROL!$C$21, $C$9, 100%, $E$9)</f>
        <v>14.865500000000001</v>
      </c>
      <c r="L317" s="14">
        <f>CHOOSE(CONTROL!$C$42, 15.6366, 15.6366) * CHOOSE(CONTROL!$C$21, $C$9, 100%, $E$9)</f>
        <v>15.6366</v>
      </c>
      <c r="M317" s="14">
        <f>CHOOSE(CONTROL!$C$42, 14.496, 14.496) * CHOOSE(CONTROL!$C$21, $C$9, 100%, $E$9)</f>
        <v>14.496</v>
      </c>
      <c r="N317" s="14">
        <f>CHOOSE(CONTROL!$C$42, 14.5113, 14.5113) * CHOOSE(CONTROL!$C$21, $C$9, 100%, $E$9)</f>
        <v>14.5113</v>
      </c>
      <c r="O317" s="14">
        <f>CHOOSE(CONTROL!$C$42, 14.749, 14.749) * CHOOSE(CONTROL!$C$21, $C$9, 100%, $E$9)</f>
        <v>14.749000000000001</v>
      </c>
      <c r="P317" s="14">
        <f>CHOOSE(CONTROL!$C$42, 14.5716, 14.5716) * CHOOSE(CONTROL!$C$21, $C$9, 100%, $E$9)</f>
        <v>14.5716</v>
      </c>
      <c r="Q317" s="14">
        <f>CHOOSE(CONTROL!$C$42, 15.3437, 15.3437) * CHOOSE(CONTROL!$C$21, $C$9, 100%, $E$9)</f>
        <v>15.3437</v>
      </c>
      <c r="R317" s="14">
        <f>CHOOSE(CONTROL!$C$42, 15.969, 15.969) * CHOOSE(CONTROL!$C$21, $C$9, 100%, $E$9)</f>
        <v>15.968999999999999</v>
      </c>
      <c r="S317" s="14">
        <f>CHOOSE(CONTROL!$C$42, 14.2276, 14.2276) * CHOOSE(CONTROL!$C$21, $C$9, 100%, $E$9)</f>
        <v>14.227600000000001</v>
      </c>
      <c r="T31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17" s="57">
        <f>(1000*CHOOSE(CONTROL!$C$42, 695, 695)*CHOOSE(CONTROL!$C$42, 0.5599, 0.5599)*CHOOSE(CONTROL!$C$42, 31, 31))/1000000</f>
        <v>12.063045499999998</v>
      </c>
      <c r="V317" s="57">
        <f>(1000*CHOOSE(CONTROL!$C$42, 500, 500)*CHOOSE(CONTROL!$C$42, 0.275, 0.275)*CHOOSE(CONTROL!$C$42, 31, 31))/1000000</f>
        <v>4.2625000000000002</v>
      </c>
      <c r="W317" s="57">
        <f>(1000*CHOOSE(CONTROL!$C$42, 0.1146, 0.1146)*CHOOSE(CONTROL!$C$42, 121.5, 121.5)*CHOOSE(CONTROL!$C$42, 31, 31))/1000000</f>
        <v>0.43164089999999994</v>
      </c>
      <c r="X317" s="57">
        <f>(31*0.1790888*245000/1000000)+(31*0.2374*100000/1000000)</f>
        <v>2.0961194359999999</v>
      </c>
      <c r="Y317" s="57"/>
      <c r="Z317" s="14"/>
      <c r="AA317" s="56"/>
      <c r="AB317" s="50">
        <f>(B317*194.205+C317*267.466+D317*133.845+E317*53.484+F317*40+G317*185+H317*0+I317*100+J317*300)/(194.205+267.466+133.845+53.484+0+40+185+100+300)</f>
        <v>14.848503837598118</v>
      </c>
      <c r="AC317" s="45">
        <f>(M317*'RAP TEMPLATE-GAS AVAILABILITY'!O316+N317*'RAP TEMPLATE-GAS AVAILABILITY'!P316+O317*'RAP TEMPLATE-GAS AVAILABILITY'!Q316+P317*'RAP TEMPLATE-GAS AVAILABILITY'!R316)/('RAP TEMPLATE-GAS AVAILABILITY'!O316+'RAP TEMPLATE-GAS AVAILABILITY'!P316+'RAP TEMPLATE-GAS AVAILABILITY'!Q316+'RAP TEMPLATE-GAS AVAILABILITY'!R316)</f>
        <v>14.581385611510791</v>
      </c>
    </row>
    <row r="318" spans="1:29" ht="15.75" x14ac:dyDescent="0.25">
      <c r="A318" s="33">
        <v>50586</v>
      </c>
      <c r="B318" s="14">
        <f>CHOOSE(CONTROL!$C$42, 15.2376, 15.2376) * CHOOSE(CONTROL!$C$21, $C$9, 100%, $E$9)</f>
        <v>15.2376</v>
      </c>
      <c r="C318" s="14">
        <f>CHOOSE(CONTROL!$C$42, 15.2456, 15.2456) * CHOOSE(CONTROL!$C$21, $C$9, 100%, $E$9)</f>
        <v>15.2456</v>
      </c>
      <c r="D318" s="14">
        <f>CHOOSE(CONTROL!$C$42, 15.4495, 15.4495) * CHOOSE(CONTROL!$C$21, $C$9, 100%, $E$9)</f>
        <v>15.4495</v>
      </c>
      <c r="E318" s="14">
        <f>CHOOSE(CONTROL!$C$42, 15.481, 15.481) * CHOOSE(CONTROL!$C$21, $C$9, 100%, $E$9)</f>
        <v>15.481</v>
      </c>
      <c r="F318" s="14">
        <f>CHOOSE(CONTROL!$C$42, 15.2187, 15.2187)*CHOOSE(CONTROL!$C$21, $C$9, 100%, $E$9)</f>
        <v>15.2187</v>
      </c>
      <c r="G318" s="14">
        <f>CHOOSE(CONTROL!$C$42, 15.2345, 15.2345)*CHOOSE(CONTROL!$C$21, $C$9, 100%, $E$9)</f>
        <v>15.234500000000001</v>
      </c>
      <c r="H318" s="14">
        <f>CHOOSE(CONTROL!$C$42, 15.4696, 15.4696) * CHOOSE(CONTROL!$C$21, $C$9, 100%, $E$9)</f>
        <v>15.4696</v>
      </c>
      <c r="I318" s="14">
        <f>CHOOSE(CONTROL!$C$42, 15.2907, 15.2907)* CHOOSE(CONTROL!$C$21, $C$9, 100%, $E$9)</f>
        <v>15.290699999999999</v>
      </c>
      <c r="J318" s="14">
        <f>CHOOSE(CONTROL!$C$42, 15.2117, 15.2117)* CHOOSE(CONTROL!$C$21, $C$9, 100%, $E$9)</f>
        <v>15.2117</v>
      </c>
      <c r="K318" s="53">
        <f>CHOOSE(CONTROL!$C$42, 15.2868, 15.2868) * CHOOSE(CONTROL!$C$21, $C$9, 100%, $E$9)</f>
        <v>15.286799999999999</v>
      </c>
      <c r="L318" s="14">
        <f>CHOOSE(CONTROL!$C$42, 16.0566, 16.0566) * CHOOSE(CONTROL!$C$21, $C$9, 100%, $E$9)</f>
        <v>16.0566</v>
      </c>
      <c r="M318" s="14">
        <f>CHOOSE(CONTROL!$C$42, 14.9077, 14.9077) * CHOOSE(CONTROL!$C$21, $C$9, 100%, $E$9)</f>
        <v>14.9077</v>
      </c>
      <c r="N318" s="14">
        <f>CHOOSE(CONTROL!$C$42, 14.9232, 14.9232) * CHOOSE(CONTROL!$C$21, $C$9, 100%, $E$9)</f>
        <v>14.9232</v>
      </c>
      <c r="O318" s="14">
        <f>CHOOSE(CONTROL!$C$42, 15.1603, 15.1603) * CHOOSE(CONTROL!$C$21, $C$9, 100%, $E$9)</f>
        <v>15.160299999999999</v>
      </c>
      <c r="P318" s="14">
        <f>CHOOSE(CONTROL!$C$42, 14.9842, 14.9842) * CHOOSE(CONTROL!$C$21, $C$9, 100%, $E$9)</f>
        <v>14.9842</v>
      </c>
      <c r="Q318" s="14">
        <f>CHOOSE(CONTROL!$C$42, 15.755, 15.755) * CHOOSE(CONTROL!$C$21, $C$9, 100%, $E$9)</f>
        <v>15.755000000000001</v>
      </c>
      <c r="R318" s="14">
        <f>CHOOSE(CONTROL!$C$42, 16.3814, 16.3814) * CHOOSE(CONTROL!$C$21, $C$9, 100%, $E$9)</f>
        <v>16.381399999999999</v>
      </c>
      <c r="S318" s="14">
        <f>CHOOSE(CONTROL!$C$42, 14.6311, 14.6311) * CHOOSE(CONTROL!$C$21, $C$9, 100%, $E$9)</f>
        <v>14.6311</v>
      </c>
      <c r="T31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18" s="57">
        <f>(1000*CHOOSE(CONTROL!$C$42, 695, 695)*CHOOSE(CONTROL!$C$42, 0.5599, 0.5599)*CHOOSE(CONTROL!$C$42, 30, 30))/1000000</f>
        <v>11.673914999999997</v>
      </c>
      <c r="V318" s="57">
        <f>(1000*CHOOSE(CONTROL!$C$42, 500, 500)*CHOOSE(CONTROL!$C$42, 0.275, 0.275)*CHOOSE(CONTROL!$C$42, 30, 30))/1000000</f>
        <v>4.125</v>
      </c>
      <c r="W318" s="57">
        <f>(1000*CHOOSE(CONTROL!$C$42, 0.1146, 0.1146)*CHOOSE(CONTROL!$C$42, 121.5, 121.5)*CHOOSE(CONTROL!$C$42, 30, 30))/1000000</f>
        <v>0.417717</v>
      </c>
      <c r="X318" s="57">
        <f>(30*0.1790888*245000/1000000)+(30*0.2374*100000/1000000)</f>
        <v>2.0285026799999999</v>
      </c>
      <c r="Y318" s="57"/>
      <c r="Z318" s="14"/>
      <c r="AA318" s="56"/>
      <c r="AB318" s="50">
        <f>(B318*194.205+C318*267.466+D318*133.845+E318*53.484+F318*40+G318*185+H318*0+I318*100+J318*300)/(194.205+267.466+133.845+53.484+0+40+185+100+300)</f>
        <v>15.268785234772372</v>
      </c>
      <c r="AC318" s="45">
        <f>(M318*'RAP TEMPLATE-GAS AVAILABILITY'!O317+N318*'RAP TEMPLATE-GAS AVAILABILITY'!P317+O318*'RAP TEMPLATE-GAS AVAILABILITY'!Q317+P318*'RAP TEMPLATE-GAS AVAILABILITY'!R317)/('RAP TEMPLATE-GAS AVAILABILITY'!O317+'RAP TEMPLATE-GAS AVAILABILITY'!P317+'RAP TEMPLATE-GAS AVAILABILITY'!Q317+'RAP TEMPLATE-GAS AVAILABILITY'!R317)</f>
        <v>14.993148920863309</v>
      </c>
    </row>
    <row r="319" spans="1:29" ht="15.75" x14ac:dyDescent="0.25">
      <c r="A319" s="33">
        <v>50617</v>
      </c>
      <c r="B319" s="14">
        <f>CHOOSE(CONTROL!$C$42, 14.9455, 14.9455) * CHOOSE(CONTROL!$C$21, $C$9, 100%, $E$9)</f>
        <v>14.945499999999999</v>
      </c>
      <c r="C319" s="14">
        <f>CHOOSE(CONTROL!$C$42, 14.9535, 14.9535) * CHOOSE(CONTROL!$C$21, $C$9, 100%, $E$9)</f>
        <v>14.9535</v>
      </c>
      <c r="D319" s="14">
        <f>CHOOSE(CONTROL!$C$42, 15.1574, 15.1574) * CHOOSE(CONTROL!$C$21, $C$9, 100%, $E$9)</f>
        <v>15.157400000000001</v>
      </c>
      <c r="E319" s="14">
        <f>CHOOSE(CONTROL!$C$42, 15.1889, 15.1889) * CHOOSE(CONTROL!$C$21, $C$9, 100%, $E$9)</f>
        <v>15.1889</v>
      </c>
      <c r="F319" s="14">
        <f>CHOOSE(CONTROL!$C$42, 14.9271, 14.9271)*CHOOSE(CONTROL!$C$21, $C$9, 100%, $E$9)</f>
        <v>14.927099999999999</v>
      </c>
      <c r="G319" s="14">
        <f>CHOOSE(CONTROL!$C$42, 14.943, 14.943)*CHOOSE(CONTROL!$C$21, $C$9, 100%, $E$9)</f>
        <v>14.943</v>
      </c>
      <c r="H319" s="14">
        <f>CHOOSE(CONTROL!$C$42, 15.1775, 15.1775) * CHOOSE(CONTROL!$C$21, $C$9, 100%, $E$9)</f>
        <v>15.1775</v>
      </c>
      <c r="I319" s="14">
        <f>CHOOSE(CONTROL!$C$42, 14.9977, 14.9977)* CHOOSE(CONTROL!$C$21, $C$9, 100%, $E$9)</f>
        <v>14.9977</v>
      </c>
      <c r="J319" s="14">
        <f>CHOOSE(CONTROL!$C$42, 14.9201, 14.9201)* CHOOSE(CONTROL!$C$21, $C$9, 100%, $E$9)</f>
        <v>14.9201</v>
      </c>
      <c r="K319" s="53">
        <f>CHOOSE(CONTROL!$C$42, 14.9938, 14.9938) * CHOOSE(CONTROL!$C$21, $C$9, 100%, $E$9)</f>
        <v>14.9938</v>
      </c>
      <c r="L319" s="14">
        <f>CHOOSE(CONTROL!$C$42, 15.7645, 15.7645) * CHOOSE(CONTROL!$C$21, $C$9, 100%, $E$9)</f>
        <v>15.7645</v>
      </c>
      <c r="M319" s="14">
        <f>CHOOSE(CONTROL!$C$42, 14.6221, 14.6221) * CHOOSE(CONTROL!$C$21, $C$9, 100%, $E$9)</f>
        <v>14.6221</v>
      </c>
      <c r="N319" s="14">
        <f>CHOOSE(CONTROL!$C$42, 14.6376, 14.6376) * CHOOSE(CONTROL!$C$21, $C$9, 100%, $E$9)</f>
        <v>14.637600000000001</v>
      </c>
      <c r="O319" s="14">
        <f>CHOOSE(CONTROL!$C$42, 14.8742, 14.8742) * CHOOSE(CONTROL!$C$21, $C$9, 100%, $E$9)</f>
        <v>14.8742</v>
      </c>
      <c r="P319" s="14">
        <f>CHOOSE(CONTROL!$C$42, 14.6972, 14.6972) * CHOOSE(CONTROL!$C$21, $C$9, 100%, $E$9)</f>
        <v>14.6972</v>
      </c>
      <c r="Q319" s="14">
        <f>CHOOSE(CONTROL!$C$42, 15.4689, 15.4689) * CHOOSE(CONTROL!$C$21, $C$9, 100%, $E$9)</f>
        <v>15.4689</v>
      </c>
      <c r="R319" s="14">
        <f>CHOOSE(CONTROL!$C$42, 16.0946, 16.0946) * CHOOSE(CONTROL!$C$21, $C$9, 100%, $E$9)</f>
        <v>16.0946</v>
      </c>
      <c r="S319" s="14">
        <f>CHOOSE(CONTROL!$C$42, 14.3505, 14.3505) * CHOOSE(CONTROL!$C$21, $C$9, 100%, $E$9)</f>
        <v>14.3505</v>
      </c>
      <c r="T31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19" s="57">
        <f>(1000*CHOOSE(CONTROL!$C$42, 695, 695)*CHOOSE(CONTROL!$C$42, 0.5599, 0.5599)*CHOOSE(CONTROL!$C$42, 31, 31))/1000000</f>
        <v>12.063045499999998</v>
      </c>
      <c r="V319" s="57">
        <f>(1000*CHOOSE(CONTROL!$C$42, 500, 500)*CHOOSE(CONTROL!$C$42, 0.275, 0.275)*CHOOSE(CONTROL!$C$42, 31, 31))/1000000</f>
        <v>4.2625000000000002</v>
      </c>
      <c r="W319" s="57">
        <f>(1000*CHOOSE(CONTROL!$C$42, 0.1146, 0.1146)*CHOOSE(CONTROL!$C$42, 121.5, 121.5)*CHOOSE(CONTROL!$C$42, 31, 31))/1000000</f>
        <v>0.43164089999999994</v>
      </c>
      <c r="X319" s="57">
        <f>(31*0.1790888*245000/1000000)+(31*0.2374*100000/1000000)</f>
        <v>2.0961194359999999</v>
      </c>
      <c r="Y319" s="57"/>
      <c r="Z319" s="14"/>
      <c r="AA319" s="56"/>
      <c r="AB319" s="50">
        <f>(B319*194.205+C319*267.466+D319*133.845+E319*53.484+F319*40+G319*185+H319*0+I319*100+J319*300)/(194.205+267.466+133.845+53.484+0+40+185+100+300)</f>
        <v>14.976835156279437</v>
      </c>
      <c r="AC319" s="45">
        <f>(M319*'RAP TEMPLATE-GAS AVAILABILITY'!O318+N319*'RAP TEMPLATE-GAS AVAILABILITY'!P318+O319*'RAP TEMPLATE-GAS AVAILABILITY'!Q318+P319*'RAP TEMPLATE-GAS AVAILABILITY'!R318)/('RAP TEMPLATE-GAS AVAILABILITY'!O318+'RAP TEMPLATE-GAS AVAILABILITY'!P318+'RAP TEMPLATE-GAS AVAILABILITY'!Q318+'RAP TEMPLATE-GAS AVAILABILITY'!R318)</f>
        <v>14.707207194244605</v>
      </c>
    </row>
    <row r="320" spans="1:29" ht="15.75" x14ac:dyDescent="0.25">
      <c r="A320" s="33">
        <v>50648</v>
      </c>
      <c r="B320" s="14">
        <f>CHOOSE(CONTROL!$C$42, 14.2078, 14.2078) * CHOOSE(CONTROL!$C$21, $C$9, 100%, $E$9)</f>
        <v>14.207800000000001</v>
      </c>
      <c r="C320" s="14">
        <f>CHOOSE(CONTROL!$C$42, 14.2159, 14.2159) * CHOOSE(CONTROL!$C$21, $C$9, 100%, $E$9)</f>
        <v>14.2159</v>
      </c>
      <c r="D320" s="14">
        <f>CHOOSE(CONTROL!$C$42, 14.4198, 14.4198) * CHOOSE(CONTROL!$C$21, $C$9, 100%, $E$9)</f>
        <v>14.4198</v>
      </c>
      <c r="E320" s="14">
        <f>CHOOSE(CONTROL!$C$42, 14.4513, 14.4513) * CHOOSE(CONTROL!$C$21, $C$9, 100%, $E$9)</f>
        <v>14.4513</v>
      </c>
      <c r="F320" s="14">
        <f>CHOOSE(CONTROL!$C$42, 14.1897, 14.1897)*CHOOSE(CONTROL!$C$21, $C$9, 100%, $E$9)</f>
        <v>14.1897</v>
      </c>
      <c r="G320" s="14">
        <f>CHOOSE(CONTROL!$C$42, 14.2056, 14.2056)*CHOOSE(CONTROL!$C$21, $C$9, 100%, $E$9)</f>
        <v>14.2056</v>
      </c>
      <c r="H320" s="14">
        <f>CHOOSE(CONTROL!$C$42, 14.4399, 14.4399) * CHOOSE(CONTROL!$C$21, $C$9, 100%, $E$9)</f>
        <v>14.4399</v>
      </c>
      <c r="I320" s="14">
        <f>CHOOSE(CONTROL!$C$42, 14.2578, 14.2578)* CHOOSE(CONTROL!$C$21, $C$9, 100%, $E$9)</f>
        <v>14.2578</v>
      </c>
      <c r="J320" s="14">
        <f>CHOOSE(CONTROL!$C$42, 14.1827, 14.1827)* CHOOSE(CONTROL!$C$21, $C$9, 100%, $E$9)</f>
        <v>14.182700000000001</v>
      </c>
      <c r="K320" s="53">
        <f>CHOOSE(CONTROL!$C$42, 14.2539, 14.2539) * CHOOSE(CONTROL!$C$21, $C$9, 100%, $E$9)</f>
        <v>14.2539</v>
      </c>
      <c r="L320" s="14">
        <f>CHOOSE(CONTROL!$C$42, 15.0269, 15.0269) * CHOOSE(CONTROL!$C$21, $C$9, 100%, $E$9)</f>
        <v>15.026899999999999</v>
      </c>
      <c r="M320" s="14">
        <f>CHOOSE(CONTROL!$C$42, 13.8998, 13.8998) * CHOOSE(CONTROL!$C$21, $C$9, 100%, $E$9)</f>
        <v>13.899800000000001</v>
      </c>
      <c r="N320" s="14">
        <f>CHOOSE(CONTROL!$C$42, 13.9154, 13.9154) * CHOOSE(CONTROL!$C$21, $C$9, 100%, $E$9)</f>
        <v>13.9154</v>
      </c>
      <c r="O320" s="14">
        <f>CHOOSE(CONTROL!$C$42, 14.1517, 14.1517) * CHOOSE(CONTROL!$C$21, $C$9, 100%, $E$9)</f>
        <v>14.1517</v>
      </c>
      <c r="P320" s="14">
        <f>CHOOSE(CONTROL!$C$42, 13.9725, 13.9725) * CHOOSE(CONTROL!$C$21, $C$9, 100%, $E$9)</f>
        <v>13.9725</v>
      </c>
      <c r="Q320" s="14">
        <f>CHOOSE(CONTROL!$C$42, 14.7464, 14.7464) * CHOOSE(CONTROL!$C$21, $C$9, 100%, $E$9)</f>
        <v>14.7464</v>
      </c>
      <c r="R320" s="14">
        <f>CHOOSE(CONTROL!$C$42, 15.3703, 15.3703) * CHOOSE(CONTROL!$C$21, $C$9, 100%, $E$9)</f>
        <v>15.3703</v>
      </c>
      <c r="S320" s="14">
        <f>CHOOSE(CONTROL!$C$42, 13.6417, 13.6417) * CHOOSE(CONTROL!$C$21, $C$9, 100%, $E$9)</f>
        <v>13.6417</v>
      </c>
      <c r="T32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20" s="57">
        <f>(1000*CHOOSE(CONTROL!$C$42, 695, 695)*CHOOSE(CONTROL!$C$42, 0.5599, 0.5599)*CHOOSE(CONTROL!$C$42, 31, 31))/1000000</f>
        <v>12.063045499999998</v>
      </c>
      <c r="V320" s="57">
        <f>(1000*CHOOSE(CONTROL!$C$42, 500, 500)*CHOOSE(CONTROL!$C$42, 0.275, 0.275)*CHOOSE(CONTROL!$C$42, 31, 31))/1000000</f>
        <v>4.2625000000000002</v>
      </c>
      <c r="W320" s="57">
        <f>(1000*CHOOSE(CONTROL!$C$42, 0.1146, 0.1146)*CHOOSE(CONTROL!$C$42, 121.5, 121.5)*CHOOSE(CONTROL!$C$42, 31, 31))/1000000</f>
        <v>0.43164089999999994</v>
      </c>
      <c r="X320" s="57">
        <f>(31*0.1790888*245000/1000000)+(31*0.2374*100000/1000000)</f>
        <v>2.0961194359999999</v>
      </c>
      <c r="Y320" s="57"/>
      <c r="Z320" s="14"/>
      <c r="AA320" s="56"/>
      <c r="AB320" s="50">
        <f>(B320*194.205+C320*267.466+D320*133.845+E320*53.484+F320*40+G320*185+H320*0+I320*100+J320*300)/(194.205+267.466+133.845+53.484+0+40+185+100+300)</f>
        <v>14.239121796389327</v>
      </c>
      <c r="AC320" s="45">
        <f>(M320*'RAP TEMPLATE-GAS AVAILABILITY'!O319+N320*'RAP TEMPLATE-GAS AVAILABILITY'!P319+O320*'RAP TEMPLATE-GAS AVAILABILITY'!Q319+P320*'RAP TEMPLATE-GAS AVAILABILITY'!R319)/('RAP TEMPLATE-GAS AVAILABILITY'!O319+'RAP TEMPLATE-GAS AVAILABILITY'!P319+'RAP TEMPLATE-GAS AVAILABILITY'!Q319+'RAP TEMPLATE-GAS AVAILABILITY'!R319)</f>
        <v>13.984528776978417</v>
      </c>
    </row>
    <row r="321" spans="1:29" ht="15.75" x14ac:dyDescent="0.25">
      <c r="A321" s="33">
        <v>50678</v>
      </c>
      <c r="B321" s="14">
        <f>CHOOSE(CONTROL!$C$42, 13.3062, 13.3062) * CHOOSE(CONTROL!$C$21, $C$9, 100%, $E$9)</f>
        <v>13.3062</v>
      </c>
      <c r="C321" s="14">
        <f>CHOOSE(CONTROL!$C$42, 13.3142, 13.3142) * CHOOSE(CONTROL!$C$21, $C$9, 100%, $E$9)</f>
        <v>13.3142</v>
      </c>
      <c r="D321" s="14">
        <f>CHOOSE(CONTROL!$C$42, 13.5182, 13.5182) * CHOOSE(CONTROL!$C$21, $C$9, 100%, $E$9)</f>
        <v>13.5182</v>
      </c>
      <c r="E321" s="14">
        <f>CHOOSE(CONTROL!$C$42, 13.5496, 13.5496) * CHOOSE(CONTROL!$C$21, $C$9, 100%, $E$9)</f>
        <v>13.5496</v>
      </c>
      <c r="F321" s="14">
        <f>CHOOSE(CONTROL!$C$42, 13.2881, 13.2881)*CHOOSE(CONTROL!$C$21, $C$9, 100%, $E$9)</f>
        <v>13.2881</v>
      </c>
      <c r="G321" s="14">
        <f>CHOOSE(CONTROL!$C$42, 13.3041, 13.3041)*CHOOSE(CONTROL!$C$21, $C$9, 100%, $E$9)</f>
        <v>13.3041</v>
      </c>
      <c r="H321" s="14">
        <f>CHOOSE(CONTROL!$C$42, 13.5383, 13.5383) * CHOOSE(CONTROL!$C$21, $C$9, 100%, $E$9)</f>
        <v>13.5383</v>
      </c>
      <c r="I321" s="14">
        <f>CHOOSE(CONTROL!$C$42, 13.3533, 13.3533)* CHOOSE(CONTROL!$C$21, $C$9, 100%, $E$9)</f>
        <v>13.353300000000001</v>
      </c>
      <c r="J321" s="14">
        <f>CHOOSE(CONTROL!$C$42, 13.2811, 13.2811)* CHOOSE(CONTROL!$C$21, $C$9, 100%, $E$9)</f>
        <v>13.2811</v>
      </c>
      <c r="K321" s="53">
        <f>CHOOSE(CONTROL!$C$42, 13.3494, 13.3494) * CHOOSE(CONTROL!$C$21, $C$9, 100%, $E$9)</f>
        <v>13.349399999999999</v>
      </c>
      <c r="L321" s="14">
        <f>CHOOSE(CONTROL!$C$42, 14.1253, 14.1253) * CHOOSE(CONTROL!$C$21, $C$9, 100%, $E$9)</f>
        <v>14.125299999999999</v>
      </c>
      <c r="M321" s="14">
        <f>CHOOSE(CONTROL!$C$42, 13.0167, 13.0167) * CHOOSE(CONTROL!$C$21, $C$9, 100%, $E$9)</f>
        <v>13.0167</v>
      </c>
      <c r="N321" s="14">
        <f>CHOOSE(CONTROL!$C$42, 13.0323, 13.0323) * CHOOSE(CONTROL!$C$21, $C$9, 100%, $E$9)</f>
        <v>13.032299999999999</v>
      </c>
      <c r="O321" s="14">
        <f>CHOOSE(CONTROL!$C$42, 13.2686, 13.2686) * CHOOSE(CONTROL!$C$21, $C$9, 100%, $E$9)</f>
        <v>13.268599999999999</v>
      </c>
      <c r="P321" s="14">
        <f>CHOOSE(CONTROL!$C$42, 13.0866, 13.0866) * CHOOSE(CONTROL!$C$21, $C$9, 100%, $E$9)</f>
        <v>13.086600000000001</v>
      </c>
      <c r="Q321" s="14">
        <f>CHOOSE(CONTROL!$C$42, 13.8633, 13.8633) * CHOOSE(CONTROL!$C$21, $C$9, 100%, $E$9)</f>
        <v>13.863300000000001</v>
      </c>
      <c r="R321" s="14">
        <f>CHOOSE(CONTROL!$C$42, 14.4849, 14.4849) * CHOOSE(CONTROL!$C$21, $C$9, 100%, $E$9)</f>
        <v>14.4849</v>
      </c>
      <c r="S321" s="14">
        <f>CHOOSE(CONTROL!$C$42, 12.7753, 12.7753) * CHOOSE(CONTROL!$C$21, $C$9, 100%, $E$9)</f>
        <v>12.7753</v>
      </c>
      <c r="T32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21" s="57">
        <f>(1000*CHOOSE(CONTROL!$C$42, 695, 695)*CHOOSE(CONTROL!$C$42, 0.5599, 0.5599)*CHOOSE(CONTROL!$C$42, 30, 30))/1000000</f>
        <v>11.673914999999997</v>
      </c>
      <c r="V321" s="57">
        <f>(1000*CHOOSE(CONTROL!$C$42, 500, 500)*CHOOSE(CONTROL!$C$42, 0.275, 0.275)*CHOOSE(CONTROL!$C$42, 30, 30))/1000000</f>
        <v>4.125</v>
      </c>
      <c r="W321" s="57">
        <f>(1000*CHOOSE(CONTROL!$C$42, 0.1146, 0.1146)*CHOOSE(CONTROL!$C$42, 121.5, 121.5)*CHOOSE(CONTROL!$C$42, 30, 30))/1000000</f>
        <v>0.417717</v>
      </c>
      <c r="X321" s="57">
        <f>(30*0.1790888*245000/1000000)+(30*0.2374*100000/1000000)</f>
        <v>2.0285026799999999</v>
      </c>
      <c r="Y321" s="57"/>
      <c r="Z321" s="14"/>
      <c r="AA321" s="56"/>
      <c r="AB321" s="50">
        <f>(B321*194.205+C321*267.466+D321*133.845+E321*53.484+F321*40+G321*185+H321*0+I321*100+J321*300)/(194.205+267.466+133.845+53.484+0+40+185+100+300)</f>
        <v>13.33728349576138</v>
      </c>
      <c r="AC321" s="45">
        <f>(M321*'RAP TEMPLATE-GAS AVAILABILITY'!O320+N321*'RAP TEMPLATE-GAS AVAILABILITY'!P320+O321*'RAP TEMPLATE-GAS AVAILABILITY'!Q320+P321*'RAP TEMPLATE-GAS AVAILABILITY'!R320)/('RAP TEMPLATE-GAS AVAILABILITY'!O320+'RAP TEMPLATE-GAS AVAILABILITY'!P320+'RAP TEMPLATE-GAS AVAILABILITY'!Q320+'RAP TEMPLATE-GAS AVAILABILITY'!R320)</f>
        <v>13.101025899280575</v>
      </c>
    </row>
    <row r="322" spans="1:29" ht="15.75" x14ac:dyDescent="0.25">
      <c r="A322" s="33">
        <v>50709</v>
      </c>
      <c r="B322" s="14">
        <f>CHOOSE(CONTROL!$C$42, 13.0345, 13.0345) * CHOOSE(CONTROL!$C$21, $C$9, 100%, $E$9)</f>
        <v>13.0345</v>
      </c>
      <c r="C322" s="14">
        <f>CHOOSE(CONTROL!$C$42, 13.0398, 13.0398) * CHOOSE(CONTROL!$C$21, $C$9, 100%, $E$9)</f>
        <v>13.0398</v>
      </c>
      <c r="D322" s="14">
        <f>CHOOSE(CONTROL!$C$42, 13.2487, 13.2487) * CHOOSE(CONTROL!$C$21, $C$9, 100%, $E$9)</f>
        <v>13.248699999999999</v>
      </c>
      <c r="E322" s="14">
        <f>CHOOSE(CONTROL!$C$42, 13.2779, 13.2779) * CHOOSE(CONTROL!$C$21, $C$9, 100%, $E$9)</f>
        <v>13.277900000000001</v>
      </c>
      <c r="F322" s="14">
        <f>CHOOSE(CONTROL!$C$42, 13.0185, 13.0185)*CHOOSE(CONTROL!$C$21, $C$9, 100%, $E$9)</f>
        <v>13.0185</v>
      </c>
      <c r="G322" s="14">
        <f>CHOOSE(CONTROL!$C$42, 13.0341, 13.0341)*CHOOSE(CONTROL!$C$21, $C$9, 100%, $E$9)</f>
        <v>13.0341</v>
      </c>
      <c r="H322" s="14">
        <f>CHOOSE(CONTROL!$C$42, 13.2683, 13.2683) * CHOOSE(CONTROL!$C$21, $C$9, 100%, $E$9)</f>
        <v>13.2683</v>
      </c>
      <c r="I322" s="14">
        <f>CHOOSE(CONTROL!$C$42, 13.0825, 13.0825)* CHOOSE(CONTROL!$C$21, $C$9, 100%, $E$9)</f>
        <v>13.0825</v>
      </c>
      <c r="J322" s="14">
        <f>CHOOSE(CONTROL!$C$42, 13.0115, 13.0115)* CHOOSE(CONTROL!$C$21, $C$9, 100%, $E$9)</f>
        <v>13.0115</v>
      </c>
      <c r="K322" s="53">
        <f>CHOOSE(CONTROL!$C$42, 13.0786, 13.0786) * CHOOSE(CONTROL!$C$21, $C$9, 100%, $E$9)</f>
        <v>13.0786</v>
      </c>
      <c r="L322" s="14">
        <f>CHOOSE(CONTROL!$C$42, 13.8553, 13.8553) * CHOOSE(CONTROL!$C$21, $C$9, 100%, $E$9)</f>
        <v>13.8553</v>
      </c>
      <c r="M322" s="14">
        <f>CHOOSE(CONTROL!$C$42, 12.7526, 12.7526) * CHOOSE(CONTROL!$C$21, $C$9, 100%, $E$9)</f>
        <v>12.752599999999999</v>
      </c>
      <c r="N322" s="14">
        <f>CHOOSE(CONTROL!$C$42, 12.7679, 12.7679) * CHOOSE(CONTROL!$C$21, $C$9, 100%, $E$9)</f>
        <v>12.767899999999999</v>
      </c>
      <c r="O322" s="14">
        <f>CHOOSE(CONTROL!$C$42, 13.0042, 13.0042) * CHOOSE(CONTROL!$C$21, $C$9, 100%, $E$9)</f>
        <v>13.004200000000001</v>
      </c>
      <c r="P322" s="14">
        <f>CHOOSE(CONTROL!$C$42, 12.8214, 12.8214) * CHOOSE(CONTROL!$C$21, $C$9, 100%, $E$9)</f>
        <v>12.821400000000001</v>
      </c>
      <c r="Q322" s="14">
        <f>CHOOSE(CONTROL!$C$42, 13.5989, 13.5989) * CHOOSE(CONTROL!$C$21, $C$9, 100%, $E$9)</f>
        <v>13.5989</v>
      </c>
      <c r="R322" s="14">
        <f>CHOOSE(CONTROL!$C$42, 14.2199, 14.2199) * CHOOSE(CONTROL!$C$21, $C$9, 100%, $E$9)</f>
        <v>14.219900000000001</v>
      </c>
      <c r="S322" s="14">
        <f>CHOOSE(CONTROL!$C$42, 12.5159, 12.5159) * CHOOSE(CONTROL!$C$21, $C$9, 100%, $E$9)</f>
        <v>12.5159</v>
      </c>
      <c r="T32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22" s="57">
        <f>(1000*CHOOSE(CONTROL!$C$42, 695, 695)*CHOOSE(CONTROL!$C$42, 0.5599, 0.5599)*CHOOSE(CONTROL!$C$42, 31, 31))/1000000</f>
        <v>12.063045499999998</v>
      </c>
      <c r="V322" s="57">
        <f>(1000*CHOOSE(CONTROL!$C$42, 500, 500)*CHOOSE(CONTROL!$C$42, 0.275, 0.275)*CHOOSE(CONTROL!$C$42, 31, 31))/1000000</f>
        <v>4.2625000000000002</v>
      </c>
      <c r="W322" s="57">
        <f>(1000*CHOOSE(CONTROL!$C$42, 0.1146, 0.1146)*CHOOSE(CONTROL!$C$42, 121.5, 121.5)*CHOOSE(CONTROL!$C$42, 31, 31))/1000000</f>
        <v>0.43164089999999994</v>
      </c>
      <c r="X322" s="57">
        <f>(31*0.1790888*245000/1000000)+(31*0.2374*100000/1000000)</f>
        <v>2.0961194359999999</v>
      </c>
      <c r="Y322" s="57"/>
      <c r="Z322" s="14"/>
      <c r="AA322" s="56"/>
      <c r="AB322" s="50">
        <f>(B322*131.881+C322*277.167+D322*79.08+E322*125.872+F322*40+G322*185+H322*0+I322*100+J322*300)/(131.881+277.167+79.08+125.872+0+40+185+100+300)</f>
        <v>13.071813289669089</v>
      </c>
      <c r="AC322" s="45">
        <f>(M322*'RAP TEMPLATE-GAS AVAILABILITY'!O321+N322*'RAP TEMPLATE-GAS AVAILABILITY'!P321+O322*'RAP TEMPLATE-GAS AVAILABILITY'!Q321+P322*'RAP TEMPLATE-GAS AVAILABILITY'!R321)/('RAP TEMPLATE-GAS AVAILABILITY'!O321+'RAP TEMPLATE-GAS AVAILABILITY'!P321+'RAP TEMPLATE-GAS AVAILABILITY'!Q321+'RAP TEMPLATE-GAS AVAILABILITY'!R321)</f>
        <v>12.836614388489206</v>
      </c>
    </row>
    <row r="323" spans="1:29" ht="15.75" x14ac:dyDescent="0.25">
      <c r="A323" s="33">
        <v>50739</v>
      </c>
      <c r="B323" s="14">
        <f>CHOOSE(CONTROL!$C$42, 13.3772, 13.3772) * CHOOSE(CONTROL!$C$21, $C$9, 100%, $E$9)</f>
        <v>13.3772</v>
      </c>
      <c r="C323" s="14">
        <f>CHOOSE(CONTROL!$C$42, 13.3823, 13.3823) * CHOOSE(CONTROL!$C$21, $C$9, 100%, $E$9)</f>
        <v>13.382300000000001</v>
      </c>
      <c r="D323" s="14">
        <f>CHOOSE(CONTROL!$C$42, 13.4461, 13.4461) * CHOOSE(CONTROL!$C$21, $C$9, 100%, $E$9)</f>
        <v>13.446099999999999</v>
      </c>
      <c r="E323" s="14">
        <f>CHOOSE(CONTROL!$C$42, 13.4802, 13.4802) * CHOOSE(CONTROL!$C$21, $C$9, 100%, $E$9)</f>
        <v>13.4802</v>
      </c>
      <c r="F323" s="14">
        <f>CHOOSE(CONTROL!$C$42, 13.3796, 13.3796)*CHOOSE(CONTROL!$C$21, $C$9, 100%, $E$9)</f>
        <v>13.3796</v>
      </c>
      <c r="G323" s="14">
        <f>CHOOSE(CONTROL!$C$42, 13.3956, 13.3956)*CHOOSE(CONTROL!$C$21, $C$9, 100%, $E$9)</f>
        <v>13.3956</v>
      </c>
      <c r="H323" s="14">
        <f>CHOOSE(CONTROL!$C$42, 13.4694, 13.4694) * CHOOSE(CONTROL!$C$21, $C$9, 100%, $E$9)</f>
        <v>13.4694</v>
      </c>
      <c r="I323" s="14">
        <f>CHOOSE(CONTROL!$C$42, 13.432, 13.432)* CHOOSE(CONTROL!$C$21, $C$9, 100%, $E$9)</f>
        <v>13.432</v>
      </c>
      <c r="J323" s="14">
        <f>CHOOSE(CONTROL!$C$42, 13.3726, 13.3726)* CHOOSE(CONTROL!$C$21, $C$9, 100%, $E$9)</f>
        <v>13.3726</v>
      </c>
      <c r="K323" s="53">
        <f>CHOOSE(CONTROL!$C$42, 13.4281, 13.4281) * CHOOSE(CONTROL!$C$21, $C$9, 100%, $E$9)</f>
        <v>13.428100000000001</v>
      </c>
      <c r="L323" s="14">
        <f>CHOOSE(CONTROL!$C$42, 14.0564, 14.0564) * CHOOSE(CONTROL!$C$21, $C$9, 100%, $E$9)</f>
        <v>14.0564</v>
      </c>
      <c r="M323" s="14">
        <f>CHOOSE(CONTROL!$C$42, 13.1063, 13.1063) * CHOOSE(CONTROL!$C$21, $C$9, 100%, $E$9)</f>
        <v>13.106299999999999</v>
      </c>
      <c r="N323" s="14">
        <f>CHOOSE(CONTROL!$C$42, 13.122, 13.122) * CHOOSE(CONTROL!$C$21, $C$9, 100%, $E$9)</f>
        <v>13.122</v>
      </c>
      <c r="O323" s="14">
        <f>CHOOSE(CONTROL!$C$42, 13.2011, 13.2011) * CHOOSE(CONTROL!$C$21, $C$9, 100%, $E$9)</f>
        <v>13.2011</v>
      </c>
      <c r="P323" s="14">
        <f>CHOOSE(CONTROL!$C$42, 13.1637, 13.1637) * CHOOSE(CONTROL!$C$21, $C$9, 100%, $E$9)</f>
        <v>13.1637</v>
      </c>
      <c r="Q323" s="14">
        <f>CHOOSE(CONTROL!$C$42, 13.7958, 13.7958) * CHOOSE(CONTROL!$C$21, $C$9, 100%, $E$9)</f>
        <v>13.7958</v>
      </c>
      <c r="R323" s="14">
        <f>CHOOSE(CONTROL!$C$42, 14.4173, 14.4173) * CHOOSE(CONTROL!$C$21, $C$9, 100%, $E$9)</f>
        <v>14.417299999999999</v>
      </c>
      <c r="S323" s="14">
        <f>CHOOSE(CONTROL!$C$42, 12.8456, 12.8456) * CHOOSE(CONTROL!$C$21, $C$9, 100%, $E$9)</f>
        <v>12.845599999999999</v>
      </c>
      <c r="T32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23" s="57">
        <f>(1000*CHOOSE(CONTROL!$C$42, 695, 695)*CHOOSE(CONTROL!$C$42, 0.5599, 0.5599)*CHOOSE(CONTROL!$C$42, 30, 30))/1000000</f>
        <v>11.673914999999997</v>
      </c>
      <c r="V323" s="57">
        <f>(1000*CHOOSE(CONTROL!$C$42, 500, 500)*CHOOSE(CONTROL!$C$42, 0.275, 0.275)*CHOOSE(CONTROL!$C$42, 30, 30))/1000000</f>
        <v>4.125</v>
      </c>
      <c r="W323" s="57">
        <f>(1000*CHOOSE(CONTROL!$C$42, 0.1146, 0.1146)*CHOOSE(CONTROL!$C$42, 121.5, 121.5)*CHOOSE(CONTROL!$C$42, 30, 30))/1000000</f>
        <v>0.417717</v>
      </c>
      <c r="X323" s="57">
        <f>(30*0.1790888*100000/1000000)+(30*0.2374*100000/1000000)</f>
        <v>1.2494664</v>
      </c>
      <c r="Y323" s="57"/>
      <c r="Z323" s="14"/>
      <c r="AA323" s="56"/>
      <c r="AB323" s="50">
        <f>(B323*122.58+C323*297.941+D323*89.177+E323*40.302+F323*40+G323*160+H323*0+I323*100+J323*300)/(122.58+297.941+89.177+40.302+0+40+160+100+300)</f>
        <v>13.393682522086959</v>
      </c>
      <c r="AC323" s="45">
        <f>(M323*'RAP TEMPLATE-GAS AVAILABILITY'!O322+N323*'RAP TEMPLATE-GAS AVAILABILITY'!P322+O323*'RAP TEMPLATE-GAS AVAILABILITY'!Q322+P323*'RAP TEMPLATE-GAS AVAILABILITY'!R322)/('RAP TEMPLATE-GAS AVAILABILITY'!O322+'RAP TEMPLATE-GAS AVAILABILITY'!P322+'RAP TEMPLATE-GAS AVAILABILITY'!Q322+'RAP TEMPLATE-GAS AVAILABILITY'!R322)</f>
        <v>13.158429496402878</v>
      </c>
    </row>
    <row r="324" spans="1:29" ht="15.75" x14ac:dyDescent="0.25">
      <c r="A324" s="33">
        <v>50770</v>
      </c>
      <c r="B324" s="14">
        <f>CHOOSE(CONTROL!$C$42, 14.2886, 14.2886) * CHOOSE(CONTROL!$C$21, $C$9, 100%, $E$9)</f>
        <v>14.288600000000001</v>
      </c>
      <c r="C324" s="14">
        <f>CHOOSE(CONTROL!$C$42, 14.2937, 14.2937) * CHOOSE(CONTROL!$C$21, $C$9, 100%, $E$9)</f>
        <v>14.293699999999999</v>
      </c>
      <c r="D324" s="14">
        <f>CHOOSE(CONTROL!$C$42, 14.3575, 14.3575) * CHOOSE(CONTROL!$C$21, $C$9, 100%, $E$9)</f>
        <v>14.3575</v>
      </c>
      <c r="E324" s="14">
        <f>CHOOSE(CONTROL!$C$42, 14.3916, 14.3916) * CHOOSE(CONTROL!$C$21, $C$9, 100%, $E$9)</f>
        <v>14.3916</v>
      </c>
      <c r="F324" s="14">
        <f>CHOOSE(CONTROL!$C$42, 14.2932, 14.2932)*CHOOSE(CONTROL!$C$21, $C$9, 100%, $E$9)</f>
        <v>14.293200000000001</v>
      </c>
      <c r="G324" s="14">
        <f>CHOOSE(CONTROL!$C$42, 14.3099, 14.3099)*CHOOSE(CONTROL!$C$21, $C$9, 100%, $E$9)</f>
        <v>14.309900000000001</v>
      </c>
      <c r="H324" s="14">
        <f>CHOOSE(CONTROL!$C$42, 14.3808, 14.3808) * CHOOSE(CONTROL!$C$21, $C$9, 100%, $E$9)</f>
        <v>14.380800000000001</v>
      </c>
      <c r="I324" s="14">
        <f>CHOOSE(CONTROL!$C$42, 14.3462, 14.3462)* CHOOSE(CONTROL!$C$21, $C$9, 100%, $E$9)</f>
        <v>14.3462</v>
      </c>
      <c r="J324" s="14">
        <f>CHOOSE(CONTROL!$C$42, 14.2862, 14.2862)* CHOOSE(CONTROL!$C$21, $C$9, 100%, $E$9)</f>
        <v>14.286199999999999</v>
      </c>
      <c r="K324" s="53">
        <f>CHOOSE(CONTROL!$C$42, 14.3423, 14.3423) * CHOOSE(CONTROL!$C$21, $C$9, 100%, $E$9)</f>
        <v>14.3423</v>
      </c>
      <c r="L324" s="14">
        <f>CHOOSE(CONTROL!$C$42, 14.9678, 14.9678) * CHOOSE(CONTROL!$C$21, $C$9, 100%, $E$9)</f>
        <v>14.9678</v>
      </c>
      <c r="M324" s="14">
        <f>CHOOSE(CONTROL!$C$42, 14.0012, 14.0012) * CHOOSE(CONTROL!$C$21, $C$9, 100%, $E$9)</f>
        <v>14.001200000000001</v>
      </c>
      <c r="N324" s="14">
        <f>CHOOSE(CONTROL!$C$42, 14.0175, 14.0175) * CHOOSE(CONTROL!$C$21, $C$9, 100%, $E$9)</f>
        <v>14.0175</v>
      </c>
      <c r="O324" s="14">
        <f>CHOOSE(CONTROL!$C$42, 14.0938, 14.0938) * CHOOSE(CONTROL!$C$21, $C$9, 100%, $E$9)</f>
        <v>14.0938</v>
      </c>
      <c r="P324" s="14">
        <f>CHOOSE(CONTROL!$C$42, 14.0591, 14.0591) * CHOOSE(CONTROL!$C$21, $C$9, 100%, $E$9)</f>
        <v>14.059100000000001</v>
      </c>
      <c r="Q324" s="14">
        <f>CHOOSE(CONTROL!$C$42, 14.6885, 14.6885) * CHOOSE(CONTROL!$C$21, $C$9, 100%, $E$9)</f>
        <v>14.688499999999999</v>
      </c>
      <c r="R324" s="14">
        <f>CHOOSE(CONTROL!$C$42, 15.3122, 15.3122) * CHOOSE(CONTROL!$C$21, $C$9, 100%, $E$9)</f>
        <v>15.312200000000001</v>
      </c>
      <c r="S324" s="14">
        <f>CHOOSE(CONTROL!$C$42, 13.7214, 13.7214) * CHOOSE(CONTROL!$C$21, $C$9, 100%, $E$9)</f>
        <v>13.721399999999999</v>
      </c>
      <c r="T32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24" s="57">
        <f>(1000*CHOOSE(CONTROL!$C$42, 695, 695)*CHOOSE(CONTROL!$C$42, 0.5599, 0.5599)*CHOOSE(CONTROL!$C$42, 31, 31))/1000000</f>
        <v>12.063045499999998</v>
      </c>
      <c r="V324" s="57">
        <f>(1000*CHOOSE(CONTROL!$C$42, 500, 500)*CHOOSE(CONTROL!$C$42, 0.275, 0.275)*CHOOSE(CONTROL!$C$42, 31, 31))/1000000</f>
        <v>4.2625000000000002</v>
      </c>
      <c r="W324" s="57">
        <f>(1000*CHOOSE(CONTROL!$C$42, 0.1146, 0.1146)*CHOOSE(CONTROL!$C$42, 121.5, 121.5)*CHOOSE(CONTROL!$C$42, 31, 31))/1000000</f>
        <v>0.43164089999999994</v>
      </c>
      <c r="X324" s="57">
        <f>(31*0.1790888*100000/1000000)+(31*0.2374*100000/1000000)</f>
        <v>1.2911152800000001</v>
      </c>
      <c r="Y324" s="57"/>
      <c r="Z324" s="14"/>
      <c r="AA324" s="56"/>
      <c r="AB324" s="50">
        <f>(B324*122.58+C324*297.941+D324*89.177+E324*40.302+F324*40+G324*160+H324*0+I324*100+J324*300)/(122.58+297.941+89.177+40.302+0+40+160+100+300)</f>
        <v>14.306379913391305</v>
      </c>
      <c r="AC324" s="45">
        <f>(M324*'RAP TEMPLATE-GAS AVAILABILITY'!O323+N324*'RAP TEMPLATE-GAS AVAILABILITY'!P323+O324*'RAP TEMPLATE-GAS AVAILABILITY'!Q323+P324*'RAP TEMPLATE-GAS AVAILABILITY'!R323)/('RAP TEMPLATE-GAS AVAILABILITY'!O323+'RAP TEMPLATE-GAS AVAILABILITY'!P323+'RAP TEMPLATE-GAS AVAILABILITY'!Q323+'RAP TEMPLATE-GAS AVAILABILITY'!R323)</f>
        <v>14.052438848920863</v>
      </c>
    </row>
    <row r="325" spans="1:29" ht="15.75" x14ac:dyDescent="0.25">
      <c r="A325" s="33">
        <v>50801</v>
      </c>
      <c r="B325" s="14">
        <f>CHOOSE(CONTROL!$C$42, 15.4582, 15.4582) * CHOOSE(CONTROL!$C$21, $C$9, 100%, $E$9)</f>
        <v>15.4582</v>
      </c>
      <c r="C325" s="14">
        <f>CHOOSE(CONTROL!$C$42, 15.4633, 15.4633) * CHOOSE(CONTROL!$C$21, $C$9, 100%, $E$9)</f>
        <v>15.4633</v>
      </c>
      <c r="D325" s="14">
        <f>CHOOSE(CONTROL!$C$42, 15.5297, 15.5297) * CHOOSE(CONTROL!$C$21, $C$9, 100%, $E$9)</f>
        <v>15.5297</v>
      </c>
      <c r="E325" s="14">
        <f>CHOOSE(CONTROL!$C$42, 15.5638, 15.5638) * CHOOSE(CONTROL!$C$21, $C$9, 100%, $E$9)</f>
        <v>15.563800000000001</v>
      </c>
      <c r="F325" s="14">
        <f>CHOOSE(CONTROL!$C$42, 15.4456, 15.4456)*CHOOSE(CONTROL!$C$21, $C$9, 100%, $E$9)</f>
        <v>15.445600000000001</v>
      </c>
      <c r="G325" s="14">
        <f>CHOOSE(CONTROL!$C$42, 15.461, 15.461)*CHOOSE(CONTROL!$C$21, $C$9, 100%, $E$9)</f>
        <v>15.461</v>
      </c>
      <c r="H325" s="14">
        <f>CHOOSE(CONTROL!$C$42, 15.553, 15.553) * CHOOSE(CONTROL!$C$21, $C$9, 100%, $E$9)</f>
        <v>15.553000000000001</v>
      </c>
      <c r="I325" s="14">
        <f>CHOOSE(CONTROL!$C$42, 15.5143, 15.5143)* CHOOSE(CONTROL!$C$21, $C$9, 100%, $E$9)</f>
        <v>15.5143</v>
      </c>
      <c r="J325" s="14">
        <f>CHOOSE(CONTROL!$C$42, 15.4386, 15.4386)* CHOOSE(CONTROL!$C$21, $C$9, 100%, $E$9)</f>
        <v>15.438599999999999</v>
      </c>
      <c r="K325" s="53">
        <f>CHOOSE(CONTROL!$C$42, 15.5104, 15.5104) * CHOOSE(CONTROL!$C$21, $C$9, 100%, $E$9)</f>
        <v>15.510400000000001</v>
      </c>
      <c r="L325" s="14">
        <f>CHOOSE(CONTROL!$C$42, 16.14, 16.14) * CHOOSE(CONTROL!$C$21, $C$9, 100%, $E$9)</f>
        <v>16.14</v>
      </c>
      <c r="M325" s="14">
        <f>CHOOSE(CONTROL!$C$42, 15.1299, 15.1299) * CHOOSE(CONTROL!$C$21, $C$9, 100%, $E$9)</f>
        <v>15.129899999999999</v>
      </c>
      <c r="N325" s="14">
        <f>CHOOSE(CONTROL!$C$42, 15.1451, 15.1451) * CHOOSE(CONTROL!$C$21, $C$9, 100%, $E$9)</f>
        <v>15.145099999999999</v>
      </c>
      <c r="O325" s="14">
        <f>CHOOSE(CONTROL!$C$42, 15.242, 15.242) * CHOOSE(CONTROL!$C$21, $C$9, 100%, $E$9)</f>
        <v>15.242000000000001</v>
      </c>
      <c r="P325" s="14">
        <f>CHOOSE(CONTROL!$C$42, 15.2032, 15.2032) * CHOOSE(CONTROL!$C$21, $C$9, 100%, $E$9)</f>
        <v>15.203200000000001</v>
      </c>
      <c r="Q325" s="14">
        <f>CHOOSE(CONTROL!$C$42, 15.8367, 15.8367) * CHOOSE(CONTROL!$C$21, $C$9, 100%, $E$9)</f>
        <v>15.8367</v>
      </c>
      <c r="R325" s="14">
        <f>CHOOSE(CONTROL!$C$42, 16.4633, 16.4633) * CHOOSE(CONTROL!$C$21, $C$9, 100%, $E$9)</f>
        <v>16.4633</v>
      </c>
      <c r="S325" s="14">
        <f>CHOOSE(CONTROL!$C$42, 14.8453, 14.8453) * CHOOSE(CONTROL!$C$21, $C$9, 100%, $E$9)</f>
        <v>14.8453</v>
      </c>
      <c r="T32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25" s="57">
        <f>(1000*CHOOSE(CONTROL!$C$42, 695, 695)*CHOOSE(CONTROL!$C$42, 0.5599, 0.5599)*CHOOSE(CONTROL!$C$42, 31, 31))/1000000</f>
        <v>12.063045499999998</v>
      </c>
      <c r="V325" s="57">
        <f>(1000*CHOOSE(CONTROL!$C$42, 500, 500)*CHOOSE(CONTROL!$C$42, 0.275, 0.275)*CHOOSE(CONTROL!$C$42, 31, 31))/1000000</f>
        <v>4.2625000000000002</v>
      </c>
      <c r="W325" s="57">
        <f>(1000*CHOOSE(CONTROL!$C$42, 0.1146, 0.1146)*CHOOSE(CONTROL!$C$42, 121.5, 121.5)*CHOOSE(CONTROL!$C$42, 31, 31))/1000000</f>
        <v>0.43164089999999994</v>
      </c>
      <c r="X325" s="57">
        <f>(31*0.1790888*100000/1000000)+(31*0.2374*100000/1000000)</f>
        <v>1.2911152800000001</v>
      </c>
      <c r="Y325" s="57"/>
      <c r="Z325" s="14"/>
      <c r="AA325" s="56"/>
      <c r="AB325" s="50">
        <f>(B325*122.58+C325*297.941+D325*89.177+E325*40.302+F325*40+G325*160+H325*0+I325*100+J325*300)/(122.58+297.941+89.177+40.302+0+40+160+100+300)</f>
        <v>15.468483083304347</v>
      </c>
      <c r="AC325" s="45">
        <f>(M325*'RAP TEMPLATE-GAS AVAILABILITY'!O324+N325*'RAP TEMPLATE-GAS AVAILABILITY'!P324+O325*'RAP TEMPLATE-GAS AVAILABILITY'!Q324+P325*'RAP TEMPLATE-GAS AVAILABILITY'!R324)/('RAP TEMPLATE-GAS AVAILABILITY'!O324+'RAP TEMPLATE-GAS AVAILABILITY'!P324+'RAP TEMPLATE-GAS AVAILABILITY'!Q324+'RAP TEMPLATE-GAS AVAILABILITY'!R324)</f>
        <v>15.192129496402876</v>
      </c>
    </row>
    <row r="326" spans="1:29" ht="15.75" x14ac:dyDescent="0.25">
      <c r="A326" s="33">
        <v>50829</v>
      </c>
      <c r="B326" s="14">
        <f>CHOOSE(CONTROL!$C$42, 15.7333, 15.7333) * CHOOSE(CONTROL!$C$21, $C$9, 100%, $E$9)</f>
        <v>15.7333</v>
      </c>
      <c r="C326" s="14">
        <f>CHOOSE(CONTROL!$C$42, 15.7383, 15.7383) * CHOOSE(CONTROL!$C$21, $C$9, 100%, $E$9)</f>
        <v>15.738300000000001</v>
      </c>
      <c r="D326" s="14">
        <f>CHOOSE(CONTROL!$C$42, 15.8047, 15.8047) * CHOOSE(CONTROL!$C$21, $C$9, 100%, $E$9)</f>
        <v>15.8047</v>
      </c>
      <c r="E326" s="14">
        <f>CHOOSE(CONTROL!$C$42, 15.8388, 15.8388) * CHOOSE(CONTROL!$C$21, $C$9, 100%, $E$9)</f>
        <v>15.838800000000001</v>
      </c>
      <c r="F326" s="14">
        <f>CHOOSE(CONTROL!$C$42, 15.7207, 15.7207)*CHOOSE(CONTROL!$C$21, $C$9, 100%, $E$9)</f>
        <v>15.720700000000001</v>
      </c>
      <c r="G326" s="14">
        <f>CHOOSE(CONTROL!$C$42, 15.7362, 15.7362)*CHOOSE(CONTROL!$C$21, $C$9, 100%, $E$9)</f>
        <v>15.7362</v>
      </c>
      <c r="H326" s="14">
        <f>CHOOSE(CONTROL!$C$42, 15.828, 15.828) * CHOOSE(CONTROL!$C$21, $C$9, 100%, $E$9)</f>
        <v>15.827999999999999</v>
      </c>
      <c r="I326" s="14">
        <f>CHOOSE(CONTROL!$C$42, 15.7902, 15.7902)* CHOOSE(CONTROL!$C$21, $C$9, 100%, $E$9)</f>
        <v>15.7902</v>
      </c>
      <c r="J326" s="14">
        <f>CHOOSE(CONTROL!$C$42, 15.7137, 15.7137)* CHOOSE(CONTROL!$C$21, $C$9, 100%, $E$9)</f>
        <v>15.713699999999999</v>
      </c>
      <c r="K326" s="53">
        <f>CHOOSE(CONTROL!$C$42, 15.7863, 15.7863) * CHOOSE(CONTROL!$C$21, $C$9, 100%, $E$9)</f>
        <v>15.786300000000001</v>
      </c>
      <c r="L326" s="14">
        <f>CHOOSE(CONTROL!$C$42, 16.415, 16.415) * CHOOSE(CONTROL!$C$21, $C$9, 100%, $E$9)</f>
        <v>16.414999999999999</v>
      </c>
      <c r="M326" s="14">
        <f>CHOOSE(CONTROL!$C$42, 15.3994, 15.3994) * CHOOSE(CONTROL!$C$21, $C$9, 100%, $E$9)</f>
        <v>15.3994</v>
      </c>
      <c r="N326" s="14">
        <f>CHOOSE(CONTROL!$C$42, 15.4146, 15.4146) * CHOOSE(CONTROL!$C$21, $C$9, 100%, $E$9)</f>
        <v>15.4146</v>
      </c>
      <c r="O326" s="14">
        <f>CHOOSE(CONTROL!$C$42, 15.5114, 15.5114) * CHOOSE(CONTROL!$C$21, $C$9, 100%, $E$9)</f>
        <v>15.5114</v>
      </c>
      <c r="P326" s="14">
        <f>CHOOSE(CONTROL!$C$42, 15.4734, 15.4734) * CHOOSE(CONTROL!$C$21, $C$9, 100%, $E$9)</f>
        <v>15.4734</v>
      </c>
      <c r="Q326" s="14">
        <f>CHOOSE(CONTROL!$C$42, 16.1061, 16.1061) * CHOOSE(CONTROL!$C$21, $C$9, 100%, $E$9)</f>
        <v>16.106100000000001</v>
      </c>
      <c r="R326" s="14">
        <f>CHOOSE(CONTROL!$C$42, 16.7334, 16.7334) * CHOOSE(CONTROL!$C$21, $C$9, 100%, $E$9)</f>
        <v>16.7334</v>
      </c>
      <c r="S326" s="14">
        <f>CHOOSE(CONTROL!$C$42, 15.1095, 15.1095) * CHOOSE(CONTROL!$C$21, $C$9, 100%, $E$9)</f>
        <v>15.109500000000001</v>
      </c>
      <c r="T32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26" s="57">
        <f>(1000*CHOOSE(CONTROL!$C$42, 695, 695)*CHOOSE(CONTROL!$C$42, 0.5599, 0.5599)*CHOOSE(CONTROL!$C$42, 28, 28))/1000000</f>
        <v>10.895653999999999</v>
      </c>
      <c r="V326" s="57">
        <f>(1000*CHOOSE(CONTROL!$C$42, 500, 500)*CHOOSE(CONTROL!$C$42, 0.275, 0.275)*CHOOSE(CONTROL!$C$42, 28, 28))/1000000</f>
        <v>3.85</v>
      </c>
      <c r="W326" s="57">
        <f>(1000*CHOOSE(CONTROL!$C$42, 0.1146, 0.1146)*CHOOSE(CONTROL!$C$42, 121.5, 121.5)*CHOOSE(CONTROL!$C$42, 28, 28))/1000000</f>
        <v>0.38986920000000003</v>
      </c>
      <c r="X326" s="57">
        <f>(28*0.1790888*100000/1000000)+(28*0.2374*100000/1000000)</f>
        <v>1.16616864</v>
      </c>
      <c r="Y326" s="57"/>
      <c r="Z326" s="14"/>
      <c r="AA326" s="56"/>
      <c r="AB326" s="50">
        <f>(B326*122.58+C326*297.941+D326*89.177+E326*40.302+F326*40+G326*160+H326*0+I326*100+J326*300)/(122.58+297.941+89.177+40.302+0+40+160+100+300)</f>
        <v>15.743629394608696</v>
      </c>
      <c r="AC326" s="45">
        <f>(M326*'RAP TEMPLATE-GAS AVAILABILITY'!O325+N326*'RAP TEMPLATE-GAS AVAILABILITY'!P325+O326*'RAP TEMPLATE-GAS AVAILABILITY'!Q325+P326*'RAP TEMPLATE-GAS AVAILABILITY'!R325)/('RAP TEMPLATE-GAS AVAILABILITY'!O325+'RAP TEMPLATE-GAS AVAILABILITY'!P325+'RAP TEMPLATE-GAS AVAILABILITY'!Q325+'RAP TEMPLATE-GAS AVAILABILITY'!R325)</f>
        <v>15.46168489208633</v>
      </c>
    </row>
    <row r="327" spans="1:29" ht="15.75" x14ac:dyDescent="0.25">
      <c r="A327" s="33">
        <v>50860</v>
      </c>
      <c r="B327" s="14">
        <f>CHOOSE(CONTROL!$C$42, 15.2869, 15.2869) * CHOOSE(CONTROL!$C$21, $C$9, 100%, $E$9)</f>
        <v>15.286899999999999</v>
      </c>
      <c r="C327" s="14">
        <f>CHOOSE(CONTROL!$C$42, 15.2919, 15.2919) * CHOOSE(CONTROL!$C$21, $C$9, 100%, $E$9)</f>
        <v>15.2919</v>
      </c>
      <c r="D327" s="14">
        <f>CHOOSE(CONTROL!$C$42, 15.3583, 15.3583) * CHOOSE(CONTROL!$C$21, $C$9, 100%, $E$9)</f>
        <v>15.3583</v>
      </c>
      <c r="E327" s="14">
        <f>CHOOSE(CONTROL!$C$42, 15.3924, 15.3924) * CHOOSE(CONTROL!$C$21, $C$9, 100%, $E$9)</f>
        <v>15.3924</v>
      </c>
      <c r="F327" s="14">
        <f>CHOOSE(CONTROL!$C$42, 15.2739, 15.2739)*CHOOSE(CONTROL!$C$21, $C$9, 100%, $E$9)</f>
        <v>15.273899999999999</v>
      </c>
      <c r="G327" s="14">
        <f>CHOOSE(CONTROL!$C$42, 15.2892, 15.2892)*CHOOSE(CONTROL!$C$21, $C$9, 100%, $E$9)</f>
        <v>15.289199999999999</v>
      </c>
      <c r="H327" s="14">
        <f>CHOOSE(CONTROL!$C$42, 15.3816, 15.3816) * CHOOSE(CONTROL!$C$21, $C$9, 100%, $E$9)</f>
        <v>15.381600000000001</v>
      </c>
      <c r="I327" s="14">
        <f>CHOOSE(CONTROL!$C$42, 15.3424, 15.3424)* CHOOSE(CONTROL!$C$21, $C$9, 100%, $E$9)</f>
        <v>15.3424</v>
      </c>
      <c r="J327" s="14">
        <f>CHOOSE(CONTROL!$C$42, 15.2669, 15.2669)* CHOOSE(CONTROL!$C$21, $C$9, 100%, $E$9)</f>
        <v>15.2669</v>
      </c>
      <c r="K327" s="53">
        <f>CHOOSE(CONTROL!$C$42, 15.3385, 15.3385) * CHOOSE(CONTROL!$C$21, $C$9, 100%, $E$9)</f>
        <v>15.3385</v>
      </c>
      <c r="L327" s="14">
        <f>CHOOSE(CONTROL!$C$42, 15.9686, 15.9686) * CHOOSE(CONTROL!$C$21, $C$9, 100%, $E$9)</f>
        <v>15.9686</v>
      </c>
      <c r="M327" s="14">
        <f>CHOOSE(CONTROL!$C$42, 14.9617, 14.9617) * CHOOSE(CONTROL!$C$21, $C$9, 100%, $E$9)</f>
        <v>14.9617</v>
      </c>
      <c r="N327" s="14">
        <f>CHOOSE(CONTROL!$C$42, 14.9768, 14.9768) * CHOOSE(CONTROL!$C$21, $C$9, 100%, $E$9)</f>
        <v>14.976800000000001</v>
      </c>
      <c r="O327" s="14">
        <f>CHOOSE(CONTROL!$C$42, 15.0742, 15.0742) * CHOOSE(CONTROL!$C$21, $C$9, 100%, $E$9)</f>
        <v>15.074199999999999</v>
      </c>
      <c r="P327" s="14">
        <f>CHOOSE(CONTROL!$C$42, 15.0348, 15.0348) * CHOOSE(CONTROL!$C$21, $C$9, 100%, $E$9)</f>
        <v>15.034800000000001</v>
      </c>
      <c r="Q327" s="14">
        <f>CHOOSE(CONTROL!$C$42, 15.6689, 15.6689) * CHOOSE(CONTROL!$C$21, $C$9, 100%, $E$9)</f>
        <v>15.668900000000001</v>
      </c>
      <c r="R327" s="14">
        <f>CHOOSE(CONTROL!$C$42, 16.295, 16.295) * CHOOSE(CONTROL!$C$21, $C$9, 100%, $E$9)</f>
        <v>16.295000000000002</v>
      </c>
      <c r="S327" s="14">
        <f>CHOOSE(CONTROL!$C$42, 14.6806, 14.6806) * CHOOSE(CONTROL!$C$21, $C$9, 100%, $E$9)</f>
        <v>14.6806</v>
      </c>
      <c r="T32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27" s="57">
        <f>(1000*CHOOSE(CONTROL!$C$42, 695, 695)*CHOOSE(CONTROL!$C$42, 0.5599, 0.5599)*CHOOSE(CONTROL!$C$42, 31, 31))/1000000</f>
        <v>12.063045499999998</v>
      </c>
      <c r="V327" s="57">
        <f>(1000*CHOOSE(CONTROL!$C$42, 500, 500)*CHOOSE(CONTROL!$C$42, 0.275, 0.275)*CHOOSE(CONTROL!$C$42, 31, 31))/1000000</f>
        <v>4.2625000000000002</v>
      </c>
      <c r="W327" s="57">
        <f>(1000*CHOOSE(CONTROL!$C$42, 0.1146, 0.1146)*CHOOSE(CONTROL!$C$42, 121.5, 121.5)*CHOOSE(CONTROL!$C$42, 31, 31))/1000000</f>
        <v>0.43164089999999994</v>
      </c>
      <c r="X327" s="57">
        <f>(31*0.1790888*100000/1000000)+(31*0.2374*100000/1000000)</f>
        <v>1.2911152800000001</v>
      </c>
      <c r="Y327" s="57"/>
      <c r="Z327" s="14"/>
      <c r="AA327" s="56"/>
      <c r="AB327" s="50">
        <f>(B327*122.58+C327*297.941+D327*89.177+E327*40.302+F327*40+G327*160+H327*0+I327*100+J327*300)/(122.58+297.941+89.177+40.302+0+40+160+100+300)</f>
        <v>15.296905916347827</v>
      </c>
      <c r="AC327" s="45">
        <f>(M327*'RAP TEMPLATE-GAS AVAILABILITY'!O326+N327*'RAP TEMPLATE-GAS AVAILABILITY'!P326+O327*'RAP TEMPLATE-GAS AVAILABILITY'!Q326+P327*'RAP TEMPLATE-GAS AVAILABILITY'!R326)/('RAP TEMPLATE-GAS AVAILABILITY'!O326+'RAP TEMPLATE-GAS AVAILABILITY'!P326+'RAP TEMPLATE-GAS AVAILABILITY'!Q326+'RAP TEMPLATE-GAS AVAILABILITY'!R326)</f>
        <v>15.024076258992807</v>
      </c>
    </row>
    <row r="328" spans="1:29" ht="15.75" x14ac:dyDescent="0.25">
      <c r="A328" s="33">
        <v>50890</v>
      </c>
      <c r="B328" s="14">
        <f>CHOOSE(CONTROL!$C$42, 15.2423, 15.2423) * CHOOSE(CONTROL!$C$21, $C$9, 100%, $E$9)</f>
        <v>15.2423</v>
      </c>
      <c r="C328" s="14">
        <f>CHOOSE(CONTROL!$C$42, 15.2468, 15.2468) * CHOOSE(CONTROL!$C$21, $C$9, 100%, $E$9)</f>
        <v>15.2468</v>
      </c>
      <c r="D328" s="14">
        <f>CHOOSE(CONTROL!$C$42, 15.4538, 15.4538) * CHOOSE(CONTROL!$C$21, $C$9, 100%, $E$9)</f>
        <v>15.453799999999999</v>
      </c>
      <c r="E328" s="14">
        <f>CHOOSE(CONTROL!$C$42, 15.486, 15.486) * CHOOSE(CONTROL!$C$21, $C$9, 100%, $E$9)</f>
        <v>15.486000000000001</v>
      </c>
      <c r="F328" s="14">
        <f>CHOOSE(CONTROL!$C$42, 15.2242, 15.2242)*CHOOSE(CONTROL!$C$21, $C$9, 100%, $E$9)</f>
        <v>15.2242</v>
      </c>
      <c r="G328" s="14">
        <f>CHOOSE(CONTROL!$C$42, 15.2394, 15.2394)*CHOOSE(CONTROL!$C$21, $C$9, 100%, $E$9)</f>
        <v>15.2394</v>
      </c>
      <c r="H328" s="14">
        <f>CHOOSE(CONTROL!$C$42, 15.4757, 15.4757) * CHOOSE(CONTROL!$C$21, $C$9, 100%, $E$9)</f>
        <v>15.4757</v>
      </c>
      <c r="I328" s="14">
        <f>CHOOSE(CONTROL!$C$42, 15.2969, 15.2969)* CHOOSE(CONTROL!$C$21, $C$9, 100%, $E$9)</f>
        <v>15.296900000000001</v>
      </c>
      <c r="J328" s="14">
        <f>CHOOSE(CONTROL!$C$42, 15.2172, 15.2172)* CHOOSE(CONTROL!$C$21, $C$9, 100%, $E$9)</f>
        <v>15.2172</v>
      </c>
      <c r="K328" s="53">
        <f>CHOOSE(CONTROL!$C$42, 15.293, 15.293) * CHOOSE(CONTROL!$C$21, $C$9, 100%, $E$9)</f>
        <v>15.292999999999999</v>
      </c>
      <c r="L328" s="14">
        <f>CHOOSE(CONTROL!$C$42, 16.0627, 16.0627) * CHOOSE(CONTROL!$C$21, $C$9, 100%, $E$9)</f>
        <v>16.0627</v>
      </c>
      <c r="M328" s="14">
        <f>CHOOSE(CONTROL!$C$42, 14.9131, 14.9131) * CHOOSE(CONTROL!$C$21, $C$9, 100%, $E$9)</f>
        <v>14.9131</v>
      </c>
      <c r="N328" s="14">
        <f>CHOOSE(CONTROL!$C$42, 14.928, 14.928) * CHOOSE(CONTROL!$C$21, $C$9, 100%, $E$9)</f>
        <v>14.928000000000001</v>
      </c>
      <c r="O328" s="14">
        <f>CHOOSE(CONTROL!$C$42, 15.1663, 15.1663) * CHOOSE(CONTROL!$C$21, $C$9, 100%, $E$9)</f>
        <v>15.1663</v>
      </c>
      <c r="P328" s="14">
        <f>CHOOSE(CONTROL!$C$42, 14.9902, 14.9902) * CHOOSE(CONTROL!$C$21, $C$9, 100%, $E$9)</f>
        <v>14.9902</v>
      </c>
      <c r="Q328" s="14">
        <f>CHOOSE(CONTROL!$C$42, 15.761, 15.761) * CHOOSE(CONTROL!$C$21, $C$9, 100%, $E$9)</f>
        <v>15.760999999999999</v>
      </c>
      <c r="R328" s="14">
        <f>CHOOSE(CONTROL!$C$42, 16.3874, 16.3874) * CHOOSE(CONTROL!$C$21, $C$9, 100%, $E$9)</f>
        <v>16.3874</v>
      </c>
      <c r="S328" s="14">
        <f>CHOOSE(CONTROL!$C$42, 14.637, 14.637) * CHOOSE(CONTROL!$C$21, $C$9, 100%, $E$9)</f>
        <v>14.637</v>
      </c>
      <c r="T32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28" s="57">
        <f>(1000*CHOOSE(CONTROL!$C$42, 695, 695)*CHOOSE(CONTROL!$C$42, 0.5599, 0.5599)*CHOOSE(CONTROL!$C$42, 30, 30))/1000000</f>
        <v>11.673914999999997</v>
      </c>
      <c r="V328" s="57">
        <f>(1000*CHOOSE(CONTROL!$C$42, 500, 500)*CHOOSE(CONTROL!$C$42, 0.275, 0.275)*CHOOSE(CONTROL!$C$42, 30, 30))/1000000</f>
        <v>4.125</v>
      </c>
      <c r="W328" s="57">
        <f>(1000*CHOOSE(CONTROL!$C$42, 0.1146, 0.1146)*CHOOSE(CONTROL!$C$42, 121.5, 121.5)*CHOOSE(CONTROL!$C$42, 30, 30))/1000000</f>
        <v>0.417717</v>
      </c>
      <c r="X328" s="57">
        <f>(30*0.1790888*245000/1000000)+(30*0.2374*100000/1000000)</f>
        <v>2.0285026799999999</v>
      </c>
      <c r="Y328" s="57"/>
      <c r="Z328" s="14"/>
      <c r="AA328" s="56"/>
      <c r="AB328" s="50">
        <f>(B328*141.293+C328*267.993+D328*115.016+E328*89.698+F328*40+G328*185+H328*0+I328*100+J328*300)/(141.293+267.993+115.016+89.698+0+40+185+100+300)</f>
        <v>15.277861545682001</v>
      </c>
      <c r="AC328" s="45">
        <f>(M328*'RAP TEMPLATE-GAS AVAILABILITY'!O327+N328*'RAP TEMPLATE-GAS AVAILABILITY'!P327+O328*'RAP TEMPLATE-GAS AVAILABILITY'!Q327+P328*'RAP TEMPLATE-GAS AVAILABILITY'!R327)/('RAP TEMPLATE-GAS AVAILABILITY'!O327+'RAP TEMPLATE-GAS AVAILABILITY'!P327+'RAP TEMPLATE-GAS AVAILABILITY'!Q327+'RAP TEMPLATE-GAS AVAILABILITY'!R327)</f>
        <v>14.9986654676259</v>
      </c>
    </row>
    <row r="329" spans="1:29" ht="15.75" x14ac:dyDescent="0.25">
      <c r="A329" s="33">
        <v>50921</v>
      </c>
      <c r="B329" s="14">
        <f>CHOOSE(CONTROL!$C$42, 15.3781, 15.3781) * CHOOSE(CONTROL!$C$21, $C$9, 100%, $E$9)</f>
        <v>15.3781</v>
      </c>
      <c r="C329" s="14">
        <f>CHOOSE(CONTROL!$C$42, 15.3861, 15.3861) * CHOOSE(CONTROL!$C$21, $C$9, 100%, $E$9)</f>
        <v>15.386100000000001</v>
      </c>
      <c r="D329" s="14">
        <f>CHOOSE(CONTROL!$C$42, 15.5901, 15.5901) * CHOOSE(CONTROL!$C$21, $C$9, 100%, $E$9)</f>
        <v>15.5901</v>
      </c>
      <c r="E329" s="14">
        <f>CHOOSE(CONTROL!$C$42, 15.6215, 15.6215) * CHOOSE(CONTROL!$C$21, $C$9, 100%, $E$9)</f>
        <v>15.621499999999999</v>
      </c>
      <c r="F329" s="14">
        <f>CHOOSE(CONTROL!$C$42, 15.3589, 15.3589)*CHOOSE(CONTROL!$C$21, $C$9, 100%, $E$9)</f>
        <v>15.3589</v>
      </c>
      <c r="G329" s="14">
        <f>CHOOSE(CONTROL!$C$42, 15.3745, 15.3745)*CHOOSE(CONTROL!$C$21, $C$9, 100%, $E$9)</f>
        <v>15.374499999999999</v>
      </c>
      <c r="H329" s="14">
        <f>CHOOSE(CONTROL!$C$42, 15.6102, 15.6102) * CHOOSE(CONTROL!$C$21, $C$9, 100%, $E$9)</f>
        <v>15.610200000000001</v>
      </c>
      <c r="I329" s="14">
        <f>CHOOSE(CONTROL!$C$42, 15.4317, 15.4317)* CHOOSE(CONTROL!$C$21, $C$9, 100%, $E$9)</f>
        <v>15.431699999999999</v>
      </c>
      <c r="J329" s="14">
        <f>CHOOSE(CONTROL!$C$42, 15.3519, 15.3519)* CHOOSE(CONTROL!$C$21, $C$9, 100%, $E$9)</f>
        <v>15.351900000000001</v>
      </c>
      <c r="K329" s="53">
        <f>CHOOSE(CONTROL!$C$42, 15.4278, 15.4278) * CHOOSE(CONTROL!$C$21, $C$9, 100%, $E$9)</f>
        <v>15.4278</v>
      </c>
      <c r="L329" s="14">
        <f>CHOOSE(CONTROL!$C$42, 16.1972, 16.1972) * CHOOSE(CONTROL!$C$21, $C$9, 100%, $E$9)</f>
        <v>16.197199999999999</v>
      </c>
      <c r="M329" s="14">
        <f>CHOOSE(CONTROL!$C$42, 15.045, 15.045) * CHOOSE(CONTROL!$C$21, $C$9, 100%, $E$9)</f>
        <v>15.045</v>
      </c>
      <c r="N329" s="14">
        <f>CHOOSE(CONTROL!$C$42, 15.0603, 15.0603) * CHOOSE(CONTROL!$C$21, $C$9, 100%, $E$9)</f>
        <v>15.0603</v>
      </c>
      <c r="O329" s="14">
        <f>CHOOSE(CONTROL!$C$42, 15.298, 15.298) * CHOOSE(CONTROL!$C$21, $C$9, 100%, $E$9)</f>
        <v>15.298</v>
      </c>
      <c r="P329" s="14">
        <f>CHOOSE(CONTROL!$C$42, 15.1223, 15.1223) * CHOOSE(CONTROL!$C$21, $C$9, 100%, $E$9)</f>
        <v>15.122299999999999</v>
      </c>
      <c r="Q329" s="14">
        <f>CHOOSE(CONTROL!$C$42, 15.8927, 15.8927) * CHOOSE(CONTROL!$C$21, $C$9, 100%, $E$9)</f>
        <v>15.8927</v>
      </c>
      <c r="R329" s="14">
        <f>CHOOSE(CONTROL!$C$42, 16.5195, 16.5195) * CHOOSE(CONTROL!$C$21, $C$9, 100%, $E$9)</f>
        <v>16.519500000000001</v>
      </c>
      <c r="S329" s="14">
        <f>CHOOSE(CONTROL!$C$42, 14.7662, 14.7662) * CHOOSE(CONTROL!$C$21, $C$9, 100%, $E$9)</f>
        <v>14.7662</v>
      </c>
      <c r="T32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29" s="57">
        <f>(1000*CHOOSE(CONTROL!$C$42, 695, 695)*CHOOSE(CONTROL!$C$42, 0.5599, 0.5599)*CHOOSE(CONTROL!$C$42, 31, 31))/1000000</f>
        <v>12.063045499999998</v>
      </c>
      <c r="V329" s="57">
        <f>(1000*CHOOSE(CONTROL!$C$42, 500, 500)*CHOOSE(CONTROL!$C$42, 0.275, 0.275)*CHOOSE(CONTROL!$C$42, 31, 31))/1000000</f>
        <v>4.2625000000000002</v>
      </c>
      <c r="W329" s="57">
        <f>(1000*CHOOSE(CONTROL!$C$42, 0.1146, 0.1146)*CHOOSE(CONTROL!$C$42, 121.5, 121.5)*CHOOSE(CONTROL!$C$42, 31, 31))/1000000</f>
        <v>0.43164089999999994</v>
      </c>
      <c r="X329" s="57">
        <f>(31*0.1790888*245000/1000000)+(31*0.2374*100000/1000000)</f>
        <v>2.0961194359999999</v>
      </c>
      <c r="Y329" s="57"/>
      <c r="Z329" s="14"/>
      <c r="AA329" s="56"/>
      <c r="AB329" s="50">
        <f>(B329*194.205+C329*267.466+D329*133.845+E329*53.484+F329*40+G329*185+H329*0+I329*100+J329*300)/(194.205+267.466+133.845+53.484+0+40+185+100+300)</f>
        <v>15.409182318367344</v>
      </c>
      <c r="AC329" s="45">
        <f>(M329*'RAP TEMPLATE-GAS AVAILABILITY'!O328+N329*'RAP TEMPLATE-GAS AVAILABILITY'!P328+O329*'RAP TEMPLATE-GAS AVAILABILITY'!Q328+P329*'RAP TEMPLATE-GAS AVAILABILITY'!R328)/('RAP TEMPLATE-GAS AVAILABILITY'!O328+'RAP TEMPLATE-GAS AVAILABILITY'!P328+'RAP TEMPLATE-GAS AVAILABILITY'!Q328+'RAP TEMPLATE-GAS AVAILABILITY'!R328)</f>
        <v>15.130630215827338</v>
      </c>
    </row>
    <row r="330" spans="1:29" ht="15.75" x14ac:dyDescent="0.25">
      <c r="A330" s="33">
        <v>50951</v>
      </c>
      <c r="B330" s="14">
        <f>CHOOSE(CONTROL!$C$42, 15.814, 15.814) * CHOOSE(CONTROL!$C$21, $C$9, 100%, $E$9)</f>
        <v>15.814</v>
      </c>
      <c r="C330" s="14">
        <f>CHOOSE(CONTROL!$C$42, 15.822, 15.822) * CHOOSE(CONTROL!$C$21, $C$9, 100%, $E$9)</f>
        <v>15.821999999999999</v>
      </c>
      <c r="D330" s="14">
        <f>CHOOSE(CONTROL!$C$42, 16.0259, 16.0259) * CHOOSE(CONTROL!$C$21, $C$9, 100%, $E$9)</f>
        <v>16.0259</v>
      </c>
      <c r="E330" s="14">
        <f>CHOOSE(CONTROL!$C$42, 16.0574, 16.0574) * CHOOSE(CONTROL!$C$21, $C$9, 100%, $E$9)</f>
        <v>16.057400000000001</v>
      </c>
      <c r="F330" s="14">
        <f>CHOOSE(CONTROL!$C$42, 15.7952, 15.7952)*CHOOSE(CONTROL!$C$21, $C$9, 100%, $E$9)</f>
        <v>15.795199999999999</v>
      </c>
      <c r="G330" s="14">
        <f>CHOOSE(CONTROL!$C$42, 15.8109, 15.8109)*CHOOSE(CONTROL!$C$21, $C$9, 100%, $E$9)</f>
        <v>15.8109</v>
      </c>
      <c r="H330" s="14">
        <f>CHOOSE(CONTROL!$C$42, 16.046, 16.046) * CHOOSE(CONTROL!$C$21, $C$9, 100%, $E$9)</f>
        <v>16.045999999999999</v>
      </c>
      <c r="I330" s="14">
        <f>CHOOSE(CONTROL!$C$42, 15.869, 15.869)* CHOOSE(CONTROL!$C$21, $C$9, 100%, $E$9)</f>
        <v>15.869</v>
      </c>
      <c r="J330" s="14">
        <f>CHOOSE(CONTROL!$C$42, 15.7882, 15.7882)* CHOOSE(CONTROL!$C$21, $C$9, 100%, $E$9)</f>
        <v>15.7882</v>
      </c>
      <c r="K330" s="53">
        <f>CHOOSE(CONTROL!$C$42, 15.8651, 15.8651) * CHOOSE(CONTROL!$C$21, $C$9, 100%, $E$9)</f>
        <v>15.8651</v>
      </c>
      <c r="L330" s="14">
        <f>CHOOSE(CONTROL!$C$42, 16.633, 16.633) * CHOOSE(CONTROL!$C$21, $C$9, 100%, $E$9)</f>
        <v>16.632999999999999</v>
      </c>
      <c r="M330" s="14">
        <f>CHOOSE(CONTROL!$C$42, 15.4724, 15.4724) * CHOOSE(CONTROL!$C$21, $C$9, 100%, $E$9)</f>
        <v>15.4724</v>
      </c>
      <c r="N330" s="14">
        <f>CHOOSE(CONTROL!$C$42, 15.4878, 15.4878) * CHOOSE(CONTROL!$C$21, $C$9, 100%, $E$9)</f>
        <v>15.4878</v>
      </c>
      <c r="O330" s="14">
        <f>CHOOSE(CONTROL!$C$42, 15.725, 15.725) * CHOOSE(CONTROL!$C$21, $C$9, 100%, $E$9)</f>
        <v>15.725</v>
      </c>
      <c r="P330" s="14">
        <f>CHOOSE(CONTROL!$C$42, 15.5506, 15.5506) * CHOOSE(CONTROL!$C$21, $C$9, 100%, $E$9)</f>
        <v>15.550599999999999</v>
      </c>
      <c r="Q330" s="14">
        <f>CHOOSE(CONTROL!$C$42, 16.3197, 16.3197) * CHOOSE(CONTROL!$C$21, $C$9, 100%, $E$9)</f>
        <v>16.319700000000001</v>
      </c>
      <c r="R330" s="14">
        <f>CHOOSE(CONTROL!$C$42, 16.9475, 16.9475) * CHOOSE(CONTROL!$C$21, $C$9, 100%, $E$9)</f>
        <v>16.947500000000002</v>
      </c>
      <c r="S330" s="14">
        <f>CHOOSE(CONTROL!$C$42, 15.185, 15.185) * CHOOSE(CONTROL!$C$21, $C$9, 100%, $E$9)</f>
        <v>15.185</v>
      </c>
      <c r="T33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30" s="57">
        <f>(1000*CHOOSE(CONTROL!$C$42, 695, 695)*CHOOSE(CONTROL!$C$42, 0.5599, 0.5599)*CHOOSE(CONTROL!$C$42, 30, 30))/1000000</f>
        <v>11.673914999999997</v>
      </c>
      <c r="V330" s="57">
        <f>(1000*CHOOSE(CONTROL!$C$42, 500, 500)*CHOOSE(CONTROL!$C$42, 0.275, 0.275)*CHOOSE(CONTROL!$C$42, 30, 30))/1000000</f>
        <v>4.125</v>
      </c>
      <c r="W330" s="57">
        <f>(1000*CHOOSE(CONTROL!$C$42, 0.1146, 0.1146)*CHOOSE(CONTROL!$C$42, 121.5, 121.5)*CHOOSE(CONTROL!$C$42, 30, 30))/1000000</f>
        <v>0.417717</v>
      </c>
      <c r="X330" s="57">
        <f>(30*0.1790888*245000/1000000)+(30*0.2374*100000/1000000)</f>
        <v>2.0285026799999999</v>
      </c>
      <c r="Y330" s="57"/>
      <c r="Z330" s="14"/>
      <c r="AA330" s="56"/>
      <c r="AB330" s="50">
        <f>(B330*194.205+C330*267.466+D330*133.845+E330*53.484+F330*40+G330*185+H330*0+I330*100+J330*300)/(194.205+267.466+133.845+53.484+0+40+185+100+300)</f>
        <v>15.845361058948194</v>
      </c>
      <c r="AC330" s="45">
        <f>(M330*'RAP TEMPLATE-GAS AVAILABILITY'!O329+N330*'RAP TEMPLATE-GAS AVAILABILITY'!P329+O330*'RAP TEMPLATE-GAS AVAILABILITY'!Q329+P330*'RAP TEMPLATE-GAS AVAILABILITY'!R329)/('RAP TEMPLATE-GAS AVAILABILITY'!O329+'RAP TEMPLATE-GAS AVAILABILITY'!P329+'RAP TEMPLATE-GAS AVAILABILITY'!Q329+'RAP TEMPLATE-GAS AVAILABILITY'!R329)</f>
        <v>15.55807050359712</v>
      </c>
    </row>
    <row r="331" spans="1:29" ht="15.75" x14ac:dyDescent="0.25">
      <c r="A331" s="33">
        <v>50982</v>
      </c>
      <c r="B331" s="14">
        <f>CHOOSE(CONTROL!$C$42, 15.5108, 15.5108) * CHOOSE(CONTROL!$C$21, $C$9, 100%, $E$9)</f>
        <v>15.5108</v>
      </c>
      <c r="C331" s="14">
        <f>CHOOSE(CONTROL!$C$42, 15.5189, 15.5189) * CHOOSE(CONTROL!$C$21, $C$9, 100%, $E$9)</f>
        <v>15.5189</v>
      </c>
      <c r="D331" s="14">
        <f>CHOOSE(CONTROL!$C$42, 15.7228, 15.7228) * CHOOSE(CONTROL!$C$21, $C$9, 100%, $E$9)</f>
        <v>15.722799999999999</v>
      </c>
      <c r="E331" s="14">
        <f>CHOOSE(CONTROL!$C$42, 15.7543, 15.7543) * CHOOSE(CONTROL!$C$21, $C$9, 100%, $E$9)</f>
        <v>15.754300000000001</v>
      </c>
      <c r="F331" s="14">
        <f>CHOOSE(CONTROL!$C$42, 15.4925, 15.4925)*CHOOSE(CONTROL!$C$21, $C$9, 100%, $E$9)</f>
        <v>15.4925</v>
      </c>
      <c r="G331" s="14">
        <f>CHOOSE(CONTROL!$C$42, 15.5084, 15.5084)*CHOOSE(CONTROL!$C$21, $C$9, 100%, $E$9)</f>
        <v>15.5084</v>
      </c>
      <c r="H331" s="14">
        <f>CHOOSE(CONTROL!$C$42, 15.7429, 15.7429) * CHOOSE(CONTROL!$C$21, $C$9, 100%, $E$9)</f>
        <v>15.742900000000001</v>
      </c>
      <c r="I331" s="14">
        <f>CHOOSE(CONTROL!$C$42, 15.5649, 15.5649)* CHOOSE(CONTROL!$C$21, $C$9, 100%, $E$9)</f>
        <v>15.5649</v>
      </c>
      <c r="J331" s="14">
        <f>CHOOSE(CONTROL!$C$42, 15.4855, 15.4855)* CHOOSE(CONTROL!$C$21, $C$9, 100%, $E$9)</f>
        <v>15.4855</v>
      </c>
      <c r="K331" s="53">
        <f>CHOOSE(CONTROL!$C$42, 15.561, 15.561) * CHOOSE(CONTROL!$C$21, $C$9, 100%, $E$9)</f>
        <v>15.561</v>
      </c>
      <c r="L331" s="14">
        <f>CHOOSE(CONTROL!$C$42, 16.3299, 16.3299) * CHOOSE(CONTROL!$C$21, $C$9, 100%, $E$9)</f>
        <v>16.329899999999999</v>
      </c>
      <c r="M331" s="14">
        <f>CHOOSE(CONTROL!$C$42, 15.1759, 15.1759) * CHOOSE(CONTROL!$C$21, $C$9, 100%, $E$9)</f>
        <v>15.1759</v>
      </c>
      <c r="N331" s="14">
        <f>CHOOSE(CONTROL!$C$42, 15.1914, 15.1914) * CHOOSE(CONTROL!$C$21, $C$9, 100%, $E$9)</f>
        <v>15.1914</v>
      </c>
      <c r="O331" s="14">
        <f>CHOOSE(CONTROL!$C$42, 15.428, 15.428) * CHOOSE(CONTROL!$C$21, $C$9, 100%, $E$9)</f>
        <v>15.428000000000001</v>
      </c>
      <c r="P331" s="14">
        <f>CHOOSE(CONTROL!$C$42, 15.2527, 15.2527) * CHOOSE(CONTROL!$C$21, $C$9, 100%, $E$9)</f>
        <v>15.252700000000001</v>
      </c>
      <c r="Q331" s="14">
        <f>CHOOSE(CONTROL!$C$42, 16.0227, 16.0227) * CHOOSE(CONTROL!$C$21, $C$9, 100%, $E$9)</f>
        <v>16.0227</v>
      </c>
      <c r="R331" s="14">
        <f>CHOOSE(CONTROL!$C$42, 16.6498, 16.6498) * CHOOSE(CONTROL!$C$21, $C$9, 100%, $E$9)</f>
        <v>16.649799999999999</v>
      </c>
      <c r="S331" s="14">
        <f>CHOOSE(CONTROL!$C$42, 14.8937, 14.8937) * CHOOSE(CONTROL!$C$21, $C$9, 100%, $E$9)</f>
        <v>14.893700000000001</v>
      </c>
      <c r="T33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31" s="57">
        <f>(1000*CHOOSE(CONTROL!$C$42, 695, 695)*CHOOSE(CONTROL!$C$42, 0.5599, 0.5599)*CHOOSE(CONTROL!$C$42, 31, 31))/1000000</f>
        <v>12.063045499999998</v>
      </c>
      <c r="V331" s="57">
        <f>(1000*CHOOSE(CONTROL!$C$42, 500, 500)*CHOOSE(CONTROL!$C$42, 0.275, 0.275)*CHOOSE(CONTROL!$C$42, 31, 31))/1000000</f>
        <v>4.2625000000000002</v>
      </c>
      <c r="W331" s="57">
        <f>(1000*CHOOSE(CONTROL!$C$42, 0.1146, 0.1146)*CHOOSE(CONTROL!$C$42, 121.5, 121.5)*CHOOSE(CONTROL!$C$42, 31, 31))/1000000</f>
        <v>0.43164089999999994</v>
      </c>
      <c r="X331" s="57">
        <f>(31*0.1790888*245000/1000000)+(31*0.2374*100000/1000000)</f>
        <v>2.0961194359999999</v>
      </c>
      <c r="Y331" s="57"/>
      <c r="Z331" s="14"/>
      <c r="AA331" s="56"/>
      <c r="AB331" s="50">
        <f>(B331*194.205+C331*267.466+D331*133.845+E331*53.484+F331*40+G331*185+H331*0+I331*100+J331*300)/(194.205+267.466+133.845+53.484+0+40+185+100+300)</f>
        <v>15.542361199843015</v>
      </c>
      <c r="AC331" s="45">
        <f>(M331*'RAP TEMPLATE-GAS AVAILABILITY'!O330+N331*'RAP TEMPLATE-GAS AVAILABILITY'!P330+O331*'RAP TEMPLATE-GAS AVAILABILITY'!Q330+P331*'RAP TEMPLATE-GAS AVAILABILITY'!R330)/('RAP TEMPLATE-GAS AVAILABILITY'!O330+'RAP TEMPLATE-GAS AVAILABILITY'!P330+'RAP TEMPLATE-GAS AVAILABILITY'!Q330+'RAP TEMPLATE-GAS AVAILABILITY'!R330)</f>
        <v>15.261251798561151</v>
      </c>
    </row>
    <row r="332" spans="1:29" ht="15.75" x14ac:dyDescent="0.25">
      <c r="A332" s="33">
        <v>51013</v>
      </c>
      <c r="B332" s="14">
        <f>CHOOSE(CONTROL!$C$42, 14.7453, 14.7453) * CHOOSE(CONTROL!$C$21, $C$9, 100%, $E$9)</f>
        <v>14.7453</v>
      </c>
      <c r="C332" s="14">
        <f>CHOOSE(CONTROL!$C$42, 14.7533, 14.7533) * CHOOSE(CONTROL!$C$21, $C$9, 100%, $E$9)</f>
        <v>14.753299999999999</v>
      </c>
      <c r="D332" s="14">
        <f>CHOOSE(CONTROL!$C$42, 14.9572, 14.9572) * CHOOSE(CONTROL!$C$21, $C$9, 100%, $E$9)</f>
        <v>14.9572</v>
      </c>
      <c r="E332" s="14">
        <f>CHOOSE(CONTROL!$C$42, 14.9887, 14.9887) * CHOOSE(CONTROL!$C$21, $C$9, 100%, $E$9)</f>
        <v>14.9887</v>
      </c>
      <c r="F332" s="14">
        <f>CHOOSE(CONTROL!$C$42, 14.7271, 14.7271)*CHOOSE(CONTROL!$C$21, $C$9, 100%, $E$9)</f>
        <v>14.7271</v>
      </c>
      <c r="G332" s="14">
        <f>CHOOSE(CONTROL!$C$42, 14.7431, 14.7431)*CHOOSE(CONTROL!$C$21, $C$9, 100%, $E$9)</f>
        <v>14.7431</v>
      </c>
      <c r="H332" s="14">
        <f>CHOOSE(CONTROL!$C$42, 14.9773, 14.9773) * CHOOSE(CONTROL!$C$21, $C$9, 100%, $E$9)</f>
        <v>14.9773</v>
      </c>
      <c r="I332" s="14">
        <f>CHOOSE(CONTROL!$C$42, 14.7969, 14.7969)* CHOOSE(CONTROL!$C$21, $C$9, 100%, $E$9)</f>
        <v>14.796900000000001</v>
      </c>
      <c r="J332" s="14">
        <f>CHOOSE(CONTROL!$C$42, 14.7201, 14.7201)* CHOOSE(CONTROL!$C$21, $C$9, 100%, $E$9)</f>
        <v>14.7201</v>
      </c>
      <c r="K332" s="53">
        <f>CHOOSE(CONTROL!$C$42, 14.793, 14.793) * CHOOSE(CONTROL!$C$21, $C$9, 100%, $E$9)</f>
        <v>14.792999999999999</v>
      </c>
      <c r="L332" s="14">
        <f>CHOOSE(CONTROL!$C$42, 15.5643, 15.5643) * CHOOSE(CONTROL!$C$21, $C$9, 100%, $E$9)</f>
        <v>15.564299999999999</v>
      </c>
      <c r="M332" s="14">
        <f>CHOOSE(CONTROL!$C$42, 14.4262, 14.4262) * CHOOSE(CONTROL!$C$21, $C$9, 100%, $E$9)</f>
        <v>14.4262</v>
      </c>
      <c r="N332" s="14">
        <f>CHOOSE(CONTROL!$C$42, 14.4418, 14.4418) * CHOOSE(CONTROL!$C$21, $C$9, 100%, $E$9)</f>
        <v>14.441800000000001</v>
      </c>
      <c r="O332" s="14">
        <f>CHOOSE(CONTROL!$C$42, 14.6782, 14.6782) * CHOOSE(CONTROL!$C$21, $C$9, 100%, $E$9)</f>
        <v>14.6782</v>
      </c>
      <c r="P332" s="14">
        <f>CHOOSE(CONTROL!$C$42, 14.5006, 14.5006) * CHOOSE(CONTROL!$C$21, $C$9, 100%, $E$9)</f>
        <v>14.5006</v>
      </c>
      <c r="Q332" s="14">
        <f>CHOOSE(CONTROL!$C$42, 15.2729, 15.2729) * CHOOSE(CONTROL!$C$21, $C$9, 100%, $E$9)</f>
        <v>15.2729</v>
      </c>
      <c r="R332" s="14">
        <f>CHOOSE(CONTROL!$C$42, 15.898, 15.898) * CHOOSE(CONTROL!$C$21, $C$9, 100%, $E$9)</f>
        <v>15.898</v>
      </c>
      <c r="S332" s="14">
        <f>CHOOSE(CONTROL!$C$42, 14.1581, 14.1581) * CHOOSE(CONTROL!$C$21, $C$9, 100%, $E$9)</f>
        <v>14.158099999999999</v>
      </c>
      <c r="T33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32" s="57">
        <f>(1000*CHOOSE(CONTROL!$C$42, 695, 695)*CHOOSE(CONTROL!$C$42, 0.5599, 0.5599)*CHOOSE(CONTROL!$C$42, 31, 31))/1000000</f>
        <v>12.063045499999998</v>
      </c>
      <c r="V332" s="57">
        <f>(1000*CHOOSE(CONTROL!$C$42, 500, 500)*CHOOSE(CONTROL!$C$42, 0.275, 0.275)*CHOOSE(CONTROL!$C$42, 31, 31))/1000000</f>
        <v>4.2625000000000002</v>
      </c>
      <c r="W332" s="57">
        <f>(1000*CHOOSE(CONTROL!$C$42, 0.1146, 0.1146)*CHOOSE(CONTROL!$C$42, 121.5, 121.5)*CHOOSE(CONTROL!$C$42, 31, 31))/1000000</f>
        <v>0.43164089999999994</v>
      </c>
      <c r="X332" s="57">
        <f>(31*0.1790888*245000/1000000)+(31*0.2374*100000/1000000)</f>
        <v>2.0961194359999999</v>
      </c>
      <c r="Y332" s="57"/>
      <c r="Z332" s="14"/>
      <c r="AA332" s="56"/>
      <c r="AB332" s="50">
        <f>(B332*194.205+C332*267.466+D332*133.845+E332*53.484+F332*40+G332*185+H332*0+I332*100+J332*300)/(194.205+267.466+133.845+53.484+0+40+185+100+300)</f>
        <v>14.776684999293565</v>
      </c>
      <c r="AC332" s="45">
        <f>(M332*'RAP TEMPLATE-GAS AVAILABILITY'!O331+N332*'RAP TEMPLATE-GAS AVAILABILITY'!P331+O332*'RAP TEMPLATE-GAS AVAILABILITY'!Q331+P332*'RAP TEMPLATE-GAS AVAILABILITY'!R331)/('RAP TEMPLATE-GAS AVAILABILITY'!O331+'RAP TEMPLATE-GAS AVAILABILITY'!P331+'RAP TEMPLATE-GAS AVAILABILITY'!Q331+'RAP TEMPLATE-GAS AVAILABILITY'!R331)</f>
        <v>14.511201438848921</v>
      </c>
    </row>
    <row r="333" spans="1:29" ht="15.75" x14ac:dyDescent="0.25">
      <c r="A333" s="33">
        <v>51043</v>
      </c>
      <c r="B333" s="14">
        <f>CHOOSE(CONTROL!$C$42, 13.8095, 13.8095) * CHOOSE(CONTROL!$C$21, $C$9, 100%, $E$9)</f>
        <v>13.8095</v>
      </c>
      <c r="C333" s="14">
        <f>CHOOSE(CONTROL!$C$42, 13.8175, 13.8175) * CHOOSE(CONTROL!$C$21, $C$9, 100%, $E$9)</f>
        <v>13.817500000000001</v>
      </c>
      <c r="D333" s="14">
        <f>CHOOSE(CONTROL!$C$42, 14.0215, 14.0215) * CHOOSE(CONTROL!$C$21, $C$9, 100%, $E$9)</f>
        <v>14.0215</v>
      </c>
      <c r="E333" s="14">
        <f>CHOOSE(CONTROL!$C$42, 14.0529, 14.0529) * CHOOSE(CONTROL!$C$21, $C$9, 100%, $E$9)</f>
        <v>14.052899999999999</v>
      </c>
      <c r="F333" s="14">
        <f>CHOOSE(CONTROL!$C$42, 13.7914, 13.7914)*CHOOSE(CONTROL!$C$21, $C$9, 100%, $E$9)</f>
        <v>13.791399999999999</v>
      </c>
      <c r="G333" s="14">
        <f>CHOOSE(CONTROL!$C$42, 13.8074, 13.8074)*CHOOSE(CONTROL!$C$21, $C$9, 100%, $E$9)</f>
        <v>13.807399999999999</v>
      </c>
      <c r="H333" s="14">
        <f>CHOOSE(CONTROL!$C$42, 14.0416, 14.0416) * CHOOSE(CONTROL!$C$21, $C$9, 100%, $E$9)</f>
        <v>14.041600000000001</v>
      </c>
      <c r="I333" s="14">
        <f>CHOOSE(CONTROL!$C$42, 13.8582, 13.8582)* CHOOSE(CONTROL!$C$21, $C$9, 100%, $E$9)</f>
        <v>13.8582</v>
      </c>
      <c r="J333" s="14">
        <f>CHOOSE(CONTROL!$C$42, 13.7844, 13.7844)* CHOOSE(CONTROL!$C$21, $C$9, 100%, $E$9)</f>
        <v>13.7844</v>
      </c>
      <c r="K333" s="53">
        <f>CHOOSE(CONTROL!$C$42, 13.8543, 13.8543) * CHOOSE(CONTROL!$C$21, $C$9, 100%, $E$9)</f>
        <v>13.8543</v>
      </c>
      <c r="L333" s="14">
        <f>CHOOSE(CONTROL!$C$42, 14.6286, 14.6286) * CHOOSE(CONTROL!$C$21, $C$9, 100%, $E$9)</f>
        <v>14.6286</v>
      </c>
      <c r="M333" s="14">
        <f>CHOOSE(CONTROL!$C$42, 13.5097, 13.5097) * CHOOSE(CONTROL!$C$21, $C$9, 100%, $E$9)</f>
        <v>13.5097</v>
      </c>
      <c r="N333" s="14">
        <f>CHOOSE(CONTROL!$C$42, 13.5253, 13.5253) * CHOOSE(CONTROL!$C$21, $C$9, 100%, $E$9)</f>
        <v>13.5253</v>
      </c>
      <c r="O333" s="14">
        <f>CHOOSE(CONTROL!$C$42, 13.7616, 13.7616) * CHOOSE(CONTROL!$C$21, $C$9, 100%, $E$9)</f>
        <v>13.7616</v>
      </c>
      <c r="P333" s="14">
        <f>CHOOSE(CONTROL!$C$42, 13.5812, 13.5812) * CHOOSE(CONTROL!$C$21, $C$9, 100%, $E$9)</f>
        <v>13.581200000000001</v>
      </c>
      <c r="Q333" s="14">
        <f>CHOOSE(CONTROL!$C$42, 14.3563, 14.3563) * CHOOSE(CONTROL!$C$21, $C$9, 100%, $E$9)</f>
        <v>14.356299999999999</v>
      </c>
      <c r="R333" s="14">
        <f>CHOOSE(CONTROL!$C$42, 14.9792, 14.9792) * CHOOSE(CONTROL!$C$21, $C$9, 100%, $E$9)</f>
        <v>14.979200000000001</v>
      </c>
      <c r="S333" s="14">
        <f>CHOOSE(CONTROL!$C$42, 13.2589, 13.2589) * CHOOSE(CONTROL!$C$21, $C$9, 100%, $E$9)</f>
        <v>13.258900000000001</v>
      </c>
      <c r="T33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33" s="57">
        <f>(1000*CHOOSE(CONTROL!$C$42, 695, 695)*CHOOSE(CONTROL!$C$42, 0.5599, 0.5599)*CHOOSE(CONTROL!$C$42, 30, 30))/1000000</f>
        <v>11.673914999999997</v>
      </c>
      <c r="V333" s="57">
        <f>(1000*CHOOSE(CONTROL!$C$42, 500, 500)*CHOOSE(CONTROL!$C$42, 0.275, 0.275)*CHOOSE(CONTROL!$C$42, 30, 30))/1000000</f>
        <v>4.125</v>
      </c>
      <c r="W333" s="57">
        <f>(1000*CHOOSE(CONTROL!$C$42, 0.1146, 0.1146)*CHOOSE(CONTROL!$C$42, 121.5, 121.5)*CHOOSE(CONTROL!$C$42, 30, 30))/1000000</f>
        <v>0.417717</v>
      </c>
      <c r="X333" s="57">
        <f>(30*0.1790888*245000/1000000)+(30*0.2374*100000/1000000)</f>
        <v>2.0285026799999999</v>
      </c>
      <c r="Y333" s="57"/>
      <c r="Z333" s="14"/>
      <c r="AA333" s="56"/>
      <c r="AB333" s="50">
        <f>(B333*194.205+C333*267.466+D333*133.845+E333*53.484+F333*40+G333*185+H333*0+I333*100+J333*300)/(194.205+267.466+133.845+53.484+0+40+185+100+300)</f>
        <v>13.840709084458398</v>
      </c>
      <c r="AC333" s="45">
        <f>(M333*'RAP TEMPLATE-GAS AVAILABILITY'!O332+N333*'RAP TEMPLATE-GAS AVAILABILITY'!P332+O333*'RAP TEMPLATE-GAS AVAILABILITY'!Q332+P333*'RAP TEMPLATE-GAS AVAILABILITY'!R332)/('RAP TEMPLATE-GAS AVAILABILITY'!O332+'RAP TEMPLATE-GAS AVAILABILITY'!P332+'RAP TEMPLATE-GAS AVAILABILITY'!Q332+'RAP TEMPLATE-GAS AVAILABILITY'!R332)</f>
        <v>13.594256115107914</v>
      </c>
    </row>
    <row r="334" spans="1:29" ht="15.75" x14ac:dyDescent="0.25">
      <c r="A334" s="33">
        <v>51074</v>
      </c>
      <c r="B334" s="14">
        <f>CHOOSE(CONTROL!$C$42, 13.5276, 13.5276) * CHOOSE(CONTROL!$C$21, $C$9, 100%, $E$9)</f>
        <v>13.5276</v>
      </c>
      <c r="C334" s="14">
        <f>CHOOSE(CONTROL!$C$42, 13.5329, 13.5329) * CHOOSE(CONTROL!$C$21, $C$9, 100%, $E$9)</f>
        <v>13.5329</v>
      </c>
      <c r="D334" s="14">
        <f>CHOOSE(CONTROL!$C$42, 13.7418, 13.7418) * CHOOSE(CONTROL!$C$21, $C$9, 100%, $E$9)</f>
        <v>13.7418</v>
      </c>
      <c r="E334" s="14">
        <f>CHOOSE(CONTROL!$C$42, 13.771, 13.771) * CHOOSE(CONTROL!$C$21, $C$9, 100%, $E$9)</f>
        <v>13.771000000000001</v>
      </c>
      <c r="F334" s="14">
        <f>CHOOSE(CONTROL!$C$42, 13.5116, 13.5116)*CHOOSE(CONTROL!$C$21, $C$9, 100%, $E$9)</f>
        <v>13.5116</v>
      </c>
      <c r="G334" s="14">
        <f>CHOOSE(CONTROL!$C$42, 13.5273, 13.5273)*CHOOSE(CONTROL!$C$21, $C$9, 100%, $E$9)</f>
        <v>13.5273</v>
      </c>
      <c r="H334" s="14">
        <f>CHOOSE(CONTROL!$C$42, 13.7614, 13.7614) * CHOOSE(CONTROL!$C$21, $C$9, 100%, $E$9)</f>
        <v>13.7614</v>
      </c>
      <c r="I334" s="14">
        <f>CHOOSE(CONTROL!$C$42, 13.5772, 13.5772)* CHOOSE(CONTROL!$C$21, $C$9, 100%, $E$9)</f>
        <v>13.577199999999999</v>
      </c>
      <c r="J334" s="14">
        <f>CHOOSE(CONTROL!$C$42, 13.5046, 13.5046)* CHOOSE(CONTROL!$C$21, $C$9, 100%, $E$9)</f>
        <v>13.5046</v>
      </c>
      <c r="K334" s="53">
        <f>CHOOSE(CONTROL!$C$42, 13.5733, 13.5733) * CHOOSE(CONTROL!$C$21, $C$9, 100%, $E$9)</f>
        <v>13.5733</v>
      </c>
      <c r="L334" s="14">
        <f>CHOOSE(CONTROL!$C$42, 14.3484, 14.3484) * CHOOSE(CONTROL!$C$21, $C$9, 100%, $E$9)</f>
        <v>14.3484</v>
      </c>
      <c r="M334" s="14">
        <f>CHOOSE(CONTROL!$C$42, 13.2356, 13.2356) * CHOOSE(CONTROL!$C$21, $C$9, 100%, $E$9)</f>
        <v>13.2356</v>
      </c>
      <c r="N334" s="14">
        <f>CHOOSE(CONTROL!$C$42, 13.2509, 13.2509) * CHOOSE(CONTROL!$C$21, $C$9, 100%, $E$9)</f>
        <v>13.2509</v>
      </c>
      <c r="O334" s="14">
        <f>CHOOSE(CONTROL!$C$42, 13.4872, 13.4872) * CHOOSE(CONTROL!$C$21, $C$9, 100%, $E$9)</f>
        <v>13.4872</v>
      </c>
      <c r="P334" s="14">
        <f>CHOOSE(CONTROL!$C$42, 13.3059, 13.3059) * CHOOSE(CONTROL!$C$21, $C$9, 100%, $E$9)</f>
        <v>13.305899999999999</v>
      </c>
      <c r="Q334" s="14">
        <f>CHOOSE(CONTROL!$C$42, 14.0819, 14.0819) * CHOOSE(CONTROL!$C$21, $C$9, 100%, $E$9)</f>
        <v>14.081899999999999</v>
      </c>
      <c r="R334" s="14">
        <f>CHOOSE(CONTROL!$C$42, 14.7041, 14.7041) * CHOOSE(CONTROL!$C$21, $C$9, 100%, $E$9)</f>
        <v>14.7041</v>
      </c>
      <c r="S334" s="14">
        <f>CHOOSE(CONTROL!$C$42, 12.9897, 12.9897) * CHOOSE(CONTROL!$C$21, $C$9, 100%, $E$9)</f>
        <v>12.989699999999999</v>
      </c>
      <c r="T33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34" s="57">
        <f>(1000*CHOOSE(CONTROL!$C$42, 695, 695)*CHOOSE(CONTROL!$C$42, 0.5599, 0.5599)*CHOOSE(CONTROL!$C$42, 31, 31))/1000000</f>
        <v>12.063045499999998</v>
      </c>
      <c r="V334" s="57">
        <f>(1000*CHOOSE(CONTROL!$C$42, 500, 500)*CHOOSE(CONTROL!$C$42, 0.275, 0.275)*CHOOSE(CONTROL!$C$42, 31, 31))/1000000</f>
        <v>4.2625000000000002</v>
      </c>
      <c r="W334" s="57">
        <f>(1000*CHOOSE(CONTROL!$C$42, 0.1146, 0.1146)*CHOOSE(CONTROL!$C$42, 121.5, 121.5)*CHOOSE(CONTROL!$C$42, 31, 31))/1000000</f>
        <v>0.43164089999999994</v>
      </c>
      <c r="X334" s="57">
        <f>(31*0.1790888*245000/1000000)+(31*0.2374*100000/1000000)</f>
        <v>2.0961194359999999</v>
      </c>
      <c r="Y334" s="57"/>
      <c r="Z334" s="14"/>
      <c r="AA334" s="56"/>
      <c r="AB334" s="50">
        <f>(B334*131.881+C334*277.167+D334*79.08+E334*125.872+F334*40+G334*185+H334*0+I334*100+J334*300)/(131.881+277.167+79.08+125.872+0+40+185+100+300)</f>
        <v>13.565057357465697</v>
      </c>
      <c r="AC334" s="45">
        <f>(M334*'RAP TEMPLATE-GAS AVAILABILITY'!O333+N334*'RAP TEMPLATE-GAS AVAILABILITY'!P333+O334*'RAP TEMPLATE-GAS AVAILABILITY'!Q333+P334*'RAP TEMPLATE-GAS AVAILABILITY'!R333)/('RAP TEMPLATE-GAS AVAILABILITY'!O333+'RAP TEMPLATE-GAS AVAILABILITY'!P333+'RAP TEMPLATE-GAS AVAILABILITY'!Q333+'RAP TEMPLATE-GAS AVAILABILITY'!R333)</f>
        <v>13.319830215827338</v>
      </c>
    </row>
    <row r="335" spans="1:29" ht="15.75" x14ac:dyDescent="0.25">
      <c r="A335" s="33">
        <v>51104</v>
      </c>
      <c r="B335" s="14">
        <f>CHOOSE(CONTROL!$C$42, 13.8833, 13.8833) * CHOOSE(CONTROL!$C$21, $C$9, 100%, $E$9)</f>
        <v>13.8833</v>
      </c>
      <c r="C335" s="14">
        <f>CHOOSE(CONTROL!$C$42, 13.8884, 13.8884) * CHOOSE(CONTROL!$C$21, $C$9, 100%, $E$9)</f>
        <v>13.888400000000001</v>
      </c>
      <c r="D335" s="14">
        <f>CHOOSE(CONTROL!$C$42, 13.9522, 13.9522) * CHOOSE(CONTROL!$C$21, $C$9, 100%, $E$9)</f>
        <v>13.952199999999999</v>
      </c>
      <c r="E335" s="14">
        <f>CHOOSE(CONTROL!$C$42, 13.9863, 13.9863) * CHOOSE(CONTROL!$C$21, $C$9, 100%, $E$9)</f>
        <v>13.9863</v>
      </c>
      <c r="F335" s="14">
        <f>CHOOSE(CONTROL!$C$42, 13.8857, 13.8857)*CHOOSE(CONTROL!$C$21, $C$9, 100%, $E$9)</f>
        <v>13.8857</v>
      </c>
      <c r="G335" s="14">
        <f>CHOOSE(CONTROL!$C$42, 13.9017, 13.9017)*CHOOSE(CONTROL!$C$21, $C$9, 100%, $E$9)</f>
        <v>13.9017</v>
      </c>
      <c r="H335" s="14">
        <f>CHOOSE(CONTROL!$C$42, 13.9755, 13.9755) * CHOOSE(CONTROL!$C$21, $C$9, 100%, $E$9)</f>
        <v>13.9755</v>
      </c>
      <c r="I335" s="14">
        <f>CHOOSE(CONTROL!$C$42, 13.9396, 13.9396)* CHOOSE(CONTROL!$C$21, $C$9, 100%, $E$9)</f>
        <v>13.9396</v>
      </c>
      <c r="J335" s="14">
        <f>CHOOSE(CONTROL!$C$42, 13.8787, 13.8787)* CHOOSE(CONTROL!$C$21, $C$9, 100%, $E$9)</f>
        <v>13.8787</v>
      </c>
      <c r="K335" s="53">
        <f>CHOOSE(CONTROL!$C$42, 13.9357, 13.9357) * CHOOSE(CONTROL!$C$21, $C$9, 100%, $E$9)</f>
        <v>13.935700000000001</v>
      </c>
      <c r="L335" s="14">
        <f>CHOOSE(CONTROL!$C$42, 14.5625, 14.5625) * CHOOSE(CONTROL!$C$21, $C$9, 100%, $E$9)</f>
        <v>14.5625</v>
      </c>
      <c r="M335" s="14">
        <f>CHOOSE(CONTROL!$C$42, 13.602, 13.602) * CHOOSE(CONTROL!$C$21, $C$9, 100%, $E$9)</f>
        <v>13.602</v>
      </c>
      <c r="N335" s="14">
        <f>CHOOSE(CONTROL!$C$42, 13.6177, 13.6177) * CHOOSE(CONTROL!$C$21, $C$9, 100%, $E$9)</f>
        <v>13.617699999999999</v>
      </c>
      <c r="O335" s="14">
        <f>CHOOSE(CONTROL!$C$42, 13.6968, 13.6968) * CHOOSE(CONTROL!$C$21, $C$9, 100%, $E$9)</f>
        <v>13.6968</v>
      </c>
      <c r="P335" s="14">
        <f>CHOOSE(CONTROL!$C$42, 13.6609, 13.6609) * CHOOSE(CONTROL!$C$21, $C$9, 100%, $E$9)</f>
        <v>13.6609</v>
      </c>
      <c r="Q335" s="14">
        <f>CHOOSE(CONTROL!$C$42, 14.2915, 14.2915) * CHOOSE(CONTROL!$C$21, $C$9, 100%, $E$9)</f>
        <v>14.291499999999999</v>
      </c>
      <c r="R335" s="14">
        <f>CHOOSE(CONTROL!$C$42, 14.9143, 14.9143) * CHOOSE(CONTROL!$C$21, $C$9, 100%, $E$9)</f>
        <v>14.914300000000001</v>
      </c>
      <c r="S335" s="14">
        <f>CHOOSE(CONTROL!$C$42, 13.3319, 13.3319) * CHOOSE(CONTROL!$C$21, $C$9, 100%, $E$9)</f>
        <v>13.331899999999999</v>
      </c>
      <c r="T33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35" s="57">
        <f>(1000*CHOOSE(CONTROL!$C$42, 695, 695)*CHOOSE(CONTROL!$C$42, 0.5599, 0.5599)*CHOOSE(CONTROL!$C$42, 30, 30))/1000000</f>
        <v>11.673914999999997</v>
      </c>
      <c r="V335" s="57">
        <f>(1000*CHOOSE(CONTROL!$C$42, 500, 500)*CHOOSE(CONTROL!$C$42, 0.275, 0.275)*CHOOSE(CONTROL!$C$42, 30, 30))/1000000</f>
        <v>4.125</v>
      </c>
      <c r="W335" s="57">
        <f>(1000*CHOOSE(CONTROL!$C$42, 0.1146, 0.1146)*CHOOSE(CONTROL!$C$42, 121.5, 121.5)*CHOOSE(CONTROL!$C$42, 30, 30))/1000000</f>
        <v>0.417717</v>
      </c>
      <c r="X335" s="57">
        <f>(30*0.1790888*100000/1000000)+(30*0.2374*100000/1000000)</f>
        <v>1.2494664</v>
      </c>
      <c r="Y335" s="57"/>
      <c r="Z335" s="14"/>
      <c r="AA335" s="56"/>
      <c r="AB335" s="50">
        <f>(B335*122.58+C335*297.941+D335*89.177+E335*40.302+F335*40+G335*160+H335*0+I335*100+J335*300)/(122.58+297.941+89.177+40.302+0+40+160+100+300)</f>
        <v>13.899912956869565</v>
      </c>
      <c r="AC335" s="45">
        <f>(M335*'RAP TEMPLATE-GAS AVAILABILITY'!O334+N335*'RAP TEMPLATE-GAS AVAILABILITY'!P334+O335*'RAP TEMPLATE-GAS AVAILABILITY'!Q334+P335*'RAP TEMPLATE-GAS AVAILABILITY'!R334)/('RAP TEMPLATE-GAS AVAILABILITY'!O334+'RAP TEMPLATE-GAS AVAILABILITY'!P334+'RAP TEMPLATE-GAS AVAILABILITY'!Q334+'RAP TEMPLATE-GAS AVAILABILITY'!R334)</f>
        <v>13.654345323741008</v>
      </c>
    </row>
    <row r="336" spans="1:29" ht="15.75" x14ac:dyDescent="0.25">
      <c r="A336" s="33">
        <v>51135</v>
      </c>
      <c r="B336" s="14">
        <f>CHOOSE(CONTROL!$C$42, 14.8292, 14.8292) * CHOOSE(CONTROL!$C$21, $C$9, 100%, $E$9)</f>
        <v>14.8292</v>
      </c>
      <c r="C336" s="14">
        <f>CHOOSE(CONTROL!$C$42, 14.8343, 14.8343) * CHOOSE(CONTROL!$C$21, $C$9, 100%, $E$9)</f>
        <v>14.834300000000001</v>
      </c>
      <c r="D336" s="14">
        <f>CHOOSE(CONTROL!$C$42, 14.8981, 14.8981) * CHOOSE(CONTROL!$C$21, $C$9, 100%, $E$9)</f>
        <v>14.898099999999999</v>
      </c>
      <c r="E336" s="14">
        <f>CHOOSE(CONTROL!$C$42, 14.9322, 14.9322) * CHOOSE(CONTROL!$C$21, $C$9, 100%, $E$9)</f>
        <v>14.9322</v>
      </c>
      <c r="F336" s="14">
        <f>CHOOSE(CONTROL!$C$42, 14.8338, 14.8338)*CHOOSE(CONTROL!$C$21, $C$9, 100%, $E$9)</f>
        <v>14.8338</v>
      </c>
      <c r="G336" s="14">
        <f>CHOOSE(CONTROL!$C$42, 14.8504, 14.8504)*CHOOSE(CONTROL!$C$21, $C$9, 100%, $E$9)</f>
        <v>14.8504</v>
      </c>
      <c r="H336" s="14">
        <f>CHOOSE(CONTROL!$C$42, 14.9214, 14.9214) * CHOOSE(CONTROL!$C$21, $C$9, 100%, $E$9)</f>
        <v>14.9214</v>
      </c>
      <c r="I336" s="14">
        <f>CHOOSE(CONTROL!$C$42, 14.8885, 14.8885)* CHOOSE(CONTROL!$C$21, $C$9, 100%, $E$9)</f>
        <v>14.888500000000001</v>
      </c>
      <c r="J336" s="14">
        <f>CHOOSE(CONTROL!$C$42, 14.8268, 14.8268)* CHOOSE(CONTROL!$C$21, $C$9, 100%, $E$9)</f>
        <v>14.8268</v>
      </c>
      <c r="K336" s="53">
        <f>CHOOSE(CONTROL!$C$42, 14.8846, 14.8846) * CHOOSE(CONTROL!$C$21, $C$9, 100%, $E$9)</f>
        <v>14.884600000000001</v>
      </c>
      <c r="L336" s="14">
        <f>CHOOSE(CONTROL!$C$42, 15.5084, 15.5084) * CHOOSE(CONTROL!$C$21, $C$9, 100%, $E$9)</f>
        <v>15.5084</v>
      </c>
      <c r="M336" s="14">
        <f>CHOOSE(CONTROL!$C$42, 14.5307, 14.5307) * CHOOSE(CONTROL!$C$21, $C$9, 100%, $E$9)</f>
        <v>14.5307</v>
      </c>
      <c r="N336" s="14">
        <f>CHOOSE(CONTROL!$C$42, 14.547, 14.547) * CHOOSE(CONTROL!$C$21, $C$9, 100%, $E$9)</f>
        <v>14.547000000000001</v>
      </c>
      <c r="O336" s="14">
        <f>CHOOSE(CONTROL!$C$42, 14.6233, 14.6233) * CHOOSE(CONTROL!$C$21, $C$9, 100%, $E$9)</f>
        <v>14.6233</v>
      </c>
      <c r="P336" s="14">
        <f>CHOOSE(CONTROL!$C$42, 14.5903, 14.5903) * CHOOSE(CONTROL!$C$21, $C$9, 100%, $E$9)</f>
        <v>14.590299999999999</v>
      </c>
      <c r="Q336" s="14">
        <f>CHOOSE(CONTROL!$C$42, 15.218, 15.218) * CHOOSE(CONTROL!$C$21, $C$9, 100%, $E$9)</f>
        <v>15.218</v>
      </c>
      <c r="R336" s="14">
        <f>CHOOSE(CONTROL!$C$42, 15.8431, 15.8431) * CHOOSE(CONTROL!$C$21, $C$9, 100%, $E$9)</f>
        <v>15.8431</v>
      </c>
      <c r="S336" s="14">
        <f>CHOOSE(CONTROL!$C$42, 14.2408, 14.2408) * CHOOSE(CONTROL!$C$21, $C$9, 100%, $E$9)</f>
        <v>14.2408</v>
      </c>
      <c r="T33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36" s="57">
        <f>(1000*CHOOSE(CONTROL!$C$42, 695, 695)*CHOOSE(CONTROL!$C$42, 0.5599, 0.5599)*CHOOSE(CONTROL!$C$42, 31, 31))/1000000</f>
        <v>12.063045499999998</v>
      </c>
      <c r="V336" s="57">
        <f>(1000*CHOOSE(CONTROL!$C$42, 500, 500)*CHOOSE(CONTROL!$C$42, 0.275, 0.275)*CHOOSE(CONTROL!$C$42, 31, 31))/1000000</f>
        <v>4.2625000000000002</v>
      </c>
      <c r="W336" s="57">
        <f>(1000*CHOOSE(CONTROL!$C$42, 0.1146, 0.1146)*CHOOSE(CONTROL!$C$42, 121.5, 121.5)*CHOOSE(CONTROL!$C$42, 31, 31))/1000000</f>
        <v>0.43164089999999994</v>
      </c>
      <c r="X336" s="57">
        <f>(31*0.1790888*100000/1000000)+(31*0.2374*100000/1000000)</f>
        <v>1.2911152800000001</v>
      </c>
      <c r="Y336" s="57"/>
      <c r="Z336" s="14"/>
      <c r="AA336" s="56"/>
      <c r="AB336" s="50">
        <f>(B336*122.58+C336*297.941+D336*89.177+E336*40.302+F336*40+G336*160+H336*0+I336*100+J336*300)/(122.58+297.941+89.177+40.302+0+40+160+100+300)</f>
        <v>14.847113826434784</v>
      </c>
      <c r="AC336" s="45">
        <f>(M336*'RAP TEMPLATE-GAS AVAILABILITY'!O335+N336*'RAP TEMPLATE-GAS AVAILABILITY'!P335+O336*'RAP TEMPLATE-GAS AVAILABILITY'!Q335+P336*'RAP TEMPLATE-GAS AVAILABILITY'!R335)/('RAP TEMPLATE-GAS AVAILABILITY'!O335+'RAP TEMPLATE-GAS AVAILABILITY'!P335+'RAP TEMPLATE-GAS AVAILABILITY'!Q335+'RAP TEMPLATE-GAS AVAILABILITY'!R335)</f>
        <v>14.582183453237411</v>
      </c>
    </row>
    <row r="337" spans="1:29" ht="15.75" x14ac:dyDescent="0.25">
      <c r="A337" s="33">
        <v>51166</v>
      </c>
      <c r="B337" s="14">
        <f>CHOOSE(CONTROL!$C$42, 16.0431, 16.0431) * CHOOSE(CONTROL!$C$21, $C$9, 100%, $E$9)</f>
        <v>16.043099999999999</v>
      </c>
      <c r="C337" s="14">
        <f>CHOOSE(CONTROL!$C$42, 16.0482, 16.0482) * CHOOSE(CONTROL!$C$21, $C$9, 100%, $E$9)</f>
        <v>16.048200000000001</v>
      </c>
      <c r="D337" s="14">
        <f>CHOOSE(CONTROL!$C$42, 16.1146, 16.1146) * CHOOSE(CONTROL!$C$21, $C$9, 100%, $E$9)</f>
        <v>16.114599999999999</v>
      </c>
      <c r="E337" s="14">
        <f>CHOOSE(CONTROL!$C$42, 16.1487, 16.1487) * CHOOSE(CONTROL!$C$21, $C$9, 100%, $E$9)</f>
        <v>16.148700000000002</v>
      </c>
      <c r="F337" s="14">
        <f>CHOOSE(CONTROL!$C$42, 16.0305, 16.0305)*CHOOSE(CONTROL!$C$21, $C$9, 100%, $E$9)</f>
        <v>16.0305</v>
      </c>
      <c r="G337" s="14">
        <f>CHOOSE(CONTROL!$C$42, 16.0459, 16.0459)*CHOOSE(CONTROL!$C$21, $C$9, 100%, $E$9)</f>
        <v>16.0459</v>
      </c>
      <c r="H337" s="14">
        <f>CHOOSE(CONTROL!$C$42, 16.1379, 16.1379) * CHOOSE(CONTROL!$C$21, $C$9, 100%, $E$9)</f>
        <v>16.137899999999998</v>
      </c>
      <c r="I337" s="14">
        <f>CHOOSE(CONTROL!$C$42, 16.101, 16.101)* CHOOSE(CONTROL!$C$21, $C$9, 100%, $E$9)</f>
        <v>16.100999999999999</v>
      </c>
      <c r="J337" s="14">
        <f>CHOOSE(CONTROL!$C$42, 16.0235, 16.0235)* CHOOSE(CONTROL!$C$21, $C$9, 100%, $E$9)</f>
        <v>16.023499999999999</v>
      </c>
      <c r="K337" s="53">
        <f>CHOOSE(CONTROL!$C$42, 16.0971, 16.0971) * CHOOSE(CONTROL!$C$21, $C$9, 100%, $E$9)</f>
        <v>16.097100000000001</v>
      </c>
      <c r="L337" s="14">
        <f>CHOOSE(CONTROL!$C$42, 16.7249, 16.7249) * CHOOSE(CONTROL!$C$21, $C$9, 100%, $E$9)</f>
        <v>16.724900000000002</v>
      </c>
      <c r="M337" s="14">
        <f>CHOOSE(CONTROL!$C$42, 15.7028, 15.7028) * CHOOSE(CONTROL!$C$21, $C$9, 100%, $E$9)</f>
        <v>15.7028</v>
      </c>
      <c r="N337" s="14">
        <f>CHOOSE(CONTROL!$C$42, 15.718, 15.718) * CHOOSE(CONTROL!$C$21, $C$9, 100%, $E$9)</f>
        <v>15.718</v>
      </c>
      <c r="O337" s="14">
        <f>CHOOSE(CONTROL!$C$42, 15.8149, 15.8149) * CHOOSE(CONTROL!$C$21, $C$9, 100%, $E$9)</f>
        <v>15.8149</v>
      </c>
      <c r="P337" s="14">
        <f>CHOOSE(CONTROL!$C$42, 15.7779, 15.7779) * CHOOSE(CONTROL!$C$21, $C$9, 100%, $E$9)</f>
        <v>15.777900000000001</v>
      </c>
      <c r="Q337" s="14">
        <f>CHOOSE(CONTROL!$C$42, 16.4096, 16.4096) * CHOOSE(CONTROL!$C$21, $C$9, 100%, $E$9)</f>
        <v>16.409600000000001</v>
      </c>
      <c r="R337" s="14">
        <f>CHOOSE(CONTROL!$C$42, 17.0377, 17.0377) * CHOOSE(CONTROL!$C$21, $C$9, 100%, $E$9)</f>
        <v>17.037700000000001</v>
      </c>
      <c r="S337" s="14">
        <f>CHOOSE(CONTROL!$C$42, 15.4073, 15.4073) * CHOOSE(CONTROL!$C$21, $C$9, 100%, $E$9)</f>
        <v>15.407299999999999</v>
      </c>
      <c r="T33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37" s="57">
        <f>(1000*CHOOSE(CONTROL!$C$42, 695, 695)*CHOOSE(CONTROL!$C$42, 0.5599, 0.5599)*CHOOSE(CONTROL!$C$42, 31, 31))/1000000</f>
        <v>12.063045499999998</v>
      </c>
      <c r="V337" s="57">
        <f>(1000*CHOOSE(CONTROL!$C$42, 500, 500)*CHOOSE(CONTROL!$C$42, 0.275, 0.275)*CHOOSE(CONTROL!$C$42, 31, 31))/1000000</f>
        <v>4.2625000000000002</v>
      </c>
      <c r="W337" s="57">
        <f>(1000*CHOOSE(CONTROL!$C$42, 0.1146, 0.1146)*CHOOSE(CONTROL!$C$42, 121.5, 121.5)*CHOOSE(CONTROL!$C$42, 31, 31))/1000000</f>
        <v>0.43164089999999994</v>
      </c>
      <c r="X337" s="57">
        <f>(31*0.1790888*100000/1000000)+(31*0.2374*100000/1000000)</f>
        <v>1.2911152800000001</v>
      </c>
      <c r="Y337" s="57"/>
      <c r="Z337" s="14"/>
      <c r="AA337" s="56"/>
      <c r="AB337" s="50">
        <f>(B337*122.58+C337*297.941+D337*89.177+E337*40.302+F337*40+G337*160+H337*0+I337*100+J337*300)/(122.58+297.941+89.177+40.302+0+40+160+100+300)</f>
        <v>16.053539605043479</v>
      </c>
      <c r="AC337" s="45">
        <f>(M337*'RAP TEMPLATE-GAS AVAILABILITY'!O336+N337*'RAP TEMPLATE-GAS AVAILABILITY'!P336+O337*'RAP TEMPLATE-GAS AVAILABILITY'!Q336+P337*'RAP TEMPLATE-GAS AVAILABILITY'!R336)/('RAP TEMPLATE-GAS AVAILABILITY'!O336+'RAP TEMPLATE-GAS AVAILABILITY'!P336+'RAP TEMPLATE-GAS AVAILABILITY'!Q336+'RAP TEMPLATE-GAS AVAILABILITY'!R336)</f>
        <v>15.765288489208636</v>
      </c>
    </row>
    <row r="338" spans="1:29" ht="15.75" x14ac:dyDescent="0.25">
      <c r="A338" s="33">
        <v>51194</v>
      </c>
      <c r="B338" s="14">
        <f>CHOOSE(CONTROL!$C$42, 16.3285, 16.3285) * CHOOSE(CONTROL!$C$21, $C$9, 100%, $E$9)</f>
        <v>16.328499999999998</v>
      </c>
      <c r="C338" s="14">
        <f>CHOOSE(CONTROL!$C$42, 16.3336, 16.3336) * CHOOSE(CONTROL!$C$21, $C$9, 100%, $E$9)</f>
        <v>16.333600000000001</v>
      </c>
      <c r="D338" s="14">
        <f>CHOOSE(CONTROL!$C$42, 16.4, 16.4) * CHOOSE(CONTROL!$C$21, $C$9, 100%, $E$9)</f>
        <v>16.399999999999999</v>
      </c>
      <c r="E338" s="14">
        <f>CHOOSE(CONTROL!$C$42, 16.4341, 16.4341) * CHOOSE(CONTROL!$C$21, $C$9, 100%, $E$9)</f>
        <v>16.434100000000001</v>
      </c>
      <c r="F338" s="14">
        <f>CHOOSE(CONTROL!$C$42, 16.316, 16.316)*CHOOSE(CONTROL!$C$21, $C$9, 100%, $E$9)</f>
        <v>16.315999999999999</v>
      </c>
      <c r="G338" s="14">
        <f>CHOOSE(CONTROL!$C$42, 16.3314, 16.3314)*CHOOSE(CONTROL!$C$21, $C$9, 100%, $E$9)</f>
        <v>16.331399999999999</v>
      </c>
      <c r="H338" s="14">
        <f>CHOOSE(CONTROL!$C$42, 16.4233, 16.4233) * CHOOSE(CONTROL!$C$21, $C$9, 100%, $E$9)</f>
        <v>16.423300000000001</v>
      </c>
      <c r="I338" s="14">
        <f>CHOOSE(CONTROL!$C$42, 16.3873, 16.3873)* CHOOSE(CONTROL!$C$21, $C$9, 100%, $E$9)</f>
        <v>16.3873</v>
      </c>
      <c r="J338" s="14">
        <f>CHOOSE(CONTROL!$C$42, 16.309, 16.309)* CHOOSE(CONTROL!$C$21, $C$9, 100%, $E$9)</f>
        <v>16.309000000000001</v>
      </c>
      <c r="K338" s="53">
        <f>CHOOSE(CONTROL!$C$42, 16.3834, 16.3834) * CHOOSE(CONTROL!$C$21, $C$9, 100%, $E$9)</f>
        <v>16.383400000000002</v>
      </c>
      <c r="L338" s="14">
        <f>CHOOSE(CONTROL!$C$42, 17.0103, 17.0103) * CHOOSE(CONTROL!$C$21, $C$9, 100%, $E$9)</f>
        <v>17.010300000000001</v>
      </c>
      <c r="M338" s="14">
        <f>CHOOSE(CONTROL!$C$42, 15.9825, 15.9825) * CHOOSE(CONTROL!$C$21, $C$9, 100%, $E$9)</f>
        <v>15.9825</v>
      </c>
      <c r="N338" s="14">
        <f>CHOOSE(CONTROL!$C$42, 15.9977, 15.9977) * CHOOSE(CONTROL!$C$21, $C$9, 100%, $E$9)</f>
        <v>15.9977</v>
      </c>
      <c r="O338" s="14">
        <f>CHOOSE(CONTROL!$C$42, 16.0945, 16.0945) * CHOOSE(CONTROL!$C$21, $C$9, 100%, $E$9)</f>
        <v>16.0945</v>
      </c>
      <c r="P338" s="14">
        <f>CHOOSE(CONTROL!$C$42, 16.0583, 16.0583) * CHOOSE(CONTROL!$C$21, $C$9, 100%, $E$9)</f>
        <v>16.058299999999999</v>
      </c>
      <c r="Q338" s="14">
        <f>CHOOSE(CONTROL!$C$42, 16.6892, 16.6892) * CHOOSE(CONTROL!$C$21, $C$9, 100%, $E$9)</f>
        <v>16.6892</v>
      </c>
      <c r="R338" s="14">
        <f>CHOOSE(CONTROL!$C$42, 17.3179, 17.3179) * CHOOSE(CONTROL!$C$21, $C$9, 100%, $E$9)</f>
        <v>17.317900000000002</v>
      </c>
      <c r="S338" s="14">
        <f>CHOOSE(CONTROL!$C$42, 15.6816, 15.6816) * CHOOSE(CONTROL!$C$21, $C$9, 100%, $E$9)</f>
        <v>15.6816</v>
      </c>
      <c r="T338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338" s="57">
        <f>(1000*CHOOSE(CONTROL!$C$42, 695, 695)*CHOOSE(CONTROL!$C$42, 0.5599, 0.5599)*CHOOSE(CONTROL!$C$42, 29, 29))/1000000</f>
        <v>11.284784499999999</v>
      </c>
      <c r="V338" s="57">
        <f>(1000*CHOOSE(CONTROL!$C$42, 500, 500)*CHOOSE(CONTROL!$C$42, 0.275, 0.275)*CHOOSE(CONTROL!$C$42, 29, 29))/1000000</f>
        <v>3.9874999999999998</v>
      </c>
      <c r="W338" s="57">
        <f>(1000*CHOOSE(CONTROL!$C$42, 0.1146, 0.1146)*CHOOSE(CONTROL!$C$42, 121.5, 121.5)*CHOOSE(CONTROL!$C$42, 29, 29))/1000000</f>
        <v>0.40379309999999996</v>
      </c>
      <c r="X338" s="57">
        <f>(29*0.1790888*100000/1000000)+(29*0.2374*100000/1000000)</f>
        <v>1.2078175199999999</v>
      </c>
      <c r="Y338" s="57"/>
      <c r="Z338" s="14"/>
      <c r="AA338" s="56"/>
      <c r="AB338" s="50">
        <f>(B338*122.58+C338*297.941+D338*89.177+E338*40.302+F338*40+G338*160+H338*0+I338*100+J338*300)/(122.58+297.941+89.177+40.302+0+40+160+100+300)</f>
        <v>16.339061344173913</v>
      </c>
      <c r="AC338" s="45">
        <f>(M338*'RAP TEMPLATE-GAS AVAILABILITY'!O337+N338*'RAP TEMPLATE-GAS AVAILABILITY'!P337+O338*'RAP TEMPLATE-GAS AVAILABILITY'!Q337+P338*'RAP TEMPLATE-GAS AVAILABILITY'!R337)/('RAP TEMPLATE-GAS AVAILABILITY'!O337+'RAP TEMPLATE-GAS AVAILABILITY'!P337+'RAP TEMPLATE-GAS AVAILABILITY'!Q337+'RAP TEMPLATE-GAS AVAILABILITY'!R337)</f>
        <v>16.045043884892088</v>
      </c>
    </row>
    <row r="339" spans="1:29" ht="15.75" x14ac:dyDescent="0.25">
      <c r="A339" s="33">
        <v>51226</v>
      </c>
      <c r="B339" s="14">
        <f>CHOOSE(CONTROL!$C$42, 15.8652, 15.8652) * CHOOSE(CONTROL!$C$21, $C$9, 100%, $E$9)</f>
        <v>15.8652</v>
      </c>
      <c r="C339" s="14">
        <f>CHOOSE(CONTROL!$C$42, 15.8703, 15.8703) * CHOOSE(CONTROL!$C$21, $C$9, 100%, $E$9)</f>
        <v>15.8703</v>
      </c>
      <c r="D339" s="14">
        <f>CHOOSE(CONTROL!$C$42, 15.9367, 15.9367) * CHOOSE(CONTROL!$C$21, $C$9, 100%, $E$9)</f>
        <v>15.9367</v>
      </c>
      <c r="E339" s="14">
        <f>CHOOSE(CONTROL!$C$42, 15.9708, 15.9708) * CHOOSE(CONTROL!$C$21, $C$9, 100%, $E$9)</f>
        <v>15.970800000000001</v>
      </c>
      <c r="F339" s="14">
        <f>CHOOSE(CONTROL!$C$42, 15.8522, 15.8522)*CHOOSE(CONTROL!$C$21, $C$9, 100%, $E$9)</f>
        <v>15.8522</v>
      </c>
      <c r="G339" s="14">
        <f>CHOOSE(CONTROL!$C$42, 15.8676, 15.8676)*CHOOSE(CONTROL!$C$21, $C$9, 100%, $E$9)</f>
        <v>15.867599999999999</v>
      </c>
      <c r="H339" s="14">
        <f>CHOOSE(CONTROL!$C$42, 15.96, 15.96) * CHOOSE(CONTROL!$C$21, $C$9, 100%, $E$9)</f>
        <v>15.96</v>
      </c>
      <c r="I339" s="14">
        <f>CHOOSE(CONTROL!$C$42, 15.9226, 15.9226)* CHOOSE(CONTROL!$C$21, $C$9, 100%, $E$9)</f>
        <v>15.922599999999999</v>
      </c>
      <c r="J339" s="14">
        <f>CHOOSE(CONTROL!$C$42, 15.8452, 15.8452)* CHOOSE(CONTROL!$C$21, $C$9, 100%, $E$9)</f>
        <v>15.8452</v>
      </c>
      <c r="K339" s="53">
        <f>CHOOSE(CONTROL!$C$42, 15.9187, 15.9187) * CHOOSE(CONTROL!$C$21, $C$9, 100%, $E$9)</f>
        <v>15.918699999999999</v>
      </c>
      <c r="L339" s="14">
        <f>CHOOSE(CONTROL!$C$42, 16.547, 16.547) * CHOOSE(CONTROL!$C$21, $C$9, 100%, $E$9)</f>
        <v>16.547000000000001</v>
      </c>
      <c r="M339" s="14">
        <f>CHOOSE(CONTROL!$C$42, 15.5283, 15.5283) * CHOOSE(CONTROL!$C$21, $C$9, 100%, $E$9)</f>
        <v>15.5283</v>
      </c>
      <c r="N339" s="14">
        <f>CHOOSE(CONTROL!$C$42, 15.5434, 15.5434) * CHOOSE(CONTROL!$C$21, $C$9, 100%, $E$9)</f>
        <v>15.5434</v>
      </c>
      <c r="O339" s="14">
        <f>CHOOSE(CONTROL!$C$42, 15.6407, 15.6407) * CHOOSE(CONTROL!$C$21, $C$9, 100%, $E$9)</f>
        <v>15.640700000000001</v>
      </c>
      <c r="P339" s="14">
        <f>CHOOSE(CONTROL!$C$42, 15.6031, 15.6031) * CHOOSE(CONTROL!$C$21, $C$9, 100%, $E$9)</f>
        <v>15.6031</v>
      </c>
      <c r="Q339" s="14">
        <f>CHOOSE(CONTROL!$C$42, 16.2354, 16.2354) * CHOOSE(CONTROL!$C$21, $C$9, 100%, $E$9)</f>
        <v>16.235399999999998</v>
      </c>
      <c r="R339" s="14">
        <f>CHOOSE(CONTROL!$C$42, 16.863, 16.863) * CHOOSE(CONTROL!$C$21, $C$9, 100%, $E$9)</f>
        <v>16.863</v>
      </c>
      <c r="S339" s="14">
        <f>CHOOSE(CONTROL!$C$42, 15.2364, 15.2364) * CHOOSE(CONTROL!$C$21, $C$9, 100%, $E$9)</f>
        <v>15.2364</v>
      </c>
      <c r="T33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39" s="57">
        <f>(1000*CHOOSE(CONTROL!$C$42, 695, 695)*CHOOSE(CONTROL!$C$42, 0.5599, 0.5599)*CHOOSE(CONTROL!$C$42, 31, 31))/1000000</f>
        <v>12.063045499999998</v>
      </c>
      <c r="V339" s="57">
        <f>(1000*CHOOSE(CONTROL!$C$42, 500, 500)*CHOOSE(CONTROL!$C$42, 0.275, 0.275)*CHOOSE(CONTROL!$C$42, 31, 31))/1000000</f>
        <v>4.2625000000000002</v>
      </c>
      <c r="W339" s="57">
        <f>(1000*CHOOSE(CONTROL!$C$42, 0.1146, 0.1146)*CHOOSE(CONTROL!$C$42, 121.5, 121.5)*CHOOSE(CONTROL!$C$42, 31, 31))/1000000</f>
        <v>0.43164089999999994</v>
      </c>
      <c r="X339" s="57">
        <f>(31*0.1790888*100000/1000000)+(31*0.2374*100000/1000000)</f>
        <v>1.2911152800000001</v>
      </c>
      <c r="Y339" s="57"/>
      <c r="Z339" s="14"/>
      <c r="AA339" s="56"/>
      <c r="AB339" s="50">
        <f>(B339*122.58+C339*297.941+D339*89.177+E339*40.302+F339*40+G339*160+H339*0+I339*100+J339*300)/(122.58+297.941+89.177+40.302+0+40+160+100+300)</f>
        <v>15.87542221373913</v>
      </c>
      <c r="AC339" s="45">
        <f>(M339*'RAP TEMPLATE-GAS AVAILABILITY'!O338+N339*'RAP TEMPLATE-GAS AVAILABILITY'!P338+O339*'RAP TEMPLATE-GAS AVAILABILITY'!Q338+P339*'RAP TEMPLATE-GAS AVAILABILITY'!R338)/('RAP TEMPLATE-GAS AVAILABILITY'!O338+'RAP TEMPLATE-GAS AVAILABILITY'!P338+'RAP TEMPLATE-GAS AVAILABILITY'!Q338+'RAP TEMPLATE-GAS AVAILABILITY'!R338)</f>
        <v>15.590875539568344</v>
      </c>
    </row>
    <row r="340" spans="1:29" ht="15.75" x14ac:dyDescent="0.25">
      <c r="A340" s="33">
        <v>51256</v>
      </c>
      <c r="B340" s="14">
        <f>CHOOSE(CONTROL!$C$42, 15.8189, 15.8189) * CHOOSE(CONTROL!$C$21, $C$9, 100%, $E$9)</f>
        <v>15.818899999999999</v>
      </c>
      <c r="C340" s="14">
        <f>CHOOSE(CONTROL!$C$42, 15.8234, 15.8234) * CHOOSE(CONTROL!$C$21, $C$9, 100%, $E$9)</f>
        <v>15.823399999999999</v>
      </c>
      <c r="D340" s="14">
        <f>CHOOSE(CONTROL!$C$42, 16.0305, 16.0305) * CHOOSE(CONTROL!$C$21, $C$9, 100%, $E$9)</f>
        <v>16.0305</v>
      </c>
      <c r="E340" s="14">
        <f>CHOOSE(CONTROL!$C$42, 16.0626, 16.0626) * CHOOSE(CONTROL!$C$21, $C$9, 100%, $E$9)</f>
        <v>16.0626</v>
      </c>
      <c r="F340" s="14">
        <f>CHOOSE(CONTROL!$C$42, 15.8008, 15.8008)*CHOOSE(CONTROL!$C$21, $C$9, 100%, $E$9)</f>
        <v>15.800800000000001</v>
      </c>
      <c r="G340" s="14">
        <f>CHOOSE(CONTROL!$C$42, 15.816, 15.816)*CHOOSE(CONTROL!$C$21, $C$9, 100%, $E$9)</f>
        <v>15.816000000000001</v>
      </c>
      <c r="H340" s="14">
        <f>CHOOSE(CONTROL!$C$42, 16.0524, 16.0524) * CHOOSE(CONTROL!$C$21, $C$9, 100%, $E$9)</f>
        <v>16.052399999999999</v>
      </c>
      <c r="I340" s="14">
        <f>CHOOSE(CONTROL!$C$42, 15.8753, 15.8753)* CHOOSE(CONTROL!$C$21, $C$9, 100%, $E$9)</f>
        <v>15.875299999999999</v>
      </c>
      <c r="J340" s="14">
        <f>CHOOSE(CONTROL!$C$42, 15.7938, 15.7938)* CHOOSE(CONTROL!$C$21, $C$9, 100%, $E$9)</f>
        <v>15.793799999999999</v>
      </c>
      <c r="K340" s="53">
        <f>CHOOSE(CONTROL!$C$42, 15.8714, 15.8714) * CHOOSE(CONTROL!$C$21, $C$9, 100%, $E$9)</f>
        <v>15.8714</v>
      </c>
      <c r="L340" s="14">
        <f>CHOOSE(CONTROL!$C$42, 16.6394, 16.6394) * CHOOSE(CONTROL!$C$21, $C$9, 100%, $E$9)</f>
        <v>16.639399999999998</v>
      </c>
      <c r="M340" s="14">
        <f>CHOOSE(CONTROL!$C$42, 15.4779, 15.4779) * CHOOSE(CONTROL!$C$21, $C$9, 100%, $E$9)</f>
        <v>15.4779</v>
      </c>
      <c r="N340" s="14">
        <f>CHOOSE(CONTROL!$C$42, 15.4928, 15.4928) * CHOOSE(CONTROL!$C$21, $C$9, 100%, $E$9)</f>
        <v>15.492800000000001</v>
      </c>
      <c r="O340" s="14">
        <f>CHOOSE(CONTROL!$C$42, 15.7312, 15.7312) * CHOOSE(CONTROL!$C$21, $C$9, 100%, $E$9)</f>
        <v>15.731199999999999</v>
      </c>
      <c r="P340" s="14">
        <f>CHOOSE(CONTROL!$C$42, 15.5568, 15.5568) * CHOOSE(CONTROL!$C$21, $C$9, 100%, $E$9)</f>
        <v>15.556800000000001</v>
      </c>
      <c r="Q340" s="14">
        <f>CHOOSE(CONTROL!$C$42, 16.3259, 16.3259) * CHOOSE(CONTROL!$C$21, $C$9, 100%, $E$9)</f>
        <v>16.325900000000001</v>
      </c>
      <c r="R340" s="14">
        <f>CHOOSE(CONTROL!$C$42, 16.9537, 16.9537) * CHOOSE(CONTROL!$C$21, $C$9, 100%, $E$9)</f>
        <v>16.953700000000001</v>
      </c>
      <c r="S340" s="14">
        <f>CHOOSE(CONTROL!$C$42, 15.1911, 15.1911) * CHOOSE(CONTROL!$C$21, $C$9, 100%, $E$9)</f>
        <v>15.1911</v>
      </c>
      <c r="T34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40" s="57">
        <f>(1000*CHOOSE(CONTROL!$C$42, 695, 695)*CHOOSE(CONTROL!$C$42, 0.5599, 0.5599)*CHOOSE(CONTROL!$C$42, 30, 30))/1000000</f>
        <v>11.673914999999997</v>
      </c>
      <c r="V340" s="57">
        <f>(1000*CHOOSE(CONTROL!$C$42, 500, 500)*CHOOSE(CONTROL!$C$42, 0.275, 0.275)*CHOOSE(CONTROL!$C$42, 30, 30))/1000000</f>
        <v>4.125</v>
      </c>
      <c r="W340" s="57">
        <f>(1000*CHOOSE(CONTROL!$C$42, 0.1146, 0.1146)*CHOOSE(CONTROL!$C$42, 121.5, 121.5)*CHOOSE(CONTROL!$C$42, 30, 30))/1000000</f>
        <v>0.417717</v>
      </c>
      <c r="X340" s="57">
        <f>(30*0.1790888*245000/1000000)+(30*0.2374*100000/1000000)</f>
        <v>2.0285026799999999</v>
      </c>
      <c r="Y340" s="57"/>
      <c r="Z340" s="14"/>
      <c r="AA340" s="56"/>
      <c r="AB340" s="50">
        <f>(B340*141.293+C340*267.993+D340*115.016+E340*89.698+F340*40+G340*185+H340*0+I340*100+J340*300)/(141.293+267.993+115.016+89.698+0+40+185+100+300)</f>
        <v>15.854616107102503</v>
      </c>
      <c r="AC340" s="45">
        <f>(M340*'RAP TEMPLATE-GAS AVAILABILITY'!O339+N340*'RAP TEMPLATE-GAS AVAILABILITY'!P339+O340*'RAP TEMPLATE-GAS AVAILABILITY'!Q339+P340*'RAP TEMPLATE-GAS AVAILABILITY'!R339)/('RAP TEMPLATE-GAS AVAILABILITY'!O339+'RAP TEMPLATE-GAS AVAILABILITY'!P339+'RAP TEMPLATE-GAS AVAILABILITY'!Q339+'RAP TEMPLATE-GAS AVAILABILITY'!R339)</f>
        <v>15.563752517985613</v>
      </c>
    </row>
    <row r="341" spans="1:29" ht="15.75" x14ac:dyDescent="0.25">
      <c r="A341" s="33">
        <v>51287</v>
      </c>
      <c r="B341" s="14">
        <f>CHOOSE(CONTROL!$C$42, 15.9599, 15.9599) * CHOOSE(CONTROL!$C$21, $C$9, 100%, $E$9)</f>
        <v>15.959899999999999</v>
      </c>
      <c r="C341" s="14">
        <f>CHOOSE(CONTROL!$C$42, 15.9679, 15.9679) * CHOOSE(CONTROL!$C$21, $C$9, 100%, $E$9)</f>
        <v>15.9679</v>
      </c>
      <c r="D341" s="14">
        <f>CHOOSE(CONTROL!$C$42, 16.1718, 16.1718) * CHOOSE(CONTROL!$C$21, $C$9, 100%, $E$9)</f>
        <v>16.171800000000001</v>
      </c>
      <c r="E341" s="14">
        <f>CHOOSE(CONTROL!$C$42, 16.2033, 16.2033) * CHOOSE(CONTROL!$C$21, $C$9, 100%, $E$9)</f>
        <v>16.203299999999999</v>
      </c>
      <c r="F341" s="14">
        <f>CHOOSE(CONTROL!$C$42, 15.9406, 15.9406)*CHOOSE(CONTROL!$C$21, $C$9, 100%, $E$9)</f>
        <v>15.9406</v>
      </c>
      <c r="G341" s="14">
        <f>CHOOSE(CONTROL!$C$42, 15.9563, 15.9563)*CHOOSE(CONTROL!$C$21, $C$9, 100%, $E$9)</f>
        <v>15.956300000000001</v>
      </c>
      <c r="H341" s="14">
        <f>CHOOSE(CONTROL!$C$42, 16.1919, 16.1919) * CHOOSE(CONTROL!$C$21, $C$9, 100%, $E$9)</f>
        <v>16.1919</v>
      </c>
      <c r="I341" s="14">
        <f>CHOOSE(CONTROL!$C$42, 16.0153, 16.0153)* CHOOSE(CONTROL!$C$21, $C$9, 100%, $E$9)</f>
        <v>16.0153</v>
      </c>
      <c r="J341" s="14">
        <f>CHOOSE(CONTROL!$C$42, 15.9336, 15.9336)* CHOOSE(CONTROL!$C$21, $C$9, 100%, $E$9)</f>
        <v>15.9336</v>
      </c>
      <c r="K341" s="53">
        <f>CHOOSE(CONTROL!$C$42, 16.0114, 16.0114) * CHOOSE(CONTROL!$C$21, $C$9, 100%, $E$9)</f>
        <v>16.011399999999998</v>
      </c>
      <c r="L341" s="14">
        <f>CHOOSE(CONTROL!$C$42, 16.7789, 16.7789) * CHOOSE(CONTROL!$C$21, $C$9, 100%, $E$9)</f>
        <v>16.7789</v>
      </c>
      <c r="M341" s="14">
        <f>CHOOSE(CONTROL!$C$42, 15.6148, 15.6148) * CHOOSE(CONTROL!$C$21, $C$9, 100%, $E$9)</f>
        <v>15.614800000000001</v>
      </c>
      <c r="N341" s="14">
        <f>CHOOSE(CONTROL!$C$42, 15.6302, 15.6302) * CHOOSE(CONTROL!$C$21, $C$9, 100%, $E$9)</f>
        <v>15.6302</v>
      </c>
      <c r="O341" s="14">
        <f>CHOOSE(CONTROL!$C$42, 15.8679, 15.8679) * CHOOSE(CONTROL!$C$21, $C$9, 100%, $E$9)</f>
        <v>15.867900000000001</v>
      </c>
      <c r="P341" s="14">
        <f>CHOOSE(CONTROL!$C$42, 15.6939, 15.6939) * CHOOSE(CONTROL!$C$21, $C$9, 100%, $E$9)</f>
        <v>15.693899999999999</v>
      </c>
      <c r="Q341" s="14">
        <f>CHOOSE(CONTROL!$C$42, 16.4626, 16.4626) * CHOOSE(CONTROL!$C$21, $C$9, 100%, $E$9)</f>
        <v>16.462599999999998</v>
      </c>
      <c r="R341" s="14">
        <f>CHOOSE(CONTROL!$C$42, 17.0907, 17.0907) * CHOOSE(CONTROL!$C$21, $C$9, 100%, $E$9)</f>
        <v>17.090699999999998</v>
      </c>
      <c r="S341" s="14">
        <f>CHOOSE(CONTROL!$C$42, 15.3252, 15.3252) * CHOOSE(CONTROL!$C$21, $C$9, 100%, $E$9)</f>
        <v>15.325200000000001</v>
      </c>
      <c r="T34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41" s="57">
        <f>(1000*CHOOSE(CONTROL!$C$42, 695, 695)*CHOOSE(CONTROL!$C$42, 0.5599, 0.5599)*CHOOSE(CONTROL!$C$42, 31, 31))/1000000</f>
        <v>12.063045499999998</v>
      </c>
      <c r="V341" s="57">
        <f>(1000*CHOOSE(CONTROL!$C$42, 500, 500)*CHOOSE(CONTROL!$C$42, 0.275, 0.275)*CHOOSE(CONTROL!$C$42, 31, 31))/1000000</f>
        <v>4.2625000000000002</v>
      </c>
      <c r="W341" s="57">
        <f>(1000*CHOOSE(CONTROL!$C$42, 0.1146, 0.1146)*CHOOSE(CONTROL!$C$42, 121.5, 121.5)*CHOOSE(CONTROL!$C$42, 31, 31))/1000000</f>
        <v>0.43164089999999994</v>
      </c>
      <c r="X341" s="57">
        <f>(31*0.1790888*245000/1000000)+(31*0.2374*100000/1000000)</f>
        <v>2.0961194359999999</v>
      </c>
      <c r="Y341" s="57"/>
      <c r="Z341" s="14"/>
      <c r="AA341" s="56"/>
      <c r="AB341" s="50">
        <f>(B341*194.205+C341*267.466+D341*133.845+E341*53.484+F341*40+G341*185+H341*0+I341*100+J341*300)/(194.205+267.466+133.845+53.484+0+40+185+100+300)</f>
        <v>15.991086412166407</v>
      </c>
      <c r="AC341" s="45">
        <f>(M341*'RAP TEMPLATE-GAS AVAILABILITY'!O340+N341*'RAP TEMPLATE-GAS AVAILABILITY'!P340+O341*'RAP TEMPLATE-GAS AVAILABILITY'!Q340+P341*'RAP TEMPLATE-GAS AVAILABILITY'!R340)/('RAP TEMPLATE-GAS AVAILABILITY'!O340+'RAP TEMPLATE-GAS AVAILABILITY'!P340+'RAP TEMPLATE-GAS AVAILABILITY'!Q340+'RAP TEMPLATE-GAS AVAILABILITY'!R340)</f>
        <v>15.700740287769783</v>
      </c>
    </row>
    <row r="342" spans="1:29" ht="15.75" x14ac:dyDescent="0.25">
      <c r="A342" s="33">
        <v>51317</v>
      </c>
      <c r="B342" s="14">
        <f>CHOOSE(CONTROL!$C$42, 16.4122, 16.4122) * CHOOSE(CONTROL!$C$21, $C$9, 100%, $E$9)</f>
        <v>16.412199999999999</v>
      </c>
      <c r="C342" s="14">
        <f>CHOOSE(CONTROL!$C$42, 16.4203, 16.4203) * CHOOSE(CONTROL!$C$21, $C$9, 100%, $E$9)</f>
        <v>16.420300000000001</v>
      </c>
      <c r="D342" s="14">
        <f>CHOOSE(CONTROL!$C$42, 16.6242, 16.6242) * CHOOSE(CONTROL!$C$21, $C$9, 100%, $E$9)</f>
        <v>16.624199999999998</v>
      </c>
      <c r="E342" s="14">
        <f>CHOOSE(CONTROL!$C$42, 16.6557, 16.6557) * CHOOSE(CONTROL!$C$21, $C$9, 100%, $E$9)</f>
        <v>16.6557</v>
      </c>
      <c r="F342" s="14">
        <f>CHOOSE(CONTROL!$C$42, 16.3934, 16.3934)*CHOOSE(CONTROL!$C$21, $C$9, 100%, $E$9)</f>
        <v>16.3934</v>
      </c>
      <c r="G342" s="14">
        <f>CHOOSE(CONTROL!$C$42, 16.4092, 16.4092)*CHOOSE(CONTROL!$C$21, $C$9, 100%, $E$9)</f>
        <v>16.409199999999998</v>
      </c>
      <c r="H342" s="14">
        <f>CHOOSE(CONTROL!$C$42, 16.6443, 16.6443) * CHOOSE(CONTROL!$C$21, $C$9, 100%, $E$9)</f>
        <v>16.644300000000001</v>
      </c>
      <c r="I342" s="14">
        <f>CHOOSE(CONTROL!$C$42, 16.4691, 16.4691)* CHOOSE(CONTROL!$C$21, $C$9, 100%, $E$9)</f>
        <v>16.469100000000001</v>
      </c>
      <c r="J342" s="14">
        <f>CHOOSE(CONTROL!$C$42, 16.3864, 16.3864)* CHOOSE(CONTROL!$C$21, $C$9, 100%, $E$9)</f>
        <v>16.386399999999998</v>
      </c>
      <c r="K342" s="53">
        <f>CHOOSE(CONTROL!$C$42, 16.4652, 16.4652) * CHOOSE(CONTROL!$C$21, $C$9, 100%, $E$9)</f>
        <v>16.465199999999999</v>
      </c>
      <c r="L342" s="14">
        <f>CHOOSE(CONTROL!$C$42, 17.2313, 17.2313) * CHOOSE(CONTROL!$C$21, $C$9, 100%, $E$9)</f>
        <v>17.231300000000001</v>
      </c>
      <c r="M342" s="14">
        <f>CHOOSE(CONTROL!$C$42, 16.0584, 16.0584) * CHOOSE(CONTROL!$C$21, $C$9, 100%, $E$9)</f>
        <v>16.058399999999999</v>
      </c>
      <c r="N342" s="14">
        <f>CHOOSE(CONTROL!$C$42, 16.0738, 16.0738) * CHOOSE(CONTROL!$C$21, $C$9, 100%, $E$9)</f>
        <v>16.073799999999999</v>
      </c>
      <c r="O342" s="14">
        <f>CHOOSE(CONTROL!$C$42, 16.311, 16.311) * CHOOSE(CONTROL!$C$21, $C$9, 100%, $E$9)</f>
        <v>16.311</v>
      </c>
      <c r="P342" s="14">
        <f>CHOOSE(CONTROL!$C$42, 16.1384, 16.1384) * CHOOSE(CONTROL!$C$21, $C$9, 100%, $E$9)</f>
        <v>16.138400000000001</v>
      </c>
      <c r="Q342" s="14">
        <f>CHOOSE(CONTROL!$C$42, 16.9057, 16.9057) * CHOOSE(CONTROL!$C$21, $C$9, 100%, $E$9)</f>
        <v>16.9057</v>
      </c>
      <c r="R342" s="14">
        <f>CHOOSE(CONTROL!$C$42, 17.5349, 17.5349) * CHOOSE(CONTROL!$C$21, $C$9, 100%, $E$9)</f>
        <v>17.5349</v>
      </c>
      <c r="S342" s="14">
        <f>CHOOSE(CONTROL!$C$42, 15.7599, 15.7599) * CHOOSE(CONTROL!$C$21, $C$9, 100%, $E$9)</f>
        <v>15.7599</v>
      </c>
      <c r="T34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42" s="57">
        <f>(1000*CHOOSE(CONTROL!$C$42, 695, 695)*CHOOSE(CONTROL!$C$42, 0.5599, 0.5599)*CHOOSE(CONTROL!$C$42, 30, 30))/1000000</f>
        <v>11.673914999999997</v>
      </c>
      <c r="V342" s="57">
        <f>(1000*CHOOSE(CONTROL!$C$42, 500, 500)*CHOOSE(CONTROL!$C$42, 0.275, 0.275)*CHOOSE(CONTROL!$C$42, 30, 30))/1000000</f>
        <v>4.125</v>
      </c>
      <c r="W342" s="57">
        <f>(1000*CHOOSE(CONTROL!$C$42, 0.1146, 0.1146)*CHOOSE(CONTROL!$C$42, 121.5, 121.5)*CHOOSE(CONTROL!$C$42, 30, 30))/1000000</f>
        <v>0.417717</v>
      </c>
      <c r="X342" s="57">
        <f>(30*0.1790888*245000/1000000)+(30*0.2374*100000/1000000)</f>
        <v>2.0285026799999999</v>
      </c>
      <c r="Y342" s="57"/>
      <c r="Z342" s="14"/>
      <c r="AA342" s="56"/>
      <c r="AB342" s="50">
        <f>(B342*194.205+C342*267.466+D342*133.845+E342*53.484+F342*40+G342*185+H342*0+I342*100+J342*300)/(194.205+267.466+133.845+53.484+0+40+185+100+300)</f>
        <v>16.443760414913655</v>
      </c>
      <c r="AC342" s="45">
        <f>(M342*'RAP TEMPLATE-GAS AVAILABILITY'!O341+N342*'RAP TEMPLATE-GAS AVAILABILITY'!P341+O342*'RAP TEMPLATE-GAS AVAILABILITY'!Q341+P342*'RAP TEMPLATE-GAS AVAILABILITY'!R341)/('RAP TEMPLATE-GAS AVAILABILITY'!O341+'RAP TEMPLATE-GAS AVAILABILITY'!P341+'RAP TEMPLATE-GAS AVAILABILITY'!Q341+'RAP TEMPLATE-GAS AVAILABILITY'!R341)</f>
        <v>16.144329496402875</v>
      </c>
    </row>
    <row r="343" spans="1:29" ht="15.75" x14ac:dyDescent="0.25">
      <c r="A343" s="33">
        <v>51348</v>
      </c>
      <c r="B343" s="14">
        <f>CHOOSE(CONTROL!$C$42, 16.0976, 16.0976) * CHOOSE(CONTROL!$C$21, $C$9, 100%, $E$9)</f>
        <v>16.0976</v>
      </c>
      <c r="C343" s="14">
        <f>CHOOSE(CONTROL!$C$42, 16.1056, 16.1056) * CHOOSE(CONTROL!$C$21, $C$9, 100%, $E$9)</f>
        <v>16.105599999999999</v>
      </c>
      <c r="D343" s="14">
        <f>CHOOSE(CONTROL!$C$42, 16.3096, 16.3096) * CHOOSE(CONTROL!$C$21, $C$9, 100%, $E$9)</f>
        <v>16.3096</v>
      </c>
      <c r="E343" s="14">
        <f>CHOOSE(CONTROL!$C$42, 16.341, 16.341) * CHOOSE(CONTROL!$C$21, $C$9, 100%, $E$9)</f>
        <v>16.341000000000001</v>
      </c>
      <c r="F343" s="14">
        <f>CHOOSE(CONTROL!$C$42, 16.0792, 16.0792)*CHOOSE(CONTROL!$C$21, $C$9, 100%, $E$9)</f>
        <v>16.0792</v>
      </c>
      <c r="G343" s="14">
        <f>CHOOSE(CONTROL!$C$42, 16.0951, 16.0951)*CHOOSE(CONTROL!$C$21, $C$9, 100%, $E$9)</f>
        <v>16.095099999999999</v>
      </c>
      <c r="H343" s="14">
        <f>CHOOSE(CONTROL!$C$42, 16.3297, 16.3297) * CHOOSE(CONTROL!$C$21, $C$9, 100%, $E$9)</f>
        <v>16.329699999999999</v>
      </c>
      <c r="I343" s="14">
        <f>CHOOSE(CONTROL!$C$42, 16.1535, 16.1535)* CHOOSE(CONTROL!$C$21, $C$9, 100%, $E$9)</f>
        <v>16.153500000000001</v>
      </c>
      <c r="J343" s="14">
        <f>CHOOSE(CONTROL!$C$42, 16.0722, 16.0722)* CHOOSE(CONTROL!$C$21, $C$9, 100%, $E$9)</f>
        <v>16.072199999999999</v>
      </c>
      <c r="K343" s="53">
        <f>CHOOSE(CONTROL!$C$42, 16.1496, 16.1496) * CHOOSE(CONTROL!$C$21, $C$9, 100%, $E$9)</f>
        <v>16.1496</v>
      </c>
      <c r="L343" s="14">
        <f>CHOOSE(CONTROL!$C$42, 16.9167, 16.9167) * CHOOSE(CONTROL!$C$21, $C$9, 100%, $E$9)</f>
        <v>16.916699999999999</v>
      </c>
      <c r="M343" s="14">
        <f>CHOOSE(CONTROL!$C$42, 15.7506, 15.7506) * CHOOSE(CONTROL!$C$21, $C$9, 100%, $E$9)</f>
        <v>15.7506</v>
      </c>
      <c r="N343" s="14">
        <f>CHOOSE(CONTROL!$C$42, 15.7662, 15.7662) * CHOOSE(CONTROL!$C$21, $C$9, 100%, $E$9)</f>
        <v>15.7662</v>
      </c>
      <c r="O343" s="14">
        <f>CHOOSE(CONTROL!$C$42, 16.0028, 16.0028) * CHOOSE(CONTROL!$C$21, $C$9, 100%, $E$9)</f>
        <v>16.002800000000001</v>
      </c>
      <c r="P343" s="14">
        <f>CHOOSE(CONTROL!$C$42, 15.8292, 15.8292) * CHOOSE(CONTROL!$C$21, $C$9, 100%, $E$9)</f>
        <v>15.8292</v>
      </c>
      <c r="Q343" s="14">
        <f>CHOOSE(CONTROL!$C$42, 16.5975, 16.5975) * CHOOSE(CONTROL!$C$21, $C$9, 100%, $E$9)</f>
        <v>16.5975</v>
      </c>
      <c r="R343" s="14">
        <f>CHOOSE(CONTROL!$C$42, 17.226, 17.226) * CHOOSE(CONTROL!$C$21, $C$9, 100%, $E$9)</f>
        <v>17.225999999999999</v>
      </c>
      <c r="S343" s="14">
        <f>CHOOSE(CONTROL!$C$42, 15.4576, 15.4576) * CHOOSE(CONTROL!$C$21, $C$9, 100%, $E$9)</f>
        <v>15.457599999999999</v>
      </c>
      <c r="T34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43" s="57">
        <f>(1000*CHOOSE(CONTROL!$C$42, 695, 695)*CHOOSE(CONTROL!$C$42, 0.5599, 0.5599)*CHOOSE(CONTROL!$C$42, 31, 31))/1000000</f>
        <v>12.063045499999998</v>
      </c>
      <c r="V343" s="57">
        <f>(1000*CHOOSE(CONTROL!$C$42, 500, 500)*CHOOSE(CONTROL!$C$42, 0.275, 0.275)*CHOOSE(CONTROL!$C$42, 31, 31))/1000000</f>
        <v>4.2625000000000002</v>
      </c>
      <c r="W343" s="57">
        <f>(1000*CHOOSE(CONTROL!$C$42, 0.1146, 0.1146)*CHOOSE(CONTROL!$C$42, 121.5, 121.5)*CHOOSE(CONTROL!$C$42, 31, 31))/1000000</f>
        <v>0.43164089999999994</v>
      </c>
      <c r="X343" s="57">
        <f>(31*0.1790888*245000/1000000)+(31*0.2374*100000/1000000)</f>
        <v>2.0961194359999999</v>
      </c>
      <c r="Y343" s="57"/>
      <c r="Z343" s="14"/>
      <c r="AA343" s="56"/>
      <c r="AB343" s="50">
        <f>(B343*194.205+C343*267.466+D343*133.845+E343*53.484+F343*40+G343*185+H343*0+I343*100+J343*300)/(194.205+267.466+133.845+53.484+0+40+185+100+300)</f>
        <v>16.129236086028257</v>
      </c>
      <c r="AC343" s="45">
        <f>(M343*'RAP TEMPLATE-GAS AVAILABILITY'!O342+N343*'RAP TEMPLATE-GAS AVAILABILITY'!P342+O343*'RAP TEMPLATE-GAS AVAILABILITY'!Q342+P343*'RAP TEMPLATE-GAS AVAILABILITY'!R342)/('RAP TEMPLATE-GAS AVAILABILITY'!O342+'RAP TEMPLATE-GAS AVAILABILITY'!P342+'RAP TEMPLATE-GAS AVAILABILITY'!Q342+'RAP TEMPLATE-GAS AVAILABILITY'!R342)</f>
        <v>15.836261870503598</v>
      </c>
    </row>
    <row r="344" spans="1:29" ht="15.75" x14ac:dyDescent="0.25">
      <c r="A344" s="33">
        <v>51379</v>
      </c>
      <c r="B344" s="14">
        <f>CHOOSE(CONTROL!$C$42, 15.3031, 15.3031) * CHOOSE(CONTROL!$C$21, $C$9, 100%, $E$9)</f>
        <v>15.303100000000001</v>
      </c>
      <c r="C344" s="14">
        <f>CHOOSE(CONTROL!$C$42, 15.3111, 15.3111) * CHOOSE(CONTROL!$C$21, $C$9, 100%, $E$9)</f>
        <v>15.3111</v>
      </c>
      <c r="D344" s="14">
        <f>CHOOSE(CONTROL!$C$42, 15.515, 15.515) * CHOOSE(CONTROL!$C$21, $C$9, 100%, $E$9)</f>
        <v>15.515000000000001</v>
      </c>
      <c r="E344" s="14">
        <f>CHOOSE(CONTROL!$C$42, 15.5465, 15.5465) * CHOOSE(CONTROL!$C$21, $C$9, 100%, $E$9)</f>
        <v>15.5465</v>
      </c>
      <c r="F344" s="14">
        <f>CHOOSE(CONTROL!$C$42, 15.2849, 15.2849)*CHOOSE(CONTROL!$C$21, $C$9, 100%, $E$9)</f>
        <v>15.2849</v>
      </c>
      <c r="G344" s="14">
        <f>CHOOSE(CONTROL!$C$42, 15.3009, 15.3009)*CHOOSE(CONTROL!$C$21, $C$9, 100%, $E$9)</f>
        <v>15.3009</v>
      </c>
      <c r="H344" s="14">
        <f>CHOOSE(CONTROL!$C$42, 15.5351, 15.5351) * CHOOSE(CONTROL!$C$21, $C$9, 100%, $E$9)</f>
        <v>15.5351</v>
      </c>
      <c r="I344" s="14">
        <f>CHOOSE(CONTROL!$C$42, 15.3564, 15.3564)* CHOOSE(CONTROL!$C$21, $C$9, 100%, $E$9)</f>
        <v>15.356400000000001</v>
      </c>
      <c r="J344" s="14">
        <f>CHOOSE(CONTROL!$C$42, 15.2779, 15.2779)* CHOOSE(CONTROL!$C$21, $C$9, 100%, $E$9)</f>
        <v>15.277900000000001</v>
      </c>
      <c r="K344" s="53">
        <f>CHOOSE(CONTROL!$C$42, 15.3525, 15.3525) * CHOOSE(CONTROL!$C$21, $C$9, 100%, $E$9)</f>
        <v>15.352499999999999</v>
      </c>
      <c r="L344" s="14">
        <f>CHOOSE(CONTROL!$C$42, 16.1221, 16.1221) * CHOOSE(CONTROL!$C$21, $C$9, 100%, $E$9)</f>
        <v>16.1221</v>
      </c>
      <c r="M344" s="14">
        <f>CHOOSE(CONTROL!$C$42, 14.9726, 14.9726) * CHOOSE(CONTROL!$C$21, $C$9, 100%, $E$9)</f>
        <v>14.9726</v>
      </c>
      <c r="N344" s="14">
        <f>CHOOSE(CONTROL!$C$42, 14.9882, 14.9882) * CHOOSE(CONTROL!$C$21, $C$9, 100%, $E$9)</f>
        <v>14.988200000000001</v>
      </c>
      <c r="O344" s="14">
        <f>CHOOSE(CONTROL!$C$42, 15.2245, 15.2245) * CHOOSE(CONTROL!$C$21, $C$9, 100%, $E$9)</f>
        <v>15.224500000000001</v>
      </c>
      <c r="P344" s="14">
        <f>CHOOSE(CONTROL!$C$42, 15.0486, 15.0486) * CHOOSE(CONTROL!$C$21, $C$9, 100%, $E$9)</f>
        <v>15.0486</v>
      </c>
      <c r="Q344" s="14">
        <f>CHOOSE(CONTROL!$C$42, 15.8192, 15.8192) * CHOOSE(CONTROL!$C$21, $C$9, 100%, $E$9)</f>
        <v>15.8192</v>
      </c>
      <c r="R344" s="14">
        <f>CHOOSE(CONTROL!$C$42, 16.4458, 16.4458) * CHOOSE(CONTROL!$C$21, $C$9, 100%, $E$9)</f>
        <v>16.445799999999998</v>
      </c>
      <c r="S344" s="14">
        <f>CHOOSE(CONTROL!$C$42, 14.6941, 14.6941) * CHOOSE(CONTROL!$C$21, $C$9, 100%, $E$9)</f>
        <v>14.694100000000001</v>
      </c>
      <c r="T34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44" s="57">
        <f>(1000*CHOOSE(CONTROL!$C$42, 695, 695)*CHOOSE(CONTROL!$C$42, 0.5599, 0.5599)*CHOOSE(CONTROL!$C$42, 31, 31))/1000000</f>
        <v>12.063045499999998</v>
      </c>
      <c r="V344" s="57">
        <f>(1000*CHOOSE(CONTROL!$C$42, 500, 500)*CHOOSE(CONTROL!$C$42, 0.275, 0.275)*CHOOSE(CONTROL!$C$42, 31, 31))/1000000</f>
        <v>4.2625000000000002</v>
      </c>
      <c r="W344" s="57">
        <f>(1000*CHOOSE(CONTROL!$C$42, 0.1146, 0.1146)*CHOOSE(CONTROL!$C$42, 121.5, 121.5)*CHOOSE(CONTROL!$C$42, 31, 31))/1000000</f>
        <v>0.43164089999999994</v>
      </c>
      <c r="X344" s="57">
        <f>(31*0.1790888*245000/1000000)+(31*0.2374*100000/1000000)</f>
        <v>2.0961194359999999</v>
      </c>
      <c r="Y344" s="57"/>
      <c r="Z344" s="14"/>
      <c r="AA344" s="56"/>
      <c r="AB344" s="50">
        <f>(B344*194.205+C344*267.466+D344*133.845+E344*53.484+F344*40+G344*185+H344*0+I344*100+J344*300)/(194.205+267.466+133.845+53.484+0+40+185+100+300)</f>
        <v>15.334618437284144</v>
      </c>
      <c r="AC344" s="45">
        <f>(M344*'RAP TEMPLATE-GAS AVAILABILITY'!O343+N344*'RAP TEMPLATE-GAS AVAILABILITY'!P343+O344*'RAP TEMPLATE-GAS AVAILABILITY'!Q343+P344*'RAP TEMPLATE-GAS AVAILABILITY'!R343)/('RAP TEMPLATE-GAS AVAILABILITY'!O343+'RAP TEMPLATE-GAS AVAILABILITY'!P343+'RAP TEMPLATE-GAS AVAILABILITY'!Q343+'RAP TEMPLATE-GAS AVAILABILITY'!R343)</f>
        <v>15.057803597122303</v>
      </c>
    </row>
    <row r="345" spans="1:29" ht="15.75" x14ac:dyDescent="0.25">
      <c r="A345" s="33">
        <v>51409</v>
      </c>
      <c r="B345" s="14">
        <f>CHOOSE(CONTROL!$C$42, 14.3319, 14.3319) * CHOOSE(CONTROL!$C$21, $C$9, 100%, $E$9)</f>
        <v>14.331899999999999</v>
      </c>
      <c r="C345" s="14">
        <f>CHOOSE(CONTROL!$C$42, 14.3399, 14.3399) * CHOOSE(CONTROL!$C$21, $C$9, 100%, $E$9)</f>
        <v>14.3399</v>
      </c>
      <c r="D345" s="14">
        <f>CHOOSE(CONTROL!$C$42, 14.5439, 14.5439) * CHOOSE(CONTROL!$C$21, $C$9, 100%, $E$9)</f>
        <v>14.543900000000001</v>
      </c>
      <c r="E345" s="14">
        <f>CHOOSE(CONTROL!$C$42, 14.5753, 14.5753) * CHOOSE(CONTROL!$C$21, $C$9, 100%, $E$9)</f>
        <v>14.5753</v>
      </c>
      <c r="F345" s="14">
        <f>CHOOSE(CONTROL!$C$42, 14.3138, 14.3138)*CHOOSE(CONTROL!$C$21, $C$9, 100%, $E$9)</f>
        <v>14.313800000000001</v>
      </c>
      <c r="G345" s="14">
        <f>CHOOSE(CONTROL!$C$42, 14.3298, 14.3298)*CHOOSE(CONTROL!$C$21, $C$9, 100%, $E$9)</f>
        <v>14.329800000000001</v>
      </c>
      <c r="H345" s="14">
        <f>CHOOSE(CONTROL!$C$42, 14.564, 14.564) * CHOOSE(CONTROL!$C$21, $C$9, 100%, $E$9)</f>
        <v>14.564</v>
      </c>
      <c r="I345" s="14">
        <f>CHOOSE(CONTROL!$C$42, 14.3822, 14.3822)* CHOOSE(CONTROL!$C$21, $C$9, 100%, $E$9)</f>
        <v>14.382199999999999</v>
      </c>
      <c r="J345" s="14">
        <f>CHOOSE(CONTROL!$C$42, 14.3068, 14.3068)* CHOOSE(CONTROL!$C$21, $C$9, 100%, $E$9)</f>
        <v>14.306800000000001</v>
      </c>
      <c r="K345" s="53">
        <f>CHOOSE(CONTROL!$C$42, 14.3783, 14.3783) * CHOOSE(CONTROL!$C$21, $C$9, 100%, $E$9)</f>
        <v>14.378299999999999</v>
      </c>
      <c r="L345" s="14">
        <f>CHOOSE(CONTROL!$C$42, 15.151, 15.151) * CHOOSE(CONTROL!$C$21, $C$9, 100%, $E$9)</f>
        <v>15.151</v>
      </c>
      <c r="M345" s="14">
        <f>CHOOSE(CONTROL!$C$42, 14.0214, 14.0214) * CHOOSE(CONTROL!$C$21, $C$9, 100%, $E$9)</f>
        <v>14.0214</v>
      </c>
      <c r="N345" s="14">
        <f>CHOOSE(CONTROL!$C$42, 14.037, 14.037) * CHOOSE(CONTROL!$C$21, $C$9, 100%, $E$9)</f>
        <v>14.037000000000001</v>
      </c>
      <c r="O345" s="14">
        <f>CHOOSE(CONTROL!$C$42, 14.2732, 14.2732) * CHOOSE(CONTROL!$C$21, $C$9, 100%, $E$9)</f>
        <v>14.273199999999999</v>
      </c>
      <c r="P345" s="14">
        <f>CHOOSE(CONTROL!$C$42, 14.0944, 14.0944) * CHOOSE(CONTROL!$C$21, $C$9, 100%, $E$9)</f>
        <v>14.0944</v>
      </c>
      <c r="Q345" s="14">
        <f>CHOOSE(CONTROL!$C$42, 14.8679, 14.8679) * CHOOSE(CONTROL!$C$21, $C$9, 100%, $E$9)</f>
        <v>14.867900000000001</v>
      </c>
      <c r="R345" s="14">
        <f>CHOOSE(CONTROL!$C$42, 15.4921, 15.4921) * CHOOSE(CONTROL!$C$21, $C$9, 100%, $E$9)</f>
        <v>15.492100000000001</v>
      </c>
      <c r="S345" s="14">
        <f>CHOOSE(CONTROL!$C$42, 13.7609, 13.7609) * CHOOSE(CONTROL!$C$21, $C$9, 100%, $E$9)</f>
        <v>13.760899999999999</v>
      </c>
      <c r="T34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45" s="57">
        <f>(1000*CHOOSE(CONTROL!$C$42, 695, 695)*CHOOSE(CONTROL!$C$42, 0.5599, 0.5599)*CHOOSE(CONTROL!$C$42, 30, 30))/1000000</f>
        <v>11.673914999999997</v>
      </c>
      <c r="V345" s="57">
        <f>(1000*CHOOSE(CONTROL!$C$42, 500, 500)*CHOOSE(CONTROL!$C$42, 0.275, 0.275)*CHOOSE(CONTROL!$C$42, 30, 30))/1000000</f>
        <v>4.125</v>
      </c>
      <c r="W345" s="57">
        <f>(1000*CHOOSE(CONTROL!$C$42, 0.1146, 0.1146)*CHOOSE(CONTROL!$C$42, 121.5, 121.5)*CHOOSE(CONTROL!$C$42, 30, 30))/1000000</f>
        <v>0.417717</v>
      </c>
      <c r="X345" s="57">
        <f>(30*0.1790888*245000/1000000)+(30*0.2374*100000/1000000)</f>
        <v>2.0285026799999999</v>
      </c>
      <c r="Y345" s="57"/>
      <c r="Z345" s="14"/>
      <c r="AA345" s="56"/>
      <c r="AB345" s="50">
        <f>(B345*194.205+C345*267.466+D345*133.845+E345*53.484+F345*40+G345*185+H345*0+I345*100+J345*300)/(194.205+267.466+133.845+53.484+0+40+185+100+300)</f>
        <v>14.363234673155414</v>
      </c>
      <c r="AC345" s="45">
        <f>(M345*'RAP TEMPLATE-GAS AVAILABILITY'!O344+N345*'RAP TEMPLATE-GAS AVAILABILITY'!P344+O345*'RAP TEMPLATE-GAS AVAILABILITY'!Q344+P345*'RAP TEMPLATE-GAS AVAILABILITY'!R344)/('RAP TEMPLATE-GAS AVAILABILITY'!O344+'RAP TEMPLATE-GAS AVAILABILITY'!P344+'RAP TEMPLATE-GAS AVAILABILITY'!Q344+'RAP TEMPLATE-GAS AVAILABILITY'!R344)</f>
        <v>14.106143884892086</v>
      </c>
    </row>
    <row r="346" spans="1:29" ht="15.75" x14ac:dyDescent="0.25">
      <c r="A346" s="33">
        <v>51440</v>
      </c>
      <c r="B346" s="14">
        <f>CHOOSE(CONTROL!$C$42, 14.0394, 14.0394) * CHOOSE(CONTROL!$C$21, $C$9, 100%, $E$9)</f>
        <v>14.039400000000001</v>
      </c>
      <c r="C346" s="14">
        <f>CHOOSE(CONTROL!$C$42, 14.0447, 14.0447) * CHOOSE(CONTROL!$C$21, $C$9, 100%, $E$9)</f>
        <v>14.044700000000001</v>
      </c>
      <c r="D346" s="14">
        <f>CHOOSE(CONTROL!$C$42, 14.2536, 14.2536) * CHOOSE(CONTROL!$C$21, $C$9, 100%, $E$9)</f>
        <v>14.2536</v>
      </c>
      <c r="E346" s="14">
        <f>CHOOSE(CONTROL!$C$42, 14.2827, 14.2827) * CHOOSE(CONTROL!$C$21, $C$9, 100%, $E$9)</f>
        <v>14.2827</v>
      </c>
      <c r="F346" s="14">
        <f>CHOOSE(CONTROL!$C$42, 14.0234, 14.0234)*CHOOSE(CONTROL!$C$21, $C$9, 100%, $E$9)</f>
        <v>14.023400000000001</v>
      </c>
      <c r="G346" s="14">
        <f>CHOOSE(CONTROL!$C$42, 14.039, 14.039)*CHOOSE(CONTROL!$C$21, $C$9, 100%, $E$9)</f>
        <v>14.039</v>
      </c>
      <c r="H346" s="14">
        <f>CHOOSE(CONTROL!$C$42, 14.2732, 14.2732) * CHOOSE(CONTROL!$C$21, $C$9, 100%, $E$9)</f>
        <v>14.273199999999999</v>
      </c>
      <c r="I346" s="14">
        <f>CHOOSE(CONTROL!$C$42, 14.0906, 14.0906)* CHOOSE(CONTROL!$C$21, $C$9, 100%, $E$9)</f>
        <v>14.0906</v>
      </c>
      <c r="J346" s="14">
        <f>CHOOSE(CONTROL!$C$42, 14.0164, 14.0164)* CHOOSE(CONTROL!$C$21, $C$9, 100%, $E$9)</f>
        <v>14.016400000000001</v>
      </c>
      <c r="K346" s="53">
        <f>CHOOSE(CONTROL!$C$42, 14.0867, 14.0867) * CHOOSE(CONTROL!$C$21, $C$9, 100%, $E$9)</f>
        <v>14.0867</v>
      </c>
      <c r="L346" s="14">
        <f>CHOOSE(CONTROL!$C$42, 14.8602, 14.8602) * CHOOSE(CONTROL!$C$21, $C$9, 100%, $E$9)</f>
        <v>14.860200000000001</v>
      </c>
      <c r="M346" s="14">
        <f>CHOOSE(CONTROL!$C$42, 13.7369, 13.7369) * CHOOSE(CONTROL!$C$21, $C$9, 100%, $E$9)</f>
        <v>13.7369</v>
      </c>
      <c r="N346" s="14">
        <f>CHOOSE(CONTROL!$C$42, 13.7522, 13.7522) * CHOOSE(CONTROL!$C$21, $C$9, 100%, $E$9)</f>
        <v>13.7522</v>
      </c>
      <c r="O346" s="14">
        <f>CHOOSE(CONTROL!$C$42, 13.9884, 13.9884) * CHOOSE(CONTROL!$C$21, $C$9, 100%, $E$9)</f>
        <v>13.9884</v>
      </c>
      <c r="P346" s="14">
        <f>CHOOSE(CONTROL!$C$42, 13.8087, 13.8087) * CHOOSE(CONTROL!$C$21, $C$9, 100%, $E$9)</f>
        <v>13.8087</v>
      </c>
      <c r="Q346" s="14">
        <f>CHOOSE(CONTROL!$C$42, 14.5831, 14.5831) * CHOOSE(CONTROL!$C$21, $C$9, 100%, $E$9)</f>
        <v>14.5831</v>
      </c>
      <c r="R346" s="14">
        <f>CHOOSE(CONTROL!$C$42, 15.2066, 15.2066) * CHOOSE(CONTROL!$C$21, $C$9, 100%, $E$9)</f>
        <v>15.2066</v>
      </c>
      <c r="S346" s="14">
        <f>CHOOSE(CONTROL!$C$42, 13.4815, 13.4815) * CHOOSE(CONTROL!$C$21, $C$9, 100%, $E$9)</f>
        <v>13.4815</v>
      </c>
      <c r="T34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46" s="57">
        <f>(1000*CHOOSE(CONTROL!$C$42, 695, 695)*CHOOSE(CONTROL!$C$42, 0.5599, 0.5599)*CHOOSE(CONTROL!$C$42, 31, 31))/1000000</f>
        <v>12.063045499999998</v>
      </c>
      <c r="V346" s="57">
        <f>(1000*CHOOSE(CONTROL!$C$42, 500, 500)*CHOOSE(CONTROL!$C$42, 0.275, 0.275)*CHOOSE(CONTROL!$C$42, 31, 31))/1000000</f>
        <v>4.2625000000000002</v>
      </c>
      <c r="W346" s="57">
        <f>(1000*CHOOSE(CONTROL!$C$42, 0.1146, 0.1146)*CHOOSE(CONTROL!$C$42, 121.5, 121.5)*CHOOSE(CONTROL!$C$42, 31, 31))/1000000</f>
        <v>0.43164089999999994</v>
      </c>
      <c r="X346" s="57">
        <f>(31*0.1790888*245000/1000000)+(31*0.2374*100000/1000000)</f>
        <v>2.0961194359999999</v>
      </c>
      <c r="Y346" s="57"/>
      <c r="Z346" s="14"/>
      <c r="AA346" s="56"/>
      <c r="AB346" s="50">
        <f>(B346*131.881+C346*277.167+D346*79.08+E346*125.872+F346*40+G346*185+H346*0+I346*100+J346*300)/(131.881+277.167+79.08+125.872+0+40+185+100+300)</f>
        <v>14.07696140330912</v>
      </c>
      <c r="AC346" s="45">
        <f>(M346*'RAP TEMPLATE-GAS AVAILABILITY'!O345+N346*'RAP TEMPLATE-GAS AVAILABILITY'!P345+O346*'RAP TEMPLATE-GAS AVAILABILITY'!Q345+P346*'RAP TEMPLATE-GAS AVAILABILITY'!R345)/('RAP TEMPLATE-GAS AVAILABILITY'!O345+'RAP TEMPLATE-GAS AVAILABILITY'!P345+'RAP TEMPLATE-GAS AVAILABILITY'!Q345+'RAP TEMPLATE-GAS AVAILABILITY'!R345)</f>
        <v>13.821317985611509</v>
      </c>
    </row>
    <row r="347" spans="1:29" ht="15.75" x14ac:dyDescent="0.25">
      <c r="A347" s="33">
        <v>51470</v>
      </c>
      <c r="B347" s="14">
        <f>CHOOSE(CONTROL!$C$42, 14.4086, 14.4086) * CHOOSE(CONTROL!$C$21, $C$9, 100%, $E$9)</f>
        <v>14.4086</v>
      </c>
      <c r="C347" s="14">
        <f>CHOOSE(CONTROL!$C$42, 14.4136, 14.4136) * CHOOSE(CONTROL!$C$21, $C$9, 100%, $E$9)</f>
        <v>14.413600000000001</v>
      </c>
      <c r="D347" s="14">
        <f>CHOOSE(CONTROL!$C$42, 14.4774, 14.4774) * CHOOSE(CONTROL!$C$21, $C$9, 100%, $E$9)</f>
        <v>14.477399999999999</v>
      </c>
      <c r="E347" s="14">
        <f>CHOOSE(CONTROL!$C$42, 14.5115, 14.5115) * CHOOSE(CONTROL!$C$21, $C$9, 100%, $E$9)</f>
        <v>14.5115</v>
      </c>
      <c r="F347" s="14">
        <f>CHOOSE(CONTROL!$C$42, 14.411, 14.411)*CHOOSE(CONTROL!$C$21, $C$9, 100%, $E$9)</f>
        <v>14.411</v>
      </c>
      <c r="G347" s="14">
        <f>CHOOSE(CONTROL!$C$42, 14.427, 14.427)*CHOOSE(CONTROL!$C$21, $C$9, 100%, $E$9)</f>
        <v>14.427</v>
      </c>
      <c r="H347" s="14">
        <f>CHOOSE(CONTROL!$C$42, 14.5007, 14.5007) * CHOOSE(CONTROL!$C$21, $C$9, 100%, $E$9)</f>
        <v>14.5007</v>
      </c>
      <c r="I347" s="14">
        <f>CHOOSE(CONTROL!$C$42, 14.4665, 14.4665)* CHOOSE(CONTROL!$C$21, $C$9, 100%, $E$9)</f>
        <v>14.4665</v>
      </c>
      <c r="J347" s="14">
        <f>CHOOSE(CONTROL!$C$42, 14.404, 14.404)* CHOOSE(CONTROL!$C$21, $C$9, 100%, $E$9)</f>
        <v>14.404</v>
      </c>
      <c r="K347" s="53">
        <f>CHOOSE(CONTROL!$C$42, 14.4626, 14.4626) * CHOOSE(CONTROL!$C$21, $C$9, 100%, $E$9)</f>
        <v>14.4626</v>
      </c>
      <c r="L347" s="14">
        <f>CHOOSE(CONTROL!$C$42, 15.0877, 15.0877) * CHOOSE(CONTROL!$C$21, $C$9, 100%, $E$9)</f>
        <v>15.0877</v>
      </c>
      <c r="M347" s="14">
        <f>CHOOSE(CONTROL!$C$42, 14.1165, 14.1165) * CHOOSE(CONTROL!$C$21, $C$9, 100%, $E$9)</f>
        <v>14.1165</v>
      </c>
      <c r="N347" s="14">
        <f>CHOOSE(CONTROL!$C$42, 14.1322, 14.1322) * CHOOSE(CONTROL!$C$21, $C$9, 100%, $E$9)</f>
        <v>14.132199999999999</v>
      </c>
      <c r="O347" s="14">
        <f>CHOOSE(CONTROL!$C$42, 14.2113, 14.2113) * CHOOSE(CONTROL!$C$21, $C$9, 100%, $E$9)</f>
        <v>14.2113</v>
      </c>
      <c r="P347" s="14">
        <f>CHOOSE(CONTROL!$C$42, 14.177, 14.177) * CHOOSE(CONTROL!$C$21, $C$9, 100%, $E$9)</f>
        <v>14.177</v>
      </c>
      <c r="Q347" s="14">
        <f>CHOOSE(CONTROL!$C$42, 14.806, 14.806) * CHOOSE(CONTROL!$C$21, $C$9, 100%, $E$9)</f>
        <v>14.805999999999999</v>
      </c>
      <c r="R347" s="14">
        <f>CHOOSE(CONTROL!$C$42, 15.43, 15.43) * CHOOSE(CONTROL!$C$21, $C$9, 100%, $E$9)</f>
        <v>15.43</v>
      </c>
      <c r="S347" s="14">
        <f>CHOOSE(CONTROL!$C$42, 13.8366, 13.8366) * CHOOSE(CONTROL!$C$21, $C$9, 100%, $E$9)</f>
        <v>13.836600000000001</v>
      </c>
      <c r="T34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47" s="57">
        <f>(1000*CHOOSE(CONTROL!$C$42, 695, 695)*CHOOSE(CONTROL!$C$42, 0.5599, 0.5599)*CHOOSE(CONTROL!$C$42, 30, 30))/1000000</f>
        <v>11.673914999999997</v>
      </c>
      <c r="V347" s="57">
        <f>(1000*CHOOSE(CONTROL!$C$42, 500, 500)*CHOOSE(CONTROL!$C$42, 0.275, 0.275)*CHOOSE(CONTROL!$C$42, 30, 30))/1000000</f>
        <v>4.125</v>
      </c>
      <c r="W347" s="57">
        <f>(1000*CHOOSE(CONTROL!$C$42, 0.1146, 0.1146)*CHOOSE(CONTROL!$C$42, 121.5, 121.5)*CHOOSE(CONTROL!$C$42, 30, 30))/1000000</f>
        <v>0.417717</v>
      </c>
      <c r="X347" s="57">
        <f>(30*0.1790888*100000/1000000)+(30*0.2374*100000/1000000)</f>
        <v>1.2494664</v>
      </c>
      <c r="Y347" s="57"/>
      <c r="Z347" s="14"/>
      <c r="AA347" s="56"/>
      <c r="AB347" s="50">
        <f>(B347*122.58+C347*297.941+D347*89.177+E347*40.302+F347*40+G347*160+H347*0+I347*100+J347*300)/(122.58+297.941+89.177+40.302+0+40+160+100+300)</f>
        <v>14.425314920347825</v>
      </c>
      <c r="AC347" s="45">
        <f>(M347*'RAP TEMPLATE-GAS AVAILABILITY'!O346+N347*'RAP TEMPLATE-GAS AVAILABILITY'!P346+O347*'RAP TEMPLATE-GAS AVAILABILITY'!Q346+P347*'RAP TEMPLATE-GAS AVAILABILITY'!R346)/('RAP TEMPLATE-GAS AVAILABILITY'!O346+'RAP TEMPLATE-GAS AVAILABILITY'!P346+'RAP TEMPLATE-GAS AVAILABILITY'!Q346+'RAP TEMPLATE-GAS AVAILABILITY'!R346)</f>
        <v>14.169075539568347</v>
      </c>
    </row>
    <row r="348" spans="1:29" ht="15.75" x14ac:dyDescent="0.25">
      <c r="A348" s="33">
        <v>51501</v>
      </c>
      <c r="B348" s="14">
        <f>CHOOSE(CONTROL!$C$42, 15.3903, 15.3903) * CHOOSE(CONTROL!$C$21, $C$9, 100%, $E$9)</f>
        <v>15.3903</v>
      </c>
      <c r="C348" s="14">
        <f>CHOOSE(CONTROL!$C$42, 15.3953, 15.3953) * CHOOSE(CONTROL!$C$21, $C$9, 100%, $E$9)</f>
        <v>15.395300000000001</v>
      </c>
      <c r="D348" s="14">
        <f>CHOOSE(CONTROL!$C$42, 15.4591, 15.4591) * CHOOSE(CONTROL!$C$21, $C$9, 100%, $E$9)</f>
        <v>15.459099999999999</v>
      </c>
      <c r="E348" s="14">
        <f>CHOOSE(CONTROL!$C$42, 15.4933, 15.4933) * CHOOSE(CONTROL!$C$21, $C$9, 100%, $E$9)</f>
        <v>15.4933</v>
      </c>
      <c r="F348" s="14">
        <f>CHOOSE(CONTROL!$C$42, 15.3949, 15.3949)*CHOOSE(CONTROL!$C$21, $C$9, 100%, $E$9)</f>
        <v>15.3949</v>
      </c>
      <c r="G348" s="14">
        <f>CHOOSE(CONTROL!$C$42, 15.4115, 15.4115)*CHOOSE(CONTROL!$C$21, $C$9, 100%, $E$9)</f>
        <v>15.4115</v>
      </c>
      <c r="H348" s="14">
        <f>CHOOSE(CONTROL!$C$42, 15.4824, 15.4824) * CHOOSE(CONTROL!$C$21, $C$9, 100%, $E$9)</f>
        <v>15.4824</v>
      </c>
      <c r="I348" s="14">
        <f>CHOOSE(CONTROL!$C$42, 15.4513, 15.4513)* CHOOSE(CONTROL!$C$21, $C$9, 100%, $E$9)</f>
        <v>15.4513</v>
      </c>
      <c r="J348" s="14">
        <f>CHOOSE(CONTROL!$C$42, 15.3879, 15.3879)* CHOOSE(CONTROL!$C$21, $C$9, 100%, $E$9)</f>
        <v>15.3879</v>
      </c>
      <c r="K348" s="53">
        <f>CHOOSE(CONTROL!$C$42, 15.4474, 15.4474) * CHOOSE(CONTROL!$C$21, $C$9, 100%, $E$9)</f>
        <v>15.4474</v>
      </c>
      <c r="L348" s="14">
        <f>CHOOSE(CONTROL!$C$42, 16.0694, 16.0694) * CHOOSE(CONTROL!$C$21, $C$9, 100%, $E$9)</f>
        <v>16.069400000000002</v>
      </c>
      <c r="M348" s="14">
        <f>CHOOSE(CONTROL!$C$42, 15.0803, 15.0803) * CHOOSE(CONTROL!$C$21, $C$9, 100%, $E$9)</f>
        <v>15.080299999999999</v>
      </c>
      <c r="N348" s="14">
        <f>CHOOSE(CONTROL!$C$42, 15.0966, 15.0966) * CHOOSE(CONTROL!$C$21, $C$9, 100%, $E$9)</f>
        <v>15.0966</v>
      </c>
      <c r="O348" s="14">
        <f>CHOOSE(CONTROL!$C$42, 15.1729, 15.1729) * CHOOSE(CONTROL!$C$21, $C$9, 100%, $E$9)</f>
        <v>15.1729</v>
      </c>
      <c r="P348" s="14">
        <f>CHOOSE(CONTROL!$C$42, 15.1415, 15.1415) * CHOOSE(CONTROL!$C$21, $C$9, 100%, $E$9)</f>
        <v>15.141500000000001</v>
      </c>
      <c r="Q348" s="14">
        <f>CHOOSE(CONTROL!$C$42, 15.7676, 15.7676) * CHOOSE(CONTROL!$C$21, $C$9, 100%, $E$9)</f>
        <v>15.7676</v>
      </c>
      <c r="R348" s="14">
        <f>CHOOSE(CONTROL!$C$42, 16.394, 16.394) * CHOOSE(CONTROL!$C$21, $C$9, 100%, $E$9)</f>
        <v>16.393999999999998</v>
      </c>
      <c r="S348" s="14">
        <f>CHOOSE(CONTROL!$C$42, 14.78, 14.78) * CHOOSE(CONTROL!$C$21, $C$9, 100%, $E$9)</f>
        <v>14.78</v>
      </c>
      <c r="T34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48" s="57">
        <f>(1000*CHOOSE(CONTROL!$C$42, 695, 695)*CHOOSE(CONTROL!$C$42, 0.5599, 0.5599)*CHOOSE(CONTROL!$C$42, 31, 31))/1000000</f>
        <v>12.063045499999998</v>
      </c>
      <c r="V348" s="57">
        <f>(1000*CHOOSE(CONTROL!$C$42, 500, 500)*CHOOSE(CONTROL!$C$42, 0.275, 0.275)*CHOOSE(CONTROL!$C$42, 31, 31))/1000000</f>
        <v>4.2625000000000002</v>
      </c>
      <c r="W348" s="57">
        <f>(1000*CHOOSE(CONTROL!$C$42, 0.1146, 0.1146)*CHOOSE(CONTROL!$C$42, 121.5, 121.5)*CHOOSE(CONTROL!$C$42, 31, 31))/1000000</f>
        <v>0.43164089999999994</v>
      </c>
      <c r="X348" s="57">
        <f>(31*0.1790888*100000/1000000)+(31*0.2374*100000/1000000)</f>
        <v>1.2911152800000001</v>
      </c>
      <c r="Y348" s="57"/>
      <c r="Z348" s="14"/>
      <c r="AA348" s="56"/>
      <c r="AB348" s="50">
        <f>(B348*122.58+C348*297.941+D348*89.177+E348*40.302+F348*40+G348*160+H348*0+I348*100+J348*300)/(122.58+297.941+89.177+40.302+0+40+160+100+300)</f>
        <v>15.408327990086956</v>
      </c>
      <c r="AC348" s="45">
        <f>(M348*'RAP TEMPLATE-GAS AVAILABILITY'!O347+N348*'RAP TEMPLATE-GAS AVAILABILITY'!P347+O348*'RAP TEMPLATE-GAS AVAILABILITY'!Q347+P348*'RAP TEMPLATE-GAS AVAILABILITY'!R347)/('RAP TEMPLATE-GAS AVAILABILITY'!O347+'RAP TEMPLATE-GAS AVAILABILITY'!P347+'RAP TEMPLATE-GAS AVAILABILITY'!Q347+'RAP TEMPLATE-GAS AVAILABILITY'!R347)</f>
        <v>15.132013669064747</v>
      </c>
    </row>
    <row r="349" spans="1:29" ht="15.75" x14ac:dyDescent="0.25">
      <c r="A349" s="33">
        <v>51532</v>
      </c>
      <c r="B349" s="14">
        <f>CHOOSE(CONTROL!$C$42, 16.6502, 16.6502) * CHOOSE(CONTROL!$C$21, $C$9, 100%, $E$9)</f>
        <v>16.650200000000002</v>
      </c>
      <c r="C349" s="14">
        <f>CHOOSE(CONTROL!$C$42, 16.6552, 16.6552) * CHOOSE(CONTROL!$C$21, $C$9, 100%, $E$9)</f>
        <v>16.655200000000001</v>
      </c>
      <c r="D349" s="14">
        <f>CHOOSE(CONTROL!$C$42, 16.7216, 16.7216) * CHOOSE(CONTROL!$C$21, $C$9, 100%, $E$9)</f>
        <v>16.721599999999999</v>
      </c>
      <c r="E349" s="14">
        <f>CHOOSE(CONTROL!$C$42, 16.7557, 16.7557) * CHOOSE(CONTROL!$C$21, $C$9, 100%, $E$9)</f>
        <v>16.755700000000001</v>
      </c>
      <c r="F349" s="14">
        <f>CHOOSE(CONTROL!$C$42, 16.6375, 16.6375)*CHOOSE(CONTROL!$C$21, $C$9, 100%, $E$9)</f>
        <v>16.637499999999999</v>
      </c>
      <c r="G349" s="14">
        <f>CHOOSE(CONTROL!$C$42, 16.653, 16.653)*CHOOSE(CONTROL!$C$21, $C$9, 100%, $E$9)</f>
        <v>16.652999999999999</v>
      </c>
      <c r="H349" s="14">
        <f>CHOOSE(CONTROL!$C$42, 16.7449, 16.7449) * CHOOSE(CONTROL!$C$21, $C$9, 100%, $E$9)</f>
        <v>16.744900000000001</v>
      </c>
      <c r="I349" s="14">
        <f>CHOOSE(CONTROL!$C$42, 16.7099, 16.7099)* CHOOSE(CONTROL!$C$21, $C$9, 100%, $E$9)</f>
        <v>16.709900000000001</v>
      </c>
      <c r="J349" s="14">
        <f>CHOOSE(CONTROL!$C$42, 16.6305, 16.6305)* CHOOSE(CONTROL!$C$21, $C$9, 100%, $E$9)</f>
        <v>16.630500000000001</v>
      </c>
      <c r="K349" s="53">
        <f>CHOOSE(CONTROL!$C$42, 16.706, 16.706) * CHOOSE(CONTROL!$C$21, $C$9, 100%, $E$9)</f>
        <v>16.706</v>
      </c>
      <c r="L349" s="14">
        <f>CHOOSE(CONTROL!$C$42, 17.3319, 17.3319) * CHOOSE(CONTROL!$C$21, $C$9, 100%, $E$9)</f>
        <v>17.331900000000001</v>
      </c>
      <c r="M349" s="14">
        <f>CHOOSE(CONTROL!$C$42, 16.2974, 16.2974) * CHOOSE(CONTROL!$C$21, $C$9, 100%, $E$9)</f>
        <v>16.2974</v>
      </c>
      <c r="N349" s="14">
        <f>CHOOSE(CONTROL!$C$42, 16.3126, 16.3126) * CHOOSE(CONTROL!$C$21, $C$9, 100%, $E$9)</f>
        <v>16.3126</v>
      </c>
      <c r="O349" s="14">
        <f>CHOOSE(CONTROL!$C$42, 16.4095, 16.4095) * CHOOSE(CONTROL!$C$21, $C$9, 100%, $E$9)</f>
        <v>16.409500000000001</v>
      </c>
      <c r="P349" s="14">
        <f>CHOOSE(CONTROL!$C$42, 16.3743, 16.3743) * CHOOSE(CONTROL!$C$21, $C$9, 100%, $E$9)</f>
        <v>16.374300000000002</v>
      </c>
      <c r="Q349" s="14">
        <f>CHOOSE(CONTROL!$C$42, 17.0042, 17.0042) * CHOOSE(CONTROL!$C$21, $C$9, 100%, $E$9)</f>
        <v>17.004200000000001</v>
      </c>
      <c r="R349" s="14">
        <f>CHOOSE(CONTROL!$C$42, 17.6337, 17.6337) * CHOOSE(CONTROL!$C$21, $C$9, 100%, $E$9)</f>
        <v>17.633700000000001</v>
      </c>
      <c r="S349" s="14">
        <f>CHOOSE(CONTROL!$C$42, 15.9906, 15.9906) * CHOOSE(CONTROL!$C$21, $C$9, 100%, $E$9)</f>
        <v>15.990600000000001</v>
      </c>
      <c r="T34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49" s="57">
        <f>(1000*CHOOSE(CONTROL!$C$42, 695, 695)*CHOOSE(CONTROL!$C$42, 0.5599, 0.5599)*CHOOSE(CONTROL!$C$42, 31, 31))/1000000</f>
        <v>12.063045499999998</v>
      </c>
      <c r="V349" s="57">
        <f>(1000*CHOOSE(CONTROL!$C$42, 500, 500)*CHOOSE(CONTROL!$C$42, 0.275, 0.275)*CHOOSE(CONTROL!$C$42, 31, 31))/1000000</f>
        <v>4.2625000000000002</v>
      </c>
      <c r="W349" s="57">
        <f>(1000*CHOOSE(CONTROL!$C$42, 0.1146, 0.1146)*CHOOSE(CONTROL!$C$42, 121.5, 121.5)*CHOOSE(CONTROL!$C$42, 31, 31))/1000000</f>
        <v>0.43164089999999994</v>
      </c>
      <c r="X349" s="57">
        <f>(31*0.1790888*100000/1000000)+(31*0.2374*100000/1000000)</f>
        <v>1.2911152800000001</v>
      </c>
      <c r="Y349" s="57"/>
      <c r="Z349" s="14"/>
      <c r="AA349" s="56"/>
      <c r="AB349" s="50">
        <f>(B349*122.58+C349*297.941+D349*89.177+E349*40.302+F349*40+G349*160+H349*0+I349*100+J349*300)/(122.58+297.941+89.177+40.302+0+40+160+100+300)</f>
        <v>16.660729394608698</v>
      </c>
      <c r="AC349" s="45">
        <f>(M349*'RAP TEMPLATE-GAS AVAILABILITY'!O348+N349*'RAP TEMPLATE-GAS AVAILABILITY'!P348+O349*'RAP TEMPLATE-GAS AVAILABILITY'!Q348+P349*'RAP TEMPLATE-GAS AVAILABILITY'!R348)/('RAP TEMPLATE-GAS AVAILABILITY'!O348+'RAP TEMPLATE-GAS AVAILABILITY'!P348+'RAP TEMPLATE-GAS AVAILABILITY'!Q348+'RAP TEMPLATE-GAS AVAILABILITY'!R348)</f>
        <v>16.360147482014391</v>
      </c>
    </row>
    <row r="350" spans="1:29" ht="15.75" x14ac:dyDescent="0.25">
      <c r="A350" s="33">
        <v>51560</v>
      </c>
      <c r="B350" s="14">
        <f>CHOOSE(CONTROL!$C$42, 16.9464, 16.9464) * CHOOSE(CONTROL!$C$21, $C$9, 100%, $E$9)</f>
        <v>16.946400000000001</v>
      </c>
      <c r="C350" s="14">
        <f>CHOOSE(CONTROL!$C$42, 16.9514, 16.9514) * CHOOSE(CONTROL!$C$21, $C$9, 100%, $E$9)</f>
        <v>16.9514</v>
      </c>
      <c r="D350" s="14">
        <f>CHOOSE(CONTROL!$C$42, 17.0179, 17.0179) * CHOOSE(CONTROL!$C$21, $C$9, 100%, $E$9)</f>
        <v>17.017900000000001</v>
      </c>
      <c r="E350" s="14">
        <f>CHOOSE(CONTROL!$C$42, 17.052, 17.052) * CHOOSE(CONTROL!$C$21, $C$9, 100%, $E$9)</f>
        <v>17.052</v>
      </c>
      <c r="F350" s="14">
        <f>CHOOSE(CONTROL!$C$42, 16.9338, 16.9338)*CHOOSE(CONTROL!$C$21, $C$9, 100%, $E$9)</f>
        <v>16.933800000000002</v>
      </c>
      <c r="G350" s="14">
        <f>CHOOSE(CONTROL!$C$42, 16.9493, 16.9493)*CHOOSE(CONTROL!$C$21, $C$9, 100%, $E$9)</f>
        <v>16.949300000000001</v>
      </c>
      <c r="H350" s="14">
        <f>CHOOSE(CONTROL!$C$42, 17.0412, 17.0412) * CHOOSE(CONTROL!$C$21, $C$9, 100%, $E$9)</f>
        <v>17.0412</v>
      </c>
      <c r="I350" s="14">
        <f>CHOOSE(CONTROL!$C$42, 17.0071, 17.0071)* CHOOSE(CONTROL!$C$21, $C$9, 100%, $E$9)</f>
        <v>17.007100000000001</v>
      </c>
      <c r="J350" s="14">
        <f>CHOOSE(CONTROL!$C$42, 16.9268, 16.9268)* CHOOSE(CONTROL!$C$21, $C$9, 100%, $E$9)</f>
        <v>16.9268</v>
      </c>
      <c r="K350" s="53">
        <f>CHOOSE(CONTROL!$C$42, 17.0032, 17.0032) * CHOOSE(CONTROL!$C$21, $C$9, 100%, $E$9)</f>
        <v>17.0032</v>
      </c>
      <c r="L350" s="14">
        <f>CHOOSE(CONTROL!$C$42, 17.6282, 17.6282) * CHOOSE(CONTROL!$C$21, $C$9, 100%, $E$9)</f>
        <v>17.6282</v>
      </c>
      <c r="M350" s="14">
        <f>CHOOSE(CONTROL!$C$42, 16.5877, 16.5877) * CHOOSE(CONTROL!$C$21, $C$9, 100%, $E$9)</f>
        <v>16.587700000000002</v>
      </c>
      <c r="N350" s="14">
        <f>CHOOSE(CONTROL!$C$42, 16.6028, 16.6028) * CHOOSE(CONTROL!$C$21, $C$9, 100%, $E$9)</f>
        <v>16.602799999999998</v>
      </c>
      <c r="O350" s="14">
        <f>CHOOSE(CONTROL!$C$42, 16.6997, 16.6997) * CHOOSE(CONTROL!$C$21, $C$9, 100%, $E$9)</f>
        <v>16.6997</v>
      </c>
      <c r="P350" s="14">
        <f>CHOOSE(CONTROL!$C$42, 16.6653, 16.6653) * CHOOSE(CONTROL!$C$21, $C$9, 100%, $E$9)</f>
        <v>16.665299999999998</v>
      </c>
      <c r="Q350" s="14">
        <f>CHOOSE(CONTROL!$C$42, 17.2944, 17.2944) * CHOOSE(CONTROL!$C$21, $C$9, 100%, $E$9)</f>
        <v>17.2944</v>
      </c>
      <c r="R350" s="14">
        <f>CHOOSE(CONTROL!$C$42, 17.9246, 17.9246) * CHOOSE(CONTROL!$C$21, $C$9, 100%, $E$9)</f>
        <v>17.924600000000002</v>
      </c>
      <c r="S350" s="14">
        <f>CHOOSE(CONTROL!$C$42, 16.2752, 16.2752) * CHOOSE(CONTROL!$C$21, $C$9, 100%, $E$9)</f>
        <v>16.275200000000002</v>
      </c>
      <c r="T35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50" s="57">
        <f>(1000*CHOOSE(CONTROL!$C$42, 695, 695)*CHOOSE(CONTROL!$C$42, 0.5599, 0.5599)*CHOOSE(CONTROL!$C$42, 28, 28))/1000000</f>
        <v>10.895653999999999</v>
      </c>
      <c r="V350" s="57">
        <f>(1000*CHOOSE(CONTROL!$C$42, 500, 500)*CHOOSE(CONTROL!$C$42, 0.275, 0.275)*CHOOSE(CONTROL!$C$42, 28, 28))/1000000</f>
        <v>3.85</v>
      </c>
      <c r="W350" s="57">
        <f>(1000*CHOOSE(CONTROL!$C$42, 0.1146, 0.1146)*CHOOSE(CONTROL!$C$42, 121.5, 121.5)*CHOOSE(CONTROL!$C$42, 28, 28))/1000000</f>
        <v>0.38986920000000003</v>
      </c>
      <c r="X350" s="57">
        <f>(28*0.1790888*100000/1000000)+(28*0.2374*100000/1000000)</f>
        <v>1.16616864</v>
      </c>
      <c r="Y350" s="57"/>
      <c r="Z350" s="14"/>
      <c r="AA350" s="56"/>
      <c r="AB350" s="50">
        <f>(B350*122.58+C350*297.941+D350*89.177+E350*40.302+F350*40+G350*160+H350*0+I350*100+J350*300)/(122.58+297.941+89.177+40.302+0+40+160+100+300)</f>
        <v>16.95707108843478</v>
      </c>
      <c r="AC350" s="45">
        <f>(M350*'RAP TEMPLATE-GAS AVAILABILITY'!O349+N350*'RAP TEMPLATE-GAS AVAILABILITY'!P349+O350*'RAP TEMPLATE-GAS AVAILABILITY'!Q349+P350*'RAP TEMPLATE-GAS AVAILABILITY'!R349)/('RAP TEMPLATE-GAS AVAILABILITY'!O349+'RAP TEMPLATE-GAS AVAILABILITY'!P349+'RAP TEMPLATE-GAS AVAILABILITY'!Q349+'RAP TEMPLATE-GAS AVAILABILITY'!R349)</f>
        <v>16.650497122302159</v>
      </c>
    </row>
    <row r="351" spans="1:29" ht="15.75" x14ac:dyDescent="0.25">
      <c r="A351" s="33">
        <v>51591</v>
      </c>
      <c r="B351" s="14">
        <f>CHOOSE(CONTROL!$C$42, 16.4655, 16.4655) * CHOOSE(CONTROL!$C$21, $C$9, 100%, $E$9)</f>
        <v>16.465499999999999</v>
      </c>
      <c r="C351" s="14">
        <f>CHOOSE(CONTROL!$C$42, 16.4706, 16.4706) * CHOOSE(CONTROL!$C$21, $C$9, 100%, $E$9)</f>
        <v>16.470600000000001</v>
      </c>
      <c r="D351" s="14">
        <f>CHOOSE(CONTROL!$C$42, 16.537, 16.537) * CHOOSE(CONTROL!$C$21, $C$9, 100%, $E$9)</f>
        <v>16.536999999999999</v>
      </c>
      <c r="E351" s="14">
        <f>CHOOSE(CONTROL!$C$42, 16.5711, 16.5711) * CHOOSE(CONTROL!$C$21, $C$9, 100%, $E$9)</f>
        <v>16.571100000000001</v>
      </c>
      <c r="F351" s="14">
        <f>CHOOSE(CONTROL!$C$42, 16.4525, 16.4525)*CHOOSE(CONTROL!$C$21, $C$9, 100%, $E$9)</f>
        <v>16.452500000000001</v>
      </c>
      <c r="G351" s="14">
        <f>CHOOSE(CONTROL!$C$42, 16.4679, 16.4679)*CHOOSE(CONTROL!$C$21, $C$9, 100%, $E$9)</f>
        <v>16.4679</v>
      </c>
      <c r="H351" s="14">
        <f>CHOOSE(CONTROL!$C$42, 16.5603, 16.5603) * CHOOSE(CONTROL!$C$21, $C$9, 100%, $E$9)</f>
        <v>16.560300000000002</v>
      </c>
      <c r="I351" s="14">
        <f>CHOOSE(CONTROL!$C$42, 16.5247, 16.5247)* CHOOSE(CONTROL!$C$21, $C$9, 100%, $E$9)</f>
        <v>16.524699999999999</v>
      </c>
      <c r="J351" s="14">
        <f>CHOOSE(CONTROL!$C$42, 16.4455, 16.4455)* CHOOSE(CONTROL!$C$21, $C$9, 100%, $E$9)</f>
        <v>16.445499999999999</v>
      </c>
      <c r="K351" s="53">
        <f>CHOOSE(CONTROL!$C$42, 16.5208, 16.5208) * CHOOSE(CONTROL!$C$21, $C$9, 100%, $E$9)</f>
        <v>16.520800000000001</v>
      </c>
      <c r="L351" s="14">
        <f>CHOOSE(CONTROL!$C$42, 17.1473, 17.1473) * CHOOSE(CONTROL!$C$21, $C$9, 100%, $E$9)</f>
        <v>17.147300000000001</v>
      </c>
      <c r="M351" s="14">
        <f>CHOOSE(CONTROL!$C$42, 16.1163, 16.1163) * CHOOSE(CONTROL!$C$21, $C$9, 100%, $E$9)</f>
        <v>16.116299999999999</v>
      </c>
      <c r="N351" s="14">
        <f>CHOOSE(CONTROL!$C$42, 16.1313, 16.1313) * CHOOSE(CONTROL!$C$21, $C$9, 100%, $E$9)</f>
        <v>16.1313</v>
      </c>
      <c r="O351" s="14">
        <f>CHOOSE(CONTROL!$C$42, 16.2287, 16.2287) * CHOOSE(CONTROL!$C$21, $C$9, 100%, $E$9)</f>
        <v>16.2287</v>
      </c>
      <c r="P351" s="14">
        <f>CHOOSE(CONTROL!$C$42, 16.1929, 16.1929) * CHOOSE(CONTROL!$C$21, $C$9, 100%, $E$9)</f>
        <v>16.192900000000002</v>
      </c>
      <c r="Q351" s="14">
        <f>CHOOSE(CONTROL!$C$42, 16.8234, 16.8234) * CHOOSE(CONTROL!$C$21, $C$9, 100%, $E$9)</f>
        <v>16.823399999999999</v>
      </c>
      <c r="R351" s="14">
        <f>CHOOSE(CONTROL!$C$42, 17.4525, 17.4525) * CHOOSE(CONTROL!$C$21, $C$9, 100%, $E$9)</f>
        <v>17.452500000000001</v>
      </c>
      <c r="S351" s="14">
        <f>CHOOSE(CONTROL!$C$42, 15.8132, 15.8132) * CHOOSE(CONTROL!$C$21, $C$9, 100%, $E$9)</f>
        <v>15.8132</v>
      </c>
      <c r="T35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51" s="57">
        <f>(1000*CHOOSE(CONTROL!$C$42, 695, 695)*CHOOSE(CONTROL!$C$42, 0.5599, 0.5599)*CHOOSE(CONTROL!$C$42, 31, 31))/1000000</f>
        <v>12.063045499999998</v>
      </c>
      <c r="V351" s="57">
        <f>(1000*CHOOSE(CONTROL!$C$42, 500, 500)*CHOOSE(CONTROL!$C$42, 0.275, 0.275)*CHOOSE(CONTROL!$C$42, 31, 31))/1000000</f>
        <v>4.2625000000000002</v>
      </c>
      <c r="W351" s="57">
        <f>(1000*CHOOSE(CONTROL!$C$42, 0.1146, 0.1146)*CHOOSE(CONTROL!$C$42, 121.5, 121.5)*CHOOSE(CONTROL!$C$42, 31, 31))/1000000</f>
        <v>0.43164089999999994</v>
      </c>
      <c r="X351" s="57">
        <f>(31*0.1790888*100000/1000000)+(31*0.2374*100000/1000000)</f>
        <v>1.2911152800000001</v>
      </c>
      <c r="Y351" s="57"/>
      <c r="Z351" s="14"/>
      <c r="AA351" s="56"/>
      <c r="AB351" s="50">
        <f>(B351*122.58+C351*297.941+D351*89.177+E351*40.302+F351*40+G351*160+H351*0+I351*100+J351*300)/(122.58+297.941+89.177+40.302+0+40+160+100+300)</f>
        <v>16.475878735478258</v>
      </c>
      <c r="AC351" s="45">
        <f>(M351*'RAP TEMPLATE-GAS AVAILABILITY'!O350+N351*'RAP TEMPLATE-GAS AVAILABILITY'!P350+O351*'RAP TEMPLATE-GAS AVAILABILITY'!Q350+P351*'RAP TEMPLATE-GAS AVAILABILITY'!R350)/('RAP TEMPLATE-GAS AVAILABILITY'!O350+'RAP TEMPLATE-GAS AVAILABILITY'!P350+'RAP TEMPLATE-GAS AVAILABILITY'!Q350+'RAP TEMPLATE-GAS AVAILABILITY'!R350)</f>
        <v>16.17912877697842</v>
      </c>
    </row>
    <row r="352" spans="1:29" ht="15.75" x14ac:dyDescent="0.25">
      <c r="A352" s="33">
        <v>51621</v>
      </c>
      <c r="B352" s="14">
        <f>CHOOSE(CONTROL!$C$42, 16.4174, 16.4174) * CHOOSE(CONTROL!$C$21, $C$9, 100%, $E$9)</f>
        <v>16.417400000000001</v>
      </c>
      <c r="C352" s="14">
        <f>CHOOSE(CONTROL!$C$42, 16.4219, 16.4219) * CHOOSE(CONTROL!$C$21, $C$9, 100%, $E$9)</f>
        <v>16.421900000000001</v>
      </c>
      <c r="D352" s="14">
        <f>CHOOSE(CONTROL!$C$42, 16.629, 16.629) * CHOOSE(CONTROL!$C$21, $C$9, 100%, $E$9)</f>
        <v>16.629000000000001</v>
      </c>
      <c r="E352" s="14">
        <f>CHOOSE(CONTROL!$C$42, 16.6611, 16.6611) * CHOOSE(CONTROL!$C$21, $C$9, 100%, $E$9)</f>
        <v>16.661100000000001</v>
      </c>
      <c r="F352" s="14">
        <f>CHOOSE(CONTROL!$C$42, 16.3993, 16.3993)*CHOOSE(CONTROL!$C$21, $C$9, 100%, $E$9)</f>
        <v>16.3993</v>
      </c>
      <c r="G352" s="14">
        <f>CHOOSE(CONTROL!$C$42, 16.4145, 16.4145)*CHOOSE(CONTROL!$C$21, $C$9, 100%, $E$9)</f>
        <v>16.4145</v>
      </c>
      <c r="H352" s="14">
        <f>CHOOSE(CONTROL!$C$42, 16.6509, 16.6509) * CHOOSE(CONTROL!$C$21, $C$9, 100%, $E$9)</f>
        <v>16.6509</v>
      </c>
      <c r="I352" s="14">
        <f>CHOOSE(CONTROL!$C$42, 16.4757, 16.4757)* CHOOSE(CONTROL!$C$21, $C$9, 100%, $E$9)</f>
        <v>16.4757</v>
      </c>
      <c r="J352" s="14">
        <f>CHOOSE(CONTROL!$C$42, 16.3923, 16.3923)* CHOOSE(CONTROL!$C$21, $C$9, 100%, $E$9)</f>
        <v>16.392299999999999</v>
      </c>
      <c r="K352" s="53">
        <f>CHOOSE(CONTROL!$C$42, 16.4718, 16.4718) * CHOOSE(CONTROL!$C$21, $C$9, 100%, $E$9)</f>
        <v>16.471800000000002</v>
      </c>
      <c r="L352" s="14">
        <f>CHOOSE(CONTROL!$C$42, 17.2379, 17.2379) * CHOOSE(CONTROL!$C$21, $C$9, 100%, $E$9)</f>
        <v>17.2379</v>
      </c>
      <c r="M352" s="14">
        <f>CHOOSE(CONTROL!$C$42, 16.0641, 16.0641) * CHOOSE(CONTROL!$C$21, $C$9, 100%, $E$9)</f>
        <v>16.0641</v>
      </c>
      <c r="N352" s="14">
        <f>CHOOSE(CONTROL!$C$42, 16.079, 16.079) * CHOOSE(CONTROL!$C$21, $C$9, 100%, $E$9)</f>
        <v>16.079000000000001</v>
      </c>
      <c r="O352" s="14">
        <f>CHOOSE(CONTROL!$C$42, 16.3174, 16.3174) * CHOOSE(CONTROL!$C$21, $C$9, 100%, $E$9)</f>
        <v>16.317399999999999</v>
      </c>
      <c r="P352" s="14">
        <f>CHOOSE(CONTROL!$C$42, 16.1449, 16.1449) * CHOOSE(CONTROL!$C$21, $C$9, 100%, $E$9)</f>
        <v>16.1449</v>
      </c>
      <c r="Q352" s="14">
        <f>CHOOSE(CONTROL!$C$42, 16.9121, 16.9121) * CHOOSE(CONTROL!$C$21, $C$9, 100%, $E$9)</f>
        <v>16.912099999999999</v>
      </c>
      <c r="R352" s="14">
        <f>CHOOSE(CONTROL!$C$42, 17.5414, 17.5414) * CHOOSE(CONTROL!$C$21, $C$9, 100%, $E$9)</f>
        <v>17.541399999999999</v>
      </c>
      <c r="S352" s="14">
        <f>CHOOSE(CONTROL!$C$42, 15.7662, 15.7662) * CHOOSE(CONTROL!$C$21, $C$9, 100%, $E$9)</f>
        <v>15.7662</v>
      </c>
      <c r="T35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52" s="57">
        <f>(1000*CHOOSE(CONTROL!$C$42, 695, 695)*CHOOSE(CONTROL!$C$42, 0.5599, 0.5599)*CHOOSE(CONTROL!$C$42, 30, 30))/1000000</f>
        <v>11.673914999999997</v>
      </c>
      <c r="V352" s="57">
        <f>(1000*CHOOSE(CONTROL!$C$42, 500, 500)*CHOOSE(CONTROL!$C$42, 0.275, 0.275)*CHOOSE(CONTROL!$C$42, 30, 30))/1000000</f>
        <v>4.125</v>
      </c>
      <c r="W352" s="57">
        <f>(1000*CHOOSE(CONTROL!$C$42, 0.1146, 0.1146)*CHOOSE(CONTROL!$C$42, 121.5, 121.5)*CHOOSE(CONTROL!$C$42, 30, 30))/1000000</f>
        <v>0.417717</v>
      </c>
      <c r="X352" s="57">
        <f>(30*0.1790888*245000/1000000)+(30*0.2374*100000/1000000)</f>
        <v>2.0285026799999999</v>
      </c>
      <c r="Y352" s="57"/>
      <c r="Z352" s="14"/>
      <c r="AA352" s="56"/>
      <c r="AB352" s="50">
        <f>(B352*141.293+C352*267.993+D352*115.016+E352*89.698+F352*40+G352*185+H352*0+I352*100+J352*300)/(141.293+267.993+115.016+89.698+0+40+185+100+300)</f>
        <v>16.453269456577885</v>
      </c>
      <c r="AC352" s="45">
        <f>(M352*'RAP TEMPLATE-GAS AVAILABILITY'!O351+N352*'RAP TEMPLATE-GAS AVAILABILITY'!P351+O352*'RAP TEMPLATE-GAS AVAILABILITY'!Q351+P352*'RAP TEMPLATE-GAS AVAILABILITY'!R351)/('RAP TEMPLATE-GAS AVAILABILITY'!O351+'RAP TEMPLATE-GAS AVAILABILITY'!P351+'RAP TEMPLATE-GAS AVAILABILITY'!Q351+'RAP TEMPLATE-GAS AVAILABILITY'!R351)</f>
        <v>16.150225899280578</v>
      </c>
    </row>
    <row r="353" spans="1:29" ht="15.75" x14ac:dyDescent="0.25">
      <c r="A353" s="33">
        <v>51652</v>
      </c>
      <c r="B353" s="14">
        <f>CHOOSE(CONTROL!$C$42, 16.5636, 16.5636) * CHOOSE(CONTROL!$C$21, $C$9, 100%, $E$9)</f>
        <v>16.563600000000001</v>
      </c>
      <c r="C353" s="14">
        <f>CHOOSE(CONTROL!$C$42, 16.5717, 16.5717) * CHOOSE(CONTROL!$C$21, $C$9, 100%, $E$9)</f>
        <v>16.5717</v>
      </c>
      <c r="D353" s="14">
        <f>CHOOSE(CONTROL!$C$42, 16.7756, 16.7756) * CHOOSE(CONTROL!$C$21, $C$9, 100%, $E$9)</f>
        <v>16.775600000000001</v>
      </c>
      <c r="E353" s="14">
        <f>CHOOSE(CONTROL!$C$42, 16.8071, 16.8071) * CHOOSE(CONTROL!$C$21, $C$9, 100%, $E$9)</f>
        <v>16.807099999999998</v>
      </c>
      <c r="F353" s="14">
        <f>CHOOSE(CONTROL!$C$42, 16.5444, 16.5444)*CHOOSE(CONTROL!$C$21, $C$9, 100%, $E$9)</f>
        <v>16.5444</v>
      </c>
      <c r="G353" s="14">
        <f>CHOOSE(CONTROL!$C$42, 16.56, 16.56)*CHOOSE(CONTROL!$C$21, $C$9, 100%, $E$9)</f>
        <v>16.559999999999999</v>
      </c>
      <c r="H353" s="14">
        <f>CHOOSE(CONTROL!$C$42, 16.7957, 16.7957) * CHOOSE(CONTROL!$C$21, $C$9, 100%, $E$9)</f>
        <v>16.7957</v>
      </c>
      <c r="I353" s="14">
        <f>CHOOSE(CONTROL!$C$42, 16.621, 16.621)* CHOOSE(CONTROL!$C$21, $C$9, 100%, $E$9)</f>
        <v>16.620999999999999</v>
      </c>
      <c r="J353" s="14">
        <f>CHOOSE(CONTROL!$C$42, 16.5374, 16.5374)* CHOOSE(CONTROL!$C$21, $C$9, 100%, $E$9)</f>
        <v>16.537400000000002</v>
      </c>
      <c r="K353" s="53">
        <f>CHOOSE(CONTROL!$C$42, 16.6171, 16.6171) * CHOOSE(CONTROL!$C$21, $C$9, 100%, $E$9)</f>
        <v>16.617100000000001</v>
      </c>
      <c r="L353" s="14">
        <f>CHOOSE(CONTROL!$C$42, 17.3827, 17.3827) * CHOOSE(CONTROL!$C$21, $C$9, 100%, $E$9)</f>
        <v>17.3827</v>
      </c>
      <c r="M353" s="14">
        <f>CHOOSE(CONTROL!$C$42, 16.2062, 16.2062) * CHOOSE(CONTROL!$C$21, $C$9, 100%, $E$9)</f>
        <v>16.206199999999999</v>
      </c>
      <c r="N353" s="14">
        <f>CHOOSE(CONTROL!$C$42, 16.2216, 16.2216) * CHOOSE(CONTROL!$C$21, $C$9, 100%, $E$9)</f>
        <v>16.221599999999999</v>
      </c>
      <c r="O353" s="14">
        <f>CHOOSE(CONTROL!$C$42, 16.4593, 16.4593) * CHOOSE(CONTROL!$C$21, $C$9, 100%, $E$9)</f>
        <v>16.459299999999999</v>
      </c>
      <c r="P353" s="14">
        <f>CHOOSE(CONTROL!$C$42, 16.2871, 16.2871) * CHOOSE(CONTROL!$C$21, $C$9, 100%, $E$9)</f>
        <v>16.287099999999999</v>
      </c>
      <c r="Q353" s="14">
        <f>CHOOSE(CONTROL!$C$42, 17.054, 17.054) * CHOOSE(CONTROL!$C$21, $C$9, 100%, $E$9)</f>
        <v>17.053999999999998</v>
      </c>
      <c r="R353" s="14">
        <f>CHOOSE(CONTROL!$C$42, 17.6836, 17.6836) * CHOOSE(CONTROL!$C$21, $C$9, 100%, $E$9)</f>
        <v>17.683599999999998</v>
      </c>
      <c r="S353" s="14">
        <f>CHOOSE(CONTROL!$C$42, 15.9054, 15.9054) * CHOOSE(CONTROL!$C$21, $C$9, 100%, $E$9)</f>
        <v>15.9054</v>
      </c>
      <c r="T35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53" s="57">
        <f>(1000*CHOOSE(CONTROL!$C$42, 695, 695)*CHOOSE(CONTROL!$C$42, 0.5599, 0.5599)*CHOOSE(CONTROL!$C$42, 31, 31))/1000000</f>
        <v>12.063045499999998</v>
      </c>
      <c r="V353" s="57">
        <f>(1000*CHOOSE(CONTROL!$C$42, 500, 500)*CHOOSE(CONTROL!$C$42, 0.275, 0.275)*CHOOSE(CONTROL!$C$42, 31, 31))/1000000</f>
        <v>4.2625000000000002</v>
      </c>
      <c r="W353" s="57">
        <f>(1000*CHOOSE(CONTROL!$C$42, 0.1146, 0.1146)*CHOOSE(CONTROL!$C$42, 121.5, 121.5)*CHOOSE(CONTROL!$C$42, 31, 31))/1000000</f>
        <v>0.43164089999999994</v>
      </c>
      <c r="X353" s="57">
        <f>(31*0.1790888*245000/1000000)+(31*0.2374*100000/1000000)</f>
        <v>2.0961194359999999</v>
      </c>
      <c r="Y353" s="57"/>
      <c r="Z353" s="14"/>
      <c r="AA353" s="56"/>
      <c r="AB353" s="50">
        <f>(B353*194.205+C353*267.466+D353*133.845+E353*53.484+F353*40+G353*185+H353*0+I353*100+J353*300)/(194.205+267.466+133.845+53.484+0+40+185+100+300)</f>
        <v>16.595005783830455</v>
      </c>
      <c r="AC353" s="45">
        <f>(M353*'RAP TEMPLATE-GAS AVAILABILITY'!O352+N353*'RAP TEMPLATE-GAS AVAILABILITY'!P352+O353*'RAP TEMPLATE-GAS AVAILABILITY'!Q352+P353*'RAP TEMPLATE-GAS AVAILABILITY'!R352)/('RAP TEMPLATE-GAS AVAILABILITY'!O352+'RAP TEMPLATE-GAS AVAILABILITY'!P352+'RAP TEMPLATE-GAS AVAILABILITY'!Q352+'RAP TEMPLATE-GAS AVAILABILITY'!R352)</f>
        <v>16.292399280575538</v>
      </c>
    </row>
    <row r="354" spans="1:29" ht="15.75" x14ac:dyDescent="0.25">
      <c r="A354" s="33">
        <v>51682</v>
      </c>
      <c r="B354" s="14">
        <f>CHOOSE(CONTROL!$C$42, 17.0331, 17.0331) * CHOOSE(CONTROL!$C$21, $C$9, 100%, $E$9)</f>
        <v>17.033100000000001</v>
      </c>
      <c r="C354" s="14">
        <f>CHOOSE(CONTROL!$C$42, 17.0412, 17.0412) * CHOOSE(CONTROL!$C$21, $C$9, 100%, $E$9)</f>
        <v>17.0412</v>
      </c>
      <c r="D354" s="14">
        <f>CHOOSE(CONTROL!$C$42, 17.2451, 17.2451) * CHOOSE(CONTROL!$C$21, $C$9, 100%, $E$9)</f>
        <v>17.245100000000001</v>
      </c>
      <c r="E354" s="14">
        <f>CHOOSE(CONTROL!$C$42, 17.2766, 17.2766) * CHOOSE(CONTROL!$C$21, $C$9, 100%, $E$9)</f>
        <v>17.276599999999998</v>
      </c>
      <c r="F354" s="14">
        <f>CHOOSE(CONTROL!$C$42, 17.0143, 17.0143)*CHOOSE(CONTROL!$C$21, $C$9, 100%, $E$9)</f>
        <v>17.014299999999999</v>
      </c>
      <c r="G354" s="14">
        <f>CHOOSE(CONTROL!$C$42, 17.0301, 17.0301)*CHOOSE(CONTROL!$C$21, $C$9, 100%, $E$9)</f>
        <v>17.030100000000001</v>
      </c>
      <c r="H354" s="14">
        <f>CHOOSE(CONTROL!$C$42, 17.2652, 17.2652) * CHOOSE(CONTROL!$C$21, $C$9, 100%, $E$9)</f>
        <v>17.2652</v>
      </c>
      <c r="I354" s="14">
        <f>CHOOSE(CONTROL!$C$42, 17.0919, 17.0919)* CHOOSE(CONTROL!$C$21, $C$9, 100%, $E$9)</f>
        <v>17.091899999999999</v>
      </c>
      <c r="J354" s="14">
        <f>CHOOSE(CONTROL!$C$42, 17.0073, 17.0073)* CHOOSE(CONTROL!$C$21, $C$9, 100%, $E$9)</f>
        <v>17.007300000000001</v>
      </c>
      <c r="K354" s="53">
        <f>CHOOSE(CONTROL!$C$42, 17.088, 17.088) * CHOOSE(CONTROL!$C$21, $C$9, 100%, $E$9)</f>
        <v>17.088000000000001</v>
      </c>
      <c r="L354" s="14">
        <f>CHOOSE(CONTROL!$C$42, 17.8522, 17.8522) * CHOOSE(CONTROL!$C$21, $C$9, 100%, $E$9)</f>
        <v>17.8522</v>
      </c>
      <c r="M354" s="14">
        <f>CHOOSE(CONTROL!$C$42, 16.6665, 16.6665) * CHOOSE(CONTROL!$C$21, $C$9, 100%, $E$9)</f>
        <v>16.666499999999999</v>
      </c>
      <c r="N354" s="14">
        <f>CHOOSE(CONTROL!$C$42, 16.682, 16.682) * CHOOSE(CONTROL!$C$21, $C$9, 100%, $E$9)</f>
        <v>16.681999999999999</v>
      </c>
      <c r="O354" s="14">
        <f>CHOOSE(CONTROL!$C$42, 16.9191, 16.9191) * CHOOSE(CONTROL!$C$21, $C$9, 100%, $E$9)</f>
        <v>16.9191</v>
      </c>
      <c r="P354" s="14">
        <f>CHOOSE(CONTROL!$C$42, 16.7484, 16.7484) * CHOOSE(CONTROL!$C$21, $C$9, 100%, $E$9)</f>
        <v>16.7484</v>
      </c>
      <c r="Q354" s="14">
        <f>CHOOSE(CONTROL!$C$42, 17.5138, 17.5138) * CHOOSE(CONTROL!$C$21, $C$9, 100%, $E$9)</f>
        <v>17.5138</v>
      </c>
      <c r="R354" s="14">
        <f>CHOOSE(CONTROL!$C$42, 18.1446, 18.1446) * CHOOSE(CONTROL!$C$21, $C$9, 100%, $E$9)</f>
        <v>18.144600000000001</v>
      </c>
      <c r="S354" s="14">
        <f>CHOOSE(CONTROL!$C$42, 16.3565, 16.3565) * CHOOSE(CONTROL!$C$21, $C$9, 100%, $E$9)</f>
        <v>16.3565</v>
      </c>
      <c r="T35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54" s="57">
        <f>(1000*CHOOSE(CONTROL!$C$42, 695, 695)*CHOOSE(CONTROL!$C$42, 0.5599, 0.5599)*CHOOSE(CONTROL!$C$42, 30, 30))/1000000</f>
        <v>11.673914999999997</v>
      </c>
      <c r="V354" s="57">
        <f>(1000*CHOOSE(CONTROL!$C$42, 500, 500)*CHOOSE(CONTROL!$C$42, 0.275, 0.275)*CHOOSE(CONTROL!$C$42, 30, 30))/1000000</f>
        <v>4.125</v>
      </c>
      <c r="W354" s="57">
        <f>(1000*CHOOSE(CONTROL!$C$42, 0.1146, 0.1146)*CHOOSE(CONTROL!$C$42, 121.5, 121.5)*CHOOSE(CONTROL!$C$42, 30, 30))/1000000</f>
        <v>0.417717</v>
      </c>
      <c r="X354" s="57">
        <f>(30*0.1790888*245000/1000000)+(30*0.2374*100000/1000000)</f>
        <v>2.0285026799999999</v>
      </c>
      <c r="Y354" s="57"/>
      <c r="Z354" s="14"/>
      <c r="AA354" s="56"/>
      <c r="AB354" s="50">
        <f>(B354*194.205+C354*267.466+D354*133.845+E354*53.484+F354*40+G354*185+H354*0+I354*100+J354*300)/(194.205+267.466+133.845+53.484+0+40+185+100+300)</f>
        <v>17.064809551491365</v>
      </c>
      <c r="AC354" s="45">
        <f>(M354*'RAP TEMPLATE-GAS AVAILABILITY'!O353+N354*'RAP TEMPLATE-GAS AVAILABILITY'!P353+O354*'RAP TEMPLATE-GAS AVAILABILITY'!Q353+P354*'RAP TEMPLATE-GAS AVAILABILITY'!R353)/('RAP TEMPLATE-GAS AVAILABILITY'!O353+'RAP TEMPLATE-GAS AVAILABILITY'!P353+'RAP TEMPLATE-GAS AVAILABILITY'!Q353+'RAP TEMPLATE-GAS AVAILABILITY'!R353)</f>
        <v>16.752725899280577</v>
      </c>
    </row>
    <row r="355" spans="1:29" ht="15.75" x14ac:dyDescent="0.25">
      <c r="A355" s="33">
        <v>51713</v>
      </c>
      <c r="B355" s="14">
        <f>CHOOSE(CONTROL!$C$42, 16.7066, 16.7066) * CHOOSE(CONTROL!$C$21, $C$9, 100%, $E$9)</f>
        <v>16.706600000000002</v>
      </c>
      <c r="C355" s="14">
        <f>CHOOSE(CONTROL!$C$42, 16.7146, 16.7146) * CHOOSE(CONTROL!$C$21, $C$9, 100%, $E$9)</f>
        <v>16.714600000000001</v>
      </c>
      <c r="D355" s="14">
        <f>CHOOSE(CONTROL!$C$42, 16.9186, 16.9186) * CHOOSE(CONTROL!$C$21, $C$9, 100%, $E$9)</f>
        <v>16.918600000000001</v>
      </c>
      <c r="E355" s="14">
        <f>CHOOSE(CONTROL!$C$42, 16.95, 16.95) * CHOOSE(CONTROL!$C$21, $C$9, 100%, $E$9)</f>
        <v>16.95</v>
      </c>
      <c r="F355" s="14">
        <f>CHOOSE(CONTROL!$C$42, 16.6882, 16.6882)*CHOOSE(CONTROL!$C$21, $C$9, 100%, $E$9)</f>
        <v>16.688199999999998</v>
      </c>
      <c r="G355" s="14">
        <f>CHOOSE(CONTROL!$C$42, 16.7041, 16.7041)*CHOOSE(CONTROL!$C$21, $C$9, 100%, $E$9)</f>
        <v>16.7041</v>
      </c>
      <c r="H355" s="14">
        <f>CHOOSE(CONTROL!$C$42, 16.9387, 16.9387) * CHOOSE(CONTROL!$C$21, $C$9, 100%, $E$9)</f>
        <v>16.938700000000001</v>
      </c>
      <c r="I355" s="14">
        <f>CHOOSE(CONTROL!$C$42, 16.7644, 16.7644)* CHOOSE(CONTROL!$C$21, $C$9, 100%, $E$9)</f>
        <v>16.764399999999998</v>
      </c>
      <c r="J355" s="14">
        <f>CHOOSE(CONTROL!$C$42, 16.6812, 16.6812)* CHOOSE(CONTROL!$C$21, $C$9, 100%, $E$9)</f>
        <v>16.6812</v>
      </c>
      <c r="K355" s="53">
        <f>CHOOSE(CONTROL!$C$42, 16.7605, 16.7605) * CHOOSE(CONTROL!$C$21, $C$9, 100%, $E$9)</f>
        <v>16.7605</v>
      </c>
      <c r="L355" s="14">
        <f>CHOOSE(CONTROL!$C$42, 17.5257, 17.5257) * CHOOSE(CONTROL!$C$21, $C$9, 100%, $E$9)</f>
        <v>17.525700000000001</v>
      </c>
      <c r="M355" s="14">
        <f>CHOOSE(CONTROL!$C$42, 16.3471, 16.3471) * CHOOSE(CONTROL!$C$21, $C$9, 100%, $E$9)</f>
        <v>16.347100000000001</v>
      </c>
      <c r="N355" s="14">
        <f>CHOOSE(CONTROL!$C$42, 16.3627, 16.3627) * CHOOSE(CONTROL!$C$21, $C$9, 100%, $E$9)</f>
        <v>16.3627</v>
      </c>
      <c r="O355" s="14">
        <f>CHOOSE(CONTROL!$C$42, 16.5993, 16.5993) * CHOOSE(CONTROL!$C$21, $C$9, 100%, $E$9)</f>
        <v>16.599299999999999</v>
      </c>
      <c r="P355" s="14">
        <f>CHOOSE(CONTROL!$C$42, 16.4276, 16.4276) * CHOOSE(CONTROL!$C$21, $C$9, 100%, $E$9)</f>
        <v>16.427600000000002</v>
      </c>
      <c r="Q355" s="14">
        <f>CHOOSE(CONTROL!$C$42, 17.194, 17.194) * CHOOSE(CONTROL!$C$21, $C$9, 100%, $E$9)</f>
        <v>17.193999999999999</v>
      </c>
      <c r="R355" s="14">
        <f>CHOOSE(CONTROL!$C$42, 17.824, 17.824) * CHOOSE(CONTROL!$C$21, $C$9, 100%, $E$9)</f>
        <v>17.824000000000002</v>
      </c>
      <c r="S355" s="14">
        <f>CHOOSE(CONTROL!$C$42, 16.0427, 16.0427) * CHOOSE(CONTROL!$C$21, $C$9, 100%, $E$9)</f>
        <v>16.0427</v>
      </c>
      <c r="T35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55" s="57">
        <f>(1000*CHOOSE(CONTROL!$C$42, 695, 695)*CHOOSE(CONTROL!$C$42, 0.5599, 0.5599)*CHOOSE(CONTROL!$C$42, 31, 31))/1000000</f>
        <v>12.063045499999998</v>
      </c>
      <c r="V355" s="57">
        <f>(1000*CHOOSE(CONTROL!$C$42, 500, 500)*CHOOSE(CONTROL!$C$42, 0.275, 0.275)*CHOOSE(CONTROL!$C$42, 31, 31))/1000000</f>
        <v>4.2625000000000002</v>
      </c>
      <c r="W355" s="57">
        <f>(1000*CHOOSE(CONTROL!$C$42, 0.1146, 0.1146)*CHOOSE(CONTROL!$C$42, 121.5, 121.5)*CHOOSE(CONTROL!$C$42, 31, 31))/1000000</f>
        <v>0.43164089999999994</v>
      </c>
      <c r="X355" s="57">
        <f>(31*0.1790888*245000/1000000)+(31*0.2374*100000/1000000)</f>
        <v>2.0961194359999999</v>
      </c>
      <c r="Y355" s="57"/>
      <c r="Z355" s="14"/>
      <c r="AA355" s="56"/>
      <c r="AB355" s="50">
        <f>(B355*194.205+C355*267.466+D355*133.845+E355*53.484+F355*40+G355*185+H355*0+I355*100+J355*300)/(194.205+267.466+133.845+53.484+0+40+185+100+300)</f>
        <v>16.738385222605967</v>
      </c>
      <c r="AC355" s="45">
        <f>(M355*'RAP TEMPLATE-GAS AVAILABILITY'!O354+N355*'RAP TEMPLATE-GAS AVAILABILITY'!P354+O355*'RAP TEMPLATE-GAS AVAILABILITY'!Q354+P355*'RAP TEMPLATE-GAS AVAILABILITY'!R354)/('RAP TEMPLATE-GAS AVAILABILITY'!O354+'RAP TEMPLATE-GAS AVAILABILITY'!P354+'RAP TEMPLATE-GAS AVAILABILITY'!Q354+'RAP TEMPLATE-GAS AVAILABILITY'!R354)</f>
        <v>16.433035251798561</v>
      </c>
    </row>
    <row r="356" spans="1:29" ht="15.75" x14ac:dyDescent="0.25">
      <c r="A356" s="33">
        <v>51744</v>
      </c>
      <c r="B356" s="14">
        <f>CHOOSE(CONTROL!$C$42, 15.882, 15.882) * CHOOSE(CONTROL!$C$21, $C$9, 100%, $E$9)</f>
        <v>15.882</v>
      </c>
      <c r="C356" s="14">
        <f>CHOOSE(CONTROL!$C$42, 15.89, 15.89) * CHOOSE(CONTROL!$C$21, $C$9, 100%, $E$9)</f>
        <v>15.89</v>
      </c>
      <c r="D356" s="14">
        <f>CHOOSE(CONTROL!$C$42, 16.0939, 16.0939) * CHOOSE(CONTROL!$C$21, $C$9, 100%, $E$9)</f>
        <v>16.093900000000001</v>
      </c>
      <c r="E356" s="14">
        <f>CHOOSE(CONTROL!$C$42, 16.1254, 16.1254) * CHOOSE(CONTROL!$C$21, $C$9, 100%, $E$9)</f>
        <v>16.125399999999999</v>
      </c>
      <c r="F356" s="14">
        <f>CHOOSE(CONTROL!$C$42, 15.8638, 15.8638)*CHOOSE(CONTROL!$C$21, $C$9, 100%, $E$9)</f>
        <v>15.863799999999999</v>
      </c>
      <c r="G356" s="14">
        <f>CHOOSE(CONTROL!$C$42, 15.8798, 15.8798)*CHOOSE(CONTROL!$C$21, $C$9, 100%, $E$9)</f>
        <v>15.879799999999999</v>
      </c>
      <c r="H356" s="14">
        <f>CHOOSE(CONTROL!$C$42, 16.114, 16.114) * CHOOSE(CONTROL!$C$21, $C$9, 100%, $E$9)</f>
        <v>16.114000000000001</v>
      </c>
      <c r="I356" s="14">
        <f>CHOOSE(CONTROL!$C$42, 15.9372, 15.9372)* CHOOSE(CONTROL!$C$21, $C$9, 100%, $E$9)</f>
        <v>15.937200000000001</v>
      </c>
      <c r="J356" s="14">
        <f>CHOOSE(CONTROL!$C$42, 15.8568, 15.8568)* CHOOSE(CONTROL!$C$21, $C$9, 100%, $E$9)</f>
        <v>15.8568</v>
      </c>
      <c r="K356" s="53">
        <f>CHOOSE(CONTROL!$C$42, 15.9333, 15.9333) * CHOOSE(CONTROL!$C$21, $C$9, 100%, $E$9)</f>
        <v>15.933299999999999</v>
      </c>
      <c r="L356" s="14">
        <f>CHOOSE(CONTROL!$C$42, 16.701, 16.701) * CHOOSE(CONTROL!$C$21, $C$9, 100%, $E$9)</f>
        <v>16.701000000000001</v>
      </c>
      <c r="M356" s="14">
        <f>CHOOSE(CONTROL!$C$42, 15.5396, 15.5396) * CHOOSE(CONTROL!$C$21, $C$9, 100%, $E$9)</f>
        <v>15.5396</v>
      </c>
      <c r="N356" s="14">
        <f>CHOOSE(CONTROL!$C$42, 15.5553, 15.5553) * CHOOSE(CONTROL!$C$21, $C$9, 100%, $E$9)</f>
        <v>15.555300000000001</v>
      </c>
      <c r="O356" s="14">
        <f>CHOOSE(CONTROL!$C$42, 15.7916, 15.7916) * CHOOSE(CONTROL!$C$21, $C$9, 100%, $E$9)</f>
        <v>15.791600000000001</v>
      </c>
      <c r="P356" s="14">
        <f>CHOOSE(CONTROL!$C$42, 15.6174, 15.6174) * CHOOSE(CONTROL!$C$21, $C$9, 100%, $E$9)</f>
        <v>15.6174</v>
      </c>
      <c r="Q356" s="14">
        <f>CHOOSE(CONTROL!$C$42, 16.3863, 16.3863) * CHOOSE(CONTROL!$C$21, $C$9, 100%, $E$9)</f>
        <v>16.386299999999999</v>
      </c>
      <c r="R356" s="14">
        <f>CHOOSE(CONTROL!$C$42, 17.0142, 17.0142) * CHOOSE(CONTROL!$C$21, $C$9, 100%, $E$9)</f>
        <v>17.014199999999999</v>
      </c>
      <c r="S356" s="14">
        <f>CHOOSE(CONTROL!$C$42, 15.2504, 15.2504) * CHOOSE(CONTROL!$C$21, $C$9, 100%, $E$9)</f>
        <v>15.250400000000001</v>
      </c>
      <c r="T35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56" s="57">
        <f>(1000*CHOOSE(CONTROL!$C$42, 695, 695)*CHOOSE(CONTROL!$C$42, 0.5599, 0.5599)*CHOOSE(CONTROL!$C$42, 31, 31))/1000000</f>
        <v>12.063045499999998</v>
      </c>
      <c r="V356" s="57">
        <f>(1000*CHOOSE(CONTROL!$C$42, 500, 500)*CHOOSE(CONTROL!$C$42, 0.275, 0.275)*CHOOSE(CONTROL!$C$42, 31, 31))/1000000</f>
        <v>4.2625000000000002</v>
      </c>
      <c r="W356" s="57">
        <f>(1000*CHOOSE(CONTROL!$C$42, 0.1146, 0.1146)*CHOOSE(CONTROL!$C$42, 121.5, 121.5)*CHOOSE(CONTROL!$C$42, 31, 31))/1000000</f>
        <v>0.43164089999999994</v>
      </c>
      <c r="X356" s="57">
        <f>(31*0.1790888*245000/1000000)+(31*0.2374*100000/1000000)</f>
        <v>2.0961194359999999</v>
      </c>
      <c r="Y356" s="57"/>
      <c r="Z356" s="14"/>
      <c r="AA356" s="56"/>
      <c r="AB356" s="50">
        <f>(B356*194.205+C356*267.466+D356*133.845+E356*53.484+F356*40+G356*185+H356*0+I356*100+J356*300)/(194.205+267.466+133.845+53.484+0+40+185+100+300)</f>
        <v>15.913667573861851</v>
      </c>
      <c r="AC356" s="45">
        <f>(M356*'RAP TEMPLATE-GAS AVAILABILITY'!O355+N356*'RAP TEMPLATE-GAS AVAILABILITY'!P355+O356*'RAP TEMPLATE-GAS AVAILABILITY'!Q355+P356*'RAP TEMPLATE-GAS AVAILABILITY'!R355)/('RAP TEMPLATE-GAS AVAILABILITY'!O355+'RAP TEMPLATE-GAS AVAILABILITY'!P355+'RAP TEMPLATE-GAS AVAILABILITY'!Q355+'RAP TEMPLATE-GAS AVAILABILITY'!R355)</f>
        <v>15.625113669064747</v>
      </c>
    </row>
    <row r="357" spans="1:29" ht="15.75" x14ac:dyDescent="0.25">
      <c r="A357" s="33">
        <v>51774</v>
      </c>
      <c r="B357" s="14">
        <f>CHOOSE(CONTROL!$C$42, 14.8741, 14.8741) * CHOOSE(CONTROL!$C$21, $C$9, 100%, $E$9)</f>
        <v>14.8741</v>
      </c>
      <c r="C357" s="14">
        <f>CHOOSE(CONTROL!$C$42, 14.8821, 14.8821) * CHOOSE(CONTROL!$C$21, $C$9, 100%, $E$9)</f>
        <v>14.882099999999999</v>
      </c>
      <c r="D357" s="14">
        <f>CHOOSE(CONTROL!$C$42, 15.086, 15.086) * CHOOSE(CONTROL!$C$21, $C$9, 100%, $E$9)</f>
        <v>15.086</v>
      </c>
      <c r="E357" s="14">
        <f>CHOOSE(CONTROL!$C$42, 15.1175, 15.1175) * CHOOSE(CONTROL!$C$21, $C$9, 100%, $E$9)</f>
        <v>15.1175</v>
      </c>
      <c r="F357" s="14">
        <f>CHOOSE(CONTROL!$C$42, 14.856, 14.856)*CHOOSE(CONTROL!$C$21, $C$9, 100%, $E$9)</f>
        <v>14.856</v>
      </c>
      <c r="G357" s="14">
        <f>CHOOSE(CONTROL!$C$42, 14.8719, 14.8719)*CHOOSE(CONTROL!$C$21, $C$9, 100%, $E$9)</f>
        <v>14.8719</v>
      </c>
      <c r="H357" s="14">
        <f>CHOOSE(CONTROL!$C$42, 15.1061, 15.1061) * CHOOSE(CONTROL!$C$21, $C$9, 100%, $E$9)</f>
        <v>15.1061</v>
      </c>
      <c r="I357" s="14">
        <f>CHOOSE(CONTROL!$C$42, 14.9261, 14.9261)* CHOOSE(CONTROL!$C$21, $C$9, 100%, $E$9)</f>
        <v>14.9261</v>
      </c>
      <c r="J357" s="14">
        <f>CHOOSE(CONTROL!$C$42, 14.849, 14.849)* CHOOSE(CONTROL!$C$21, $C$9, 100%, $E$9)</f>
        <v>14.849</v>
      </c>
      <c r="K357" s="53">
        <f>CHOOSE(CONTROL!$C$42, 14.9222, 14.9222) * CHOOSE(CONTROL!$C$21, $C$9, 100%, $E$9)</f>
        <v>14.9222</v>
      </c>
      <c r="L357" s="14">
        <f>CHOOSE(CONTROL!$C$42, 15.6931, 15.6931) * CHOOSE(CONTROL!$C$21, $C$9, 100%, $E$9)</f>
        <v>15.693099999999999</v>
      </c>
      <c r="M357" s="14">
        <f>CHOOSE(CONTROL!$C$42, 14.5524, 14.5524) * CHOOSE(CONTROL!$C$21, $C$9, 100%, $E$9)</f>
        <v>14.5524</v>
      </c>
      <c r="N357" s="14">
        <f>CHOOSE(CONTROL!$C$42, 14.568, 14.568) * CHOOSE(CONTROL!$C$21, $C$9, 100%, $E$9)</f>
        <v>14.568</v>
      </c>
      <c r="O357" s="14">
        <f>CHOOSE(CONTROL!$C$42, 14.8043, 14.8043) * CHOOSE(CONTROL!$C$21, $C$9, 100%, $E$9)</f>
        <v>14.8043</v>
      </c>
      <c r="P357" s="14">
        <f>CHOOSE(CONTROL!$C$42, 14.6271, 14.6271) * CHOOSE(CONTROL!$C$21, $C$9, 100%, $E$9)</f>
        <v>14.6271</v>
      </c>
      <c r="Q357" s="14">
        <f>CHOOSE(CONTROL!$C$42, 15.399, 15.399) * CHOOSE(CONTROL!$C$21, $C$9, 100%, $E$9)</f>
        <v>15.398999999999999</v>
      </c>
      <c r="R357" s="14">
        <f>CHOOSE(CONTROL!$C$42, 16.0245, 16.0245) * CHOOSE(CONTROL!$C$21, $C$9, 100%, $E$9)</f>
        <v>16.0245</v>
      </c>
      <c r="S357" s="14">
        <f>CHOOSE(CONTROL!$C$42, 14.2818, 14.2818) * CHOOSE(CONTROL!$C$21, $C$9, 100%, $E$9)</f>
        <v>14.2818</v>
      </c>
      <c r="T35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57" s="57">
        <f>(1000*CHOOSE(CONTROL!$C$42, 695, 695)*CHOOSE(CONTROL!$C$42, 0.5599, 0.5599)*CHOOSE(CONTROL!$C$42, 30, 30))/1000000</f>
        <v>11.673914999999997</v>
      </c>
      <c r="V357" s="57">
        <f>(1000*CHOOSE(CONTROL!$C$42, 500, 500)*CHOOSE(CONTROL!$C$42, 0.275, 0.275)*CHOOSE(CONTROL!$C$42, 30, 30))/1000000</f>
        <v>4.125</v>
      </c>
      <c r="W357" s="57">
        <f>(1000*CHOOSE(CONTROL!$C$42, 0.1146, 0.1146)*CHOOSE(CONTROL!$C$42, 121.5, 121.5)*CHOOSE(CONTROL!$C$42, 30, 30))/1000000</f>
        <v>0.417717</v>
      </c>
      <c r="X357" s="57">
        <f>(30*0.1790888*245000/1000000)+(30*0.2374*100000/1000000)</f>
        <v>2.0285026799999999</v>
      </c>
      <c r="Y357" s="57"/>
      <c r="Z357" s="14"/>
      <c r="AA357" s="56"/>
      <c r="AB357" s="50">
        <f>(B357*194.205+C357*267.466+D357*133.845+E357*53.484+F357*40+G357*185+H357*0+I357*100+J357*300)/(194.205+267.466+133.845+53.484+0+40+185+100+300)</f>
        <v>14.905543084065934</v>
      </c>
      <c r="AC357" s="45">
        <f>(M357*'RAP TEMPLATE-GAS AVAILABILITY'!O356+N357*'RAP TEMPLATE-GAS AVAILABILITY'!P356+O357*'RAP TEMPLATE-GAS AVAILABILITY'!Q356+P357*'RAP TEMPLATE-GAS AVAILABILITY'!R356)/('RAP TEMPLATE-GAS AVAILABILITY'!O356+'RAP TEMPLATE-GAS AVAILABILITY'!P356+'RAP TEMPLATE-GAS AVAILABILITY'!Q356+'RAP TEMPLATE-GAS AVAILABILITY'!R356)</f>
        <v>14.637416546762589</v>
      </c>
    </row>
    <row r="358" spans="1:29" ht="15.75" x14ac:dyDescent="0.25">
      <c r="A358" s="33">
        <v>51805</v>
      </c>
      <c r="B358" s="14">
        <f>CHOOSE(CONTROL!$C$42, 14.5705, 14.5705) * CHOOSE(CONTROL!$C$21, $C$9, 100%, $E$9)</f>
        <v>14.570499999999999</v>
      </c>
      <c r="C358" s="14">
        <f>CHOOSE(CONTROL!$C$42, 14.5758, 14.5758) * CHOOSE(CONTROL!$C$21, $C$9, 100%, $E$9)</f>
        <v>14.575799999999999</v>
      </c>
      <c r="D358" s="14">
        <f>CHOOSE(CONTROL!$C$42, 14.7848, 14.7848) * CHOOSE(CONTROL!$C$21, $C$9, 100%, $E$9)</f>
        <v>14.784800000000001</v>
      </c>
      <c r="E358" s="14">
        <f>CHOOSE(CONTROL!$C$42, 14.8139, 14.8139) * CHOOSE(CONTROL!$C$21, $C$9, 100%, $E$9)</f>
        <v>14.8139</v>
      </c>
      <c r="F358" s="14">
        <f>CHOOSE(CONTROL!$C$42, 14.5545, 14.5545)*CHOOSE(CONTROL!$C$21, $C$9, 100%, $E$9)</f>
        <v>14.554500000000001</v>
      </c>
      <c r="G358" s="14">
        <f>CHOOSE(CONTROL!$C$42, 14.5702, 14.5702)*CHOOSE(CONTROL!$C$21, $C$9, 100%, $E$9)</f>
        <v>14.5702</v>
      </c>
      <c r="H358" s="14">
        <f>CHOOSE(CONTROL!$C$42, 14.8043, 14.8043) * CHOOSE(CONTROL!$C$21, $C$9, 100%, $E$9)</f>
        <v>14.8043</v>
      </c>
      <c r="I358" s="14">
        <f>CHOOSE(CONTROL!$C$42, 14.6234, 14.6234)* CHOOSE(CONTROL!$C$21, $C$9, 100%, $E$9)</f>
        <v>14.6234</v>
      </c>
      <c r="J358" s="14">
        <f>CHOOSE(CONTROL!$C$42, 14.5475, 14.5475)* CHOOSE(CONTROL!$C$21, $C$9, 100%, $E$9)</f>
        <v>14.547499999999999</v>
      </c>
      <c r="K358" s="53">
        <f>CHOOSE(CONTROL!$C$42, 14.6195, 14.6195) * CHOOSE(CONTROL!$C$21, $C$9, 100%, $E$9)</f>
        <v>14.6195</v>
      </c>
      <c r="L358" s="14">
        <f>CHOOSE(CONTROL!$C$42, 15.3913, 15.3913) * CHOOSE(CONTROL!$C$21, $C$9, 100%, $E$9)</f>
        <v>15.391299999999999</v>
      </c>
      <c r="M358" s="14">
        <f>CHOOSE(CONTROL!$C$42, 14.2571, 14.2571) * CHOOSE(CONTROL!$C$21, $C$9, 100%, $E$9)</f>
        <v>14.257099999999999</v>
      </c>
      <c r="N358" s="14">
        <f>CHOOSE(CONTROL!$C$42, 14.2725, 14.2725) * CHOOSE(CONTROL!$C$21, $C$9, 100%, $E$9)</f>
        <v>14.272500000000001</v>
      </c>
      <c r="O358" s="14">
        <f>CHOOSE(CONTROL!$C$42, 14.5087, 14.5087) * CHOOSE(CONTROL!$C$21, $C$9, 100%, $E$9)</f>
        <v>14.508699999999999</v>
      </c>
      <c r="P358" s="14">
        <f>CHOOSE(CONTROL!$C$42, 14.3306, 14.3306) * CHOOSE(CONTROL!$C$21, $C$9, 100%, $E$9)</f>
        <v>14.3306</v>
      </c>
      <c r="Q358" s="14">
        <f>CHOOSE(CONTROL!$C$42, 15.1034, 15.1034) * CHOOSE(CONTROL!$C$21, $C$9, 100%, $E$9)</f>
        <v>15.103400000000001</v>
      </c>
      <c r="R358" s="14">
        <f>CHOOSE(CONTROL!$C$42, 15.7282, 15.7282) * CHOOSE(CONTROL!$C$21, $C$9, 100%, $E$9)</f>
        <v>15.728199999999999</v>
      </c>
      <c r="S358" s="14">
        <f>CHOOSE(CONTROL!$C$42, 13.9919, 13.9919) * CHOOSE(CONTROL!$C$21, $C$9, 100%, $E$9)</f>
        <v>13.991899999999999</v>
      </c>
      <c r="T35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58" s="57">
        <f>(1000*CHOOSE(CONTROL!$C$42, 695, 695)*CHOOSE(CONTROL!$C$42, 0.5599, 0.5599)*CHOOSE(CONTROL!$C$42, 31, 31))/1000000</f>
        <v>12.063045499999998</v>
      </c>
      <c r="V358" s="57">
        <f>(1000*CHOOSE(CONTROL!$C$42, 500, 500)*CHOOSE(CONTROL!$C$42, 0.275, 0.275)*CHOOSE(CONTROL!$C$42, 31, 31))/1000000</f>
        <v>4.2625000000000002</v>
      </c>
      <c r="W358" s="57">
        <f>(1000*CHOOSE(CONTROL!$C$42, 0.1146, 0.1146)*CHOOSE(CONTROL!$C$42, 121.5, 121.5)*CHOOSE(CONTROL!$C$42, 31, 31))/1000000</f>
        <v>0.43164089999999994</v>
      </c>
      <c r="X358" s="57">
        <f>(31*0.1790888*245000/1000000)+(31*0.2374*100000/1000000)</f>
        <v>2.0961194359999999</v>
      </c>
      <c r="Y358" s="57"/>
      <c r="Z358" s="14"/>
      <c r="AA358" s="56"/>
      <c r="AB358" s="50">
        <f>(B358*131.881+C358*277.167+D358*79.08+E358*125.872+F358*40+G358*185+H358*0+I358*100+J358*300)/(131.881+277.167+79.08+125.872+0+40+185+100+300)</f>
        <v>14.608230083857951</v>
      </c>
      <c r="AC358" s="45">
        <f>(M358*'RAP TEMPLATE-GAS AVAILABILITY'!O357+N358*'RAP TEMPLATE-GAS AVAILABILITY'!P357+O358*'RAP TEMPLATE-GAS AVAILABILITY'!Q357+P358*'RAP TEMPLATE-GAS AVAILABILITY'!R357)/('RAP TEMPLATE-GAS AVAILABILITY'!O357+'RAP TEMPLATE-GAS AVAILABILITY'!P357+'RAP TEMPLATE-GAS AVAILABILITY'!Q357+'RAP TEMPLATE-GAS AVAILABILITY'!R357)</f>
        <v>14.341813669064747</v>
      </c>
    </row>
    <row r="359" spans="1:29" ht="15.75" x14ac:dyDescent="0.25">
      <c r="A359" s="33">
        <v>51835</v>
      </c>
      <c r="B359" s="14">
        <f>CHOOSE(CONTROL!$C$42, 14.9537, 14.9537) * CHOOSE(CONTROL!$C$21, $C$9, 100%, $E$9)</f>
        <v>14.9537</v>
      </c>
      <c r="C359" s="14">
        <f>CHOOSE(CONTROL!$C$42, 14.9588, 14.9588) * CHOOSE(CONTROL!$C$21, $C$9, 100%, $E$9)</f>
        <v>14.9588</v>
      </c>
      <c r="D359" s="14">
        <f>CHOOSE(CONTROL!$C$42, 15.0226, 15.0226) * CHOOSE(CONTROL!$C$21, $C$9, 100%, $E$9)</f>
        <v>15.022600000000001</v>
      </c>
      <c r="E359" s="14">
        <f>CHOOSE(CONTROL!$C$42, 15.0567, 15.0567) * CHOOSE(CONTROL!$C$21, $C$9, 100%, $E$9)</f>
        <v>15.056699999999999</v>
      </c>
      <c r="F359" s="14">
        <f>CHOOSE(CONTROL!$C$42, 14.9561, 14.9561)*CHOOSE(CONTROL!$C$21, $C$9, 100%, $E$9)</f>
        <v>14.956099999999999</v>
      </c>
      <c r="G359" s="14">
        <f>CHOOSE(CONTROL!$C$42, 14.9721, 14.9721)*CHOOSE(CONTROL!$C$21, $C$9, 100%, $E$9)</f>
        <v>14.972099999999999</v>
      </c>
      <c r="H359" s="14">
        <f>CHOOSE(CONTROL!$C$42, 15.0459, 15.0459) * CHOOSE(CONTROL!$C$21, $C$9, 100%, $E$9)</f>
        <v>15.0459</v>
      </c>
      <c r="I359" s="14">
        <f>CHOOSE(CONTROL!$C$42, 15.0134, 15.0134)* CHOOSE(CONTROL!$C$21, $C$9, 100%, $E$9)</f>
        <v>15.013400000000001</v>
      </c>
      <c r="J359" s="14">
        <f>CHOOSE(CONTROL!$C$42, 14.9491, 14.9491)* CHOOSE(CONTROL!$C$21, $C$9, 100%, $E$9)</f>
        <v>14.9491</v>
      </c>
      <c r="K359" s="53">
        <f>CHOOSE(CONTROL!$C$42, 15.0095, 15.0095) * CHOOSE(CONTROL!$C$21, $C$9, 100%, $E$9)</f>
        <v>15.009499999999999</v>
      </c>
      <c r="L359" s="14">
        <f>CHOOSE(CONTROL!$C$42, 15.6329, 15.6329) * CHOOSE(CONTROL!$C$21, $C$9, 100%, $E$9)</f>
        <v>15.632899999999999</v>
      </c>
      <c r="M359" s="14">
        <f>CHOOSE(CONTROL!$C$42, 14.6505, 14.6505) * CHOOSE(CONTROL!$C$21, $C$9, 100%, $E$9)</f>
        <v>14.650499999999999</v>
      </c>
      <c r="N359" s="14">
        <f>CHOOSE(CONTROL!$C$42, 14.6662, 14.6662) * CHOOSE(CONTROL!$C$21, $C$9, 100%, $E$9)</f>
        <v>14.6662</v>
      </c>
      <c r="O359" s="14">
        <f>CHOOSE(CONTROL!$C$42, 14.7453, 14.7453) * CHOOSE(CONTROL!$C$21, $C$9, 100%, $E$9)</f>
        <v>14.7453</v>
      </c>
      <c r="P359" s="14">
        <f>CHOOSE(CONTROL!$C$42, 14.7126, 14.7126) * CHOOSE(CONTROL!$C$21, $C$9, 100%, $E$9)</f>
        <v>14.7126</v>
      </c>
      <c r="Q359" s="14">
        <f>CHOOSE(CONTROL!$C$42, 15.34, 15.34) * CHOOSE(CONTROL!$C$21, $C$9, 100%, $E$9)</f>
        <v>15.34</v>
      </c>
      <c r="R359" s="14">
        <f>CHOOSE(CONTROL!$C$42, 15.9653, 15.9653) * CHOOSE(CONTROL!$C$21, $C$9, 100%, $E$9)</f>
        <v>15.965299999999999</v>
      </c>
      <c r="S359" s="14">
        <f>CHOOSE(CONTROL!$C$42, 14.3605, 14.3605) * CHOOSE(CONTROL!$C$21, $C$9, 100%, $E$9)</f>
        <v>14.3605</v>
      </c>
      <c r="T35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59" s="57">
        <f>(1000*CHOOSE(CONTROL!$C$42, 695, 695)*CHOOSE(CONTROL!$C$42, 0.5599, 0.5599)*CHOOSE(CONTROL!$C$42, 30, 30))/1000000</f>
        <v>11.673914999999997</v>
      </c>
      <c r="V359" s="57">
        <f>(1000*CHOOSE(CONTROL!$C$42, 500, 500)*CHOOSE(CONTROL!$C$42, 0.275, 0.275)*CHOOSE(CONTROL!$C$42, 30, 30))/1000000</f>
        <v>4.125</v>
      </c>
      <c r="W359" s="57">
        <f>(1000*CHOOSE(CONTROL!$C$42, 0.1146, 0.1146)*CHOOSE(CONTROL!$C$42, 121.5, 121.5)*CHOOSE(CONTROL!$C$42, 30, 30))/1000000</f>
        <v>0.417717</v>
      </c>
      <c r="X359" s="57">
        <f>(30*0.1790888*100000/1000000)+(30*0.2374*100000/1000000)</f>
        <v>1.2494664</v>
      </c>
      <c r="Y359" s="57"/>
      <c r="Z359" s="14"/>
      <c r="AA359" s="56"/>
      <c r="AB359" s="50">
        <f>(B359*122.58+C359*297.941+D359*89.177+E359*40.302+F359*40+G359*160+H359*0+I359*100+J359*300)/(122.58+297.941+89.177+40.302+0+40+160+100+300)</f>
        <v>14.970608609043477</v>
      </c>
      <c r="AC359" s="45">
        <f>(M359*'RAP TEMPLATE-GAS AVAILABILITY'!O358+N359*'RAP TEMPLATE-GAS AVAILABILITY'!P358+O359*'RAP TEMPLATE-GAS AVAILABILITY'!Q358+P359*'RAP TEMPLATE-GAS AVAILABILITY'!R358)/('RAP TEMPLATE-GAS AVAILABILITY'!O358+'RAP TEMPLATE-GAS AVAILABILITY'!P358+'RAP TEMPLATE-GAS AVAILABILITY'!Q358+'RAP TEMPLATE-GAS AVAILABILITY'!R358)</f>
        <v>14.703305755395684</v>
      </c>
    </row>
    <row r="360" spans="1:29" ht="15.75" x14ac:dyDescent="0.25">
      <c r="A360" s="33">
        <v>51866</v>
      </c>
      <c r="B360" s="14">
        <f>CHOOSE(CONTROL!$C$42, 15.9726, 15.9726) * CHOOSE(CONTROL!$C$21, $C$9, 100%, $E$9)</f>
        <v>15.9726</v>
      </c>
      <c r="C360" s="14">
        <f>CHOOSE(CONTROL!$C$42, 15.9776, 15.9776) * CHOOSE(CONTROL!$C$21, $C$9, 100%, $E$9)</f>
        <v>15.977600000000001</v>
      </c>
      <c r="D360" s="14">
        <f>CHOOSE(CONTROL!$C$42, 16.0415, 16.0415) * CHOOSE(CONTROL!$C$21, $C$9, 100%, $E$9)</f>
        <v>16.041499999999999</v>
      </c>
      <c r="E360" s="14">
        <f>CHOOSE(CONTROL!$C$42, 16.0756, 16.0756) * CHOOSE(CONTROL!$C$21, $C$9, 100%, $E$9)</f>
        <v>16.075600000000001</v>
      </c>
      <c r="F360" s="14">
        <f>CHOOSE(CONTROL!$C$42, 15.9772, 15.9772)*CHOOSE(CONTROL!$C$21, $C$9, 100%, $E$9)</f>
        <v>15.9772</v>
      </c>
      <c r="G360" s="14">
        <f>CHOOSE(CONTROL!$C$42, 15.9938, 15.9938)*CHOOSE(CONTROL!$C$21, $C$9, 100%, $E$9)</f>
        <v>15.9938</v>
      </c>
      <c r="H360" s="14">
        <f>CHOOSE(CONTROL!$C$42, 16.0648, 16.0648) * CHOOSE(CONTROL!$C$21, $C$9, 100%, $E$9)</f>
        <v>16.064800000000002</v>
      </c>
      <c r="I360" s="14">
        <f>CHOOSE(CONTROL!$C$42, 16.0354, 16.0354)* CHOOSE(CONTROL!$C$21, $C$9, 100%, $E$9)</f>
        <v>16.035399999999999</v>
      </c>
      <c r="J360" s="14">
        <f>CHOOSE(CONTROL!$C$42, 15.9702, 15.9702)* CHOOSE(CONTROL!$C$21, $C$9, 100%, $E$9)</f>
        <v>15.9702</v>
      </c>
      <c r="K360" s="53">
        <f>CHOOSE(CONTROL!$C$42, 16.0316, 16.0316) * CHOOSE(CONTROL!$C$21, $C$9, 100%, $E$9)</f>
        <v>16.031600000000001</v>
      </c>
      <c r="L360" s="14">
        <f>CHOOSE(CONTROL!$C$42, 16.6518, 16.6518) * CHOOSE(CONTROL!$C$21, $C$9, 100%, $E$9)</f>
        <v>16.651800000000001</v>
      </c>
      <c r="M360" s="14">
        <f>CHOOSE(CONTROL!$C$42, 15.6507, 15.6507) * CHOOSE(CONTROL!$C$21, $C$9, 100%, $E$9)</f>
        <v>15.650700000000001</v>
      </c>
      <c r="N360" s="14">
        <f>CHOOSE(CONTROL!$C$42, 15.667, 15.667) * CHOOSE(CONTROL!$C$21, $C$9, 100%, $E$9)</f>
        <v>15.667</v>
      </c>
      <c r="O360" s="14">
        <f>CHOOSE(CONTROL!$C$42, 15.7433, 15.7433) * CHOOSE(CONTROL!$C$21, $C$9, 100%, $E$9)</f>
        <v>15.7433</v>
      </c>
      <c r="P360" s="14">
        <f>CHOOSE(CONTROL!$C$42, 15.7137, 15.7137) * CHOOSE(CONTROL!$C$21, $C$9, 100%, $E$9)</f>
        <v>15.713699999999999</v>
      </c>
      <c r="Q360" s="14">
        <f>CHOOSE(CONTROL!$C$42, 16.338, 16.338) * CHOOSE(CONTROL!$C$21, $C$9, 100%, $E$9)</f>
        <v>16.338000000000001</v>
      </c>
      <c r="R360" s="14">
        <f>CHOOSE(CONTROL!$C$42, 16.9658, 16.9658) * CHOOSE(CONTROL!$C$21, $C$9, 100%, $E$9)</f>
        <v>16.965800000000002</v>
      </c>
      <c r="S360" s="14">
        <f>CHOOSE(CONTROL!$C$42, 15.3395, 15.3395) * CHOOSE(CONTROL!$C$21, $C$9, 100%, $E$9)</f>
        <v>15.339499999999999</v>
      </c>
      <c r="T36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60" s="57">
        <f>(1000*CHOOSE(CONTROL!$C$42, 695, 695)*CHOOSE(CONTROL!$C$42, 0.5599, 0.5599)*CHOOSE(CONTROL!$C$42, 31, 31))/1000000</f>
        <v>12.063045499999998</v>
      </c>
      <c r="V360" s="57">
        <f>(1000*CHOOSE(CONTROL!$C$42, 500, 500)*CHOOSE(CONTROL!$C$42, 0.275, 0.275)*CHOOSE(CONTROL!$C$42, 31, 31))/1000000</f>
        <v>4.2625000000000002</v>
      </c>
      <c r="W360" s="57">
        <f>(1000*CHOOSE(CONTROL!$C$42, 0.1146, 0.1146)*CHOOSE(CONTROL!$C$42, 121.5, 121.5)*CHOOSE(CONTROL!$C$42, 31, 31))/1000000</f>
        <v>0.43164089999999994</v>
      </c>
      <c r="X360" s="57">
        <f>(31*0.1790888*100000/1000000)+(31*0.2374*100000/1000000)</f>
        <v>1.2911152800000001</v>
      </c>
      <c r="Y360" s="57"/>
      <c r="Z360" s="14"/>
      <c r="AA360" s="56"/>
      <c r="AB360" s="50">
        <f>(B360*122.58+C360*297.941+D360*89.177+E360*40.302+F360*40+G360*160+H360*0+I360*100+J360*300)/(122.58+297.941+89.177+40.302+0+40+160+100+300)</f>
        <v>15.990792266347828</v>
      </c>
      <c r="AC360" s="45">
        <f>(M360*'RAP TEMPLATE-GAS AVAILABILITY'!O359+N360*'RAP TEMPLATE-GAS AVAILABILITY'!P359+O360*'RAP TEMPLATE-GAS AVAILABILITY'!Q359+P360*'RAP TEMPLATE-GAS AVAILABILITY'!R359)/('RAP TEMPLATE-GAS AVAILABILITY'!O359+'RAP TEMPLATE-GAS AVAILABILITY'!P359+'RAP TEMPLATE-GAS AVAILABILITY'!Q359+'RAP TEMPLATE-GAS AVAILABILITY'!R359)</f>
        <v>15.702672661870501</v>
      </c>
    </row>
    <row r="361" spans="1:29" ht="15.75" x14ac:dyDescent="0.25">
      <c r="A361" s="33">
        <v>51897</v>
      </c>
      <c r="B361" s="14">
        <f>CHOOSE(CONTROL!$C$42, 17.2802, 17.2802) * CHOOSE(CONTROL!$C$21, $C$9, 100%, $E$9)</f>
        <v>17.280200000000001</v>
      </c>
      <c r="C361" s="14">
        <f>CHOOSE(CONTROL!$C$42, 17.2852, 17.2852) * CHOOSE(CONTROL!$C$21, $C$9, 100%, $E$9)</f>
        <v>17.2852</v>
      </c>
      <c r="D361" s="14">
        <f>CHOOSE(CONTROL!$C$42, 17.3516, 17.3516) * CHOOSE(CONTROL!$C$21, $C$9, 100%, $E$9)</f>
        <v>17.351600000000001</v>
      </c>
      <c r="E361" s="14">
        <f>CHOOSE(CONTROL!$C$42, 17.3857, 17.3857) * CHOOSE(CONTROL!$C$21, $C$9, 100%, $E$9)</f>
        <v>17.3857</v>
      </c>
      <c r="F361" s="14">
        <f>CHOOSE(CONTROL!$C$42, 17.2675, 17.2675)*CHOOSE(CONTROL!$C$21, $C$9, 100%, $E$9)</f>
        <v>17.267499999999998</v>
      </c>
      <c r="G361" s="14">
        <f>CHOOSE(CONTROL!$C$42, 17.283, 17.283)*CHOOSE(CONTROL!$C$21, $C$9, 100%, $E$9)</f>
        <v>17.283000000000001</v>
      </c>
      <c r="H361" s="14">
        <f>CHOOSE(CONTROL!$C$42, 17.3749, 17.3749) * CHOOSE(CONTROL!$C$21, $C$9, 100%, $E$9)</f>
        <v>17.3749</v>
      </c>
      <c r="I361" s="14">
        <f>CHOOSE(CONTROL!$C$42, 17.3419, 17.3419)* CHOOSE(CONTROL!$C$21, $C$9, 100%, $E$9)</f>
        <v>17.341899999999999</v>
      </c>
      <c r="J361" s="14">
        <f>CHOOSE(CONTROL!$C$42, 17.2605, 17.2605)* CHOOSE(CONTROL!$C$21, $C$9, 100%, $E$9)</f>
        <v>17.2605</v>
      </c>
      <c r="K361" s="53">
        <f>CHOOSE(CONTROL!$C$42, 17.338, 17.338) * CHOOSE(CONTROL!$C$21, $C$9, 100%, $E$9)</f>
        <v>17.338000000000001</v>
      </c>
      <c r="L361" s="14">
        <f>CHOOSE(CONTROL!$C$42, 17.9619, 17.9619) * CHOOSE(CONTROL!$C$21, $C$9, 100%, $E$9)</f>
        <v>17.9619</v>
      </c>
      <c r="M361" s="14">
        <f>CHOOSE(CONTROL!$C$42, 16.9145, 16.9145) * CHOOSE(CONTROL!$C$21, $C$9, 100%, $E$9)</f>
        <v>16.9145</v>
      </c>
      <c r="N361" s="14">
        <f>CHOOSE(CONTROL!$C$42, 16.9297, 16.9297) * CHOOSE(CONTROL!$C$21, $C$9, 100%, $E$9)</f>
        <v>16.9297</v>
      </c>
      <c r="O361" s="14">
        <f>CHOOSE(CONTROL!$C$42, 17.0266, 17.0266) * CHOOSE(CONTROL!$C$21, $C$9, 100%, $E$9)</f>
        <v>17.026599999999998</v>
      </c>
      <c r="P361" s="14">
        <f>CHOOSE(CONTROL!$C$42, 16.9933, 16.9933) * CHOOSE(CONTROL!$C$21, $C$9, 100%, $E$9)</f>
        <v>16.993300000000001</v>
      </c>
      <c r="Q361" s="14">
        <f>CHOOSE(CONTROL!$C$42, 17.6213, 17.6213) * CHOOSE(CONTROL!$C$21, $C$9, 100%, $E$9)</f>
        <v>17.621300000000002</v>
      </c>
      <c r="R361" s="14">
        <f>CHOOSE(CONTROL!$C$42, 18.2524, 18.2524) * CHOOSE(CONTROL!$C$21, $C$9, 100%, $E$9)</f>
        <v>18.252400000000002</v>
      </c>
      <c r="S361" s="14">
        <f>CHOOSE(CONTROL!$C$42, 16.596, 16.596) * CHOOSE(CONTROL!$C$21, $C$9, 100%, $E$9)</f>
        <v>16.596</v>
      </c>
      <c r="T36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61" s="57">
        <f>(1000*CHOOSE(CONTROL!$C$42, 695, 695)*CHOOSE(CONTROL!$C$42, 0.5599, 0.5599)*CHOOSE(CONTROL!$C$42, 31, 31))/1000000</f>
        <v>12.063045499999998</v>
      </c>
      <c r="V361" s="57">
        <f>(1000*CHOOSE(CONTROL!$C$42, 500, 500)*CHOOSE(CONTROL!$C$42, 0.275, 0.275)*CHOOSE(CONTROL!$C$42, 31, 31))/1000000</f>
        <v>4.2625000000000002</v>
      </c>
      <c r="W361" s="57">
        <f>(1000*CHOOSE(CONTROL!$C$42, 0.1146, 0.1146)*CHOOSE(CONTROL!$C$42, 121.5, 121.5)*CHOOSE(CONTROL!$C$42, 31, 31))/1000000</f>
        <v>0.43164089999999994</v>
      </c>
      <c r="X361" s="57">
        <f>(31*0.1790888*100000/1000000)+(31*0.2374*100000/1000000)</f>
        <v>1.2911152800000001</v>
      </c>
      <c r="Y361" s="57"/>
      <c r="Z361" s="14"/>
      <c r="AA361" s="56"/>
      <c r="AB361" s="50">
        <f>(B361*122.58+C361*297.941+D361*89.177+E361*40.302+F361*40+G361*160+H361*0+I361*100+J361*300)/(122.58+297.941+89.177+40.302+0+40+160+100+300)</f>
        <v>17.290903307652176</v>
      </c>
      <c r="AC361" s="45">
        <f>(M361*'RAP TEMPLATE-GAS AVAILABILITY'!O360+N361*'RAP TEMPLATE-GAS AVAILABILITY'!P360+O361*'RAP TEMPLATE-GAS AVAILABILITY'!Q360+P361*'RAP TEMPLATE-GAS AVAILABILITY'!R360)/('RAP TEMPLATE-GAS AVAILABILITY'!O360+'RAP TEMPLATE-GAS AVAILABILITY'!P360+'RAP TEMPLATE-GAS AVAILABILITY'!Q360+'RAP TEMPLATE-GAS AVAILABILITY'!R360)</f>
        <v>16.977520863309351</v>
      </c>
    </row>
    <row r="362" spans="1:29" ht="15.75" x14ac:dyDescent="0.25">
      <c r="A362" s="33">
        <v>51925</v>
      </c>
      <c r="B362" s="14">
        <f>CHOOSE(CONTROL!$C$42, 17.5876, 17.5876) * CHOOSE(CONTROL!$C$21, $C$9, 100%, $E$9)</f>
        <v>17.587599999999998</v>
      </c>
      <c r="C362" s="14">
        <f>CHOOSE(CONTROL!$C$42, 17.5927, 17.5927) * CHOOSE(CONTROL!$C$21, $C$9, 100%, $E$9)</f>
        <v>17.592700000000001</v>
      </c>
      <c r="D362" s="14">
        <f>CHOOSE(CONTROL!$C$42, 17.6591, 17.6591) * CHOOSE(CONTROL!$C$21, $C$9, 100%, $E$9)</f>
        <v>17.659099999999999</v>
      </c>
      <c r="E362" s="14">
        <f>CHOOSE(CONTROL!$C$42, 17.6932, 17.6932) * CHOOSE(CONTROL!$C$21, $C$9, 100%, $E$9)</f>
        <v>17.693200000000001</v>
      </c>
      <c r="F362" s="14">
        <f>CHOOSE(CONTROL!$C$42, 17.575, 17.575)*CHOOSE(CONTROL!$C$21, $C$9, 100%, $E$9)</f>
        <v>17.574999999999999</v>
      </c>
      <c r="G362" s="14">
        <f>CHOOSE(CONTROL!$C$42, 17.5905, 17.5905)*CHOOSE(CONTROL!$C$21, $C$9, 100%, $E$9)</f>
        <v>17.590499999999999</v>
      </c>
      <c r="H362" s="14">
        <f>CHOOSE(CONTROL!$C$42, 17.6824, 17.6824) * CHOOSE(CONTROL!$C$21, $C$9, 100%, $E$9)</f>
        <v>17.682400000000001</v>
      </c>
      <c r="I362" s="14">
        <f>CHOOSE(CONTROL!$C$42, 17.6503, 17.6503)* CHOOSE(CONTROL!$C$21, $C$9, 100%, $E$9)</f>
        <v>17.650300000000001</v>
      </c>
      <c r="J362" s="14">
        <f>CHOOSE(CONTROL!$C$42, 17.568, 17.568)* CHOOSE(CONTROL!$C$21, $C$9, 100%, $E$9)</f>
        <v>17.568000000000001</v>
      </c>
      <c r="K362" s="53">
        <f>CHOOSE(CONTROL!$C$42, 17.6464, 17.6464) * CHOOSE(CONTROL!$C$21, $C$9, 100%, $E$9)</f>
        <v>17.6464</v>
      </c>
      <c r="L362" s="14">
        <f>CHOOSE(CONTROL!$C$42, 18.2694, 18.2694) * CHOOSE(CONTROL!$C$21, $C$9, 100%, $E$9)</f>
        <v>18.269400000000001</v>
      </c>
      <c r="M362" s="14">
        <f>CHOOSE(CONTROL!$C$42, 17.2157, 17.2157) * CHOOSE(CONTROL!$C$21, $C$9, 100%, $E$9)</f>
        <v>17.215699999999998</v>
      </c>
      <c r="N362" s="14">
        <f>CHOOSE(CONTROL!$C$42, 17.2309, 17.2309) * CHOOSE(CONTROL!$C$21, $C$9, 100%, $E$9)</f>
        <v>17.230899999999998</v>
      </c>
      <c r="O362" s="14">
        <f>CHOOSE(CONTROL!$C$42, 17.3278, 17.3278) * CHOOSE(CONTROL!$C$21, $C$9, 100%, $E$9)</f>
        <v>17.3278</v>
      </c>
      <c r="P362" s="14">
        <f>CHOOSE(CONTROL!$C$42, 17.2953, 17.2953) * CHOOSE(CONTROL!$C$21, $C$9, 100%, $E$9)</f>
        <v>17.295300000000001</v>
      </c>
      <c r="Q362" s="14">
        <f>CHOOSE(CONTROL!$C$42, 17.9225, 17.9225) * CHOOSE(CONTROL!$C$21, $C$9, 100%, $E$9)</f>
        <v>17.922499999999999</v>
      </c>
      <c r="R362" s="14">
        <f>CHOOSE(CONTROL!$C$42, 18.5543, 18.5543) * CHOOSE(CONTROL!$C$21, $C$9, 100%, $E$9)</f>
        <v>18.554300000000001</v>
      </c>
      <c r="S362" s="14">
        <f>CHOOSE(CONTROL!$C$42, 16.8914, 16.8914) * CHOOSE(CONTROL!$C$21, $C$9, 100%, $E$9)</f>
        <v>16.891400000000001</v>
      </c>
      <c r="T36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62" s="57">
        <f>(1000*CHOOSE(CONTROL!$C$42, 695, 695)*CHOOSE(CONTROL!$C$42, 0.5599, 0.5599)*CHOOSE(CONTROL!$C$42, 28, 28))/1000000</f>
        <v>10.895653999999999</v>
      </c>
      <c r="V362" s="57">
        <f>(1000*CHOOSE(CONTROL!$C$42, 500, 500)*CHOOSE(CONTROL!$C$42, 0.275, 0.275)*CHOOSE(CONTROL!$C$42, 28, 28))/1000000</f>
        <v>3.85</v>
      </c>
      <c r="W362" s="57">
        <f>(1000*CHOOSE(CONTROL!$C$42, 0.1146, 0.1146)*CHOOSE(CONTROL!$C$42, 121.5, 121.5)*CHOOSE(CONTROL!$C$42, 28, 28))/1000000</f>
        <v>0.38986920000000003</v>
      </c>
      <c r="X362" s="57">
        <f>(28*0.1790888*100000/1000000)+(28*0.2374*100000/1000000)</f>
        <v>1.16616864</v>
      </c>
      <c r="Y362" s="57"/>
      <c r="Z362" s="14"/>
      <c r="AA362" s="56"/>
      <c r="AB362" s="50">
        <f>(B362*122.58+C362*297.941+D362*89.177+E362*40.302+F362*40+G362*160+H362*0+I362*100+J362*300)/(122.58+297.941+89.177+40.302+0+40+160+100+300)</f>
        <v>17.598470909391303</v>
      </c>
      <c r="AC362" s="45">
        <f>(M362*'RAP TEMPLATE-GAS AVAILABILITY'!O361+N362*'RAP TEMPLATE-GAS AVAILABILITY'!P361+O362*'RAP TEMPLATE-GAS AVAILABILITY'!Q361+P362*'RAP TEMPLATE-GAS AVAILABILITY'!R361)/('RAP TEMPLATE-GAS AVAILABILITY'!O361+'RAP TEMPLATE-GAS AVAILABILITY'!P361+'RAP TEMPLATE-GAS AVAILABILITY'!Q361+'RAP TEMPLATE-GAS AVAILABILITY'!R361)</f>
        <v>17.278835971223021</v>
      </c>
    </row>
    <row r="363" spans="1:29" ht="15.75" x14ac:dyDescent="0.25">
      <c r="A363" s="33">
        <v>51956</v>
      </c>
      <c r="B363" s="14">
        <f>CHOOSE(CONTROL!$C$42, 17.0886, 17.0886) * CHOOSE(CONTROL!$C$21, $C$9, 100%, $E$9)</f>
        <v>17.0886</v>
      </c>
      <c r="C363" s="14">
        <f>CHOOSE(CONTROL!$C$42, 17.0936, 17.0936) * CHOOSE(CONTROL!$C$21, $C$9, 100%, $E$9)</f>
        <v>17.093599999999999</v>
      </c>
      <c r="D363" s="14">
        <f>CHOOSE(CONTROL!$C$42, 17.16, 17.16) * CHOOSE(CONTROL!$C$21, $C$9, 100%, $E$9)</f>
        <v>17.16</v>
      </c>
      <c r="E363" s="14">
        <f>CHOOSE(CONTROL!$C$42, 17.1941, 17.1941) * CHOOSE(CONTROL!$C$21, $C$9, 100%, $E$9)</f>
        <v>17.194099999999999</v>
      </c>
      <c r="F363" s="14">
        <f>CHOOSE(CONTROL!$C$42, 17.0756, 17.0756)*CHOOSE(CONTROL!$C$21, $C$9, 100%, $E$9)</f>
        <v>17.075600000000001</v>
      </c>
      <c r="G363" s="14">
        <f>CHOOSE(CONTROL!$C$42, 17.0909, 17.0909)*CHOOSE(CONTROL!$C$21, $C$9, 100%, $E$9)</f>
        <v>17.090900000000001</v>
      </c>
      <c r="H363" s="14">
        <f>CHOOSE(CONTROL!$C$42, 17.1833, 17.1833) * CHOOSE(CONTROL!$C$21, $C$9, 100%, $E$9)</f>
        <v>17.183299999999999</v>
      </c>
      <c r="I363" s="14">
        <f>CHOOSE(CONTROL!$C$42, 17.1497, 17.1497)* CHOOSE(CONTROL!$C$21, $C$9, 100%, $E$9)</f>
        <v>17.149699999999999</v>
      </c>
      <c r="J363" s="14">
        <f>CHOOSE(CONTROL!$C$42, 17.0686, 17.0686)* CHOOSE(CONTROL!$C$21, $C$9, 100%, $E$9)</f>
        <v>17.0686</v>
      </c>
      <c r="K363" s="53">
        <f>CHOOSE(CONTROL!$C$42, 17.1458, 17.1458) * CHOOSE(CONTROL!$C$21, $C$9, 100%, $E$9)</f>
        <v>17.145800000000001</v>
      </c>
      <c r="L363" s="14">
        <f>CHOOSE(CONTROL!$C$42, 17.7703, 17.7703) * CHOOSE(CONTROL!$C$21, $C$9, 100%, $E$9)</f>
        <v>17.770299999999999</v>
      </c>
      <c r="M363" s="14">
        <f>CHOOSE(CONTROL!$C$42, 16.7265, 16.7265) * CHOOSE(CONTROL!$C$21, $C$9, 100%, $E$9)</f>
        <v>16.726500000000001</v>
      </c>
      <c r="N363" s="14">
        <f>CHOOSE(CONTROL!$C$42, 16.7416, 16.7416) * CHOOSE(CONTROL!$C$21, $C$9, 100%, $E$9)</f>
        <v>16.741599999999998</v>
      </c>
      <c r="O363" s="14">
        <f>CHOOSE(CONTROL!$C$42, 16.8389, 16.8389) * CHOOSE(CONTROL!$C$21, $C$9, 100%, $E$9)</f>
        <v>16.838899999999999</v>
      </c>
      <c r="P363" s="14">
        <f>CHOOSE(CONTROL!$C$42, 16.805, 16.805) * CHOOSE(CONTROL!$C$21, $C$9, 100%, $E$9)</f>
        <v>16.805</v>
      </c>
      <c r="Q363" s="14">
        <f>CHOOSE(CONTROL!$C$42, 17.4336, 17.4336) * CHOOSE(CONTROL!$C$21, $C$9, 100%, $E$9)</f>
        <v>17.433599999999998</v>
      </c>
      <c r="R363" s="14">
        <f>CHOOSE(CONTROL!$C$42, 18.0642, 18.0642) * CHOOSE(CONTROL!$C$21, $C$9, 100%, $E$9)</f>
        <v>18.0642</v>
      </c>
      <c r="S363" s="14">
        <f>CHOOSE(CONTROL!$C$42, 16.4118, 16.4118) * CHOOSE(CONTROL!$C$21, $C$9, 100%, $E$9)</f>
        <v>16.411799999999999</v>
      </c>
      <c r="T36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63" s="57">
        <f>(1000*CHOOSE(CONTROL!$C$42, 695, 695)*CHOOSE(CONTROL!$C$42, 0.5599, 0.5599)*CHOOSE(CONTROL!$C$42, 31, 31))/1000000</f>
        <v>12.063045499999998</v>
      </c>
      <c r="V363" s="57">
        <f>(1000*CHOOSE(CONTROL!$C$42, 500, 500)*CHOOSE(CONTROL!$C$42, 0.275, 0.275)*CHOOSE(CONTROL!$C$42, 31, 31))/1000000</f>
        <v>4.2625000000000002</v>
      </c>
      <c r="W363" s="57">
        <f>(1000*CHOOSE(CONTROL!$C$42, 0.1146, 0.1146)*CHOOSE(CONTROL!$C$42, 121.5, 121.5)*CHOOSE(CONTROL!$C$42, 31, 31))/1000000</f>
        <v>0.43164089999999994</v>
      </c>
      <c r="X363" s="57">
        <f>(31*0.1790888*100000/1000000)+(31*0.2374*100000/1000000)</f>
        <v>1.2911152800000001</v>
      </c>
      <c r="Y363" s="57"/>
      <c r="Z363" s="14"/>
      <c r="AA363" s="56"/>
      <c r="AB363" s="50">
        <f>(B363*122.58+C363*297.941+D363*89.177+E363*40.302+F363*40+G363*160+H363*0+I363*100+J363*300)/(122.58+297.941+89.177+40.302+0+40+160+100+300)</f>
        <v>17.099092872869566</v>
      </c>
      <c r="AC363" s="45">
        <f>(M363*'RAP TEMPLATE-GAS AVAILABILITY'!O362+N363*'RAP TEMPLATE-GAS AVAILABILITY'!P362+O363*'RAP TEMPLATE-GAS AVAILABILITY'!Q362+P363*'RAP TEMPLATE-GAS AVAILABILITY'!R362)/('RAP TEMPLATE-GAS AVAILABILITY'!O362+'RAP TEMPLATE-GAS AVAILABILITY'!P362+'RAP TEMPLATE-GAS AVAILABILITY'!Q362+'RAP TEMPLATE-GAS AVAILABILITY'!R362)</f>
        <v>16.789607913669066</v>
      </c>
    </row>
    <row r="364" spans="1:29" ht="15.75" x14ac:dyDescent="0.25">
      <c r="A364" s="33">
        <v>51986</v>
      </c>
      <c r="B364" s="14">
        <f>CHOOSE(CONTROL!$C$42, 17.0386, 17.0386) * CHOOSE(CONTROL!$C$21, $C$9, 100%, $E$9)</f>
        <v>17.038599999999999</v>
      </c>
      <c r="C364" s="14">
        <f>CHOOSE(CONTROL!$C$42, 17.0431, 17.0431) * CHOOSE(CONTROL!$C$21, $C$9, 100%, $E$9)</f>
        <v>17.043099999999999</v>
      </c>
      <c r="D364" s="14">
        <f>CHOOSE(CONTROL!$C$42, 17.2502, 17.2502) * CHOOSE(CONTROL!$C$21, $C$9, 100%, $E$9)</f>
        <v>17.2502</v>
      </c>
      <c r="E364" s="14">
        <f>CHOOSE(CONTROL!$C$42, 17.2823, 17.2823) * CHOOSE(CONTROL!$C$21, $C$9, 100%, $E$9)</f>
        <v>17.282299999999999</v>
      </c>
      <c r="F364" s="14">
        <f>CHOOSE(CONTROL!$C$42, 17.0205, 17.0205)*CHOOSE(CONTROL!$C$21, $C$9, 100%, $E$9)</f>
        <v>17.020499999999998</v>
      </c>
      <c r="G364" s="14">
        <f>CHOOSE(CONTROL!$C$42, 17.0357, 17.0357)*CHOOSE(CONTROL!$C$21, $C$9, 100%, $E$9)</f>
        <v>17.035699999999999</v>
      </c>
      <c r="H364" s="14">
        <f>CHOOSE(CONTROL!$C$42, 17.272, 17.272) * CHOOSE(CONTROL!$C$21, $C$9, 100%, $E$9)</f>
        <v>17.271999999999998</v>
      </c>
      <c r="I364" s="14">
        <f>CHOOSE(CONTROL!$C$42, 17.0988, 17.0988)* CHOOSE(CONTROL!$C$21, $C$9, 100%, $E$9)</f>
        <v>17.098800000000001</v>
      </c>
      <c r="J364" s="14">
        <f>CHOOSE(CONTROL!$C$42, 17.0135, 17.0135)* CHOOSE(CONTROL!$C$21, $C$9, 100%, $E$9)</f>
        <v>17.013500000000001</v>
      </c>
      <c r="K364" s="53">
        <f>CHOOSE(CONTROL!$C$42, 17.0949, 17.0949) * CHOOSE(CONTROL!$C$21, $C$9, 100%, $E$9)</f>
        <v>17.094899999999999</v>
      </c>
      <c r="L364" s="14">
        <f>CHOOSE(CONTROL!$C$42, 17.859, 17.859) * CHOOSE(CONTROL!$C$21, $C$9, 100%, $E$9)</f>
        <v>17.859000000000002</v>
      </c>
      <c r="M364" s="14">
        <f>CHOOSE(CONTROL!$C$42, 16.6726, 16.6726) * CHOOSE(CONTROL!$C$21, $C$9, 100%, $E$9)</f>
        <v>16.672599999999999</v>
      </c>
      <c r="N364" s="14">
        <f>CHOOSE(CONTROL!$C$42, 16.6875, 16.6875) * CHOOSE(CONTROL!$C$21, $C$9, 100%, $E$9)</f>
        <v>16.6875</v>
      </c>
      <c r="O364" s="14">
        <f>CHOOSE(CONTROL!$C$42, 16.9258, 16.9258) * CHOOSE(CONTROL!$C$21, $C$9, 100%, $E$9)</f>
        <v>16.925799999999999</v>
      </c>
      <c r="P364" s="14">
        <f>CHOOSE(CONTROL!$C$42, 16.7551, 16.7551) * CHOOSE(CONTROL!$C$21, $C$9, 100%, $E$9)</f>
        <v>16.755099999999999</v>
      </c>
      <c r="Q364" s="14">
        <f>CHOOSE(CONTROL!$C$42, 17.5205, 17.5205) * CHOOSE(CONTROL!$C$21, $C$9, 100%, $E$9)</f>
        <v>17.520499999999998</v>
      </c>
      <c r="R364" s="14">
        <f>CHOOSE(CONTROL!$C$42, 18.1513, 18.1513) * CHOOSE(CONTROL!$C$21, $C$9, 100%, $E$9)</f>
        <v>18.151299999999999</v>
      </c>
      <c r="S364" s="14">
        <f>CHOOSE(CONTROL!$C$42, 16.3631, 16.3631) * CHOOSE(CONTROL!$C$21, $C$9, 100%, $E$9)</f>
        <v>16.363099999999999</v>
      </c>
      <c r="T36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64" s="57">
        <f>(1000*CHOOSE(CONTROL!$C$42, 695, 695)*CHOOSE(CONTROL!$C$42, 0.5599, 0.5599)*CHOOSE(CONTROL!$C$42, 30, 30))/1000000</f>
        <v>11.673914999999997</v>
      </c>
      <c r="V364" s="57">
        <f>(1000*CHOOSE(CONTROL!$C$42, 500, 500)*CHOOSE(CONTROL!$C$42, 0.275, 0.275)*CHOOSE(CONTROL!$C$42, 30, 30))/1000000</f>
        <v>4.125</v>
      </c>
      <c r="W364" s="57">
        <f>(1000*CHOOSE(CONTROL!$C$42, 0.1146, 0.1146)*CHOOSE(CONTROL!$C$42, 121.5, 121.5)*CHOOSE(CONTROL!$C$42, 30, 30))/1000000</f>
        <v>0.417717</v>
      </c>
      <c r="X364" s="57">
        <f>(30*0.1790888*245000/1000000)+(30*0.2374*100000/1000000)</f>
        <v>2.0285026799999999</v>
      </c>
      <c r="Y364" s="57"/>
      <c r="Z364" s="14"/>
      <c r="AA364" s="56"/>
      <c r="AB364" s="50">
        <f>(B364*141.293+C364*267.993+D364*115.016+E364*89.698+F364*40+G364*185+H364*0+I364*100+J364*300)/(141.293+267.993+115.016+89.698+0+40+185+100+300)</f>
        <v>17.074622806053267</v>
      </c>
      <c r="AC364" s="45">
        <f>(M364*'RAP TEMPLATE-GAS AVAILABILITY'!O363+N364*'RAP TEMPLATE-GAS AVAILABILITY'!P363+O364*'RAP TEMPLATE-GAS AVAILABILITY'!Q363+P364*'RAP TEMPLATE-GAS AVAILABILITY'!R363)/('RAP TEMPLATE-GAS AVAILABILITY'!O363+'RAP TEMPLATE-GAS AVAILABILITY'!P363+'RAP TEMPLATE-GAS AVAILABILITY'!Q363+'RAP TEMPLATE-GAS AVAILABILITY'!R363)</f>
        <v>16.758942446043164</v>
      </c>
    </row>
    <row r="365" spans="1:29" ht="15.75" x14ac:dyDescent="0.25">
      <c r="A365" s="33">
        <v>52017</v>
      </c>
      <c r="B365" s="14">
        <f>CHOOSE(CONTROL!$C$42, 17.1903, 17.1903) * CHOOSE(CONTROL!$C$21, $C$9, 100%, $E$9)</f>
        <v>17.190300000000001</v>
      </c>
      <c r="C365" s="14">
        <f>CHOOSE(CONTROL!$C$42, 17.1983, 17.1983) * CHOOSE(CONTROL!$C$21, $C$9, 100%, $E$9)</f>
        <v>17.1983</v>
      </c>
      <c r="D365" s="14">
        <f>CHOOSE(CONTROL!$C$42, 17.4022, 17.4022) * CHOOSE(CONTROL!$C$21, $C$9, 100%, $E$9)</f>
        <v>17.402200000000001</v>
      </c>
      <c r="E365" s="14">
        <f>CHOOSE(CONTROL!$C$42, 17.4337, 17.4337) * CHOOSE(CONTROL!$C$21, $C$9, 100%, $E$9)</f>
        <v>17.433700000000002</v>
      </c>
      <c r="F365" s="14">
        <f>CHOOSE(CONTROL!$C$42, 17.171, 17.171)*CHOOSE(CONTROL!$C$21, $C$9, 100%, $E$9)</f>
        <v>17.170999999999999</v>
      </c>
      <c r="G365" s="14">
        <f>CHOOSE(CONTROL!$C$42, 17.1867, 17.1867)*CHOOSE(CONTROL!$C$21, $C$9, 100%, $E$9)</f>
        <v>17.186699999999998</v>
      </c>
      <c r="H365" s="14">
        <f>CHOOSE(CONTROL!$C$42, 17.4223, 17.4223) * CHOOSE(CONTROL!$C$21, $C$9, 100%, $E$9)</f>
        <v>17.4223</v>
      </c>
      <c r="I365" s="14">
        <f>CHOOSE(CONTROL!$C$42, 17.2496, 17.2496)* CHOOSE(CONTROL!$C$21, $C$9, 100%, $E$9)</f>
        <v>17.249600000000001</v>
      </c>
      <c r="J365" s="14">
        <f>CHOOSE(CONTROL!$C$42, 17.164, 17.164)* CHOOSE(CONTROL!$C$21, $C$9, 100%, $E$9)</f>
        <v>17.164000000000001</v>
      </c>
      <c r="K365" s="53">
        <f>CHOOSE(CONTROL!$C$42, 17.2457, 17.2457) * CHOOSE(CONTROL!$C$21, $C$9, 100%, $E$9)</f>
        <v>17.245699999999999</v>
      </c>
      <c r="L365" s="14">
        <f>CHOOSE(CONTROL!$C$42, 18.0093, 18.0093) * CHOOSE(CONTROL!$C$21, $C$9, 100%, $E$9)</f>
        <v>18.0093</v>
      </c>
      <c r="M365" s="14">
        <f>CHOOSE(CONTROL!$C$42, 16.82, 16.82) * CHOOSE(CONTROL!$C$21, $C$9, 100%, $E$9)</f>
        <v>16.82</v>
      </c>
      <c r="N365" s="14">
        <f>CHOOSE(CONTROL!$C$42, 16.8354, 16.8354) * CHOOSE(CONTROL!$C$21, $C$9, 100%, $E$9)</f>
        <v>16.8354</v>
      </c>
      <c r="O365" s="14">
        <f>CHOOSE(CONTROL!$C$42, 17.0731, 17.0731) * CHOOSE(CONTROL!$C$21, $C$9, 100%, $E$9)</f>
        <v>17.0731</v>
      </c>
      <c r="P365" s="14">
        <f>CHOOSE(CONTROL!$C$42, 16.9028, 16.9028) * CHOOSE(CONTROL!$C$21, $C$9, 100%, $E$9)</f>
        <v>16.902799999999999</v>
      </c>
      <c r="Q365" s="14">
        <f>CHOOSE(CONTROL!$C$42, 17.6678, 17.6678) * CHOOSE(CONTROL!$C$21, $C$9, 100%, $E$9)</f>
        <v>17.6678</v>
      </c>
      <c r="R365" s="14">
        <f>CHOOSE(CONTROL!$C$42, 18.2989, 18.2989) * CHOOSE(CONTROL!$C$21, $C$9, 100%, $E$9)</f>
        <v>18.2989</v>
      </c>
      <c r="S365" s="14">
        <f>CHOOSE(CONTROL!$C$42, 16.5075, 16.5075) * CHOOSE(CONTROL!$C$21, $C$9, 100%, $E$9)</f>
        <v>16.5075</v>
      </c>
      <c r="T36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65" s="57">
        <f>(1000*CHOOSE(CONTROL!$C$42, 695, 695)*CHOOSE(CONTROL!$C$42, 0.5599, 0.5599)*CHOOSE(CONTROL!$C$42, 31, 31))/1000000</f>
        <v>12.063045499999998</v>
      </c>
      <c r="V365" s="57">
        <f>(1000*CHOOSE(CONTROL!$C$42, 500, 500)*CHOOSE(CONTROL!$C$42, 0.275, 0.275)*CHOOSE(CONTROL!$C$42, 31, 31))/1000000</f>
        <v>4.2625000000000002</v>
      </c>
      <c r="W365" s="57">
        <f>(1000*CHOOSE(CONTROL!$C$42, 0.1146, 0.1146)*CHOOSE(CONTROL!$C$42, 121.5, 121.5)*CHOOSE(CONTROL!$C$42, 31, 31))/1000000</f>
        <v>0.43164089999999994</v>
      </c>
      <c r="X365" s="57">
        <f>(31*0.1790888*245000/1000000)+(31*0.2374*100000/1000000)</f>
        <v>2.0961194359999999</v>
      </c>
      <c r="Y365" s="57"/>
      <c r="Z365" s="14"/>
      <c r="AA365" s="56"/>
      <c r="AB365" s="50">
        <f>(B365*194.205+C365*267.466+D365*133.845+E365*53.484+F365*40+G365*185+H365*0+I365*100+J365*300)/(194.205+267.466+133.845+53.484+0+40+185+100+300)</f>
        <v>17.221792534615386</v>
      </c>
      <c r="AC365" s="45">
        <f>(M365*'RAP TEMPLATE-GAS AVAILABILITY'!O364+N365*'RAP TEMPLATE-GAS AVAILABILITY'!P364+O365*'RAP TEMPLATE-GAS AVAILABILITY'!Q364+P365*'RAP TEMPLATE-GAS AVAILABILITY'!R364)/('RAP TEMPLATE-GAS AVAILABILITY'!O364+'RAP TEMPLATE-GAS AVAILABILITY'!P364+'RAP TEMPLATE-GAS AVAILABILITY'!Q364+'RAP TEMPLATE-GAS AVAILABILITY'!R364)</f>
        <v>16.906472661870502</v>
      </c>
    </row>
    <row r="366" spans="1:29" ht="15.75" x14ac:dyDescent="0.25">
      <c r="A366" s="33">
        <v>52047</v>
      </c>
      <c r="B366" s="14">
        <f>CHOOSE(CONTROL!$C$42, 17.6776, 17.6776) * CHOOSE(CONTROL!$C$21, $C$9, 100%, $E$9)</f>
        <v>17.677600000000002</v>
      </c>
      <c r="C366" s="14">
        <f>CHOOSE(CONTROL!$C$42, 17.6856, 17.6856) * CHOOSE(CONTROL!$C$21, $C$9, 100%, $E$9)</f>
        <v>17.685600000000001</v>
      </c>
      <c r="D366" s="14">
        <f>CHOOSE(CONTROL!$C$42, 17.8895, 17.8895) * CHOOSE(CONTROL!$C$21, $C$9, 100%, $E$9)</f>
        <v>17.889500000000002</v>
      </c>
      <c r="E366" s="14">
        <f>CHOOSE(CONTROL!$C$42, 17.921, 17.921) * CHOOSE(CONTROL!$C$21, $C$9, 100%, $E$9)</f>
        <v>17.920999999999999</v>
      </c>
      <c r="F366" s="14">
        <f>CHOOSE(CONTROL!$C$42, 17.6587, 17.6587)*CHOOSE(CONTROL!$C$21, $C$9, 100%, $E$9)</f>
        <v>17.6587</v>
      </c>
      <c r="G366" s="14">
        <f>CHOOSE(CONTROL!$C$42, 17.6745, 17.6745)*CHOOSE(CONTROL!$C$21, $C$9, 100%, $E$9)</f>
        <v>17.674499999999998</v>
      </c>
      <c r="H366" s="14">
        <f>CHOOSE(CONTROL!$C$42, 17.9096, 17.9096) * CHOOSE(CONTROL!$C$21, $C$9, 100%, $E$9)</f>
        <v>17.909600000000001</v>
      </c>
      <c r="I366" s="14">
        <f>CHOOSE(CONTROL!$C$42, 17.7384, 17.7384)* CHOOSE(CONTROL!$C$21, $C$9, 100%, $E$9)</f>
        <v>17.738399999999999</v>
      </c>
      <c r="J366" s="14">
        <f>CHOOSE(CONTROL!$C$42, 17.6517, 17.6517)* CHOOSE(CONTROL!$C$21, $C$9, 100%, $E$9)</f>
        <v>17.651700000000002</v>
      </c>
      <c r="K366" s="53">
        <f>CHOOSE(CONTROL!$C$42, 17.7345, 17.7345) * CHOOSE(CONTROL!$C$21, $C$9, 100%, $E$9)</f>
        <v>17.734500000000001</v>
      </c>
      <c r="L366" s="14">
        <f>CHOOSE(CONTROL!$C$42, 18.4966, 18.4966) * CHOOSE(CONTROL!$C$21, $C$9, 100%, $E$9)</f>
        <v>18.496600000000001</v>
      </c>
      <c r="M366" s="14">
        <f>CHOOSE(CONTROL!$C$42, 17.2977, 17.2977) * CHOOSE(CONTROL!$C$21, $C$9, 100%, $E$9)</f>
        <v>17.297699999999999</v>
      </c>
      <c r="N366" s="14">
        <f>CHOOSE(CONTROL!$C$42, 17.3132, 17.3132) * CHOOSE(CONTROL!$C$21, $C$9, 100%, $E$9)</f>
        <v>17.313199999999998</v>
      </c>
      <c r="O366" s="14">
        <f>CHOOSE(CONTROL!$C$42, 17.5503, 17.5503) * CHOOSE(CONTROL!$C$21, $C$9, 100%, $E$9)</f>
        <v>17.5503</v>
      </c>
      <c r="P366" s="14">
        <f>CHOOSE(CONTROL!$C$42, 17.3816, 17.3816) * CHOOSE(CONTROL!$C$21, $C$9, 100%, $E$9)</f>
        <v>17.381599999999999</v>
      </c>
      <c r="Q366" s="14">
        <f>CHOOSE(CONTROL!$C$42, 18.145, 18.145) * CHOOSE(CONTROL!$C$21, $C$9, 100%, $E$9)</f>
        <v>18.145</v>
      </c>
      <c r="R366" s="14">
        <f>CHOOSE(CONTROL!$C$42, 18.7774, 18.7774) * CHOOSE(CONTROL!$C$21, $C$9, 100%, $E$9)</f>
        <v>18.7774</v>
      </c>
      <c r="S366" s="14">
        <f>CHOOSE(CONTROL!$C$42, 16.9757, 16.9757) * CHOOSE(CONTROL!$C$21, $C$9, 100%, $E$9)</f>
        <v>16.9757</v>
      </c>
      <c r="T36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66" s="57">
        <f>(1000*CHOOSE(CONTROL!$C$42, 695, 695)*CHOOSE(CONTROL!$C$42, 0.5599, 0.5599)*CHOOSE(CONTROL!$C$42, 30, 30))/1000000</f>
        <v>11.673914999999997</v>
      </c>
      <c r="V366" s="57">
        <f>(1000*CHOOSE(CONTROL!$C$42, 500, 500)*CHOOSE(CONTROL!$C$42, 0.275, 0.275)*CHOOSE(CONTROL!$C$42, 30, 30))/1000000</f>
        <v>4.125</v>
      </c>
      <c r="W366" s="57">
        <f>(1000*CHOOSE(CONTROL!$C$42, 0.1146, 0.1146)*CHOOSE(CONTROL!$C$42, 121.5, 121.5)*CHOOSE(CONTROL!$C$42, 30, 30))/1000000</f>
        <v>0.417717</v>
      </c>
      <c r="X366" s="57">
        <f>(30*0.1790888*245000/1000000)+(30*0.2374*100000/1000000)</f>
        <v>2.0285026799999999</v>
      </c>
      <c r="Y366" s="57"/>
      <c r="Z366" s="14"/>
      <c r="AA366" s="56"/>
      <c r="AB366" s="50">
        <f>(B366*194.205+C366*267.466+D366*133.845+E366*53.484+F366*40+G366*185+H366*0+I366*100+J366*300)/(194.205+267.466+133.845+53.484+0+40+185+100+300)</f>
        <v>17.709389630376762</v>
      </c>
      <c r="AC366" s="45">
        <f>(M366*'RAP TEMPLATE-GAS AVAILABILITY'!O365+N366*'RAP TEMPLATE-GAS AVAILABILITY'!P365+O366*'RAP TEMPLATE-GAS AVAILABILITY'!Q365+P366*'RAP TEMPLATE-GAS AVAILABILITY'!R365)/('RAP TEMPLATE-GAS AVAILABILITY'!O365+'RAP TEMPLATE-GAS AVAILABILITY'!P365+'RAP TEMPLATE-GAS AVAILABILITY'!Q365+'RAP TEMPLATE-GAS AVAILABILITY'!R365)</f>
        <v>17.384213669064749</v>
      </c>
    </row>
    <row r="367" spans="1:29" ht="15.75" x14ac:dyDescent="0.25">
      <c r="A367" s="33">
        <v>52078</v>
      </c>
      <c r="B367" s="14">
        <f>CHOOSE(CONTROL!$C$42, 17.3386, 17.3386) * CHOOSE(CONTROL!$C$21, $C$9, 100%, $E$9)</f>
        <v>17.3386</v>
      </c>
      <c r="C367" s="14">
        <f>CHOOSE(CONTROL!$C$42, 17.3467, 17.3467) * CHOOSE(CONTROL!$C$21, $C$9, 100%, $E$9)</f>
        <v>17.346699999999998</v>
      </c>
      <c r="D367" s="14">
        <f>CHOOSE(CONTROL!$C$42, 17.5506, 17.5506) * CHOOSE(CONTROL!$C$21, $C$9, 100%, $E$9)</f>
        <v>17.550599999999999</v>
      </c>
      <c r="E367" s="14">
        <f>CHOOSE(CONTROL!$C$42, 17.5821, 17.5821) * CHOOSE(CONTROL!$C$21, $C$9, 100%, $E$9)</f>
        <v>17.582100000000001</v>
      </c>
      <c r="F367" s="14">
        <f>CHOOSE(CONTROL!$C$42, 17.3203, 17.3203)*CHOOSE(CONTROL!$C$21, $C$9, 100%, $E$9)</f>
        <v>17.3203</v>
      </c>
      <c r="G367" s="14">
        <f>CHOOSE(CONTROL!$C$42, 17.3362, 17.3362)*CHOOSE(CONTROL!$C$21, $C$9, 100%, $E$9)</f>
        <v>17.336200000000002</v>
      </c>
      <c r="H367" s="14">
        <f>CHOOSE(CONTROL!$C$42, 17.5707, 17.5707) * CHOOSE(CONTROL!$C$21, $C$9, 100%, $E$9)</f>
        <v>17.570699999999999</v>
      </c>
      <c r="I367" s="14">
        <f>CHOOSE(CONTROL!$C$42, 17.3984, 17.3984)* CHOOSE(CONTROL!$C$21, $C$9, 100%, $E$9)</f>
        <v>17.398399999999999</v>
      </c>
      <c r="J367" s="14">
        <f>CHOOSE(CONTROL!$C$42, 17.3133, 17.3133)* CHOOSE(CONTROL!$C$21, $C$9, 100%, $E$9)</f>
        <v>17.313300000000002</v>
      </c>
      <c r="K367" s="53">
        <f>CHOOSE(CONTROL!$C$42, 17.3945, 17.3945) * CHOOSE(CONTROL!$C$21, $C$9, 100%, $E$9)</f>
        <v>17.394500000000001</v>
      </c>
      <c r="L367" s="14">
        <f>CHOOSE(CONTROL!$C$42, 18.1577, 18.1577) * CHOOSE(CONTROL!$C$21, $C$9, 100%, $E$9)</f>
        <v>18.157699999999998</v>
      </c>
      <c r="M367" s="14">
        <f>CHOOSE(CONTROL!$C$42, 16.9662, 16.9662) * CHOOSE(CONTROL!$C$21, $C$9, 100%, $E$9)</f>
        <v>16.966200000000001</v>
      </c>
      <c r="N367" s="14">
        <f>CHOOSE(CONTROL!$C$42, 16.9818, 16.9818) * CHOOSE(CONTROL!$C$21, $C$9, 100%, $E$9)</f>
        <v>16.9818</v>
      </c>
      <c r="O367" s="14">
        <f>CHOOSE(CONTROL!$C$42, 17.2184, 17.2184) * CHOOSE(CONTROL!$C$21, $C$9, 100%, $E$9)</f>
        <v>17.218399999999999</v>
      </c>
      <c r="P367" s="14">
        <f>CHOOSE(CONTROL!$C$42, 17.0486, 17.0486) * CHOOSE(CONTROL!$C$21, $C$9, 100%, $E$9)</f>
        <v>17.0486</v>
      </c>
      <c r="Q367" s="14">
        <f>CHOOSE(CONTROL!$C$42, 17.8131, 17.8131) * CHOOSE(CONTROL!$C$21, $C$9, 100%, $E$9)</f>
        <v>17.813099999999999</v>
      </c>
      <c r="R367" s="14">
        <f>CHOOSE(CONTROL!$C$42, 18.4446, 18.4446) * CHOOSE(CONTROL!$C$21, $C$9, 100%, $E$9)</f>
        <v>18.444600000000001</v>
      </c>
      <c r="S367" s="14">
        <f>CHOOSE(CONTROL!$C$42, 16.6501, 16.6501) * CHOOSE(CONTROL!$C$21, $C$9, 100%, $E$9)</f>
        <v>16.650099999999998</v>
      </c>
      <c r="T36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67" s="57">
        <f>(1000*CHOOSE(CONTROL!$C$42, 695, 695)*CHOOSE(CONTROL!$C$42, 0.5599, 0.5599)*CHOOSE(CONTROL!$C$42, 31, 31))/1000000</f>
        <v>12.063045499999998</v>
      </c>
      <c r="V367" s="57">
        <f>(1000*CHOOSE(CONTROL!$C$42, 500, 500)*CHOOSE(CONTROL!$C$42, 0.275, 0.275)*CHOOSE(CONTROL!$C$42, 31, 31))/1000000</f>
        <v>4.2625000000000002</v>
      </c>
      <c r="W367" s="57">
        <f>(1000*CHOOSE(CONTROL!$C$42, 0.1146, 0.1146)*CHOOSE(CONTROL!$C$42, 121.5, 121.5)*CHOOSE(CONTROL!$C$42, 31, 31))/1000000</f>
        <v>0.43164089999999994</v>
      </c>
      <c r="X367" s="57">
        <f>(31*0.1790888*245000/1000000)+(31*0.2374*100000/1000000)</f>
        <v>2.0961194359999999</v>
      </c>
      <c r="Y367" s="57"/>
      <c r="Z367" s="14"/>
      <c r="AA367" s="56"/>
      <c r="AB367" s="50">
        <f>(B367*194.205+C367*267.466+D367*133.845+E367*53.484+F367*40+G367*185+H367*0+I367*100+J367*300)/(194.205+267.466+133.845+53.484+0+40+185+100+300)</f>
        <v>17.370608609576138</v>
      </c>
      <c r="AC367" s="45">
        <f>(M367*'RAP TEMPLATE-GAS AVAILABILITY'!O366+N367*'RAP TEMPLATE-GAS AVAILABILITY'!P366+O367*'RAP TEMPLATE-GAS AVAILABILITY'!Q366+P367*'RAP TEMPLATE-GAS AVAILABILITY'!R366)/('RAP TEMPLATE-GAS AVAILABILITY'!O366+'RAP TEMPLATE-GAS AVAILABILITY'!P366+'RAP TEMPLATE-GAS AVAILABILITY'!Q366+'RAP TEMPLATE-GAS AVAILABILITY'!R366)</f>
        <v>17.052408633093524</v>
      </c>
    </row>
    <row r="368" spans="1:29" ht="15.75" x14ac:dyDescent="0.25">
      <c r="A368" s="33">
        <v>52109</v>
      </c>
      <c r="B368" s="14">
        <f>CHOOSE(CONTROL!$C$42, 16.4828, 16.4828) * CHOOSE(CONTROL!$C$21, $C$9, 100%, $E$9)</f>
        <v>16.482800000000001</v>
      </c>
      <c r="C368" s="14">
        <f>CHOOSE(CONTROL!$C$42, 16.4908, 16.4908) * CHOOSE(CONTROL!$C$21, $C$9, 100%, $E$9)</f>
        <v>16.4908</v>
      </c>
      <c r="D368" s="14">
        <f>CHOOSE(CONTROL!$C$42, 16.6948, 16.6948) * CHOOSE(CONTROL!$C$21, $C$9, 100%, $E$9)</f>
        <v>16.694800000000001</v>
      </c>
      <c r="E368" s="14">
        <f>CHOOSE(CONTROL!$C$42, 16.7262, 16.7262) * CHOOSE(CONTROL!$C$21, $C$9, 100%, $E$9)</f>
        <v>16.726199999999999</v>
      </c>
      <c r="F368" s="14">
        <f>CHOOSE(CONTROL!$C$42, 16.4647, 16.4647)*CHOOSE(CONTROL!$C$21, $C$9, 100%, $E$9)</f>
        <v>16.464700000000001</v>
      </c>
      <c r="G368" s="14">
        <f>CHOOSE(CONTROL!$C$42, 16.4806, 16.4806)*CHOOSE(CONTROL!$C$21, $C$9, 100%, $E$9)</f>
        <v>16.480599999999999</v>
      </c>
      <c r="H368" s="14">
        <f>CHOOSE(CONTROL!$C$42, 16.7149, 16.7149) * CHOOSE(CONTROL!$C$21, $C$9, 100%, $E$9)</f>
        <v>16.7149</v>
      </c>
      <c r="I368" s="14">
        <f>CHOOSE(CONTROL!$C$42, 16.5399, 16.5399)* CHOOSE(CONTROL!$C$21, $C$9, 100%, $E$9)</f>
        <v>16.539899999999999</v>
      </c>
      <c r="J368" s="14">
        <f>CHOOSE(CONTROL!$C$42, 16.4577, 16.4577)* CHOOSE(CONTROL!$C$21, $C$9, 100%, $E$9)</f>
        <v>16.457699999999999</v>
      </c>
      <c r="K368" s="53">
        <f>CHOOSE(CONTROL!$C$42, 16.536, 16.536) * CHOOSE(CONTROL!$C$21, $C$9, 100%, $E$9)</f>
        <v>16.536000000000001</v>
      </c>
      <c r="L368" s="14">
        <f>CHOOSE(CONTROL!$C$42, 17.3019, 17.3019) * CHOOSE(CONTROL!$C$21, $C$9, 100%, $E$9)</f>
        <v>17.3019</v>
      </c>
      <c r="M368" s="14">
        <f>CHOOSE(CONTROL!$C$42, 16.1281, 16.1281) * CHOOSE(CONTROL!$C$21, $C$9, 100%, $E$9)</f>
        <v>16.1281</v>
      </c>
      <c r="N368" s="14">
        <f>CHOOSE(CONTROL!$C$42, 16.1438, 16.1438) * CHOOSE(CONTROL!$C$21, $C$9, 100%, $E$9)</f>
        <v>16.143799999999999</v>
      </c>
      <c r="O368" s="14">
        <f>CHOOSE(CONTROL!$C$42, 16.3801, 16.3801) * CHOOSE(CONTROL!$C$21, $C$9, 100%, $E$9)</f>
        <v>16.380099999999999</v>
      </c>
      <c r="P368" s="14">
        <f>CHOOSE(CONTROL!$C$42, 16.2077, 16.2077) * CHOOSE(CONTROL!$C$21, $C$9, 100%, $E$9)</f>
        <v>16.207699999999999</v>
      </c>
      <c r="Q368" s="14">
        <f>CHOOSE(CONTROL!$C$42, 16.9748, 16.9748) * CHOOSE(CONTROL!$C$21, $C$9, 100%, $E$9)</f>
        <v>16.974799999999998</v>
      </c>
      <c r="R368" s="14">
        <f>CHOOSE(CONTROL!$C$42, 17.6042, 17.6042) * CHOOSE(CONTROL!$C$21, $C$9, 100%, $E$9)</f>
        <v>17.604199999999999</v>
      </c>
      <c r="S368" s="14">
        <f>CHOOSE(CONTROL!$C$42, 15.8277, 15.8277) * CHOOSE(CONTROL!$C$21, $C$9, 100%, $E$9)</f>
        <v>15.8277</v>
      </c>
      <c r="T36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68" s="57">
        <f>(1000*CHOOSE(CONTROL!$C$42, 695, 695)*CHOOSE(CONTROL!$C$42, 0.5599, 0.5599)*CHOOSE(CONTROL!$C$42, 31, 31))/1000000</f>
        <v>12.063045499999998</v>
      </c>
      <c r="V368" s="57">
        <f>(1000*CHOOSE(CONTROL!$C$42, 500, 500)*CHOOSE(CONTROL!$C$42, 0.275, 0.275)*CHOOSE(CONTROL!$C$42, 31, 31))/1000000</f>
        <v>4.2625000000000002</v>
      </c>
      <c r="W368" s="57">
        <f>(1000*CHOOSE(CONTROL!$C$42, 0.1146, 0.1146)*CHOOSE(CONTROL!$C$42, 121.5, 121.5)*CHOOSE(CONTROL!$C$42, 31, 31))/1000000</f>
        <v>0.43164089999999994</v>
      </c>
      <c r="X368" s="57">
        <f>(31*0.1790888*245000/1000000)+(31*0.2374*100000/1000000)</f>
        <v>2.0961194359999999</v>
      </c>
      <c r="Y368" s="57"/>
      <c r="Z368" s="14"/>
      <c r="AA368" s="56"/>
      <c r="AB368" s="50">
        <f>(B368*194.205+C368*267.466+D368*133.845+E368*53.484+F368*40+G368*185+H368*0+I368*100+J368*300)/(194.205+267.466+133.845+53.484+0+40+185+100+300)</f>
        <v>16.514653903924646</v>
      </c>
      <c r="AC368" s="45">
        <f>(M368*'RAP TEMPLATE-GAS AVAILABILITY'!O367+N368*'RAP TEMPLATE-GAS AVAILABILITY'!P367+O368*'RAP TEMPLATE-GAS AVAILABILITY'!Q367+P368*'RAP TEMPLATE-GAS AVAILABILITY'!R367)/('RAP TEMPLATE-GAS AVAILABILITY'!O367+'RAP TEMPLATE-GAS AVAILABILITY'!P367+'RAP TEMPLATE-GAS AVAILABILITY'!Q367+'RAP TEMPLATE-GAS AVAILABILITY'!R367)</f>
        <v>16.213872661870507</v>
      </c>
    </row>
    <row r="369" spans="1:29" ht="15.75" x14ac:dyDescent="0.25">
      <c r="A369" s="33">
        <v>52139</v>
      </c>
      <c r="B369" s="14">
        <f>CHOOSE(CONTROL!$C$42, 15.4367, 15.4367) * CHOOSE(CONTROL!$C$21, $C$9, 100%, $E$9)</f>
        <v>15.4367</v>
      </c>
      <c r="C369" s="14">
        <f>CHOOSE(CONTROL!$C$42, 15.4448, 15.4448) * CHOOSE(CONTROL!$C$21, $C$9, 100%, $E$9)</f>
        <v>15.444800000000001</v>
      </c>
      <c r="D369" s="14">
        <f>CHOOSE(CONTROL!$C$42, 15.6487, 15.6487) * CHOOSE(CONTROL!$C$21, $C$9, 100%, $E$9)</f>
        <v>15.6487</v>
      </c>
      <c r="E369" s="14">
        <f>CHOOSE(CONTROL!$C$42, 15.6802, 15.6802) * CHOOSE(CONTROL!$C$21, $C$9, 100%, $E$9)</f>
        <v>15.680199999999999</v>
      </c>
      <c r="F369" s="14">
        <f>CHOOSE(CONTROL!$C$42, 15.4186, 15.4186)*CHOOSE(CONTROL!$C$21, $C$9, 100%, $E$9)</f>
        <v>15.4186</v>
      </c>
      <c r="G369" s="14">
        <f>CHOOSE(CONTROL!$C$42, 15.4346, 15.4346)*CHOOSE(CONTROL!$C$21, $C$9, 100%, $E$9)</f>
        <v>15.4346</v>
      </c>
      <c r="H369" s="14">
        <f>CHOOSE(CONTROL!$C$42, 15.6688, 15.6688) * CHOOSE(CONTROL!$C$21, $C$9, 100%, $E$9)</f>
        <v>15.668799999999999</v>
      </c>
      <c r="I369" s="14">
        <f>CHOOSE(CONTROL!$C$42, 15.4905, 15.4905)* CHOOSE(CONTROL!$C$21, $C$9, 100%, $E$9)</f>
        <v>15.490500000000001</v>
      </c>
      <c r="J369" s="14">
        <f>CHOOSE(CONTROL!$C$42, 15.4116, 15.4116)* CHOOSE(CONTROL!$C$21, $C$9, 100%, $E$9)</f>
        <v>15.4116</v>
      </c>
      <c r="K369" s="53">
        <f>CHOOSE(CONTROL!$C$42, 15.4866, 15.4866) * CHOOSE(CONTROL!$C$21, $C$9, 100%, $E$9)</f>
        <v>15.486599999999999</v>
      </c>
      <c r="L369" s="14">
        <f>CHOOSE(CONTROL!$C$42, 16.2558, 16.2558) * CHOOSE(CONTROL!$C$21, $C$9, 100%, $E$9)</f>
        <v>16.255800000000001</v>
      </c>
      <c r="M369" s="14">
        <f>CHOOSE(CONTROL!$C$42, 15.1036, 15.1036) * CHOOSE(CONTROL!$C$21, $C$9, 100%, $E$9)</f>
        <v>15.1036</v>
      </c>
      <c r="N369" s="14">
        <f>CHOOSE(CONTROL!$C$42, 15.1192, 15.1192) * CHOOSE(CONTROL!$C$21, $C$9, 100%, $E$9)</f>
        <v>15.119199999999999</v>
      </c>
      <c r="O369" s="14">
        <f>CHOOSE(CONTROL!$C$42, 15.3554, 15.3554) * CHOOSE(CONTROL!$C$21, $C$9, 100%, $E$9)</f>
        <v>15.355399999999999</v>
      </c>
      <c r="P369" s="14">
        <f>CHOOSE(CONTROL!$C$42, 15.1799, 15.1799) * CHOOSE(CONTROL!$C$21, $C$9, 100%, $E$9)</f>
        <v>15.1799</v>
      </c>
      <c r="Q369" s="14">
        <f>CHOOSE(CONTROL!$C$42, 15.9501, 15.9501) * CHOOSE(CONTROL!$C$21, $C$9, 100%, $E$9)</f>
        <v>15.950100000000001</v>
      </c>
      <c r="R369" s="14">
        <f>CHOOSE(CONTROL!$C$42, 16.577, 16.577) * CHOOSE(CONTROL!$C$21, $C$9, 100%, $E$9)</f>
        <v>16.577000000000002</v>
      </c>
      <c r="S369" s="14">
        <f>CHOOSE(CONTROL!$C$42, 14.8225, 14.8225) * CHOOSE(CONTROL!$C$21, $C$9, 100%, $E$9)</f>
        <v>14.8225</v>
      </c>
      <c r="T36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69" s="57">
        <f>(1000*CHOOSE(CONTROL!$C$42, 695, 695)*CHOOSE(CONTROL!$C$42, 0.5599, 0.5599)*CHOOSE(CONTROL!$C$42, 30, 30))/1000000</f>
        <v>11.673914999999997</v>
      </c>
      <c r="V369" s="57">
        <f>(1000*CHOOSE(CONTROL!$C$42, 500, 500)*CHOOSE(CONTROL!$C$42, 0.275, 0.275)*CHOOSE(CONTROL!$C$42, 30, 30))/1000000</f>
        <v>4.125</v>
      </c>
      <c r="W369" s="57">
        <f>(1000*CHOOSE(CONTROL!$C$42, 0.1146, 0.1146)*CHOOSE(CONTROL!$C$42, 121.5, 121.5)*CHOOSE(CONTROL!$C$42, 30, 30))/1000000</f>
        <v>0.417717</v>
      </c>
      <c r="X369" s="57">
        <f>(30*0.1790888*245000/1000000)+(30*0.2374*100000/1000000)</f>
        <v>2.0285026799999999</v>
      </c>
      <c r="Y369" s="57"/>
      <c r="Z369" s="14"/>
      <c r="AA369" s="56"/>
      <c r="AB369" s="50">
        <f>(B369*194.205+C369*267.466+D369*133.845+E369*53.484+F369*40+G369*185+H369*0+I369*100+J369*300)/(194.205+267.466+133.845+53.484+0+40+185+100+300)</f>
        <v>15.468334590737834</v>
      </c>
      <c r="AC369" s="45">
        <f>(M369*'RAP TEMPLATE-GAS AVAILABILITY'!O368+N369*'RAP TEMPLATE-GAS AVAILABILITY'!P368+O369*'RAP TEMPLATE-GAS AVAILABILITY'!Q368+P369*'RAP TEMPLATE-GAS AVAILABILITY'!R368)/('RAP TEMPLATE-GAS AVAILABILITY'!O368+'RAP TEMPLATE-GAS AVAILABILITY'!P368+'RAP TEMPLATE-GAS AVAILABILITY'!Q368+'RAP TEMPLATE-GAS AVAILABILITY'!R368)</f>
        <v>15.18881870503597</v>
      </c>
    </row>
    <row r="370" spans="1:29" ht="15.75" x14ac:dyDescent="0.25">
      <c r="A370" s="33">
        <v>52170</v>
      </c>
      <c r="B370" s="14">
        <f>CHOOSE(CONTROL!$C$42, 15.1218, 15.1218) * CHOOSE(CONTROL!$C$21, $C$9, 100%, $E$9)</f>
        <v>15.1218</v>
      </c>
      <c r="C370" s="14">
        <f>CHOOSE(CONTROL!$C$42, 15.1271, 15.1271) * CHOOSE(CONTROL!$C$21, $C$9, 100%, $E$9)</f>
        <v>15.1271</v>
      </c>
      <c r="D370" s="14">
        <f>CHOOSE(CONTROL!$C$42, 15.336, 15.336) * CHOOSE(CONTROL!$C$21, $C$9, 100%, $E$9)</f>
        <v>15.336</v>
      </c>
      <c r="E370" s="14">
        <f>CHOOSE(CONTROL!$C$42, 15.3651, 15.3651) * CHOOSE(CONTROL!$C$21, $C$9, 100%, $E$9)</f>
        <v>15.3651</v>
      </c>
      <c r="F370" s="14">
        <f>CHOOSE(CONTROL!$C$42, 15.1058, 15.1058)*CHOOSE(CONTROL!$C$21, $C$9, 100%, $E$9)</f>
        <v>15.1058</v>
      </c>
      <c r="G370" s="14">
        <f>CHOOSE(CONTROL!$C$42, 15.1214, 15.1214)*CHOOSE(CONTROL!$C$21, $C$9, 100%, $E$9)</f>
        <v>15.1214</v>
      </c>
      <c r="H370" s="14">
        <f>CHOOSE(CONTROL!$C$42, 15.3556, 15.3556) * CHOOSE(CONTROL!$C$21, $C$9, 100%, $E$9)</f>
        <v>15.355600000000001</v>
      </c>
      <c r="I370" s="14">
        <f>CHOOSE(CONTROL!$C$42, 15.1763, 15.1763)* CHOOSE(CONTROL!$C$21, $C$9, 100%, $E$9)</f>
        <v>15.176299999999999</v>
      </c>
      <c r="J370" s="14">
        <f>CHOOSE(CONTROL!$C$42, 15.0988, 15.0988)* CHOOSE(CONTROL!$C$21, $C$9, 100%, $E$9)</f>
        <v>15.098800000000001</v>
      </c>
      <c r="K370" s="53">
        <f>CHOOSE(CONTROL!$C$42, 15.1725, 15.1725) * CHOOSE(CONTROL!$C$21, $C$9, 100%, $E$9)</f>
        <v>15.172499999999999</v>
      </c>
      <c r="L370" s="14">
        <f>CHOOSE(CONTROL!$C$42, 15.9426, 15.9426) * CHOOSE(CONTROL!$C$21, $C$9, 100%, $E$9)</f>
        <v>15.942600000000001</v>
      </c>
      <c r="M370" s="14">
        <f>CHOOSE(CONTROL!$C$42, 14.7971, 14.7971) * CHOOSE(CONTROL!$C$21, $C$9, 100%, $E$9)</f>
        <v>14.7971</v>
      </c>
      <c r="N370" s="14">
        <f>CHOOSE(CONTROL!$C$42, 14.8124, 14.8124) * CHOOSE(CONTROL!$C$21, $C$9, 100%, $E$9)</f>
        <v>14.8124</v>
      </c>
      <c r="O370" s="14">
        <f>CHOOSE(CONTROL!$C$42, 15.0487, 15.0487) * CHOOSE(CONTROL!$C$21, $C$9, 100%, $E$9)</f>
        <v>15.0487</v>
      </c>
      <c r="P370" s="14">
        <f>CHOOSE(CONTROL!$C$42, 14.8722, 14.8722) * CHOOSE(CONTROL!$C$21, $C$9, 100%, $E$9)</f>
        <v>14.872199999999999</v>
      </c>
      <c r="Q370" s="14">
        <f>CHOOSE(CONTROL!$C$42, 15.6434, 15.6434) * CHOOSE(CONTROL!$C$21, $C$9, 100%, $E$9)</f>
        <v>15.6434</v>
      </c>
      <c r="R370" s="14">
        <f>CHOOSE(CONTROL!$C$42, 16.2695, 16.2695) * CHOOSE(CONTROL!$C$21, $C$9, 100%, $E$9)</f>
        <v>16.269500000000001</v>
      </c>
      <c r="S370" s="14">
        <f>CHOOSE(CONTROL!$C$42, 14.5216, 14.5216) * CHOOSE(CONTROL!$C$21, $C$9, 100%, $E$9)</f>
        <v>14.521599999999999</v>
      </c>
      <c r="T37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70" s="57">
        <f>(1000*CHOOSE(CONTROL!$C$42, 695, 695)*CHOOSE(CONTROL!$C$42, 0.5599, 0.5599)*CHOOSE(CONTROL!$C$42, 31, 31))/1000000</f>
        <v>12.063045499999998</v>
      </c>
      <c r="V370" s="57">
        <f>(1000*CHOOSE(CONTROL!$C$42, 500, 500)*CHOOSE(CONTROL!$C$42, 0.275, 0.275)*CHOOSE(CONTROL!$C$42, 31, 31))/1000000</f>
        <v>4.2625000000000002</v>
      </c>
      <c r="W370" s="57">
        <f>(1000*CHOOSE(CONTROL!$C$42, 0.1146, 0.1146)*CHOOSE(CONTROL!$C$42, 121.5, 121.5)*CHOOSE(CONTROL!$C$42, 31, 31))/1000000</f>
        <v>0.43164089999999994</v>
      </c>
      <c r="X370" s="57">
        <f>(31*0.1790888*245000/1000000)+(31*0.2374*100000/1000000)</f>
        <v>2.0961194359999999</v>
      </c>
      <c r="Y370" s="57"/>
      <c r="Z370" s="14"/>
      <c r="AA370" s="56"/>
      <c r="AB370" s="50">
        <f>(B370*131.881+C370*277.167+D370*79.08+E370*125.872+F370*40+G370*185+H370*0+I370*100+J370*300)/(131.881+277.167+79.08+125.872+0+40+185+100+300)</f>
        <v>15.159627747134788</v>
      </c>
      <c r="AC370" s="45">
        <f>(M370*'RAP TEMPLATE-GAS AVAILABILITY'!O369+N370*'RAP TEMPLATE-GAS AVAILABILITY'!P369+O370*'RAP TEMPLATE-GAS AVAILABILITY'!Q369+P370*'RAP TEMPLATE-GAS AVAILABILITY'!R369)/('RAP TEMPLATE-GAS AVAILABILITY'!O369+'RAP TEMPLATE-GAS AVAILABILITY'!P369+'RAP TEMPLATE-GAS AVAILABILITY'!Q369+'RAP TEMPLATE-GAS AVAILABILITY'!R369)</f>
        <v>14.882020863309354</v>
      </c>
    </row>
    <row r="371" spans="1:29" ht="15.75" x14ac:dyDescent="0.25">
      <c r="A371" s="33">
        <v>52200</v>
      </c>
      <c r="B371" s="14">
        <f>CHOOSE(CONTROL!$C$42, 15.5195, 15.5195) * CHOOSE(CONTROL!$C$21, $C$9, 100%, $E$9)</f>
        <v>15.519500000000001</v>
      </c>
      <c r="C371" s="14">
        <f>CHOOSE(CONTROL!$C$42, 15.5245, 15.5245) * CHOOSE(CONTROL!$C$21, $C$9, 100%, $E$9)</f>
        <v>15.5245</v>
      </c>
      <c r="D371" s="14">
        <f>CHOOSE(CONTROL!$C$42, 15.5884, 15.5884) * CHOOSE(CONTROL!$C$21, $C$9, 100%, $E$9)</f>
        <v>15.5884</v>
      </c>
      <c r="E371" s="14">
        <f>CHOOSE(CONTROL!$C$42, 15.6225, 15.6225) * CHOOSE(CONTROL!$C$21, $C$9, 100%, $E$9)</f>
        <v>15.6225</v>
      </c>
      <c r="F371" s="14">
        <f>CHOOSE(CONTROL!$C$42, 15.5219, 15.5219)*CHOOSE(CONTROL!$C$21, $C$9, 100%, $E$9)</f>
        <v>15.5219</v>
      </c>
      <c r="G371" s="14">
        <f>CHOOSE(CONTROL!$C$42, 15.5379, 15.5379)*CHOOSE(CONTROL!$C$21, $C$9, 100%, $E$9)</f>
        <v>15.5379</v>
      </c>
      <c r="H371" s="14">
        <f>CHOOSE(CONTROL!$C$42, 15.6117, 15.6117) * CHOOSE(CONTROL!$C$21, $C$9, 100%, $E$9)</f>
        <v>15.611700000000001</v>
      </c>
      <c r="I371" s="14">
        <f>CHOOSE(CONTROL!$C$42, 15.5809, 15.5809)* CHOOSE(CONTROL!$C$21, $C$9, 100%, $E$9)</f>
        <v>15.5809</v>
      </c>
      <c r="J371" s="14">
        <f>CHOOSE(CONTROL!$C$42, 15.5149, 15.5149)* CHOOSE(CONTROL!$C$21, $C$9, 100%, $E$9)</f>
        <v>15.514900000000001</v>
      </c>
      <c r="K371" s="53">
        <f>CHOOSE(CONTROL!$C$42, 15.577, 15.577) * CHOOSE(CONTROL!$C$21, $C$9, 100%, $E$9)</f>
        <v>15.577</v>
      </c>
      <c r="L371" s="14">
        <f>CHOOSE(CONTROL!$C$42, 16.1987, 16.1987) * CHOOSE(CONTROL!$C$21, $C$9, 100%, $E$9)</f>
        <v>16.198699999999999</v>
      </c>
      <c r="M371" s="14">
        <f>CHOOSE(CONTROL!$C$42, 15.2047, 15.2047) * CHOOSE(CONTROL!$C$21, $C$9, 100%, $E$9)</f>
        <v>15.204700000000001</v>
      </c>
      <c r="N371" s="14">
        <f>CHOOSE(CONTROL!$C$42, 15.2204, 15.2204) * CHOOSE(CONTROL!$C$21, $C$9, 100%, $E$9)</f>
        <v>15.2204</v>
      </c>
      <c r="O371" s="14">
        <f>CHOOSE(CONTROL!$C$42, 15.2995, 15.2995) * CHOOSE(CONTROL!$C$21, $C$9, 100%, $E$9)</f>
        <v>15.2995</v>
      </c>
      <c r="P371" s="14">
        <f>CHOOSE(CONTROL!$C$42, 15.2685, 15.2685) * CHOOSE(CONTROL!$C$21, $C$9, 100%, $E$9)</f>
        <v>15.2685</v>
      </c>
      <c r="Q371" s="14">
        <f>CHOOSE(CONTROL!$C$42, 15.8942, 15.8942) * CHOOSE(CONTROL!$C$21, $C$9, 100%, $E$9)</f>
        <v>15.8942</v>
      </c>
      <c r="R371" s="14">
        <f>CHOOSE(CONTROL!$C$42, 16.5209, 16.5209) * CHOOSE(CONTROL!$C$21, $C$9, 100%, $E$9)</f>
        <v>16.520900000000001</v>
      </c>
      <c r="S371" s="14">
        <f>CHOOSE(CONTROL!$C$42, 14.9041, 14.9041) * CHOOSE(CONTROL!$C$21, $C$9, 100%, $E$9)</f>
        <v>14.9041</v>
      </c>
      <c r="T37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71" s="57">
        <f>(1000*CHOOSE(CONTROL!$C$42, 695, 695)*CHOOSE(CONTROL!$C$42, 0.5599, 0.5599)*CHOOSE(CONTROL!$C$42, 30, 30))/1000000</f>
        <v>11.673914999999997</v>
      </c>
      <c r="V371" s="57">
        <f>(1000*CHOOSE(CONTROL!$C$42, 500, 500)*CHOOSE(CONTROL!$C$42, 0.275, 0.275)*CHOOSE(CONTROL!$C$42, 30, 30))/1000000</f>
        <v>4.125</v>
      </c>
      <c r="W371" s="57">
        <f>(1000*CHOOSE(CONTROL!$C$42, 0.1146, 0.1146)*CHOOSE(CONTROL!$C$42, 121.5, 121.5)*CHOOSE(CONTROL!$C$42, 30, 30))/1000000</f>
        <v>0.417717</v>
      </c>
      <c r="X371" s="57">
        <f>(30*0.1790888*100000/1000000)+(30*0.2374*100000/1000000)</f>
        <v>1.2494664</v>
      </c>
      <c r="Y371" s="57"/>
      <c r="Z371" s="14"/>
      <c r="AA371" s="56"/>
      <c r="AB371" s="50">
        <f>(B371*122.58+C371*297.941+D371*89.177+E371*40.302+F371*40+G371*160+H371*0+I371*100+J371*300)/(122.58+297.941+89.177+40.302+0+40+160+100+300)</f>
        <v>15.536530527217391</v>
      </c>
      <c r="AC371" s="45">
        <f>(M371*'RAP TEMPLATE-GAS AVAILABILITY'!O370+N371*'RAP TEMPLATE-GAS AVAILABILITY'!P370+O371*'RAP TEMPLATE-GAS AVAILABILITY'!Q370+P371*'RAP TEMPLATE-GAS AVAILABILITY'!R370)/('RAP TEMPLATE-GAS AVAILABILITY'!O370+'RAP TEMPLATE-GAS AVAILABILITY'!P370+'RAP TEMPLATE-GAS AVAILABILITY'!Q370+'RAP TEMPLATE-GAS AVAILABILITY'!R370)</f>
        <v>15.257750359712231</v>
      </c>
    </row>
    <row r="372" spans="1:29" ht="15.75" x14ac:dyDescent="0.25">
      <c r="A372" s="33">
        <v>52231</v>
      </c>
      <c r="B372" s="14">
        <f>CHOOSE(CONTROL!$C$42, 16.5769, 16.5769) * CHOOSE(CONTROL!$C$21, $C$9, 100%, $E$9)</f>
        <v>16.576899999999998</v>
      </c>
      <c r="C372" s="14">
        <f>CHOOSE(CONTROL!$C$42, 16.582, 16.582) * CHOOSE(CONTROL!$C$21, $C$9, 100%, $E$9)</f>
        <v>16.582000000000001</v>
      </c>
      <c r="D372" s="14">
        <f>CHOOSE(CONTROL!$C$42, 16.6458, 16.6458) * CHOOSE(CONTROL!$C$21, $C$9, 100%, $E$9)</f>
        <v>16.645800000000001</v>
      </c>
      <c r="E372" s="14">
        <f>CHOOSE(CONTROL!$C$42, 16.6799, 16.6799) * CHOOSE(CONTROL!$C$21, $C$9, 100%, $E$9)</f>
        <v>16.6799</v>
      </c>
      <c r="F372" s="14">
        <f>CHOOSE(CONTROL!$C$42, 16.5816, 16.5816)*CHOOSE(CONTROL!$C$21, $C$9, 100%, $E$9)</f>
        <v>16.581600000000002</v>
      </c>
      <c r="G372" s="14">
        <f>CHOOSE(CONTROL!$C$42, 16.5982, 16.5982)*CHOOSE(CONTROL!$C$21, $C$9, 100%, $E$9)</f>
        <v>16.598199999999999</v>
      </c>
      <c r="H372" s="14">
        <f>CHOOSE(CONTROL!$C$42, 16.6691, 16.6691) * CHOOSE(CONTROL!$C$21, $C$9, 100%, $E$9)</f>
        <v>16.6691</v>
      </c>
      <c r="I372" s="14">
        <f>CHOOSE(CONTROL!$C$42, 16.6417, 16.6417)* CHOOSE(CONTROL!$C$21, $C$9, 100%, $E$9)</f>
        <v>16.6417</v>
      </c>
      <c r="J372" s="14">
        <f>CHOOSE(CONTROL!$C$42, 16.5746, 16.5746)* CHOOSE(CONTROL!$C$21, $C$9, 100%, $E$9)</f>
        <v>16.5746</v>
      </c>
      <c r="K372" s="53">
        <f>CHOOSE(CONTROL!$C$42, 16.6378, 16.6378) * CHOOSE(CONTROL!$C$21, $C$9, 100%, $E$9)</f>
        <v>16.637799999999999</v>
      </c>
      <c r="L372" s="14">
        <f>CHOOSE(CONTROL!$C$42, 17.2561, 17.2561) * CHOOSE(CONTROL!$C$21, $C$9, 100%, $E$9)</f>
        <v>17.2561</v>
      </c>
      <c r="M372" s="14">
        <f>CHOOSE(CONTROL!$C$42, 16.2427, 16.2427) * CHOOSE(CONTROL!$C$21, $C$9, 100%, $E$9)</f>
        <v>16.242699999999999</v>
      </c>
      <c r="N372" s="14">
        <f>CHOOSE(CONTROL!$C$42, 16.2589, 16.2589) * CHOOSE(CONTROL!$C$21, $C$9, 100%, $E$9)</f>
        <v>16.258900000000001</v>
      </c>
      <c r="O372" s="14">
        <f>CHOOSE(CONTROL!$C$42, 16.3353, 16.3353) * CHOOSE(CONTROL!$C$21, $C$9, 100%, $E$9)</f>
        <v>16.3353</v>
      </c>
      <c r="P372" s="14">
        <f>CHOOSE(CONTROL!$C$42, 16.3074, 16.3074) * CHOOSE(CONTROL!$C$21, $C$9, 100%, $E$9)</f>
        <v>16.307400000000001</v>
      </c>
      <c r="Q372" s="14">
        <f>CHOOSE(CONTROL!$C$42, 16.93, 16.93) * CHOOSE(CONTROL!$C$21, $C$9, 100%, $E$9)</f>
        <v>16.93</v>
      </c>
      <c r="R372" s="14">
        <f>CHOOSE(CONTROL!$C$42, 17.5593, 17.5593) * CHOOSE(CONTROL!$C$21, $C$9, 100%, $E$9)</f>
        <v>17.5593</v>
      </c>
      <c r="S372" s="14">
        <f>CHOOSE(CONTROL!$C$42, 15.9202, 15.9202) * CHOOSE(CONTROL!$C$21, $C$9, 100%, $E$9)</f>
        <v>15.920199999999999</v>
      </c>
      <c r="T37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72" s="57">
        <f>(1000*CHOOSE(CONTROL!$C$42, 695, 695)*CHOOSE(CONTROL!$C$42, 0.5599, 0.5599)*CHOOSE(CONTROL!$C$42, 31, 31))/1000000</f>
        <v>12.063045499999998</v>
      </c>
      <c r="V372" s="57">
        <f>(1000*CHOOSE(CONTROL!$C$42, 500, 500)*CHOOSE(CONTROL!$C$42, 0.275, 0.275)*CHOOSE(CONTROL!$C$42, 31, 31))/1000000</f>
        <v>4.2625000000000002</v>
      </c>
      <c r="W372" s="57">
        <f>(1000*CHOOSE(CONTROL!$C$42, 0.1146, 0.1146)*CHOOSE(CONTROL!$C$42, 121.5, 121.5)*CHOOSE(CONTROL!$C$42, 31, 31))/1000000</f>
        <v>0.43164089999999994</v>
      </c>
      <c r="X372" s="57">
        <f>(31*0.1790888*100000/1000000)+(31*0.2374*100000/1000000)</f>
        <v>1.2911152800000001</v>
      </c>
      <c r="Y372" s="57"/>
      <c r="Z372" s="14"/>
      <c r="AA372" s="56"/>
      <c r="AB372" s="50">
        <f>(B372*122.58+C372*297.941+D372*89.177+E372*40.302+F372*40+G372*160+H372*0+I372*100+J372*300)/(122.58+297.941+89.177+40.302+0+40+160+100+300)</f>
        <v>16.595335565565215</v>
      </c>
      <c r="AC372" s="45">
        <f>(M372*'RAP TEMPLATE-GAS AVAILABILITY'!O371+N372*'RAP TEMPLATE-GAS AVAILABILITY'!P371+O372*'RAP TEMPLATE-GAS AVAILABILITY'!Q371+P372*'RAP TEMPLATE-GAS AVAILABILITY'!R371)/('RAP TEMPLATE-GAS AVAILABILITY'!O371+'RAP TEMPLATE-GAS AVAILABILITY'!P371+'RAP TEMPLATE-GAS AVAILABILITY'!Q371+'RAP TEMPLATE-GAS AVAILABILITY'!R371)</f>
        <v>16.294911510791366</v>
      </c>
    </row>
    <row r="373" spans="1:29" ht="15.75" x14ac:dyDescent="0.25">
      <c r="A373" s="33">
        <v>52262</v>
      </c>
      <c r="B373" s="14">
        <f>CHOOSE(CONTROL!$C$42, 17.934, 17.934) * CHOOSE(CONTROL!$C$21, $C$9, 100%, $E$9)</f>
        <v>17.934000000000001</v>
      </c>
      <c r="C373" s="14">
        <f>CHOOSE(CONTROL!$C$42, 17.9391, 17.9391) * CHOOSE(CONTROL!$C$21, $C$9, 100%, $E$9)</f>
        <v>17.9391</v>
      </c>
      <c r="D373" s="14">
        <f>CHOOSE(CONTROL!$C$42, 18.0055, 18.0055) * CHOOSE(CONTROL!$C$21, $C$9, 100%, $E$9)</f>
        <v>18.005500000000001</v>
      </c>
      <c r="E373" s="14">
        <f>CHOOSE(CONTROL!$C$42, 18.0396, 18.0396) * CHOOSE(CONTROL!$C$21, $C$9, 100%, $E$9)</f>
        <v>18.0396</v>
      </c>
      <c r="F373" s="14">
        <f>CHOOSE(CONTROL!$C$42, 17.9213, 17.9213)*CHOOSE(CONTROL!$C$21, $C$9, 100%, $E$9)</f>
        <v>17.921299999999999</v>
      </c>
      <c r="G373" s="14">
        <f>CHOOSE(CONTROL!$C$42, 17.9368, 17.9368)*CHOOSE(CONTROL!$C$21, $C$9, 100%, $E$9)</f>
        <v>17.936800000000002</v>
      </c>
      <c r="H373" s="14">
        <f>CHOOSE(CONTROL!$C$42, 18.0288, 18.0288) * CHOOSE(CONTROL!$C$21, $C$9, 100%, $E$9)</f>
        <v>18.0288</v>
      </c>
      <c r="I373" s="14">
        <f>CHOOSE(CONTROL!$C$42, 17.9978, 17.9978)* CHOOSE(CONTROL!$C$21, $C$9, 100%, $E$9)</f>
        <v>17.997800000000002</v>
      </c>
      <c r="J373" s="14">
        <f>CHOOSE(CONTROL!$C$42, 17.9143, 17.9143)* CHOOSE(CONTROL!$C$21, $C$9, 100%, $E$9)</f>
        <v>17.914300000000001</v>
      </c>
      <c r="K373" s="53">
        <f>CHOOSE(CONTROL!$C$42, 17.9939, 17.9939) * CHOOSE(CONTROL!$C$21, $C$9, 100%, $E$9)</f>
        <v>17.9939</v>
      </c>
      <c r="L373" s="14">
        <f>CHOOSE(CONTROL!$C$42, 18.6158, 18.6158) * CHOOSE(CONTROL!$C$21, $C$9, 100%, $E$9)</f>
        <v>18.6158</v>
      </c>
      <c r="M373" s="14">
        <f>CHOOSE(CONTROL!$C$42, 17.555, 17.555) * CHOOSE(CONTROL!$C$21, $C$9, 100%, $E$9)</f>
        <v>17.555</v>
      </c>
      <c r="N373" s="14">
        <f>CHOOSE(CONTROL!$C$42, 17.5701, 17.5701) * CHOOSE(CONTROL!$C$21, $C$9, 100%, $E$9)</f>
        <v>17.5701</v>
      </c>
      <c r="O373" s="14">
        <f>CHOOSE(CONTROL!$C$42, 17.6671, 17.6671) * CHOOSE(CONTROL!$C$21, $C$9, 100%, $E$9)</f>
        <v>17.667100000000001</v>
      </c>
      <c r="P373" s="14">
        <f>CHOOSE(CONTROL!$C$42, 17.6357, 17.6357) * CHOOSE(CONTROL!$C$21, $C$9, 100%, $E$9)</f>
        <v>17.6357</v>
      </c>
      <c r="Q373" s="14">
        <f>CHOOSE(CONTROL!$C$42, 18.2618, 18.2618) * CHOOSE(CONTROL!$C$21, $C$9, 100%, $E$9)</f>
        <v>18.261800000000001</v>
      </c>
      <c r="R373" s="14">
        <f>CHOOSE(CONTROL!$C$42, 18.8944, 18.8944) * CHOOSE(CONTROL!$C$21, $C$9, 100%, $E$9)</f>
        <v>18.894400000000001</v>
      </c>
      <c r="S373" s="14">
        <f>CHOOSE(CONTROL!$C$42, 17.2243, 17.2243) * CHOOSE(CONTROL!$C$21, $C$9, 100%, $E$9)</f>
        <v>17.224299999999999</v>
      </c>
      <c r="T37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73" s="57">
        <f>(1000*CHOOSE(CONTROL!$C$42, 695, 695)*CHOOSE(CONTROL!$C$42, 0.5599, 0.5599)*CHOOSE(CONTROL!$C$42, 31, 31))/1000000</f>
        <v>12.063045499999998</v>
      </c>
      <c r="V373" s="57">
        <f>(1000*CHOOSE(CONTROL!$C$42, 500, 500)*CHOOSE(CONTROL!$C$42, 0.275, 0.275)*CHOOSE(CONTROL!$C$42, 31, 31))/1000000</f>
        <v>4.2625000000000002</v>
      </c>
      <c r="W373" s="57">
        <f>(1000*CHOOSE(CONTROL!$C$42, 0.1146, 0.1146)*CHOOSE(CONTROL!$C$42, 121.5, 121.5)*CHOOSE(CONTROL!$C$42, 31, 31))/1000000</f>
        <v>0.43164089999999994</v>
      </c>
      <c r="X373" s="57">
        <f>(31*0.1790888*100000/1000000)+(31*0.2374*100000/1000000)</f>
        <v>1.2911152800000001</v>
      </c>
      <c r="Y373" s="57"/>
      <c r="Z373" s="14"/>
      <c r="AA373" s="56"/>
      <c r="AB373" s="50">
        <f>(B373*122.58+C373*297.941+D373*89.177+E373*40.302+F373*40+G373*160+H373*0+I373*100+J373*300)/(122.58+297.941+89.177+40.302+0+40+160+100+300)</f>
        <v>17.944923083304349</v>
      </c>
      <c r="AC373" s="45">
        <f>(M373*'RAP TEMPLATE-GAS AVAILABILITY'!O372+N373*'RAP TEMPLATE-GAS AVAILABILITY'!P372+O373*'RAP TEMPLATE-GAS AVAILABILITY'!Q372+P373*'RAP TEMPLATE-GAS AVAILABILITY'!R372)/('RAP TEMPLATE-GAS AVAILABILITY'!O372+'RAP TEMPLATE-GAS AVAILABILITY'!P372+'RAP TEMPLATE-GAS AVAILABILITY'!Q372+'RAP TEMPLATE-GAS AVAILABILITY'!R372)</f>
        <v>17.618288489208634</v>
      </c>
    </row>
    <row r="374" spans="1:29" ht="15.75" x14ac:dyDescent="0.25">
      <c r="A374" s="33">
        <v>52290</v>
      </c>
      <c r="B374" s="14">
        <f>CHOOSE(CONTROL!$C$42, 18.2531, 18.2531) * CHOOSE(CONTROL!$C$21, $C$9, 100%, $E$9)</f>
        <v>18.2531</v>
      </c>
      <c r="C374" s="14">
        <f>CHOOSE(CONTROL!$C$42, 18.2582, 18.2582) * CHOOSE(CONTROL!$C$21, $C$9, 100%, $E$9)</f>
        <v>18.258199999999999</v>
      </c>
      <c r="D374" s="14">
        <f>CHOOSE(CONTROL!$C$42, 18.3246, 18.3246) * CHOOSE(CONTROL!$C$21, $C$9, 100%, $E$9)</f>
        <v>18.3246</v>
      </c>
      <c r="E374" s="14">
        <f>CHOOSE(CONTROL!$C$42, 18.3587, 18.3587) * CHOOSE(CONTROL!$C$21, $C$9, 100%, $E$9)</f>
        <v>18.358699999999999</v>
      </c>
      <c r="F374" s="14">
        <f>CHOOSE(CONTROL!$C$42, 18.2405, 18.2405)*CHOOSE(CONTROL!$C$21, $C$9, 100%, $E$9)</f>
        <v>18.240500000000001</v>
      </c>
      <c r="G374" s="14">
        <f>CHOOSE(CONTROL!$C$42, 18.256, 18.256)*CHOOSE(CONTROL!$C$21, $C$9, 100%, $E$9)</f>
        <v>18.256</v>
      </c>
      <c r="H374" s="14">
        <f>CHOOSE(CONTROL!$C$42, 18.3479, 18.3479) * CHOOSE(CONTROL!$C$21, $C$9, 100%, $E$9)</f>
        <v>18.347899999999999</v>
      </c>
      <c r="I374" s="14">
        <f>CHOOSE(CONTROL!$C$42, 18.3179, 18.3179)* CHOOSE(CONTROL!$C$21, $C$9, 100%, $E$9)</f>
        <v>18.317900000000002</v>
      </c>
      <c r="J374" s="14">
        <f>CHOOSE(CONTROL!$C$42, 18.2335, 18.2335)* CHOOSE(CONTROL!$C$21, $C$9, 100%, $E$9)</f>
        <v>18.233499999999999</v>
      </c>
      <c r="K374" s="53">
        <f>CHOOSE(CONTROL!$C$42, 18.314, 18.314) * CHOOSE(CONTROL!$C$21, $C$9, 100%, $E$9)</f>
        <v>18.314</v>
      </c>
      <c r="L374" s="14">
        <f>CHOOSE(CONTROL!$C$42, 18.9349, 18.9349) * CHOOSE(CONTROL!$C$21, $C$9, 100%, $E$9)</f>
        <v>18.934899999999999</v>
      </c>
      <c r="M374" s="14">
        <f>CHOOSE(CONTROL!$C$42, 17.8676, 17.8676) * CHOOSE(CONTROL!$C$21, $C$9, 100%, $E$9)</f>
        <v>17.867599999999999</v>
      </c>
      <c r="N374" s="14">
        <f>CHOOSE(CONTROL!$C$42, 17.8828, 17.8828) * CHOOSE(CONTROL!$C$21, $C$9, 100%, $E$9)</f>
        <v>17.8828</v>
      </c>
      <c r="O374" s="14">
        <f>CHOOSE(CONTROL!$C$42, 17.9796, 17.9796) * CHOOSE(CONTROL!$C$21, $C$9, 100%, $E$9)</f>
        <v>17.979600000000001</v>
      </c>
      <c r="P374" s="14">
        <f>CHOOSE(CONTROL!$C$42, 17.9492, 17.9492) * CHOOSE(CONTROL!$C$21, $C$9, 100%, $E$9)</f>
        <v>17.949200000000001</v>
      </c>
      <c r="Q374" s="14">
        <f>CHOOSE(CONTROL!$C$42, 18.5743, 18.5743) * CHOOSE(CONTROL!$C$21, $C$9, 100%, $E$9)</f>
        <v>18.574300000000001</v>
      </c>
      <c r="R374" s="14">
        <f>CHOOSE(CONTROL!$C$42, 19.2078, 19.2078) * CHOOSE(CONTROL!$C$21, $C$9, 100%, $E$9)</f>
        <v>19.207799999999999</v>
      </c>
      <c r="S374" s="14">
        <f>CHOOSE(CONTROL!$C$42, 17.5309, 17.5309) * CHOOSE(CONTROL!$C$21, $C$9, 100%, $E$9)</f>
        <v>17.530899999999999</v>
      </c>
      <c r="T37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74" s="57">
        <f>(1000*CHOOSE(CONTROL!$C$42, 695, 695)*CHOOSE(CONTROL!$C$42, 0.5599, 0.5599)*CHOOSE(CONTROL!$C$42, 28, 28))/1000000</f>
        <v>10.895653999999999</v>
      </c>
      <c r="V374" s="57">
        <f>(1000*CHOOSE(CONTROL!$C$42, 500, 500)*CHOOSE(CONTROL!$C$42, 0.275, 0.275)*CHOOSE(CONTROL!$C$42, 28, 28))/1000000</f>
        <v>3.85</v>
      </c>
      <c r="W374" s="57">
        <f>(1000*CHOOSE(CONTROL!$C$42, 0.1146, 0.1146)*CHOOSE(CONTROL!$C$42, 121.5, 121.5)*CHOOSE(CONTROL!$C$42, 28, 28))/1000000</f>
        <v>0.38986920000000003</v>
      </c>
      <c r="X374" s="57">
        <f>(28*0.1790888*100000/1000000)+(28*0.2374*100000/1000000)</f>
        <v>1.16616864</v>
      </c>
      <c r="Y374" s="57"/>
      <c r="Z374" s="14"/>
      <c r="AA374" s="56"/>
      <c r="AB374" s="50">
        <f>(B374*122.58+C374*297.941+D374*89.177+E374*40.302+F374*40+G374*160+H374*0+I374*100+J374*300)/(122.58+297.941+89.177+40.302+0+40+160+100+300)</f>
        <v>18.26415351808696</v>
      </c>
      <c r="AC374" s="45">
        <f>(M374*'RAP TEMPLATE-GAS AVAILABILITY'!O373+N374*'RAP TEMPLATE-GAS AVAILABILITY'!P373+O374*'RAP TEMPLATE-GAS AVAILABILITY'!Q373+P374*'RAP TEMPLATE-GAS AVAILABILITY'!R373)/('RAP TEMPLATE-GAS AVAILABILITY'!O373+'RAP TEMPLATE-GAS AVAILABILITY'!P373+'RAP TEMPLATE-GAS AVAILABILITY'!Q373+'RAP TEMPLATE-GAS AVAILABILITY'!R373)</f>
        <v>17.930978417266189</v>
      </c>
    </row>
    <row r="375" spans="1:29" ht="15.75" x14ac:dyDescent="0.25">
      <c r="A375" s="33">
        <v>52321</v>
      </c>
      <c r="B375" s="14">
        <f>CHOOSE(CONTROL!$C$42, 17.7352, 17.7352) * CHOOSE(CONTROL!$C$21, $C$9, 100%, $E$9)</f>
        <v>17.735199999999999</v>
      </c>
      <c r="C375" s="14">
        <f>CHOOSE(CONTROL!$C$42, 17.7402, 17.7402) * CHOOSE(CONTROL!$C$21, $C$9, 100%, $E$9)</f>
        <v>17.740200000000002</v>
      </c>
      <c r="D375" s="14">
        <f>CHOOSE(CONTROL!$C$42, 17.8066, 17.8066) * CHOOSE(CONTROL!$C$21, $C$9, 100%, $E$9)</f>
        <v>17.8066</v>
      </c>
      <c r="E375" s="14">
        <f>CHOOSE(CONTROL!$C$42, 17.8407, 17.8407) * CHOOSE(CONTROL!$C$21, $C$9, 100%, $E$9)</f>
        <v>17.840699999999998</v>
      </c>
      <c r="F375" s="14">
        <f>CHOOSE(CONTROL!$C$42, 17.7222, 17.7222)*CHOOSE(CONTROL!$C$21, $C$9, 100%, $E$9)</f>
        <v>17.722200000000001</v>
      </c>
      <c r="G375" s="14">
        <f>CHOOSE(CONTROL!$C$42, 17.7375, 17.7375)*CHOOSE(CONTROL!$C$21, $C$9, 100%, $E$9)</f>
        <v>17.737500000000001</v>
      </c>
      <c r="H375" s="14">
        <f>CHOOSE(CONTROL!$C$42, 17.8299, 17.8299) * CHOOSE(CONTROL!$C$21, $C$9, 100%, $E$9)</f>
        <v>17.829899999999999</v>
      </c>
      <c r="I375" s="14">
        <f>CHOOSE(CONTROL!$C$42, 17.7983, 17.7983)* CHOOSE(CONTROL!$C$21, $C$9, 100%, $E$9)</f>
        <v>17.798300000000001</v>
      </c>
      <c r="J375" s="14">
        <f>CHOOSE(CONTROL!$C$42, 17.7152, 17.7152)* CHOOSE(CONTROL!$C$21, $C$9, 100%, $E$9)</f>
        <v>17.715199999999999</v>
      </c>
      <c r="K375" s="53">
        <f>CHOOSE(CONTROL!$C$42, 17.7944, 17.7944) * CHOOSE(CONTROL!$C$21, $C$9, 100%, $E$9)</f>
        <v>17.7944</v>
      </c>
      <c r="L375" s="14">
        <f>CHOOSE(CONTROL!$C$42, 18.4169, 18.4169) * CHOOSE(CONTROL!$C$21, $C$9, 100%, $E$9)</f>
        <v>18.416899999999998</v>
      </c>
      <c r="M375" s="14">
        <f>CHOOSE(CONTROL!$C$42, 17.3599, 17.3599) * CHOOSE(CONTROL!$C$21, $C$9, 100%, $E$9)</f>
        <v>17.3599</v>
      </c>
      <c r="N375" s="14">
        <f>CHOOSE(CONTROL!$C$42, 17.375, 17.375) * CHOOSE(CONTROL!$C$21, $C$9, 100%, $E$9)</f>
        <v>17.375</v>
      </c>
      <c r="O375" s="14">
        <f>CHOOSE(CONTROL!$C$42, 17.4723, 17.4723) * CHOOSE(CONTROL!$C$21, $C$9, 100%, $E$9)</f>
        <v>17.472300000000001</v>
      </c>
      <c r="P375" s="14">
        <f>CHOOSE(CONTROL!$C$42, 17.4403, 17.4403) * CHOOSE(CONTROL!$C$21, $C$9, 100%, $E$9)</f>
        <v>17.440300000000001</v>
      </c>
      <c r="Q375" s="14">
        <f>CHOOSE(CONTROL!$C$42, 18.067, 18.067) * CHOOSE(CONTROL!$C$21, $C$9, 100%, $E$9)</f>
        <v>18.067</v>
      </c>
      <c r="R375" s="14">
        <f>CHOOSE(CONTROL!$C$42, 18.6992, 18.6992) * CHOOSE(CONTROL!$C$21, $C$9, 100%, $E$9)</f>
        <v>18.699200000000001</v>
      </c>
      <c r="S375" s="14">
        <f>CHOOSE(CONTROL!$C$42, 17.0332, 17.0332) * CHOOSE(CONTROL!$C$21, $C$9, 100%, $E$9)</f>
        <v>17.033200000000001</v>
      </c>
      <c r="T37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75" s="57">
        <f>(1000*CHOOSE(CONTROL!$C$42, 695, 695)*CHOOSE(CONTROL!$C$42, 0.5599, 0.5599)*CHOOSE(CONTROL!$C$42, 31, 31))/1000000</f>
        <v>12.063045499999998</v>
      </c>
      <c r="V375" s="57">
        <f>(1000*CHOOSE(CONTROL!$C$42, 500, 500)*CHOOSE(CONTROL!$C$42, 0.275, 0.275)*CHOOSE(CONTROL!$C$42, 31, 31))/1000000</f>
        <v>4.2625000000000002</v>
      </c>
      <c r="W375" s="57">
        <f>(1000*CHOOSE(CONTROL!$C$42, 0.1146, 0.1146)*CHOOSE(CONTROL!$C$42, 121.5, 121.5)*CHOOSE(CONTROL!$C$42, 31, 31))/1000000</f>
        <v>0.43164089999999994</v>
      </c>
      <c r="X375" s="57">
        <f>(31*0.1790888*100000/1000000)+(31*0.2374*100000/1000000)</f>
        <v>1.2911152800000001</v>
      </c>
      <c r="Y375" s="57"/>
      <c r="Z375" s="14"/>
      <c r="AA375" s="56"/>
      <c r="AB375" s="50">
        <f>(B375*122.58+C375*297.941+D375*89.177+E375*40.302+F375*40+G375*160+H375*0+I375*100+J375*300)/(122.58+297.941+89.177+40.302+0+40+160+100+300)</f>
        <v>17.745866785913044</v>
      </c>
      <c r="AC375" s="45">
        <f>(M375*'RAP TEMPLATE-GAS AVAILABILITY'!O374+N375*'RAP TEMPLATE-GAS AVAILABILITY'!P374+O375*'RAP TEMPLATE-GAS AVAILABILITY'!Q374+P375*'RAP TEMPLATE-GAS AVAILABILITY'!R374)/('RAP TEMPLATE-GAS AVAILABILITY'!O374+'RAP TEMPLATE-GAS AVAILABILITY'!P374+'RAP TEMPLATE-GAS AVAILABILITY'!Q374+'RAP TEMPLATE-GAS AVAILABILITY'!R374)</f>
        <v>17.423281294964028</v>
      </c>
    </row>
    <row r="376" spans="1:29" ht="15.75" x14ac:dyDescent="0.25">
      <c r="A376" s="33">
        <v>52351</v>
      </c>
      <c r="B376" s="14">
        <f>CHOOSE(CONTROL!$C$42, 17.6833, 17.6833) * CHOOSE(CONTROL!$C$21, $C$9, 100%, $E$9)</f>
        <v>17.683299999999999</v>
      </c>
      <c r="C376" s="14">
        <f>CHOOSE(CONTROL!$C$42, 17.6877, 17.6877) * CHOOSE(CONTROL!$C$21, $C$9, 100%, $E$9)</f>
        <v>17.6877</v>
      </c>
      <c r="D376" s="14">
        <f>CHOOSE(CONTROL!$C$42, 17.8948, 17.8948) * CHOOSE(CONTROL!$C$21, $C$9, 100%, $E$9)</f>
        <v>17.8948</v>
      </c>
      <c r="E376" s="14">
        <f>CHOOSE(CONTROL!$C$42, 17.9269, 17.9269) * CHOOSE(CONTROL!$C$21, $C$9, 100%, $E$9)</f>
        <v>17.9269</v>
      </c>
      <c r="F376" s="14">
        <f>CHOOSE(CONTROL!$C$42, 17.6651, 17.6651)*CHOOSE(CONTROL!$C$21, $C$9, 100%, $E$9)</f>
        <v>17.665099999999999</v>
      </c>
      <c r="G376" s="14">
        <f>CHOOSE(CONTROL!$C$42, 17.6803, 17.6803)*CHOOSE(CONTROL!$C$21, $C$9, 100%, $E$9)</f>
        <v>17.680299999999999</v>
      </c>
      <c r="H376" s="14">
        <f>CHOOSE(CONTROL!$C$42, 17.9167, 17.9167) * CHOOSE(CONTROL!$C$21, $C$9, 100%, $E$9)</f>
        <v>17.916699999999999</v>
      </c>
      <c r="I376" s="14">
        <f>CHOOSE(CONTROL!$C$42, 17.7455, 17.7455)* CHOOSE(CONTROL!$C$21, $C$9, 100%, $E$9)</f>
        <v>17.7455</v>
      </c>
      <c r="J376" s="14">
        <f>CHOOSE(CONTROL!$C$42, 17.6581, 17.6581)* CHOOSE(CONTROL!$C$21, $C$9, 100%, $E$9)</f>
        <v>17.658100000000001</v>
      </c>
      <c r="K376" s="53">
        <f>CHOOSE(CONTROL!$C$42, 17.7416, 17.7416) * CHOOSE(CONTROL!$C$21, $C$9, 100%, $E$9)</f>
        <v>17.741599999999998</v>
      </c>
      <c r="L376" s="14">
        <f>CHOOSE(CONTROL!$C$42, 18.5037, 18.5037) * CHOOSE(CONTROL!$C$21, $C$9, 100%, $E$9)</f>
        <v>18.503699999999998</v>
      </c>
      <c r="M376" s="14">
        <f>CHOOSE(CONTROL!$C$42, 17.304, 17.304) * CHOOSE(CONTROL!$C$21, $C$9, 100%, $E$9)</f>
        <v>17.303999999999998</v>
      </c>
      <c r="N376" s="14">
        <f>CHOOSE(CONTROL!$C$42, 17.3189, 17.3189) * CHOOSE(CONTROL!$C$21, $C$9, 100%, $E$9)</f>
        <v>17.318899999999999</v>
      </c>
      <c r="O376" s="14">
        <f>CHOOSE(CONTROL!$C$42, 17.5573, 17.5573) * CHOOSE(CONTROL!$C$21, $C$9, 100%, $E$9)</f>
        <v>17.557300000000001</v>
      </c>
      <c r="P376" s="14">
        <f>CHOOSE(CONTROL!$C$42, 17.3885, 17.3885) * CHOOSE(CONTROL!$C$21, $C$9, 100%, $E$9)</f>
        <v>17.388500000000001</v>
      </c>
      <c r="Q376" s="14">
        <f>CHOOSE(CONTROL!$C$42, 18.152, 18.152) * CHOOSE(CONTROL!$C$21, $C$9, 100%, $E$9)</f>
        <v>18.152000000000001</v>
      </c>
      <c r="R376" s="14">
        <f>CHOOSE(CONTROL!$C$42, 18.7844, 18.7844) * CHOOSE(CONTROL!$C$21, $C$9, 100%, $E$9)</f>
        <v>18.784400000000002</v>
      </c>
      <c r="S376" s="14">
        <f>CHOOSE(CONTROL!$C$42, 16.9826, 16.9826) * CHOOSE(CONTROL!$C$21, $C$9, 100%, $E$9)</f>
        <v>16.982600000000001</v>
      </c>
      <c r="T37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76" s="57">
        <f>(1000*CHOOSE(CONTROL!$C$42, 695, 695)*CHOOSE(CONTROL!$C$42, 0.5599, 0.5599)*CHOOSE(CONTROL!$C$42, 30, 30))/1000000</f>
        <v>11.673914999999997</v>
      </c>
      <c r="V376" s="57">
        <f>(1000*CHOOSE(CONTROL!$C$42, 500, 500)*CHOOSE(CONTROL!$C$42, 0.275, 0.275)*CHOOSE(CONTROL!$C$42, 30, 30))/1000000</f>
        <v>4.125</v>
      </c>
      <c r="W376" s="57">
        <f>(1000*CHOOSE(CONTROL!$C$42, 0.1146, 0.1146)*CHOOSE(CONTROL!$C$42, 121.5, 121.5)*CHOOSE(CONTROL!$C$42, 30, 30))/1000000</f>
        <v>0.417717</v>
      </c>
      <c r="X376" s="57">
        <f>(30*0.1790888*245000/1000000)+(30*0.2374*100000/1000000)</f>
        <v>2.0285026799999999</v>
      </c>
      <c r="Y376" s="57"/>
      <c r="Z376" s="14"/>
      <c r="AA376" s="56"/>
      <c r="AB376" s="50">
        <f>(B376*141.293+C376*267.993+D376*115.016+E376*89.698+F376*40+G376*185+H376*0+I376*100+J376*300)/(141.293+267.993+115.016+89.698+0+40+185+100+300)</f>
        <v>17.719403701372073</v>
      </c>
      <c r="AC376" s="45">
        <f>(M376*'RAP TEMPLATE-GAS AVAILABILITY'!O375+N376*'RAP TEMPLATE-GAS AVAILABILITY'!P375+O376*'RAP TEMPLATE-GAS AVAILABILITY'!Q375+P376*'RAP TEMPLATE-GAS AVAILABILITY'!R375)/('RAP TEMPLATE-GAS AVAILABILITY'!O375+'RAP TEMPLATE-GAS AVAILABILITY'!P375+'RAP TEMPLATE-GAS AVAILABILITY'!Q375+'RAP TEMPLATE-GAS AVAILABILITY'!R375)</f>
        <v>17.390658273381298</v>
      </c>
    </row>
    <row r="377" spans="1:29" ht="15.75" x14ac:dyDescent="0.25">
      <c r="A377" s="33">
        <v>52382</v>
      </c>
      <c r="B377" s="14">
        <f>CHOOSE(CONTROL!$C$42, 17.8406, 17.8406) * CHOOSE(CONTROL!$C$21, $C$9, 100%, $E$9)</f>
        <v>17.840599999999998</v>
      </c>
      <c r="C377" s="14">
        <f>CHOOSE(CONTROL!$C$42, 17.8487, 17.8487) * CHOOSE(CONTROL!$C$21, $C$9, 100%, $E$9)</f>
        <v>17.848700000000001</v>
      </c>
      <c r="D377" s="14">
        <f>CHOOSE(CONTROL!$C$42, 18.0526, 18.0526) * CHOOSE(CONTROL!$C$21, $C$9, 100%, $E$9)</f>
        <v>18.052600000000002</v>
      </c>
      <c r="E377" s="14">
        <f>CHOOSE(CONTROL!$C$42, 18.0841, 18.0841) * CHOOSE(CONTROL!$C$21, $C$9, 100%, $E$9)</f>
        <v>18.084099999999999</v>
      </c>
      <c r="F377" s="14">
        <f>CHOOSE(CONTROL!$C$42, 17.8214, 17.8214)*CHOOSE(CONTROL!$C$21, $C$9, 100%, $E$9)</f>
        <v>17.821400000000001</v>
      </c>
      <c r="G377" s="14">
        <f>CHOOSE(CONTROL!$C$42, 17.837, 17.837)*CHOOSE(CONTROL!$C$21, $C$9, 100%, $E$9)</f>
        <v>17.837</v>
      </c>
      <c r="H377" s="14">
        <f>CHOOSE(CONTROL!$C$42, 18.0727, 18.0727) * CHOOSE(CONTROL!$C$21, $C$9, 100%, $E$9)</f>
        <v>18.072700000000001</v>
      </c>
      <c r="I377" s="14">
        <f>CHOOSE(CONTROL!$C$42, 17.9019, 17.9019)* CHOOSE(CONTROL!$C$21, $C$9, 100%, $E$9)</f>
        <v>17.901900000000001</v>
      </c>
      <c r="J377" s="14">
        <f>CHOOSE(CONTROL!$C$42, 17.8144, 17.8144)* CHOOSE(CONTROL!$C$21, $C$9, 100%, $E$9)</f>
        <v>17.814399999999999</v>
      </c>
      <c r="K377" s="53">
        <f>CHOOSE(CONTROL!$C$42, 17.8981, 17.8981) * CHOOSE(CONTROL!$C$21, $C$9, 100%, $E$9)</f>
        <v>17.898099999999999</v>
      </c>
      <c r="L377" s="14">
        <f>CHOOSE(CONTROL!$C$42, 18.6597, 18.6597) * CHOOSE(CONTROL!$C$21, $C$9, 100%, $E$9)</f>
        <v>18.659700000000001</v>
      </c>
      <c r="M377" s="14">
        <f>CHOOSE(CONTROL!$C$42, 17.4571, 17.4571) * CHOOSE(CONTROL!$C$21, $C$9, 100%, $E$9)</f>
        <v>17.457100000000001</v>
      </c>
      <c r="N377" s="14">
        <f>CHOOSE(CONTROL!$C$42, 17.4724, 17.4724) * CHOOSE(CONTROL!$C$21, $C$9, 100%, $E$9)</f>
        <v>17.4724</v>
      </c>
      <c r="O377" s="14">
        <f>CHOOSE(CONTROL!$C$42, 17.7101, 17.7101) * CHOOSE(CONTROL!$C$21, $C$9, 100%, $E$9)</f>
        <v>17.710100000000001</v>
      </c>
      <c r="P377" s="14">
        <f>CHOOSE(CONTROL!$C$42, 17.5418, 17.5418) * CHOOSE(CONTROL!$C$21, $C$9, 100%, $E$9)</f>
        <v>17.541799999999999</v>
      </c>
      <c r="Q377" s="14">
        <f>CHOOSE(CONTROL!$C$42, 18.3048, 18.3048) * CHOOSE(CONTROL!$C$21, $C$9, 100%, $E$9)</f>
        <v>18.3048</v>
      </c>
      <c r="R377" s="14">
        <f>CHOOSE(CONTROL!$C$42, 18.9375, 18.9375) * CHOOSE(CONTROL!$C$21, $C$9, 100%, $E$9)</f>
        <v>18.9375</v>
      </c>
      <c r="S377" s="14">
        <f>CHOOSE(CONTROL!$C$42, 17.1324, 17.1324) * CHOOSE(CONTROL!$C$21, $C$9, 100%, $E$9)</f>
        <v>17.132400000000001</v>
      </c>
      <c r="T37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77" s="57">
        <f>(1000*CHOOSE(CONTROL!$C$42, 695, 695)*CHOOSE(CONTROL!$C$42, 0.5599, 0.5599)*CHOOSE(CONTROL!$C$42, 31, 31))/1000000</f>
        <v>12.063045499999998</v>
      </c>
      <c r="V377" s="57">
        <f>(1000*CHOOSE(CONTROL!$C$42, 500, 500)*CHOOSE(CONTROL!$C$42, 0.275, 0.275)*CHOOSE(CONTROL!$C$42, 31, 31))/1000000</f>
        <v>4.2625000000000002</v>
      </c>
      <c r="W377" s="57">
        <f>(1000*CHOOSE(CONTROL!$C$42, 0.1146, 0.1146)*CHOOSE(CONTROL!$C$42, 121.5, 121.5)*CHOOSE(CONTROL!$C$42, 31, 31))/1000000</f>
        <v>0.43164089999999994</v>
      </c>
      <c r="X377" s="57">
        <f>(31*0.1790888*245000/1000000)+(31*0.2374*100000/1000000)</f>
        <v>2.0961194359999999</v>
      </c>
      <c r="Y377" s="57"/>
      <c r="Z377" s="14"/>
      <c r="AA377" s="56"/>
      <c r="AB377" s="50">
        <f>(B377*194.205+C377*267.466+D377*133.845+E377*53.484+F377*40+G377*185+H377*0+I377*100+J377*300)/(194.205+267.466+133.845+53.484+0+40+185+100+300)</f>
        <v>17.872311906279435</v>
      </c>
      <c r="AC377" s="45">
        <f>(M377*'RAP TEMPLATE-GAS AVAILABILITY'!O376+N377*'RAP TEMPLATE-GAS AVAILABILITY'!P376+O377*'RAP TEMPLATE-GAS AVAILABILITY'!Q376+P377*'RAP TEMPLATE-GAS AVAILABILITY'!R376)/('RAP TEMPLATE-GAS AVAILABILITY'!O376+'RAP TEMPLATE-GAS AVAILABILITY'!P376+'RAP TEMPLATE-GAS AVAILABILITY'!Q376+'RAP TEMPLATE-GAS AVAILABILITY'!R376)</f>
        <v>17.543794964028777</v>
      </c>
    </row>
    <row r="378" spans="1:29" ht="15.75" x14ac:dyDescent="0.25">
      <c r="A378" s="33">
        <v>52412</v>
      </c>
      <c r="B378" s="14">
        <f>CHOOSE(CONTROL!$C$42, 18.3464, 18.3464) * CHOOSE(CONTROL!$C$21, $C$9, 100%, $E$9)</f>
        <v>18.346399999999999</v>
      </c>
      <c r="C378" s="14">
        <f>CHOOSE(CONTROL!$C$42, 18.3544, 18.3544) * CHOOSE(CONTROL!$C$21, $C$9, 100%, $E$9)</f>
        <v>18.354399999999998</v>
      </c>
      <c r="D378" s="14">
        <f>CHOOSE(CONTROL!$C$42, 18.5583, 18.5583) * CHOOSE(CONTROL!$C$21, $C$9, 100%, $E$9)</f>
        <v>18.558299999999999</v>
      </c>
      <c r="E378" s="14">
        <f>CHOOSE(CONTROL!$C$42, 18.5898, 18.5898) * CHOOSE(CONTROL!$C$21, $C$9, 100%, $E$9)</f>
        <v>18.5898</v>
      </c>
      <c r="F378" s="14">
        <f>CHOOSE(CONTROL!$C$42, 18.3275, 18.3275)*CHOOSE(CONTROL!$C$21, $C$9, 100%, $E$9)</f>
        <v>18.327500000000001</v>
      </c>
      <c r="G378" s="14">
        <f>CHOOSE(CONTROL!$C$42, 18.3433, 18.3433)*CHOOSE(CONTROL!$C$21, $C$9, 100%, $E$9)</f>
        <v>18.343299999999999</v>
      </c>
      <c r="H378" s="14">
        <f>CHOOSE(CONTROL!$C$42, 18.5784, 18.5784) * CHOOSE(CONTROL!$C$21, $C$9, 100%, $E$9)</f>
        <v>18.578399999999998</v>
      </c>
      <c r="I378" s="14">
        <f>CHOOSE(CONTROL!$C$42, 18.4093, 18.4093)* CHOOSE(CONTROL!$C$21, $C$9, 100%, $E$9)</f>
        <v>18.409300000000002</v>
      </c>
      <c r="J378" s="14">
        <f>CHOOSE(CONTROL!$C$42, 18.3205, 18.3205)* CHOOSE(CONTROL!$C$21, $C$9, 100%, $E$9)</f>
        <v>18.320499999999999</v>
      </c>
      <c r="K378" s="53">
        <f>CHOOSE(CONTROL!$C$42, 18.4054, 18.4054) * CHOOSE(CONTROL!$C$21, $C$9, 100%, $E$9)</f>
        <v>18.4054</v>
      </c>
      <c r="L378" s="14">
        <f>CHOOSE(CONTROL!$C$42, 19.1654, 19.1654) * CHOOSE(CONTROL!$C$21, $C$9, 100%, $E$9)</f>
        <v>19.165400000000002</v>
      </c>
      <c r="M378" s="14">
        <f>CHOOSE(CONTROL!$C$42, 17.9528, 17.9528) * CHOOSE(CONTROL!$C$21, $C$9, 100%, $E$9)</f>
        <v>17.9528</v>
      </c>
      <c r="N378" s="14">
        <f>CHOOSE(CONTROL!$C$42, 17.9683, 17.9683) * CHOOSE(CONTROL!$C$21, $C$9, 100%, $E$9)</f>
        <v>17.968299999999999</v>
      </c>
      <c r="O378" s="14">
        <f>CHOOSE(CONTROL!$C$42, 18.2055, 18.2055) * CHOOSE(CONTROL!$C$21, $C$9, 100%, $E$9)</f>
        <v>18.205500000000001</v>
      </c>
      <c r="P378" s="14">
        <f>CHOOSE(CONTROL!$C$42, 18.0387, 18.0387) * CHOOSE(CONTROL!$C$21, $C$9, 100%, $E$9)</f>
        <v>18.038699999999999</v>
      </c>
      <c r="Q378" s="14">
        <f>CHOOSE(CONTROL!$C$42, 18.8002, 18.8002) * CHOOSE(CONTROL!$C$21, $C$9, 100%, $E$9)</f>
        <v>18.8002</v>
      </c>
      <c r="R378" s="14">
        <f>CHOOSE(CONTROL!$C$42, 19.4342, 19.4342) * CHOOSE(CONTROL!$C$21, $C$9, 100%, $E$9)</f>
        <v>19.434200000000001</v>
      </c>
      <c r="S378" s="14">
        <f>CHOOSE(CONTROL!$C$42, 17.6184, 17.6184) * CHOOSE(CONTROL!$C$21, $C$9, 100%, $E$9)</f>
        <v>17.618400000000001</v>
      </c>
      <c r="T37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78" s="57">
        <f>(1000*CHOOSE(CONTROL!$C$42, 695, 695)*CHOOSE(CONTROL!$C$42, 0.5599, 0.5599)*CHOOSE(CONTROL!$C$42, 30, 30))/1000000</f>
        <v>11.673914999999997</v>
      </c>
      <c r="V378" s="57">
        <f>(1000*CHOOSE(CONTROL!$C$42, 500, 500)*CHOOSE(CONTROL!$C$42, 0.275, 0.275)*CHOOSE(CONTROL!$C$42, 30, 30))/1000000</f>
        <v>4.125</v>
      </c>
      <c r="W378" s="57">
        <f>(1000*CHOOSE(CONTROL!$C$42, 0.1146, 0.1146)*CHOOSE(CONTROL!$C$42, 121.5, 121.5)*CHOOSE(CONTROL!$C$42, 30, 30))/1000000</f>
        <v>0.417717</v>
      </c>
      <c r="X378" s="57">
        <f>(30*0.1790888*245000/1000000)+(30*0.2374*100000/1000000)</f>
        <v>2.0285026799999999</v>
      </c>
      <c r="Y378" s="57"/>
      <c r="Z378" s="14"/>
      <c r="AA378" s="56"/>
      <c r="AB378" s="50">
        <f>(B378*194.205+C378*267.466+D378*133.845+E378*53.484+F378*40+G378*185+H378*0+I378*100+J378*300)/(194.205+267.466+133.845+53.484+0+40+185+100+300)</f>
        <v>18.378354465541605</v>
      </c>
      <c r="AC378" s="45">
        <f>(M378*'RAP TEMPLATE-GAS AVAILABILITY'!O377+N378*'RAP TEMPLATE-GAS AVAILABILITY'!P377+O378*'RAP TEMPLATE-GAS AVAILABILITY'!Q377+P378*'RAP TEMPLATE-GAS AVAILABILITY'!R377)/('RAP TEMPLATE-GAS AVAILABILITY'!O377+'RAP TEMPLATE-GAS AVAILABILITY'!P377+'RAP TEMPLATE-GAS AVAILABILITY'!Q377+'RAP TEMPLATE-GAS AVAILABILITY'!R377)</f>
        <v>18.039629496402878</v>
      </c>
    </row>
    <row r="379" spans="1:29" ht="15.75" x14ac:dyDescent="0.25">
      <c r="A379" s="33">
        <v>52443</v>
      </c>
      <c r="B379" s="14">
        <f>CHOOSE(CONTROL!$C$42, 17.9946, 17.9946) * CHOOSE(CONTROL!$C$21, $C$9, 100%, $E$9)</f>
        <v>17.994599999999998</v>
      </c>
      <c r="C379" s="14">
        <f>CHOOSE(CONTROL!$C$42, 18.0027, 18.0027) * CHOOSE(CONTROL!$C$21, $C$9, 100%, $E$9)</f>
        <v>18.002700000000001</v>
      </c>
      <c r="D379" s="14">
        <f>CHOOSE(CONTROL!$C$42, 18.2066, 18.2066) * CHOOSE(CONTROL!$C$21, $C$9, 100%, $E$9)</f>
        <v>18.206600000000002</v>
      </c>
      <c r="E379" s="14">
        <f>CHOOSE(CONTROL!$C$42, 18.238, 18.238) * CHOOSE(CONTROL!$C$21, $C$9, 100%, $E$9)</f>
        <v>18.238</v>
      </c>
      <c r="F379" s="14">
        <f>CHOOSE(CONTROL!$C$42, 17.9762, 17.9762)*CHOOSE(CONTROL!$C$21, $C$9, 100%, $E$9)</f>
        <v>17.976199999999999</v>
      </c>
      <c r="G379" s="14">
        <f>CHOOSE(CONTROL!$C$42, 17.9921, 17.9921)*CHOOSE(CONTROL!$C$21, $C$9, 100%, $E$9)</f>
        <v>17.992100000000001</v>
      </c>
      <c r="H379" s="14">
        <f>CHOOSE(CONTROL!$C$42, 18.2267, 18.2267) * CHOOSE(CONTROL!$C$21, $C$9, 100%, $E$9)</f>
        <v>18.226700000000001</v>
      </c>
      <c r="I379" s="14">
        <f>CHOOSE(CONTROL!$C$42, 18.0564, 18.0564)* CHOOSE(CONTROL!$C$21, $C$9, 100%, $E$9)</f>
        <v>18.0564</v>
      </c>
      <c r="J379" s="14">
        <f>CHOOSE(CONTROL!$C$42, 17.9692, 17.9692)* CHOOSE(CONTROL!$C$21, $C$9, 100%, $E$9)</f>
        <v>17.969200000000001</v>
      </c>
      <c r="K379" s="53">
        <f>CHOOSE(CONTROL!$C$42, 18.0525, 18.0525) * CHOOSE(CONTROL!$C$21, $C$9, 100%, $E$9)</f>
        <v>18.052499999999998</v>
      </c>
      <c r="L379" s="14">
        <f>CHOOSE(CONTROL!$C$42, 18.8137, 18.8137) * CHOOSE(CONTROL!$C$21, $C$9, 100%, $E$9)</f>
        <v>18.813700000000001</v>
      </c>
      <c r="M379" s="14">
        <f>CHOOSE(CONTROL!$C$42, 17.6088, 17.6088) * CHOOSE(CONTROL!$C$21, $C$9, 100%, $E$9)</f>
        <v>17.608799999999999</v>
      </c>
      <c r="N379" s="14">
        <f>CHOOSE(CONTROL!$C$42, 17.6243, 17.6243) * CHOOSE(CONTROL!$C$21, $C$9, 100%, $E$9)</f>
        <v>17.624300000000002</v>
      </c>
      <c r="O379" s="14">
        <f>CHOOSE(CONTROL!$C$42, 17.8609, 17.8609) * CHOOSE(CONTROL!$C$21, $C$9, 100%, $E$9)</f>
        <v>17.860900000000001</v>
      </c>
      <c r="P379" s="14">
        <f>CHOOSE(CONTROL!$C$42, 17.6931, 17.6931) * CHOOSE(CONTROL!$C$21, $C$9, 100%, $E$9)</f>
        <v>17.693100000000001</v>
      </c>
      <c r="Q379" s="14">
        <f>CHOOSE(CONTROL!$C$42, 18.4556, 18.4556) * CHOOSE(CONTROL!$C$21, $C$9, 100%, $E$9)</f>
        <v>18.4556</v>
      </c>
      <c r="R379" s="14">
        <f>CHOOSE(CONTROL!$C$42, 19.0888, 19.0888) * CHOOSE(CONTROL!$C$21, $C$9, 100%, $E$9)</f>
        <v>19.088799999999999</v>
      </c>
      <c r="S379" s="14">
        <f>CHOOSE(CONTROL!$C$42, 17.2804, 17.2804) * CHOOSE(CONTROL!$C$21, $C$9, 100%, $E$9)</f>
        <v>17.2804</v>
      </c>
      <c r="T37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79" s="57">
        <f>(1000*CHOOSE(CONTROL!$C$42, 695, 695)*CHOOSE(CONTROL!$C$42, 0.5599, 0.5599)*CHOOSE(CONTROL!$C$42, 31, 31))/1000000</f>
        <v>12.063045499999998</v>
      </c>
      <c r="V379" s="57">
        <f>(1000*CHOOSE(CONTROL!$C$42, 500, 500)*CHOOSE(CONTROL!$C$42, 0.275, 0.275)*CHOOSE(CONTROL!$C$42, 31, 31))/1000000</f>
        <v>4.2625000000000002</v>
      </c>
      <c r="W379" s="57">
        <f>(1000*CHOOSE(CONTROL!$C$42, 0.1146, 0.1146)*CHOOSE(CONTROL!$C$42, 121.5, 121.5)*CHOOSE(CONTROL!$C$42, 31, 31))/1000000</f>
        <v>0.43164089999999994</v>
      </c>
      <c r="X379" s="57">
        <f>(31*0.1790888*245000/1000000)+(31*0.2374*100000/1000000)</f>
        <v>2.0961194359999999</v>
      </c>
      <c r="Y379" s="57"/>
      <c r="Z379" s="14"/>
      <c r="AA379" s="56"/>
      <c r="AB379" s="50">
        <f>(B379*194.205+C379*267.466+D379*133.845+E379*53.484+F379*40+G379*185+H379*0+I379*100+J379*300)/(194.205+267.466+133.845+53.484+0+40+185+100+300)</f>
        <v>18.026720188540033</v>
      </c>
      <c r="AC379" s="45">
        <f>(M379*'RAP TEMPLATE-GAS AVAILABILITY'!O378+N379*'RAP TEMPLATE-GAS AVAILABILITY'!P378+O379*'RAP TEMPLATE-GAS AVAILABILITY'!Q378+P379*'RAP TEMPLATE-GAS AVAILABILITY'!R378)/('RAP TEMPLATE-GAS AVAILABILITY'!O378+'RAP TEMPLATE-GAS AVAILABILITY'!P378+'RAP TEMPLATE-GAS AVAILABILITY'!Q378+'RAP TEMPLATE-GAS AVAILABILITY'!R378)</f>
        <v>17.695230935251796</v>
      </c>
    </row>
    <row r="380" spans="1:29" ht="15.75" x14ac:dyDescent="0.25">
      <c r="A380" s="33">
        <v>52474</v>
      </c>
      <c r="B380" s="14">
        <f>CHOOSE(CONTROL!$C$42, 17.1064, 17.1064) * CHOOSE(CONTROL!$C$21, $C$9, 100%, $E$9)</f>
        <v>17.106400000000001</v>
      </c>
      <c r="C380" s="14">
        <f>CHOOSE(CONTROL!$C$42, 17.1144, 17.1144) * CHOOSE(CONTROL!$C$21, $C$9, 100%, $E$9)</f>
        <v>17.1144</v>
      </c>
      <c r="D380" s="14">
        <f>CHOOSE(CONTROL!$C$42, 17.3183, 17.3183) * CHOOSE(CONTROL!$C$21, $C$9, 100%, $E$9)</f>
        <v>17.318300000000001</v>
      </c>
      <c r="E380" s="14">
        <f>CHOOSE(CONTROL!$C$42, 17.3498, 17.3498) * CHOOSE(CONTROL!$C$21, $C$9, 100%, $E$9)</f>
        <v>17.349799999999998</v>
      </c>
      <c r="F380" s="14">
        <f>CHOOSE(CONTROL!$C$42, 17.0882, 17.0882)*CHOOSE(CONTROL!$C$21, $C$9, 100%, $E$9)</f>
        <v>17.088200000000001</v>
      </c>
      <c r="G380" s="14">
        <f>CHOOSE(CONTROL!$C$42, 17.1042, 17.1042)*CHOOSE(CONTROL!$C$21, $C$9, 100%, $E$9)</f>
        <v>17.104199999999999</v>
      </c>
      <c r="H380" s="14">
        <f>CHOOSE(CONTROL!$C$42, 17.3384, 17.3384) * CHOOSE(CONTROL!$C$21, $C$9, 100%, $E$9)</f>
        <v>17.3384</v>
      </c>
      <c r="I380" s="14">
        <f>CHOOSE(CONTROL!$C$42, 17.1654, 17.1654)* CHOOSE(CONTROL!$C$21, $C$9, 100%, $E$9)</f>
        <v>17.165400000000002</v>
      </c>
      <c r="J380" s="14">
        <f>CHOOSE(CONTROL!$C$42, 17.0812, 17.0812)* CHOOSE(CONTROL!$C$21, $C$9, 100%, $E$9)</f>
        <v>17.081199999999999</v>
      </c>
      <c r="K380" s="53">
        <f>CHOOSE(CONTROL!$C$42, 17.1615, 17.1615) * CHOOSE(CONTROL!$C$21, $C$9, 100%, $E$9)</f>
        <v>17.1615</v>
      </c>
      <c r="L380" s="14">
        <f>CHOOSE(CONTROL!$C$42, 17.9254, 17.9254) * CHOOSE(CONTROL!$C$21, $C$9, 100%, $E$9)</f>
        <v>17.9254</v>
      </c>
      <c r="M380" s="14">
        <f>CHOOSE(CONTROL!$C$42, 16.7389, 16.7389) * CHOOSE(CONTROL!$C$21, $C$9, 100%, $E$9)</f>
        <v>16.738900000000001</v>
      </c>
      <c r="N380" s="14">
        <f>CHOOSE(CONTROL!$C$42, 16.7546, 16.7546) * CHOOSE(CONTROL!$C$21, $C$9, 100%, $E$9)</f>
        <v>16.7546</v>
      </c>
      <c r="O380" s="14">
        <f>CHOOSE(CONTROL!$C$42, 16.9909, 16.9909) * CHOOSE(CONTROL!$C$21, $C$9, 100%, $E$9)</f>
        <v>16.9909</v>
      </c>
      <c r="P380" s="14">
        <f>CHOOSE(CONTROL!$C$42, 16.8204, 16.8204) * CHOOSE(CONTROL!$C$21, $C$9, 100%, $E$9)</f>
        <v>16.820399999999999</v>
      </c>
      <c r="Q380" s="14">
        <f>CHOOSE(CONTROL!$C$42, 17.5856, 17.5856) * CHOOSE(CONTROL!$C$21, $C$9, 100%, $E$9)</f>
        <v>17.585599999999999</v>
      </c>
      <c r="R380" s="14">
        <f>CHOOSE(CONTROL!$C$42, 18.2165, 18.2165) * CHOOSE(CONTROL!$C$21, $C$9, 100%, $E$9)</f>
        <v>18.2165</v>
      </c>
      <c r="S380" s="14">
        <f>CHOOSE(CONTROL!$C$42, 16.4269, 16.4269) * CHOOSE(CONTROL!$C$21, $C$9, 100%, $E$9)</f>
        <v>16.4269</v>
      </c>
      <c r="T38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80" s="57">
        <f>(1000*CHOOSE(CONTROL!$C$42, 695, 695)*CHOOSE(CONTROL!$C$42, 0.5599, 0.5599)*CHOOSE(CONTROL!$C$42, 31, 31))/1000000</f>
        <v>12.063045499999998</v>
      </c>
      <c r="V380" s="57">
        <f>(1000*CHOOSE(CONTROL!$C$42, 500, 500)*CHOOSE(CONTROL!$C$42, 0.275, 0.275)*CHOOSE(CONTROL!$C$42, 31, 31))/1000000</f>
        <v>4.2625000000000002</v>
      </c>
      <c r="W380" s="57">
        <f>(1000*CHOOSE(CONTROL!$C$42, 0.1146, 0.1146)*CHOOSE(CONTROL!$C$42, 121.5, 121.5)*CHOOSE(CONTROL!$C$42, 31, 31))/1000000</f>
        <v>0.43164089999999994</v>
      </c>
      <c r="X380" s="57">
        <f>(31*0.1790888*245000/1000000)+(31*0.2374*100000/1000000)</f>
        <v>2.0961194359999999</v>
      </c>
      <c r="Y380" s="57"/>
      <c r="Z380" s="14"/>
      <c r="AA380" s="56"/>
      <c r="AB380" s="50">
        <f>(B380*194.205+C380*267.466+D380*133.845+E380*53.484+F380*40+G380*185+H380*0+I380*100+J380*300)/(194.205+267.466+133.845+53.484+0+40+185+100+300)</f>
        <v>17.138365847017269</v>
      </c>
      <c r="AC380" s="45">
        <f>(M380*'RAP TEMPLATE-GAS AVAILABILITY'!O379+N380*'RAP TEMPLATE-GAS AVAILABILITY'!P379+O380*'RAP TEMPLATE-GAS AVAILABILITY'!Q379+P380*'RAP TEMPLATE-GAS AVAILABILITY'!R379)/('RAP TEMPLATE-GAS AVAILABILITY'!O379+'RAP TEMPLATE-GAS AVAILABILITY'!P379+'RAP TEMPLATE-GAS AVAILABILITY'!Q379+'RAP TEMPLATE-GAS AVAILABILITY'!R379)</f>
        <v>16.824946043165468</v>
      </c>
    </row>
    <row r="381" spans="1:29" ht="15.75" x14ac:dyDescent="0.25">
      <c r="A381" s="33">
        <v>52504</v>
      </c>
      <c r="B381" s="14">
        <f>CHOOSE(CONTROL!$C$42, 16.0207, 16.0207) * CHOOSE(CONTROL!$C$21, $C$9, 100%, $E$9)</f>
        <v>16.020700000000001</v>
      </c>
      <c r="C381" s="14">
        <f>CHOOSE(CONTROL!$C$42, 16.0287, 16.0287) * CHOOSE(CONTROL!$C$21, $C$9, 100%, $E$9)</f>
        <v>16.028700000000001</v>
      </c>
      <c r="D381" s="14">
        <f>CHOOSE(CONTROL!$C$42, 16.2327, 16.2327) * CHOOSE(CONTROL!$C$21, $C$9, 100%, $E$9)</f>
        <v>16.232700000000001</v>
      </c>
      <c r="E381" s="14">
        <f>CHOOSE(CONTROL!$C$42, 16.2641, 16.2641) * CHOOSE(CONTROL!$C$21, $C$9, 100%, $E$9)</f>
        <v>16.264099999999999</v>
      </c>
      <c r="F381" s="14">
        <f>CHOOSE(CONTROL!$C$42, 16.0026, 16.0026)*CHOOSE(CONTROL!$C$21, $C$9, 100%, $E$9)</f>
        <v>16.002600000000001</v>
      </c>
      <c r="G381" s="14">
        <f>CHOOSE(CONTROL!$C$42, 16.0186, 16.0186)*CHOOSE(CONTROL!$C$21, $C$9, 100%, $E$9)</f>
        <v>16.018599999999999</v>
      </c>
      <c r="H381" s="14">
        <f>CHOOSE(CONTROL!$C$42, 16.2528, 16.2528) * CHOOSE(CONTROL!$C$21, $C$9, 100%, $E$9)</f>
        <v>16.252800000000001</v>
      </c>
      <c r="I381" s="14">
        <f>CHOOSE(CONTROL!$C$42, 16.0763, 16.0763)* CHOOSE(CONTROL!$C$21, $C$9, 100%, $E$9)</f>
        <v>16.0763</v>
      </c>
      <c r="J381" s="14">
        <f>CHOOSE(CONTROL!$C$42, 15.9956, 15.9956)* CHOOSE(CONTROL!$C$21, $C$9, 100%, $E$9)</f>
        <v>15.9956</v>
      </c>
      <c r="K381" s="53">
        <f>CHOOSE(CONTROL!$C$42, 16.0724, 16.0724) * CHOOSE(CONTROL!$C$21, $C$9, 100%, $E$9)</f>
        <v>16.072399999999998</v>
      </c>
      <c r="L381" s="14">
        <f>CHOOSE(CONTROL!$C$42, 16.8398, 16.8398) * CHOOSE(CONTROL!$C$21, $C$9, 100%, $E$9)</f>
        <v>16.8398</v>
      </c>
      <c r="M381" s="14">
        <f>CHOOSE(CONTROL!$C$42, 15.6756, 15.6756) * CHOOSE(CONTROL!$C$21, $C$9, 100%, $E$9)</f>
        <v>15.675599999999999</v>
      </c>
      <c r="N381" s="14">
        <f>CHOOSE(CONTROL!$C$42, 15.6912, 15.6912) * CHOOSE(CONTROL!$C$21, $C$9, 100%, $E$9)</f>
        <v>15.6912</v>
      </c>
      <c r="O381" s="14">
        <f>CHOOSE(CONTROL!$C$42, 15.9275, 15.9275) * CHOOSE(CONTROL!$C$21, $C$9, 100%, $E$9)</f>
        <v>15.9275</v>
      </c>
      <c r="P381" s="14">
        <f>CHOOSE(CONTROL!$C$42, 15.7537, 15.7537) * CHOOSE(CONTROL!$C$21, $C$9, 100%, $E$9)</f>
        <v>15.7537</v>
      </c>
      <c r="Q381" s="14">
        <f>CHOOSE(CONTROL!$C$42, 16.5222, 16.5222) * CHOOSE(CONTROL!$C$21, $C$9, 100%, $E$9)</f>
        <v>16.522200000000002</v>
      </c>
      <c r="R381" s="14">
        <f>CHOOSE(CONTROL!$C$42, 17.1505, 17.1505) * CHOOSE(CONTROL!$C$21, $C$9, 100%, $E$9)</f>
        <v>17.150500000000001</v>
      </c>
      <c r="S381" s="14">
        <f>CHOOSE(CONTROL!$C$42, 15.3837, 15.3837) * CHOOSE(CONTROL!$C$21, $C$9, 100%, $E$9)</f>
        <v>15.383699999999999</v>
      </c>
      <c r="T38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81" s="57">
        <f>(1000*CHOOSE(CONTROL!$C$42, 695, 695)*CHOOSE(CONTROL!$C$42, 0.5599, 0.5599)*CHOOSE(CONTROL!$C$42, 30, 30))/1000000</f>
        <v>11.673914999999997</v>
      </c>
      <c r="V381" s="57">
        <f>(1000*CHOOSE(CONTROL!$C$42, 500, 500)*CHOOSE(CONTROL!$C$42, 0.275, 0.275)*CHOOSE(CONTROL!$C$42, 30, 30))/1000000</f>
        <v>4.125</v>
      </c>
      <c r="W381" s="57">
        <f>(1000*CHOOSE(CONTROL!$C$42, 0.1146, 0.1146)*CHOOSE(CONTROL!$C$42, 121.5, 121.5)*CHOOSE(CONTROL!$C$42, 30, 30))/1000000</f>
        <v>0.417717</v>
      </c>
      <c r="X381" s="57">
        <f>(30*0.1790888*245000/1000000)+(30*0.2374*100000/1000000)</f>
        <v>2.0285026799999999</v>
      </c>
      <c r="Y381" s="57"/>
      <c r="Z381" s="14"/>
      <c r="AA381" s="56"/>
      <c r="AB381" s="50">
        <f>(B381*194.205+C381*267.466+D381*133.845+E381*53.484+F381*40+G381*185+H381*0+I381*100+J381*300)/(194.205+267.466+133.845+53.484+0+40+185+100+300)</f>
        <v>16.052450685714284</v>
      </c>
      <c r="AC381" s="45">
        <f>(M381*'RAP TEMPLATE-GAS AVAILABILITY'!O380+N381*'RAP TEMPLATE-GAS AVAILABILITY'!P380+O381*'RAP TEMPLATE-GAS AVAILABILITY'!Q380+P381*'RAP TEMPLATE-GAS AVAILABILITY'!R380)/('RAP TEMPLATE-GAS AVAILABILITY'!O380+'RAP TEMPLATE-GAS AVAILABILITY'!P380+'RAP TEMPLATE-GAS AVAILABILITY'!Q380+'RAP TEMPLATE-GAS AVAILABILITY'!R380)</f>
        <v>15.761105755395684</v>
      </c>
    </row>
    <row r="382" spans="1:29" ht="15.75" x14ac:dyDescent="0.25">
      <c r="A382" s="33">
        <v>52535</v>
      </c>
      <c r="B382" s="14">
        <f>CHOOSE(CONTROL!$C$42, 15.6939, 15.6939) * CHOOSE(CONTROL!$C$21, $C$9, 100%, $E$9)</f>
        <v>15.693899999999999</v>
      </c>
      <c r="C382" s="14">
        <f>CHOOSE(CONTROL!$C$42, 15.6992, 15.6992) * CHOOSE(CONTROL!$C$21, $C$9, 100%, $E$9)</f>
        <v>15.699199999999999</v>
      </c>
      <c r="D382" s="14">
        <f>CHOOSE(CONTROL!$C$42, 15.9081, 15.9081) * CHOOSE(CONTROL!$C$21, $C$9, 100%, $E$9)</f>
        <v>15.908099999999999</v>
      </c>
      <c r="E382" s="14">
        <f>CHOOSE(CONTROL!$C$42, 15.9373, 15.9373) * CHOOSE(CONTROL!$C$21, $C$9, 100%, $E$9)</f>
        <v>15.9373</v>
      </c>
      <c r="F382" s="14">
        <f>CHOOSE(CONTROL!$C$42, 15.6779, 15.6779)*CHOOSE(CONTROL!$C$21, $C$9, 100%, $E$9)</f>
        <v>15.677899999999999</v>
      </c>
      <c r="G382" s="14">
        <f>CHOOSE(CONTROL!$C$42, 15.6936, 15.6936)*CHOOSE(CONTROL!$C$21, $C$9, 100%, $E$9)</f>
        <v>15.6936</v>
      </c>
      <c r="H382" s="14">
        <f>CHOOSE(CONTROL!$C$42, 15.9277, 15.9277) * CHOOSE(CONTROL!$C$21, $C$9, 100%, $E$9)</f>
        <v>15.9277</v>
      </c>
      <c r="I382" s="14">
        <f>CHOOSE(CONTROL!$C$42, 15.7503, 15.7503)* CHOOSE(CONTROL!$C$21, $C$9, 100%, $E$9)</f>
        <v>15.750299999999999</v>
      </c>
      <c r="J382" s="14">
        <f>CHOOSE(CONTROL!$C$42, 15.6709, 15.6709)* CHOOSE(CONTROL!$C$21, $C$9, 100%, $E$9)</f>
        <v>15.6709</v>
      </c>
      <c r="K382" s="53">
        <f>CHOOSE(CONTROL!$C$42, 15.7464, 15.7464) * CHOOSE(CONTROL!$C$21, $C$9, 100%, $E$9)</f>
        <v>15.7464</v>
      </c>
      <c r="L382" s="14">
        <f>CHOOSE(CONTROL!$C$42, 16.5147, 16.5147) * CHOOSE(CONTROL!$C$21, $C$9, 100%, $E$9)</f>
        <v>16.514700000000001</v>
      </c>
      <c r="M382" s="14">
        <f>CHOOSE(CONTROL!$C$42, 15.3575, 15.3575) * CHOOSE(CONTROL!$C$21, $C$9, 100%, $E$9)</f>
        <v>15.3575</v>
      </c>
      <c r="N382" s="14">
        <f>CHOOSE(CONTROL!$C$42, 15.3728, 15.3728) * CHOOSE(CONTROL!$C$21, $C$9, 100%, $E$9)</f>
        <v>15.3728</v>
      </c>
      <c r="O382" s="14">
        <f>CHOOSE(CONTROL!$C$42, 15.6091, 15.6091) * CHOOSE(CONTROL!$C$21, $C$9, 100%, $E$9)</f>
        <v>15.6091</v>
      </c>
      <c r="P382" s="14">
        <f>CHOOSE(CONTROL!$C$42, 15.4343, 15.4343) * CHOOSE(CONTROL!$C$21, $C$9, 100%, $E$9)</f>
        <v>15.4343</v>
      </c>
      <c r="Q382" s="14">
        <f>CHOOSE(CONTROL!$C$42, 16.2038, 16.2038) * CHOOSE(CONTROL!$C$21, $C$9, 100%, $E$9)</f>
        <v>16.203800000000001</v>
      </c>
      <c r="R382" s="14">
        <f>CHOOSE(CONTROL!$C$42, 16.8313, 16.8313) * CHOOSE(CONTROL!$C$21, $C$9, 100%, $E$9)</f>
        <v>16.831299999999999</v>
      </c>
      <c r="S382" s="14">
        <f>CHOOSE(CONTROL!$C$42, 15.0713, 15.0713) * CHOOSE(CONTROL!$C$21, $C$9, 100%, $E$9)</f>
        <v>15.071300000000001</v>
      </c>
      <c r="T38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82" s="57">
        <f>(1000*CHOOSE(CONTROL!$C$42, 695, 695)*CHOOSE(CONTROL!$C$42, 0.5599, 0.5599)*CHOOSE(CONTROL!$C$42, 31, 31))/1000000</f>
        <v>12.063045499999998</v>
      </c>
      <c r="V382" s="57">
        <f>(1000*CHOOSE(CONTROL!$C$42, 500, 500)*CHOOSE(CONTROL!$C$42, 0.275, 0.275)*CHOOSE(CONTROL!$C$42, 31, 31))/1000000</f>
        <v>4.2625000000000002</v>
      </c>
      <c r="W382" s="57">
        <f>(1000*CHOOSE(CONTROL!$C$42, 0.1146, 0.1146)*CHOOSE(CONTROL!$C$42, 121.5, 121.5)*CHOOSE(CONTROL!$C$42, 31, 31))/1000000</f>
        <v>0.43164089999999994</v>
      </c>
      <c r="X382" s="57">
        <f>(31*0.1790888*245000/1000000)+(31*0.2374*100000/1000000)</f>
        <v>2.0961194359999999</v>
      </c>
      <c r="Y382" s="57"/>
      <c r="Z382" s="14"/>
      <c r="AA382" s="56"/>
      <c r="AB382" s="50">
        <f>(B382*131.881+C382*277.167+D382*79.08+E382*125.872+F382*40+G382*185+H382*0+I382*100+J382*300)/(131.881+277.167+79.08+125.872+0+40+185+100+300)</f>
        <v>15.73190618716707</v>
      </c>
      <c r="AC382" s="45">
        <f>(M382*'RAP TEMPLATE-GAS AVAILABILITY'!O381+N382*'RAP TEMPLATE-GAS AVAILABILITY'!P381+O382*'RAP TEMPLATE-GAS AVAILABILITY'!Q381+P382*'RAP TEMPLATE-GAS AVAILABILITY'!R381)/('RAP TEMPLATE-GAS AVAILABILITY'!O381+'RAP TEMPLATE-GAS AVAILABILITY'!P381+'RAP TEMPLATE-GAS AVAILABILITY'!Q381+'RAP TEMPLATE-GAS AVAILABILITY'!R381)</f>
        <v>15.442665467625899</v>
      </c>
    </row>
    <row r="383" spans="1:29" ht="15.75" x14ac:dyDescent="0.25">
      <c r="A383" s="33">
        <v>52565</v>
      </c>
      <c r="B383" s="14">
        <f>CHOOSE(CONTROL!$C$42, 16.1067, 16.1067) * CHOOSE(CONTROL!$C$21, $C$9, 100%, $E$9)</f>
        <v>16.1067</v>
      </c>
      <c r="C383" s="14">
        <f>CHOOSE(CONTROL!$C$42, 16.1117, 16.1117) * CHOOSE(CONTROL!$C$21, $C$9, 100%, $E$9)</f>
        <v>16.111699999999999</v>
      </c>
      <c r="D383" s="14">
        <f>CHOOSE(CONTROL!$C$42, 16.1756, 16.1756) * CHOOSE(CONTROL!$C$21, $C$9, 100%, $E$9)</f>
        <v>16.175599999999999</v>
      </c>
      <c r="E383" s="14">
        <f>CHOOSE(CONTROL!$C$42, 16.2097, 16.2097) * CHOOSE(CONTROL!$C$21, $C$9, 100%, $E$9)</f>
        <v>16.209700000000002</v>
      </c>
      <c r="F383" s="14">
        <f>CHOOSE(CONTROL!$C$42, 16.1091, 16.1091)*CHOOSE(CONTROL!$C$21, $C$9, 100%, $E$9)</f>
        <v>16.109100000000002</v>
      </c>
      <c r="G383" s="14">
        <f>CHOOSE(CONTROL!$C$42, 16.1251, 16.1251)*CHOOSE(CONTROL!$C$21, $C$9, 100%, $E$9)</f>
        <v>16.1251</v>
      </c>
      <c r="H383" s="14">
        <f>CHOOSE(CONTROL!$C$42, 16.1989, 16.1989) * CHOOSE(CONTROL!$C$21, $C$9, 100%, $E$9)</f>
        <v>16.198899999999998</v>
      </c>
      <c r="I383" s="14">
        <f>CHOOSE(CONTROL!$C$42, 16.17, 16.17)* CHOOSE(CONTROL!$C$21, $C$9, 100%, $E$9)</f>
        <v>16.170000000000002</v>
      </c>
      <c r="J383" s="14">
        <f>CHOOSE(CONTROL!$C$42, 16.1021, 16.1021)* CHOOSE(CONTROL!$C$21, $C$9, 100%, $E$9)</f>
        <v>16.1021</v>
      </c>
      <c r="K383" s="53">
        <f>CHOOSE(CONTROL!$C$42, 16.1661, 16.1661) * CHOOSE(CONTROL!$C$21, $C$9, 100%, $E$9)</f>
        <v>16.1661</v>
      </c>
      <c r="L383" s="14">
        <f>CHOOSE(CONTROL!$C$42, 16.7859, 16.7859) * CHOOSE(CONTROL!$C$21, $C$9, 100%, $E$9)</f>
        <v>16.785900000000002</v>
      </c>
      <c r="M383" s="14">
        <f>CHOOSE(CONTROL!$C$42, 15.7798, 15.7798) * CHOOSE(CONTROL!$C$21, $C$9, 100%, $E$9)</f>
        <v>15.7798</v>
      </c>
      <c r="N383" s="14">
        <f>CHOOSE(CONTROL!$C$42, 15.7955, 15.7955) * CHOOSE(CONTROL!$C$21, $C$9, 100%, $E$9)</f>
        <v>15.795500000000001</v>
      </c>
      <c r="O383" s="14">
        <f>CHOOSE(CONTROL!$C$42, 15.8746, 15.8746) * CHOOSE(CONTROL!$C$21, $C$9, 100%, $E$9)</f>
        <v>15.874599999999999</v>
      </c>
      <c r="P383" s="14">
        <f>CHOOSE(CONTROL!$C$42, 15.8454, 15.8454) * CHOOSE(CONTROL!$C$21, $C$9, 100%, $E$9)</f>
        <v>15.8454</v>
      </c>
      <c r="Q383" s="14">
        <f>CHOOSE(CONTROL!$C$42, 16.4693, 16.4693) * CHOOSE(CONTROL!$C$21, $C$9, 100%, $E$9)</f>
        <v>16.4693</v>
      </c>
      <c r="R383" s="14">
        <f>CHOOSE(CONTROL!$C$42, 17.0975, 17.0975) * CHOOSE(CONTROL!$C$21, $C$9, 100%, $E$9)</f>
        <v>17.0975</v>
      </c>
      <c r="S383" s="14">
        <f>CHOOSE(CONTROL!$C$42, 15.4684, 15.4684) * CHOOSE(CONTROL!$C$21, $C$9, 100%, $E$9)</f>
        <v>15.468400000000001</v>
      </c>
      <c r="T38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83" s="57">
        <f>(1000*CHOOSE(CONTROL!$C$42, 695, 695)*CHOOSE(CONTROL!$C$42, 0.5599, 0.5599)*CHOOSE(CONTROL!$C$42, 30, 30))/1000000</f>
        <v>11.673914999999997</v>
      </c>
      <c r="V383" s="57">
        <f>(1000*CHOOSE(CONTROL!$C$42, 500, 500)*CHOOSE(CONTROL!$C$42, 0.275, 0.275)*CHOOSE(CONTROL!$C$42, 30, 30))/1000000</f>
        <v>4.125</v>
      </c>
      <c r="W383" s="57">
        <f>(1000*CHOOSE(CONTROL!$C$42, 0.1146, 0.1146)*CHOOSE(CONTROL!$C$42, 121.5, 121.5)*CHOOSE(CONTROL!$C$42, 30, 30))/1000000</f>
        <v>0.417717</v>
      </c>
      <c r="X383" s="57">
        <f>(30*0.1790888*100000/1000000)+(30*0.2374*100000/1000000)</f>
        <v>1.2494664</v>
      </c>
      <c r="Y383" s="57"/>
      <c r="Z383" s="14"/>
      <c r="AA383" s="56"/>
      <c r="AB383" s="50">
        <f>(B383*122.58+C383*297.941+D383*89.177+E383*40.302+F383*40+G383*160+H383*0+I383*100+J383*300)/(122.58+297.941+89.177+40.302+0+40+160+100+300)</f>
        <v>16.123895744608692</v>
      </c>
      <c r="AC383" s="45">
        <f>(M383*'RAP TEMPLATE-GAS AVAILABILITY'!O382+N383*'RAP TEMPLATE-GAS AVAILABILITY'!P382+O383*'RAP TEMPLATE-GAS AVAILABILITY'!Q382+P383*'RAP TEMPLATE-GAS AVAILABILITY'!R382)/('RAP TEMPLATE-GAS AVAILABILITY'!O382+'RAP TEMPLATE-GAS AVAILABILITY'!P382+'RAP TEMPLATE-GAS AVAILABILITY'!Q382+'RAP TEMPLATE-GAS AVAILABILITY'!R382)</f>
        <v>15.833109352517983</v>
      </c>
    </row>
    <row r="384" spans="1:29" ht="15.75" x14ac:dyDescent="0.25">
      <c r="A384" s="33">
        <v>52596</v>
      </c>
      <c r="B384" s="14">
        <f>CHOOSE(CONTROL!$C$42, 17.2042, 17.2042) * CHOOSE(CONTROL!$C$21, $C$9, 100%, $E$9)</f>
        <v>17.2042</v>
      </c>
      <c r="C384" s="14">
        <f>CHOOSE(CONTROL!$C$42, 17.2092, 17.2092) * CHOOSE(CONTROL!$C$21, $C$9, 100%, $E$9)</f>
        <v>17.209199999999999</v>
      </c>
      <c r="D384" s="14">
        <f>CHOOSE(CONTROL!$C$42, 17.273, 17.273) * CHOOSE(CONTROL!$C$21, $C$9, 100%, $E$9)</f>
        <v>17.273</v>
      </c>
      <c r="E384" s="14">
        <f>CHOOSE(CONTROL!$C$42, 17.3071, 17.3071) * CHOOSE(CONTROL!$C$21, $C$9, 100%, $E$9)</f>
        <v>17.307099999999998</v>
      </c>
      <c r="F384" s="14">
        <f>CHOOSE(CONTROL!$C$42, 17.2088, 17.2088)*CHOOSE(CONTROL!$C$21, $C$9, 100%, $E$9)</f>
        <v>17.2088</v>
      </c>
      <c r="G384" s="14">
        <f>CHOOSE(CONTROL!$C$42, 17.2254, 17.2254)*CHOOSE(CONTROL!$C$21, $C$9, 100%, $E$9)</f>
        <v>17.2254</v>
      </c>
      <c r="H384" s="14">
        <f>CHOOSE(CONTROL!$C$42, 17.2963, 17.2963) * CHOOSE(CONTROL!$C$21, $C$9, 100%, $E$9)</f>
        <v>17.296299999999999</v>
      </c>
      <c r="I384" s="14">
        <f>CHOOSE(CONTROL!$C$42, 17.2709, 17.2709)* CHOOSE(CONTROL!$C$21, $C$9, 100%, $E$9)</f>
        <v>17.270900000000001</v>
      </c>
      <c r="J384" s="14">
        <f>CHOOSE(CONTROL!$C$42, 17.2018, 17.2018)* CHOOSE(CONTROL!$C$21, $C$9, 100%, $E$9)</f>
        <v>17.201799999999999</v>
      </c>
      <c r="K384" s="53">
        <f>CHOOSE(CONTROL!$C$42, 17.267, 17.267) * CHOOSE(CONTROL!$C$21, $C$9, 100%, $E$9)</f>
        <v>17.266999999999999</v>
      </c>
      <c r="L384" s="14">
        <f>CHOOSE(CONTROL!$C$42, 17.8833, 17.8833) * CHOOSE(CONTROL!$C$21, $C$9, 100%, $E$9)</f>
        <v>17.883299999999998</v>
      </c>
      <c r="M384" s="14">
        <f>CHOOSE(CONTROL!$C$42, 16.857, 16.857) * CHOOSE(CONTROL!$C$21, $C$9, 100%, $E$9)</f>
        <v>16.856999999999999</v>
      </c>
      <c r="N384" s="14">
        <f>CHOOSE(CONTROL!$C$42, 16.8733, 16.8733) * CHOOSE(CONTROL!$C$21, $C$9, 100%, $E$9)</f>
        <v>16.8733</v>
      </c>
      <c r="O384" s="14">
        <f>CHOOSE(CONTROL!$C$42, 16.9496, 16.9496) * CHOOSE(CONTROL!$C$21, $C$9, 100%, $E$9)</f>
        <v>16.9496</v>
      </c>
      <c r="P384" s="14">
        <f>CHOOSE(CONTROL!$C$42, 16.9237, 16.9237) * CHOOSE(CONTROL!$C$21, $C$9, 100%, $E$9)</f>
        <v>16.9237</v>
      </c>
      <c r="Q384" s="14">
        <f>CHOOSE(CONTROL!$C$42, 17.5443, 17.5443) * CHOOSE(CONTROL!$C$21, $C$9, 100%, $E$9)</f>
        <v>17.5443</v>
      </c>
      <c r="R384" s="14">
        <f>CHOOSE(CONTROL!$C$42, 18.1752, 18.1752) * CHOOSE(CONTROL!$C$21, $C$9, 100%, $E$9)</f>
        <v>18.1752</v>
      </c>
      <c r="S384" s="14">
        <f>CHOOSE(CONTROL!$C$42, 16.5229, 16.5229) * CHOOSE(CONTROL!$C$21, $C$9, 100%, $E$9)</f>
        <v>16.5229</v>
      </c>
      <c r="T38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84" s="57">
        <f>(1000*CHOOSE(CONTROL!$C$42, 695, 695)*CHOOSE(CONTROL!$C$42, 0.5599, 0.5599)*CHOOSE(CONTROL!$C$42, 31, 31))/1000000</f>
        <v>12.063045499999998</v>
      </c>
      <c r="V384" s="57">
        <f>(1000*CHOOSE(CONTROL!$C$42, 500, 500)*CHOOSE(CONTROL!$C$42, 0.275, 0.275)*CHOOSE(CONTROL!$C$42, 31, 31))/1000000</f>
        <v>4.2625000000000002</v>
      </c>
      <c r="W384" s="57">
        <f>(1000*CHOOSE(CONTROL!$C$42, 0.1146, 0.1146)*CHOOSE(CONTROL!$C$42, 121.5, 121.5)*CHOOSE(CONTROL!$C$42, 31, 31))/1000000</f>
        <v>0.43164089999999994</v>
      </c>
      <c r="X384" s="57">
        <f>(31*0.1790888*100000/1000000)+(31*0.2374*100000/1000000)</f>
        <v>1.2911152800000001</v>
      </c>
      <c r="Y384" s="57"/>
      <c r="Z384" s="14"/>
      <c r="AA384" s="56"/>
      <c r="AB384" s="50">
        <f>(B384*122.58+C384*297.941+D384*89.177+E384*40.302+F384*40+G384*160+H384*0+I384*100+J384*300)/(122.58+297.941+89.177+40.302+0+40+160+100+300)</f>
        <v>17.222720137739131</v>
      </c>
      <c r="AC384" s="45">
        <f>(M384*'RAP TEMPLATE-GAS AVAILABILITY'!O383+N384*'RAP TEMPLATE-GAS AVAILABILITY'!P383+O384*'RAP TEMPLATE-GAS AVAILABILITY'!Q383+P384*'RAP TEMPLATE-GAS AVAILABILITY'!R383)/('RAP TEMPLATE-GAS AVAILABILITY'!O383+'RAP TEMPLATE-GAS AVAILABILITY'!P383+'RAP TEMPLATE-GAS AVAILABILITY'!Q383+'RAP TEMPLATE-GAS AVAILABILITY'!R383)</f>
        <v>16.909505035971225</v>
      </c>
    </row>
    <row r="385" spans="1:29" ht="15.75" x14ac:dyDescent="0.25">
      <c r="A385" s="33">
        <v>52627</v>
      </c>
      <c r="B385" s="14">
        <f>CHOOSE(CONTROL!$C$42, 18.6126, 18.6126) * CHOOSE(CONTROL!$C$21, $C$9, 100%, $E$9)</f>
        <v>18.6126</v>
      </c>
      <c r="C385" s="14">
        <f>CHOOSE(CONTROL!$C$42, 18.6177, 18.6177) * CHOOSE(CONTROL!$C$21, $C$9, 100%, $E$9)</f>
        <v>18.617699999999999</v>
      </c>
      <c r="D385" s="14">
        <f>CHOOSE(CONTROL!$C$42, 18.6841, 18.6841) * CHOOSE(CONTROL!$C$21, $C$9, 100%, $E$9)</f>
        <v>18.684100000000001</v>
      </c>
      <c r="E385" s="14">
        <f>CHOOSE(CONTROL!$C$42, 18.7182, 18.7182) * CHOOSE(CONTROL!$C$21, $C$9, 100%, $E$9)</f>
        <v>18.7182</v>
      </c>
      <c r="F385" s="14">
        <f>CHOOSE(CONTROL!$C$42, 18.6, 18.6)*CHOOSE(CONTROL!$C$21, $C$9, 100%, $E$9)</f>
        <v>18.600000000000001</v>
      </c>
      <c r="G385" s="14">
        <f>CHOOSE(CONTROL!$C$42, 18.6154, 18.6154)*CHOOSE(CONTROL!$C$21, $C$9, 100%, $E$9)</f>
        <v>18.615400000000001</v>
      </c>
      <c r="H385" s="14">
        <f>CHOOSE(CONTROL!$C$42, 18.7074, 18.7074) * CHOOSE(CONTROL!$C$21, $C$9, 100%, $E$9)</f>
        <v>18.7074</v>
      </c>
      <c r="I385" s="14">
        <f>CHOOSE(CONTROL!$C$42, 18.6785, 18.6785)* CHOOSE(CONTROL!$C$21, $C$9, 100%, $E$9)</f>
        <v>18.6785</v>
      </c>
      <c r="J385" s="14">
        <f>CHOOSE(CONTROL!$C$42, 18.593, 18.593)* CHOOSE(CONTROL!$C$21, $C$9, 100%, $E$9)</f>
        <v>18.593</v>
      </c>
      <c r="K385" s="53">
        <f>CHOOSE(CONTROL!$C$42, 18.6747, 18.6747) * CHOOSE(CONTROL!$C$21, $C$9, 100%, $E$9)</f>
        <v>18.674700000000001</v>
      </c>
      <c r="L385" s="14">
        <f>CHOOSE(CONTROL!$C$42, 19.2944, 19.2944) * CHOOSE(CONTROL!$C$21, $C$9, 100%, $E$9)</f>
        <v>19.2944</v>
      </c>
      <c r="M385" s="14">
        <f>CHOOSE(CONTROL!$C$42, 18.2197, 18.2197) * CHOOSE(CONTROL!$C$21, $C$9, 100%, $E$9)</f>
        <v>18.2197</v>
      </c>
      <c r="N385" s="14">
        <f>CHOOSE(CONTROL!$C$42, 18.2348, 18.2348) * CHOOSE(CONTROL!$C$21, $C$9, 100%, $E$9)</f>
        <v>18.2348</v>
      </c>
      <c r="O385" s="14">
        <f>CHOOSE(CONTROL!$C$42, 18.3318, 18.3318) * CHOOSE(CONTROL!$C$21, $C$9, 100%, $E$9)</f>
        <v>18.331800000000001</v>
      </c>
      <c r="P385" s="14">
        <f>CHOOSE(CONTROL!$C$42, 18.3024, 18.3024) * CHOOSE(CONTROL!$C$21, $C$9, 100%, $E$9)</f>
        <v>18.302399999999999</v>
      </c>
      <c r="Q385" s="14">
        <f>CHOOSE(CONTROL!$C$42, 18.9265, 18.9265) * CHOOSE(CONTROL!$C$21, $C$9, 100%, $E$9)</f>
        <v>18.926500000000001</v>
      </c>
      <c r="R385" s="14">
        <f>CHOOSE(CONTROL!$C$42, 19.5608, 19.5608) * CHOOSE(CONTROL!$C$21, $C$9, 100%, $E$9)</f>
        <v>19.5608</v>
      </c>
      <c r="S385" s="14">
        <f>CHOOSE(CONTROL!$C$42, 17.8763, 17.8763) * CHOOSE(CONTROL!$C$21, $C$9, 100%, $E$9)</f>
        <v>17.876300000000001</v>
      </c>
      <c r="T38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85" s="57">
        <f>(1000*CHOOSE(CONTROL!$C$42, 695, 695)*CHOOSE(CONTROL!$C$42, 0.5599, 0.5599)*CHOOSE(CONTROL!$C$42, 31, 31))/1000000</f>
        <v>12.063045499999998</v>
      </c>
      <c r="V385" s="57">
        <f>(1000*CHOOSE(CONTROL!$C$42, 500, 500)*CHOOSE(CONTROL!$C$42, 0.275, 0.275)*CHOOSE(CONTROL!$C$42, 31, 31))/1000000</f>
        <v>4.2625000000000002</v>
      </c>
      <c r="W385" s="57">
        <f>(1000*CHOOSE(CONTROL!$C$42, 0.1146, 0.1146)*CHOOSE(CONTROL!$C$42, 121.5, 121.5)*CHOOSE(CONTROL!$C$42, 31, 31))/1000000</f>
        <v>0.43164089999999994</v>
      </c>
      <c r="X385" s="57">
        <f>(31*0.1790888*100000/1000000)+(31*0.2374*100000/1000000)</f>
        <v>1.2911152800000001</v>
      </c>
      <c r="Y385" s="57"/>
      <c r="Z385" s="14"/>
      <c r="AA385" s="56"/>
      <c r="AB385" s="50">
        <f>(B385*122.58+C385*297.941+D385*89.177+E385*40.302+F385*40+G385*160+H385*0+I385*100+J385*300)/(122.58+297.941+89.177+40.302+0+40+160+100+300)</f>
        <v>18.62373525721739</v>
      </c>
      <c r="AC385" s="45">
        <f>(M385*'RAP TEMPLATE-GAS AVAILABILITY'!O384+N385*'RAP TEMPLATE-GAS AVAILABILITY'!P384+O385*'RAP TEMPLATE-GAS AVAILABILITY'!Q384+P385*'RAP TEMPLATE-GAS AVAILABILITY'!R384)/('RAP TEMPLATE-GAS AVAILABILITY'!O384+'RAP TEMPLATE-GAS AVAILABILITY'!P384+'RAP TEMPLATE-GAS AVAILABILITY'!Q384+'RAP TEMPLATE-GAS AVAILABILITY'!R384)</f>
        <v>18.283276258992807</v>
      </c>
    </row>
    <row r="386" spans="1:29" ht="15.75" x14ac:dyDescent="0.25">
      <c r="A386" s="33">
        <v>52655</v>
      </c>
      <c r="B386" s="14">
        <f>CHOOSE(CONTROL!$C$42, 18.9438, 18.9438) * CHOOSE(CONTROL!$C$21, $C$9, 100%, $E$9)</f>
        <v>18.9438</v>
      </c>
      <c r="C386" s="14">
        <f>CHOOSE(CONTROL!$C$42, 18.9489, 18.9489) * CHOOSE(CONTROL!$C$21, $C$9, 100%, $E$9)</f>
        <v>18.948899999999998</v>
      </c>
      <c r="D386" s="14">
        <f>CHOOSE(CONTROL!$C$42, 19.0153, 19.0153) * CHOOSE(CONTROL!$C$21, $C$9, 100%, $E$9)</f>
        <v>19.0153</v>
      </c>
      <c r="E386" s="14">
        <f>CHOOSE(CONTROL!$C$42, 19.0494, 19.0494) * CHOOSE(CONTROL!$C$21, $C$9, 100%, $E$9)</f>
        <v>19.049399999999999</v>
      </c>
      <c r="F386" s="14">
        <f>CHOOSE(CONTROL!$C$42, 18.9312, 18.9312)*CHOOSE(CONTROL!$C$21, $C$9, 100%, $E$9)</f>
        <v>18.9312</v>
      </c>
      <c r="G386" s="14">
        <f>CHOOSE(CONTROL!$C$42, 18.9467, 18.9467)*CHOOSE(CONTROL!$C$21, $C$9, 100%, $E$9)</f>
        <v>18.9467</v>
      </c>
      <c r="H386" s="14">
        <f>CHOOSE(CONTROL!$C$42, 19.0386, 19.0386) * CHOOSE(CONTROL!$C$21, $C$9, 100%, $E$9)</f>
        <v>19.038599999999999</v>
      </c>
      <c r="I386" s="14">
        <f>CHOOSE(CONTROL!$C$42, 19.0107, 19.0107)* CHOOSE(CONTROL!$C$21, $C$9, 100%, $E$9)</f>
        <v>19.0107</v>
      </c>
      <c r="J386" s="14">
        <f>CHOOSE(CONTROL!$C$42, 18.9242, 18.9242)* CHOOSE(CONTROL!$C$21, $C$9, 100%, $E$9)</f>
        <v>18.924199999999999</v>
      </c>
      <c r="K386" s="53">
        <f>CHOOSE(CONTROL!$C$42, 19.0069, 19.0069) * CHOOSE(CONTROL!$C$21, $C$9, 100%, $E$9)</f>
        <v>19.006900000000002</v>
      </c>
      <c r="L386" s="14">
        <f>CHOOSE(CONTROL!$C$42, 19.6256, 19.6256) * CHOOSE(CONTROL!$C$21, $C$9, 100%, $E$9)</f>
        <v>19.625599999999999</v>
      </c>
      <c r="M386" s="14">
        <f>CHOOSE(CONTROL!$C$42, 18.5441, 18.5441) * CHOOSE(CONTROL!$C$21, $C$9, 100%, $E$9)</f>
        <v>18.5441</v>
      </c>
      <c r="N386" s="14">
        <f>CHOOSE(CONTROL!$C$42, 18.5593, 18.5593) * CHOOSE(CONTROL!$C$21, $C$9, 100%, $E$9)</f>
        <v>18.5593</v>
      </c>
      <c r="O386" s="14">
        <f>CHOOSE(CONTROL!$C$42, 18.6562, 18.6562) * CHOOSE(CONTROL!$C$21, $C$9, 100%, $E$9)</f>
        <v>18.656199999999998</v>
      </c>
      <c r="P386" s="14">
        <f>CHOOSE(CONTROL!$C$42, 18.6278, 18.6278) * CHOOSE(CONTROL!$C$21, $C$9, 100%, $E$9)</f>
        <v>18.627800000000001</v>
      </c>
      <c r="Q386" s="14">
        <f>CHOOSE(CONTROL!$C$42, 19.2509, 19.2509) * CHOOSE(CONTROL!$C$21, $C$9, 100%, $E$9)</f>
        <v>19.250900000000001</v>
      </c>
      <c r="R386" s="14">
        <f>CHOOSE(CONTROL!$C$42, 19.886, 19.886) * CHOOSE(CONTROL!$C$21, $C$9, 100%, $E$9)</f>
        <v>19.885999999999999</v>
      </c>
      <c r="S386" s="14">
        <f>CHOOSE(CONTROL!$C$42, 18.1946, 18.1946) * CHOOSE(CONTROL!$C$21, $C$9, 100%, $E$9)</f>
        <v>18.194600000000001</v>
      </c>
      <c r="T386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386" s="57">
        <f>(1000*CHOOSE(CONTROL!$C$42, 695, 695)*CHOOSE(CONTROL!$C$42, 0.5599, 0.5599)*CHOOSE(CONTROL!$C$42, 29, 29))/1000000</f>
        <v>11.284784499999999</v>
      </c>
      <c r="V386" s="57">
        <f>(1000*CHOOSE(CONTROL!$C$42, 500, 500)*CHOOSE(CONTROL!$C$42, 0.275, 0.275)*CHOOSE(CONTROL!$C$42, 29, 29))/1000000</f>
        <v>3.9874999999999998</v>
      </c>
      <c r="W386" s="57">
        <f>(1000*CHOOSE(CONTROL!$C$42, 0.1146, 0.1146)*CHOOSE(CONTROL!$C$42, 121.5, 121.5)*CHOOSE(CONTROL!$C$42, 29, 29))/1000000</f>
        <v>0.40379309999999996</v>
      </c>
      <c r="X386" s="57">
        <f>(29*0.1790888*100000/1000000)+(29*0.2374*100000/1000000)</f>
        <v>1.2078175199999999</v>
      </c>
      <c r="Y386" s="57"/>
      <c r="Z386" s="14"/>
      <c r="AA386" s="56"/>
      <c r="AB386" s="50">
        <f>(B386*122.58+C386*297.941+D386*89.177+E386*40.302+F386*40+G386*160+H386*0+I386*100+J386*300)/(122.58+297.941+89.177+40.302+0+40+160+100+300)</f>
        <v>18.955036126782606</v>
      </c>
      <c r="AC386" s="45">
        <f>(M386*'RAP TEMPLATE-GAS AVAILABILITY'!O385+N386*'RAP TEMPLATE-GAS AVAILABILITY'!P385+O386*'RAP TEMPLATE-GAS AVAILABILITY'!Q385+P386*'RAP TEMPLATE-GAS AVAILABILITY'!R385)/('RAP TEMPLATE-GAS AVAILABILITY'!O385+'RAP TEMPLATE-GAS AVAILABILITY'!P385+'RAP TEMPLATE-GAS AVAILABILITY'!Q385+'RAP TEMPLATE-GAS AVAILABILITY'!R385)</f>
        <v>18.607825899280577</v>
      </c>
    </row>
    <row r="387" spans="1:29" ht="15.75" x14ac:dyDescent="0.25">
      <c r="A387" s="33">
        <v>52687</v>
      </c>
      <c r="B387" s="14">
        <f>CHOOSE(CONTROL!$C$42, 18.4062, 18.4062) * CHOOSE(CONTROL!$C$21, $C$9, 100%, $E$9)</f>
        <v>18.406199999999998</v>
      </c>
      <c r="C387" s="14">
        <f>CHOOSE(CONTROL!$C$42, 18.4113, 18.4113) * CHOOSE(CONTROL!$C$21, $C$9, 100%, $E$9)</f>
        <v>18.411300000000001</v>
      </c>
      <c r="D387" s="14">
        <f>CHOOSE(CONTROL!$C$42, 18.4777, 18.4777) * CHOOSE(CONTROL!$C$21, $C$9, 100%, $E$9)</f>
        <v>18.477699999999999</v>
      </c>
      <c r="E387" s="14">
        <f>CHOOSE(CONTROL!$C$42, 18.5118, 18.5118) * CHOOSE(CONTROL!$C$21, $C$9, 100%, $E$9)</f>
        <v>18.511800000000001</v>
      </c>
      <c r="F387" s="14">
        <f>CHOOSE(CONTROL!$C$42, 18.3932, 18.3932)*CHOOSE(CONTROL!$C$21, $C$9, 100%, $E$9)</f>
        <v>18.3932</v>
      </c>
      <c r="G387" s="14">
        <f>CHOOSE(CONTROL!$C$42, 18.4086, 18.4086)*CHOOSE(CONTROL!$C$21, $C$9, 100%, $E$9)</f>
        <v>18.4086</v>
      </c>
      <c r="H387" s="14">
        <f>CHOOSE(CONTROL!$C$42, 18.501, 18.501) * CHOOSE(CONTROL!$C$21, $C$9, 100%, $E$9)</f>
        <v>18.501000000000001</v>
      </c>
      <c r="I387" s="14">
        <f>CHOOSE(CONTROL!$C$42, 18.4715, 18.4715)* CHOOSE(CONTROL!$C$21, $C$9, 100%, $E$9)</f>
        <v>18.471499999999999</v>
      </c>
      <c r="J387" s="14">
        <f>CHOOSE(CONTROL!$C$42, 18.3862, 18.3862)* CHOOSE(CONTROL!$C$21, $C$9, 100%, $E$9)</f>
        <v>18.386199999999999</v>
      </c>
      <c r="K387" s="53">
        <f>CHOOSE(CONTROL!$C$42, 18.4676, 18.4676) * CHOOSE(CONTROL!$C$21, $C$9, 100%, $E$9)</f>
        <v>18.467600000000001</v>
      </c>
      <c r="L387" s="14">
        <f>CHOOSE(CONTROL!$C$42, 19.088, 19.088) * CHOOSE(CONTROL!$C$21, $C$9, 100%, $E$9)</f>
        <v>19.088000000000001</v>
      </c>
      <c r="M387" s="14">
        <f>CHOOSE(CONTROL!$C$42, 18.0172, 18.0172) * CHOOSE(CONTROL!$C$21, $C$9, 100%, $E$9)</f>
        <v>18.017199999999999</v>
      </c>
      <c r="N387" s="14">
        <f>CHOOSE(CONTROL!$C$42, 18.0323, 18.0323) * CHOOSE(CONTROL!$C$21, $C$9, 100%, $E$9)</f>
        <v>18.032299999999999</v>
      </c>
      <c r="O387" s="14">
        <f>CHOOSE(CONTROL!$C$42, 18.1296, 18.1296) * CHOOSE(CONTROL!$C$21, $C$9, 100%, $E$9)</f>
        <v>18.1296</v>
      </c>
      <c r="P387" s="14">
        <f>CHOOSE(CONTROL!$C$42, 18.0997, 18.0997) * CHOOSE(CONTROL!$C$21, $C$9, 100%, $E$9)</f>
        <v>18.099699999999999</v>
      </c>
      <c r="Q387" s="14">
        <f>CHOOSE(CONTROL!$C$42, 18.7243, 18.7243) * CHOOSE(CONTROL!$C$21, $C$9, 100%, $E$9)</f>
        <v>18.724299999999999</v>
      </c>
      <c r="R387" s="14">
        <f>CHOOSE(CONTROL!$C$42, 19.3582, 19.3582) * CHOOSE(CONTROL!$C$21, $C$9, 100%, $E$9)</f>
        <v>19.3582</v>
      </c>
      <c r="S387" s="14">
        <f>CHOOSE(CONTROL!$C$42, 17.678, 17.678) * CHOOSE(CONTROL!$C$21, $C$9, 100%, $E$9)</f>
        <v>17.678000000000001</v>
      </c>
      <c r="T38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87" s="57">
        <f>(1000*CHOOSE(CONTROL!$C$42, 695, 695)*CHOOSE(CONTROL!$C$42, 0.5599, 0.5599)*CHOOSE(CONTROL!$C$42, 31, 31))/1000000</f>
        <v>12.063045499999998</v>
      </c>
      <c r="V387" s="57">
        <f>(1000*CHOOSE(CONTROL!$C$42, 500, 500)*CHOOSE(CONTROL!$C$42, 0.275, 0.275)*CHOOSE(CONTROL!$C$42, 31, 31))/1000000</f>
        <v>4.2625000000000002</v>
      </c>
      <c r="W387" s="57">
        <f>(1000*CHOOSE(CONTROL!$C$42, 0.1146, 0.1146)*CHOOSE(CONTROL!$C$42, 121.5, 121.5)*CHOOSE(CONTROL!$C$42, 31, 31))/1000000</f>
        <v>0.43164089999999994</v>
      </c>
      <c r="X387" s="57">
        <f>(31*0.1790888*100000/1000000)+(31*0.2374*100000/1000000)</f>
        <v>1.2911152800000001</v>
      </c>
      <c r="Y387" s="57"/>
      <c r="Z387" s="14"/>
      <c r="AA387" s="56"/>
      <c r="AB387" s="50">
        <f>(B387*122.58+C387*297.941+D387*89.177+E387*40.302+F387*40+G387*160+H387*0+I387*100+J387*300)/(122.58+297.941+89.177+40.302+0+40+160+100+300)</f>
        <v>18.417109170260868</v>
      </c>
      <c r="AC387" s="45">
        <f>(M387*'RAP TEMPLATE-GAS AVAILABILITY'!O386+N387*'RAP TEMPLATE-GAS AVAILABILITY'!P386+O387*'RAP TEMPLATE-GAS AVAILABILITY'!Q386+P387*'RAP TEMPLATE-GAS AVAILABILITY'!R386)/('RAP TEMPLATE-GAS AVAILABILITY'!O386+'RAP TEMPLATE-GAS AVAILABILITY'!P386+'RAP TEMPLATE-GAS AVAILABILITY'!Q386+'RAP TEMPLATE-GAS AVAILABILITY'!R386)</f>
        <v>18.080883453237409</v>
      </c>
    </row>
    <row r="388" spans="1:29" ht="15.75" x14ac:dyDescent="0.25">
      <c r="A388" s="33">
        <v>52717</v>
      </c>
      <c r="B388" s="14">
        <f>CHOOSE(CONTROL!$C$42, 18.3523, 18.3523) * CHOOSE(CONTROL!$C$21, $C$9, 100%, $E$9)</f>
        <v>18.3523</v>
      </c>
      <c r="C388" s="14">
        <f>CHOOSE(CONTROL!$C$42, 18.3568, 18.3568) * CHOOSE(CONTROL!$C$21, $C$9, 100%, $E$9)</f>
        <v>18.3568</v>
      </c>
      <c r="D388" s="14">
        <f>CHOOSE(CONTROL!$C$42, 18.5639, 18.5639) * CHOOSE(CONTROL!$C$21, $C$9, 100%, $E$9)</f>
        <v>18.5639</v>
      </c>
      <c r="E388" s="14">
        <f>CHOOSE(CONTROL!$C$42, 18.596, 18.596) * CHOOSE(CONTROL!$C$21, $C$9, 100%, $E$9)</f>
        <v>18.596</v>
      </c>
      <c r="F388" s="14">
        <f>CHOOSE(CONTROL!$C$42, 18.3342, 18.3342)*CHOOSE(CONTROL!$C$21, $C$9, 100%, $E$9)</f>
        <v>18.334199999999999</v>
      </c>
      <c r="G388" s="14">
        <f>CHOOSE(CONTROL!$C$42, 18.3494, 18.3494)*CHOOSE(CONTROL!$C$21, $C$9, 100%, $E$9)</f>
        <v>18.349399999999999</v>
      </c>
      <c r="H388" s="14">
        <f>CHOOSE(CONTROL!$C$42, 18.5858, 18.5858) * CHOOSE(CONTROL!$C$21, $C$9, 100%, $E$9)</f>
        <v>18.585799999999999</v>
      </c>
      <c r="I388" s="14">
        <f>CHOOSE(CONTROL!$C$42, 18.4167, 18.4167)* CHOOSE(CONTROL!$C$21, $C$9, 100%, $E$9)</f>
        <v>18.416699999999999</v>
      </c>
      <c r="J388" s="14">
        <f>CHOOSE(CONTROL!$C$42, 18.3272, 18.3272)* CHOOSE(CONTROL!$C$21, $C$9, 100%, $E$9)</f>
        <v>18.327200000000001</v>
      </c>
      <c r="K388" s="53">
        <f>CHOOSE(CONTROL!$C$42, 18.4128, 18.4128) * CHOOSE(CONTROL!$C$21, $C$9, 100%, $E$9)</f>
        <v>18.412800000000001</v>
      </c>
      <c r="L388" s="14">
        <f>CHOOSE(CONTROL!$C$42, 19.1728, 19.1728) * CHOOSE(CONTROL!$C$21, $C$9, 100%, $E$9)</f>
        <v>19.172799999999999</v>
      </c>
      <c r="M388" s="14">
        <f>CHOOSE(CONTROL!$C$42, 17.9594, 17.9594) * CHOOSE(CONTROL!$C$21, $C$9, 100%, $E$9)</f>
        <v>17.959399999999999</v>
      </c>
      <c r="N388" s="14">
        <f>CHOOSE(CONTROL!$C$42, 17.9743, 17.9743) * CHOOSE(CONTROL!$C$21, $C$9, 100%, $E$9)</f>
        <v>17.974299999999999</v>
      </c>
      <c r="O388" s="14">
        <f>CHOOSE(CONTROL!$C$42, 18.2127, 18.2127) * CHOOSE(CONTROL!$C$21, $C$9, 100%, $E$9)</f>
        <v>18.212700000000002</v>
      </c>
      <c r="P388" s="14">
        <f>CHOOSE(CONTROL!$C$42, 18.0459, 18.0459) * CHOOSE(CONTROL!$C$21, $C$9, 100%, $E$9)</f>
        <v>18.0459</v>
      </c>
      <c r="Q388" s="14">
        <f>CHOOSE(CONTROL!$C$42, 18.8074, 18.8074) * CHOOSE(CONTROL!$C$21, $C$9, 100%, $E$9)</f>
        <v>18.807400000000001</v>
      </c>
      <c r="R388" s="14">
        <f>CHOOSE(CONTROL!$C$42, 19.4414, 19.4414) * CHOOSE(CONTROL!$C$21, $C$9, 100%, $E$9)</f>
        <v>19.441400000000002</v>
      </c>
      <c r="S388" s="14">
        <f>CHOOSE(CONTROL!$C$42, 17.6255, 17.6255) * CHOOSE(CONTROL!$C$21, $C$9, 100%, $E$9)</f>
        <v>17.625499999999999</v>
      </c>
      <c r="T38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88" s="57">
        <f>(1000*CHOOSE(CONTROL!$C$42, 695, 695)*CHOOSE(CONTROL!$C$42, 0.5599, 0.5599)*CHOOSE(CONTROL!$C$42, 30, 30))/1000000</f>
        <v>11.673914999999997</v>
      </c>
      <c r="V388" s="57">
        <f>(1000*CHOOSE(CONTROL!$C$42, 500, 500)*CHOOSE(CONTROL!$C$42, 0.275, 0.275)*CHOOSE(CONTROL!$C$42, 30, 30))/1000000</f>
        <v>4.125</v>
      </c>
      <c r="W388" s="57">
        <f>(1000*CHOOSE(CONTROL!$C$42, 0.1146, 0.1146)*CHOOSE(CONTROL!$C$42, 121.5, 121.5)*CHOOSE(CONTROL!$C$42, 30, 30))/1000000</f>
        <v>0.417717</v>
      </c>
      <c r="X388" s="57">
        <f>(30*0.1790888*245000/1000000)+(30*0.2374*100000/1000000)</f>
        <v>2.0285026799999999</v>
      </c>
      <c r="Y388" s="57"/>
      <c r="Z388" s="14"/>
      <c r="AA388" s="56"/>
      <c r="AB388" s="50">
        <f>(B388*141.293+C388*267.993+D388*115.016+E388*89.698+F388*40+G388*185+H388*0+I388*100+J388*300)/(141.293+267.993+115.016+89.698+0+40+185+100+300)</f>
        <v>18.388661789104113</v>
      </c>
      <c r="AC388" s="45">
        <f>(M388*'RAP TEMPLATE-GAS AVAILABILITY'!O387+N388*'RAP TEMPLATE-GAS AVAILABILITY'!P387+O388*'RAP TEMPLATE-GAS AVAILABILITY'!Q387+P388*'RAP TEMPLATE-GAS AVAILABILITY'!R387)/('RAP TEMPLATE-GAS AVAILABILITY'!O387+'RAP TEMPLATE-GAS AVAILABILITY'!P387+'RAP TEMPLATE-GAS AVAILABILITY'!Q387+'RAP TEMPLATE-GAS AVAILABILITY'!R387)</f>
        <v>18.046346043165467</v>
      </c>
    </row>
    <row r="389" spans="1:29" ht="15.75" x14ac:dyDescent="0.25">
      <c r="A389" s="33">
        <v>52748</v>
      </c>
      <c r="B389" s="14">
        <f>CHOOSE(CONTROL!$C$42, 18.5156, 18.5156) * CHOOSE(CONTROL!$C$21, $C$9, 100%, $E$9)</f>
        <v>18.515599999999999</v>
      </c>
      <c r="C389" s="14">
        <f>CHOOSE(CONTROL!$C$42, 18.5236, 18.5236) * CHOOSE(CONTROL!$C$21, $C$9, 100%, $E$9)</f>
        <v>18.523599999999998</v>
      </c>
      <c r="D389" s="14">
        <f>CHOOSE(CONTROL!$C$42, 18.7276, 18.7276) * CHOOSE(CONTROL!$C$21, $C$9, 100%, $E$9)</f>
        <v>18.727599999999999</v>
      </c>
      <c r="E389" s="14">
        <f>CHOOSE(CONTROL!$C$42, 18.759, 18.759) * CHOOSE(CONTROL!$C$21, $C$9, 100%, $E$9)</f>
        <v>18.759</v>
      </c>
      <c r="F389" s="14">
        <f>CHOOSE(CONTROL!$C$42, 18.4964, 18.4964)*CHOOSE(CONTROL!$C$21, $C$9, 100%, $E$9)</f>
        <v>18.496400000000001</v>
      </c>
      <c r="G389" s="14">
        <f>CHOOSE(CONTROL!$C$42, 18.512, 18.512)*CHOOSE(CONTROL!$C$21, $C$9, 100%, $E$9)</f>
        <v>18.512</v>
      </c>
      <c r="H389" s="14">
        <f>CHOOSE(CONTROL!$C$42, 18.7477, 18.7477) * CHOOSE(CONTROL!$C$21, $C$9, 100%, $E$9)</f>
        <v>18.747699999999998</v>
      </c>
      <c r="I389" s="14">
        <f>CHOOSE(CONTROL!$C$42, 18.579, 18.579)* CHOOSE(CONTROL!$C$21, $C$9, 100%, $E$9)</f>
        <v>18.579000000000001</v>
      </c>
      <c r="J389" s="14">
        <f>CHOOSE(CONTROL!$C$42, 18.4894, 18.4894)* CHOOSE(CONTROL!$C$21, $C$9, 100%, $E$9)</f>
        <v>18.4894</v>
      </c>
      <c r="K389" s="53">
        <f>CHOOSE(CONTROL!$C$42, 18.5752, 18.5752) * CHOOSE(CONTROL!$C$21, $C$9, 100%, $E$9)</f>
        <v>18.575199999999999</v>
      </c>
      <c r="L389" s="14">
        <f>CHOOSE(CONTROL!$C$42, 19.3347, 19.3347) * CHOOSE(CONTROL!$C$21, $C$9, 100%, $E$9)</f>
        <v>19.334700000000002</v>
      </c>
      <c r="M389" s="14">
        <f>CHOOSE(CONTROL!$C$42, 18.1182, 18.1182) * CHOOSE(CONTROL!$C$21, $C$9, 100%, $E$9)</f>
        <v>18.118200000000002</v>
      </c>
      <c r="N389" s="14">
        <f>CHOOSE(CONTROL!$C$42, 18.1336, 18.1336) * CHOOSE(CONTROL!$C$21, $C$9, 100%, $E$9)</f>
        <v>18.133600000000001</v>
      </c>
      <c r="O389" s="14">
        <f>CHOOSE(CONTROL!$C$42, 18.3712, 18.3712) * CHOOSE(CONTROL!$C$21, $C$9, 100%, $E$9)</f>
        <v>18.371200000000002</v>
      </c>
      <c r="P389" s="14">
        <f>CHOOSE(CONTROL!$C$42, 18.205, 18.205) * CHOOSE(CONTROL!$C$21, $C$9, 100%, $E$9)</f>
        <v>18.204999999999998</v>
      </c>
      <c r="Q389" s="14">
        <f>CHOOSE(CONTROL!$C$42, 18.9659, 18.9659) * CHOOSE(CONTROL!$C$21, $C$9, 100%, $E$9)</f>
        <v>18.965900000000001</v>
      </c>
      <c r="R389" s="14">
        <f>CHOOSE(CONTROL!$C$42, 19.6004, 19.6004) * CHOOSE(CONTROL!$C$21, $C$9, 100%, $E$9)</f>
        <v>19.6004</v>
      </c>
      <c r="S389" s="14">
        <f>CHOOSE(CONTROL!$C$42, 17.781, 17.781) * CHOOSE(CONTROL!$C$21, $C$9, 100%, $E$9)</f>
        <v>17.780999999999999</v>
      </c>
      <c r="T38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89" s="57">
        <f>(1000*CHOOSE(CONTROL!$C$42, 695, 695)*CHOOSE(CONTROL!$C$42, 0.5599, 0.5599)*CHOOSE(CONTROL!$C$42, 31, 31))/1000000</f>
        <v>12.063045499999998</v>
      </c>
      <c r="V389" s="57">
        <f>(1000*CHOOSE(CONTROL!$C$42, 500, 500)*CHOOSE(CONTROL!$C$42, 0.275, 0.275)*CHOOSE(CONTROL!$C$42, 31, 31))/1000000</f>
        <v>4.2625000000000002</v>
      </c>
      <c r="W389" s="57">
        <f>(1000*CHOOSE(CONTROL!$C$42, 0.1146, 0.1146)*CHOOSE(CONTROL!$C$42, 121.5, 121.5)*CHOOSE(CONTROL!$C$42, 31, 31))/1000000</f>
        <v>0.43164089999999994</v>
      </c>
      <c r="X389" s="57">
        <f>(31*0.1790888*245000/1000000)+(31*0.2374*100000/1000000)</f>
        <v>2.0961194359999999</v>
      </c>
      <c r="Y389" s="57"/>
      <c r="Z389" s="14"/>
      <c r="AA389" s="56"/>
      <c r="AB389" s="50">
        <f>(B389*194.205+C389*267.466+D389*133.845+E389*53.484+F389*40+G389*185+H389*0+I389*100+J389*300)/(194.205+267.466+133.845+53.484+0+40+185+100+300)</f>
        <v>18.547451549136582</v>
      </c>
      <c r="AC389" s="45">
        <f>(M389*'RAP TEMPLATE-GAS AVAILABILITY'!O388+N389*'RAP TEMPLATE-GAS AVAILABILITY'!P388+O389*'RAP TEMPLATE-GAS AVAILABILITY'!Q388+P389*'RAP TEMPLATE-GAS AVAILABILITY'!R388)/('RAP TEMPLATE-GAS AVAILABILITY'!O388+'RAP TEMPLATE-GAS AVAILABILITY'!P388+'RAP TEMPLATE-GAS AVAILABILITY'!Q388+'RAP TEMPLATE-GAS AVAILABILITY'!R388)</f>
        <v>18.205220143884894</v>
      </c>
    </row>
    <row r="390" spans="1:29" ht="15.75" x14ac:dyDescent="0.25">
      <c r="A390" s="33">
        <v>52778</v>
      </c>
      <c r="B390" s="14">
        <f>CHOOSE(CONTROL!$C$42, 19.0405, 19.0405) * CHOOSE(CONTROL!$C$21, $C$9, 100%, $E$9)</f>
        <v>19.040500000000002</v>
      </c>
      <c r="C390" s="14">
        <f>CHOOSE(CONTROL!$C$42, 19.0485, 19.0485) * CHOOSE(CONTROL!$C$21, $C$9, 100%, $E$9)</f>
        <v>19.048500000000001</v>
      </c>
      <c r="D390" s="14">
        <f>CHOOSE(CONTROL!$C$42, 19.2524, 19.2524) * CHOOSE(CONTROL!$C$21, $C$9, 100%, $E$9)</f>
        <v>19.252400000000002</v>
      </c>
      <c r="E390" s="14">
        <f>CHOOSE(CONTROL!$C$42, 19.2839, 19.2839) * CHOOSE(CONTROL!$C$21, $C$9, 100%, $E$9)</f>
        <v>19.283899999999999</v>
      </c>
      <c r="F390" s="14">
        <f>CHOOSE(CONTROL!$C$42, 19.0217, 19.0217)*CHOOSE(CONTROL!$C$21, $C$9, 100%, $E$9)</f>
        <v>19.021699999999999</v>
      </c>
      <c r="G390" s="14">
        <f>CHOOSE(CONTROL!$C$42, 19.0374, 19.0374)*CHOOSE(CONTROL!$C$21, $C$9, 100%, $E$9)</f>
        <v>19.037400000000002</v>
      </c>
      <c r="H390" s="14">
        <f>CHOOSE(CONTROL!$C$42, 19.2725, 19.2725) * CHOOSE(CONTROL!$C$21, $C$9, 100%, $E$9)</f>
        <v>19.272500000000001</v>
      </c>
      <c r="I390" s="14">
        <f>CHOOSE(CONTROL!$C$42, 19.1056, 19.1056)* CHOOSE(CONTROL!$C$21, $C$9, 100%, $E$9)</f>
        <v>19.105599999999999</v>
      </c>
      <c r="J390" s="14">
        <f>CHOOSE(CONTROL!$C$42, 19.0147, 19.0147)* CHOOSE(CONTROL!$C$21, $C$9, 100%, $E$9)</f>
        <v>19.014700000000001</v>
      </c>
      <c r="K390" s="53">
        <f>CHOOSE(CONTROL!$C$42, 19.1017, 19.1017) * CHOOSE(CONTROL!$C$21, $C$9, 100%, $E$9)</f>
        <v>19.101700000000001</v>
      </c>
      <c r="L390" s="14">
        <f>CHOOSE(CONTROL!$C$42, 19.8595, 19.8595) * CHOOSE(CONTROL!$C$21, $C$9, 100%, $E$9)</f>
        <v>19.859500000000001</v>
      </c>
      <c r="M390" s="14">
        <f>CHOOSE(CONTROL!$C$42, 18.6328, 18.6328) * CHOOSE(CONTROL!$C$21, $C$9, 100%, $E$9)</f>
        <v>18.6328</v>
      </c>
      <c r="N390" s="14">
        <f>CHOOSE(CONTROL!$C$42, 18.6482, 18.6482) * CHOOSE(CONTROL!$C$21, $C$9, 100%, $E$9)</f>
        <v>18.648199999999999</v>
      </c>
      <c r="O390" s="14">
        <f>CHOOSE(CONTROL!$C$42, 18.8854, 18.8854) * CHOOSE(CONTROL!$C$21, $C$9, 100%, $E$9)</f>
        <v>18.885400000000001</v>
      </c>
      <c r="P390" s="14">
        <f>CHOOSE(CONTROL!$C$42, 18.7207, 18.7207) * CHOOSE(CONTROL!$C$21, $C$9, 100%, $E$9)</f>
        <v>18.720700000000001</v>
      </c>
      <c r="Q390" s="14">
        <f>CHOOSE(CONTROL!$C$42, 19.4801, 19.4801) * CHOOSE(CONTROL!$C$21, $C$9, 100%, $E$9)</f>
        <v>19.4801</v>
      </c>
      <c r="R390" s="14">
        <f>CHOOSE(CONTROL!$C$42, 20.1158, 20.1158) * CHOOSE(CONTROL!$C$21, $C$9, 100%, $E$9)</f>
        <v>20.1158</v>
      </c>
      <c r="S390" s="14">
        <f>CHOOSE(CONTROL!$C$42, 18.2854, 18.2854) * CHOOSE(CONTROL!$C$21, $C$9, 100%, $E$9)</f>
        <v>18.285399999999999</v>
      </c>
      <c r="T39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90" s="57">
        <f>(1000*CHOOSE(CONTROL!$C$42, 695, 695)*CHOOSE(CONTROL!$C$42, 0.5599, 0.5599)*CHOOSE(CONTROL!$C$42, 30, 30))/1000000</f>
        <v>11.673914999999997</v>
      </c>
      <c r="V390" s="57">
        <f>(1000*CHOOSE(CONTROL!$C$42, 500, 500)*CHOOSE(CONTROL!$C$42, 0.275, 0.275)*CHOOSE(CONTROL!$C$42, 30, 30))/1000000</f>
        <v>4.125</v>
      </c>
      <c r="W390" s="57">
        <f>(1000*CHOOSE(CONTROL!$C$42, 0.1146, 0.1146)*CHOOSE(CONTROL!$C$42, 121.5, 121.5)*CHOOSE(CONTROL!$C$42, 30, 30))/1000000</f>
        <v>0.417717</v>
      </c>
      <c r="X390" s="57">
        <f>(30*0.1790888*245000/1000000)+(30*0.2374*100000/1000000)</f>
        <v>2.0285026799999999</v>
      </c>
      <c r="Y390" s="57"/>
      <c r="Z390" s="14"/>
      <c r="AA390" s="56"/>
      <c r="AB390" s="50">
        <f>(B390*194.205+C390*267.466+D390*133.845+E390*53.484+F390*40+G390*185+H390*0+I390*100+J390*300)/(194.205+267.466+133.845+53.484+0+40+185+100+300)</f>
        <v>19.072653837598121</v>
      </c>
      <c r="AC390" s="45">
        <f>(M390*'RAP TEMPLATE-GAS AVAILABILITY'!O389+N390*'RAP TEMPLATE-GAS AVAILABILITY'!P389+O390*'RAP TEMPLATE-GAS AVAILABILITY'!Q389+P390*'RAP TEMPLATE-GAS AVAILABILITY'!R389)/('RAP TEMPLATE-GAS AVAILABILITY'!O389+'RAP TEMPLATE-GAS AVAILABILITY'!P389+'RAP TEMPLATE-GAS AVAILABILITY'!Q389+'RAP TEMPLATE-GAS AVAILABILITY'!R389)</f>
        <v>18.719866187050361</v>
      </c>
    </row>
    <row r="391" spans="1:29" ht="15.75" x14ac:dyDescent="0.25">
      <c r="A391" s="33">
        <v>52809</v>
      </c>
      <c r="B391" s="14">
        <f>CHOOSE(CONTROL!$C$42, 18.6754, 18.6754) * CHOOSE(CONTROL!$C$21, $C$9, 100%, $E$9)</f>
        <v>18.6754</v>
      </c>
      <c r="C391" s="14">
        <f>CHOOSE(CONTROL!$C$42, 18.6835, 18.6835) * CHOOSE(CONTROL!$C$21, $C$9, 100%, $E$9)</f>
        <v>18.683499999999999</v>
      </c>
      <c r="D391" s="14">
        <f>CHOOSE(CONTROL!$C$42, 18.8874, 18.8874) * CHOOSE(CONTROL!$C$21, $C$9, 100%, $E$9)</f>
        <v>18.8874</v>
      </c>
      <c r="E391" s="14">
        <f>CHOOSE(CONTROL!$C$42, 18.9189, 18.9189) * CHOOSE(CONTROL!$C$21, $C$9, 100%, $E$9)</f>
        <v>18.918900000000001</v>
      </c>
      <c r="F391" s="14">
        <f>CHOOSE(CONTROL!$C$42, 18.6571, 18.6571)*CHOOSE(CONTROL!$C$21, $C$9, 100%, $E$9)</f>
        <v>18.6571</v>
      </c>
      <c r="G391" s="14">
        <f>CHOOSE(CONTROL!$C$42, 18.673, 18.673)*CHOOSE(CONTROL!$C$21, $C$9, 100%, $E$9)</f>
        <v>18.672999999999998</v>
      </c>
      <c r="H391" s="14">
        <f>CHOOSE(CONTROL!$C$42, 18.9075, 18.9075) * CHOOSE(CONTROL!$C$21, $C$9, 100%, $E$9)</f>
        <v>18.907499999999999</v>
      </c>
      <c r="I391" s="14">
        <f>CHOOSE(CONTROL!$C$42, 18.7394, 18.7394)* CHOOSE(CONTROL!$C$21, $C$9, 100%, $E$9)</f>
        <v>18.7394</v>
      </c>
      <c r="J391" s="14">
        <f>CHOOSE(CONTROL!$C$42, 18.6501, 18.6501)* CHOOSE(CONTROL!$C$21, $C$9, 100%, $E$9)</f>
        <v>18.650099999999998</v>
      </c>
      <c r="K391" s="53">
        <f>CHOOSE(CONTROL!$C$42, 18.7355, 18.7355) * CHOOSE(CONTROL!$C$21, $C$9, 100%, $E$9)</f>
        <v>18.735499999999998</v>
      </c>
      <c r="L391" s="14">
        <f>CHOOSE(CONTROL!$C$42, 19.4945, 19.4945) * CHOOSE(CONTROL!$C$21, $C$9, 100%, $E$9)</f>
        <v>19.494499999999999</v>
      </c>
      <c r="M391" s="14">
        <f>CHOOSE(CONTROL!$C$42, 18.2756, 18.2756) * CHOOSE(CONTROL!$C$21, $C$9, 100%, $E$9)</f>
        <v>18.275600000000001</v>
      </c>
      <c r="N391" s="14">
        <f>CHOOSE(CONTROL!$C$42, 18.2912, 18.2912) * CHOOSE(CONTROL!$C$21, $C$9, 100%, $E$9)</f>
        <v>18.2912</v>
      </c>
      <c r="O391" s="14">
        <f>CHOOSE(CONTROL!$C$42, 18.5278, 18.5278) * CHOOSE(CONTROL!$C$21, $C$9, 100%, $E$9)</f>
        <v>18.527799999999999</v>
      </c>
      <c r="P391" s="14">
        <f>CHOOSE(CONTROL!$C$42, 18.362, 18.362) * CHOOSE(CONTROL!$C$21, $C$9, 100%, $E$9)</f>
        <v>18.361999999999998</v>
      </c>
      <c r="Q391" s="14">
        <f>CHOOSE(CONTROL!$C$42, 19.1225, 19.1225) * CHOOSE(CONTROL!$C$21, $C$9, 100%, $E$9)</f>
        <v>19.122499999999999</v>
      </c>
      <c r="R391" s="14">
        <f>CHOOSE(CONTROL!$C$42, 19.7573, 19.7573) * CHOOSE(CONTROL!$C$21, $C$9, 100%, $E$9)</f>
        <v>19.757300000000001</v>
      </c>
      <c r="S391" s="14">
        <f>CHOOSE(CONTROL!$C$42, 17.9346, 17.9346) * CHOOSE(CONTROL!$C$21, $C$9, 100%, $E$9)</f>
        <v>17.9346</v>
      </c>
      <c r="T39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91" s="57">
        <f>(1000*CHOOSE(CONTROL!$C$42, 695, 695)*CHOOSE(CONTROL!$C$42, 0.5599, 0.5599)*CHOOSE(CONTROL!$C$42, 31, 31))/1000000</f>
        <v>12.063045499999998</v>
      </c>
      <c r="V391" s="57">
        <f>(1000*CHOOSE(CONTROL!$C$42, 500, 500)*CHOOSE(CONTROL!$C$42, 0.275, 0.275)*CHOOSE(CONTROL!$C$42, 31, 31))/1000000</f>
        <v>4.2625000000000002</v>
      </c>
      <c r="W391" s="57">
        <f>(1000*CHOOSE(CONTROL!$C$42, 0.1146, 0.1146)*CHOOSE(CONTROL!$C$42, 121.5, 121.5)*CHOOSE(CONTROL!$C$42, 31, 31))/1000000</f>
        <v>0.43164089999999994</v>
      </c>
      <c r="X391" s="57">
        <f>(31*0.1790888*245000/1000000)+(31*0.2374*100000/1000000)</f>
        <v>2.0961194359999999</v>
      </c>
      <c r="Y391" s="57"/>
      <c r="Z391" s="14"/>
      <c r="AA391" s="56"/>
      <c r="AB391" s="50">
        <f>(B391*194.205+C391*267.466+D391*133.845+E391*53.484+F391*40+G391*185+H391*0+I391*100+J391*300)/(194.205+267.466+133.845+53.484+0+40+185+100+300)</f>
        <v>18.707738279905804</v>
      </c>
      <c r="AC391" s="45">
        <f>(M391*'RAP TEMPLATE-GAS AVAILABILITY'!O390+N391*'RAP TEMPLATE-GAS AVAILABILITY'!P390+O391*'RAP TEMPLATE-GAS AVAILABILITY'!Q390+P391*'RAP TEMPLATE-GAS AVAILABILITY'!R390)/('RAP TEMPLATE-GAS AVAILABILITY'!O390+'RAP TEMPLATE-GAS AVAILABILITY'!P390+'RAP TEMPLATE-GAS AVAILABILITY'!Q390+'RAP TEMPLATE-GAS AVAILABILITY'!R390)</f>
        <v>18.362384172661869</v>
      </c>
    </row>
    <row r="392" spans="1:29" ht="15.75" x14ac:dyDescent="0.25">
      <c r="A392" s="33">
        <v>52840</v>
      </c>
      <c r="B392" s="14">
        <f>CHOOSE(CONTROL!$C$42, 17.7536, 17.7536) * CHOOSE(CONTROL!$C$21, $C$9, 100%, $E$9)</f>
        <v>17.753599999999999</v>
      </c>
      <c r="C392" s="14">
        <f>CHOOSE(CONTROL!$C$42, 17.7616, 17.7616) * CHOOSE(CONTROL!$C$21, $C$9, 100%, $E$9)</f>
        <v>17.761600000000001</v>
      </c>
      <c r="D392" s="14">
        <f>CHOOSE(CONTROL!$C$42, 17.9655, 17.9655) * CHOOSE(CONTROL!$C$21, $C$9, 100%, $E$9)</f>
        <v>17.965499999999999</v>
      </c>
      <c r="E392" s="14">
        <f>CHOOSE(CONTROL!$C$42, 17.997, 17.997) * CHOOSE(CONTROL!$C$21, $C$9, 100%, $E$9)</f>
        <v>17.997</v>
      </c>
      <c r="F392" s="14">
        <f>CHOOSE(CONTROL!$C$42, 17.7354, 17.7354)*CHOOSE(CONTROL!$C$21, $C$9, 100%, $E$9)</f>
        <v>17.735399999999998</v>
      </c>
      <c r="G392" s="14">
        <f>CHOOSE(CONTROL!$C$42, 17.7514, 17.7514)*CHOOSE(CONTROL!$C$21, $C$9, 100%, $E$9)</f>
        <v>17.7514</v>
      </c>
      <c r="H392" s="14">
        <f>CHOOSE(CONTROL!$C$42, 17.9856, 17.9856) * CHOOSE(CONTROL!$C$21, $C$9, 100%, $E$9)</f>
        <v>17.985600000000002</v>
      </c>
      <c r="I392" s="14">
        <f>CHOOSE(CONTROL!$C$42, 17.8146, 17.8146)* CHOOSE(CONTROL!$C$21, $C$9, 100%, $E$9)</f>
        <v>17.814599999999999</v>
      </c>
      <c r="J392" s="14">
        <f>CHOOSE(CONTROL!$C$42, 17.7284, 17.7284)* CHOOSE(CONTROL!$C$21, $C$9, 100%, $E$9)</f>
        <v>17.728400000000001</v>
      </c>
      <c r="K392" s="53">
        <f>CHOOSE(CONTROL!$C$42, 17.8107, 17.8107) * CHOOSE(CONTROL!$C$21, $C$9, 100%, $E$9)</f>
        <v>17.810700000000001</v>
      </c>
      <c r="L392" s="14">
        <f>CHOOSE(CONTROL!$C$42, 18.5726, 18.5726) * CHOOSE(CONTROL!$C$21, $C$9, 100%, $E$9)</f>
        <v>18.572600000000001</v>
      </c>
      <c r="M392" s="14">
        <f>CHOOSE(CONTROL!$C$42, 17.3729, 17.3729) * CHOOSE(CONTROL!$C$21, $C$9, 100%, $E$9)</f>
        <v>17.372900000000001</v>
      </c>
      <c r="N392" s="14">
        <f>CHOOSE(CONTROL!$C$42, 17.3885, 17.3885) * CHOOSE(CONTROL!$C$21, $C$9, 100%, $E$9)</f>
        <v>17.388500000000001</v>
      </c>
      <c r="O392" s="14">
        <f>CHOOSE(CONTROL!$C$42, 17.6248, 17.6248) * CHOOSE(CONTROL!$C$21, $C$9, 100%, $E$9)</f>
        <v>17.6248</v>
      </c>
      <c r="P392" s="14">
        <f>CHOOSE(CONTROL!$C$42, 17.4562, 17.4562) * CHOOSE(CONTROL!$C$21, $C$9, 100%, $E$9)</f>
        <v>17.456199999999999</v>
      </c>
      <c r="Q392" s="14">
        <f>CHOOSE(CONTROL!$C$42, 18.2195, 18.2195) * CHOOSE(CONTROL!$C$21, $C$9, 100%, $E$9)</f>
        <v>18.2195</v>
      </c>
      <c r="R392" s="14">
        <f>CHOOSE(CONTROL!$C$42, 18.852, 18.852) * CHOOSE(CONTROL!$C$21, $C$9, 100%, $E$9)</f>
        <v>18.852</v>
      </c>
      <c r="S392" s="14">
        <f>CHOOSE(CONTROL!$C$42, 17.0488, 17.0488) * CHOOSE(CONTROL!$C$21, $C$9, 100%, $E$9)</f>
        <v>17.0488</v>
      </c>
      <c r="T39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92" s="57">
        <f>(1000*CHOOSE(CONTROL!$C$42, 695, 695)*CHOOSE(CONTROL!$C$42, 0.5599, 0.5599)*CHOOSE(CONTROL!$C$42, 31, 31))/1000000</f>
        <v>12.063045499999998</v>
      </c>
      <c r="V392" s="57">
        <f>(1000*CHOOSE(CONTROL!$C$42, 500, 500)*CHOOSE(CONTROL!$C$42, 0.275, 0.275)*CHOOSE(CONTROL!$C$42, 31, 31))/1000000</f>
        <v>4.2625000000000002</v>
      </c>
      <c r="W392" s="57">
        <f>(1000*CHOOSE(CONTROL!$C$42, 0.1146, 0.1146)*CHOOSE(CONTROL!$C$42, 121.5, 121.5)*CHOOSE(CONTROL!$C$42, 31, 31))/1000000</f>
        <v>0.43164089999999994</v>
      </c>
      <c r="X392" s="57">
        <f>(31*0.1790888*245000/1000000)+(31*0.2374*100000/1000000)</f>
        <v>2.0961194359999999</v>
      </c>
      <c r="Y392" s="57"/>
      <c r="Z392" s="14"/>
      <c r="AA392" s="56"/>
      <c r="AB392" s="50">
        <f>(B392*194.205+C392*267.466+D392*133.845+E392*53.484+F392*40+G392*185+H392*0+I392*100+J392*300)/(194.205+267.466+133.845+53.484+0+40+185+100+300)</f>
        <v>17.785722832888542</v>
      </c>
      <c r="AC392" s="45">
        <f>(M392*'RAP TEMPLATE-GAS AVAILABILITY'!O391+N392*'RAP TEMPLATE-GAS AVAILABILITY'!P391+O392*'RAP TEMPLATE-GAS AVAILABILITY'!Q391+P392*'RAP TEMPLATE-GAS AVAILABILITY'!R391)/('RAP TEMPLATE-GAS AVAILABILITY'!O391+'RAP TEMPLATE-GAS AVAILABILITY'!P391+'RAP TEMPLATE-GAS AVAILABILITY'!Q391+'RAP TEMPLATE-GAS AVAILABILITY'!R391)</f>
        <v>17.459153956834534</v>
      </c>
    </row>
    <row r="393" spans="1:29" ht="15.75" x14ac:dyDescent="0.25">
      <c r="A393" s="33">
        <v>52870</v>
      </c>
      <c r="B393" s="14">
        <f>CHOOSE(CONTROL!$C$42, 16.6268, 16.6268) * CHOOSE(CONTROL!$C$21, $C$9, 100%, $E$9)</f>
        <v>16.626799999999999</v>
      </c>
      <c r="C393" s="14">
        <f>CHOOSE(CONTROL!$C$42, 16.6348, 16.6348) * CHOOSE(CONTROL!$C$21, $C$9, 100%, $E$9)</f>
        <v>16.634799999999998</v>
      </c>
      <c r="D393" s="14">
        <f>CHOOSE(CONTROL!$C$42, 16.8388, 16.8388) * CHOOSE(CONTROL!$C$21, $C$9, 100%, $E$9)</f>
        <v>16.838799999999999</v>
      </c>
      <c r="E393" s="14">
        <f>CHOOSE(CONTROL!$C$42, 16.8702, 16.8702) * CHOOSE(CONTROL!$C$21, $C$9, 100%, $E$9)</f>
        <v>16.870200000000001</v>
      </c>
      <c r="F393" s="14">
        <f>CHOOSE(CONTROL!$C$42, 16.6087, 16.6087)*CHOOSE(CONTROL!$C$21, $C$9, 100%, $E$9)</f>
        <v>16.608699999999999</v>
      </c>
      <c r="G393" s="14">
        <f>CHOOSE(CONTROL!$C$42, 16.6247, 16.6247)*CHOOSE(CONTROL!$C$21, $C$9, 100%, $E$9)</f>
        <v>16.624700000000001</v>
      </c>
      <c r="H393" s="14">
        <f>CHOOSE(CONTROL!$C$42, 16.8589, 16.8589) * CHOOSE(CONTROL!$C$21, $C$9, 100%, $E$9)</f>
        <v>16.858899999999998</v>
      </c>
      <c r="I393" s="14">
        <f>CHOOSE(CONTROL!$C$42, 16.6843, 16.6843)* CHOOSE(CONTROL!$C$21, $C$9, 100%, $E$9)</f>
        <v>16.6843</v>
      </c>
      <c r="J393" s="14">
        <f>CHOOSE(CONTROL!$C$42, 16.6017, 16.6017)* CHOOSE(CONTROL!$C$21, $C$9, 100%, $E$9)</f>
        <v>16.601700000000001</v>
      </c>
      <c r="K393" s="53">
        <f>CHOOSE(CONTROL!$C$42, 16.6804, 16.6804) * CHOOSE(CONTROL!$C$21, $C$9, 100%, $E$9)</f>
        <v>16.680399999999999</v>
      </c>
      <c r="L393" s="14">
        <f>CHOOSE(CONTROL!$C$42, 17.4459, 17.4459) * CHOOSE(CONTROL!$C$21, $C$9, 100%, $E$9)</f>
        <v>17.445900000000002</v>
      </c>
      <c r="M393" s="14">
        <f>CHOOSE(CONTROL!$C$42, 16.2692, 16.2692) * CHOOSE(CONTROL!$C$21, $C$9, 100%, $E$9)</f>
        <v>16.269200000000001</v>
      </c>
      <c r="N393" s="14">
        <f>CHOOSE(CONTROL!$C$42, 16.2849, 16.2849) * CHOOSE(CONTROL!$C$21, $C$9, 100%, $E$9)</f>
        <v>16.2849</v>
      </c>
      <c r="O393" s="14">
        <f>CHOOSE(CONTROL!$C$42, 16.5211, 16.5211) * CHOOSE(CONTROL!$C$21, $C$9, 100%, $E$9)</f>
        <v>16.521100000000001</v>
      </c>
      <c r="P393" s="14">
        <f>CHOOSE(CONTROL!$C$42, 16.3492, 16.3492) * CHOOSE(CONTROL!$C$21, $C$9, 100%, $E$9)</f>
        <v>16.3492</v>
      </c>
      <c r="Q393" s="14">
        <f>CHOOSE(CONTROL!$C$42, 17.1158, 17.1158) * CHOOSE(CONTROL!$C$21, $C$9, 100%, $E$9)</f>
        <v>17.1158</v>
      </c>
      <c r="R393" s="14">
        <f>CHOOSE(CONTROL!$C$42, 17.7456, 17.7456) * CHOOSE(CONTROL!$C$21, $C$9, 100%, $E$9)</f>
        <v>17.7456</v>
      </c>
      <c r="S393" s="14">
        <f>CHOOSE(CONTROL!$C$42, 15.9661, 15.9661) * CHOOSE(CONTROL!$C$21, $C$9, 100%, $E$9)</f>
        <v>15.966100000000001</v>
      </c>
      <c r="T39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93" s="57">
        <f>(1000*CHOOSE(CONTROL!$C$42, 695, 695)*CHOOSE(CONTROL!$C$42, 0.5599, 0.5599)*CHOOSE(CONTROL!$C$42, 30, 30))/1000000</f>
        <v>11.673914999999997</v>
      </c>
      <c r="V393" s="57">
        <f>(1000*CHOOSE(CONTROL!$C$42, 500, 500)*CHOOSE(CONTROL!$C$42, 0.275, 0.275)*CHOOSE(CONTROL!$C$42, 30, 30))/1000000</f>
        <v>4.125</v>
      </c>
      <c r="W393" s="57">
        <f>(1000*CHOOSE(CONTROL!$C$42, 0.1146, 0.1146)*CHOOSE(CONTROL!$C$42, 121.5, 121.5)*CHOOSE(CONTROL!$C$42, 30, 30))/1000000</f>
        <v>0.417717</v>
      </c>
      <c r="X393" s="57">
        <f>(30*0.1790888*245000/1000000)+(30*0.2374*100000/1000000)</f>
        <v>2.0285026799999999</v>
      </c>
      <c r="Y393" s="57"/>
      <c r="Z393" s="14"/>
      <c r="AA393" s="56"/>
      <c r="AB393" s="50">
        <f>(B393*194.205+C393*267.466+D393*133.845+E393*53.484+F393*40+G393*185+H393*0+I393*100+J393*300)/(194.205+267.466+133.845+53.484+0+40+185+100+300)</f>
        <v>16.658699822291993</v>
      </c>
      <c r="AC393" s="45">
        <f>(M393*'RAP TEMPLATE-GAS AVAILABILITY'!O392+N393*'RAP TEMPLATE-GAS AVAILABILITY'!P392+O393*'RAP TEMPLATE-GAS AVAILABILITY'!Q392+P393*'RAP TEMPLATE-GAS AVAILABILITY'!R392)/('RAP TEMPLATE-GAS AVAILABILITY'!O392+'RAP TEMPLATE-GAS AVAILABILITY'!P392+'RAP TEMPLATE-GAS AVAILABILITY'!Q392+'RAP TEMPLATE-GAS AVAILABILITY'!R392)</f>
        <v>16.355002158273383</v>
      </c>
    </row>
    <row r="394" spans="1:29" ht="15.75" x14ac:dyDescent="0.25">
      <c r="A394" s="33">
        <v>52901</v>
      </c>
      <c r="B394" s="14">
        <f>CHOOSE(CONTROL!$C$42, 16.2877, 16.2877) * CHOOSE(CONTROL!$C$21, $C$9, 100%, $E$9)</f>
        <v>16.287700000000001</v>
      </c>
      <c r="C394" s="14">
        <f>CHOOSE(CONTROL!$C$42, 16.293, 16.293) * CHOOSE(CONTROL!$C$21, $C$9, 100%, $E$9)</f>
        <v>16.292999999999999</v>
      </c>
      <c r="D394" s="14">
        <f>CHOOSE(CONTROL!$C$42, 16.5019, 16.5019) * CHOOSE(CONTROL!$C$21, $C$9, 100%, $E$9)</f>
        <v>16.501899999999999</v>
      </c>
      <c r="E394" s="14">
        <f>CHOOSE(CONTROL!$C$42, 16.531, 16.531) * CHOOSE(CONTROL!$C$21, $C$9, 100%, $E$9)</f>
        <v>16.530999999999999</v>
      </c>
      <c r="F394" s="14">
        <f>CHOOSE(CONTROL!$C$42, 16.2717, 16.2717)*CHOOSE(CONTROL!$C$21, $C$9, 100%, $E$9)</f>
        <v>16.271699999999999</v>
      </c>
      <c r="G394" s="14">
        <f>CHOOSE(CONTROL!$C$42, 16.2873, 16.2873)*CHOOSE(CONTROL!$C$21, $C$9, 100%, $E$9)</f>
        <v>16.287299999999998</v>
      </c>
      <c r="H394" s="14">
        <f>CHOOSE(CONTROL!$C$42, 16.5215, 16.5215) * CHOOSE(CONTROL!$C$21, $C$9, 100%, $E$9)</f>
        <v>16.5215</v>
      </c>
      <c r="I394" s="14">
        <f>CHOOSE(CONTROL!$C$42, 16.3459, 16.3459)* CHOOSE(CONTROL!$C$21, $C$9, 100%, $E$9)</f>
        <v>16.3459</v>
      </c>
      <c r="J394" s="14">
        <f>CHOOSE(CONTROL!$C$42, 16.2647, 16.2647)* CHOOSE(CONTROL!$C$21, $C$9, 100%, $E$9)</f>
        <v>16.264700000000001</v>
      </c>
      <c r="K394" s="53">
        <f>CHOOSE(CONTROL!$C$42, 16.342, 16.342) * CHOOSE(CONTROL!$C$21, $C$9, 100%, $E$9)</f>
        <v>16.341999999999999</v>
      </c>
      <c r="L394" s="14">
        <f>CHOOSE(CONTROL!$C$42, 17.1085, 17.1085) * CHOOSE(CONTROL!$C$21, $C$9, 100%, $E$9)</f>
        <v>17.108499999999999</v>
      </c>
      <c r="M394" s="14">
        <f>CHOOSE(CONTROL!$C$42, 15.9391, 15.9391) * CHOOSE(CONTROL!$C$21, $C$9, 100%, $E$9)</f>
        <v>15.9391</v>
      </c>
      <c r="N394" s="14">
        <f>CHOOSE(CONTROL!$C$42, 15.9545, 15.9545) * CHOOSE(CONTROL!$C$21, $C$9, 100%, $E$9)</f>
        <v>15.954499999999999</v>
      </c>
      <c r="O394" s="14">
        <f>CHOOSE(CONTROL!$C$42, 16.1907, 16.1907) * CHOOSE(CONTROL!$C$21, $C$9, 100%, $E$9)</f>
        <v>16.1907</v>
      </c>
      <c r="P394" s="14">
        <f>CHOOSE(CONTROL!$C$42, 16.0177, 16.0177) * CHOOSE(CONTROL!$C$21, $C$9, 100%, $E$9)</f>
        <v>16.017700000000001</v>
      </c>
      <c r="Q394" s="14">
        <f>CHOOSE(CONTROL!$C$42, 16.7854, 16.7854) * CHOOSE(CONTROL!$C$21, $C$9, 100%, $E$9)</f>
        <v>16.785399999999999</v>
      </c>
      <c r="R394" s="14">
        <f>CHOOSE(CONTROL!$C$42, 17.4144, 17.4144) * CHOOSE(CONTROL!$C$21, $C$9, 100%, $E$9)</f>
        <v>17.414400000000001</v>
      </c>
      <c r="S394" s="14">
        <f>CHOOSE(CONTROL!$C$42, 15.6419, 15.6419) * CHOOSE(CONTROL!$C$21, $C$9, 100%, $E$9)</f>
        <v>15.6419</v>
      </c>
      <c r="T39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94" s="57">
        <f>(1000*CHOOSE(CONTROL!$C$42, 695, 695)*CHOOSE(CONTROL!$C$42, 0.5599, 0.5599)*CHOOSE(CONTROL!$C$42, 31, 31))/1000000</f>
        <v>12.063045499999998</v>
      </c>
      <c r="V394" s="57">
        <f>(1000*CHOOSE(CONTROL!$C$42, 500, 500)*CHOOSE(CONTROL!$C$42, 0.275, 0.275)*CHOOSE(CONTROL!$C$42, 31, 31))/1000000</f>
        <v>4.2625000000000002</v>
      </c>
      <c r="W394" s="57">
        <f>(1000*CHOOSE(CONTROL!$C$42, 0.1146, 0.1146)*CHOOSE(CONTROL!$C$42, 121.5, 121.5)*CHOOSE(CONTROL!$C$42, 31, 31))/1000000</f>
        <v>0.43164089999999994</v>
      </c>
      <c r="X394" s="57">
        <f>(31*0.1790888*245000/1000000)+(31*0.2374*100000/1000000)</f>
        <v>2.0961194359999999</v>
      </c>
      <c r="Y394" s="57"/>
      <c r="Z394" s="14"/>
      <c r="AA394" s="56"/>
      <c r="AB394" s="50">
        <f>(B394*131.881+C394*277.167+D394*79.08+E394*125.872+F394*40+G394*185+H394*0+I394*100+J394*300)/(131.881+277.167+79.08+125.872+0+40+185+100+300)</f>
        <v>16.325826375060533</v>
      </c>
      <c r="AC394" s="45">
        <f>(M394*'RAP TEMPLATE-GAS AVAILABILITY'!O393+N394*'RAP TEMPLATE-GAS AVAILABILITY'!P393+O394*'RAP TEMPLATE-GAS AVAILABILITY'!Q393+P394*'RAP TEMPLATE-GAS AVAILABILITY'!R393)/('RAP TEMPLATE-GAS AVAILABILITY'!O393+'RAP TEMPLATE-GAS AVAILABILITY'!P393+'RAP TEMPLATE-GAS AVAILABILITY'!Q393+'RAP TEMPLATE-GAS AVAILABILITY'!R393)</f>
        <v>16.024547482014388</v>
      </c>
    </row>
    <row r="395" spans="1:29" ht="15.75" x14ac:dyDescent="0.25">
      <c r="A395" s="33">
        <v>52931</v>
      </c>
      <c r="B395" s="14">
        <f>CHOOSE(CONTROL!$C$42, 16.7161, 16.7161) * CHOOSE(CONTROL!$C$21, $C$9, 100%, $E$9)</f>
        <v>16.716100000000001</v>
      </c>
      <c r="C395" s="14">
        <f>CHOOSE(CONTROL!$C$42, 16.7212, 16.7212) * CHOOSE(CONTROL!$C$21, $C$9, 100%, $E$9)</f>
        <v>16.7212</v>
      </c>
      <c r="D395" s="14">
        <f>CHOOSE(CONTROL!$C$42, 16.785, 16.785) * CHOOSE(CONTROL!$C$21, $C$9, 100%, $E$9)</f>
        <v>16.785</v>
      </c>
      <c r="E395" s="14">
        <f>CHOOSE(CONTROL!$C$42, 16.8191, 16.8191) * CHOOSE(CONTROL!$C$21, $C$9, 100%, $E$9)</f>
        <v>16.819099999999999</v>
      </c>
      <c r="F395" s="14">
        <f>CHOOSE(CONTROL!$C$42, 16.7185, 16.7185)*CHOOSE(CONTROL!$C$21, $C$9, 100%, $E$9)</f>
        <v>16.718499999999999</v>
      </c>
      <c r="G395" s="14">
        <f>CHOOSE(CONTROL!$C$42, 16.7345, 16.7345)*CHOOSE(CONTROL!$C$21, $C$9, 100%, $E$9)</f>
        <v>16.734500000000001</v>
      </c>
      <c r="H395" s="14">
        <f>CHOOSE(CONTROL!$C$42, 16.8083, 16.8083) * CHOOSE(CONTROL!$C$21, $C$9, 100%, $E$9)</f>
        <v>16.808299999999999</v>
      </c>
      <c r="I395" s="14">
        <f>CHOOSE(CONTROL!$C$42, 16.7813, 16.7813)* CHOOSE(CONTROL!$C$21, $C$9, 100%, $E$9)</f>
        <v>16.781300000000002</v>
      </c>
      <c r="J395" s="14">
        <f>CHOOSE(CONTROL!$C$42, 16.7115, 16.7115)* CHOOSE(CONTROL!$C$21, $C$9, 100%, $E$9)</f>
        <v>16.711500000000001</v>
      </c>
      <c r="K395" s="53">
        <f>CHOOSE(CONTROL!$C$42, 16.7774, 16.7774) * CHOOSE(CONTROL!$C$21, $C$9, 100%, $E$9)</f>
        <v>16.7774</v>
      </c>
      <c r="L395" s="14">
        <f>CHOOSE(CONTROL!$C$42, 17.3953, 17.3953) * CHOOSE(CONTROL!$C$21, $C$9, 100%, $E$9)</f>
        <v>17.395299999999999</v>
      </c>
      <c r="M395" s="14">
        <f>CHOOSE(CONTROL!$C$42, 16.3768, 16.3768) * CHOOSE(CONTROL!$C$21, $C$9, 100%, $E$9)</f>
        <v>16.376799999999999</v>
      </c>
      <c r="N395" s="14">
        <f>CHOOSE(CONTROL!$C$42, 16.3925, 16.3925) * CHOOSE(CONTROL!$C$21, $C$9, 100%, $E$9)</f>
        <v>16.392499999999998</v>
      </c>
      <c r="O395" s="14">
        <f>CHOOSE(CONTROL!$C$42, 16.4716, 16.4716) * CHOOSE(CONTROL!$C$21, $C$9, 100%, $E$9)</f>
        <v>16.471599999999999</v>
      </c>
      <c r="P395" s="14">
        <f>CHOOSE(CONTROL!$C$42, 16.4442, 16.4442) * CHOOSE(CONTROL!$C$21, $C$9, 100%, $E$9)</f>
        <v>16.444199999999999</v>
      </c>
      <c r="Q395" s="14">
        <f>CHOOSE(CONTROL!$C$42, 17.0663, 17.0663) * CHOOSE(CONTROL!$C$21, $C$9, 100%, $E$9)</f>
        <v>17.066299999999998</v>
      </c>
      <c r="R395" s="14">
        <f>CHOOSE(CONTROL!$C$42, 17.696, 17.696) * CHOOSE(CONTROL!$C$21, $C$9, 100%, $E$9)</f>
        <v>17.696000000000002</v>
      </c>
      <c r="S395" s="14">
        <f>CHOOSE(CONTROL!$C$42, 16.054, 16.054) * CHOOSE(CONTROL!$C$21, $C$9, 100%, $E$9)</f>
        <v>16.053999999999998</v>
      </c>
      <c r="T39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95" s="57">
        <f>(1000*CHOOSE(CONTROL!$C$42, 695, 695)*CHOOSE(CONTROL!$C$42, 0.5599, 0.5599)*CHOOSE(CONTROL!$C$42, 30, 30))/1000000</f>
        <v>11.673914999999997</v>
      </c>
      <c r="V395" s="57">
        <f>(1000*CHOOSE(CONTROL!$C$42, 500, 500)*CHOOSE(CONTROL!$C$42, 0.275, 0.275)*CHOOSE(CONTROL!$C$42, 30, 30))/1000000</f>
        <v>4.125</v>
      </c>
      <c r="W395" s="57">
        <f>(1000*CHOOSE(CONTROL!$C$42, 0.1146, 0.1146)*CHOOSE(CONTROL!$C$42, 121.5, 121.5)*CHOOSE(CONTROL!$C$42, 30, 30))/1000000</f>
        <v>0.417717</v>
      </c>
      <c r="X395" s="57">
        <f>(30*0.1790888*100000/1000000)+(30*0.2374*100000/1000000)</f>
        <v>1.2494664</v>
      </c>
      <c r="Y395" s="57"/>
      <c r="Z395" s="14"/>
      <c r="AA395" s="56"/>
      <c r="AB395" s="50">
        <f>(B395*122.58+C395*297.941+D395*89.177+E395*40.302+F395*40+G395*160+H395*0+I395*100+J395*300)/(122.58+297.941+89.177+40.302+0+40+160+100+300)</f>
        <v>16.733486869913044</v>
      </c>
      <c r="AC395" s="45">
        <f>(M395*'RAP TEMPLATE-GAS AVAILABILITY'!O394+N395*'RAP TEMPLATE-GAS AVAILABILITY'!P394+O395*'RAP TEMPLATE-GAS AVAILABILITY'!Q394+P395*'RAP TEMPLATE-GAS AVAILABILITY'!R394)/('RAP TEMPLATE-GAS AVAILABILITY'!O394+'RAP TEMPLATE-GAS AVAILABILITY'!P394+'RAP TEMPLATE-GAS AVAILABILITY'!Q394+'RAP TEMPLATE-GAS AVAILABILITY'!R394)</f>
        <v>16.430368345323739</v>
      </c>
    </row>
    <row r="396" spans="1:29" ht="15.75" x14ac:dyDescent="0.25">
      <c r="A396" s="33">
        <v>52962</v>
      </c>
      <c r="B396" s="14">
        <f>CHOOSE(CONTROL!$C$42, 17.8551, 17.8551) * CHOOSE(CONTROL!$C$21, $C$9, 100%, $E$9)</f>
        <v>17.8551</v>
      </c>
      <c r="C396" s="14">
        <f>CHOOSE(CONTROL!$C$42, 17.8602, 17.8602) * CHOOSE(CONTROL!$C$21, $C$9, 100%, $E$9)</f>
        <v>17.860199999999999</v>
      </c>
      <c r="D396" s="14">
        <f>CHOOSE(CONTROL!$C$42, 17.924, 17.924) * CHOOSE(CONTROL!$C$21, $C$9, 100%, $E$9)</f>
        <v>17.923999999999999</v>
      </c>
      <c r="E396" s="14">
        <f>CHOOSE(CONTROL!$C$42, 17.9581, 17.9581) * CHOOSE(CONTROL!$C$21, $C$9, 100%, $E$9)</f>
        <v>17.958100000000002</v>
      </c>
      <c r="F396" s="14">
        <f>CHOOSE(CONTROL!$C$42, 17.8598, 17.8598)*CHOOSE(CONTROL!$C$21, $C$9, 100%, $E$9)</f>
        <v>17.8598</v>
      </c>
      <c r="G396" s="14">
        <f>CHOOSE(CONTROL!$C$42, 17.8764, 17.8764)*CHOOSE(CONTROL!$C$21, $C$9, 100%, $E$9)</f>
        <v>17.8764</v>
      </c>
      <c r="H396" s="14">
        <f>CHOOSE(CONTROL!$C$42, 17.9473, 17.9473) * CHOOSE(CONTROL!$C$21, $C$9, 100%, $E$9)</f>
        <v>17.947299999999998</v>
      </c>
      <c r="I396" s="14">
        <f>CHOOSE(CONTROL!$C$42, 17.9239, 17.9239)* CHOOSE(CONTROL!$C$21, $C$9, 100%, $E$9)</f>
        <v>17.9239</v>
      </c>
      <c r="J396" s="14">
        <f>CHOOSE(CONTROL!$C$42, 17.8528, 17.8528)* CHOOSE(CONTROL!$C$21, $C$9, 100%, $E$9)</f>
        <v>17.852799999999998</v>
      </c>
      <c r="K396" s="53">
        <f>CHOOSE(CONTROL!$C$42, 17.92, 17.92) * CHOOSE(CONTROL!$C$21, $C$9, 100%, $E$9)</f>
        <v>17.920000000000002</v>
      </c>
      <c r="L396" s="14">
        <f>CHOOSE(CONTROL!$C$42, 18.5343, 18.5343) * CHOOSE(CONTROL!$C$21, $C$9, 100%, $E$9)</f>
        <v>18.534300000000002</v>
      </c>
      <c r="M396" s="14">
        <f>CHOOSE(CONTROL!$C$42, 17.4947, 17.4947) * CHOOSE(CONTROL!$C$21, $C$9, 100%, $E$9)</f>
        <v>17.494700000000002</v>
      </c>
      <c r="N396" s="14">
        <f>CHOOSE(CONTROL!$C$42, 17.511, 17.511) * CHOOSE(CONTROL!$C$21, $C$9, 100%, $E$9)</f>
        <v>17.510999999999999</v>
      </c>
      <c r="O396" s="14">
        <f>CHOOSE(CONTROL!$C$42, 17.5873, 17.5873) * CHOOSE(CONTROL!$C$21, $C$9, 100%, $E$9)</f>
        <v>17.587299999999999</v>
      </c>
      <c r="P396" s="14">
        <f>CHOOSE(CONTROL!$C$42, 17.5633, 17.5633) * CHOOSE(CONTROL!$C$21, $C$9, 100%, $E$9)</f>
        <v>17.563300000000002</v>
      </c>
      <c r="Q396" s="14">
        <f>CHOOSE(CONTROL!$C$42, 18.182, 18.182) * CHOOSE(CONTROL!$C$21, $C$9, 100%, $E$9)</f>
        <v>18.181999999999999</v>
      </c>
      <c r="R396" s="14">
        <f>CHOOSE(CONTROL!$C$42, 18.8144, 18.8144) * CHOOSE(CONTROL!$C$21, $C$9, 100%, $E$9)</f>
        <v>18.814399999999999</v>
      </c>
      <c r="S396" s="14">
        <f>CHOOSE(CONTROL!$C$42, 17.1485, 17.1485) * CHOOSE(CONTROL!$C$21, $C$9, 100%, $E$9)</f>
        <v>17.148499999999999</v>
      </c>
      <c r="T39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96" s="57">
        <f>(1000*CHOOSE(CONTROL!$C$42, 695, 695)*CHOOSE(CONTROL!$C$42, 0.5599, 0.5599)*CHOOSE(CONTROL!$C$42, 31, 31))/1000000</f>
        <v>12.063045499999998</v>
      </c>
      <c r="V396" s="57">
        <f>(1000*CHOOSE(CONTROL!$C$42, 500, 500)*CHOOSE(CONTROL!$C$42, 0.275, 0.275)*CHOOSE(CONTROL!$C$42, 31, 31))/1000000</f>
        <v>4.2625000000000002</v>
      </c>
      <c r="W396" s="57">
        <f>(1000*CHOOSE(CONTROL!$C$42, 0.1146, 0.1146)*CHOOSE(CONTROL!$C$42, 121.5, 121.5)*CHOOSE(CONTROL!$C$42, 31, 31))/1000000</f>
        <v>0.43164089999999994</v>
      </c>
      <c r="X396" s="57">
        <f>(31*0.1790888*100000/1000000)+(31*0.2374*100000/1000000)</f>
        <v>1.2911152800000001</v>
      </c>
      <c r="Y396" s="57"/>
      <c r="Z396" s="14"/>
      <c r="AA396" s="56"/>
      <c r="AB396" s="50">
        <f>(B396*122.58+C396*297.941+D396*89.177+E396*40.302+F396*40+G396*160+H396*0+I396*100+J396*300)/(122.58+297.941+89.177+40.302+0+40+160+100+300)</f>
        <v>17.873883391652171</v>
      </c>
      <c r="AC396" s="45">
        <f>(M396*'RAP TEMPLATE-GAS AVAILABILITY'!O395+N396*'RAP TEMPLATE-GAS AVAILABILITY'!P395+O396*'RAP TEMPLATE-GAS AVAILABILITY'!Q395+P396*'RAP TEMPLATE-GAS AVAILABILITY'!R395)/('RAP TEMPLATE-GAS AVAILABILITY'!O395+'RAP TEMPLATE-GAS AVAILABILITY'!P395+'RAP TEMPLATE-GAS AVAILABILITY'!Q395+'RAP TEMPLATE-GAS AVAILABILITY'!R395)</f>
        <v>17.547478417266188</v>
      </c>
    </row>
    <row r="397" spans="1:29" ht="15.75" x14ac:dyDescent="0.25">
      <c r="A397" s="33">
        <v>52993</v>
      </c>
      <c r="B397" s="14">
        <f>CHOOSE(CONTROL!$C$42, 19.3169, 19.3169) * CHOOSE(CONTROL!$C$21, $C$9, 100%, $E$9)</f>
        <v>19.3169</v>
      </c>
      <c r="C397" s="14">
        <f>CHOOSE(CONTROL!$C$42, 19.322, 19.322) * CHOOSE(CONTROL!$C$21, $C$9, 100%, $E$9)</f>
        <v>19.321999999999999</v>
      </c>
      <c r="D397" s="14">
        <f>CHOOSE(CONTROL!$C$42, 19.3884, 19.3884) * CHOOSE(CONTROL!$C$21, $C$9, 100%, $E$9)</f>
        <v>19.388400000000001</v>
      </c>
      <c r="E397" s="14">
        <f>CHOOSE(CONTROL!$C$42, 19.4225, 19.4225) * CHOOSE(CONTROL!$C$21, $C$9, 100%, $E$9)</f>
        <v>19.422499999999999</v>
      </c>
      <c r="F397" s="14">
        <f>CHOOSE(CONTROL!$C$42, 19.3043, 19.3043)*CHOOSE(CONTROL!$C$21, $C$9, 100%, $E$9)</f>
        <v>19.304300000000001</v>
      </c>
      <c r="G397" s="14">
        <f>CHOOSE(CONTROL!$C$42, 19.3197, 19.3197)*CHOOSE(CONTROL!$C$21, $C$9, 100%, $E$9)</f>
        <v>19.319700000000001</v>
      </c>
      <c r="H397" s="14">
        <f>CHOOSE(CONTROL!$C$42, 19.4117, 19.4117) * CHOOSE(CONTROL!$C$21, $C$9, 100%, $E$9)</f>
        <v>19.4117</v>
      </c>
      <c r="I397" s="14">
        <f>CHOOSE(CONTROL!$C$42, 19.3851, 19.3851)* CHOOSE(CONTROL!$C$21, $C$9, 100%, $E$9)</f>
        <v>19.385100000000001</v>
      </c>
      <c r="J397" s="14">
        <f>CHOOSE(CONTROL!$C$42, 19.2973, 19.2973)* CHOOSE(CONTROL!$C$21, $C$9, 100%, $E$9)</f>
        <v>19.2973</v>
      </c>
      <c r="K397" s="53">
        <f>CHOOSE(CONTROL!$C$42, 19.3812, 19.3812) * CHOOSE(CONTROL!$C$21, $C$9, 100%, $E$9)</f>
        <v>19.3812</v>
      </c>
      <c r="L397" s="14">
        <f>CHOOSE(CONTROL!$C$42, 19.9987, 19.9987) * CHOOSE(CONTROL!$C$21, $C$9, 100%, $E$9)</f>
        <v>19.998699999999999</v>
      </c>
      <c r="M397" s="14">
        <f>CHOOSE(CONTROL!$C$42, 18.9096, 18.9096) * CHOOSE(CONTROL!$C$21, $C$9, 100%, $E$9)</f>
        <v>18.909600000000001</v>
      </c>
      <c r="N397" s="14">
        <f>CHOOSE(CONTROL!$C$42, 18.9247, 18.9247) * CHOOSE(CONTROL!$C$21, $C$9, 100%, $E$9)</f>
        <v>18.924700000000001</v>
      </c>
      <c r="O397" s="14">
        <f>CHOOSE(CONTROL!$C$42, 19.0217, 19.0217) * CHOOSE(CONTROL!$C$21, $C$9, 100%, $E$9)</f>
        <v>19.021699999999999</v>
      </c>
      <c r="P397" s="14">
        <f>CHOOSE(CONTROL!$C$42, 18.9944, 18.9944) * CHOOSE(CONTROL!$C$21, $C$9, 100%, $E$9)</f>
        <v>18.994399999999999</v>
      </c>
      <c r="Q397" s="14">
        <f>CHOOSE(CONTROL!$C$42, 19.6164, 19.6164) * CHOOSE(CONTROL!$C$21, $C$9, 100%, $E$9)</f>
        <v>19.616399999999999</v>
      </c>
      <c r="R397" s="14">
        <f>CHOOSE(CONTROL!$C$42, 20.2524, 20.2524) * CHOOSE(CONTROL!$C$21, $C$9, 100%, $E$9)</f>
        <v>20.252400000000002</v>
      </c>
      <c r="S397" s="14">
        <f>CHOOSE(CONTROL!$C$42, 18.5531, 18.5531) * CHOOSE(CONTROL!$C$21, $C$9, 100%, $E$9)</f>
        <v>18.553100000000001</v>
      </c>
      <c r="T39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97" s="57">
        <f>(1000*CHOOSE(CONTROL!$C$42, 695, 695)*CHOOSE(CONTROL!$C$42, 0.5599, 0.5599)*CHOOSE(CONTROL!$C$42, 31, 31))/1000000</f>
        <v>12.063045499999998</v>
      </c>
      <c r="V397" s="57">
        <f>(1000*CHOOSE(CONTROL!$C$42, 500, 500)*CHOOSE(CONTROL!$C$42, 0.275, 0.275)*CHOOSE(CONTROL!$C$42, 31, 31))/1000000</f>
        <v>4.2625000000000002</v>
      </c>
      <c r="W397" s="57">
        <f>(1000*CHOOSE(CONTROL!$C$42, 0.1146, 0.1146)*CHOOSE(CONTROL!$C$42, 121.5, 121.5)*CHOOSE(CONTROL!$C$42, 31, 31))/1000000</f>
        <v>0.43164089999999994</v>
      </c>
      <c r="X397" s="57">
        <f>(31*0.1790888*100000/1000000)+(31*0.2374*100000/1000000)</f>
        <v>1.2911152800000001</v>
      </c>
      <c r="Y397" s="57"/>
      <c r="Z397" s="14"/>
      <c r="AA397" s="56"/>
      <c r="AB397" s="50">
        <f>(B397*122.58+C397*297.941+D397*89.177+E397*40.302+F397*40+G397*160+H397*0+I397*100+J397*300)/(122.58+297.941+89.177+40.302+0+40+160+100+300)</f>
        <v>19.32823525721739</v>
      </c>
      <c r="AC397" s="45">
        <f>(M397*'RAP TEMPLATE-GAS AVAILABILITY'!O396+N397*'RAP TEMPLATE-GAS AVAILABILITY'!P396+O397*'RAP TEMPLATE-GAS AVAILABILITY'!Q396+P397*'RAP TEMPLATE-GAS AVAILABILITY'!R396)/('RAP TEMPLATE-GAS AVAILABILITY'!O396+'RAP TEMPLATE-GAS AVAILABILITY'!P396+'RAP TEMPLATE-GAS AVAILABILITY'!Q396+'RAP TEMPLATE-GAS AVAILABILITY'!R396)</f>
        <v>18.97347841726619</v>
      </c>
    </row>
    <row r="398" spans="1:29" ht="15.75" x14ac:dyDescent="0.25">
      <c r="A398" s="33">
        <v>53021</v>
      </c>
      <c r="B398" s="14">
        <f>CHOOSE(CONTROL!$C$42, 19.6606, 19.6606) * CHOOSE(CONTROL!$C$21, $C$9, 100%, $E$9)</f>
        <v>19.660599999999999</v>
      </c>
      <c r="C398" s="14">
        <f>CHOOSE(CONTROL!$C$42, 19.6657, 19.6657) * CHOOSE(CONTROL!$C$21, $C$9, 100%, $E$9)</f>
        <v>19.665700000000001</v>
      </c>
      <c r="D398" s="14">
        <f>CHOOSE(CONTROL!$C$42, 19.7321, 19.7321) * CHOOSE(CONTROL!$C$21, $C$9, 100%, $E$9)</f>
        <v>19.732099999999999</v>
      </c>
      <c r="E398" s="14">
        <f>CHOOSE(CONTROL!$C$42, 19.7662, 19.7662) * CHOOSE(CONTROL!$C$21, $C$9, 100%, $E$9)</f>
        <v>19.766200000000001</v>
      </c>
      <c r="F398" s="14">
        <f>CHOOSE(CONTROL!$C$42, 19.648, 19.648)*CHOOSE(CONTROL!$C$21, $C$9, 100%, $E$9)</f>
        <v>19.648</v>
      </c>
      <c r="G398" s="14">
        <f>CHOOSE(CONTROL!$C$42, 19.6635, 19.6635)*CHOOSE(CONTROL!$C$21, $C$9, 100%, $E$9)</f>
        <v>19.663499999999999</v>
      </c>
      <c r="H398" s="14">
        <f>CHOOSE(CONTROL!$C$42, 19.7554, 19.7554) * CHOOSE(CONTROL!$C$21, $C$9, 100%, $E$9)</f>
        <v>19.755400000000002</v>
      </c>
      <c r="I398" s="14">
        <f>CHOOSE(CONTROL!$C$42, 19.7298, 19.7298)* CHOOSE(CONTROL!$C$21, $C$9, 100%, $E$9)</f>
        <v>19.729800000000001</v>
      </c>
      <c r="J398" s="14">
        <f>CHOOSE(CONTROL!$C$42, 19.641, 19.641)* CHOOSE(CONTROL!$C$21, $C$9, 100%, $E$9)</f>
        <v>19.640999999999998</v>
      </c>
      <c r="K398" s="53">
        <f>CHOOSE(CONTROL!$C$42, 19.7259, 19.7259) * CHOOSE(CONTROL!$C$21, $C$9, 100%, $E$9)</f>
        <v>19.725899999999999</v>
      </c>
      <c r="L398" s="14">
        <f>CHOOSE(CONTROL!$C$42, 20.3424, 20.3424) * CHOOSE(CONTROL!$C$21, $C$9, 100%, $E$9)</f>
        <v>20.342400000000001</v>
      </c>
      <c r="M398" s="14">
        <f>CHOOSE(CONTROL!$C$42, 19.2463, 19.2463) * CHOOSE(CONTROL!$C$21, $C$9, 100%, $E$9)</f>
        <v>19.246300000000002</v>
      </c>
      <c r="N398" s="14">
        <f>CHOOSE(CONTROL!$C$42, 19.2615, 19.2615) * CHOOSE(CONTROL!$C$21, $C$9, 100%, $E$9)</f>
        <v>19.261500000000002</v>
      </c>
      <c r="O398" s="14">
        <f>CHOOSE(CONTROL!$C$42, 19.3583, 19.3583) * CHOOSE(CONTROL!$C$21, $C$9, 100%, $E$9)</f>
        <v>19.3583</v>
      </c>
      <c r="P398" s="14">
        <f>CHOOSE(CONTROL!$C$42, 19.3321, 19.3321) * CHOOSE(CONTROL!$C$21, $C$9, 100%, $E$9)</f>
        <v>19.332100000000001</v>
      </c>
      <c r="Q398" s="14">
        <f>CHOOSE(CONTROL!$C$42, 19.953, 19.953) * CHOOSE(CONTROL!$C$21, $C$9, 100%, $E$9)</f>
        <v>19.952999999999999</v>
      </c>
      <c r="R398" s="14">
        <f>CHOOSE(CONTROL!$C$42, 20.5899, 20.5899) * CHOOSE(CONTROL!$C$21, $C$9, 100%, $E$9)</f>
        <v>20.5899</v>
      </c>
      <c r="S398" s="14">
        <f>CHOOSE(CONTROL!$C$42, 18.8834, 18.8834) * CHOOSE(CONTROL!$C$21, $C$9, 100%, $E$9)</f>
        <v>18.883400000000002</v>
      </c>
      <c r="T39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98" s="57">
        <f>(1000*CHOOSE(CONTROL!$C$42, 695, 695)*CHOOSE(CONTROL!$C$42, 0.5599, 0.5599)*CHOOSE(CONTROL!$C$42, 28, 28))/1000000</f>
        <v>10.895653999999999</v>
      </c>
      <c r="V398" s="57">
        <f>(1000*CHOOSE(CONTROL!$C$42, 500, 500)*CHOOSE(CONTROL!$C$42, 0.275, 0.275)*CHOOSE(CONTROL!$C$42, 28, 28))/1000000</f>
        <v>3.85</v>
      </c>
      <c r="W398" s="57">
        <f>(1000*CHOOSE(CONTROL!$C$42, 0.1146, 0.1146)*CHOOSE(CONTROL!$C$42, 121.5, 121.5)*CHOOSE(CONTROL!$C$42, 28, 28))/1000000</f>
        <v>0.38986920000000003</v>
      </c>
      <c r="X398" s="57">
        <f>(28*0.1790888*100000/1000000)+(28*0.2374*100000/1000000)</f>
        <v>1.16616864</v>
      </c>
      <c r="Y398" s="57"/>
      <c r="Z398" s="14"/>
      <c r="AA398" s="56"/>
      <c r="AB398" s="50">
        <f>(B398*122.58+C398*297.941+D398*89.177+E398*40.302+F398*40+G398*160+H398*0+I398*100+J398*300)/(122.58+297.941+89.177+40.302+0+40+160+100+300)</f>
        <v>19.672036126782608</v>
      </c>
      <c r="AC398" s="45">
        <f>(M398*'RAP TEMPLATE-GAS AVAILABILITY'!O397+N398*'RAP TEMPLATE-GAS AVAILABILITY'!P397+O398*'RAP TEMPLATE-GAS AVAILABILITY'!Q397+P398*'RAP TEMPLATE-GAS AVAILABILITY'!R397)/('RAP TEMPLATE-GAS AVAILABILITY'!O397+'RAP TEMPLATE-GAS AVAILABILITY'!P397+'RAP TEMPLATE-GAS AVAILABILITY'!Q397+'RAP TEMPLATE-GAS AVAILABILITY'!R397)</f>
        <v>19.310282733812947</v>
      </c>
    </row>
    <row r="399" spans="1:29" ht="15.75" x14ac:dyDescent="0.25">
      <c r="A399" s="33">
        <v>53052</v>
      </c>
      <c r="B399" s="14">
        <f>CHOOSE(CONTROL!$C$42, 19.1027, 19.1027) * CHOOSE(CONTROL!$C$21, $C$9, 100%, $E$9)</f>
        <v>19.102699999999999</v>
      </c>
      <c r="C399" s="14">
        <f>CHOOSE(CONTROL!$C$42, 19.1078, 19.1078) * CHOOSE(CONTROL!$C$21, $C$9, 100%, $E$9)</f>
        <v>19.107800000000001</v>
      </c>
      <c r="D399" s="14">
        <f>CHOOSE(CONTROL!$C$42, 19.1742, 19.1742) * CHOOSE(CONTROL!$C$21, $C$9, 100%, $E$9)</f>
        <v>19.174199999999999</v>
      </c>
      <c r="E399" s="14">
        <f>CHOOSE(CONTROL!$C$42, 19.2083, 19.2083) * CHOOSE(CONTROL!$C$21, $C$9, 100%, $E$9)</f>
        <v>19.208300000000001</v>
      </c>
      <c r="F399" s="14">
        <f>CHOOSE(CONTROL!$C$42, 19.0897, 19.0897)*CHOOSE(CONTROL!$C$21, $C$9, 100%, $E$9)</f>
        <v>19.089700000000001</v>
      </c>
      <c r="G399" s="14">
        <f>CHOOSE(CONTROL!$C$42, 19.1051, 19.1051)*CHOOSE(CONTROL!$C$21, $C$9, 100%, $E$9)</f>
        <v>19.1051</v>
      </c>
      <c r="H399" s="14">
        <f>CHOOSE(CONTROL!$C$42, 19.1975, 19.1975) * CHOOSE(CONTROL!$C$21, $C$9, 100%, $E$9)</f>
        <v>19.197500000000002</v>
      </c>
      <c r="I399" s="14">
        <f>CHOOSE(CONTROL!$C$42, 19.1702, 19.1702)* CHOOSE(CONTROL!$C$21, $C$9, 100%, $E$9)</f>
        <v>19.170200000000001</v>
      </c>
      <c r="J399" s="14">
        <f>CHOOSE(CONTROL!$C$42, 19.0827, 19.0827)* CHOOSE(CONTROL!$C$21, $C$9, 100%, $E$9)</f>
        <v>19.082699999999999</v>
      </c>
      <c r="K399" s="53">
        <f>CHOOSE(CONTROL!$C$42, 19.1663, 19.1663) * CHOOSE(CONTROL!$C$21, $C$9, 100%, $E$9)</f>
        <v>19.1663</v>
      </c>
      <c r="L399" s="14">
        <f>CHOOSE(CONTROL!$C$42, 19.7845, 19.7845) * CHOOSE(CONTROL!$C$21, $C$9, 100%, $E$9)</f>
        <v>19.784500000000001</v>
      </c>
      <c r="M399" s="14">
        <f>CHOOSE(CONTROL!$C$42, 18.6994, 18.6994) * CHOOSE(CONTROL!$C$21, $C$9, 100%, $E$9)</f>
        <v>18.699400000000001</v>
      </c>
      <c r="N399" s="14">
        <f>CHOOSE(CONTROL!$C$42, 18.7145, 18.7145) * CHOOSE(CONTROL!$C$21, $C$9, 100%, $E$9)</f>
        <v>18.714500000000001</v>
      </c>
      <c r="O399" s="14">
        <f>CHOOSE(CONTROL!$C$42, 18.8119, 18.8119) * CHOOSE(CONTROL!$C$21, $C$9, 100%, $E$9)</f>
        <v>18.811900000000001</v>
      </c>
      <c r="P399" s="14">
        <f>CHOOSE(CONTROL!$C$42, 18.784, 18.784) * CHOOSE(CONTROL!$C$21, $C$9, 100%, $E$9)</f>
        <v>18.783999999999999</v>
      </c>
      <c r="Q399" s="14">
        <f>CHOOSE(CONTROL!$C$42, 19.4066, 19.4066) * CHOOSE(CONTROL!$C$21, $C$9, 100%, $E$9)</f>
        <v>19.406600000000001</v>
      </c>
      <c r="R399" s="14">
        <f>CHOOSE(CONTROL!$C$42, 20.0421, 20.0421) * CHOOSE(CONTROL!$C$21, $C$9, 100%, $E$9)</f>
        <v>20.042100000000001</v>
      </c>
      <c r="S399" s="14">
        <f>CHOOSE(CONTROL!$C$42, 18.3473, 18.3473) * CHOOSE(CONTROL!$C$21, $C$9, 100%, $E$9)</f>
        <v>18.347300000000001</v>
      </c>
      <c r="T39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99" s="57">
        <f>(1000*CHOOSE(CONTROL!$C$42, 695, 695)*CHOOSE(CONTROL!$C$42, 0.5599, 0.5599)*CHOOSE(CONTROL!$C$42, 31, 31))/1000000</f>
        <v>12.063045499999998</v>
      </c>
      <c r="V399" s="57">
        <f>(1000*CHOOSE(CONTROL!$C$42, 500, 500)*CHOOSE(CONTROL!$C$42, 0.275, 0.275)*CHOOSE(CONTROL!$C$42, 31, 31))/1000000</f>
        <v>4.2625000000000002</v>
      </c>
      <c r="W399" s="57">
        <f>(1000*CHOOSE(CONTROL!$C$42, 0.1146, 0.1146)*CHOOSE(CONTROL!$C$42, 121.5, 121.5)*CHOOSE(CONTROL!$C$42, 31, 31))/1000000</f>
        <v>0.43164089999999994</v>
      </c>
      <c r="X399" s="57">
        <f>(31*0.1790888*100000/1000000)+(31*0.2374*100000/1000000)</f>
        <v>1.2911152800000001</v>
      </c>
      <c r="Y399" s="57"/>
      <c r="Z399" s="14"/>
      <c r="AA399" s="56"/>
      <c r="AB399" s="50">
        <f>(B399*122.58+C399*297.941+D399*89.177+E399*40.302+F399*40+G399*160+H399*0+I399*100+J399*300)/(122.58+297.941+89.177+40.302+0+40+160+100+300)</f>
        <v>19.113800474608691</v>
      </c>
      <c r="AC399" s="45">
        <f>(M399*'RAP TEMPLATE-GAS AVAILABILITY'!O398+N399*'RAP TEMPLATE-GAS AVAILABILITY'!P398+O399*'RAP TEMPLATE-GAS AVAILABILITY'!Q398+P399*'RAP TEMPLATE-GAS AVAILABILITY'!R398)/('RAP TEMPLATE-GAS AVAILABILITY'!O398+'RAP TEMPLATE-GAS AVAILABILITY'!P398+'RAP TEMPLATE-GAS AVAILABILITY'!Q398+'RAP TEMPLATE-GAS AVAILABILITY'!R398)</f>
        <v>18.763430935251797</v>
      </c>
    </row>
    <row r="400" spans="1:29" ht="15.75" x14ac:dyDescent="0.25">
      <c r="A400" s="33">
        <v>53082</v>
      </c>
      <c r="B400" s="14">
        <f>CHOOSE(CONTROL!$C$42, 19.0467, 19.0467) * CHOOSE(CONTROL!$C$21, $C$9, 100%, $E$9)</f>
        <v>19.046700000000001</v>
      </c>
      <c r="C400" s="14">
        <f>CHOOSE(CONTROL!$C$42, 19.0512, 19.0512) * CHOOSE(CONTROL!$C$21, $C$9, 100%, $E$9)</f>
        <v>19.051200000000001</v>
      </c>
      <c r="D400" s="14">
        <f>CHOOSE(CONTROL!$C$42, 19.2583, 19.2583) * CHOOSE(CONTROL!$C$21, $C$9, 100%, $E$9)</f>
        <v>19.258299999999998</v>
      </c>
      <c r="E400" s="14">
        <f>CHOOSE(CONTROL!$C$42, 19.2904, 19.2904) * CHOOSE(CONTROL!$C$21, $C$9, 100%, $E$9)</f>
        <v>19.290400000000002</v>
      </c>
      <c r="F400" s="14">
        <f>CHOOSE(CONTROL!$C$42, 19.0286, 19.0286)*CHOOSE(CONTROL!$C$21, $C$9, 100%, $E$9)</f>
        <v>19.028600000000001</v>
      </c>
      <c r="G400" s="14">
        <f>CHOOSE(CONTROL!$C$42, 19.0438, 19.0438)*CHOOSE(CONTROL!$C$21, $C$9, 100%, $E$9)</f>
        <v>19.043800000000001</v>
      </c>
      <c r="H400" s="14">
        <f>CHOOSE(CONTROL!$C$42, 19.2802, 19.2802) * CHOOSE(CONTROL!$C$21, $C$9, 100%, $E$9)</f>
        <v>19.280200000000001</v>
      </c>
      <c r="I400" s="14">
        <f>CHOOSE(CONTROL!$C$42, 19.1132, 19.1132)* CHOOSE(CONTROL!$C$21, $C$9, 100%, $E$9)</f>
        <v>19.113199999999999</v>
      </c>
      <c r="J400" s="14">
        <f>CHOOSE(CONTROL!$C$42, 19.0216, 19.0216)* CHOOSE(CONTROL!$C$21, $C$9, 100%, $E$9)</f>
        <v>19.021599999999999</v>
      </c>
      <c r="K400" s="53">
        <f>CHOOSE(CONTROL!$C$42, 19.1093, 19.1093) * CHOOSE(CONTROL!$C$21, $C$9, 100%, $E$9)</f>
        <v>19.109300000000001</v>
      </c>
      <c r="L400" s="14">
        <f>CHOOSE(CONTROL!$C$42, 19.8672, 19.8672) * CHOOSE(CONTROL!$C$21, $C$9, 100%, $E$9)</f>
        <v>19.8672</v>
      </c>
      <c r="M400" s="14">
        <f>CHOOSE(CONTROL!$C$42, 18.6396, 18.6396) * CHOOSE(CONTROL!$C$21, $C$9, 100%, $E$9)</f>
        <v>18.639600000000002</v>
      </c>
      <c r="N400" s="14">
        <f>CHOOSE(CONTROL!$C$42, 18.6545, 18.6545) * CHOOSE(CONTROL!$C$21, $C$9, 100%, $E$9)</f>
        <v>18.654499999999999</v>
      </c>
      <c r="O400" s="14">
        <f>CHOOSE(CONTROL!$C$42, 18.8928, 18.8928) * CHOOSE(CONTROL!$C$21, $C$9, 100%, $E$9)</f>
        <v>18.892800000000001</v>
      </c>
      <c r="P400" s="14">
        <f>CHOOSE(CONTROL!$C$42, 18.7282, 18.7282) * CHOOSE(CONTROL!$C$21, $C$9, 100%, $E$9)</f>
        <v>18.728200000000001</v>
      </c>
      <c r="Q400" s="14">
        <f>CHOOSE(CONTROL!$C$42, 19.4875, 19.4875) * CHOOSE(CONTROL!$C$21, $C$9, 100%, $E$9)</f>
        <v>19.487500000000001</v>
      </c>
      <c r="R400" s="14">
        <f>CHOOSE(CONTROL!$C$42, 20.1233, 20.1233) * CHOOSE(CONTROL!$C$21, $C$9, 100%, $E$9)</f>
        <v>20.1233</v>
      </c>
      <c r="S400" s="14">
        <f>CHOOSE(CONTROL!$C$42, 18.2927, 18.2927) * CHOOSE(CONTROL!$C$21, $C$9, 100%, $E$9)</f>
        <v>18.2927</v>
      </c>
      <c r="T40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00" s="57">
        <f>(1000*CHOOSE(CONTROL!$C$42, 695, 695)*CHOOSE(CONTROL!$C$42, 0.5599, 0.5599)*CHOOSE(CONTROL!$C$42, 30, 30))/1000000</f>
        <v>11.673914999999997</v>
      </c>
      <c r="V400" s="57">
        <f>(1000*CHOOSE(CONTROL!$C$42, 500, 500)*CHOOSE(CONTROL!$C$42, 0.275, 0.275)*CHOOSE(CONTROL!$C$42, 30, 30))/1000000</f>
        <v>4.125</v>
      </c>
      <c r="W400" s="57">
        <f>(1000*CHOOSE(CONTROL!$C$42, 0.1146, 0.1146)*CHOOSE(CONTROL!$C$42, 121.5, 121.5)*CHOOSE(CONTROL!$C$42, 30, 30))/1000000</f>
        <v>0.417717</v>
      </c>
      <c r="X400" s="57">
        <f>(30*0.1790888*245000/1000000)+(30*0.2374*100000/1000000)</f>
        <v>2.0285026799999999</v>
      </c>
      <c r="Y400" s="57"/>
      <c r="Z400" s="14"/>
      <c r="AA400" s="56"/>
      <c r="AB400" s="50">
        <f>(B400*141.293+C400*267.993+D400*115.016+E400*89.698+F400*40+G400*185+H400*0+I400*100+J400*300)/(141.293+267.993+115.016+89.698+0+40+185+100+300)</f>
        <v>19.083231280629541</v>
      </c>
      <c r="AC400" s="45">
        <f>(M400*'RAP TEMPLATE-GAS AVAILABILITY'!O399+N400*'RAP TEMPLATE-GAS AVAILABILITY'!P399+O400*'RAP TEMPLATE-GAS AVAILABILITY'!Q399+P400*'RAP TEMPLATE-GAS AVAILABILITY'!R399)/('RAP TEMPLATE-GAS AVAILABILITY'!O399+'RAP TEMPLATE-GAS AVAILABILITY'!P399+'RAP TEMPLATE-GAS AVAILABILITY'!Q399+'RAP TEMPLATE-GAS AVAILABILITY'!R399)</f>
        <v>18.72682014388489</v>
      </c>
    </row>
    <row r="401" spans="1:29" ht="15.75" x14ac:dyDescent="0.25">
      <c r="A401" s="33">
        <v>53113</v>
      </c>
      <c r="B401" s="14">
        <f>CHOOSE(CONTROL!$C$42, 19.2162, 19.2162) * CHOOSE(CONTROL!$C$21, $C$9, 100%, $E$9)</f>
        <v>19.216200000000001</v>
      </c>
      <c r="C401" s="14">
        <f>CHOOSE(CONTROL!$C$42, 19.2242, 19.2242) * CHOOSE(CONTROL!$C$21, $C$9, 100%, $E$9)</f>
        <v>19.2242</v>
      </c>
      <c r="D401" s="14">
        <f>CHOOSE(CONTROL!$C$42, 19.4281, 19.4281) * CHOOSE(CONTROL!$C$21, $C$9, 100%, $E$9)</f>
        <v>19.428100000000001</v>
      </c>
      <c r="E401" s="14">
        <f>CHOOSE(CONTROL!$C$42, 19.4596, 19.4596) * CHOOSE(CONTROL!$C$21, $C$9, 100%, $E$9)</f>
        <v>19.459599999999998</v>
      </c>
      <c r="F401" s="14">
        <f>CHOOSE(CONTROL!$C$42, 19.1969, 19.1969)*CHOOSE(CONTROL!$C$21, $C$9, 100%, $E$9)</f>
        <v>19.196899999999999</v>
      </c>
      <c r="G401" s="14">
        <f>CHOOSE(CONTROL!$C$42, 19.2126, 19.2126)*CHOOSE(CONTROL!$C$21, $C$9, 100%, $E$9)</f>
        <v>19.212599999999998</v>
      </c>
      <c r="H401" s="14">
        <f>CHOOSE(CONTROL!$C$42, 19.4482, 19.4482) * CHOOSE(CONTROL!$C$21, $C$9, 100%, $E$9)</f>
        <v>19.4482</v>
      </c>
      <c r="I401" s="14">
        <f>CHOOSE(CONTROL!$C$42, 19.2818, 19.2818)* CHOOSE(CONTROL!$C$21, $C$9, 100%, $E$9)</f>
        <v>19.2818</v>
      </c>
      <c r="J401" s="14">
        <f>CHOOSE(CONTROL!$C$42, 19.1899, 19.1899)* CHOOSE(CONTROL!$C$21, $C$9, 100%, $E$9)</f>
        <v>19.189900000000002</v>
      </c>
      <c r="K401" s="53">
        <f>CHOOSE(CONTROL!$C$42, 19.2779, 19.2779) * CHOOSE(CONTROL!$C$21, $C$9, 100%, $E$9)</f>
        <v>19.277899999999999</v>
      </c>
      <c r="L401" s="14">
        <f>CHOOSE(CONTROL!$C$42, 20.0352, 20.0352) * CHOOSE(CONTROL!$C$21, $C$9, 100%, $E$9)</f>
        <v>20.0352</v>
      </c>
      <c r="M401" s="14">
        <f>CHOOSE(CONTROL!$C$42, 18.8044, 18.8044) * CHOOSE(CONTROL!$C$21, $C$9, 100%, $E$9)</f>
        <v>18.804400000000001</v>
      </c>
      <c r="N401" s="14">
        <f>CHOOSE(CONTROL!$C$42, 18.8197, 18.8197) * CHOOSE(CONTROL!$C$21, $C$9, 100%, $E$9)</f>
        <v>18.819700000000001</v>
      </c>
      <c r="O401" s="14">
        <f>CHOOSE(CONTROL!$C$42, 19.0574, 19.0574) * CHOOSE(CONTROL!$C$21, $C$9, 100%, $E$9)</f>
        <v>19.057400000000001</v>
      </c>
      <c r="P401" s="14">
        <f>CHOOSE(CONTROL!$C$42, 18.8933, 18.8933) * CHOOSE(CONTROL!$C$21, $C$9, 100%, $E$9)</f>
        <v>18.8933</v>
      </c>
      <c r="Q401" s="14">
        <f>CHOOSE(CONTROL!$C$42, 19.6521, 19.6521) * CHOOSE(CONTROL!$C$21, $C$9, 100%, $E$9)</f>
        <v>19.652100000000001</v>
      </c>
      <c r="R401" s="14">
        <f>CHOOSE(CONTROL!$C$42, 20.2882, 20.2882) * CHOOSE(CONTROL!$C$21, $C$9, 100%, $E$9)</f>
        <v>20.2882</v>
      </c>
      <c r="S401" s="14">
        <f>CHOOSE(CONTROL!$C$42, 18.4542, 18.4542) * CHOOSE(CONTROL!$C$21, $C$9, 100%, $E$9)</f>
        <v>18.4542</v>
      </c>
      <c r="T40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01" s="57">
        <f>(1000*CHOOSE(CONTROL!$C$42, 695, 695)*CHOOSE(CONTROL!$C$42, 0.5599, 0.5599)*CHOOSE(CONTROL!$C$42, 31, 31))/1000000</f>
        <v>12.063045499999998</v>
      </c>
      <c r="V401" s="57">
        <f>(1000*CHOOSE(CONTROL!$C$42, 500, 500)*CHOOSE(CONTROL!$C$42, 0.275, 0.275)*CHOOSE(CONTROL!$C$42, 31, 31))/1000000</f>
        <v>4.2625000000000002</v>
      </c>
      <c r="W401" s="57">
        <f>(1000*CHOOSE(CONTROL!$C$42, 0.1146, 0.1146)*CHOOSE(CONTROL!$C$42, 121.5, 121.5)*CHOOSE(CONTROL!$C$42, 31, 31))/1000000</f>
        <v>0.43164089999999994</v>
      </c>
      <c r="X401" s="57">
        <f>(31*0.1790888*245000/1000000)+(31*0.2374*100000/1000000)</f>
        <v>2.0961194359999999</v>
      </c>
      <c r="Y401" s="57"/>
      <c r="Z401" s="14"/>
      <c r="AA401" s="56"/>
      <c r="AB401" s="50">
        <f>(B401*194.205+C401*267.466+D401*133.845+E401*53.484+F401*40+G401*185+H401*0+I401*100+J401*300)/(194.205+267.466+133.845+53.484+0+40+185+100+300)</f>
        <v>19.248187040109894</v>
      </c>
      <c r="AC401" s="45">
        <f>(M401*'RAP TEMPLATE-GAS AVAILABILITY'!O400+N401*'RAP TEMPLATE-GAS AVAILABILITY'!P400+O401*'RAP TEMPLATE-GAS AVAILABILITY'!Q400+P401*'RAP TEMPLATE-GAS AVAILABILITY'!R400)/('RAP TEMPLATE-GAS AVAILABILITY'!O400+'RAP TEMPLATE-GAS AVAILABILITY'!P400+'RAP TEMPLATE-GAS AVAILABILITY'!Q400+'RAP TEMPLATE-GAS AVAILABILITY'!R400)</f>
        <v>18.891699280575541</v>
      </c>
    </row>
    <row r="402" spans="1:29" ht="15.75" x14ac:dyDescent="0.25">
      <c r="A402" s="33">
        <v>53143</v>
      </c>
      <c r="B402" s="14">
        <f>CHOOSE(CONTROL!$C$42, 19.7609, 19.7609) * CHOOSE(CONTROL!$C$21, $C$9, 100%, $E$9)</f>
        <v>19.760899999999999</v>
      </c>
      <c r="C402" s="14">
        <f>CHOOSE(CONTROL!$C$42, 19.7689, 19.7689) * CHOOSE(CONTROL!$C$21, $C$9, 100%, $E$9)</f>
        <v>19.768899999999999</v>
      </c>
      <c r="D402" s="14">
        <f>CHOOSE(CONTROL!$C$42, 19.9729, 19.9729) * CHOOSE(CONTROL!$C$21, $C$9, 100%, $E$9)</f>
        <v>19.972899999999999</v>
      </c>
      <c r="E402" s="14">
        <f>CHOOSE(CONTROL!$C$42, 20.0043, 20.0043) * CHOOSE(CONTROL!$C$21, $C$9, 100%, $E$9)</f>
        <v>20.004300000000001</v>
      </c>
      <c r="F402" s="14">
        <f>CHOOSE(CONTROL!$C$42, 19.7421, 19.7421)*CHOOSE(CONTROL!$C$21, $C$9, 100%, $E$9)</f>
        <v>19.742100000000001</v>
      </c>
      <c r="G402" s="14">
        <f>CHOOSE(CONTROL!$C$42, 19.7578, 19.7578)*CHOOSE(CONTROL!$C$21, $C$9, 100%, $E$9)</f>
        <v>19.7578</v>
      </c>
      <c r="H402" s="14">
        <f>CHOOSE(CONTROL!$C$42, 19.993, 19.993) * CHOOSE(CONTROL!$C$21, $C$9, 100%, $E$9)</f>
        <v>19.992999999999999</v>
      </c>
      <c r="I402" s="14">
        <f>CHOOSE(CONTROL!$C$42, 19.8282, 19.8282)* CHOOSE(CONTROL!$C$21, $C$9, 100%, $E$9)</f>
        <v>19.828199999999999</v>
      </c>
      <c r="J402" s="14">
        <f>CHOOSE(CONTROL!$C$42, 19.7351, 19.7351)* CHOOSE(CONTROL!$C$21, $C$9, 100%, $E$9)</f>
        <v>19.735099999999999</v>
      </c>
      <c r="K402" s="53">
        <f>CHOOSE(CONTROL!$C$42, 19.8243, 19.8243) * CHOOSE(CONTROL!$C$21, $C$9, 100%, $E$9)</f>
        <v>19.824300000000001</v>
      </c>
      <c r="L402" s="14">
        <f>CHOOSE(CONTROL!$C$42, 20.58, 20.58) * CHOOSE(CONTROL!$C$21, $C$9, 100%, $E$9)</f>
        <v>20.58</v>
      </c>
      <c r="M402" s="14">
        <f>CHOOSE(CONTROL!$C$42, 19.3384, 19.3384) * CHOOSE(CONTROL!$C$21, $C$9, 100%, $E$9)</f>
        <v>19.3384</v>
      </c>
      <c r="N402" s="14">
        <f>CHOOSE(CONTROL!$C$42, 19.3538, 19.3538) * CHOOSE(CONTROL!$C$21, $C$9, 100%, $E$9)</f>
        <v>19.3538</v>
      </c>
      <c r="O402" s="14">
        <f>CHOOSE(CONTROL!$C$42, 19.591, 19.591) * CHOOSE(CONTROL!$C$21, $C$9, 100%, $E$9)</f>
        <v>19.591000000000001</v>
      </c>
      <c r="P402" s="14">
        <f>CHOOSE(CONTROL!$C$42, 19.4285, 19.4285) * CHOOSE(CONTROL!$C$21, $C$9, 100%, $E$9)</f>
        <v>19.4285</v>
      </c>
      <c r="Q402" s="14">
        <f>CHOOSE(CONTROL!$C$42, 20.1857, 20.1857) * CHOOSE(CONTROL!$C$21, $C$9, 100%, $E$9)</f>
        <v>20.185700000000001</v>
      </c>
      <c r="R402" s="14">
        <f>CHOOSE(CONTROL!$C$42, 20.8232, 20.8232) * CHOOSE(CONTROL!$C$21, $C$9, 100%, $E$9)</f>
        <v>20.8232</v>
      </c>
      <c r="S402" s="14">
        <f>CHOOSE(CONTROL!$C$42, 18.9776, 18.9776) * CHOOSE(CONTROL!$C$21, $C$9, 100%, $E$9)</f>
        <v>18.977599999999999</v>
      </c>
      <c r="T40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02" s="57">
        <f>(1000*CHOOSE(CONTROL!$C$42, 695, 695)*CHOOSE(CONTROL!$C$42, 0.5599, 0.5599)*CHOOSE(CONTROL!$C$42, 30, 30))/1000000</f>
        <v>11.673914999999997</v>
      </c>
      <c r="V402" s="57">
        <f>(1000*CHOOSE(CONTROL!$C$42, 500, 500)*CHOOSE(CONTROL!$C$42, 0.275, 0.275)*CHOOSE(CONTROL!$C$42, 30, 30))/1000000</f>
        <v>4.125</v>
      </c>
      <c r="W402" s="57">
        <f>(1000*CHOOSE(CONTROL!$C$42, 0.1146, 0.1146)*CHOOSE(CONTROL!$C$42, 121.5, 121.5)*CHOOSE(CONTROL!$C$42, 30, 30))/1000000</f>
        <v>0.417717</v>
      </c>
      <c r="X402" s="57">
        <f>(30*0.1790888*245000/1000000)+(30*0.2374*100000/1000000)</f>
        <v>2.0285026799999999</v>
      </c>
      <c r="Y402" s="57"/>
      <c r="Z402" s="14"/>
      <c r="AA402" s="56"/>
      <c r="AB402" s="50">
        <f>(B402*194.205+C402*267.466+D402*133.845+E402*53.484+F402*40+G402*185+H402*0+I402*100+J402*300)/(194.205+267.466+133.845+53.484+0+40+185+100+300)</f>
        <v>19.793237027943483</v>
      </c>
      <c r="AC402" s="45">
        <f>(M402*'RAP TEMPLATE-GAS AVAILABILITY'!O401+N402*'RAP TEMPLATE-GAS AVAILABILITY'!P401+O402*'RAP TEMPLATE-GAS AVAILABILITY'!Q401+P402*'RAP TEMPLATE-GAS AVAILABILITY'!R401)/('RAP TEMPLATE-GAS AVAILABILITY'!O401+'RAP TEMPLATE-GAS AVAILABILITY'!P401+'RAP TEMPLATE-GAS AVAILABILITY'!Q401+'RAP TEMPLATE-GAS AVAILABILITY'!R401)</f>
        <v>19.425782733812952</v>
      </c>
    </row>
    <row r="403" spans="1:29" ht="15.75" x14ac:dyDescent="0.25">
      <c r="A403" s="33">
        <v>53174</v>
      </c>
      <c r="B403" s="14">
        <f>CHOOSE(CONTROL!$C$42, 19.382, 19.382) * CHOOSE(CONTROL!$C$21, $C$9, 100%, $E$9)</f>
        <v>19.382000000000001</v>
      </c>
      <c r="C403" s="14">
        <f>CHOOSE(CONTROL!$C$42, 19.39, 19.39) * CHOOSE(CONTROL!$C$21, $C$9, 100%, $E$9)</f>
        <v>19.39</v>
      </c>
      <c r="D403" s="14">
        <f>CHOOSE(CONTROL!$C$42, 19.594, 19.594) * CHOOSE(CONTROL!$C$21, $C$9, 100%, $E$9)</f>
        <v>19.594000000000001</v>
      </c>
      <c r="E403" s="14">
        <f>CHOOSE(CONTROL!$C$42, 19.6254, 19.6254) * CHOOSE(CONTROL!$C$21, $C$9, 100%, $E$9)</f>
        <v>19.625399999999999</v>
      </c>
      <c r="F403" s="14">
        <f>CHOOSE(CONTROL!$C$42, 19.3636, 19.3636)*CHOOSE(CONTROL!$C$21, $C$9, 100%, $E$9)</f>
        <v>19.363600000000002</v>
      </c>
      <c r="G403" s="14">
        <f>CHOOSE(CONTROL!$C$42, 19.3795, 19.3795)*CHOOSE(CONTROL!$C$21, $C$9, 100%, $E$9)</f>
        <v>19.3795</v>
      </c>
      <c r="H403" s="14">
        <f>CHOOSE(CONTROL!$C$42, 19.6141, 19.6141) * CHOOSE(CONTROL!$C$21, $C$9, 100%, $E$9)</f>
        <v>19.614100000000001</v>
      </c>
      <c r="I403" s="14">
        <f>CHOOSE(CONTROL!$C$42, 19.4482, 19.4482)* CHOOSE(CONTROL!$C$21, $C$9, 100%, $E$9)</f>
        <v>19.4482</v>
      </c>
      <c r="J403" s="14">
        <f>CHOOSE(CONTROL!$C$42, 19.3566, 19.3566)* CHOOSE(CONTROL!$C$21, $C$9, 100%, $E$9)</f>
        <v>19.3566</v>
      </c>
      <c r="K403" s="53">
        <f>CHOOSE(CONTROL!$C$42, 19.4443, 19.4443) * CHOOSE(CONTROL!$C$21, $C$9, 100%, $E$9)</f>
        <v>19.444299999999998</v>
      </c>
      <c r="L403" s="14">
        <f>CHOOSE(CONTROL!$C$42, 20.2011, 20.2011) * CHOOSE(CONTROL!$C$21, $C$9, 100%, $E$9)</f>
        <v>20.2011</v>
      </c>
      <c r="M403" s="14">
        <f>CHOOSE(CONTROL!$C$42, 18.9677, 18.9677) * CHOOSE(CONTROL!$C$21, $C$9, 100%, $E$9)</f>
        <v>18.967700000000001</v>
      </c>
      <c r="N403" s="14">
        <f>CHOOSE(CONTROL!$C$42, 18.9833, 18.9833) * CHOOSE(CONTROL!$C$21, $C$9, 100%, $E$9)</f>
        <v>18.9833</v>
      </c>
      <c r="O403" s="14">
        <f>CHOOSE(CONTROL!$C$42, 19.2199, 19.2199) * CHOOSE(CONTROL!$C$21, $C$9, 100%, $E$9)</f>
        <v>19.219899999999999</v>
      </c>
      <c r="P403" s="14">
        <f>CHOOSE(CONTROL!$C$42, 19.0562, 19.0562) * CHOOSE(CONTROL!$C$21, $C$9, 100%, $E$9)</f>
        <v>19.0562</v>
      </c>
      <c r="Q403" s="14">
        <f>CHOOSE(CONTROL!$C$42, 19.8146, 19.8146) * CHOOSE(CONTROL!$C$21, $C$9, 100%, $E$9)</f>
        <v>19.814599999999999</v>
      </c>
      <c r="R403" s="14">
        <f>CHOOSE(CONTROL!$C$42, 20.4511, 20.4511) * CHOOSE(CONTROL!$C$21, $C$9, 100%, $E$9)</f>
        <v>20.4511</v>
      </c>
      <c r="S403" s="14">
        <f>CHOOSE(CONTROL!$C$42, 18.6136, 18.6136) * CHOOSE(CONTROL!$C$21, $C$9, 100%, $E$9)</f>
        <v>18.613600000000002</v>
      </c>
      <c r="T40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03" s="57">
        <f>(1000*CHOOSE(CONTROL!$C$42, 695, 695)*CHOOSE(CONTROL!$C$42, 0.5599, 0.5599)*CHOOSE(CONTROL!$C$42, 31, 31))/1000000</f>
        <v>12.063045499999998</v>
      </c>
      <c r="V403" s="57">
        <f>(1000*CHOOSE(CONTROL!$C$42, 500, 500)*CHOOSE(CONTROL!$C$42, 0.275, 0.275)*CHOOSE(CONTROL!$C$42, 31, 31))/1000000</f>
        <v>4.2625000000000002</v>
      </c>
      <c r="W403" s="57">
        <f>(1000*CHOOSE(CONTROL!$C$42, 0.1146, 0.1146)*CHOOSE(CONTROL!$C$42, 121.5, 121.5)*CHOOSE(CONTROL!$C$42, 31, 31))/1000000</f>
        <v>0.43164089999999994</v>
      </c>
      <c r="X403" s="57">
        <f>(31*0.1790888*245000/1000000)+(31*0.2374*100000/1000000)</f>
        <v>2.0961194359999999</v>
      </c>
      <c r="Y403" s="57"/>
      <c r="Z403" s="14"/>
      <c r="AA403" s="56"/>
      <c r="AB403" s="50">
        <f>(B403*194.205+C403*267.466+D403*133.845+E403*53.484+F403*40+G403*185+H403*0+I403*100+J403*300)/(194.205+267.466+133.845+53.484+0+40+185+100+300)</f>
        <v>19.414444563265306</v>
      </c>
      <c r="AC403" s="45">
        <f>(M403*'RAP TEMPLATE-GAS AVAILABILITY'!O402+N403*'RAP TEMPLATE-GAS AVAILABILITY'!P402+O403*'RAP TEMPLATE-GAS AVAILABILITY'!Q402+P403*'RAP TEMPLATE-GAS AVAILABILITY'!R402)/('RAP TEMPLATE-GAS AVAILABILITY'!O402+'RAP TEMPLATE-GAS AVAILABILITY'!P402+'RAP TEMPLATE-GAS AVAILABILITY'!Q402+'RAP TEMPLATE-GAS AVAILABILITY'!R402)</f>
        <v>19.054786330935254</v>
      </c>
    </row>
    <row r="404" spans="1:29" ht="15.75" x14ac:dyDescent="0.25">
      <c r="A404" s="33">
        <v>53205</v>
      </c>
      <c r="B404" s="14">
        <f>CHOOSE(CONTROL!$C$42, 18.4252, 18.4252) * CHOOSE(CONTROL!$C$21, $C$9, 100%, $E$9)</f>
        <v>18.4252</v>
      </c>
      <c r="C404" s="14">
        <f>CHOOSE(CONTROL!$C$42, 18.4333, 18.4333) * CHOOSE(CONTROL!$C$21, $C$9, 100%, $E$9)</f>
        <v>18.433299999999999</v>
      </c>
      <c r="D404" s="14">
        <f>CHOOSE(CONTROL!$C$42, 18.6372, 18.6372) * CHOOSE(CONTROL!$C$21, $C$9, 100%, $E$9)</f>
        <v>18.6372</v>
      </c>
      <c r="E404" s="14">
        <f>CHOOSE(CONTROL!$C$42, 18.6687, 18.6687) * CHOOSE(CONTROL!$C$21, $C$9, 100%, $E$9)</f>
        <v>18.668700000000001</v>
      </c>
      <c r="F404" s="14">
        <f>CHOOSE(CONTROL!$C$42, 18.4071, 18.4071)*CHOOSE(CONTROL!$C$21, $C$9, 100%, $E$9)</f>
        <v>18.4071</v>
      </c>
      <c r="G404" s="14">
        <f>CHOOSE(CONTROL!$C$42, 18.4231, 18.4231)*CHOOSE(CONTROL!$C$21, $C$9, 100%, $E$9)</f>
        <v>18.423100000000002</v>
      </c>
      <c r="H404" s="14">
        <f>CHOOSE(CONTROL!$C$42, 18.6573, 18.6573) * CHOOSE(CONTROL!$C$21, $C$9, 100%, $E$9)</f>
        <v>18.657299999999999</v>
      </c>
      <c r="I404" s="14">
        <f>CHOOSE(CONTROL!$C$42, 18.4884, 18.4884)* CHOOSE(CONTROL!$C$21, $C$9, 100%, $E$9)</f>
        <v>18.488399999999999</v>
      </c>
      <c r="J404" s="14">
        <f>CHOOSE(CONTROL!$C$42, 18.4001, 18.4001)* CHOOSE(CONTROL!$C$21, $C$9, 100%, $E$9)</f>
        <v>18.400099999999998</v>
      </c>
      <c r="K404" s="53">
        <f>CHOOSE(CONTROL!$C$42, 18.4845, 18.4845) * CHOOSE(CONTROL!$C$21, $C$9, 100%, $E$9)</f>
        <v>18.484500000000001</v>
      </c>
      <c r="L404" s="14">
        <f>CHOOSE(CONTROL!$C$42, 19.2443, 19.2443) * CHOOSE(CONTROL!$C$21, $C$9, 100%, $E$9)</f>
        <v>19.244299999999999</v>
      </c>
      <c r="M404" s="14">
        <f>CHOOSE(CONTROL!$C$42, 18.0308, 18.0308) * CHOOSE(CONTROL!$C$21, $C$9, 100%, $E$9)</f>
        <v>18.030799999999999</v>
      </c>
      <c r="N404" s="14">
        <f>CHOOSE(CONTROL!$C$42, 18.0464, 18.0464) * CHOOSE(CONTROL!$C$21, $C$9, 100%, $E$9)</f>
        <v>18.046399999999998</v>
      </c>
      <c r="O404" s="14">
        <f>CHOOSE(CONTROL!$C$42, 18.2827, 18.2827) * CHOOSE(CONTROL!$C$21, $C$9, 100%, $E$9)</f>
        <v>18.282699999999998</v>
      </c>
      <c r="P404" s="14">
        <f>CHOOSE(CONTROL!$C$42, 18.1162, 18.1162) * CHOOSE(CONTROL!$C$21, $C$9, 100%, $E$9)</f>
        <v>18.116199999999999</v>
      </c>
      <c r="Q404" s="14">
        <f>CHOOSE(CONTROL!$C$42, 18.8774, 18.8774) * CHOOSE(CONTROL!$C$21, $C$9, 100%, $E$9)</f>
        <v>18.877400000000002</v>
      </c>
      <c r="R404" s="14">
        <f>CHOOSE(CONTROL!$C$42, 19.5116, 19.5116) * CHOOSE(CONTROL!$C$21, $C$9, 100%, $E$9)</f>
        <v>19.511600000000001</v>
      </c>
      <c r="S404" s="14">
        <f>CHOOSE(CONTROL!$C$42, 17.6942, 17.6942) * CHOOSE(CONTROL!$C$21, $C$9, 100%, $E$9)</f>
        <v>17.694199999999999</v>
      </c>
      <c r="T40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04" s="57">
        <f>(1000*CHOOSE(CONTROL!$C$42, 695, 695)*CHOOSE(CONTROL!$C$42, 0.5599, 0.5599)*CHOOSE(CONTROL!$C$42, 31, 31))/1000000</f>
        <v>12.063045499999998</v>
      </c>
      <c r="V404" s="57">
        <f>(1000*CHOOSE(CONTROL!$C$42, 500, 500)*CHOOSE(CONTROL!$C$42, 0.275, 0.275)*CHOOSE(CONTROL!$C$42, 31, 31))/1000000</f>
        <v>4.2625000000000002</v>
      </c>
      <c r="W404" s="57">
        <f>(1000*CHOOSE(CONTROL!$C$42, 0.1146, 0.1146)*CHOOSE(CONTROL!$C$42, 121.5, 121.5)*CHOOSE(CONTROL!$C$42, 31, 31))/1000000</f>
        <v>0.43164089999999994</v>
      </c>
      <c r="X404" s="57">
        <f>(31*0.1790888*245000/1000000)+(31*0.2374*100000/1000000)</f>
        <v>2.0961194359999999</v>
      </c>
      <c r="Y404" s="57"/>
      <c r="Z404" s="14"/>
      <c r="AA404" s="56"/>
      <c r="AB404" s="50">
        <f>(B404*194.205+C404*267.466+D404*133.845+E404*53.484+F404*40+G404*185+H404*0+I404*100+J404*300)/(194.205+267.466+133.845+53.484+0+40+185+100+300)</f>
        <v>18.45757242433281</v>
      </c>
      <c r="AC404" s="45">
        <f>(M404*'RAP TEMPLATE-GAS AVAILABILITY'!O403+N404*'RAP TEMPLATE-GAS AVAILABILITY'!P403+O404*'RAP TEMPLATE-GAS AVAILABILITY'!Q403+P404*'RAP TEMPLATE-GAS AVAILABILITY'!R403)/('RAP TEMPLATE-GAS AVAILABILITY'!O403+'RAP TEMPLATE-GAS AVAILABILITY'!P403+'RAP TEMPLATE-GAS AVAILABILITY'!Q403+'RAP TEMPLATE-GAS AVAILABILITY'!R403)</f>
        <v>18.117356115107913</v>
      </c>
    </row>
    <row r="405" spans="1:29" ht="15.75" x14ac:dyDescent="0.25">
      <c r="A405" s="33">
        <v>53235</v>
      </c>
      <c r="B405" s="14">
        <f>CHOOSE(CONTROL!$C$42, 17.2559, 17.2559) * CHOOSE(CONTROL!$C$21, $C$9, 100%, $E$9)</f>
        <v>17.2559</v>
      </c>
      <c r="C405" s="14">
        <f>CHOOSE(CONTROL!$C$42, 17.2639, 17.2639) * CHOOSE(CONTROL!$C$21, $C$9, 100%, $E$9)</f>
        <v>17.2639</v>
      </c>
      <c r="D405" s="14">
        <f>CHOOSE(CONTROL!$C$42, 17.4678, 17.4678) * CHOOSE(CONTROL!$C$21, $C$9, 100%, $E$9)</f>
        <v>17.4678</v>
      </c>
      <c r="E405" s="14">
        <f>CHOOSE(CONTROL!$C$42, 17.4993, 17.4993) * CHOOSE(CONTROL!$C$21, $C$9, 100%, $E$9)</f>
        <v>17.499300000000002</v>
      </c>
      <c r="F405" s="14">
        <f>CHOOSE(CONTROL!$C$42, 17.2378, 17.2378)*CHOOSE(CONTROL!$C$21, $C$9, 100%, $E$9)</f>
        <v>17.2378</v>
      </c>
      <c r="G405" s="14">
        <f>CHOOSE(CONTROL!$C$42, 17.2537, 17.2537)*CHOOSE(CONTROL!$C$21, $C$9, 100%, $E$9)</f>
        <v>17.253699999999998</v>
      </c>
      <c r="H405" s="14">
        <f>CHOOSE(CONTROL!$C$42, 17.4879, 17.4879) * CHOOSE(CONTROL!$C$21, $C$9, 100%, $E$9)</f>
        <v>17.4879</v>
      </c>
      <c r="I405" s="14">
        <f>CHOOSE(CONTROL!$C$42, 17.3153, 17.3153)* CHOOSE(CONTROL!$C$21, $C$9, 100%, $E$9)</f>
        <v>17.315300000000001</v>
      </c>
      <c r="J405" s="14">
        <f>CHOOSE(CONTROL!$C$42, 17.2308, 17.2308)* CHOOSE(CONTROL!$C$21, $C$9, 100%, $E$9)</f>
        <v>17.230799999999999</v>
      </c>
      <c r="K405" s="53">
        <f>CHOOSE(CONTROL!$C$42, 17.3114, 17.3114) * CHOOSE(CONTROL!$C$21, $C$9, 100%, $E$9)</f>
        <v>17.311399999999999</v>
      </c>
      <c r="L405" s="14">
        <f>CHOOSE(CONTROL!$C$42, 18.0749, 18.0749) * CHOOSE(CONTROL!$C$21, $C$9, 100%, $E$9)</f>
        <v>18.0749</v>
      </c>
      <c r="M405" s="14">
        <f>CHOOSE(CONTROL!$C$42, 16.8854, 16.8854) * CHOOSE(CONTROL!$C$21, $C$9, 100%, $E$9)</f>
        <v>16.885400000000001</v>
      </c>
      <c r="N405" s="14">
        <f>CHOOSE(CONTROL!$C$42, 16.901, 16.901) * CHOOSE(CONTROL!$C$21, $C$9, 100%, $E$9)</f>
        <v>16.901</v>
      </c>
      <c r="O405" s="14">
        <f>CHOOSE(CONTROL!$C$42, 17.1373, 17.1373) * CHOOSE(CONTROL!$C$21, $C$9, 100%, $E$9)</f>
        <v>17.1373</v>
      </c>
      <c r="P405" s="14">
        <f>CHOOSE(CONTROL!$C$42, 16.9672, 16.9672) * CHOOSE(CONTROL!$C$21, $C$9, 100%, $E$9)</f>
        <v>16.967199999999998</v>
      </c>
      <c r="Q405" s="14">
        <f>CHOOSE(CONTROL!$C$42, 17.732, 17.732) * CHOOSE(CONTROL!$C$21, $C$9, 100%, $E$9)</f>
        <v>17.731999999999999</v>
      </c>
      <c r="R405" s="14">
        <f>CHOOSE(CONTROL!$C$42, 18.3633, 18.3633) * CHOOSE(CONTROL!$C$21, $C$9, 100%, $E$9)</f>
        <v>18.363299999999999</v>
      </c>
      <c r="S405" s="14">
        <f>CHOOSE(CONTROL!$C$42, 16.5705, 16.5705) * CHOOSE(CONTROL!$C$21, $C$9, 100%, $E$9)</f>
        <v>16.570499999999999</v>
      </c>
      <c r="T40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05" s="57">
        <f>(1000*CHOOSE(CONTROL!$C$42, 695, 695)*CHOOSE(CONTROL!$C$42, 0.5599, 0.5599)*CHOOSE(CONTROL!$C$42, 30, 30))/1000000</f>
        <v>11.673914999999997</v>
      </c>
      <c r="V405" s="57">
        <f>(1000*CHOOSE(CONTROL!$C$42, 500, 500)*CHOOSE(CONTROL!$C$42, 0.275, 0.275)*CHOOSE(CONTROL!$C$42, 30, 30))/1000000</f>
        <v>4.125</v>
      </c>
      <c r="W405" s="57">
        <f>(1000*CHOOSE(CONTROL!$C$42, 0.1146, 0.1146)*CHOOSE(CONTROL!$C$42, 121.5, 121.5)*CHOOSE(CONTROL!$C$42, 30, 30))/1000000</f>
        <v>0.417717</v>
      </c>
      <c r="X405" s="57">
        <f>(30*0.1790888*245000/1000000)+(30*0.2374*100000/1000000)</f>
        <v>2.0285026799999999</v>
      </c>
      <c r="Y405" s="57"/>
      <c r="Z405" s="14"/>
      <c r="AA405" s="56"/>
      <c r="AB405" s="50">
        <f>(B405*194.205+C405*267.466+D405*133.845+E405*53.484+F405*40+G405*185+H405*0+I405*100+J405*300)/(194.205+267.466+133.845+53.484+0+40+185+100+300)</f>
        <v>17.287923931789635</v>
      </c>
      <c r="AC405" s="45">
        <f>(M405*'RAP TEMPLATE-GAS AVAILABILITY'!O404+N405*'RAP TEMPLATE-GAS AVAILABILITY'!P404+O405*'RAP TEMPLATE-GAS AVAILABILITY'!Q404+P405*'RAP TEMPLATE-GAS AVAILABILITY'!R404)/('RAP TEMPLATE-GAS AVAILABILITY'!O404+'RAP TEMPLATE-GAS AVAILABILITY'!P404+'RAP TEMPLATE-GAS AVAILABILITY'!Q404+'RAP TEMPLATE-GAS AVAILABILITY'!R404)</f>
        <v>16.971438129496402</v>
      </c>
    </row>
    <row r="406" spans="1:29" ht="15.75" x14ac:dyDescent="0.25">
      <c r="A406" s="33">
        <v>53266</v>
      </c>
      <c r="B406" s="14">
        <f>CHOOSE(CONTROL!$C$42, 16.904, 16.904) * CHOOSE(CONTROL!$C$21, $C$9, 100%, $E$9)</f>
        <v>16.904</v>
      </c>
      <c r="C406" s="14">
        <f>CHOOSE(CONTROL!$C$42, 16.9093, 16.9093) * CHOOSE(CONTROL!$C$21, $C$9, 100%, $E$9)</f>
        <v>16.909300000000002</v>
      </c>
      <c r="D406" s="14">
        <f>CHOOSE(CONTROL!$C$42, 17.1182, 17.1182) * CHOOSE(CONTROL!$C$21, $C$9, 100%, $E$9)</f>
        <v>17.118200000000002</v>
      </c>
      <c r="E406" s="14">
        <f>CHOOSE(CONTROL!$C$42, 17.1473, 17.1473) * CHOOSE(CONTROL!$C$21, $C$9, 100%, $E$9)</f>
        <v>17.147300000000001</v>
      </c>
      <c r="F406" s="14">
        <f>CHOOSE(CONTROL!$C$42, 16.888, 16.888)*CHOOSE(CONTROL!$C$21, $C$9, 100%, $E$9)</f>
        <v>16.888000000000002</v>
      </c>
      <c r="G406" s="14">
        <f>CHOOSE(CONTROL!$C$42, 16.9036, 16.9036)*CHOOSE(CONTROL!$C$21, $C$9, 100%, $E$9)</f>
        <v>16.903600000000001</v>
      </c>
      <c r="H406" s="14">
        <f>CHOOSE(CONTROL!$C$42, 17.1378, 17.1378) * CHOOSE(CONTROL!$C$21, $C$9, 100%, $E$9)</f>
        <v>17.137799999999999</v>
      </c>
      <c r="I406" s="14">
        <f>CHOOSE(CONTROL!$C$42, 16.9641, 16.9641)* CHOOSE(CONTROL!$C$21, $C$9, 100%, $E$9)</f>
        <v>16.964099999999998</v>
      </c>
      <c r="J406" s="14">
        <f>CHOOSE(CONTROL!$C$42, 16.881, 16.881)* CHOOSE(CONTROL!$C$21, $C$9, 100%, $E$9)</f>
        <v>16.881</v>
      </c>
      <c r="K406" s="53">
        <f>CHOOSE(CONTROL!$C$42, 16.9602, 16.9602) * CHOOSE(CONTROL!$C$21, $C$9, 100%, $E$9)</f>
        <v>16.9602</v>
      </c>
      <c r="L406" s="14">
        <f>CHOOSE(CONTROL!$C$42, 17.7248, 17.7248) * CHOOSE(CONTROL!$C$21, $C$9, 100%, $E$9)</f>
        <v>17.724799999999998</v>
      </c>
      <c r="M406" s="14">
        <f>CHOOSE(CONTROL!$C$42, 16.5428, 16.5428) * CHOOSE(CONTROL!$C$21, $C$9, 100%, $E$9)</f>
        <v>16.5428</v>
      </c>
      <c r="N406" s="14">
        <f>CHOOSE(CONTROL!$C$42, 16.5581, 16.5581) * CHOOSE(CONTROL!$C$21, $C$9, 100%, $E$9)</f>
        <v>16.5581</v>
      </c>
      <c r="O406" s="14">
        <f>CHOOSE(CONTROL!$C$42, 16.7943, 16.7943) * CHOOSE(CONTROL!$C$21, $C$9, 100%, $E$9)</f>
        <v>16.7943</v>
      </c>
      <c r="P406" s="14">
        <f>CHOOSE(CONTROL!$C$42, 16.6232, 16.6232) * CHOOSE(CONTROL!$C$21, $C$9, 100%, $E$9)</f>
        <v>16.623200000000001</v>
      </c>
      <c r="Q406" s="14">
        <f>CHOOSE(CONTROL!$C$42, 17.389, 17.389) * CHOOSE(CONTROL!$C$21, $C$9, 100%, $E$9)</f>
        <v>17.388999999999999</v>
      </c>
      <c r="R406" s="14">
        <f>CHOOSE(CONTROL!$C$42, 18.0195, 18.0195) * CHOOSE(CONTROL!$C$21, $C$9, 100%, $E$9)</f>
        <v>18.019500000000001</v>
      </c>
      <c r="S406" s="14">
        <f>CHOOSE(CONTROL!$C$42, 16.2341, 16.2341) * CHOOSE(CONTROL!$C$21, $C$9, 100%, $E$9)</f>
        <v>16.234100000000002</v>
      </c>
      <c r="T40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06" s="57">
        <f>(1000*CHOOSE(CONTROL!$C$42, 695, 695)*CHOOSE(CONTROL!$C$42, 0.5599, 0.5599)*CHOOSE(CONTROL!$C$42, 31, 31))/1000000</f>
        <v>12.063045499999998</v>
      </c>
      <c r="V406" s="57">
        <f>(1000*CHOOSE(CONTROL!$C$42, 500, 500)*CHOOSE(CONTROL!$C$42, 0.275, 0.275)*CHOOSE(CONTROL!$C$42, 31, 31))/1000000</f>
        <v>4.2625000000000002</v>
      </c>
      <c r="W406" s="57">
        <f>(1000*CHOOSE(CONTROL!$C$42, 0.1146, 0.1146)*CHOOSE(CONTROL!$C$42, 121.5, 121.5)*CHOOSE(CONTROL!$C$42, 31, 31))/1000000</f>
        <v>0.43164089999999994</v>
      </c>
      <c r="X406" s="57">
        <f>(31*0.1790888*245000/1000000)+(31*0.2374*100000/1000000)</f>
        <v>2.0961194359999999</v>
      </c>
      <c r="Y406" s="57"/>
      <c r="Z406" s="14"/>
      <c r="AA406" s="56"/>
      <c r="AB406" s="50">
        <f>(B406*131.881+C406*277.167+D406*79.08+E406*125.872+F406*40+G406*185+H406*0+I406*100+J406*300)/(131.881+277.167+79.08+125.872+0+40+185+100+300)</f>
        <v>16.942279724535918</v>
      </c>
      <c r="AC406" s="45">
        <f>(M406*'RAP TEMPLATE-GAS AVAILABILITY'!O405+N406*'RAP TEMPLATE-GAS AVAILABILITY'!P405+O406*'RAP TEMPLATE-GAS AVAILABILITY'!Q405+P406*'RAP TEMPLATE-GAS AVAILABILITY'!R405)/('RAP TEMPLATE-GAS AVAILABILITY'!O405+'RAP TEMPLATE-GAS AVAILABILITY'!P405+'RAP TEMPLATE-GAS AVAILABILITY'!Q405+'RAP TEMPLATE-GAS AVAILABILITY'!R405)</f>
        <v>16.628455395683453</v>
      </c>
    </row>
    <row r="407" spans="1:29" ht="15.75" x14ac:dyDescent="0.25">
      <c r="A407" s="33">
        <v>53296</v>
      </c>
      <c r="B407" s="14">
        <f>CHOOSE(CONTROL!$C$42, 17.3486, 17.3486) * CHOOSE(CONTROL!$C$21, $C$9, 100%, $E$9)</f>
        <v>17.348600000000001</v>
      </c>
      <c r="C407" s="14">
        <f>CHOOSE(CONTROL!$C$42, 17.3537, 17.3537) * CHOOSE(CONTROL!$C$21, $C$9, 100%, $E$9)</f>
        <v>17.3537</v>
      </c>
      <c r="D407" s="14">
        <f>CHOOSE(CONTROL!$C$42, 17.4175, 17.4175) * CHOOSE(CONTROL!$C$21, $C$9, 100%, $E$9)</f>
        <v>17.4175</v>
      </c>
      <c r="E407" s="14">
        <f>CHOOSE(CONTROL!$C$42, 17.4516, 17.4516) * CHOOSE(CONTROL!$C$21, $C$9, 100%, $E$9)</f>
        <v>17.451599999999999</v>
      </c>
      <c r="F407" s="14">
        <f>CHOOSE(CONTROL!$C$42, 17.351, 17.351)*CHOOSE(CONTROL!$C$21, $C$9, 100%, $E$9)</f>
        <v>17.350999999999999</v>
      </c>
      <c r="G407" s="14">
        <f>CHOOSE(CONTROL!$C$42, 17.367, 17.367)*CHOOSE(CONTROL!$C$21, $C$9, 100%, $E$9)</f>
        <v>17.367000000000001</v>
      </c>
      <c r="H407" s="14">
        <f>CHOOSE(CONTROL!$C$42, 17.4408, 17.4408) * CHOOSE(CONTROL!$C$21, $C$9, 100%, $E$9)</f>
        <v>17.440799999999999</v>
      </c>
      <c r="I407" s="14">
        <f>CHOOSE(CONTROL!$C$42, 17.4158, 17.4158)* CHOOSE(CONTROL!$C$21, $C$9, 100%, $E$9)</f>
        <v>17.415800000000001</v>
      </c>
      <c r="J407" s="14">
        <f>CHOOSE(CONTROL!$C$42, 17.344, 17.344)* CHOOSE(CONTROL!$C$21, $C$9, 100%, $E$9)</f>
        <v>17.344000000000001</v>
      </c>
      <c r="K407" s="53">
        <f>CHOOSE(CONTROL!$C$42, 17.4119, 17.4119) * CHOOSE(CONTROL!$C$21, $C$9, 100%, $E$9)</f>
        <v>17.411899999999999</v>
      </c>
      <c r="L407" s="14">
        <f>CHOOSE(CONTROL!$C$42, 18.0278, 18.0278) * CHOOSE(CONTROL!$C$21, $C$9, 100%, $E$9)</f>
        <v>18.027799999999999</v>
      </c>
      <c r="M407" s="14">
        <f>CHOOSE(CONTROL!$C$42, 16.9963, 16.9963) * CHOOSE(CONTROL!$C$21, $C$9, 100%, $E$9)</f>
        <v>16.996300000000002</v>
      </c>
      <c r="N407" s="14">
        <f>CHOOSE(CONTROL!$C$42, 17.012, 17.012) * CHOOSE(CONTROL!$C$21, $C$9, 100%, $E$9)</f>
        <v>17.012</v>
      </c>
      <c r="O407" s="14">
        <f>CHOOSE(CONTROL!$C$42, 17.0911, 17.0911) * CHOOSE(CONTROL!$C$21, $C$9, 100%, $E$9)</f>
        <v>17.091100000000001</v>
      </c>
      <c r="P407" s="14">
        <f>CHOOSE(CONTROL!$C$42, 17.0656, 17.0656) * CHOOSE(CONTROL!$C$21, $C$9, 100%, $E$9)</f>
        <v>17.0656</v>
      </c>
      <c r="Q407" s="14">
        <f>CHOOSE(CONTROL!$C$42, 17.6858, 17.6858) * CHOOSE(CONTROL!$C$21, $C$9, 100%, $E$9)</f>
        <v>17.6858</v>
      </c>
      <c r="R407" s="14">
        <f>CHOOSE(CONTROL!$C$42, 18.3171, 18.3171) * CHOOSE(CONTROL!$C$21, $C$9, 100%, $E$9)</f>
        <v>18.3171</v>
      </c>
      <c r="S407" s="14">
        <f>CHOOSE(CONTROL!$C$42, 16.6617, 16.6617) * CHOOSE(CONTROL!$C$21, $C$9, 100%, $E$9)</f>
        <v>16.6617</v>
      </c>
      <c r="T40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07" s="57">
        <f>(1000*CHOOSE(CONTROL!$C$42, 695, 695)*CHOOSE(CONTROL!$C$42, 0.5599, 0.5599)*CHOOSE(CONTROL!$C$42, 30, 30))/1000000</f>
        <v>11.673914999999997</v>
      </c>
      <c r="V407" s="57">
        <f>(1000*CHOOSE(CONTROL!$C$42, 500, 500)*CHOOSE(CONTROL!$C$42, 0.275, 0.275)*CHOOSE(CONTROL!$C$42, 30, 30))/1000000</f>
        <v>4.125</v>
      </c>
      <c r="W407" s="57">
        <f>(1000*CHOOSE(CONTROL!$C$42, 0.1146, 0.1146)*CHOOSE(CONTROL!$C$42, 121.5, 121.5)*CHOOSE(CONTROL!$C$42, 30, 30))/1000000</f>
        <v>0.417717</v>
      </c>
      <c r="X407" s="57">
        <f>(30*0.1790888*100000/1000000)+(30*0.2374*100000/1000000)</f>
        <v>1.2494664</v>
      </c>
      <c r="Y407" s="57"/>
      <c r="Z407" s="14"/>
      <c r="AA407" s="56"/>
      <c r="AB407" s="50">
        <f>(B407*122.58+C407*297.941+D407*89.177+E407*40.302+F407*40+G407*160+H407*0+I407*100+J407*300)/(122.58+297.941+89.177+40.302+0+40+160+100+300)</f>
        <v>17.36616078295652</v>
      </c>
      <c r="AC407" s="45">
        <f>(M407*'RAP TEMPLATE-GAS AVAILABILITY'!O406+N407*'RAP TEMPLATE-GAS AVAILABILITY'!P406+O407*'RAP TEMPLATE-GAS AVAILABILITY'!Q406+P407*'RAP TEMPLATE-GAS AVAILABILITY'!R406)/('RAP TEMPLATE-GAS AVAILABILITY'!O406+'RAP TEMPLATE-GAS AVAILABILITY'!P406+'RAP TEMPLATE-GAS AVAILABILITY'!Q406+'RAP TEMPLATE-GAS AVAILABILITY'!R406)</f>
        <v>17.050141726618705</v>
      </c>
    </row>
    <row r="408" spans="1:29" ht="15.75" x14ac:dyDescent="0.25">
      <c r="A408" s="33">
        <v>53327</v>
      </c>
      <c r="B408" s="14">
        <f>CHOOSE(CONTROL!$C$42, 18.5308, 18.5308) * CHOOSE(CONTROL!$C$21, $C$9, 100%, $E$9)</f>
        <v>18.530799999999999</v>
      </c>
      <c r="C408" s="14">
        <f>CHOOSE(CONTROL!$C$42, 18.5358, 18.5358) * CHOOSE(CONTROL!$C$21, $C$9, 100%, $E$9)</f>
        <v>18.535799999999998</v>
      </c>
      <c r="D408" s="14">
        <f>CHOOSE(CONTROL!$C$42, 18.5997, 18.5997) * CHOOSE(CONTROL!$C$21, $C$9, 100%, $E$9)</f>
        <v>18.599699999999999</v>
      </c>
      <c r="E408" s="14">
        <f>CHOOSE(CONTROL!$C$42, 18.6338, 18.6338) * CHOOSE(CONTROL!$C$21, $C$9, 100%, $E$9)</f>
        <v>18.633800000000001</v>
      </c>
      <c r="F408" s="14">
        <f>CHOOSE(CONTROL!$C$42, 18.5354, 18.5354)*CHOOSE(CONTROL!$C$21, $C$9, 100%, $E$9)</f>
        <v>18.535399999999999</v>
      </c>
      <c r="G408" s="14">
        <f>CHOOSE(CONTROL!$C$42, 18.552, 18.552)*CHOOSE(CONTROL!$C$21, $C$9, 100%, $E$9)</f>
        <v>18.552</v>
      </c>
      <c r="H408" s="14">
        <f>CHOOSE(CONTROL!$C$42, 18.623, 18.623) * CHOOSE(CONTROL!$C$21, $C$9, 100%, $E$9)</f>
        <v>18.623000000000001</v>
      </c>
      <c r="I408" s="14">
        <f>CHOOSE(CONTROL!$C$42, 18.6017, 18.6017)* CHOOSE(CONTROL!$C$21, $C$9, 100%, $E$9)</f>
        <v>18.601700000000001</v>
      </c>
      <c r="J408" s="14">
        <f>CHOOSE(CONTROL!$C$42, 18.5284, 18.5284)* CHOOSE(CONTROL!$C$21, $C$9, 100%, $E$9)</f>
        <v>18.528400000000001</v>
      </c>
      <c r="K408" s="53">
        <f>CHOOSE(CONTROL!$C$42, 18.5978, 18.5978) * CHOOSE(CONTROL!$C$21, $C$9, 100%, $E$9)</f>
        <v>18.597799999999999</v>
      </c>
      <c r="L408" s="14">
        <f>CHOOSE(CONTROL!$C$42, 19.21, 19.21) * CHOOSE(CONTROL!$C$21, $C$9, 100%, $E$9)</f>
        <v>19.21</v>
      </c>
      <c r="M408" s="14">
        <f>CHOOSE(CONTROL!$C$42, 18.1565, 18.1565) * CHOOSE(CONTROL!$C$21, $C$9, 100%, $E$9)</f>
        <v>18.156500000000001</v>
      </c>
      <c r="N408" s="14">
        <f>CHOOSE(CONTROL!$C$42, 18.1727, 18.1727) * CHOOSE(CONTROL!$C$21, $C$9, 100%, $E$9)</f>
        <v>18.172699999999999</v>
      </c>
      <c r="O408" s="14">
        <f>CHOOSE(CONTROL!$C$42, 18.2491, 18.2491) * CHOOSE(CONTROL!$C$21, $C$9, 100%, $E$9)</f>
        <v>18.249099999999999</v>
      </c>
      <c r="P408" s="14">
        <f>CHOOSE(CONTROL!$C$42, 18.2271, 18.2271) * CHOOSE(CONTROL!$C$21, $C$9, 100%, $E$9)</f>
        <v>18.2271</v>
      </c>
      <c r="Q408" s="14">
        <f>CHOOSE(CONTROL!$C$42, 18.8438, 18.8438) * CHOOSE(CONTROL!$C$21, $C$9, 100%, $E$9)</f>
        <v>18.843800000000002</v>
      </c>
      <c r="R408" s="14">
        <f>CHOOSE(CONTROL!$C$42, 19.4779, 19.4779) * CHOOSE(CONTROL!$C$21, $C$9, 100%, $E$9)</f>
        <v>19.477900000000002</v>
      </c>
      <c r="S408" s="14">
        <f>CHOOSE(CONTROL!$C$42, 17.7977, 17.7977) * CHOOSE(CONTROL!$C$21, $C$9, 100%, $E$9)</f>
        <v>17.797699999999999</v>
      </c>
      <c r="T40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08" s="57">
        <f>(1000*CHOOSE(CONTROL!$C$42, 695, 695)*CHOOSE(CONTROL!$C$42, 0.5599, 0.5599)*CHOOSE(CONTROL!$C$42, 31, 31))/1000000</f>
        <v>12.063045499999998</v>
      </c>
      <c r="V408" s="57">
        <f>(1000*CHOOSE(CONTROL!$C$42, 500, 500)*CHOOSE(CONTROL!$C$42, 0.275, 0.275)*CHOOSE(CONTROL!$C$42, 31, 31))/1000000</f>
        <v>4.2625000000000002</v>
      </c>
      <c r="W408" s="57">
        <f>(1000*CHOOSE(CONTROL!$C$42, 0.1146, 0.1146)*CHOOSE(CONTROL!$C$42, 121.5, 121.5)*CHOOSE(CONTROL!$C$42, 31, 31))/1000000</f>
        <v>0.43164089999999994</v>
      </c>
      <c r="X408" s="57">
        <f>(31*0.1790888*100000/1000000)+(31*0.2374*100000/1000000)</f>
        <v>1.2911152800000001</v>
      </c>
      <c r="Y408" s="57"/>
      <c r="Z408" s="14"/>
      <c r="AA408" s="56"/>
      <c r="AB408" s="50">
        <f>(B408*122.58+C408*297.941+D408*89.177+E408*40.302+F408*40+G408*160+H408*0+I408*100+J408*300)/(122.58+297.941+89.177+40.302+0+40+160+100+300)</f>
        <v>18.549696614173914</v>
      </c>
      <c r="AC408" s="45">
        <f>(M408*'RAP TEMPLATE-GAS AVAILABILITY'!O407+N408*'RAP TEMPLATE-GAS AVAILABILITY'!P407+O408*'RAP TEMPLATE-GAS AVAILABILITY'!Q407+P408*'RAP TEMPLATE-GAS AVAILABILITY'!R407)/('RAP TEMPLATE-GAS AVAILABILITY'!O407+'RAP TEMPLATE-GAS AVAILABILITY'!P407+'RAP TEMPLATE-GAS AVAILABILITY'!Q407+'RAP TEMPLATE-GAS AVAILABILITY'!R407)</f>
        <v>18.209560431654673</v>
      </c>
    </row>
    <row r="409" spans="1:29" ht="15.75" x14ac:dyDescent="0.25">
      <c r="A409" s="33">
        <v>53358</v>
      </c>
      <c r="B409" s="14">
        <f>CHOOSE(CONTROL!$C$42, 20.0479, 20.0479) * CHOOSE(CONTROL!$C$21, $C$9, 100%, $E$9)</f>
        <v>20.047899999999998</v>
      </c>
      <c r="C409" s="14">
        <f>CHOOSE(CONTROL!$C$42, 20.053, 20.053) * CHOOSE(CONTROL!$C$21, $C$9, 100%, $E$9)</f>
        <v>20.053000000000001</v>
      </c>
      <c r="D409" s="14">
        <f>CHOOSE(CONTROL!$C$42, 20.1194, 20.1194) * CHOOSE(CONTROL!$C$21, $C$9, 100%, $E$9)</f>
        <v>20.119399999999999</v>
      </c>
      <c r="E409" s="14">
        <f>CHOOSE(CONTROL!$C$42, 20.1535, 20.1535) * CHOOSE(CONTROL!$C$21, $C$9, 100%, $E$9)</f>
        <v>20.153500000000001</v>
      </c>
      <c r="F409" s="14">
        <f>CHOOSE(CONTROL!$C$42, 20.0352, 20.0352)*CHOOSE(CONTROL!$C$21, $C$9, 100%, $E$9)</f>
        <v>20.0352</v>
      </c>
      <c r="G409" s="14">
        <f>CHOOSE(CONTROL!$C$42, 20.0507, 20.0507)*CHOOSE(CONTROL!$C$21, $C$9, 100%, $E$9)</f>
        <v>20.050699999999999</v>
      </c>
      <c r="H409" s="14">
        <f>CHOOSE(CONTROL!$C$42, 20.1427, 20.1427) * CHOOSE(CONTROL!$C$21, $C$9, 100%, $E$9)</f>
        <v>20.142700000000001</v>
      </c>
      <c r="I409" s="14">
        <f>CHOOSE(CONTROL!$C$42, 20.1183, 20.1183)* CHOOSE(CONTROL!$C$21, $C$9, 100%, $E$9)</f>
        <v>20.118300000000001</v>
      </c>
      <c r="J409" s="14">
        <f>CHOOSE(CONTROL!$C$42, 20.0282, 20.0282)* CHOOSE(CONTROL!$C$21, $C$9, 100%, $E$9)</f>
        <v>20.028199999999998</v>
      </c>
      <c r="K409" s="53">
        <f>CHOOSE(CONTROL!$C$42, 20.1144, 20.1144) * CHOOSE(CONTROL!$C$21, $C$9, 100%, $E$9)</f>
        <v>20.1144</v>
      </c>
      <c r="L409" s="14">
        <f>CHOOSE(CONTROL!$C$42, 20.7297, 20.7297) * CHOOSE(CONTROL!$C$21, $C$9, 100%, $E$9)</f>
        <v>20.729700000000001</v>
      </c>
      <c r="M409" s="14">
        <f>CHOOSE(CONTROL!$C$42, 19.6256, 19.6256) * CHOOSE(CONTROL!$C$21, $C$9, 100%, $E$9)</f>
        <v>19.625599999999999</v>
      </c>
      <c r="N409" s="14">
        <f>CHOOSE(CONTROL!$C$42, 19.6407, 19.6407) * CHOOSE(CONTROL!$C$21, $C$9, 100%, $E$9)</f>
        <v>19.640699999999999</v>
      </c>
      <c r="O409" s="14">
        <f>CHOOSE(CONTROL!$C$42, 19.7377, 19.7377) * CHOOSE(CONTROL!$C$21, $C$9, 100%, $E$9)</f>
        <v>19.7377</v>
      </c>
      <c r="P409" s="14">
        <f>CHOOSE(CONTROL!$C$42, 19.7126, 19.7126) * CHOOSE(CONTROL!$C$21, $C$9, 100%, $E$9)</f>
        <v>19.712599999999998</v>
      </c>
      <c r="Q409" s="14">
        <f>CHOOSE(CONTROL!$C$42, 20.3324, 20.3324) * CHOOSE(CONTROL!$C$21, $C$9, 100%, $E$9)</f>
        <v>20.3324</v>
      </c>
      <c r="R409" s="14">
        <f>CHOOSE(CONTROL!$C$42, 20.9702, 20.9702) * CHOOSE(CONTROL!$C$21, $C$9, 100%, $E$9)</f>
        <v>20.970199999999998</v>
      </c>
      <c r="S409" s="14">
        <f>CHOOSE(CONTROL!$C$42, 19.2555, 19.2555) * CHOOSE(CONTROL!$C$21, $C$9, 100%, $E$9)</f>
        <v>19.255500000000001</v>
      </c>
      <c r="T40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09" s="57">
        <f>(1000*CHOOSE(CONTROL!$C$42, 695, 695)*CHOOSE(CONTROL!$C$42, 0.5599, 0.5599)*CHOOSE(CONTROL!$C$42, 31, 31))/1000000</f>
        <v>12.063045499999998</v>
      </c>
      <c r="V409" s="57">
        <f>(1000*CHOOSE(CONTROL!$C$42, 500, 500)*CHOOSE(CONTROL!$C$42, 0.275, 0.275)*CHOOSE(CONTROL!$C$42, 31, 31))/1000000</f>
        <v>4.2625000000000002</v>
      </c>
      <c r="W409" s="57">
        <f>(1000*CHOOSE(CONTROL!$C$42, 0.1146, 0.1146)*CHOOSE(CONTROL!$C$42, 121.5, 121.5)*CHOOSE(CONTROL!$C$42, 31, 31))/1000000</f>
        <v>0.43164089999999994</v>
      </c>
      <c r="X409" s="57">
        <f>(31*0.1790888*100000/1000000)+(31*0.2374*100000/1000000)</f>
        <v>1.2911152800000001</v>
      </c>
      <c r="Y409" s="57"/>
      <c r="Z409" s="14"/>
      <c r="AA409" s="56"/>
      <c r="AB409" s="50">
        <f>(B409*122.58+C409*297.941+D409*89.177+E409*40.302+F409*40+G409*160+H409*0+I409*100+J409*300)/(122.58+297.941+89.177+40.302+0+40+160+100+300)</f>
        <v>20.059396996347825</v>
      </c>
      <c r="AC409" s="45">
        <f>(M409*'RAP TEMPLATE-GAS AVAILABILITY'!O408+N409*'RAP TEMPLATE-GAS AVAILABILITY'!P408+O409*'RAP TEMPLATE-GAS AVAILABILITY'!Q408+P409*'RAP TEMPLATE-GAS AVAILABILITY'!R408)/('RAP TEMPLATE-GAS AVAILABILITY'!O408+'RAP TEMPLATE-GAS AVAILABILITY'!P408+'RAP TEMPLATE-GAS AVAILABILITY'!Q408+'RAP TEMPLATE-GAS AVAILABILITY'!R408)</f>
        <v>19.689794964028778</v>
      </c>
    </row>
    <row r="410" spans="1:29" ht="15.75" x14ac:dyDescent="0.25">
      <c r="A410" s="33">
        <v>53386</v>
      </c>
      <c r="B410" s="14">
        <f>CHOOSE(CONTROL!$C$42, 20.4046, 20.4046) * CHOOSE(CONTROL!$C$21, $C$9, 100%, $E$9)</f>
        <v>20.404599999999999</v>
      </c>
      <c r="C410" s="14">
        <f>CHOOSE(CONTROL!$C$42, 20.4097, 20.4097) * CHOOSE(CONTROL!$C$21, $C$9, 100%, $E$9)</f>
        <v>20.409700000000001</v>
      </c>
      <c r="D410" s="14">
        <f>CHOOSE(CONTROL!$C$42, 20.4761, 20.4761) * CHOOSE(CONTROL!$C$21, $C$9, 100%, $E$9)</f>
        <v>20.476099999999999</v>
      </c>
      <c r="E410" s="14">
        <f>CHOOSE(CONTROL!$C$42, 20.5102, 20.5102) * CHOOSE(CONTROL!$C$21, $C$9, 100%, $E$9)</f>
        <v>20.510200000000001</v>
      </c>
      <c r="F410" s="14">
        <f>CHOOSE(CONTROL!$C$42, 20.392, 20.392)*CHOOSE(CONTROL!$C$21, $C$9, 100%, $E$9)</f>
        <v>20.391999999999999</v>
      </c>
      <c r="G410" s="14">
        <f>CHOOSE(CONTROL!$C$42, 20.4075, 20.4075)*CHOOSE(CONTROL!$C$21, $C$9, 100%, $E$9)</f>
        <v>20.407499999999999</v>
      </c>
      <c r="H410" s="14">
        <f>CHOOSE(CONTROL!$C$42, 20.4994, 20.4994) * CHOOSE(CONTROL!$C$21, $C$9, 100%, $E$9)</f>
        <v>20.499400000000001</v>
      </c>
      <c r="I410" s="14">
        <f>CHOOSE(CONTROL!$C$42, 20.4761, 20.4761)* CHOOSE(CONTROL!$C$21, $C$9, 100%, $E$9)</f>
        <v>20.476099999999999</v>
      </c>
      <c r="J410" s="14">
        <f>CHOOSE(CONTROL!$C$42, 20.385, 20.385)* CHOOSE(CONTROL!$C$21, $C$9, 100%, $E$9)</f>
        <v>20.385000000000002</v>
      </c>
      <c r="K410" s="53">
        <f>CHOOSE(CONTROL!$C$42, 20.4723, 20.4723) * CHOOSE(CONTROL!$C$21, $C$9, 100%, $E$9)</f>
        <v>20.472300000000001</v>
      </c>
      <c r="L410" s="14">
        <f>CHOOSE(CONTROL!$C$42, 21.0864, 21.0864) * CHOOSE(CONTROL!$C$21, $C$9, 100%, $E$9)</f>
        <v>21.086400000000001</v>
      </c>
      <c r="M410" s="14">
        <f>CHOOSE(CONTROL!$C$42, 19.975, 19.975) * CHOOSE(CONTROL!$C$21, $C$9, 100%, $E$9)</f>
        <v>19.975000000000001</v>
      </c>
      <c r="N410" s="14">
        <f>CHOOSE(CONTROL!$C$42, 19.9902, 19.9902) * CHOOSE(CONTROL!$C$21, $C$9, 100%, $E$9)</f>
        <v>19.990200000000002</v>
      </c>
      <c r="O410" s="14">
        <f>CHOOSE(CONTROL!$C$42, 20.0871, 20.0871) * CHOOSE(CONTROL!$C$21, $C$9, 100%, $E$9)</f>
        <v>20.0871</v>
      </c>
      <c r="P410" s="14">
        <f>CHOOSE(CONTROL!$C$42, 20.0631, 20.0631) * CHOOSE(CONTROL!$C$21, $C$9, 100%, $E$9)</f>
        <v>20.063099999999999</v>
      </c>
      <c r="Q410" s="14">
        <f>CHOOSE(CONTROL!$C$42, 20.6818, 20.6818) * CHOOSE(CONTROL!$C$21, $C$9, 100%, $E$9)</f>
        <v>20.681799999999999</v>
      </c>
      <c r="R410" s="14">
        <f>CHOOSE(CONTROL!$C$42, 21.3205, 21.3205) * CHOOSE(CONTROL!$C$21, $C$9, 100%, $E$9)</f>
        <v>21.320499999999999</v>
      </c>
      <c r="S410" s="14">
        <f>CHOOSE(CONTROL!$C$42, 19.5983, 19.5983) * CHOOSE(CONTROL!$C$21, $C$9, 100%, $E$9)</f>
        <v>19.598299999999998</v>
      </c>
      <c r="T41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10" s="57">
        <f>(1000*CHOOSE(CONTROL!$C$42, 695, 695)*CHOOSE(CONTROL!$C$42, 0.5599, 0.5599)*CHOOSE(CONTROL!$C$42, 28, 28))/1000000</f>
        <v>10.895653999999999</v>
      </c>
      <c r="V410" s="57">
        <f>(1000*CHOOSE(CONTROL!$C$42, 500, 500)*CHOOSE(CONTROL!$C$42, 0.275, 0.275)*CHOOSE(CONTROL!$C$42, 28, 28))/1000000</f>
        <v>3.85</v>
      </c>
      <c r="W410" s="57">
        <f>(1000*CHOOSE(CONTROL!$C$42, 0.1146, 0.1146)*CHOOSE(CONTROL!$C$42, 121.5, 121.5)*CHOOSE(CONTROL!$C$42, 28, 28))/1000000</f>
        <v>0.38986920000000003</v>
      </c>
      <c r="X410" s="57">
        <f>(28*0.1790888*100000/1000000)+(28*0.2374*100000/1000000)</f>
        <v>1.16616864</v>
      </c>
      <c r="Y410" s="57"/>
      <c r="Z410" s="14"/>
      <c r="AA410" s="56"/>
      <c r="AB410" s="50">
        <f>(B410*122.58+C410*297.941+D410*89.177+E410*40.302+F410*40+G410*160+H410*0+I410*100+J410*300)/(122.58+297.941+89.177+40.302+0+40+160+100+300)</f>
        <v>20.416236126782607</v>
      </c>
      <c r="AC410" s="45">
        <f>(M410*'RAP TEMPLATE-GAS AVAILABILITY'!O409+N410*'RAP TEMPLATE-GAS AVAILABILITY'!P409+O410*'RAP TEMPLATE-GAS AVAILABILITY'!Q409+P410*'RAP TEMPLATE-GAS AVAILABILITY'!R409)/('RAP TEMPLATE-GAS AVAILABILITY'!O409+'RAP TEMPLATE-GAS AVAILABILITY'!P409+'RAP TEMPLATE-GAS AVAILABILITY'!Q409+'RAP TEMPLATE-GAS AVAILABILITY'!R409)</f>
        <v>20.039358992805756</v>
      </c>
    </row>
    <row r="411" spans="1:29" ht="15.75" x14ac:dyDescent="0.25">
      <c r="A411" s="33">
        <v>53417</v>
      </c>
      <c r="B411" s="14">
        <f>CHOOSE(CONTROL!$C$42, 19.8256, 19.8256) * CHOOSE(CONTROL!$C$21, $C$9, 100%, $E$9)</f>
        <v>19.825600000000001</v>
      </c>
      <c r="C411" s="14">
        <f>CHOOSE(CONTROL!$C$42, 19.8307, 19.8307) * CHOOSE(CONTROL!$C$21, $C$9, 100%, $E$9)</f>
        <v>19.8307</v>
      </c>
      <c r="D411" s="14">
        <f>CHOOSE(CONTROL!$C$42, 19.8971, 19.8971) * CHOOSE(CONTROL!$C$21, $C$9, 100%, $E$9)</f>
        <v>19.897099999999998</v>
      </c>
      <c r="E411" s="14">
        <f>CHOOSE(CONTROL!$C$42, 19.9312, 19.9312) * CHOOSE(CONTROL!$C$21, $C$9, 100%, $E$9)</f>
        <v>19.9312</v>
      </c>
      <c r="F411" s="14">
        <f>CHOOSE(CONTROL!$C$42, 19.8126, 19.8126)*CHOOSE(CONTROL!$C$21, $C$9, 100%, $E$9)</f>
        <v>19.8126</v>
      </c>
      <c r="G411" s="14">
        <f>CHOOSE(CONTROL!$C$42, 19.828, 19.828)*CHOOSE(CONTROL!$C$21, $C$9, 100%, $E$9)</f>
        <v>19.827999999999999</v>
      </c>
      <c r="H411" s="14">
        <f>CHOOSE(CONTROL!$C$42, 19.9204, 19.9204) * CHOOSE(CONTROL!$C$21, $C$9, 100%, $E$9)</f>
        <v>19.920400000000001</v>
      </c>
      <c r="I411" s="14">
        <f>CHOOSE(CONTROL!$C$42, 19.8953, 19.8953)* CHOOSE(CONTROL!$C$21, $C$9, 100%, $E$9)</f>
        <v>19.895299999999999</v>
      </c>
      <c r="J411" s="14">
        <f>CHOOSE(CONTROL!$C$42, 19.8056, 19.8056)* CHOOSE(CONTROL!$C$21, $C$9, 100%, $E$9)</f>
        <v>19.805599999999998</v>
      </c>
      <c r="K411" s="53">
        <f>CHOOSE(CONTROL!$C$42, 19.8914, 19.8914) * CHOOSE(CONTROL!$C$21, $C$9, 100%, $E$9)</f>
        <v>19.891400000000001</v>
      </c>
      <c r="L411" s="14">
        <f>CHOOSE(CONTROL!$C$42, 20.5074, 20.5074) * CHOOSE(CONTROL!$C$21, $C$9, 100%, $E$9)</f>
        <v>20.507400000000001</v>
      </c>
      <c r="M411" s="14">
        <f>CHOOSE(CONTROL!$C$42, 19.4075, 19.4075) * CHOOSE(CONTROL!$C$21, $C$9, 100%, $E$9)</f>
        <v>19.407499999999999</v>
      </c>
      <c r="N411" s="14">
        <f>CHOOSE(CONTROL!$C$42, 19.4226, 19.4226) * CHOOSE(CONTROL!$C$21, $C$9, 100%, $E$9)</f>
        <v>19.422599999999999</v>
      </c>
      <c r="O411" s="14">
        <f>CHOOSE(CONTROL!$C$42, 19.5199, 19.5199) * CHOOSE(CONTROL!$C$21, $C$9, 100%, $E$9)</f>
        <v>19.5199</v>
      </c>
      <c r="P411" s="14">
        <f>CHOOSE(CONTROL!$C$42, 19.4942, 19.4942) * CHOOSE(CONTROL!$C$21, $C$9, 100%, $E$9)</f>
        <v>19.494199999999999</v>
      </c>
      <c r="Q411" s="14">
        <f>CHOOSE(CONTROL!$C$42, 20.1146, 20.1146) * CHOOSE(CONTROL!$C$21, $C$9, 100%, $E$9)</f>
        <v>20.114599999999999</v>
      </c>
      <c r="R411" s="14">
        <f>CHOOSE(CONTROL!$C$42, 20.7519, 20.7519) * CHOOSE(CONTROL!$C$21, $C$9, 100%, $E$9)</f>
        <v>20.751899999999999</v>
      </c>
      <c r="S411" s="14">
        <f>CHOOSE(CONTROL!$C$42, 19.0419, 19.0419) * CHOOSE(CONTROL!$C$21, $C$9, 100%, $E$9)</f>
        <v>19.041899999999998</v>
      </c>
      <c r="T41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11" s="57">
        <f>(1000*CHOOSE(CONTROL!$C$42, 695, 695)*CHOOSE(CONTROL!$C$42, 0.5599, 0.5599)*CHOOSE(CONTROL!$C$42, 31, 31))/1000000</f>
        <v>12.063045499999998</v>
      </c>
      <c r="V411" s="57">
        <f>(1000*CHOOSE(CONTROL!$C$42, 500, 500)*CHOOSE(CONTROL!$C$42, 0.275, 0.275)*CHOOSE(CONTROL!$C$42, 31, 31))/1000000</f>
        <v>4.2625000000000002</v>
      </c>
      <c r="W411" s="57">
        <f>(1000*CHOOSE(CONTROL!$C$42, 0.1146, 0.1146)*CHOOSE(CONTROL!$C$42, 121.5, 121.5)*CHOOSE(CONTROL!$C$42, 31, 31))/1000000</f>
        <v>0.43164089999999994</v>
      </c>
      <c r="X411" s="57">
        <f>(31*0.1790888*100000/1000000)+(31*0.2374*100000/1000000)</f>
        <v>1.2911152800000001</v>
      </c>
      <c r="Y411" s="57"/>
      <c r="Z411" s="14"/>
      <c r="AA411" s="56"/>
      <c r="AB411" s="50">
        <f>(B411*122.58+C411*297.941+D411*89.177+E411*40.302+F411*40+G411*160+H411*0+I411*100+J411*300)/(122.58+297.941+89.177+40.302+0+40+160+100+300)</f>
        <v>19.836891778956524</v>
      </c>
      <c r="AC411" s="45">
        <f>(M411*'RAP TEMPLATE-GAS AVAILABILITY'!O410+N411*'RAP TEMPLATE-GAS AVAILABILITY'!P410+O411*'RAP TEMPLATE-GAS AVAILABILITY'!Q410+P411*'RAP TEMPLATE-GAS AVAILABILITY'!R410)/('RAP TEMPLATE-GAS AVAILABILITY'!O410+'RAP TEMPLATE-GAS AVAILABILITY'!P410+'RAP TEMPLATE-GAS AVAILABILITY'!Q410+'RAP TEMPLATE-GAS AVAILABILITY'!R410)</f>
        <v>19.471787769784171</v>
      </c>
    </row>
    <row r="412" spans="1:29" ht="15.75" x14ac:dyDescent="0.25">
      <c r="A412" s="33">
        <v>53447</v>
      </c>
      <c r="B412" s="14">
        <f>CHOOSE(CONTROL!$C$42, 19.7674, 19.7674) * CHOOSE(CONTROL!$C$21, $C$9, 100%, $E$9)</f>
        <v>19.767399999999999</v>
      </c>
      <c r="C412" s="14">
        <f>CHOOSE(CONTROL!$C$42, 19.7719, 19.7719) * CHOOSE(CONTROL!$C$21, $C$9, 100%, $E$9)</f>
        <v>19.771899999999999</v>
      </c>
      <c r="D412" s="14">
        <f>CHOOSE(CONTROL!$C$42, 19.979, 19.979) * CHOOSE(CONTROL!$C$21, $C$9, 100%, $E$9)</f>
        <v>19.978999999999999</v>
      </c>
      <c r="E412" s="14">
        <f>CHOOSE(CONTROL!$C$42, 20.0111, 20.0111) * CHOOSE(CONTROL!$C$21, $C$9, 100%, $E$9)</f>
        <v>20.011099999999999</v>
      </c>
      <c r="F412" s="14">
        <f>CHOOSE(CONTROL!$C$42, 19.7493, 19.7493)*CHOOSE(CONTROL!$C$21, $C$9, 100%, $E$9)</f>
        <v>19.749300000000002</v>
      </c>
      <c r="G412" s="14">
        <f>CHOOSE(CONTROL!$C$42, 19.7645, 19.7645)*CHOOSE(CONTROL!$C$21, $C$9, 100%, $E$9)</f>
        <v>19.764500000000002</v>
      </c>
      <c r="H412" s="14">
        <f>CHOOSE(CONTROL!$C$42, 20.0009, 20.0009) * CHOOSE(CONTROL!$C$21, $C$9, 100%, $E$9)</f>
        <v>20.000900000000001</v>
      </c>
      <c r="I412" s="14">
        <f>CHOOSE(CONTROL!$C$42, 19.8362, 19.8362)* CHOOSE(CONTROL!$C$21, $C$9, 100%, $E$9)</f>
        <v>19.836200000000002</v>
      </c>
      <c r="J412" s="14">
        <f>CHOOSE(CONTROL!$C$42, 19.7423, 19.7423)* CHOOSE(CONTROL!$C$21, $C$9, 100%, $E$9)</f>
        <v>19.7423</v>
      </c>
      <c r="K412" s="53">
        <f>CHOOSE(CONTROL!$C$42, 19.8323, 19.8323) * CHOOSE(CONTROL!$C$21, $C$9, 100%, $E$9)</f>
        <v>19.8323</v>
      </c>
      <c r="L412" s="14">
        <f>CHOOSE(CONTROL!$C$42, 20.5879, 20.5879) * CHOOSE(CONTROL!$C$21, $C$9, 100%, $E$9)</f>
        <v>20.587900000000001</v>
      </c>
      <c r="M412" s="14">
        <f>CHOOSE(CONTROL!$C$42, 19.3455, 19.3455) * CHOOSE(CONTROL!$C$21, $C$9, 100%, $E$9)</f>
        <v>19.345500000000001</v>
      </c>
      <c r="N412" s="14">
        <f>CHOOSE(CONTROL!$C$42, 19.3604, 19.3604) * CHOOSE(CONTROL!$C$21, $C$9, 100%, $E$9)</f>
        <v>19.360399999999998</v>
      </c>
      <c r="O412" s="14">
        <f>CHOOSE(CONTROL!$C$42, 19.5988, 19.5988) * CHOOSE(CONTROL!$C$21, $C$9, 100%, $E$9)</f>
        <v>19.598800000000001</v>
      </c>
      <c r="P412" s="14">
        <f>CHOOSE(CONTROL!$C$42, 19.4363, 19.4363) * CHOOSE(CONTROL!$C$21, $C$9, 100%, $E$9)</f>
        <v>19.436299999999999</v>
      </c>
      <c r="Q412" s="14">
        <f>CHOOSE(CONTROL!$C$42, 20.1935, 20.1935) * CHOOSE(CONTROL!$C$21, $C$9, 100%, $E$9)</f>
        <v>20.1935</v>
      </c>
      <c r="R412" s="14">
        <f>CHOOSE(CONTROL!$C$42, 20.831, 20.831) * CHOOSE(CONTROL!$C$21, $C$9, 100%, $E$9)</f>
        <v>20.831</v>
      </c>
      <c r="S412" s="14">
        <f>CHOOSE(CONTROL!$C$42, 18.9852, 18.9852) * CHOOSE(CONTROL!$C$21, $C$9, 100%, $E$9)</f>
        <v>18.985199999999999</v>
      </c>
      <c r="T41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12" s="57">
        <f>(1000*CHOOSE(CONTROL!$C$42, 695, 695)*CHOOSE(CONTROL!$C$42, 0.5599, 0.5599)*CHOOSE(CONTROL!$C$42, 30, 30))/1000000</f>
        <v>11.673914999999997</v>
      </c>
      <c r="V412" s="57">
        <f>(1000*CHOOSE(CONTROL!$C$42, 500, 500)*CHOOSE(CONTROL!$C$42, 0.275, 0.275)*CHOOSE(CONTROL!$C$42, 30, 30))/1000000</f>
        <v>4.125</v>
      </c>
      <c r="W412" s="57">
        <f>(1000*CHOOSE(CONTROL!$C$42, 0.1146, 0.1146)*CHOOSE(CONTROL!$C$42, 121.5, 121.5)*CHOOSE(CONTROL!$C$42, 30, 30))/1000000</f>
        <v>0.417717</v>
      </c>
      <c r="X412" s="57">
        <f>(30*0.1790888*245000/1000000)+(30*0.2374*100000/1000000)</f>
        <v>2.0285026799999999</v>
      </c>
      <c r="Y412" s="57"/>
      <c r="Z412" s="14"/>
      <c r="AA412" s="56"/>
      <c r="AB412" s="50">
        <f>(B412*141.293+C412*267.993+D412*115.016+E412*89.698+F412*40+G412*185+H412*0+I412*100+J412*300)/(141.293+267.993+115.016+89.698+0+40+185+100+300)</f>
        <v>19.804116914205004</v>
      </c>
      <c r="AC412" s="45">
        <f>(M412*'RAP TEMPLATE-GAS AVAILABILITY'!O411+N412*'RAP TEMPLATE-GAS AVAILABILITY'!P411+O412*'RAP TEMPLATE-GAS AVAILABILITY'!Q411+P412*'RAP TEMPLATE-GAS AVAILABILITY'!R411)/('RAP TEMPLATE-GAS AVAILABILITY'!O411+'RAP TEMPLATE-GAS AVAILABILITY'!P411+'RAP TEMPLATE-GAS AVAILABILITY'!Q411+'RAP TEMPLATE-GAS AVAILABILITY'!R411)</f>
        <v>19.433064748201438</v>
      </c>
    </row>
    <row r="413" spans="1:29" ht="15.75" x14ac:dyDescent="0.25">
      <c r="A413" s="33">
        <v>53478</v>
      </c>
      <c r="B413" s="14">
        <f>CHOOSE(CONTROL!$C$42, 19.9432, 19.9432) * CHOOSE(CONTROL!$C$21, $C$9, 100%, $E$9)</f>
        <v>19.943200000000001</v>
      </c>
      <c r="C413" s="14">
        <f>CHOOSE(CONTROL!$C$42, 19.9512, 19.9512) * CHOOSE(CONTROL!$C$21, $C$9, 100%, $E$9)</f>
        <v>19.9512</v>
      </c>
      <c r="D413" s="14">
        <f>CHOOSE(CONTROL!$C$42, 20.1552, 20.1552) * CHOOSE(CONTROL!$C$21, $C$9, 100%, $E$9)</f>
        <v>20.155200000000001</v>
      </c>
      <c r="E413" s="14">
        <f>CHOOSE(CONTROL!$C$42, 20.1866, 20.1866) * CHOOSE(CONTROL!$C$21, $C$9, 100%, $E$9)</f>
        <v>20.186599999999999</v>
      </c>
      <c r="F413" s="14">
        <f>CHOOSE(CONTROL!$C$42, 19.9239, 19.9239)*CHOOSE(CONTROL!$C$21, $C$9, 100%, $E$9)</f>
        <v>19.9239</v>
      </c>
      <c r="G413" s="14">
        <f>CHOOSE(CONTROL!$C$42, 19.9396, 19.9396)*CHOOSE(CONTROL!$C$21, $C$9, 100%, $E$9)</f>
        <v>19.939599999999999</v>
      </c>
      <c r="H413" s="14">
        <f>CHOOSE(CONTROL!$C$42, 20.1753, 20.1753) * CHOOSE(CONTROL!$C$21, $C$9, 100%, $E$9)</f>
        <v>20.1753</v>
      </c>
      <c r="I413" s="14">
        <f>CHOOSE(CONTROL!$C$42, 20.0111, 20.0111)* CHOOSE(CONTROL!$C$21, $C$9, 100%, $E$9)</f>
        <v>20.011099999999999</v>
      </c>
      <c r="J413" s="14">
        <f>CHOOSE(CONTROL!$C$42, 19.9169, 19.9169)* CHOOSE(CONTROL!$C$21, $C$9, 100%, $E$9)</f>
        <v>19.916899999999998</v>
      </c>
      <c r="K413" s="53">
        <f>CHOOSE(CONTROL!$C$42, 20.0072, 20.0072) * CHOOSE(CONTROL!$C$21, $C$9, 100%, $E$9)</f>
        <v>20.007200000000001</v>
      </c>
      <c r="L413" s="14">
        <f>CHOOSE(CONTROL!$C$42, 20.7623, 20.7623) * CHOOSE(CONTROL!$C$21, $C$9, 100%, $E$9)</f>
        <v>20.7623</v>
      </c>
      <c r="M413" s="14">
        <f>CHOOSE(CONTROL!$C$42, 19.5166, 19.5166) * CHOOSE(CONTROL!$C$21, $C$9, 100%, $E$9)</f>
        <v>19.5166</v>
      </c>
      <c r="N413" s="14">
        <f>CHOOSE(CONTROL!$C$42, 19.5319, 19.5319) * CHOOSE(CONTROL!$C$21, $C$9, 100%, $E$9)</f>
        <v>19.5319</v>
      </c>
      <c r="O413" s="14">
        <f>CHOOSE(CONTROL!$C$42, 19.7696, 19.7696) * CHOOSE(CONTROL!$C$21, $C$9, 100%, $E$9)</f>
        <v>19.769600000000001</v>
      </c>
      <c r="P413" s="14">
        <f>CHOOSE(CONTROL!$C$42, 19.6076, 19.6076) * CHOOSE(CONTROL!$C$21, $C$9, 100%, $E$9)</f>
        <v>19.607600000000001</v>
      </c>
      <c r="Q413" s="14">
        <f>CHOOSE(CONTROL!$C$42, 20.3643, 20.3643) * CHOOSE(CONTROL!$C$21, $C$9, 100%, $E$9)</f>
        <v>20.3643</v>
      </c>
      <c r="R413" s="14">
        <f>CHOOSE(CONTROL!$C$42, 21.0022, 21.0022) * CHOOSE(CONTROL!$C$21, $C$9, 100%, $E$9)</f>
        <v>21.002199999999998</v>
      </c>
      <c r="S413" s="14">
        <f>CHOOSE(CONTROL!$C$42, 19.1528, 19.1528) * CHOOSE(CONTROL!$C$21, $C$9, 100%, $E$9)</f>
        <v>19.152799999999999</v>
      </c>
      <c r="T41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13" s="57">
        <f>(1000*CHOOSE(CONTROL!$C$42, 695, 695)*CHOOSE(CONTROL!$C$42, 0.5599, 0.5599)*CHOOSE(CONTROL!$C$42, 31, 31))/1000000</f>
        <v>12.063045499999998</v>
      </c>
      <c r="V413" s="57">
        <f>(1000*CHOOSE(CONTROL!$C$42, 500, 500)*CHOOSE(CONTROL!$C$42, 0.275, 0.275)*CHOOSE(CONTROL!$C$42, 31, 31))/1000000</f>
        <v>4.2625000000000002</v>
      </c>
      <c r="W413" s="57">
        <f>(1000*CHOOSE(CONTROL!$C$42, 0.1146, 0.1146)*CHOOSE(CONTROL!$C$42, 121.5, 121.5)*CHOOSE(CONTROL!$C$42, 31, 31))/1000000</f>
        <v>0.43164089999999994</v>
      </c>
      <c r="X413" s="57">
        <f>(31*0.1790888*245000/1000000)+(31*0.2374*100000/1000000)</f>
        <v>2.0961194359999999</v>
      </c>
      <c r="Y413" s="57"/>
      <c r="Z413" s="14"/>
      <c r="AA413" s="56"/>
      <c r="AB413" s="50">
        <f>(B413*194.205+C413*267.466+D413*133.845+E413*53.484+F413*40+G413*185+H413*0+I413*100+J413*300)/(194.205+267.466+133.845+53.484+0+40+185+100+300)</f>
        <v>19.975378079748822</v>
      </c>
      <c r="AC413" s="45">
        <f>(M413*'RAP TEMPLATE-GAS AVAILABILITY'!O412+N413*'RAP TEMPLATE-GAS AVAILABILITY'!P412+O413*'RAP TEMPLATE-GAS AVAILABILITY'!Q412+P413*'RAP TEMPLATE-GAS AVAILABILITY'!R412)/('RAP TEMPLATE-GAS AVAILABILITY'!O412+'RAP TEMPLATE-GAS AVAILABILITY'!P412+'RAP TEMPLATE-GAS AVAILABILITY'!Q412+'RAP TEMPLATE-GAS AVAILABILITY'!R412)</f>
        <v>19.604201438848921</v>
      </c>
    </row>
    <row r="414" spans="1:29" ht="15.75" x14ac:dyDescent="0.25">
      <c r="A414" s="33">
        <v>53508</v>
      </c>
      <c r="B414" s="14">
        <f>CHOOSE(CONTROL!$C$42, 20.5086, 20.5086) * CHOOSE(CONTROL!$C$21, $C$9, 100%, $E$9)</f>
        <v>20.508600000000001</v>
      </c>
      <c r="C414" s="14">
        <f>CHOOSE(CONTROL!$C$42, 20.5166, 20.5166) * CHOOSE(CONTROL!$C$21, $C$9, 100%, $E$9)</f>
        <v>20.5166</v>
      </c>
      <c r="D414" s="14">
        <f>CHOOSE(CONTROL!$C$42, 20.7205, 20.7205) * CHOOSE(CONTROL!$C$21, $C$9, 100%, $E$9)</f>
        <v>20.720500000000001</v>
      </c>
      <c r="E414" s="14">
        <f>CHOOSE(CONTROL!$C$42, 20.752, 20.752) * CHOOSE(CONTROL!$C$21, $C$9, 100%, $E$9)</f>
        <v>20.751999999999999</v>
      </c>
      <c r="F414" s="14">
        <f>CHOOSE(CONTROL!$C$42, 20.4897, 20.4897)*CHOOSE(CONTROL!$C$21, $C$9, 100%, $E$9)</f>
        <v>20.489699999999999</v>
      </c>
      <c r="G414" s="14">
        <f>CHOOSE(CONTROL!$C$42, 20.5055, 20.5055)*CHOOSE(CONTROL!$C$21, $C$9, 100%, $E$9)</f>
        <v>20.505500000000001</v>
      </c>
      <c r="H414" s="14">
        <f>CHOOSE(CONTROL!$C$42, 20.7406, 20.7406) * CHOOSE(CONTROL!$C$21, $C$9, 100%, $E$9)</f>
        <v>20.740600000000001</v>
      </c>
      <c r="I414" s="14">
        <f>CHOOSE(CONTROL!$C$42, 20.5782, 20.5782)* CHOOSE(CONTROL!$C$21, $C$9, 100%, $E$9)</f>
        <v>20.578199999999999</v>
      </c>
      <c r="J414" s="14">
        <f>CHOOSE(CONTROL!$C$42, 20.4827, 20.4827)* CHOOSE(CONTROL!$C$21, $C$9, 100%, $E$9)</f>
        <v>20.482700000000001</v>
      </c>
      <c r="K414" s="53">
        <f>CHOOSE(CONTROL!$C$42, 20.5744, 20.5744) * CHOOSE(CONTROL!$C$21, $C$9, 100%, $E$9)</f>
        <v>20.574400000000001</v>
      </c>
      <c r="L414" s="14">
        <f>CHOOSE(CONTROL!$C$42, 21.3276, 21.3276) * CHOOSE(CONTROL!$C$21, $C$9, 100%, $E$9)</f>
        <v>21.3276</v>
      </c>
      <c r="M414" s="14">
        <f>CHOOSE(CONTROL!$C$42, 20.0708, 20.0708) * CHOOSE(CONTROL!$C$21, $C$9, 100%, $E$9)</f>
        <v>20.070799999999998</v>
      </c>
      <c r="N414" s="14">
        <f>CHOOSE(CONTROL!$C$42, 20.0862, 20.0862) * CHOOSE(CONTROL!$C$21, $C$9, 100%, $E$9)</f>
        <v>20.086200000000002</v>
      </c>
      <c r="O414" s="14">
        <f>CHOOSE(CONTROL!$C$42, 20.3234, 20.3234) * CHOOSE(CONTROL!$C$21, $C$9, 100%, $E$9)</f>
        <v>20.323399999999999</v>
      </c>
      <c r="P414" s="14">
        <f>CHOOSE(CONTROL!$C$42, 20.1631, 20.1631) * CHOOSE(CONTROL!$C$21, $C$9, 100%, $E$9)</f>
        <v>20.1631</v>
      </c>
      <c r="Q414" s="14">
        <f>CHOOSE(CONTROL!$C$42, 20.9181, 20.9181) * CHOOSE(CONTROL!$C$21, $C$9, 100%, $E$9)</f>
        <v>20.918099999999999</v>
      </c>
      <c r="R414" s="14">
        <f>CHOOSE(CONTROL!$C$42, 21.5574, 21.5574) * CHOOSE(CONTROL!$C$21, $C$9, 100%, $E$9)</f>
        <v>21.557400000000001</v>
      </c>
      <c r="S414" s="14">
        <f>CHOOSE(CONTROL!$C$42, 19.6961, 19.6961) * CHOOSE(CONTROL!$C$21, $C$9, 100%, $E$9)</f>
        <v>19.696100000000001</v>
      </c>
      <c r="T41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14" s="57">
        <f>(1000*CHOOSE(CONTROL!$C$42, 695, 695)*CHOOSE(CONTROL!$C$42, 0.5599, 0.5599)*CHOOSE(CONTROL!$C$42, 30, 30))/1000000</f>
        <v>11.673914999999997</v>
      </c>
      <c r="V414" s="57">
        <f>(1000*CHOOSE(CONTROL!$C$42, 500, 500)*CHOOSE(CONTROL!$C$42, 0.275, 0.275)*CHOOSE(CONTROL!$C$42, 30, 30))/1000000</f>
        <v>4.125</v>
      </c>
      <c r="W414" s="57">
        <f>(1000*CHOOSE(CONTROL!$C$42, 0.1146, 0.1146)*CHOOSE(CONTROL!$C$42, 121.5, 121.5)*CHOOSE(CONTROL!$C$42, 30, 30))/1000000</f>
        <v>0.417717</v>
      </c>
      <c r="X414" s="57">
        <f>(30*0.1790888*245000/1000000)+(30*0.2374*100000/1000000)</f>
        <v>2.0285026799999999</v>
      </c>
      <c r="Y414" s="57"/>
      <c r="Z414" s="14"/>
      <c r="AA414" s="56"/>
      <c r="AB414" s="50">
        <f>(B414*194.205+C414*267.466+D414*133.845+E414*53.484+F414*40+G414*185+H414*0+I414*100+J414*300)/(194.205+267.466+133.845+53.484+0+40+185+100+300)</f>
        <v>20.541080368210363</v>
      </c>
      <c r="AC414" s="45">
        <f>(M414*'RAP TEMPLATE-GAS AVAILABILITY'!O413+N414*'RAP TEMPLATE-GAS AVAILABILITY'!P413+O414*'RAP TEMPLATE-GAS AVAILABILITY'!Q413+P414*'RAP TEMPLATE-GAS AVAILABILITY'!R413)/('RAP TEMPLATE-GAS AVAILABILITY'!O413+'RAP TEMPLATE-GAS AVAILABILITY'!P413+'RAP TEMPLATE-GAS AVAILABILITY'!Q413+'RAP TEMPLATE-GAS AVAILABILITY'!R413)</f>
        <v>20.158499280575537</v>
      </c>
    </row>
    <row r="415" spans="1:29" ht="15.75" x14ac:dyDescent="0.25">
      <c r="A415" s="33">
        <v>53539</v>
      </c>
      <c r="B415" s="14">
        <f>CHOOSE(CONTROL!$C$42, 20.1154, 20.1154) * CHOOSE(CONTROL!$C$21, $C$9, 100%, $E$9)</f>
        <v>20.115400000000001</v>
      </c>
      <c r="C415" s="14">
        <f>CHOOSE(CONTROL!$C$42, 20.1234, 20.1234) * CHOOSE(CONTROL!$C$21, $C$9, 100%, $E$9)</f>
        <v>20.1234</v>
      </c>
      <c r="D415" s="14">
        <f>CHOOSE(CONTROL!$C$42, 20.3273, 20.3273) * CHOOSE(CONTROL!$C$21, $C$9, 100%, $E$9)</f>
        <v>20.327300000000001</v>
      </c>
      <c r="E415" s="14">
        <f>CHOOSE(CONTROL!$C$42, 20.3588, 20.3588) * CHOOSE(CONTROL!$C$21, $C$9, 100%, $E$9)</f>
        <v>20.358799999999999</v>
      </c>
      <c r="F415" s="14">
        <f>CHOOSE(CONTROL!$C$42, 20.097, 20.097)*CHOOSE(CONTROL!$C$21, $C$9, 100%, $E$9)</f>
        <v>20.097000000000001</v>
      </c>
      <c r="G415" s="14">
        <f>CHOOSE(CONTROL!$C$42, 20.1129, 20.1129)*CHOOSE(CONTROL!$C$21, $C$9, 100%, $E$9)</f>
        <v>20.1129</v>
      </c>
      <c r="H415" s="14">
        <f>CHOOSE(CONTROL!$C$42, 20.3474, 20.3474) * CHOOSE(CONTROL!$C$21, $C$9, 100%, $E$9)</f>
        <v>20.3474</v>
      </c>
      <c r="I415" s="14">
        <f>CHOOSE(CONTROL!$C$42, 20.1838, 20.1838)* CHOOSE(CONTROL!$C$21, $C$9, 100%, $E$9)</f>
        <v>20.183800000000002</v>
      </c>
      <c r="J415" s="14">
        <f>CHOOSE(CONTROL!$C$42, 20.09, 20.09)* CHOOSE(CONTROL!$C$21, $C$9, 100%, $E$9)</f>
        <v>20.09</v>
      </c>
      <c r="K415" s="53">
        <f>CHOOSE(CONTROL!$C$42, 20.1799, 20.1799) * CHOOSE(CONTROL!$C$21, $C$9, 100%, $E$9)</f>
        <v>20.1799</v>
      </c>
      <c r="L415" s="14">
        <f>CHOOSE(CONTROL!$C$42, 20.9344, 20.9344) * CHOOSE(CONTROL!$C$21, $C$9, 100%, $E$9)</f>
        <v>20.9344</v>
      </c>
      <c r="M415" s="14">
        <f>CHOOSE(CONTROL!$C$42, 19.686, 19.686) * CHOOSE(CONTROL!$C$21, $C$9, 100%, $E$9)</f>
        <v>19.686</v>
      </c>
      <c r="N415" s="14">
        <f>CHOOSE(CONTROL!$C$42, 19.7016, 19.7016) * CHOOSE(CONTROL!$C$21, $C$9, 100%, $E$9)</f>
        <v>19.701599999999999</v>
      </c>
      <c r="O415" s="14">
        <f>CHOOSE(CONTROL!$C$42, 19.9382, 19.9382) * CHOOSE(CONTROL!$C$21, $C$9, 100%, $E$9)</f>
        <v>19.938199999999998</v>
      </c>
      <c r="P415" s="14">
        <f>CHOOSE(CONTROL!$C$42, 19.7767, 19.7767) * CHOOSE(CONTROL!$C$21, $C$9, 100%, $E$9)</f>
        <v>19.776700000000002</v>
      </c>
      <c r="Q415" s="14">
        <f>CHOOSE(CONTROL!$C$42, 20.5329, 20.5329) * CHOOSE(CONTROL!$C$21, $C$9, 100%, $E$9)</f>
        <v>20.532900000000001</v>
      </c>
      <c r="R415" s="14">
        <f>CHOOSE(CONTROL!$C$42, 21.1712, 21.1712) * CHOOSE(CONTROL!$C$21, $C$9, 100%, $E$9)</f>
        <v>21.171199999999999</v>
      </c>
      <c r="S415" s="14">
        <f>CHOOSE(CONTROL!$C$42, 19.3182, 19.3182) * CHOOSE(CONTROL!$C$21, $C$9, 100%, $E$9)</f>
        <v>19.318200000000001</v>
      </c>
      <c r="T41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15" s="57">
        <f>(1000*CHOOSE(CONTROL!$C$42, 695, 695)*CHOOSE(CONTROL!$C$42, 0.5599, 0.5599)*CHOOSE(CONTROL!$C$42, 31, 31))/1000000</f>
        <v>12.063045499999998</v>
      </c>
      <c r="V415" s="57">
        <f>(1000*CHOOSE(CONTROL!$C$42, 500, 500)*CHOOSE(CONTROL!$C$42, 0.275, 0.275)*CHOOSE(CONTROL!$C$42, 31, 31))/1000000</f>
        <v>4.2625000000000002</v>
      </c>
      <c r="W415" s="57">
        <f>(1000*CHOOSE(CONTROL!$C$42, 0.1146, 0.1146)*CHOOSE(CONTROL!$C$42, 121.5, 121.5)*CHOOSE(CONTROL!$C$42, 31, 31))/1000000</f>
        <v>0.43164089999999994</v>
      </c>
      <c r="X415" s="57">
        <f>(31*0.1790888*245000/1000000)+(31*0.2374*100000/1000000)</f>
        <v>2.0961194359999999</v>
      </c>
      <c r="Y415" s="57"/>
      <c r="Z415" s="14"/>
      <c r="AA415" s="56"/>
      <c r="AB415" s="50">
        <f>(B415*194.205+C415*267.466+D415*133.845+E415*53.484+F415*40+G415*185+H415*0+I415*100+J415*300)/(194.205+267.466+133.845+53.484+0+40+185+100+300)</f>
        <v>20.148006741836738</v>
      </c>
      <c r="AC415" s="45">
        <f>(M415*'RAP TEMPLATE-GAS AVAILABILITY'!O414+N415*'RAP TEMPLATE-GAS AVAILABILITY'!P414+O415*'RAP TEMPLATE-GAS AVAILABILITY'!Q414+P415*'RAP TEMPLATE-GAS AVAILABILITY'!R414)/('RAP TEMPLATE-GAS AVAILABILITY'!O414+'RAP TEMPLATE-GAS AVAILABILITY'!P414+'RAP TEMPLATE-GAS AVAILABILITY'!Q414+'RAP TEMPLATE-GAS AVAILABILITY'!R414)</f>
        <v>19.773402877697844</v>
      </c>
    </row>
    <row r="416" spans="1:29" ht="15.75" x14ac:dyDescent="0.25">
      <c r="A416" s="33">
        <v>53570</v>
      </c>
      <c r="B416" s="14">
        <f>CHOOSE(CONTROL!$C$42, 19.1224, 19.1224) * CHOOSE(CONTROL!$C$21, $C$9, 100%, $E$9)</f>
        <v>19.122399999999999</v>
      </c>
      <c r="C416" s="14">
        <f>CHOOSE(CONTROL!$C$42, 19.1304, 19.1304) * CHOOSE(CONTROL!$C$21, $C$9, 100%, $E$9)</f>
        <v>19.130400000000002</v>
      </c>
      <c r="D416" s="14">
        <f>CHOOSE(CONTROL!$C$42, 19.3343, 19.3343) * CHOOSE(CONTROL!$C$21, $C$9, 100%, $E$9)</f>
        <v>19.334299999999999</v>
      </c>
      <c r="E416" s="14">
        <f>CHOOSE(CONTROL!$C$42, 19.3658, 19.3658) * CHOOSE(CONTROL!$C$21, $C$9, 100%, $E$9)</f>
        <v>19.3658</v>
      </c>
      <c r="F416" s="14">
        <f>CHOOSE(CONTROL!$C$42, 19.1042, 19.1042)*CHOOSE(CONTROL!$C$21, $C$9, 100%, $E$9)</f>
        <v>19.104199999999999</v>
      </c>
      <c r="G416" s="14">
        <f>CHOOSE(CONTROL!$C$42, 19.1202, 19.1202)*CHOOSE(CONTROL!$C$21, $C$9, 100%, $E$9)</f>
        <v>19.120200000000001</v>
      </c>
      <c r="H416" s="14">
        <f>CHOOSE(CONTROL!$C$42, 19.3544, 19.3544) * CHOOSE(CONTROL!$C$21, $C$9, 100%, $E$9)</f>
        <v>19.354399999999998</v>
      </c>
      <c r="I416" s="14">
        <f>CHOOSE(CONTROL!$C$42, 19.1877, 19.1877)* CHOOSE(CONTROL!$C$21, $C$9, 100%, $E$9)</f>
        <v>19.1877</v>
      </c>
      <c r="J416" s="14">
        <f>CHOOSE(CONTROL!$C$42, 19.0972, 19.0972)* CHOOSE(CONTROL!$C$21, $C$9, 100%, $E$9)</f>
        <v>19.097200000000001</v>
      </c>
      <c r="K416" s="53">
        <f>CHOOSE(CONTROL!$C$42, 19.1838, 19.1838) * CHOOSE(CONTROL!$C$21, $C$9, 100%, $E$9)</f>
        <v>19.183800000000002</v>
      </c>
      <c r="L416" s="14">
        <f>CHOOSE(CONTROL!$C$42, 19.9414, 19.9414) * CHOOSE(CONTROL!$C$21, $C$9, 100%, $E$9)</f>
        <v>19.941400000000002</v>
      </c>
      <c r="M416" s="14">
        <f>CHOOSE(CONTROL!$C$42, 18.7136, 18.7136) * CHOOSE(CONTROL!$C$21, $C$9, 100%, $E$9)</f>
        <v>18.7136</v>
      </c>
      <c r="N416" s="14">
        <f>CHOOSE(CONTROL!$C$42, 18.7292, 18.7292) * CHOOSE(CONTROL!$C$21, $C$9, 100%, $E$9)</f>
        <v>18.729199999999999</v>
      </c>
      <c r="O416" s="14">
        <f>CHOOSE(CONTROL!$C$42, 18.9656, 18.9656) * CHOOSE(CONTROL!$C$21, $C$9, 100%, $E$9)</f>
        <v>18.965599999999998</v>
      </c>
      <c r="P416" s="14">
        <f>CHOOSE(CONTROL!$C$42, 18.8011, 18.8011) * CHOOSE(CONTROL!$C$21, $C$9, 100%, $E$9)</f>
        <v>18.801100000000002</v>
      </c>
      <c r="Q416" s="14">
        <f>CHOOSE(CONTROL!$C$42, 19.5603, 19.5603) * CHOOSE(CONTROL!$C$21, $C$9, 100%, $E$9)</f>
        <v>19.560300000000002</v>
      </c>
      <c r="R416" s="14">
        <f>CHOOSE(CONTROL!$C$42, 20.1962, 20.1962) * CHOOSE(CONTROL!$C$21, $C$9, 100%, $E$9)</f>
        <v>20.196200000000001</v>
      </c>
      <c r="S416" s="14">
        <f>CHOOSE(CONTROL!$C$42, 18.364, 18.364) * CHOOSE(CONTROL!$C$21, $C$9, 100%, $E$9)</f>
        <v>18.364000000000001</v>
      </c>
      <c r="T41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16" s="57">
        <f>(1000*CHOOSE(CONTROL!$C$42, 695, 695)*CHOOSE(CONTROL!$C$42, 0.5599, 0.5599)*CHOOSE(CONTROL!$C$42, 31, 31))/1000000</f>
        <v>12.063045499999998</v>
      </c>
      <c r="V416" s="57">
        <f>(1000*CHOOSE(CONTROL!$C$42, 500, 500)*CHOOSE(CONTROL!$C$42, 0.275, 0.275)*CHOOSE(CONTROL!$C$42, 31, 31))/1000000</f>
        <v>4.2625000000000002</v>
      </c>
      <c r="W416" s="57">
        <f>(1000*CHOOSE(CONTROL!$C$42, 0.1146, 0.1146)*CHOOSE(CONTROL!$C$42, 121.5, 121.5)*CHOOSE(CONTROL!$C$42, 31, 31))/1000000</f>
        <v>0.43164089999999994</v>
      </c>
      <c r="X416" s="57">
        <f>(31*0.1790888*245000/1000000)+(31*0.2374*100000/1000000)</f>
        <v>2.0961194359999999</v>
      </c>
      <c r="Y416" s="57"/>
      <c r="Z416" s="14"/>
      <c r="AA416" s="56"/>
      <c r="AB416" s="50">
        <f>(B416*194.205+C416*267.466+D416*133.845+E416*53.484+F416*40+G416*185+H416*0+I416*100+J416*300)/(194.205+267.466+133.845+53.484+0+40+185+100+300)</f>
        <v>19.154860352511772</v>
      </c>
      <c r="AC416" s="45">
        <f>(M416*'RAP TEMPLATE-GAS AVAILABILITY'!O415+N416*'RAP TEMPLATE-GAS AVAILABILITY'!P415+O416*'RAP TEMPLATE-GAS AVAILABILITY'!Q415+P416*'RAP TEMPLATE-GAS AVAILABILITY'!R415)/('RAP TEMPLATE-GAS AVAILABILITY'!O415+'RAP TEMPLATE-GAS AVAILABILITY'!P415+'RAP TEMPLATE-GAS AVAILABILITY'!Q415+'RAP TEMPLATE-GAS AVAILABILITY'!R415)</f>
        <v>18.80048633093525</v>
      </c>
    </row>
    <row r="417" spans="1:29" ht="15.75" x14ac:dyDescent="0.25">
      <c r="A417" s="33">
        <v>53600</v>
      </c>
      <c r="B417" s="14">
        <f>CHOOSE(CONTROL!$C$42, 17.9087, 17.9087) * CHOOSE(CONTROL!$C$21, $C$9, 100%, $E$9)</f>
        <v>17.9087</v>
      </c>
      <c r="C417" s="14">
        <f>CHOOSE(CONTROL!$C$42, 17.9167, 17.9167) * CHOOSE(CONTROL!$C$21, $C$9, 100%, $E$9)</f>
        <v>17.916699999999999</v>
      </c>
      <c r="D417" s="14">
        <f>CHOOSE(CONTROL!$C$42, 18.1207, 18.1207) * CHOOSE(CONTROL!$C$21, $C$9, 100%, $E$9)</f>
        <v>18.120699999999999</v>
      </c>
      <c r="E417" s="14">
        <f>CHOOSE(CONTROL!$C$42, 18.1521, 18.1521) * CHOOSE(CONTROL!$C$21, $C$9, 100%, $E$9)</f>
        <v>18.152100000000001</v>
      </c>
      <c r="F417" s="14">
        <f>CHOOSE(CONTROL!$C$42, 17.8906, 17.8906)*CHOOSE(CONTROL!$C$21, $C$9, 100%, $E$9)</f>
        <v>17.890599999999999</v>
      </c>
      <c r="G417" s="14">
        <f>CHOOSE(CONTROL!$C$42, 17.9066, 17.9066)*CHOOSE(CONTROL!$C$21, $C$9, 100%, $E$9)</f>
        <v>17.906600000000001</v>
      </c>
      <c r="H417" s="14">
        <f>CHOOSE(CONTROL!$C$42, 18.1408, 18.1408) * CHOOSE(CONTROL!$C$21, $C$9, 100%, $E$9)</f>
        <v>18.140799999999999</v>
      </c>
      <c r="I417" s="14">
        <f>CHOOSE(CONTROL!$C$42, 17.9702, 17.9702)* CHOOSE(CONTROL!$C$21, $C$9, 100%, $E$9)</f>
        <v>17.970199999999998</v>
      </c>
      <c r="J417" s="14">
        <f>CHOOSE(CONTROL!$C$42, 17.8836, 17.8836)* CHOOSE(CONTROL!$C$21, $C$9, 100%, $E$9)</f>
        <v>17.883600000000001</v>
      </c>
      <c r="K417" s="53">
        <f>CHOOSE(CONTROL!$C$42, 17.9663, 17.9663) * CHOOSE(CONTROL!$C$21, $C$9, 100%, $E$9)</f>
        <v>17.9663</v>
      </c>
      <c r="L417" s="14">
        <f>CHOOSE(CONTROL!$C$42, 18.7278, 18.7278) * CHOOSE(CONTROL!$C$21, $C$9, 100%, $E$9)</f>
        <v>18.727799999999998</v>
      </c>
      <c r="M417" s="14">
        <f>CHOOSE(CONTROL!$C$42, 17.5249, 17.5249) * CHOOSE(CONTROL!$C$21, $C$9, 100%, $E$9)</f>
        <v>17.524899999999999</v>
      </c>
      <c r="N417" s="14">
        <f>CHOOSE(CONTROL!$C$42, 17.5405, 17.5405) * CHOOSE(CONTROL!$C$21, $C$9, 100%, $E$9)</f>
        <v>17.540500000000002</v>
      </c>
      <c r="O417" s="14">
        <f>CHOOSE(CONTROL!$C$42, 17.7768, 17.7768) * CHOOSE(CONTROL!$C$21, $C$9, 100%, $E$9)</f>
        <v>17.776800000000001</v>
      </c>
      <c r="P417" s="14">
        <f>CHOOSE(CONTROL!$C$42, 17.6087, 17.6087) * CHOOSE(CONTROL!$C$21, $C$9, 100%, $E$9)</f>
        <v>17.608699999999999</v>
      </c>
      <c r="Q417" s="14">
        <f>CHOOSE(CONTROL!$C$42, 18.3715, 18.3715) * CHOOSE(CONTROL!$C$21, $C$9, 100%, $E$9)</f>
        <v>18.371500000000001</v>
      </c>
      <c r="R417" s="14">
        <f>CHOOSE(CONTROL!$C$42, 19.0044, 19.0044) * CHOOSE(CONTROL!$C$21, $C$9, 100%, $E$9)</f>
        <v>19.0044</v>
      </c>
      <c r="S417" s="14">
        <f>CHOOSE(CONTROL!$C$42, 17.1978, 17.1978) * CHOOSE(CONTROL!$C$21, $C$9, 100%, $E$9)</f>
        <v>17.197800000000001</v>
      </c>
      <c r="T41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17" s="57">
        <f>(1000*CHOOSE(CONTROL!$C$42, 695, 695)*CHOOSE(CONTROL!$C$42, 0.5599, 0.5599)*CHOOSE(CONTROL!$C$42, 30, 30))/1000000</f>
        <v>11.673914999999997</v>
      </c>
      <c r="V417" s="57">
        <f>(1000*CHOOSE(CONTROL!$C$42, 500, 500)*CHOOSE(CONTROL!$C$42, 0.275, 0.275)*CHOOSE(CONTROL!$C$42, 30, 30))/1000000</f>
        <v>4.125</v>
      </c>
      <c r="W417" s="57">
        <f>(1000*CHOOSE(CONTROL!$C$42, 0.1146, 0.1146)*CHOOSE(CONTROL!$C$42, 121.5, 121.5)*CHOOSE(CONTROL!$C$42, 30, 30))/1000000</f>
        <v>0.417717</v>
      </c>
      <c r="X417" s="57">
        <f>(30*0.1790888*245000/1000000)+(30*0.2374*100000/1000000)</f>
        <v>2.0285026799999999</v>
      </c>
      <c r="Y417" s="57"/>
      <c r="Z417" s="14"/>
      <c r="AA417" s="56"/>
      <c r="AB417" s="50">
        <f>(B417*194.205+C417*267.466+D417*133.845+E417*53.484+F417*40+G417*185+H417*0+I417*100+J417*300)/(194.205+267.466+133.845+53.484+0+40+185+100+300)</f>
        <v>17.940913794034536</v>
      </c>
      <c r="AC417" s="45">
        <f>(M417*'RAP TEMPLATE-GAS AVAILABILITY'!O416+N417*'RAP TEMPLATE-GAS AVAILABILITY'!P416+O417*'RAP TEMPLATE-GAS AVAILABILITY'!Q416+P417*'RAP TEMPLATE-GAS AVAILABILITY'!R416)/('RAP TEMPLATE-GAS AVAILABILITY'!O416+'RAP TEMPLATE-GAS AVAILABILITY'!P416+'RAP TEMPLATE-GAS AVAILABILITY'!Q416+'RAP TEMPLATE-GAS AVAILABILITY'!R416)</f>
        <v>17.611225899280576</v>
      </c>
    </row>
    <row r="418" spans="1:29" ht="15.75" x14ac:dyDescent="0.25">
      <c r="A418" s="33">
        <v>53631</v>
      </c>
      <c r="B418" s="14">
        <f>CHOOSE(CONTROL!$C$42, 17.5436, 17.5436) * CHOOSE(CONTROL!$C$21, $C$9, 100%, $E$9)</f>
        <v>17.543600000000001</v>
      </c>
      <c r="C418" s="14">
        <f>CHOOSE(CONTROL!$C$42, 17.5489, 17.5489) * CHOOSE(CONTROL!$C$21, $C$9, 100%, $E$9)</f>
        <v>17.5489</v>
      </c>
      <c r="D418" s="14">
        <f>CHOOSE(CONTROL!$C$42, 17.7578, 17.7578) * CHOOSE(CONTROL!$C$21, $C$9, 100%, $E$9)</f>
        <v>17.7578</v>
      </c>
      <c r="E418" s="14">
        <f>CHOOSE(CONTROL!$C$42, 17.7869, 17.7869) * CHOOSE(CONTROL!$C$21, $C$9, 100%, $E$9)</f>
        <v>17.786899999999999</v>
      </c>
      <c r="F418" s="14">
        <f>CHOOSE(CONTROL!$C$42, 17.5276, 17.5276)*CHOOSE(CONTROL!$C$21, $C$9, 100%, $E$9)</f>
        <v>17.5276</v>
      </c>
      <c r="G418" s="14">
        <f>CHOOSE(CONTROL!$C$42, 17.5432, 17.5432)*CHOOSE(CONTROL!$C$21, $C$9, 100%, $E$9)</f>
        <v>17.543199999999999</v>
      </c>
      <c r="H418" s="14">
        <f>CHOOSE(CONTROL!$C$42, 17.7774, 17.7774) * CHOOSE(CONTROL!$C$21, $C$9, 100%, $E$9)</f>
        <v>17.7774</v>
      </c>
      <c r="I418" s="14">
        <f>CHOOSE(CONTROL!$C$42, 17.6057, 17.6057)* CHOOSE(CONTROL!$C$21, $C$9, 100%, $E$9)</f>
        <v>17.605699999999999</v>
      </c>
      <c r="J418" s="14">
        <f>CHOOSE(CONTROL!$C$42, 17.5206, 17.5206)* CHOOSE(CONTROL!$C$21, $C$9, 100%, $E$9)</f>
        <v>17.520600000000002</v>
      </c>
      <c r="K418" s="53">
        <f>CHOOSE(CONTROL!$C$42, 17.6018, 17.6018) * CHOOSE(CONTROL!$C$21, $C$9, 100%, $E$9)</f>
        <v>17.601800000000001</v>
      </c>
      <c r="L418" s="14">
        <f>CHOOSE(CONTROL!$C$42, 18.3644, 18.3644) * CHOOSE(CONTROL!$C$21, $C$9, 100%, $E$9)</f>
        <v>18.3644</v>
      </c>
      <c r="M418" s="14">
        <f>CHOOSE(CONTROL!$C$42, 17.1693, 17.1693) * CHOOSE(CONTROL!$C$21, $C$9, 100%, $E$9)</f>
        <v>17.1693</v>
      </c>
      <c r="N418" s="14">
        <f>CHOOSE(CONTROL!$C$42, 17.1846, 17.1846) * CHOOSE(CONTROL!$C$21, $C$9, 100%, $E$9)</f>
        <v>17.1846</v>
      </c>
      <c r="O418" s="14">
        <f>CHOOSE(CONTROL!$C$42, 17.4208, 17.4208) * CHOOSE(CONTROL!$C$21, $C$9, 100%, $E$9)</f>
        <v>17.4208</v>
      </c>
      <c r="P418" s="14">
        <f>CHOOSE(CONTROL!$C$42, 17.2517, 17.2517) * CHOOSE(CONTROL!$C$21, $C$9, 100%, $E$9)</f>
        <v>17.2517</v>
      </c>
      <c r="Q418" s="14">
        <f>CHOOSE(CONTROL!$C$42, 18.0155, 18.0155) * CHOOSE(CONTROL!$C$21, $C$9, 100%, $E$9)</f>
        <v>18.015499999999999</v>
      </c>
      <c r="R418" s="14">
        <f>CHOOSE(CONTROL!$C$42, 18.6476, 18.6476) * CHOOSE(CONTROL!$C$21, $C$9, 100%, $E$9)</f>
        <v>18.647600000000001</v>
      </c>
      <c r="S418" s="14">
        <f>CHOOSE(CONTROL!$C$42, 16.8487, 16.8487) * CHOOSE(CONTROL!$C$21, $C$9, 100%, $E$9)</f>
        <v>16.848700000000001</v>
      </c>
      <c r="T41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18" s="57">
        <f>(1000*CHOOSE(CONTROL!$C$42, 695, 695)*CHOOSE(CONTROL!$C$42, 0.5599, 0.5599)*CHOOSE(CONTROL!$C$42, 31, 31))/1000000</f>
        <v>12.063045499999998</v>
      </c>
      <c r="V418" s="57">
        <f>(1000*CHOOSE(CONTROL!$C$42, 500, 500)*CHOOSE(CONTROL!$C$42, 0.275, 0.275)*CHOOSE(CONTROL!$C$42, 31, 31))/1000000</f>
        <v>4.2625000000000002</v>
      </c>
      <c r="W418" s="57">
        <f>(1000*CHOOSE(CONTROL!$C$42, 0.1146, 0.1146)*CHOOSE(CONTROL!$C$42, 121.5, 121.5)*CHOOSE(CONTROL!$C$42, 31, 31))/1000000</f>
        <v>0.43164089999999994</v>
      </c>
      <c r="X418" s="57">
        <f>(31*0.1790888*245000/1000000)+(31*0.2374*100000/1000000)</f>
        <v>2.0961194359999999</v>
      </c>
      <c r="Y418" s="57"/>
      <c r="Z418" s="14"/>
      <c r="AA418" s="56"/>
      <c r="AB418" s="50">
        <f>(B418*131.881+C418*277.167+D418*79.08+E418*125.872+F418*40+G418*185+H418*0+I418*100+J418*300)/(131.881+277.167+79.08+125.872+0+40+185+100+300)</f>
        <v>17.582041145036317</v>
      </c>
      <c r="AC418" s="45">
        <f>(M418*'RAP TEMPLATE-GAS AVAILABILITY'!O417+N418*'RAP TEMPLATE-GAS AVAILABILITY'!P417+O418*'RAP TEMPLATE-GAS AVAILABILITY'!Q417+P418*'RAP TEMPLATE-GAS AVAILABILITY'!R417)/('RAP TEMPLATE-GAS AVAILABILITY'!O417+'RAP TEMPLATE-GAS AVAILABILITY'!P417+'RAP TEMPLATE-GAS AVAILABILITY'!Q417+'RAP TEMPLATE-GAS AVAILABILITY'!R417)</f>
        <v>17.255243165467625</v>
      </c>
    </row>
    <row r="419" spans="1:29" ht="15.75" x14ac:dyDescent="0.25">
      <c r="A419" s="33">
        <v>53661</v>
      </c>
      <c r="B419" s="14">
        <f>CHOOSE(CONTROL!$C$42, 18.0051, 18.0051) * CHOOSE(CONTROL!$C$21, $C$9, 100%, $E$9)</f>
        <v>18.005099999999999</v>
      </c>
      <c r="C419" s="14">
        <f>CHOOSE(CONTROL!$C$42, 18.0101, 18.0101) * CHOOSE(CONTROL!$C$21, $C$9, 100%, $E$9)</f>
        <v>18.010100000000001</v>
      </c>
      <c r="D419" s="14">
        <f>CHOOSE(CONTROL!$C$42, 18.0739, 18.0739) * CHOOSE(CONTROL!$C$21, $C$9, 100%, $E$9)</f>
        <v>18.073899999999998</v>
      </c>
      <c r="E419" s="14">
        <f>CHOOSE(CONTROL!$C$42, 18.108, 18.108) * CHOOSE(CONTROL!$C$21, $C$9, 100%, $E$9)</f>
        <v>18.108000000000001</v>
      </c>
      <c r="F419" s="14">
        <f>CHOOSE(CONTROL!$C$42, 18.0075, 18.0075)*CHOOSE(CONTROL!$C$21, $C$9, 100%, $E$9)</f>
        <v>18.0075</v>
      </c>
      <c r="G419" s="14">
        <f>CHOOSE(CONTROL!$C$42, 18.0235, 18.0235)*CHOOSE(CONTROL!$C$21, $C$9, 100%, $E$9)</f>
        <v>18.023499999999999</v>
      </c>
      <c r="H419" s="14">
        <f>CHOOSE(CONTROL!$C$42, 18.0972, 18.0972) * CHOOSE(CONTROL!$C$21, $C$9, 100%, $E$9)</f>
        <v>18.097200000000001</v>
      </c>
      <c r="I419" s="14">
        <f>CHOOSE(CONTROL!$C$42, 18.0743, 18.0743)* CHOOSE(CONTROL!$C$21, $C$9, 100%, $E$9)</f>
        <v>18.074300000000001</v>
      </c>
      <c r="J419" s="14">
        <f>CHOOSE(CONTROL!$C$42, 18.0005, 18.0005)* CHOOSE(CONTROL!$C$21, $C$9, 100%, $E$9)</f>
        <v>18.000499999999999</v>
      </c>
      <c r="K419" s="53">
        <f>CHOOSE(CONTROL!$C$42, 18.0704, 18.0704) * CHOOSE(CONTROL!$C$21, $C$9, 100%, $E$9)</f>
        <v>18.070399999999999</v>
      </c>
      <c r="L419" s="14">
        <f>CHOOSE(CONTROL!$C$42, 18.6842, 18.6842) * CHOOSE(CONTROL!$C$21, $C$9, 100%, $E$9)</f>
        <v>18.684200000000001</v>
      </c>
      <c r="M419" s="14">
        <f>CHOOSE(CONTROL!$C$42, 17.6393, 17.6393) * CHOOSE(CONTROL!$C$21, $C$9, 100%, $E$9)</f>
        <v>17.639299999999999</v>
      </c>
      <c r="N419" s="14">
        <f>CHOOSE(CONTROL!$C$42, 17.655, 17.655) * CHOOSE(CONTROL!$C$21, $C$9, 100%, $E$9)</f>
        <v>17.655000000000001</v>
      </c>
      <c r="O419" s="14">
        <f>CHOOSE(CONTROL!$C$42, 17.7341, 17.7341) * CHOOSE(CONTROL!$C$21, $C$9, 100%, $E$9)</f>
        <v>17.734100000000002</v>
      </c>
      <c r="P419" s="14">
        <f>CHOOSE(CONTROL!$C$42, 17.7106, 17.7106) * CHOOSE(CONTROL!$C$21, $C$9, 100%, $E$9)</f>
        <v>17.710599999999999</v>
      </c>
      <c r="Q419" s="14">
        <f>CHOOSE(CONTROL!$C$42, 18.3288, 18.3288) * CHOOSE(CONTROL!$C$21, $C$9, 100%, $E$9)</f>
        <v>18.328800000000001</v>
      </c>
      <c r="R419" s="14">
        <f>CHOOSE(CONTROL!$C$42, 18.9617, 18.9617) * CHOOSE(CONTROL!$C$21, $C$9, 100%, $E$9)</f>
        <v>18.9617</v>
      </c>
      <c r="S419" s="14">
        <f>CHOOSE(CONTROL!$C$42, 17.2925, 17.2925) * CHOOSE(CONTROL!$C$21, $C$9, 100%, $E$9)</f>
        <v>17.2925</v>
      </c>
      <c r="T41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19" s="57">
        <f>(1000*CHOOSE(CONTROL!$C$42, 695, 695)*CHOOSE(CONTROL!$C$42, 0.5599, 0.5599)*CHOOSE(CONTROL!$C$42, 30, 30))/1000000</f>
        <v>11.673914999999997</v>
      </c>
      <c r="V419" s="57">
        <f>(1000*CHOOSE(CONTROL!$C$42, 500, 500)*CHOOSE(CONTROL!$C$42, 0.275, 0.275)*CHOOSE(CONTROL!$C$42, 30, 30))/1000000</f>
        <v>4.125</v>
      </c>
      <c r="W419" s="57">
        <f>(1000*CHOOSE(CONTROL!$C$42, 0.1146, 0.1146)*CHOOSE(CONTROL!$C$42, 121.5, 121.5)*CHOOSE(CONTROL!$C$42, 30, 30))/1000000</f>
        <v>0.417717</v>
      </c>
      <c r="X419" s="57">
        <f>(30*0.1790888*100000/1000000)+(30*0.2374*100000/1000000)</f>
        <v>1.2494664</v>
      </c>
      <c r="Y419" s="57"/>
      <c r="Z419" s="14"/>
      <c r="AA419" s="56"/>
      <c r="AB419" s="50">
        <f>(B419*122.58+C419*297.941+D419*89.177+E419*40.302+F419*40+G419*160+H419*0+I419*100+J419*300)/(122.58+297.941+89.177+40.302+0+40+160+100+300)</f>
        <v>18.022797529043476</v>
      </c>
      <c r="AC419" s="45">
        <f>(M419*'RAP TEMPLATE-GAS AVAILABILITY'!O418+N419*'RAP TEMPLATE-GAS AVAILABILITY'!P418+O419*'RAP TEMPLATE-GAS AVAILABILITY'!Q418+P419*'RAP TEMPLATE-GAS AVAILABILITY'!R418)/('RAP TEMPLATE-GAS AVAILABILITY'!O418+'RAP TEMPLATE-GAS AVAILABILITY'!P418+'RAP TEMPLATE-GAS AVAILABILITY'!Q418+'RAP TEMPLATE-GAS AVAILABILITY'!R418)</f>
        <v>17.693429496402878</v>
      </c>
    </row>
    <row r="420" spans="1:29" ht="15.75" x14ac:dyDescent="0.25">
      <c r="A420" s="33">
        <v>53692</v>
      </c>
      <c r="B420" s="14">
        <f>CHOOSE(CONTROL!$C$42, 19.232, 19.232) * CHOOSE(CONTROL!$C$21, $C$9, 100%, $E$9)</f>
        <v>19.231999999999999</v>
      </c>
      <c r="C420" s="14">
        <f>CHOOSE(CONTROL!$C$42, 19.237, 19.237) * CHOOSE(CONTROL!$C$21, $C$9, 100%, $E$9)</f>
        <v>19.236999999999998</v>
      </c>
      <c r="D420" s="14">
        <f>CHOOSE(CONTROL!$C$42, 19.3009, 19.3009) * CHOOSE(CONTROL!$C$21, $C$9, 100%, $E$9)</f>
        <v>19.300899999999999</v>
      </c>
      <c r="E420" s="14">
        <f>CHOOSE(CONTROL!$C$42, 19.335, 19.335) * CHOOSE(CONTROL!$C$21, $C$9, 100%, $E$9)</f>
        <v>19.335000000000001</v>
      </c>
      <c r="F420" s="14">
        <f>CHOOSE(CONTROL!$C$42, 19.2366, 19.2366)*CHOOSE(CONTROL!$C$21, $C$9, 100%, $E$9)</f>
        <v>19.236599999999999</v>
      </c>
      <c r="G420" s="14">
        <f>CHOOSE(CONTROL!$C$42, 19.2532, 19.2532)*CHOOSE(CONTROL!$C$21, $C$9, 100%, $E$9)</f>
        <v>19.2532</v>
      </c>
      <c r="H420" s="14">
        <f>CHOOSE(CONTROL!$C$42, 19.3242, 19.3242) * CHOOSE(CONTROL!$C$21, $C$9, 100%, $E$9)</f>
        <v>19.324200000000001</v>
      </c>
      <c r="I420" s="14">
        <f>CHOOSE(CONTROL!$C$42, 19.3051, 19.3051)* CHOOSE(CONTROL!$C$21, $C$9, 100%, $E$9)</f>
        <v>19.305099999999999</v>
      </c>
      <c r="J420" s="14">
        <f>CHOOSE(CONTROL!$C$42, 19.2296, 19.2296)* CHOOSE(CONTROL!$C$21, $C$9, 100%, $E$9)</f>
        <v>19.229600000000001</v>
      </c>
      <c r="K420" s="53">
        <f>CHOOSE(CONTROL!$C$42, 19.3012, 19.3012) * CHOOSE(CONTROL!$C$21, $C$9, 100%, $E$9)</f>
        <v>19.301200000000001</v>
      </c>
      <c r="L420" s="14">
        <f>CHOOSE(CONTROL!$C$42, 19.9112, 19.9112) * CHOOSE(CONTROL!$C$21, $C$9, 100%, $E$9)</f>
        <v>19.911200000000001</v>
      </c>
      <c r="M420" s="14">
        <f>CHOOSE(CONTROL!$C$42, 18.8433, 18.8433) * CHOOSE(CONTROL!$C$21, $C$9, 100%, $E$9)</f>
        <v>18.843299999999999</v>
      </c>
      <c r="N420" s="14">
        <f>CHOOSE(CONTROL!$C$42, 18.8596, 18.8596) * CHOOSE(CONTROL!$C$21, $C$9, 100%, $E$9)</f>
        <v>18.8596</v>
      </c>
      <c r="O420" s="14">
        <f>CHOOSE(CONTROL!$C$42, 18.9359, 18.9359) * CHOOSE(CONTROL!$C$21, $C$9, 100%, $E$9)</f>
        <v>18.9359</v>
      </c>
      <c r="P420" s="14">
        <f>CHOOSE(CONTROL!$C$42, 18.9161, 18.9161) * CHOOSE(CONTROL!$C$21, $C$9, 100%, $E$9)</f>
        <v>18.9161</v>
      </c>
      <c r="Q420" s="14">
        <f>CHOOSE(CONTROL!$C$42, 19.5306, 19.5306) * CHOOSE(CONTROL!$C$21, $C$9, 100%, $E$9)</f>
        <v>19.5306</v>
      </c>
      <c r="R420" s="14">
        <f>CHOOSE(CONTROL!$C$42, 20.1664, 20.1664) * CHOOSE(CONTROL!$C$21, $C$9, 100%, $E$9)</f>
        <v>20.166399999999999</v>
      </c>
      <c r="S420" s="14">
        <f>CHOOSE(CONTROL!$C$42, 18.4715, 18.4715) * CHOOSE(CONTROL!$C$21, $C$9, 100%, $E$9)</f>
        <v>18.471499999999999</v>
      </c>
      <c r="T42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20" s="57">
        <f>(1000*CHOOSE(CONTROL!$C$42, 695, 695)*CHOOSE(CONTROL!$C$42, 0.5599, 0.5599)*CHOOSE(CONTROL!$C$42, 31, 31))/1000000</f>
        <v>12.063045499999998</v>
      </c>
      <c r="V420" s="57">
        <f>(1000*CHOOSE(CONTROL!$C$42, 500, 500)*CHOOSE(CONTROL!$C$42, 0.275, 0.275)*CHOOSE(CONTROL!$C$42, 31, 31))/1000000</f>
        <v>4.2625000000000002</v>
      </c>
      <c r="W420" s="57">
        <f>(1000*CHOOSE(CONTROL!$C$42, 0.1146, 0.1146)*CHOOSE(CONTROL!$C$42, 121.5, 121.5)*CHOOSE(CONTROL!$C$42, 31, 31))/1000000</f>
        <v>0.43164089999999994</v>
      </c>
      <c r="X420" s="57">
        <f>(31*0.1790888*100000/1000000)+(31*0.2374*100000/1000000)</f>
        <v>1.2911152800000001</v>
      </c>
      <c r="Y420" s="57"/>
      <c r="Z420" s="14"/>
      <c r="AA420" s="56"/>
      <c r="AB420" s="50">
        <f>(B420*122.58+C420*297.941+D420*89.177+E420*40.302+F420*40+G420*160+H420*0+I420*100+J420*300)/(122.58+297.941+89.177+40.302+0+40+160+100+300)</f>
        <v>19.251087918521737</v>
      </c>
      <c r="AC420" s="45">
        <f>(M420*'RAP TEMPLATE-GAS AVAILABILITY'!O419+N420*'RAP TEMPLATE-GAS AVAILABILITY'!P419+O420*'RAP TEMPLATE-GAS AVAILABILITY'!Q419+P420*'RAP TEMPLATE-GAS AVAILABILITY'!R419)/('RAP TEMPLATE-GAS AVAILABILITY'!O419+'RAP TEMPLATE-GAS AVAILABILITY'!P419+'RAP TEMPLATE-GAS AVAILABILITY'!Q419+'RAP TEMPLATE-GAS AVAILABILITY'!R419)</f>
        <v>18.896682733812952</v>
      </c>
    </row>
    <row r="421" spans="1:29" ht="15.75" x14ac:dyDescent="0.25">
      <c r="A421" s="33">
        <v>53723</v>
      </c>
      <c r="B421" s="14">
        <f>CHOOSE(CONTROL!$C$42, 20.8066, 20.8066) * CHOOSE(CONTROL!$C$21, $C$9, 100%, $E$9)</f>
        <v>20.8066</v>
      </c>
      <c r="C421" s="14">
        <f>CHOOSE(CONTROL!$C$42, 20.8116, 20.8116) * CHOOSE(CONTROL!$C$21, $C$9, 100%, $E$9)</f>
        <v>20.811599999999999</v>
      </c>
      <c r="D421" s="14">
        <f>CHOOSE(CONTROL!$C$42, 20.878, 20.878) * CHOOSE(CONTROL!$C$21, $C$9, 100%, $E$9)</f>
        <v>20.878</v>
      </c>
      <c r="E421" s="14">
        <f>CHOOSE(CONTROL!$C$42, 20.9121, 20.9121) * CHOOSE(CONTROL!$C$21, $C$9, 100%, $E$9)</f>
        <v>20.912099999999999</v>
      </c>
      <c r="F421" s="14">
        <f>CHOOSE(CONTROL!$C$42, 20.7939, 20.7939)*CHOOSE(CONTROL!$C$21, $C$9, 100%, $E$9)</f>
        <v>20.793900000000001</v>
      </c>
      <c r="G421" s="14">
        <f>CHOOSE(CONTROL!$C$42, 20.8094, 20.8094)*CHOOSE(CONTROL!$C$21, $C$9, 100%, $E$9)</f>
        <v>20.8094</v>
      </c>
      <c r="H421" s="14">
        <f>CHOOSE(CONTROL!$C$42, 20.9013, 20.9013) * CHOOSE(CONTROL!$C$21, $C$9, 100%, $E$9)</f>
        <v>20.901299999999999</v>
      </c>
      <c r="I421" s="14">
        <f>CHOOSE(CONTROL!$C$42, 20.8793, 20.8793)* CHOOSE(CONTROL!$C$21, $C$9, 100%, $E$9)</f>
        <v>20.879300000000001</v>
      </c>
      <c r="J421" s="14">
        <f>CHOOSE(CONTROL!$C$42, 20.7869, 20.7869)* CHOOSE(CONTROL!$C$21, $C$9, 100%, $E$9)</f>
        <v>20.786899999999999</v>
      </c>
      <c r="K421" s="53">
        <f>CHOOSE(CONTROL!$C$42, 20.8755, 20.8755) * CHOOSE(CONTROL!$C$21, $C$9, 100%, $E$9)</f>
        <v>20.875499999999999</v>
      </c>
      <c r="L421" s="14">
        <f>CHOOSE(CONTROL!$C$42, 21.4883, 21.4883) * CHOOSE(CONTROL!$C$21, $C$9, 100%, $E$9)</f>
        <v>21.488299999999999</v>
      </c>
      <c r="M421" s="14">
        <f>CHOOSE(CONTROL!$C$42, 20.3687, 20.3687) * CHOOSE(CONTROL!$C$21, $C$9, 100%, $E$9)</f>
        <v>20.3687</v>
      </c>
      <c r="N421" s="14">
        <f>CHOOSE(CONTROL!$C$42, 20.3838, 20.3838) * CHOOSE(CONTROL!$C$21, $C$9, 100%, $E$9)</f>
        <v>20.383800000000001</v>
      </c>
      <c r="O421" s="14">
        <f>CHOOSE(CONTROL!$C$42, 20.4808, 20.4808) * CHOOSE(CONTROL!$C$21, $C$9, 100%, $E$9)</f>
        <v>20.480799999999999</v>
      </c>
      <c r="P421" s="14">
        <f>CHOOSE(CONTROL!$C$42, 20.458, 20.458) * CHOOSE(CONTROL!$C$21, $C$9, 100%, $E$9)</f>
        <v>20.457999999999998</v>
      </c>
      <c r="Q421" s="14">
        <f>CHOOSE(CONTROL!$C$42, 21.0755, 21.0755) * CHOOSE(CONTROL!$C$21, $C$9, 100%, $E$9)</f>
        <v>21.075500000000002</v>
      </c>
      <c r="R421" s="14">
        <f>CHOOSE(CONTROL!$C$42, 21.7152, 21.7152) * CHOOSE(CONTROL!$C$21, $C$9, 100%, $E$9)</f>
        <v>21.715199999999999</v>
      </c>
      <c r="S421" s="14">
        <f>CHOOSE(CONTROL!$C$42, 19.9845, 19.9845) * CHOOSE(CONTROL!$C$21, $C$9, 100%, $E$9)</f>
        <v>19.984500000000001</v>
      </c>
      <c r="T42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21" s="57">
        <f>(1000*CHOOSE(CONTROL!$C$42, 695, 695)*CHOOSE(CONTROL!$C$42, 0.5599, 0.5599)*CHOOSE(CONTROL!$C$42, 31, 31))/1000000</f>
        <v>12.063045499999998</v>
      </c>
      <c r="V421" s="57">
        <f>(1000*CHOOSE(CONTROL!$C$42, 500, 500)*CHOOSE(CONTROL!$C$42, 0.275, 0.275)*CHOOSE(CONTROL!$C$42, 31, 31))/1000000</f>
        <v>4.2625000000000002</v>
      </c>
      <c r="W421" s="57">
        <f>(1000*CHOOSE(CONTROL!$C$42, 0.1146, 0.1146)*CHOOSE(CONTROL!$C$42, 121.5, 121.5)*CHOOSE(CONTROL!$C$42, 31, 31))/1000000</f>
        <v>0.43164089999999994</v>
      </c>
      <c r="X421" s="57">
        <f>(31*0.1790888*100000/1000000)+(31*0.2374*100000/1000000)</f>
        <v>1.2911152800000001</v>
      </c>
      <c r="Y421" s="57"/>
      <c r="Z421" s="14"/>
      <c r="AA421" s="56"/>
      <c r="AB421" s="50">
        <f>(B421*122.58+C421*297.941+D421*89.177+E421*40.302+F421*40+G421*160+H421*0+I421*100+J421*300)/(122.58+297.941+89.177+40.302+0+40+160+100+300)</f>
        <v>20.818259829391302</v>
      </c>
      <c r="AC421" s="45">
        <f>(M421*'RAP TEMPLATE-GAS AVAILABILITY'!O420+N421*'RAP TEMPLATE-GAS AVAILABILITY'!P420+O421*'RAP TEMPLATE-GAS AVAILABILITY'!Q420+P421*'RAP TEMPLATE-GAS AVAILABILITY'!R420)/('RAP TEMPLATE-GAS AVAILABILITY'!O420+'RAP TEMPLATE-GAS AVAILABILITY'!P420+'RAP TEMPLATE-GAS AVAILABILITY'!Q420+'RAP TEMPLATE-GAS AVAILABILITY'!R420)</f>
        <v>20.433225899280572</v>
      </c>
    </row>
    <row r="422" spans="1:29" ht="15.75" x14ac:dyDescent="0.25">
      <c r="A422" s="33">
        <v>53751</v>
      </c>
      <c r="B422" s="14">
        <f>CHOOSE(CONTROL!$C$42, 21.1768, 21.1768) * CHOOSE(CONTROL!$C$21, $C$9, 100%, $E$9)</f>
        <v>21.1768</v>
      </c>
      <c r="C422" s="14">
        <f>CHOOSE(CONTROL!$C$42, 21.1818, 21.1818) * CHOOSE(CONTROL!$C$21, $C$9, 100%, $E$9)</f>
        <v>21.181799999999999</v>
      </c>
      <c r="D422" s="14">
        <f>CHOOSE(CONTROL!$C$42, 21.2483, 21.2483) * CHOOSE(CONTROL!$C$21, $C$9, 100%, $E$9)</f>
        <v>21.2483</v>
      </c>
      <c r="E422" s="14">
        <f>CHOOSE(CONTROL!$C$42, 21.2824, 21.2824) * CHOOSE(CONTROL!$C$21, $C$9, 100%, $E$9)</f>
        <v>21.282399999999999</v>
      </c>
      <c r="F422" s="14">
        <f>CHOOSE(CONTROL!$C$42, 21.1642, 21.1642)*CHOOSE(CONTROL!$C$21, $C$9, 100%, $E$9)</f>
        <v>21.164200000000001</v>
      </c>
      <c r="G422" s="14">
        <f>CHOOSE(CONTROL!$C$42, 21.1797, 21.1797)*CHOOSE(CONTROL!$C$21, $C$9, 100%, $E$9)</f>
        <v>21.1797</v>
      </c>
      <c r="H422" s="14">
        <f>CHOOSE(CONTROL!$C$42, 21.2716, 21.2716) * CHOOSE(CONTROL!$C$21, $C$9, 100%, $E$9)</f>
        <v>21.271599999999999</v>
      </c>
      <c r="I422" s="14">
        <f>CHOOSE(CONTROL!$C$42, 21.2507, 21.2507)* CHOOSE(CONTROL!$C$21, $C$9, 100%, $E$9)</f>
        <v>21.250699999999998</v>
      </c>
      <c r="J422" s="14">
        <f>CHOOSE(CONTROL!$C$42, 21.1572, 21.1572)* CHOOSE(CONTROL!$C$21, $C$9, 100%, $E$9)</f>
        <v>21.1572</v>
      </c>
      <c r="K422" s="53">
        <f>CHOOSE(CONTROL!$C$42, 21.2468, 21.2468) * CHOOSE(CONTROL!$C$21, $C$9, 100%, $E$9)</f>
        <v>21.2468</v>
      </c>
      <c r="L422" s="14">
        <f>CHOOSE(CONTROL!$C$42, 21.8586, 21.8586) * CHOOSE(CONTROL!$C$21, $C$9, 100%, $E$9)</f>
        <v>21.858599999999999</v>
      </c>
      <c r="M422" s="14">
        <f>CHOOSE(CONTROL!$C$42, 20.7314, 20.7314) * CHOOSE(CONTROL!$C$21, $C$9, 100%, $E$9)</f>
        <v>20.731400000000001</v>
      </c>
      <c r="N422" s="14">
        <f>CHOOSE(CONTROL!$C$42, 20.7465, 20.7465) * CHOOSE(CONTROL!$C$21, $C$9, 100%, $E$9)</f>
        <v>20.746500000000001</v>
      </c>
      <c r="O422" s="14">
        <f>CHOOSE(CONTROL!$C$42, 20.8434, 20.8434) * CHOOSE(CONTROL!$C$21, $C$9, 100%, $E$9)</f>
        <v>20.843399999999999</v>
      </c>
      <c r="P422" s="14">
        <f>CHOOSE(CONTROL!$C$42, 20.8217, 20.8217) * CHOOSE(CONTROL!$C$21, $C$9, 100%, $E$9)</f>
        <v>20.8217</v>
      </c>
      <c r="Q422" s="14">
        <f>CHOOSE(CONTROL!$C$42, 21.4381, 21.4381) * CHOOSE(CONTROL!$C$21, $C$9, 100%, $E$9)</f>
        <v>21.438099999999999</v>
      </c>
      <c r="R422" s="14">
        <f>CHOOSE(CONTROL!$C$42, 22.0787, 22.0787) * CHOOSE(CONTROL!$C$21, $C$9, 100%, $E$9)</f>
        <v>22.078700000000001</v>
      </c>
      <c r="S422" s="14">
        <f>CHOOSE(CONTROL!$C$42, 20.3402, 20.3402) * CHOOSE(CONTROL!$C$21, $C$9, 100%, $E$9)</f>
        <v>20.340199999999999</v>
      </c>
      <c r="T42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22" s="57">
        <f>(1000*CHOOSE(CONTROL!$C$42, 695, 695)*CHOOSE(CONTROL!$C$42, 0.5599, 0.5599)*CHOOSE(CONTROL!$C$42, 28, 28))/1000000</f>
        <v>10.895653999999999</v>
      </c>
      <c r="V422" s="57">
        <f>(1000*CHOOSE(CONTROL!$C$42, 500, 500)*CHOOSE(CONTROL!$C$42, 0.275, 0.275)*CHOOSE(CONTROL!$C$42, 28, 28))/1000000</f>
        <v>3.85</v>
      </c>
      <c r="W422" s="57">
        <f>(1000*CHOOSE(CONTROL!$C$42, 0.1146, 0.1146)*CHOOSE(CONTROL!$C$42, 121.5, 121.5)*CHOOSE(CONTROL!$C$42, 28, 28))/1000000</f>
        <v>0.38986920000000003</v>
      </c>
      <c r="X422" s="57">
        <f>(28*0.1790888*100000/1000000)+(28*0.2374*100000/1000000)</f>
        <v>1.16616864</v>
      </c>
      <c r="Y422" s="57"/>
      <c r="Z422" s="14"/>
      <c r="AA422" s="56"/>
      <c r="AB422" s="50">
        <f>(B422*122.58+C422*297.941+D422*89.177+E422*40.302+F422*40+G422*160+H422*0+I422*100+J422*300)/(122.58+297.941+89.177+40.302+0+40+160+100+300)</f>
        <v>21.18861891452174</v>
      </c>
      <c r="AC422" s="45">
        <f>(M422*'RAP TEMPLATE-GAS AVAILABILITY'!O421+N422*'RAP TEMPLATE-GAS AVAILABILITY'!P421+O422*'RAP TEMPLATE-GAS AVAILABILITY'!Q421+P422*'RAP TEMPLATE-GAS AVAILABILITY'!R421)/('RAP TEMPLATE-GAS AVAILABILITY'!O421+'RAP TEMPLATE-GAS AVAILABILITY'!P421+'RAP TEMPLATE-GAS AVAILABILITY'!Q421+'RAP TEMPLATE-GAS AVAILABILITY'!R421)</f>
        <v>20.796024460431653</v>
      </c>
    </row>
    <row r="423" spans="1:29" ht="15.75" x14ac:dyDescent="0.25">
      <c r="A423" s="33">
        <v>53782</v>
      </c>
      <c r="B423" s="14">
        <f>CHOOSE(CONTROL!$C$42, 20.5758, 20.5758) * CHOOSE(CONTROL!$C$21, $C$9, 100%, $E$9)</f>
        <v>20.575800000000001</v>
      </c>
      <c r="C423" s="14">
        <f>CHOOSE(CONTROL!$C$42, 20.5809, 20.5809) * CHOOSE(CONTROL!$C$21, $C$9, 100%, $E$9)</f>
        <v>20.5809</v>
      </c>
      <c r="D423" s="14">
        <f>CHOOSE(CONTROL!$C$42, 20.6473, 20.6473) * CHOOSE(CONTROL!$C$21, $C$9, 100%, $E$9)</f>
        <v>20.647300000000001</v>
      </c>
      <c r="E423" s="14">
        <f>CHOOSE(CONTROL!$C$42, 20.6814, 20.6814) * CHOOSE(CONTROL!$C$21, $C$9, 100%, $E$9)</f>
        <v>20.6814</v>
      </c>
      <c r="F423" s="14">
        <f>CHOOSE(CONTROL!$C$42, 20.5628, 20.5628)*CHOOSE(CONTROL!$C$21, $C$9, 100%, $E$9)</f>
        <v>20.562799999999999</v>
      </c>
      <c r="G423" s="14">
        <f>CHOOSE(CONTROL!$C$42, 20.5782, 20.5782)*CHOOSE(CONTROL!$C$21, $C$9, 100%, $E$9)</f>
        <v>20.578199999999999</v>
      </c>
      <c r="H423" s="14">
        <f>CHOOSE(CONTROL!$C$42, 20.6706, 20.6706) * CHOOSE(CONTROL!$C$21, $C$9, 100%, $E$9)</f>
        <v>20.6706</v>
      </c>
      <c r="I423" s="14">
        <f>CHOOSE(CONTROL!$C$42, 20.6479, 20.6479)* CHOOSE(CONTROL!$C$21, $C$9, 100%, $E$9)</f>
        <v>20.6479</v>
      </c>
      <c r="J423" s="14">
        <f>CHOOSE(CONTROL!$C$42, 20.5558, 20.5558)* CHOOSE(CONTROL!$C$21, $C$9, 100%, $E$9)</f>
        <v>20.555800000000001</v>
      </c>
      <c r="K423" s="53">
        <f>CHOOSE(CONTROL!$C$42, 20.644, 20.644) * CHOOSE(CONTROL!$C$21, $C$9, 100%, $E$9)</f>
        <v>20.643999999999998</v>
      </c>
      <c r="L423" s="14">
        <f>CHOOSE(CONTROL!$C$42, 21.2576, 21.2576) * CHOOSE(CONTROL!$C$21, $C$9, 100%, $E$9)</f>
        <v>21.2576</v>
      </c>
      <c r="M423" s="14">
        <f>CHOOSE(CONTROL!$C$42, 20.1423, 20.1423) * CHOOSE(CONTROL!$C$21, $C$9, 100%, $E$9)</f>
        <v>20.142299999999999</v>
      </c>
      <c r="N423" s="14">
        <f>CHOOSE(CONTROL!$C$42, 20.1574, 20.1574) * CHOOSE(CONTROL!$C$21, $C$9, 100%, $E$9)</f>
        <v>20.157399999999999</v>
      </c>
      <c r="O423" s="14">
        <f>CHOOSE(CONTROL!$C$42, 20.2548, 20.2548) * CHOOSE(CONTROL!$C$21, $C$9, 100%, $E$9)</f>
        <v>20.254799999999999</v>
      </c>
      <c r="P423" s="14">
        <f>CHOOSE(CONTROL!$C$42, 20.2313, 20.2313) * CHOOSE(CONTROL!$C$21, $C$9, 100%, $E$9)</f>
        <v>20.231300000000001</v>
      </c>
      <c r="Q423" s="14">
        <f>CHOOSE(CONTROL!$C$42, 20.8495, 20.8495) * CHOOSE(CONTROL!$C$21, $C$9, 100%, $E$9)</f>
        <v>20.849499999999999</v>
      </c>
      <c r="R423" s="14">
        <f>CHOOSE(CONTROL!$C$42, 21.4886, 21.4886) * CHOOSE(CONTROL!$C$21, $C$9, 100%, $E$9)</f>
        <v>21.488600000000002</v>
      </c>
      <c r="S423" s="14">
        <f>CHOOSE(CONTROL!$C$42, 19.7628, 19.7628) * CHOOSE(CONTROL!$C$21, $C$9, 100%, $E$9)</f>
        <v>19.762799999999999</v>
      </c>
      <c r="T42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23" s="57">
        <f>(1000*CHOOSE(CONTROL!$C$42, 695, 695)*CHOOSE(CONTROL!$C$42, 0.5599, 0.5599)*CHOOSE(CONTROL!$C$42, 31, 31))/1000000</f>
        <v>12.063045499999998</v>
      </c>
      <c r="V423" s="57">
        <f>(1000*CHOOSE(CONTROL!$C$42, 500, 500)*CHOOSE(CONTROL!$C$42, 0.275, 0.275)*CHOOSE(CONTROL!$C$42, 31, 31))/1000000</f>
        <v>4.2625000000000002</v>
      </c>
      <c r="W423" s="57">
        <f>(1000*CHOOSE(CONTROL!$C$42, 0.1146, 0.1146)*CHOOSE(CONTROL!$C$42, 121.5, 121.5)*CHOOSE(CONTROL!$C$42, 31, 31))/1000000</f>
        <v>0.43164089999999994</v>
      </c>
      <c r="X423" s="57">
        <f>(31*0.1790888*100000/1000000)+(31*0.2374*100000/1000000)</f>
        <v>1.2911152800000001</v>
      </c>
      <c r="Y423" s="57"/>
      <c r="Z423" s="14"/>
      <c r="AA423" s="56"/>
      <c r="AB423" s="50">
        <f>(B423*122.58+C423*297.941+D423*89.177+E423*40.302+F423*40+G423*160+H423*0+I423*100+J423*300)/(122.58+297.941+89.177+40.302+0+40+160+100+300)</f>
        <v>20.587300474608696</v>
      </c>
      <c r="AC423" s="45">
        <f>(M423*'RAP TEMPLATE-GAS AVAILABILITY'!O422+N423*'RAP TEMPLATE-GAS AVAILABILITY'!P422+O423*'RAP TEMPLATE-GAS AVAILABILITY'!Q422+P423*'RAP TEMPLATE-GAS AVAILABILITY'!R422)/('RAP TEMPLATE-GAS AVAILABILITY'!O422+'RAP TEMPLATE-GAS AVAILABILITY'!P422+'RAP TEMPLATE-GAS AVAILABILITY'!Q422+'RAP TEMPLATE-GAS AVAILABILITY'!R422)</f>
        <v>20.20696402877698</v>
      </c>
    </row>
    <row r="424" spans="1:29" ht="15.75" x14ac:dyDescent="0.25">
      <c r="A424" s="33">
        <v>53812</v>
      </c>
      <c r="B424" s="14">
        <f>CHOOSE(CONTROL!$C$42, 20.5154, 20.5154) * CHOOSE(CONTROL!$C$21, $C$9, 100%, $E$9)</f>
        <v>20.5154</v>
      </c>
      <c r="C424" s="14">
        <f>CHOOSE(CONTROL!$C$42, 20.5199, 20.5199) * CHOOSE(CONTROL!$C$21, $C$9, 100%, $E$9)</f>
        <v>20.5199</v>
      </c>
      <c r="D424" s="14">
        <f>CHOOSE(CONTROL!$C$42, 20.727, 20.727) * CHOOSE(CONTROL!$C$21, $C$9, 100%, $E$9)</f>
        <v>20.727</v>
      </c>
      <c r="E424" s="14">
        <f>CHOOSE(CONTROL!$C$42, 20.7591, 20.7591) * CHOOSE(CONTROL!$C$21, $C$9, 100%, $E$9)</f>
        <v>20.7591</v>
      </c>
      <c r="F424" s="14">
        <f>CHOOSE(CONTROL!$C$42, 20.4973, 20.4973)*CHOOSE(CONTROL!$C$21, $C$9, 100%, $E$9)</f>
        <v>20.497299999999999</v>
      </c>
      <c r="G424" s="14">
        <f>CHOOSE(CONTROL!$C$42, 20.5125, 20.5125)*CHOOSE(CONTROL!$C$21, $C$9, 100%, $E$9)</f>
        <v>20.512499999999999</v>
      </c>
      <c r="H424" s="14">
        <f>CHOOSE(CONTROL!$C$42, 20.7489, 20.7489) * CHOOSE(CONTROL!$C$21, $C$9, 100%, $E$9)</f>
        <v>20.748899999999999</v>
      </c>
      <c r="I424" s="14">
        <f>CHOOSE(CONTROL!$C$42, 20.5865, 20.5865)* CHOOSE(CONTROL!$C$21, $C$9, 100%, $E$9)</f>
        <v>20.586500000000001</v>
      </c>
      <c r="J424" s="14">
        <f>CHOOSE(CONTROL!$C$42, 20.4903, 20.4903)* CHOOSE(CONTROL!$C$21, $C$9, 100%, $E$9)</f>
        <v>20.490300000000001</v>
      </c>
      <c r="K424" s="53">
        <f>CHOOSE(CONTROL!$C$42, 20.5826, 20.5826) * CHOOSE(CONTROL!$C$21, $C$9, 100%, $E$9)</f>
        <v>20.582599999999999</v>
      </c>
      <c r="L424" s="14">
        <f>CHOOSE(CONTROL!$C$42, 21.3359, 21.3359) * CHOOSE(CONTROL!$C$21, $C$9, 100%, $E$9)</f>
        <v>21.335899999999999</v>
      </c>
      <c r="M424" s="14">
        <f>CHOOSE(CONTROL!$C$42, 20.0782, 20.0782) * CHOOSE(CONTROL!$C$21, $C$9, 100%, $E$9)</f>
        <v>20.078199999999999</v>
      </c>
      <c r="N424" s="14">
        <f>CHOOSE(CONTROL!$C$42, 20.093, 20.093) * CHOOSE(CONTROL!$C$21, $C$9, 100%, $E$9)</f>
        <v>20.093</v>
      </c>
      <c r="O424" s="14">
        <f>CHOOSE(CONTROL!$C$42, 20.3314, 20.3314) * CHOOSE(CONTROL!$C$21, $C$9, 100%, $E$9)</f>
        <v>20.331399999999999</v>
      </c>
      <c r="P424" s="14">
        <f>CHOOSE(CONTROL!$C$42, 20.1712, 20.1712) * CHOOSE(CONTROL!$C$21, $C$9, 100%, $E$9)</f>
        <v>20.171199999999999</v>
      </c>
      <c r="Q424" s="14">
        <f>CHOOSE(CONTROL!$C$42, 20.9261, 20.9261) * CHOOSE(CONTROL!$C$21, $C$9, 100%, $E$9)</f>
        <v>20.926100000000002</v>
      </c>
      <c r="R424" s="14">
        <f>CHOOSE(CONTROL!$C$42, 21.5655, 21.5655) * CHOOSE(CONTROL!$C$21, $C$9, 100%, $E$9)</f>
        <v>21.5655</v>
      </c>
      <c r="S424" s="14">
        <f>CHOOSE(CONTROL!$C$42, 19.704, 19.704) * CHOOSE(CONTROL!$C$21, $C$9, 100%, $E$9)</f>
        <v>19.704000000000001</v>
      </c>
      <c r="T42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24" s="57">
        <f>(1000*CHOOSE(CONTROL!$C$42, 695, 695)*CHOOSE(CONTROL!$C$42, 0.5599, 0.5599)*CHOOSE(CONTROL!$C$42, 30, 30))/1000000</f>
        <v>11.673914999999997</v>
      </c>
      <c r="V424" s="57">
        <f>(1000*CHOOSE(CONTROL!$C$42, 500, 500)*CHOOSE(CONTROL!$C$42, 0.275, 0.275)*CHOOSE(CONTROL!$C$42, 30, 30))/1000000</f>
        <v>4.125</v>
      </c>
      <c r="W424" s="57">
        <f>(1000*CHOOSE(CONTROL!$C$42, 0.1146, 0.1146)*CHOOSE(CONTROL!$C$42, 121.5, 121.5)*CHOOSE(CONTROL!$C$42, 30, 30))/1000000</f>
        <v>0.417717</v>
      </c>
      <c r="X424" s="57">
        <f>(30*0.1790888*245000/1000000)+(30*0.2374*100000/1000000)</f>
        <v>2.0285026799999999</v>
      </c>
      <c r="Y424" s="57"/>
      <c r="Z424" s="14"/>
      <c r="AA424" s="56"/>
      <c r="AB424" s="50">
        <f>(B424*141.293+C424*267.993+D424*115.016+E424*89.698+F424*40+G424*185+H424*0+I424*100+J424*300)/(141.293+267.993+115.016+89.698+0+40+185+100+300)</f>
        <v>20.552302547780471</v>
      </c>
      <c r="AC424" s="45">
        <f>(M424*'RAP TEMPLATE-GAS AVAILABILITY'!O423+N424*'RAP TEMPLATE-GAS AVAILABILITY'!P423+O424*'RAP TEMPLATE-GAS AVAILABILITY'!Q423+P424*'RAP TEMPLATE-GAS AVAILABILITY'!R423)/('RAP TEMPLATE-GAS AVAILABILITY'!O423+'RAP TEMPLATE-GAS AVAILABILITY'!P423+'RAP TEMPLATE-GAS AVAILABILITY'!Q423+'RAP TEMPLATE-GAS AVAILABILITY'!R423)</f>
        <v>20.166030215827337</v>
      </c>
    </row>
    <row r="425" spans="1:29" ht="15.75" x14ac:dyDescent="0.25">
      <c r="A425" s="33">
        <v>53843</v>
      </c>
      <c r="B425" s="14">
        <f>CHOOSE(CONTROL!$C$42, 20.6978, 20.6978) * CHOOSE(CONTROL!$C$21, $C$9, 100%, $E$9)</f>
        <v>20.697800000000001</v>
      </c>
      <c r="C425" s="14">
        <f>CHOOSE(CONTROL!$C$42, 20.7058, 20.7058) * CHOOSE(CONTROL!$C$21, $C$9, 100%, $E$9)</f>
        <v>20.7058</v>
      </c>
      <c r="D425" s="14">
        <f>CHOOSE(CONTROL!$C$42, 20.9098, 20.9098) * CHOOSE(CONTROL!$C$21, $C$9, 100%, $E$9)</f>
        <v>20.909800000000001</v>
      </c>
      <c r="E425" s="14">
        <f>CHOOSE(CONTROL!$C$42, 20.9412, 20.9412) * CHOOSE(CONTROL!$C$21, $C$9, 100%, $E$9)</f>
        <v>20.941199999999998</v>
      </c>
      <c r="F425" s="14">
        <f>CHOOSE(CONTROL!$C$42, 20.6785, 20.6785)*CHOOSE(CONTROL!$C$21, $C$9, 100%, $E$9)</f>
        <v>20.6785</v>
      </c>
      <c r="G425" s="14">
        <f>CHOOSE(CONTROL!$C$42, 20.6942, 20.6942)*CHOOSE(CONTROL!$C$21, $C$9, 100%, $E$9)</f>
        <v>20.694199999999999</v>
      </c>
      <c r="H425" s="14">
        <f>CHOOSE(CONTROL!$C$42, 20.9298, 20.9298) * CHOOSE(CONTROL!$C$21, $C$9, 100%, $E$9)</f>
        <v>20.9298</v>
      </c>
      <c r="I425" s="14">
        <f>CHOOSE(CONTROL!$C$42, 20.7681, 20.7681)* CHOOSE(CONTROL!$C$21, $C$9, 100%, $E$9)</f>
        <v>20.7681</v>
      </c>
      <c r="J425" s="14">
        <f>CHOOSE(CONTROL!$C$42, 20.6715, 20.6715)* CHOOSE(CONTROL!$C$21, $C$9, 100%, $E$9)</f>
        <v>20.671500000000002</v>
      </c>
      <c r="K425" s="53">
        <f>CHOOSE(CONTROL!$C$42, 20.7642, 20.7642) * CHOOSE(CONTROL!$C$21, $C$9, 100%, $E$9)</f>
        <v>20.764199999999999</v>
      </c>
      <c r="L425" s="14">
        <f>CHOOSE(CONTROL!$C$42, 21.5168, 21.5168) * CHOOSE(CONTROL!$C$21, $C$9, 100%, $E$9)</f>
        <v>21.5168</v>
      </c>
      <c r="M425" s="14">
        <f>CHOOSE(CONTROL!$C$42, 20.2557, 20.2557) * CHOOSE(CONTROL!$C$21, $C$9, 100%, $E$9)</f>
        <v>20.255700000000001</v>
      </c>
      <c r="N425" s="14">
        <f>CHOOSE(CONTROL!$C$42, 20.271, 20.271) * CHOOSE(CONTROL!$C$21, $C$9, 100%, $E$9)</f>
        <v>20.271000000000001</v>
      </c>
      <c r="O425" s="14">
        <f>CHOOSE(CONTROL!$C$42, 20.5087, 20.5087) * CHOOSE(CONTROL!$C$21, $C$9, 100%, $E$9)</f>
        <v>20.508700000000001</v>
      </c>
      <c r="P425" s="14">
        <f>CHOOSE(CONTROL!$C$42, 20.349, 20.349) * CHOOSE(CONTROL!$C$21, $C$9, 100%, $E$9)</f>
        <v>20.349</v>
      </c>
      <c r="Q425" s="14">
        <f>CHOOSE(CONTROL!$C$42, 21.1034, 21.1034) * CHOOSE(CONTROL!$C$21, $C$9, 100%, $E$9)</f>
        <v>21.103400000000001</v>
      </c>
      <c r="R425" s="14">
        <f>CHOOSE(CONTROL!$C$42, 21.7432, 21.7432) * CHOOSE(CONTROL!$C$21, $C$9, 100%, $E$9)</f>
        <v>21.743200000000002</v>
      </c>
      <c r="S425" s="14">
        <f>CHOOSE(CONTROL!$C$42, 19.8779, 19.8779) * CHOOSE(CONTROL!$C$21, $C$9, 100%, $E$9)</f>
        <v>19.8779</v>
      </c>
      <c r="T42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25" s="57">
        <f>(1000*CHOOSE(CONTROL!$C$42, 695, 695)*CHOOSE(CONTROL!$C$42, 0.5599, 0.5599)*CHOOSE(CONTROL!$C$42, 31, 31))/1000000</f>
        <v>12.063045499999998</v>
      </c>
      <c r="V425" s="57">
        <f>(1000*CHOOSE(CONTROL!$C$42, 500, 500)*CHOOSE(CONTROL!$C$42, 0.275, 0.275)*CHOOSE(CONTROL!$C$42, 31, 31))/1000000</f>
        <v>4.2625000000000002</v>
      </c>
      <c r="W425" s="57">
        <f>(1000*CHOOSE(CONTROL!$C$42, 0.1146, 0.1146)*CHOOSE(CONTROL!$C$42, 121.5, 121.5)*CHOOSE(CONTROL!$C$42, 31, 31))/1000000</f>
        <v>0.43164089999999994</v>
      </c>
      <c r="X425" s="57">
        <f>(31*0.1790888*245000/1000000)+(31*0.2374*100000/1000000)</f>
        <v>2.0961194359999999</v>
      </c>
      <c r="Y425" s="57"/>
      <c r="Z425" s="14"/>
      <c r="AA425" s="56"/>
      <c r="AB425" s="50">
        <f>(B425*194.205+C425*267.466+D425*133.845+E425*53.484+F425*40+G425*185+H425*0+I425*100+J425*300)/(194.205+267.466+133.845+53.484+0+40+185+100+300)</f>
        <v>20.730166462794351</v>
      </c>
      <c r="AC425" s="45">
        <f>(M425*'RAP TEMPLATE-GAS AVAILABILITY'!O424+N425*'RAP TEMPLATE-GAS AVAILABILITY'!P424+O425*'RAP TEMPLATE-GAS AVAILABILITY'!Q424+P425*'RAP TEMPLATE-GAS AVAILABILITY'!R424)/('RAP TEMPLATE-GAS AVAILABILITY'!O424+'RAP TEMPLATE-GAS AVAILABILITY'!P424+'RAP TEMPLATE-GAS AVAILABILITY'!Q424+'RAP TEMPLATE-GAS AVAILABILITY'!R424)</f>
        <v>20.343632374100721</v>
      </c>
    </row>
    <row r="426" spans="1:29" ht="15.75" x14ac:dyDescent="0.25">
      <c r="A426" s="33">
        <v>53873</v>
      </c>
      <c r="B426" s="14">
        <f>CHOOSE(CONTROL!$C$42, 21.2846, 21.2846) * CHOOSE(CONTROL!$C$21, $C$9, 100%, $E$9)</f>
        <v>21.284600000000001</v>
      </c>
      <c r="C426" s="14">
        <f>CHOOSE(CONTROL!$C$42, 21.2926, 21.2926) * CHOOSE(CONTROL!$C$21, $C$9, 100%, $E$9)</f>
        <v>21.2926</v>
      </c>
      <c r="D426" s="14">
        <f>CHOOSE(CONTROL!$C$42, 21.4965, 21.4965) * CHOOSE(CONTROL!$C$21, $C$9, 100%, $E$9)</f>
        <v>21.496500000000001</v>
      </c>
      <c r="E426" s="14">
        <f>CHOOSE(CONTROL!$C$42, 21.528, 21.528) * CHOOSE(CONTROL!$C$21, $C$9, 100%, $E$9)</f>
        <v>21.527999999999999</v>
      </c>
      <c r="F426" s="14">
        <f>CHOOSE(CONTROL!$C$42, 21.2657, 21.2657)*CHOOSE(CONTROL!$C$21, $C$9, 100%, $E$9)</f>
        <v>21.265699999999999</v>
      </c>
      <c r="G426" s="14">
        <f>CHOOSE(CONTROL!$C$42, 21.2815, 21.2815)*CHOOSE(CONTROL!$C$21, $C$9, 100%, $E$9)</f>
        <v>21.281500000000001</v>
      </c>
      <c r="H426" s="14">
        <f>CHOOSE(CONTROL!$C$42, 21.5166, 21.5166) * CHOOSE(CONTROL!$C$21, $C$9, 100%, $E$9)</f>
        <v>21.5166</v>
      </c>
      <c r="I426" s="14">
        <f>CHOOSE(CONTROL!$C$42, 21.3567, 21.3567)* CHOOSE(CONTROL!$C$21, $C$9, 100%, $E$9)</f>
        <v>21.3567</v>
      </c>
      <c r="J426" s="14">
        <f>CHOOSE(CONTROL!$C$42, 21.2587, 21.2587)* CHOOSE(CONTROL!$C$21, $C$9, 100%, $E$9)</f>
        <v>21.258700000000001</v>
      </c>
      <c r="K426" s="53">
        <f>CHOOSE(CONTROL!$C$42, 21.3528, 21.3528) * CHOOSE(CONTROL!$C$21, $C$9, 100%, $E$9)</f>
        <v>21.352799999999998</v>
      </c>
      <c r="L426" s="14">
        <f>CHOOSE(CONTROL!$C$42, 22.1036, 22.1036) * CHOOSE(CONTROL!$C$21, $C$9, 100%, $E$9)</f>
        <v>22.1036</v>
      </c>
      <c r="M426" s="14">
        <f>CHOOSE(CONTROL!$C$42, 20.8309, 20.8309) * CHOOSE(CONTROL!$C$21, $C$9, 100%, $E$9)</f>
        <v>20.8309</v>
      </c>
      <c r="N426" s="14">
        <f>CHOOSE(CONTROL!$C$42, 20.8463, 20.8463) * CHOOSE(CONTROL!$C$21, $C$9, 100%, $E$9)</f>
        <v>20.846299999999999</v>
      </c>
      <c r="O426" s="14">
        <f>CHOOSE(CONTROL!$C$42, 21.0835, 21.0835) * CHOOSE(CONTROL!$C$21, $C$9, 100%, $E$9)</f>
        <v>21.083500000000001</v>
      </c>
      <c r="P426" s="14">
        <f>CHOOSE(CONTROL!$C$42, 20.9255, 20.9255) * CHOOSE(CONTROL!$C$21, $C$9, 100%, $E$9)</f>
        <v>20.9255</v>
      </c>
      <c r="Q426" s="14">
        <f>CHOOSE(CONTROL!$C$42, 21.6782, 21.6782) * CHOOSE(CONTROL!$C$21, $C$9, 100%, $E$9)</f>
        <v>21.6782</v>
      </c>
      <c r="R426" s="14">
        <f>CHOOSE(CONTROL!$C$42, 22.3194, 22.3194) * CHOOSE(CONTROL!$C$21, $C$9, 100%, $E$9)</f>
        <v>22.319400000000002</v>
      </c>
      <c r="S426" s="14">
        <f>CHOOSE(CONTROL!$C$42, 20.4417, 20.4417) * CHOOSE(CONTROL!$C$21, $C$9, 100%, $E$9)</f>
        <v>20.441700000000001</v>
      </c>
      <c r="T42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26" s="57">
        <f>(1000*CHOOSE(CONTROL!$C$42, 695, 695)*CHOOSE(CONTROL!$C$42, 0.5599, 0.5599)*CHOOSE(CONTROL!$C$42, 30, 30))/1000000</f>
        <v>11.673914999999997</v>
      </c>
      <c r="V426" s="57">
        <f>(1000*CHOOSE(CONTROL!$C$42, 500, 500)*CHOOSE(CONTROL!$C$42, 0.275, 0.275)*CHOOSE(CONTROL!$C$42, 30, 30))/1000000</f>
        <v>4.125</v>
      </c>
      <c r="W426" s="57">
        <f>(1000*CHOOSE(CONTROL!$C$42, 0.1146, 0.1146)*CHOOSE(CONTROL!$C$42, 121.5, 121.5)*CHOOSE(CONTROL!$C$42, 30, 30))/1000000</f>
        <v>0.417717</v>
      </c>
      <c r="X426" s="57">
        <f>(30*0.1790888*245000/1000000)+(30*0.2374*100000/1000000)</f>
        <v>2.0285026799999999</v>
      </c>
      <c r="Y426" s="57"/>
      <c r="Z426" s="14"/>
      <c r="AA426" s="56"/>
      <c r="AB426" s="50">
        <f>(B426*194.205+C426*267.466+D426*133.845+E426*53.484+F426*40+G426*185+H426*0+I426*100+J426*300)/(194.205+267.466+133.845+53.484+0+40+185+100+300)</f>
        <v>21.317276600549452</v>
      </c>
      <c r="AC426" s="45">
        <f>(M426*'RAP TEMPLATE-GAS AVAILABILITY'!O425+N426*'RAP TEMPLATE-GAS AVAILABILITY'!P425+O426*'RAP TEMPLATE-GAS AVAILABILITY'!Q425+P426*'RAP TEMPLATE-GAS AVAILABILITY'!R425)/('RAP TEMPLATE-GAS AVAILABILITY'!O425+'RAP TEMPLATE-GAS AVAILABILITY'!P425+'RAP TEMPLATE-GAS AVAILABILITY'!Q425+'RAP TEMPLATE-GAS AVAILABILITY'!R425)</f>
        <v>20.918930215827338</v>
      </c>
    </row>
    <row r="427" spans="1:29" ht="15.75" x14ac:dyDescent="0.25">
      <c r="A427" s="33">
        <v>53904</v>
      </c>
      <c r="B427" s="14">
        <f>CHOOSE(CONTROL!$C$42, 20.8765, 20.8765) * CHOOSE(CONTROL!$C$21, $C$9, 100%, $E$9)</f>
        <v>20.8765</v>
      </c>
      <c r="C427" s="14">
        <f>CHOOSE(CONTROL!$C$42, 20.8845, 20.8845) * CHOOSE(CONTROL!$C$21, $C$9, 100%, $E$9)</f>
        <v>20.884499999999999</v>
      </c>
      <c r="D427" s="14">
        <f>CHOOSE(CONTROL!$C$42, 21.0884, 21.0884) * CHOOSE(CONTROL!$C$21, $C$9, 100%, $E$9)</f>
        <v>21.0884</v>
      </c>
      <c r="E427" s="14">
        <f>CHOOSE(CONTROL!$C$42, 21.1199, 21.1199) * CHOOSE(CONTROL!$C$21, $C$9, 100%, $E$9)</f>
        <v>21.119900000000001</v>
      </c>
      <c r="F427" s="14">
        <f>CHOOSE(CONTROL!$C$42, 20.8581, 20.8581)*CHOOSE(CONTROL!$C$21, $C$9, 100%, $E$9)</f>
        <v>20.8581</v>
      </c>
      <c r="G427" s="14">
        <f>CHOOSE(CONTROL!$C$42, 20.874, 20.874)*CHOOSE(CONTROL!$C$21, $C$9, 100%, $E$9)</f>
        <v>20.873999999999999</v>
      </c>
      <c r="H427" s="14">
        <f>CHOOSE(CONTROL!$C$42, 21.1085, 21.1085) * CHOOSE(CONTROL!$C$21, $C$9, 100%, $E$9)</f>
        <v>21.108499999999999</v>
      </c>
      <c r="I427" s="14">
        <f>CHOOSE(CONTROL!$C$42, 20.9473, 20.9473)* CHOOSE(CONTROL!$C$21, $C$9, 100%, $E$9)</f>
        <v>20.947299999999998</v>
      </c>
      <c r="J427" s="14">
        <f>CHOOSE(CONTROL!$C$42, 20.8511, 20.8511)* CHOOSE(CONTROL!$C$21, $C$9, 100%, $E$9)</f>
        <v>20.851099999999999</v>
      </c>
      <c r="K427" s="53">
        <f>CHOOSE(CONTROL!$C$42, 20.9434, 20.9434) * CHOOSE(CONTROL!$C$21, $C$9, 100%, $E$9)</f>
        <v>20.9434</v>
      </c>
      <c r="L427" s="14">
        <f>CHOOSE(CONTROL!$C$42, 21.6955, 21.6955) * CHOOSE(CONTROL!$C$21, $C$9, 100%, $E$9)</f>
        <v>21.695499999999999</v>
      </c>
      <c r="M427" s="14">
        <f>CHOOSE(CONTROL!$C$42, 20.4316, 20.4316) * CHOOSE(CONTROL!$C$21, $C$9, 100%, $E$9)</f>
        <v>20.4316</v>
      </c>
      <c r="N427" s="14">
        <f>CHOOSE(CONTROL!$C$42, 20.4471, 20.4471) * CHOOSE(CONTROL!$C$21, $C$9, 100%, $E$9)</f>
        <v>20.447099999999999</v>
      </c>
      <c r="O427" s="14">
        <f>CHOOSE(CONTROL!$C$42, 20.6837, 20.6837) * CHOOSE(CONTROL!$C$21, $C$9, 100%, $E$9)</f>
        <v>20.683700000000002</v>
      </c>
      <c r="P427" s="14">
        <f>CHOOSE(CONTROL!$C$42, 20.5245, 20.5245) * CHOOSE(CONTROL!$C$21, $C$9, 100%, $E$9)</f>
        <v>20.5245</v>
      </c>
      <c r="Q427" s="14">
        <f>CHOOSE(CONTROL!$C$42, 21.2784, 21.2784) * CHOOSE(CONTROL!$C$21, $C$9, 100%, $E$9)</f>
        <v>21.278400000000001</v>
      </c>
      <c r="R427" s="14">
        <f>CHOOSE(CONTROL!$C$42, 21.9186, 21.9186) * CHOOSE(CONTROL!$C$21, $C$9, 100%, $E$9)</f>
        <v>21.918600000000001</v>
      </c>
      <c r="S427" s="14">
        <f>CHOOSE(CONTROL!$C$42, 20.0496, 20.0496) * CHOOSE(CONTROL!$C$21, $C$9, 100%, $E$9)</f>
        <v>20.049600000000002</v>
      </c>
      <c r="T42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27" s="57">
        <f>(1000*CHOOSE(CONTROL!$C$42, 695, 695)*CHOOSE(CONTROL!$C$42, 0.5599, 0.5599)*CHOOSE(CONTROL!$C$42, 31, 31))/1000000</f>
        <v>12.063045499999998</v>
      </c>
      <c r="V427" s="57">
        <f>(1000*CHOOSE(CONTROL!$C$42, 500, 500)*CHOOSE(CONTROL!$C$42, 0.275, 0.275)*CHOOSE(CONTROL!$C$42, 31, 31))/1000000</f>
        <v>4.2625000000000002</v>
      </c>
      <c r="W427" s="57">
        <f>(1000*CHOOSE(CONTROL!$C$42, 0.1146, 0.1146)*CHOOSE(CONTROL!$C$42, 121.5, 121.5)*CHOOSE(CONTROL!$C$42, 31, 31))/1000000</f>
        <v>0.43164089999999994</v>
      </c>
      <c r="X427" s="57">
        <f>(31*0.1790888*245000/1000000)+(31*0.2374*100000/1000000)</f>
        <v>2.0961194359999999</v>
      </c>
      <c r="Y427" s="57"/>
      <c r="Z427" s="14"/>
      <c r="AA427" s="56"/>
      <c r="AB427" s="50">
        <f>(B427*194.205+C427*267.466+D427*133.845+E427*53.484+F427*40+G427*185+H427*0+I427*100+J427*300)/(194.205+267.466+133.845+53.484+0+40+185+100+300)</f>
        <v>20.909295124882259</v>
      </c>
      <c r="AC427" s="45">
        <f>(M427*'RAP TEMPLATE-GAS AVAILABILITY'!O426+N427*'RAP TEMPLATE-GAS AVAILABILITY'!P426+O427*'RAP TEMPLATE-GAS AVAILABILITY'!Q426+P427*'RAP TEMPLATE-GAS AVAILABILITY'!R426)/('RAP TEMPLATE-GAS AVAILABILITY'!O426+'RAP TEMPLATE-GAS AVAILABILITY'!P426+'RAP TEMPLATE-GAS AVAILABILITY'!Q426+'RAP TEMPLATE-GAS AVAILABILITY'!R426)</f>
        <v>20.519268345323745</v>
      </c>
    </row>
    <row r="428" spans="1:29" ht="15.75" x14ac:dyDescent="0.25">
      <c r="A428" s="33">
        <v>53935</v>
      </c>
      <c r="B428" s="14">
        <f>CHOOSE(CONTROL!$C$42, 19.8459, 19.8459) * CHOOSE(CONTROL!$C$21, $C$9, 100%, $E$9)</f>
        <v>19.8459</v>
      </c>
      <c r="C428" s="14">
        <f>CHOOSE(CONTROL!$C$42, 19.8539, 19.8539) * CHOOSE(CONTROL!$C$21, $C$9, 100%, $E$9)</f>
        <v>19.853899999999999</v>
      </c>
      <c r="D428" s="14">
        <f>CHOOSE(CONTROL!$C$42, 20.0578, 20.0578) * CHOOSE(CONTROL!$C$21, $C$9, 100%, $E$9)</f>
        <v>20.0578</v>
      </c>
      <c r="E428" s="14">
        <f>CHOOSE(CONTROL!$C$42, 20.0893, 20.0893) * CHOOSE(CONTROL!$C$21, $C$9, 100%, $E$9)</f>
        <v>20.089300000000001</v>
      </c>
      <c r="F428" s="14">
        <f>CHOOSE(CONTROL!$C$42, 19.8277, 19.8277)*CHOOSE(CONTROL!$C$21, $C$9, 100%, $E$9)</f>
        <v>19.8277</v>
      </c>
      <c r="G428" s="14">
        <f>CHOOSE(CONTROL!$C$42, 19.8437, 19.8437)*CHOOSE(CONTROL!$C$21, $C$9, 100%, $E$9)</f>
        <v>19.843699999999998</v>
      </c>
      <c r="H428" s="14">
        <f>CHOOSE(CONTROL!$C$42, 20.0779, 20.0779) * CHOOSE(CONTROL!$C$21, $C$9, 100%, $E$9)</f>
        <v>20.0779</v>
      </c>
      <c r="I428" s="14">
        <f>CHOOSE(CONTROL!$C$42, 19.9135, 19.9135)* CHOOSE(CONTROL!$C$21, $C$9, 100%, $E$9)</f>
        <v>19.913499999999999</v>
      </c>
      <c r="J428" s="14">
        <f>CHOOSE(CONTROL!$C$42, 19.8207, 19.8207)* CHOOSE(CONTROL!$C$21, $C$9, 100%, $E$9)</f>
        <v>19.820699999999999</v>
      </c>
      <c r="K428" s="53">
        <f>CHOOSE(CONTROL!$C$42, 19.9096, 19.9096) * CHOOSE(CONTROL!$C$21, $C$9, 100%, $E$9)</f>
        <v>19.909600000000001</v>
      </c>
      <c r="L428" s="14">
        <f>CHOOSE(CONTROL!$C$42, 20.6649, 20.6649) * CHOOSE(CONTROL!$C$21, $C$9, 100%, $E$9)</f>
        <v>20.664899999999999</v>
      </c>
      <c r="M428" s="14">
        <f>CHOOSE(CONTROL!$C$42, 19.4223, 19.4223) * CHOOSE(CONTROL!$C$21, $C$9, 100%, $E$9)</f>
        <v>19.4223</v>
      </c>
      <c r="N428" s="14">
        <f>CHOOSE(CONTROL!$C$42, 19.4379, 19.4379) * CHOOSE(CONTROL!$C$21, $C$9, 100%, $E$9)</f>
        <v>19.437899999999999</v>
      </c>
      <c r="O428" s="14">
        <f>CHOOSE(CONTROL!$C$42, 19.6742, 19.6742) * CHOOSE(CONTROL!$C$21, $C$9, 100%, $E$9)</f>
        <v>19.674199999999999</v>
      </c>
      <c r="P428" s="14">
        <f>CHOOSE(CONTROL!$C$42, 19.512, 19.512) * CHOOSE(CONTROL!$C$21, $C$9, 100%, $E$9)</f>
        <v>19.512</v>
      </c>
      <c r="Q428" s="14">
        <f>CHOOSE(CONTROL!$C$42, 20.2689, 20.2689) * CHOOSE(CONTROL!$C$21, $C$9, 100%, $E$9)</f>
        <v>20.268899999999999</v>
      </c>
      <c r="R428" s="14">
        <f>CHOOSE(CONTROL!$C$42, 20.9066, 20.9066) * CHOOSE(CONTROL!$C$21, $C$9, 100%, $E$9)</f>
        <v>20.906600000000001</v>
      </c>
      <c r="S428" s="14">
        <f>CHOOSE(CONTROL!$C$42, 19.0593, 19.0593) * CHOOSE(CONTROL!$C$21, $C$9, 100%, $E$9)</f>
        <v>19.0593</v>
      </c>
      <c r="T42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28" s="57">
        <f>(1000*CHOOSE(CONTROL!$C$42, 695, 695)*CHOOSE(CONTROL!$C$42, 0.5599, 0.5599)*CHOOSE(CONTROL!$C$42, 31, 31))/1000000</f>
        <v>12.063045499999998</v>
      </c>
      <c r="V428" s="57">
        <f>(1000*CHOOSE(CONTROL!$C$42, 500, 500)*CHOOSE(CONTROL!$C$42, 0.275, 0.275)*CHOOSE(CONTROL!$C$42, 31, 31))/1000000</f>
        <v>4.2625000000000002</v>
      </c>
      <c r="W428" s="57">
        <f>(1000*CHOOSE(CONTROL!$C$42, 0.1146, 0.1146)*CHOOSE(CONTROL!$C$42, 121.5, 121.5)*CHOOSE(CONTROL!$C$42, 31, 31))/1000000</f>
        <v>0.43164089999999994</v>
      </c>
      <c r="X428" s="57">
        <f>(31*0.1790888*245000/1000000)+(31*0.2374*100000/1000000)</f>
        <v>2.0961194359999999</v>
      </c>
      <c r="Y428" s="57"/>
      <c r="Z428" s="14"/>
      <c r="AA428" s="56"/>
      <c r="AB428" s="50">
        <f>(B428*194.205+C428*267.466+D428*133.845+E428*53.484+F428*40+G428*185+H428*0+I428*100+J428*300)/(194.205+267.466+133.845+53.484+0+40+185+100+300)</f>
        <v>19.878540886263735</v>
      </c>
      <c r="AC428" s="45">
        <f>(M428*'RAP TEMPLATE-GAS AVAILABILITY'!O427+N428*'RAP TEMPLATE-GAS AVAILABILITY'!P427+O428*'RAP TEMPLATE-GAS AVAILABILITY'!Q427+P428*'RAP TEMPLATE-GAS AVAILABILITY'!R427)/('RAP TEMPLATE-GAS AVAILABILITY'!O427+'RAP TEMPLATE-GAS AVAILABILITY'!P427+'RAP TEMPLATE-GAS AVAILABILITY'!Q427+'RAP TEMPLATE-GAS AVAILABILITY'!R427)</f>
        <v>19.509474820143883</v>
      </c>
    </row>
    <row r="429" spans="1:29" ht="15.75" x14ac:dyDescent="0.25">
      <c r="A429" s="33">
        <v>53965</v>
      </c>
      <c r="B429" s="14">
        <f>CHOOSE(CONTROL!$C$42, 18.5863, 18.5863) * CHOOSE(CONTROL!$C$21, $C$9, 100%, $E$9)</f>
        <v>18.586300000000001</v>
      </c>
      <c r="C429" s="14">
        <f>CHOOSE(CONTROL!$C$42, 18.5943, 18.5943) * CHOOSE(CONTROL!$C$21, $C$9, 100%, $E$9)</f>
        <v>18.5943</v>
      </c>
      <c r="D429" s="14">
        <f>CHOOSE(CONTROL!$C$42, 18.7982, 18.7982) * CHOOSE(CONTROL!$C$21, $C$9, 100%, $E$9)</f>
        <v>18.798200000000001</v>
      </c>
      <c r="E429" s="14">
        <f>CHOOSE(CONTROL!$C$42, 18.8297, 18.8297) * CHOOSE(CONTROL!$C$21, $C$9, 100%, $E$9)</f>
        <v>18.829699999999999</v>
      </c>
      <c r="F429" s="14">
        <f>CHOOSE(CONTROL!$C$42, 18.5682, 18.5682)*CHOOSE(CONTROL!$C$21, $C$9, 100%, $E$9)</f>
        <v>18.568200000000001</v>
      </c>
      <c r="G429" s="14">
        <f>CHOOSE(CONTROL!$C$42, 18.5842, 18.5842)*CHOOSE(CONTROL!$C$21, $C$9, 100%, $E$9)</f>
        <v>18.584199999999999</v>
      </c>
      <c r="H429" s="14">
        <f>CHOOSE(CONTROL!$C$42, 18.8183, 18.8183) * CHOOSE(CONTROL!$C$21, $C$9, 100%, $E$9)</f>
        <v>18.818300000000001</v>
      </c>
      <c r="I429" s="14">
        <f>CHOOSE(CONTROL!$C$42, 18.6499, 18.6499)* CHOOSE(CONTROL!$C$21, $C$9, 100%, $E$9)</f>
        <v>18.649899999999999</v>
      </c>
      <c r="J429" s="14">
        <f>CHOOSE(CONTROL!$C$42, 18.5612, 18.5612)* CHOOSE(CONTROL!$C$21, $C$9, 100%, $E$9)</f>
        <v>18.561199999999999</v>
      </c>
      <c r="K429" s="53">
        <f>CHOOSE(CONTROL!$C$42, 18.646, 18.646) * CHOOSE(CONTROL!$C$21, $C$9, 100%, $E$9)</f>
        <v>18.646000000000001</v>
      </c>
      <c r="L429" s="14">
        <f>CHOOSE(CONTROL!$C$42, 19.4053, 19.4053) * CHOOSE(CONTROL!$C$21, $C$9, 100%, $E$9)</f>
        <v>19.4053</v>
      </c>
      <c r="M429" s="14">
        <f>CHOOSE(CONTROL!$C$42, 18.1886, 18.1886) * CHOOSE(CONTROL!$C$21, $C$9, 100%, $E$9)</f>
        <v>18.188600000000001</v>
      </c>
      <c r="N429" s="14">
        <f>CHOOSE(CONTROL!$C$42, 18.2042, 18.2042) * CHOOSE(CONTROL!$C$21, $C$9, 100%, $E$9)</f>
        <v>18.2042</v>
      </c>
      <c r="O429" s="14">
        <f>CHOOSE(CONTROL!$C$42, 18.4405, 18.4405) * CHOOSE(CONTROL!$C$21, $C$9, 100%, $E$9)</f>
        <v>18.4405</v>
      </c>
      <c r="P429" s="14">
        <f>CHOOSE(CONTROL!$C$42, 18.2744, 18.2744) * CHOOSE(CONTROL!$C$21, $C$9, 100%, $E$9)</f>
        <v>18.2744</v>
      </c>
      <c r="Q429" s="14">
        <f>CHOOSE(CONTROL!$C$42, 19.0352, 19.0352) * CHOOSE(CONTROL!$C$21, $C$9, 100%, $E$9)</f>
        <v>19.0352</v>
      </c>
      <c r="R429" s="14">
        <f>CHOOSE(CONTROL!$C$42, 19.6697, 19.6697) * CHOOSE(CONTROL!$C$21, $C$9, 100%, $E$9)</f>
        <v>19.669699999999999</v>
      </c>
      <c r="S429" s="14">
        <f>CHOOSE(CONTROL!$C$42, 17.8489, 17.8489) * CHOOSE(CONTROL!$C$21, $C$9, 100%, $E$9)</f>
        <v>17.8489</v>
      </c>
      <c r="T42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29" s="57">
        <f>(1000*CHOOSE(CONTROL!$C$42, 695, 695)*CHOOSE(CONTROL!$C$42, 0.5599, 0.5599)*CHOOSE(CONTROL!$C$42, 30, 30))/1000000</f>
        <v>11.673914999999997</v>
      </c>
      <c r="V429" s="57">
        <f>(1000*CHOOSE(CONTROL!$C$42, 500, 500)*CHOOSE(CONTROL!$C$42, 0.275, 0.275)*CHOOSE(CONTROL!$C$42, 30, 30))/1000000</f>
        <v>4.125</v>
      </c>
      <c r="W429" s="57">
        <f>(1000*CHOOSE(CONTROL!$C$42, 0.1146, 0.1146)*CHOOSE(CONTROL!$C$42, 121.5, 121.5)*CHOOSE(CONTROL!$C$42, 30, 30))/1000000</f>
        <v>0.417717</v>
      </c>
      <c r="X429" s="57">
        <f>(30*0.1790888*245000/1000000)+(30*0.2374*100000/1000000)</f>
        <v>2.0285026799999999</v>
      </c>
      <c r="Y429" s="57"/>
      <c r="Z429" s="14"/>
      <c r="AA429" s="56"/>
      <c r="AB429" s="50">
        <f>(B429*194.205+C429*267.466+D429*133.845+E429*53.484+F429*40+G429*185+H429*0+I429*100+J429*300)/(194.205+267.466+133.845+53.484+0+40+185+100+300)</f>
        <v>18.618668123312403</v>
      </c>
      <c r="AC429" s="45">
        <f>(M429*'RAP TEMPLATE-GAS AVAILABILITY'!O428+N429*'RAP TEMPLATE-GAS AVAILABILITY'!P428+O429*'RAP TEMPLATE-GAS AVAILABILITY'!Q428+P429*'RAP TEMPLATE-GAS AVAILABILITY'!R428)/('RAP TEMPLATE-GAS AVAILABILITY'!O428+'RAP TEMPLATE-GAS AVAILABILITY'!P428+'RAP TEMPLATE-GAS AVAILABILITY'!Q428+'RAP TEMPLATE-GAS AVAILABILITY'!R428)</f>
        <v>18.275213669064751</v>
      </c>
    </row>
    <row r="430" spans="1:29" ht="15.75" x14ac:dyDescent="0.25">
      <c r="A430" s="33">
        <v>53996</v>
      </c>
      <c r="B430" s="14">
        <f>CHOOSE(CONTROL!$C$42, 18.2074, 18.2074) * CHOOSE(CONTROL!$C$21, $C$9, 100%, $E$9)</f>
        <v>18.2074</v>
      </c>
      <c r="C430" s="14">
        <f>CHOOSE(CONTROL!$C$42, 18.2127, 18.2127) * CHOOSE(CONTROL!$C$21, $C$9, 100%, $E$9)</f>
        <v>18.212700000000002</v>
      </c>
      <c r="D430" s="14">
        <f>CHOOSE(CONTROL!$C$42, 18.4216, 18.4216) * CHOOSE(CONTROL!$C$21, $C$9, 100%, $E$9)</f>
        <v>18.421600000000002</v>
      </c>
      <c r="E430" s="14">
        <f>CHOOSE(CONTROL!$C$42, 18.4507, 18.4507) * CHOOSE(CONTROL!$C$21, $C$9, 100%, $E$9)</f>
        <v>18.450700000000001</v>
      </c>
      <c r="F430" s="14">
        <f>CHOOSE(CONTROL!$C$42, 18.1914, 18.1914)*CHOOSE(CONTROL!$C$21, $C$9, 100%, $E$9)</f>
        <v>18.191400000000002</v>
      </c>
      <c r="G430" s="14">
        <f>CHOOSE(CONTROL!$C$42, 18.207, 18.207)*CHOOSE(CONTROL!$C$21, $C$9, 100%, $E$9)</f>
        <v>18.207000000000001</v>
      </c>
      <c r="H430" s="14">
        <f>CHOOSE(CONTROL!$C$42, 18.4412, 18.4412) * CHOOSE(CONTROL!$C$21, $C$9, 100%, $E$9)</f>
        <v>18.441199999999998</v>
      </c>
      <c r="I430" s="14">
        <f>CHOOSE(CONTROL!$C$42, 18.2716, 18.2716)* CHOOSE(CONTROL!$C$21, $C$9, 100%, $E$9)</f>
        <v>18.271599999999999</v>
      </c>
      <c r="J430" s="14">
        <f>CHOOSE(CONTROL!$C$42, 18.1844, 18.1844)* CHOOSE(CONTROL!$C$21, $C$9, 100%, $E$9)</f>
        <v>18.1844</v>
      </c>
      <c r="K430" s="53">
        <f>CHOOSE(CONTROL!$C$42, 18.2677, 18.2677) * CHOOSE(CONTROL!$C$21, $C$9, 100%, $E$9)</f>
        <v>18.267700000000001</v>
      </c>
      <c r="L430" s="14">
        <f>CHOOSE(CONTROL!$C$42, 19.0282, 19.0282) * CHOOSE(CONTROL!$C$21, $C$9, 100%, $E$9)</f>
        <v>19.028199999999998</v>
      </c>
      <c r="M430" s="14">
        <f>CHOOSE(CONTROL!$C$42, 17.8195, 17.8195) * CHOOSE(CONTROL!$C$21, $C$9, 100%, $E$9)</f>
        <v>17.819500000000001</v>
      </c>
      <c r="N430" s="14">
        <f>CHOOSE(CONTROL!$C$42, 17.8348, 17.8348) * CHOOSE(CONTROL!$C$21, $C$9, 100%, $E$9)</f>
        <v>17.834800000000001</v>
      </c>
      <c r="O430" s="14">
        <f>CHOOSE(CONTROL!$C$42, 18.071, 18.071) * CHOOSE(CONTROL!$C$21, $C$9, 100%, $E$9)</f>
        <v>18.071000000000002</v>
      </c>
      <c r="P430" s="14">
        <f>CHOOSE(CONTROL!$C$42, 17.9039, 17.9039) * CHOOSE(CONTROL!$C$21, $C$9, 100%, $E$9)</f>
        <v>17.9039</v>
      </c>
      <c r="Q430" s="14">
        <f>CHOOSE(CONTROL!$C$42, 18.6657, 18.6657) * CHOOSE(CONTROL!$C$21, $C$9, 100%, $E$9)</f>
        <v>18.665700000000001</v>
      </c>
      <c r="R430" s="14">
        <f>CHOOSE(CONTROL!$C$42, 19.2994, 19.2994) * CHOOSE(CONTROL!$C$21, $C$9, 100%, $E$9)</f>
        <v>19.299399999999999</v>
      </c>
      <c r="S430" s="14">
        <f>CHOOSE(CONTROL!$C$42, 17.4865, 17.4865) * CHOOSE(CONTROL!$C$21, $C$9, 100%, $E$9)</f>
        <v>17.486499999999999</v>
      </c>
      <c r="T43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30" s="57">
        <f>(1000*CHOOSE(CONTROL!$C$42, 695, 695)*CHOOSE(CONTROL!$C$42, 0.5599, 0.5599)*CHOOSE(CONTROL!$C$42, 31, 31))/1000000</f>
        <v>12.063045499999998</v>
      </c>
      <c r="V430" s="57">
        <f>(1000*CHOOSE(CONTROL!$C$42, 500, 500)*CHOOSE(CONTROL!$C$42, 0.275, 0.275)*CHOOSE(CONTROL!$C$42, 31, 31))/1000000</f>
        <v>4.2625000000000002</v>
      </c>
      <c r="W430" s="57">
        <f>(1000*CHOOSE(CONTROL!$C$42, 0.1146, 0.1146)*CHOOSE(CONTROL!$C$42, 121.5, 121.5)*CHOOSE(CONTROL!$C$42, 31, 31))/1000000</f>
        <v>0.43164089999999994</v>
      </c>
      <c r="X430" s="57">
        <f>(31*0.1790888*245000/1000000)+(31*0.2374*100000/1000000)</f>
        <v>2.0961194359999999</v>
      </c>
      <c r="Y430" s="57"/>
      <c r="Z430" s="14"/>
      <c r="AA430" s="56"/>
      <c r="AB430" s="50">
        <f>(B430*131.881+C430*277.167+D430*79.08+E430*125.872+F430*40+G430*185+H430*0+I430*100+J430*300)/(131.881+277.167+79.08+125.872+0+40+185+100+300)</f>
        <v>18.246010636561746</v>
      </c>
      <c r="AC430" s="45">
        <f>(M430*'RAP TEMPLATE-GAS AVAILABILITY'!O429+N430*'RAP TEMPLATE-GAS AVAILABILITY'!P429+O430*'RAP TEMPLATE-GAS AVAILABILITY'!Q429+P430*'RAP TEMPLATE-GAS AVAILABILITY'!R429)/('RAP TEMPLATE-GAS AVAILABILITY'!O429+'RAP TEMPLATE-GAS AVAILABILITY'!P429+'RAP TEMPLATE-GAS AVAILABILITY'!Q429+'RAP TEMPLATE-GAS AVAILABILITY'!R429)</f>
        <v>17.9057309352518</v>
      </c>
    </row>
    <row r="431" spans="1:29" ht="15.75" x14ac:dyDescent="0.25">
      <c r="A431" s="33">
        <v>54026</v>
      </c>
      <c r="B431" s="14">
        <f>CHOOSE(CONTROL!$C$42, 18.6864, 18.6864) * CHOOSE(CONTROL!$C$21, $C$9, 100%, $E$9)</f>
        <v>18.686399999999999</v>
      </c>
      <c r="C431" s="14">
        <f>CHOOSE(CONTROL!$C$42, 18.6914, 18.6914) * CHOOSE(CONTROL!$C$21, $C$9, 100%, $E$9)</f>
        <v>18.691400000000002</v>
      </c>
      <c r="D431" s="14">
        <f>CHOOSE(CONTROL!$C$42, 18.7552, 18.7552) * CHOOSE(CONTROL!$C$21, $C$9, 100%, $E$9)</f>
        <v>18.755199999999999</v>
      </c>
      <c r="E431" s="14">
        <f>CHOOSE(CONTROL!$C$42, 18.7894, 18.7894) * CHOOSE(CONTROL!$C$21, $C$9, 100%, $E$9)</f>
        <v>18.789400000000001</v>
      </c>
      <c r="F431" s="14">
        <f>CHOOSE(CONTROL!$C$42, 18.6888, 18.6888)*CHOOSE(CONTROL!$C$21, $C$9, 100%, $E$9)</f>
        <v>18.688800000000001</v>
      </c>
      <c r="G431" s="14">
        <f>CHOOSE(CONTROL!$C$42, 18.7048, 18.7048)*CHOOSE(CONTROL!$C$21, $C$9, 100%, $E$9)</f>
        <v>18.704799999999999</v>
      </c>
      <c r="H431" s="14">
        <f>CHOOSE(CONTROL!$C$42, 18.7785, 18.7785) * CHOOSE(CONTROL!$C$21, $C$9, 100%, $E$9)</f>
        <v>18.778500000000001</v>
      </c>
      <c r="I431" s="14">
        <f>CHOOSE(CONTROL!$C$42, 18.7577, 18.7577)* CHOOSE(CONTROL!$C$21, $C$9, 100%, $E$9)</f>
        <v>18.7577</v>
      </c>
      <c r="J431" s="14">
        <f>CHOOSE(CONTROL!$C$42, 18.6818, 18.6818)* CHOOSE(CONTROL!$C$21, $C$9, 100%, $E$9)</f>
        <v>18.681799999999999</v>
      </c>
      <c r="K431" s="53">
        <f>CHOOSE(CONTROL!$C$42, 18.7538, 18.7538) * CHOOSE(CONTROL!$C$21, $C$9, 100%, $E$9)</f>
        <v>18.753799999999998</v>
      </c>
      <c r="L431" s="14">
        <f>CHOOSE(CONTROL!$C$42, 19.3655, 19.3655) * CHOOSE(CONTROL!$C$21, $C$9, 100%, $E$9)</f>
        <v>19.365500000000001</v>
      </c>
      <c r="M431" s="14">
        <f>CHOOSE(CONTROL!$C$42, 18.3067, 18.3067) * CHOOSE(CONTROL!$C$21, $C$9, 100%, $E$9)</f>
        <v>18.306699999999999</v>
      </c>
      <c r="N431" s="14">
        <f>CHOOSE(CONTROL!$C$42, 18.3224, 18.3224) * CHOOSE(CONTROL!$C$21, $C$9, 100%, $E$9)</f>
        <v>18.322399999999998</v>
      </c>
      <c r="O431" s="14">
        <f>CHOOSE(CONTROL!$C$42, 18.4015, 18.4015) * CHOOSE(CONTROL!$C$21, $C$9, 100%, $E$9)</f>
        <v>18.401499999999999</v>
      </c>
      <c r="P431" s="14">
        <f>CHOOSE(CONTROL!$C$42, 18.38, 18.38) * CHOOSE(CONTROL!$C$21, $C$9, 100%, $E$9)</f>
        <v>18.38</v>
      </c>
      <c r="Q431" s="14">
        <f>CHOOSE(CONTROL!$C$42, 18.9962, 18.9962) * CHOOSE(CONTROL!$C$21, $C$9, 100%, $E$9)</f>
        <v>18.996200000000002</v>
      </c>
      <c r="R431" s="14">
        <f>CHOOSE(CONTROL!$C$42, 19.6307, 19.6307) * CHOOSE(CONTROL!$C$21, $C$9, 100%, $E$9)</f>
        <v>19.630700000000001</v>
      </c>
      <c r="S431" s="14">
        <f>CHOOSE(CONTROL!$C$42, 17.9472, 17.9472) * CHOOSE(CONTROL!$C$21, $C$9, 100%, $E$9)</f>
        <v>17.947199999999999</v>
      </c>
      <c r="T43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31" s="57">
        <f>(1000*CHOOSE(CONTROL!$C$42, 695, 695)*CHOOSE(CONTROL!$C$42, 0.5599, 0.5599)*CHOOSE(CONTROL!$C$42, 30, 30))/1000000</f>
        <v>11.673914999999997</v>
      </c>
      <c r="V431" s="57">
        <f>(1000*CHOOSE(CONTROL!$C$42, 500, 500)*CHOOSE(CONTROL!$C$42, 0.275, 0.275)*CHOOSE(CONTROL!$C$42, 30, 30))/1000000</f>
        <v>4.125</v>
      </c>
      <c r="W431" s="57">
        <f>(1000*CHOOSE(CONTROL!$C$42, 0.1146, 0.1146)*CHOOSE(CONTROL!$C$42, 121.5, 121.5)*CHOOSE(CONTROL!$C$42, 30, 30))/1000000</f>
        <v>0.417717</v>
      </c>
      <c r="X431" s="57">
        <f>(30*0.1790888*100000/1000000)+(30*0.2374*100000/1000000)</f>
        <v>1.2494664</v>
      </c>
      <c r="Y431" s="57"/>
      <c r="Z431" s="14"/>
      <c r="AA431" s="56"/>
      <c r="AB431" s="50">
        <f>(B431*122.58+C431*297.941+D431*89.177+E431*40.302+F431*40+G431*160+H431*0+I431*100+J431*300)/(122.58+297.941+89.177+40.302+0+40+160+100+300)</f>
        <v>18.704283642260872</v>
      </c>
      <c r="AC431" s="45">
        <f>(M431*'RAP TEMPLATE-GAS AVAILABILITY'!O430+N431*'RAP TEMPLATE-GAS AVAILABILITY'!P430+O431*'RAP TEMPLATE-GAS AVAILABILITY'!Q430+P431*'RAP TEMPLATE-GAS AVAILABILITY'!R430)/('RAP TEMPLATE-GAS AVAILABILITY'!O430+'RAP TEMPLATE-GAS AVAILABILITY'!P430+'RAP TEMPLATE-GAS AVAILABILITY'!Q430+'RAP TEMPLATE-GAS AVAILABILITY'!R430)</f>
        <v>18.361117266187051</v>
      </c>
    </row>
    <row r="432" spans="1:29" ht="15.75" x14ac:dyDescent="0.25">
      <c r="A432" s="33">
        <v>54057</v>
      </c>
      <c r="B432" s="14">
        <f>CHOOSE(CONTROL!$C$42, 19.9597, 19.9597) * CHOOSE(CONTROL!$C$21, $C$9, 100%, $E$9)</f>
        <v>19.959700000000002</v>
      </c>
      <c r="C432" s="14">
        <f>CHOOSE(CONTROL!$C$42, 19.9648, 19.9648) * CHOOSE(CONTROL!$C$21, $C$9, 100%, $E$9)</f>
        <v>19.9648</v>
      </c>
      <c r="D432" s="14">
        <f>CHOOSE(CONTROL!$C$42, 20.0286, 20.0286) * CHOOSE(CONTROL!$C$21, $C$9, 100%, $E$9)</f>
        <v>20.028600000000001</v>
      </c>
      <c r="E432" s="14">
        <f>CHOOSE(CONTROL!$C$42, 20.0627, 20.0627) * CHOOSE(CONTROL!$C$21, $C$9, 100%, $E$9)</f>
        <v>20.0627</v>
      </c>
      <c r="F432" s="14">
        <f>CHOOSE(CONTROL!$C$42, 19.9644, 19.9644)*CHOOSE(CONTROL!$C$21, $C$9, 100%, $E$9)</f>
        <v>19.964400000000001</v>
      </c>
      <c r="G432" s="14">
        <f>CHOOSE(CONTROL!$C$42, 19.981, 19.981)*CHOOSE(CONTROL!$C$21, $C$9, 100%, $E$9)</f>
        <v>19.981000000000002</v>
      </c>
      <c r="H432" s="14">
        <f>CHOOSE(CONTROL!$C$42, 20.0519, 20.0519) * CHOOSE(CONTROL!$C$21, $C$9, 100%, $E$9)</f>
        <v>20.0519</v>
      </c>
      <c r="I432" s="14">
        <f>CHOOSE(CONTROL!$C$42, 20.0351, 20.0351)* CHOOSE(CONTROL!$C$21, $C$9, 100%, $E$9)</f>
        <v>20.0351</v>
      </c>
      <c r="J432" s="14">
        <f>CHOOSE(CONTROL!$C$42, 19.9574, 19.9574)* CHOOSE(CONTROL!$C$21, $C$9, 100%, $E$9)</f>
        <v>19.9574</v>
      </c>
      <c r="K432" s="53">
        <f>CHOOSE(CONTROL!$C$42, 20.0312, 20.0312) * CHOOSE(CONTROL!$C$21, $C$9, 100%, $E$9)</f>
        <v>20.031199999999998</v>
      </c>
      <c r="L432" s="14">
        <f>CHOOSE(CONTROL!$C$42, 20.6389, 20.6389) * CHOOSE(CONTROL!$C$21, $C$9, 100%, $E$9)</f>
        <v>20.6389</v>
      </c>
      <c r="M432" s="14">
        <f>CHOOSE(CONTROL!$C$42, 19.5562, 19.5562) * CHOOSE(CONTROL!$C$21, $C$9, 100%, $E$9)</f>
        <v>19.5562</v>
      </c>
      <c r="N432" s="14">
        <f>CHOOSE(CONTROL!$C$42, 19.5724, 19.5724) * CHOOSE(CONTROL!$C$21, $C$9, 100%, $E$9)</f>
        <v>19.572399999999998</v>
      </c>
      <c r="O432" s="14">
        <f>CHOOSE(CONTROL!$C$42, 19.6488, 19.6488) * CHOOSE(CONTROL!$C$21, $C$9, 100%, $E$9)</f>
        <v>19.648800000000001</v>
      </c>
      <c r="P432" s="14">
        <f>CHOOSE(CONTROL!$C$42, 19.6311, 19.6311) * CHOOSE(CONTROL!$C$21, $C$9, 100%, $E$9)</f>
        <v>19.6311</v>
      </c>
      <c r="Q432" s="14">
        <f>CHOOSE(CONTROL!$C$42, 20.2435, 20.2435) * CHOOSE(CONTROL!$C$21, $C$9, 100%, $E$9)</f>
        <v>20.243500000000001</v>
      </c>
      <c r="R432" s="14">
        <f>CHOOSE(CONTROL!$C$42, 20.8811, 20.8811) * CHOOSE(CONTROL!$C$21, $C$9, 100%, $E$9)</f>
        <v>20.8811</v>
      </c>
      <c r="S432" s="14">
        <f>CHOOSE(CONTROL!$C$42, 19.1708, 19.1708) * CHOOSE(CONTROL!$C$21, $C$9, 100%, $E$9)</f>
        <v>19.1708</v>
      </c>
      <c r="T43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32" s="57">
        <f>(1000*CHOOSE(CONTROL!$C$42, 695, 695)*CHOOSE(CONTROL!$C$42, 0.5599, 0.5599)*CHOOSE(CONTROL!$C$42, 31, 31))/1000000</f>
        <v>12.063045499999998</v>
      </c>
      <c r="V432" s="57">
        <f>(1000*CHOOSE(CONTROL!$C$42, 500, 500)*CHOOSE(CONTROL!$C$42, 0.275, 0.275)*CHOOSE(CONTROL!$C$42, 31, 31))/1000000</f>
        <v>4.2625000000000002</v>
      </c>
      <c r="W432" s="57">
        <f>(1000*CHOOSE(CONTROL!$C$42, 0.1146, 0.1146)*CHOOSE(CONTROL!$C$42, 121.5, 121.5)*CHOOSE(CONTROL!$C$42, 31, 31))/1000000</f>
        <v>0.43164089999999994</v>
      </c>
      <c r="X432" s="57">
        <f>(31*0.1790888*100000/1000000)+(31*0.2374*100000/1000000)</f>
        <v>1.2911152800000001</v>
      </c>
      <c r="Y432" s="57"/>
      <c r="Z432" s="14"/>
      <c r="AA432" s="56"/>
      <c r="AB432" s="50">
        <f>(B432*122.58+C432*297.941+D432*89.177+E432*40.302+F432*40+G432*160+H432*0+I432*100+J432*300)/(122.58+297.941+89.177+40.302+0+40+160+100+300)</f>
        <v>19.979057304695651</v>
      </c>
      <c r="AC432" s="45">
        <f>(M432*'RAP TEMPLATE-GAS AVAILABILITY'!O431+N432*'RAP TEMPLATE-GAS AVAILABILITY'!P431+O432*'RAP TEMPLATE-GAS AVAILABILITY'!Q431+P432*'RAP TEMPLATE-GAS AVAILABILITY'!R431)/('RAP TEMPLATE-GAS AVAILABILITY'!O431+'RAP TEMPLATE-GAS AVAILABILITY'!P431+'RAP TEMPLATE-GAS AVAILABILITY'!Q431+'RAP TEMPLATE-GAS AVAILABILITY'!R431)</f>
        <v>19.609879136690651</v>
      </c>
    </row>
    <row r="433" spans="1:29" ht="15.75" x14ac:dyDescent="0.25">
      <c r="A433" s="33">
        <v>54088</v>
      </c>
      <c r="B433" s="14">
        <f>CHOOSE(CONTROL!$C$42, 21.5939, 21.5939) * CHOOSE(CONTROL!$C$21, $C$9, 100%, $E$9)</f>
        <v>21.593900000000001</v>
      </c>
      <c r="C433" s="14">
        <f>CHOOSE(CONTROL!$C$42, 21.599, 21.599) * CHOOSE(CONTROL!$C$21, $C$9, 100%, $E$9)</f>
        <v>21.599</v>
      </c>
      <c r="D433" s="14">
        <f>CHOOSE(CONTROL!$C$42, 21.6654, 21.6654) * CHOOSE(CONTROL!$C$21, $C$9, 100%, $E$9)</f>
        <v>21.665400000000002</v>
      </c>
      <c r="E433" s="14">
        <f>CHOOSE(CONTROL!$C$42, 21.6995, 21.6995) * CHOOSE(CONTROL!$C$21, $C$9, 100%, $E$9)</f>
        <v>21.6995</v>
      </c>
      <c r="F433" s="14">
        <f>CHOOSE(CONTROL!$C$42, 21.5813, 21.5813)*CHOOSE(CONTROL!$C$21, $C$9, 100%, $E$9)</f>
        <v>21.581299999999999</v>
      </c>
      <c r="G433" s="14">
        <f>CHOOSE(CONTROL!$C$42, 21.5967, 21.5967)*CHOOSE(CONTROL!$C$21, $C$9, 100%, $E$9)</f>
        <v>21.596699999999998</v>
      </c>
      <c r="H433" s="14">
        <f>CHOOSE(CONTROL!$C$42, 21.6887, 21.6887) * CHOOSE(CONTROL!$C$21, $C$9, 100%, $E$9)</f>
        <v>21.688700000000001</v>
      </c>
      <c r="I433" s="14">
        <f>CHOOSE(CONTROL!$C$42, 21.6692, 21.6692)* CHOOSE(CONTROL!$C$21, $C$9, 100%, $E$9)</f>
        <v>21.6692</v>
      </c>
      <c r="J433" s="14">
        <f>CHOOSE(CONTROL!$C$42, 21.5743, 21.5743)* CHOOSE(CONTROL!$C$21, $C$9, 100%, $E$9)</f>
        <v>21.574300000000001</v>
      </c>
      <c r="K433" s="53">
        <f>CHOOSE(CONTROL!$C$42, 21.6653, 21.6653) * CHOOSE(CONTROL!$C$21, $C$9, 100%, $E$9)</f>
        <v>21.665299999999998</v>
      </c>
      <c r="L433" s="14">
        <f>CHOOSE(CONTROL!$C$42, 22.2757, 22.2757) * CHOOSE(CONTROL!$C$21, $C$9, 100%, $E$9)</f>
        <v>22.275700000000001</v>
      </c>
      <c r="M433" s="14">
        <f>CHOOSE(CONTROL!$C$42, 21.1399, 21.1399) * CHOOSE(CONTROL!$C$21, $C$9, 100%, $E$9)</f>
        <v>21.139900000000001</v>
      </c>
      <c r="N433" s="14">
        <f>CHOOSE(CONTROL!$C$42, 21.1551, 21.1551) * CHOOSE(CONTROL!$C$21, $C$9, 100%, $E$9)</f>
        <v>21.155100000000001</v>
      </c>
      <c r="O433" s="14">
        <f>CHOOSE(CONTROL!$C$42, 21.252, 21.252) * CHOOSE(CONTROL!$C$21, $C$9, 100%, $E$9)</f>
        <v>21.251999999999999</v>
      </c>
      <c r="P433" s="14">
        <f>CHOOSE(CONTROL!$C$42, 21.2316, 21.2316) * CHOOSE(CONTROL!$C$21, $C$9, 100%, $E$9)</f>
        <v>21.2316</v>
      </c>
      <c r="Q433" s="14">
        <f>CHOOSE(CONTROL!$C$42, 21.8467, 21.8467) * CHOOSE(CONTROL!$C$21, $C$9, 100%, $E$9)</f>
        <v>21.846699999999998</v>
      </c>
      <c r="R433" s="14">
        <f>CHOOSE(CONTROL!$C$42, 22.4883, 22.4883) * CHOOSE(CONTROL!$C$21, $C$9, 100%, $E$9)</f>
        <v>22.488299999999999</v>
      </c>
      <c r="S433" s="14">
        <f>CHOOSE(CONTROL!$C$42, 20.7411, 20.7411) * CHOOSE(CONTROL!$C$21, $C$9, 100%, $E$9)</f>
        <v>20.741099999999999</v>
      </c>
      <c r="T43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33" s="57">
        <f>(1000*CHOOSE(CONTROL!$C$42, 695, 695)*CHOOSE(CONTROL!$C$42, 0.5599, 0.5599)*CHOOSE(CONTROL!$C$42, 31, 31))/1000000</f>
        <v>12.063045499999998</v>
      </c>
      <c r="V433" s="57">
        <f>(1000*CHOOSE(CONTROL!$C$42, 500, 500)*CHOOSE(CONTROL!$C$42, 0.275, 0.275)*CHOOSE(CONTROL!$C$42, 31, 31))/1000000</f>
        <v>4.2625000000000002</v>
      </c>
      <c r="W433" s="57">
        <f>(1000*CHOOSE(CONTROL!$C$42, 0.1146, 0.1146)*CHOOSE(CONTROL!$C$42, 121.5, 121.5)*CHOOSE(CONTROL!$C$42, 31, 31))/1000000</f>
        <v>0.43164089999999994</v>
      </c>
      <c r="X433" s="57">
        <f>(31*0.1790888*100000/1000000)+(31*0.2374*100000/1000000)</f>
        <v>1.2911152800000001</v>
      </c>
      <c r="Y433" s="57"/>
      <c r="Z433" s="14"/>
      <c r="AA433" s="56"/>
      <c r="AB433" s="50">
        <f>(B433*122.58+C433*297.941+D433*89.177+E433*40.302+F433*40+G433*160+H433*0+I433*100+J433*300)/(122.58+297.941+89.177+40.302+0+40+160+100+300)</f>
        <v>21.60585264852174</v>
      </c>
      <c r="AC433" s="45">
        <f>(M433*'RAP TEMPLATE-GAS AVAILABILITY'!O432+N433*'RAP TEMPLATE-GAS AVAILABILITY'!P432+O433*'RAP TEMPLATE-GAS AVAILABILITY'!Q432+P433*'RAP TEMPLATE-GAS AVAILABILITY'!R432)/('RAP TEMPLATE-GAS AVAILABILITY'!O432+'RAP TEMPLATE-GAS AVAILABILITY'!P432+'RAP TEMPLATE-GAS AVAILABILITY'!Q432+'RAP TEMPLATE-GAS AVAILABILITY'!R432)</f>
        <v>21.204776978417264</v>
      </c>
    </row>
    <row r="434" spans="1:29" ht="15.75" x14ac:dyDescent="0.25">
      <c r="A434" s="33">
        <v>54116</v>
      </c>
      <c r="B434" s="14">
        <f>CHOOSE(CONTROL!$C$42, 21.9782, 21.9782) * CHOOSE(CONTROL!$C$21, $C$9, 100%, $E$9)</f>
        <v>21.978200000000001</v>
      </c>
      <c r="C434" s="14">
        <f>CHOOSE(CONTROL!$C$42, 21.9832, 21.9832) * CHOOSE(CONTROL!$C$21, $C$9, 100%, $E$9)</f>
        <v>21.9832</v>
      </c>
      <c r="D434" s="14">
        <f>CHOOSE(CONTROL!$C$42, 22.0496, 22.0496) * CHOOSE(CONTROL!$C$21, $C$9, 100%, $E$9)</f>
        <v>22.049600000000002</v>
      </c>
      <c r="E434" s="14">
        <f>CHOOSE(CONTROL!$C$42, 22.0837, 22.0837) * CHOOSE(CONTROL!$C$21, $C$9, 100%, $E$9)</f>
        <v>22.0837</v>
      </c>
      <c r="F434" s="14">
        <f>CHOOSE(CONTROL!$C$42, 21.9656, 21.9656)*CHOOSE(CONTROL!$C$21, $C$9, 100%, $E$9)</f>
        <v>21.965599999999998</v>
      </c>
      <c r="G434" s="14">
        <f>CHOOSE(CONTROL!$C$42, 21.9811, 21.9811)*CHOOSE(CONTROL!$C$21, $C$9, 100%, $E$9)</f>
        <v>21.981100000000001</v>
      </c>
      <c r="H434" s="14">
        <f>CHOOSE(CONTROL!$C$42, 22.0729, 22.0729) * CHOOSE(CONTROL!$C$21, $C$9, 100%, $E$9)</f>
        <v>22.072900000000001</v>
      </c>
      <c r="I434" s="14">
        <f>CHOOSE(CONTROL!$C$42, 22.0546, 22.0546)* CHOOSE(CONTROL!$C$21, $C$9, 100%, $E$9)</f>
        <v>22.054600000000001</v>
      </c>
      <c r="J434" s="14">
        <f>CHOOSE(CONTROL!$C$42, 21.9586, 21.9586)* CHOOSE(CONTROL!$C$21, $C$9, 100%, $E$9)</f>
        <v>21.958600000000001</v>
      </c>
      <c r="K434" s="53">
        <f>CHOOSE(CONTROL!$C$42, 22.0507, 22.0507) * CHOOSE(CONTROL!$C$21, $C$9, 100%, $E$9)</f>
        <v>22.050699999999999</v>
      </c>
      <c r="L434" s="14">
        <f>CHOOSE(CONTROL!$C$42, 22.6599, 22.6599) * CHOOSE(CONTROL!$C$21, $C$9, 100%, $E$9)</f>
        <v>22.6599</v>
      </c>
      <c r="M434" s="14">
        <f>CHOOSE(CONTROL!$C$42, 21.5163, 21.5163) * CHOOSE(CONTROL!$C$21, $C$9, 100%, $E$9)</f>
        <v>21.516300000000001</v>
      </c>
      <c r="N434" s="14">
        <f>CHOOSE(CONTROL!$C$42, 21.5315, 21.5315) * CHOOSE(CONTROL!$C$21, $C$9, 100%, $E$9)</f>
        <v>21.531500000000001</v>
      </c>
      <c r="O434" s="14">
        <f>CHOOSE(CONTROL!$C$42, 21.6284, 21.6284) * CHOOSE(CONTROL!$C$21, $C$9, 100%, $E$9)</f>
        <v>21.628399999999999</v>
      </c>
      <c r="P434" s="14">
        <f>CHOOSE(CONTROL!$C$42, 21.6091, 21.6091) * CHOOSE(CONTROL!$C$21, $C$9, 100%, $E$9)</f>
        <v>21.609100000000002</v>
      </c>
      <c r="Q434" s="14">
        <f>CHOOSE(CONTROL!$C$42, 22.2231, 22.2231) * CHOOSE(CONTROL!$C$21, $C$9, 100%, $E$9)</f>
        <v>22.223099999999999</v>
      </c>
      <c r="R434" s="14">
        <f>CHOOSE(CONTROL!$C$42, 22.8656, 22.8656) * CHOOSE(CONTROL!$C$21, $C$9, 100%, $E$9)</f>
        <v>22.865600000000001</v>
      </c>
      <c r="S434" s="14">
        <f>CHOOSE(CONTROL!$C$42, 21.1103, 21.1103) * CHOOSE(CONTROL!$C$21, $C$9, 100%, $E$9)</f>
        <v>21.110299999999999</v>
      </c>
      <c r="T434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434" s="57">
        <f>(1000*CHOOSE(CONTROL!$C$42, 695, 695)*CHOOSE(CONTROL!$C$42, 0.5599, 0.5599)*CHOOSE(CONTROL!$C$42, 29, 29))/1000000</f>
        <v>11.284784499999999</v>
      </c>
      <c r="V434" s="57">
        <f>(1000*CHOOSE(CONTROL!$C$42, 500, 500)*CHOOSE(CONTROL!$C$42, 0.275, 0.275)*CHOOSE(CONTROL!$C$42, 29, 29))/1000000</f>
        <v>3.9874999999999998</v>
      </c>
      <c r="W434" s="57">
        <f>(1000*CHOOSE(CONTROL!$C$42, 0.1146, 0.1146)*CHOOSE(CONTROL!$C$42, 121.5, 121.5)*CHOOSE(CONTROL!$C$42, 29, 29))/1000000</f>
        <v>0.40379309999999996</v>
      </c>
      <c r="X434" s="57">
        <f>(29*0.1790888*100000/1000000)+(29*0.2374*100000/1000000)</f>
        <v>1.2078175199999999</v>
      </c>
      <c r="Y434" s="57"/>
      <c r="Z434" s="14"/>
      <c r="AA434" s="56"/>
      <c r="AB434" s="50">
        <f>(B434*122.58+C434*297.941+D434*89.177+E434*40.302+F434*40+G434*160+H434*0+I434*100+J434*300)/(122.58+297.941+89.177+40.302+0+40+160+100+300)</f>
        <v>21.990225046782605</v>
      </c>
      <c r="AC434" s="45">
        <f>(M434*'RAP TEMPLATE-GAS AVAILABILITY'!O433+N434*'RAP TEMPLATE-GAS AVAILABILITY'!P433+O434*'RAP TEMPLATE-GAS AVAILABILITY'!Q433+P434*'RAP TEMPLATE-GAS AVAILABILITY'!R433)/('RAP TEMPLATE-GAS AVAILABILITY'!O433+'RAP TEMPLATE-GAS AVAILABILITY'!P433+'RAP TEMPLATE-GAS AVAILABILITY'!Q433+'RAP TEMPLATE-GAS AVAILABILITY'!R433)</f>
        <v>21.58133525179856</v>
      </c>
    </row>
    <row r="435" spans="1:29" ht="15.75" x14ac:dyDescent="0.25">
      <c r="A435" s="33">
        <v>54148</v>
      </c>
      <c r="B435" s="14">
        <f>CHOOSE(CONTROL!$C$42, 21.3545, 21.3545) * CHOOSE(CONTROL!$C$21, $C$9, 100%, $E$9)</f>
        <v>21.354500000000002</v>
      </c>
      <c r="C435" s="14">
        <f>CHOOSE(CONTROL!$C$42, 21.3595, 21.3595) * CHOOSE(CONTROL!$C$21, $C$9, 100%, $E$9)</f>
        <v>21.359500000000001</v>
      </c>
      <c r="D435" s="14">
        <f>CHOOSE(CONTROL!$C$42, 21.4259, 21.4259) * CHOOSE(CONTROL!$C$21, $C$9, 100%, $E$9)</f>
        <v>21.425899999999999</v>
      </c>
      <c r="E435" s="14">
        <f>CHOOSE(CONTROL!$C$42, 21.46, 21.46) * CHOOSE(CONTROL!$C$21, $C$9, 100%, $E$9)</f>
        <v>21.46</v>
      </c>
      <c r="F435" s="14">
        <f>CHOOSE(CONTROL!$C$42, 21.3415, 21.3415)*CHOOSE(CONTROL!$C$21, $C$9, 100%, $E$9)</f>
        <v>21.3415</v>
      </c>
      <c r="G435" s="14">
        <f>CHOOSE(CONTROL!$C$42, 21.3568, 21.3568)*CHOOSE(CONTROL!$C$21, $C$9, 100%, $E$9)</f>
        <v>21.3568</v>
      </c>
      <c r="H435" s="14">
        <f>CHOOSE(CONTROL!$C$42, 21.4492, 21.4492) * CHOOSE(CONTROL!$C$21, $C$9, 100%, $E$9)</f>
        <v>21.449200000000001</v>
      </c>
      <c r="I435" s="14">
        <f>CHOOSE(CONTROL!$C$42, 21.429, 21.429)* CHOOSE(CONTROL!$C$21, $C$9, 100%, $E$9)</f>
        <v>21.428999999999998</v>
      </c>
      <c r="J435" s="14">
        <f>CHOOSE(CONTROL!$C$42, 21.3345, 21.3345)* CHOOSE(CONTROL!$C$21, $C$9, 100%, $E$9)</f>
        <v>21.334499999999998</v>
      </c>
      <c r="K435" s="53">
        <f>CHOOSE(CONTROL!$C$42, 21.4251, 21.4251) * CHOOSE(CONTROL!$C$21, $C$9, 100%, $E$9)</f>
        <v>21.4251</v>
      </c>
      <c r="L435" s="14">
        <f>CHOOSE(CONTROL!$C$42, 22.0362, 22.0362) * CHOOSE(CONTROL!$C$21, $C$9, 100%, $E$9)</f>
        <v>22.036200000000001</v>
      </c>
      <c r="M435" s="14">
        <f>CHOOSE(CONTROL!$C$42, 20.905, 20.905) * CHOOSE(CONTROL!$C$21, $C$9, 100%, $E$9)</f>
        <v>20.905000000000001</v>
      </c>
      <c r="N435" s="14">
        <f>CHOOSE(CONTROL!$C$42, 20.9201, 20.9201) * CHOOSE(CONTROL!$C$21, $C$9, 100%, $E$9)</f>
        <v>20.920100000000001</v>
      </c>
      <c r="O435" s="14">
        <f>CHOOSE(CONTROL!$C$42, 21.0175, 21.0175) * CHOOSE(CONTROL!$C$21, $C$9, 100%, $E$9)</f>
        <v>21.017499999999998</v>
      </c>
      <c r="P435" s="14">
        <f>CHOOSE(CONTROL!$C$42, 20.9963, 20.9963) * CHOOSE(CONTROL!$C$21, $C$9, 100%, $E$9)</f>
        <v>20.996300000000002</v>
      </c>
      <c r="Q435" s="14">
        <f>CHOOSE(CONTROL!$C$42, 21.6122, 21.6122) * CHOOSE(CONTROL!$C$21, $C$9, 100%, $E$9)</f>
        <v>21.612200000000001</v>
      </c>
      <c r="R435" s="14">
        <f>CHOOSE(CONTROL!$C$42, 22.2532, 22.2532) * CHOOSE(CONTROL!$C$21, $C$9, 100%, $E$9)</f>
        <v>22.2532</v>
      </c>
      <c r="S435" s="14">
        <f>CHOOSE(CONTROL!$C$42, 20.511, 20.511) * CHOOSE(CONTROL!$C$21, $C$9, 100%, $E$9)</f>
        <v>20.510999999999999</v>
      </c>
      <c r="T43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35" s="57">
        <f>(1000*CHOOSE(CONTROL!$C$42, 695, 695)*CHOOSE(CONTROL!$C$42, 0.5599, 0.5599)*CHOOSE(CONTROL!$C$42, 31, 31))/1000000</f>
        <v>12.063045499999998</v>
      </c>
      <c r="V435" s="57">
        <f>(1000*CHOOSE(CONTROL!$C$42, 500, 500)*CHOOSE(CONTROL!$C$42, 0.275, 0.275)*CHOOSE(CONTROL!$C$42, 31, 31))/1000000</f>
        <v>4.2625000000000002</v>
      </c>
      <c r="W435" s="57">
        <f>(1000*CHOOSE(CONTROL!$C$42, 0.1146, 0.1146)*CHOOSE(CONTROL!$C$42, 121.5, 121.5)*CHOOSE(CONTROL!$C$42, 31, 31))/1000000</f>
        <v>0.43164089999999994</v>
      </c>
      <c r="X435" s="57">
        <f>(31*0.1790888*100000/1000000)+(31*0.2374*100000/1000000)</f>
        <v>1.2911152800000001</v>
      </c>
      <c r="Y435" s="57"/>
      <c r="Z435" s="14"/>
      <c r="AA435" s="56"/>
      <c r="AB435" s="50">
        <f>(B435*122.58+C435*297.941+D435*89.177+E435*40.302+F435*40+G435*160+H435*0+I435*100+J435*300)/(122.58+297.941+89.177+40.302+0+40+160+100+300)</f>
        <v>21.366158090260868</v>
      </c>
      <c r="AC435" s="45">
        <f>(M435*'RAP TEMPLATE-GAS AVAILABILITY'!O434+N435*'RAP TEMPLATE-GAS AVAILABILITY'!P434+O435*'RAP TEMPLATE-GAS AVAILABILITY'!Q434+P435*'RAP TEMPLATE-GAS AVAILABILITY'!R434)/('RAP TEMPLATE-GAS AVAILABILITY'!O434+'RAP TEMPLATE-GAS AVAILABILITY'!P434+'RAP TEMPLATE-GAS AVAILABILITY'!Q434+'RAP TEMPLATE-GAS AVAILABILITY'!R434)</f>
        <v>20.969994964028782</v>
      </c>
    </row>
    <row r="436" spans="1:29" ht="15.75" x14ac:dyDescent="0.25">
      <c r="A436" s="33">
        <v>54178</v>
      </c>
      <c r="B436" s="14">
        <f>CHOOSE(CONTROL!$C$42, 21.2917, 21.2917) * CHOOSE(CONTROL!$C$21, $C$9, 100%, $E$9)</f>
        <v>21.291699999999999</v>
      </c>
      <c r="C436" s="14">
        <f>CHOOSE(CONTROL!$C$42, 21.2962, 21.2962) * CHOOSE(CONTROL!$C$21, $C$9, 100%, $E$9)</f>
        <v>21.296199999999999</v>
      </c>
      <c r="D436" s="14">
        <f>CHOOSE(CONTROL!$C$42, 21.5033, 21.5033) * CHOOSE(CONTROL!$C$21, $C$9, 100%, $E$9)</f>
        <v>21.503299999999999</v>
      </c>
      <c r="E436" s="14">
        <f>CHOOSE(CONTROL!$C$42, 21.5354, 21.5354) * CHOOSE(CONTROL!$C$21, $C$9, 100%, $E$9)</f>
        <v>21.535399999999999</v>
      </c>
      <c r="F436" s="14">
        <f>CHOOSE(CONTROL!$C$42, 21.2736, 21.2736)*CHOOSE(CONTROL!$C$21, $C$9, 100%, $E$9)</f>
        <v>21.273599999999998</v>
      </c>
      <c r="G436" s="14">
        <f>CHOOSE(CONTROL!$C$42, 21.2888, 21.2888)*CHOOSE(CONTROL!$C$21, $C$9, 100%, $E$9)</f>
        <v>21.288799999999998</v>
      </c>
      <c r="H436" s="14">
        <f>CHOOSE(CONTROL!$C$42, 21.5252, 21.5252) * CHOOSE(CONTROL!$C$21, $C$9, 100%, $E$9)</f>
        <v>21.525200000000002</v>
      </c>
      <c r="I436" s="14">
        <f>CHOOSE(CONTROL!$C$42, 21.3652, 21.3652)* CHOOSE(CONTROL!$C$21, $C$9, 100%, $E$9)</f>
        <v>21.365200000000002</v>
      </c>
      <c r="J436" s="14">
        <f>CHOOSE(CONTROL!$C$42, 21.2666, 21.2666)* CHOOSE(CONTROL!$C$21, $C$9, 100%, $E$9)</f>
        <v>21.2666</v>
      </c>
      <c r="K436" s="53">
        <f>CHOOSE(CONTROL!$C$42, 21.3614, 21.3614) * CHOOSE(CONTROL!$C$21, $C$9, 100%, $E$9)</f>
        <v>21.3614</v>
      </c>
      <c r="L436" s="14">
        <f>CHOOSE(CONTROL!$C$42, 22.1122, 22.1122) * CHOOSE(CONTROL!$C$21, $C$9, 100%, $E$9)</f>
        <v>22.112200000000001</v>
      </c>
      <c r="M436" s="14">
        <f>CHOOSE(CONTROL!$C$42, 20.8386, 20.8386) * CHOOSE(CONTROL!$C$21, $C$9, 100%, $E$9)</f>
        <v>20.8386</v>
      </c>
      <c r="N436" s="14">
        <f>CHOOSE(CONTROL!$C$42, 20.8534, 20.8534) * CHOOSE(CONTROL!$C$21, $C$9, 100%, $E$9)</f>
        <v>20.853400000000001</v>
      </c>
      <c r="O436" s="14">
        <f>CHOOSE(CONTROL!$C$42, 21.0918, 21.0918) * CHOOSE(CONTROL!$C$21, $C$9, 100%, $E$9)</f>
        <v>21.091799999999999</v>
      </c>
      <c r="P436" s="14">
        <f>CHOOSE(CONTROL!$C$42, 20.9339, 20.9339) * CHOOSE(CONTROL!$C$21, $C$9, 100%, $E$9)</f>
        <v>20.933900000000001</v>
      </c>
      <c r="Q436" s="14">
        <f>CHOOSE(CONTROL!$C$42, 21.6865, 21.6865) * CHOOSE(CONTROL!$C$21, $C$9, 100%, $E$9)</f>
        <v>21.686499999999999</v>
      </c>
      <c r="R436" s="14">
        <f>CHOOSE(CONTROL!$C$42, 22.3277, 22.3277) * CHOOSE(CONTROL!$C$21, $C$9, 100%, $E$9)</f>
        <v>22.3277</v>
      </c>
      <c r="S436" s="14">
        <f>CHOOSE(CONTROL!$C$42, 20.4499, 20.4499) * CHOOSE(CONTROL!$C$21, $C$9, 100%, $E$9)</f>
        <v>20.4499</v>
      </c>
      <c r="T43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36" s="57">
        <f>(1000*CHOOSE(CONTROL!$C$42, 695, 695)*CHOOSE(CONTROL!$C$42, 0.5599, 0.5599)*CHOOSE(CONTROL!$C$42, 30, 30))/1000000</f>
        <v>11.673914999999997</v>
      </c>
      <c r="V436" s="57">
        <f>(1000*CHOOSE(CONTROL!$C$42, 500, 500)*CHOOSE(CONTROL!$C$42, 0.275, 0.275)*CHOOSE(CONTROL!$C$42, 30, 30))/1000000</f>
        <v>4.125</v>
      </c>
      <c r="W436" s="57">
        <f>(1000*CHOOSE(CONTROL!$C$42, 0.1146, 0.1146)*CHOOSE(CONTROL!$C$42, 121.5, 121.5)*CHOOSE(CONTROL!$C$42, 30, 30))/1000000</f>
        <v>0.417717</v>
      </c>
      <c r="X436" s="57">
        <f>(30*0.1790888*245000/1000000)+(30*0.2374*100000/1000000)</f>
        <v>2.0285026799999999</v>
      </c>
      <c r="Y436" s="57"/>
      <c r="Z436" s="14"/>
      <c r="AA436" s="56"/>
      <c r="AB436" s="50">
        <f>(B436*141.293+C436*267.993+D436*115.016+E436*89.698+F436*40+G436*185+H436*0+I436*100+J436*300)/(141.293+267.993+115.016+89.698+0+40+185+100+300)</f>
        <v>21.32879625238095</v>
      </c>
      <c r="AC436" s="45">
        <f>(M436*'RAP TEMPLATE-GAS AVAILABILITY'!O435+N436*'RAP TEMPLATE-GAS AVAILABILITY'!P435+O436*'RAP TEMPLATE-GAS AVAILABILITY'!Q435+P436*'RAP TEMPLATE-GAS AVAILABILITY'!R435)/('RAP TEMPLATE-GAS AVAILABILITY'!O435+'RAP TEMPLATE-GAS AVAILABILITY'!P435+'RAP TEMPLATE-GAS AVAILABILITY'!Q435+'RAP TEMPLATE-GAS AVAILABILITY'!R435)</f>
        <v>20.926761151079141</v>
      </c>
    </row>
    <row r="437" spans="1:29" ht="15.75" x14ac:dyDescent="0.25">
      <c r="A437" s="33">
        <v>54209</v>
      </c>
      <c r="B437" s="14">
        <f>CHOOSE(CONTROL!$C$42, 21.4809, 21.4809) * CHOOSE(CONTROL!$C$21, $C$9, 100%, $E$9)</f>
        <v>21.480899999999998</v>
      </c>
      <c r="C437" s="14">
        <f>CHOOSE(CONTROL!$C$42, 21.489, 21.489) * CHOOSE(CONTROL!$C$21, $C$9, 100%, $E$9)</f>
        <v>21.489000000000001</v>
      </c>
      <c r="D437" s="14">
        <f>CHOOSE(CONTROL!$C$42, 21.6929, 21.6929) * CHOOSE(CONTROL!$C$21, $C$9, 100%, $E$9)</f>
        <v>21.692900000000002</v>
      </c>
      <c r="E437" s="14">
        <f>CHOOSE(CONTROL!$C$42, 21.7244, 21.7244) * CHOOSE(CONTROL!$C$21, $C$9, 100%, $E$9)</f>
        <v>21.724399999999999</v>
      </c>
      <c r="F437" s="14">
        <f>CHOOSE(CONTROL!$C$42, 21.4617, 21.4617)*CHOOSE(CONTROL!$C$21, $C$9, 100%, $E$9)</f>
        <v>21.4617</v>
      </c>
      <c r="G437" s="14">
        <f>CHOOSE(CONTROL!$C$42, 21.4773, 21.4773)*CHOOSE(CONTROL!$C$21, $C$9, 100%, $E$9)</f>
        <v>21.4773</v>
      </c>
      <c r="H437" s="14">
        <f>CHOOSE(CONTROL!$C$42, 21.713, 21.713) * CHOOSE(CONTROL!$C$21, $C$9, 100%, $E$9)</f>
        <v>21.713000000000001</v>
      </c>
      <c r="I437" s="14">
        <f>CHOOSE(CONTROL!$C$42, 21.5537, 21.5537)* CHOOSE(CONTROL!$C$21, $C$9, 100%, $E$9)</f>
        <v>21.553699999999999</v>
      </c>
      <c r="J437" s="14">
        <f>CHOOSE(CONTROL!$C$42, 21.4547, 21.4547)* CHOOSE(CONTROL!$C$21, $C$9, 100%, $E$9)</f>
        <v>21.454699999999999</v>
      </c>
      <c r="K437" s="53">
        <f>CHOOSE(CONTROL!$C$42, 21.5498, 21.5498) * CHOOSE(CONTROL!$C$21, $C$9, 100%, $E$9)</f>
        <v>21.549800000000001</v>
      </c>
      <c r="L437" s="14">
        <f>CHOOSE(CONTROL!$C$42, 22.3, 22.3) * CHOOSE(CONTROL!$C$21, $C$9, 100%, $E$9)</f>
        <v>22.3</v>
      </c>
      <c r="M437" s="14">
        <f>CHOOSE(CONTROL!$C$42, 21.0228, 21.0228) * CHOOSE(CONTROL!$C$21, $C$9, 100%, $E$9)</f>
        <v>21.0228</v>
      </c>
      <c r="N437" s="14">
        <f>CHOOSE(CONTROL!$C$42, 21.0381, 21.0381) * CHOOSE(CONTROL!$C$21, $C$9, 100%, $E$9)</f>
        <v>21.0381</v>
      </c>
      <c r="O437" s="14">
        <f>CHOOSE(CONTROL!$C$42, 21.2758, 21.2758) * CHOOSE(CONTROL!$C$21, $C$9, 100%, $E$9)</f>
        <v>21.2758</v>
      </c>
      <c r="P437" s="14">
        <f>CHOOSE(CONTROL!$C$42, 21.1185, 21.1185) * CHOOSE(CONTROL!$C$21, $C$9, 100%, $E$9)</f>
        <v>21.118500000000001</v>
      </c>
      <c r="Q437" s="14">
        <f>CHOOSE(CONTROL!$C$42, 21.8705, 21.8705) * CHOOSE(CONTROL!$C$21, $C$9, 100%, $E$9)</f>
        <v>21.8705</v>
      </c>
      <c r="R437" s="14">
        <f>CHOOSE(CONTROL!$C$42, 22.5122, 22.5122) * CHOOSE(CONTROL!$C$21, $C$9, 100%, $E$9)</f>
        <v>22.5122</v>
      </c>
      <c r="S437" s="14">
        <f>CHOOSE(CONTROL!$C$42, 20.6304, 20.6304) * CHOOSE(CONTROL!$C$21, $C$9, 100%, $E$9)</f>
        <v>20.630400000000002</v>
      </c>
      <c r="T43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37" s="57">
        <f>(1000*CHOOSE(CONTROL!$C$42, 695, 695)*CHOOSE(CONTROL!$C$42, 0.5599, 0.5599)*CHOOSE(CONTROL!$C$42, 31, 31))/1000000</f>
        <v>12.063045499999998</v>
      </c>
      <c r="V437" s="57">
        <f>(1000*CHOOSE(CONTROL!$C$42, 500, 500)*CHOOSE(CONTROL!$C$42, 0.275, 0.275)*CHOOSE(CONTROL!$C$42, 31, 31))/1000000</f>
        <v>4.2625000000000002</v>
      </c>
      <c r="W437" s="57">
        <f>(1000*CHOOSE(CONTROL!$C$42, 0.1146, 0.1146)*CHOOSE(CONTROL!$C$42, 121.5, 121.5)*CHOOSE(CONTROL!$C$42, 31, 31))/1000000</f>
        <v>0.43164089999999994</v>
      </c>
      <c r="X437" s="57">
        <f>(31*0.1790888*245000/1000000)+(31*0.2374*100000/1000000)</f>
        <v>2.0961194359999999</v>
      </c>
      <c r="Y437" s="57"/>
      <c r="Z437" s="14"/>
      <c r="AA437" s="56"/>
      <c r="AB437" s="50">
        <f>(B437*194.205+C437*267.466+D437*133.845+E437*53.484+F437*40+G437*185+H437*0+I437*100+J437*300)/(194.205+267.466+133.845+53.484+0+40+185+100+300)</f>
        <v>21.513514575039245</v>
      </c>
      <c r="AC437" s="45">
        <f>(M437*'RAP TEMPLATE-GAS AVAILABILITY'!O436+N437*'RAP TEMPLATE-GAS AVAILABILITY'!P436+O437*'RAP TEMPLATE-GAS AVAILABILITY'!Q436+P437*'RAP TEMPLATE-GAS AVAILABILITY'!R436)/('RAP TEMPLATE-GAS AVAILABILITY'!O436+'RAP TEMPLATE-GAS AVAILABILITY'!P436+'RAP TEMPLATE-GAS AVAILABILITY'!Q436+'RAP TEMPLATE-GAS AVAILABILITY'!R436)</f>
        <v>21.111077697841726</v>
      </c>
    </row>
    <row r="438" spans="1:29" ht="15.75" x14ac:dyDescent="0.25">
      <c r="A438" s="33">
        <v>54239</v>
      </c>
      <c r="B438" s="14">
        <f>CHOOSE(CONTROL!$C$42, 22.0899, 22.0899) * CHOOSE(CONTROL!$C$21, $C$9, 100%, $E$9)</f>
        <v>22.0899</v>
      </c>
      <c r="C438" s="14">
        <f>CHOOSE(CONTROL!$C$42, 22.098, 22.098) * CHOOSE(CONTROL!$C$21, $C$9, 100%, $E$9)</f>
        <v>22.097999999999999</v>
      </c>
      <c r="D438" s="14">
        <f>CHOOSE(CONTROL!$C$42, 22.3019, 22.3019) * CHOOSE(CONTROL!$C$21, $C$9, 100%, $E$9)</f>
        <v>22.3019</v>
      </c>
      <c r="E438" s="14">
        <f>CHOOSE(CONTROL!$C$42, 22.3334, 22.3334) * CHOOSE(CONTROL!$C$21, $C$9, 100%, $E$9)</f>
        <v>22.333400000000001</v>
      </c>
      <c r="F438" s="14">
        <f>CHOOSE(CONTROL!$C$42, 22.0711, 22.0711)*CHOOSE(CONTROL!$C$21, $C$9, 100%, $E$9)</f>
        <v>22.071100000000001</v>
      </c>
      <c r="G438" s="14">
        <f>CHOOSE(CONTROL!$C$42, 22.0869, 22.0869)*CHOOSE(CONTROL!$C$21, $C$9, 100%, $E$9)</f>
        <v>22.0869</v>
      </c>
      <c r="H438" s="14">
        <f>CHOOSE(CONTROL!$C$42, 22.322, 22.322) * CHOOSE(CONTROL!$C$21, $C$9, 100%, $E$9)</f>
        <v>22.321999999999999</v>
      </c>
      <c r="I438" s="14">
        <f>CHOOSE(CONTROL!$C$42, 22.1646, 22.1646)* CHOOSE(CONTROL!$C$21, $C$9, 100%, $E$9)</f>
        <v>22.1646</v>
      </c>
      <c r="J438" s="14">
        <f>CHOOSE(CONTROL!$C$42, 22.0641, 22.0641)* CHOOSE(CONTROL!$C$21, $C$9, 100%, $E$9)</f>
        <v>22.0641</v>
      </c>
      <c r="K438" s="53">
        <f>CHOOSE(CONTROL!$C$42, 22.1607, 22.1607) * CHOOSE(CONTROL!$C$21, $C$9, 100%, $E$9)</f>
        <v>22.160699999999999</v>
      </c>
      <c r="L438" s="14">
        <f>CHOOSE(CONTROL!$C$42, 22.909, 22.909) * CHOOSE(CONTROL!$C$21, $C$9, 100%, $E$9)</f>
        <v>22.908999999999999</v>
      </c>
      <c r="M438" s="14">
        <f>CHOOSE(CONTROL!$C$42, 21.6197, 21.6197) * CHOOSE(CONTROL!$C$21, $C$9, 100%, $E$9)</f>
        <v>21.619700000000002</v>
      </c>
      <c r="N438" s="14">
        <f>CHOOSE(CONTROL!$C$42, 21.6352, 21.6352) * CHOOSE(CONTROL!$C$21, $C$9, 100%, $E$9)</f>
        <v>21.635200000000001</v>
      </c>
      <c r="O438" s="14">
        <f>CHOOSE(CONTROL!$C$42, 21.8723, 21.8723) * CHOOSE(CONTROL!$C$21, $C$9, 100%, $E$9)</f>
        <v>21.872299999999999</v>
      </c>
      <c r="P438" s="14">
        <f>CHOOSE(CONTROL!$C$42, 21.7168, 21.7168) * CHOOSE(CONTROL!$C$21, $C$9, 100%, $E$9)</f>
        <v>21.716799999999999</v>
      </c>
      <c r="Q438" s="14">
        <f>CHOOSE(CONTROL!$C$42, 22.467, 22.467) * CHOOSE(CONTROL!$C$21, $C$9, 100%, $E$9)</f>
        <v>22.466999999999999</v>
      </c>
      <c r="R438" s="14">
        <f>CHOOSE(CONTROL!$C$42, 23.1102, 23.1102) * CHOOSE(CONTROL!$C$21, $C$9, 100%, $E$9)</f>
        <v>23.110199999999999</v>
      </c>
      <c r="S438" s="14">
        <f>CHOOSE(CONTROL!$C$42, 21.2156, 21.2156) * CHOOSE(CONTROL!$C$21, $C$9, 100%, $E$9)</f>
        <v>21.215599999999998</v>
      </c>
      <c r="T43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38" s="57">
        <f>(1000*CHOOSE(CONTROL!$C$42, 695, 695)*CHOOSE(CONTROL!$C$42, 0.5599, 0.5599)*CHOOSE(CONTROL!$C$42, 30, 30))/1000000</f>
        <v>11.673914999999997</v>
      </c>
      <c r="V438" s="57">
        <f>(1000*CHOOSE(CONTROL!$C$42, 500, 500)*CHOOSE(CONTROL!$C$42, 0.275, 0.275)*CHOOSE(CONTROL!$C$42, 30, 30))/1000000</f>
        <v>4.125</v>
      </c>
      <c r="W438" s="57">
        <f>(1000*CHOOSE(CONTROL!$C$42, 0.1146, 0.1146)*CHOOSE(CONTROL!$C$42, 121.5, 121.5)*CHOOSE(CONTROL!$C$42, 30, 30))/1000000</f>
        <v>0.417717</v>
      </c>
      <c r="X438" s="57">
        <f>(30*0.1790888*245000/1000000)+(30*0.2374*100000/1000000)</f>
        <v>2.0285026799999999</v>
      </c>
      <c r="Y438" s="57"/>
      <c r="Z438" s="14"/>
      <c r="AA438" s="56"/>
      <c r="AB438" s="50">
        <f>(B438*194.205+C438*267.466+D438*133.845+E438*53.484+F438*40+G438*185+H438*0+I438*100+J438*300)/(194.205+267.466+133.845+53.484+0+40+185+100+300)</f>
        <v>22.122857589167971</v>
      </c>
      <c r="AC438" s="45">
        <f>(M438*'RAP TEMPLATE-GAS AVAILABILITY'!O437+N438*'RAP TEMPLATE-GAS AVAILABILITY'!P437+O438*'RAP TEMPLATE-GAS AVAILABILITY'!Q437+P438*'RAP TEMPLATE-GAS AVAILABILITY'!R437)/('RAP TEMPLATE-GAS AVAILABILITY'!O437+'RAP TEMPLATE-GAS AVAILABILITY'!P437+'RAP TEMPLATE-GAS AVAILABILITY'!Q437+'RAP TEMPLATE-GAS AVAILABILITY'!R437)</f>
        <v>21.708112949640288</v>
      </c>
    </row>
    <row r="439" spans="1:29" ht="15.75" x14ac:dyDescent="0.25">
      <c r="A439" s="33">
        <v>54270</v>
      </c>
      <c r="B439" s="14">
        <f>CHOOSE(CONTROL!$C$42, 21.6664, 21.6664) * CHOOSE(CONTROL!$C$21, $C$9, 100%, $E$9)</f>
        <v>21.666399999999999</v>
      </c>
      <c r="C439" s="14">
        <f>CHOOSE(CONTROL!$C$42, 21.6744, 21.6744) * CHOOSE(CONTROL!$C$21, $C$9, 100%, $E$9)</f>
        <v>21.674399999999999</v>
      </c>
      <c r="D439" s="14">
        <f>CHOOSE(CONTROL!$C$42, 21.8783, 21.8783) * CHOOSE(CONTROL!$C$21, $C$9, 100%, $E$9)</f>
        <v>21.878299999999999</v>
      </c>
      <c r="E439" s="14">
        <f>CHOOSE(CONTROL!$C$42, 21.9098, 21.9098) * CHOOSE(CONTROL!$C$21, $C$9, 100%, $E$9)</f>
        <v>21.909800000000001</v>
      </c>
      <c r="F439" s="14">
        <f>CHOOSE(CONTROL!$C$42, 21.648, 21.648)*CHOOSE(CONTROL!$C$21, $C$9, 100%, $E$9)</f>
        <v>21.648</v>
      </c>
      <c r="G439" s="14">
        <f>CHOOSE(CONTROL!$C$42, 21.6639, 21.6639)*CHOOSE(CONTROL!$C$21, $C$9, 100%, $E$9)</f>
        <v>21.663900000000002</v>
      </c>
      <c r="H439" s="14">
        <f>CHOOSE(CONTROL!$C$42, 21.8984, 21.8984) * CHOOSE(CONTROL!$C$21, $C$9, 100%, $E$9)</f>
        <v>21.898399999999999</v>
      </c>
      <c r="I439" s="14">
        <f>CHOOSE(CONTROL!$C$42, 21.7397, 21.7397)* CHOOSE(CONTROL!$C$21, $C$9, 100%, $E$9)</f>
        <v>21.739699999999999</v>
      </c>
      <c r="J439" s="14">
        <f>CHOOSE(CONTROL!$C$42, 21.641, 21.641)* CHOOSE(CONTROL!$C$21, $C$9, 100%, $E$9)</f>
        <v>21.640999999999998</v>
      </c>
      <c r="K439" s="53">
        <f>CHOOSE(CONTROL!$C$42, 21.7358, 21.7358) * CHOOSE(CONTROL!$C$21, $C$9, 100%, $E$9)</f>
        <v>21.735800000000001</v>
      </c>
      <c r="L439" s="14">
        <f>CHOOSE(CONTROL!$C$42, 22.4854, 22.4854) * CHOOSE(CONTROL!$C$21, $C$9, 100%, $E$9)</f>
        <v>22.485399999999998</v>
      </c>
      <c r="M439" s="14">
        <f>CHOOSE(CONTROL!$C$42, 21.2053, 21.2053) * CHOOSE(CONTROL!$C$21, $C$9, 100%, $E$9)</f>
        <v>21.205300000000001</v>
      </c>
      <c r="N439" s="14">
        <f>CHOOSE(CONTROL!$C$42, 21.2209, 21.2209) * CHOOSE(CONTROL!$C$21, $C$9, 100%, $E$9)</f>
        <v>21.2209</v>
      </c>
      <c r="O439" s="14">
        <f>CHOOSE(CONTROL!$C$42, 21.4574, 21.4574) * CHOOSE(CONTROL!$C$21, $C$9, 100%, $E$9)</f>
        <v>21.4574</v>
      </c>
      <c r="P439" s="14">
        <f>CHOOSE(CONTROL!$C$42, 21.3007, 21.3007) * CHOOSE(CONTROL!$C$21, $C$9, 100%, $E$9)</f>
        <v>21.300699999999999</v>
      </c>
      <c r="Q439" s="14">
        <f>CHOOSE(CONTROL!$C$42, 22.0521, 22.0521) * CHOOSE(CONTROL!$C$21, $C$9, 100%, $E$9)</f>
        <v>22.052099999999999</v>
      </c>
      <c r="R439" s="14">
        <f>CHOOSE(CONTROL!$C$42, 22.6943, 22.6943) * CHOOSE(CONTROL!$C$21, $C$9, 100%, $E$9)</f>
        <v>22.694299999999998</v>
      </c>
      <c r="S439" s="14">
        <f>CHOOSE(CONTROL!$C$42, 20.8086, 20.8086) * CHOOSE(CONTROL!$C$21, $C$9, 100%, $E$9)</f>
        <v>20.808599999999998</v>
      </c>
      <c r="T43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39" s="57">
        <f>(1000*CHOOSE(CONTROL!$C$42, 695, 695)*CHOOSE(CONTROL!$C$42, 0.5599, 0.5599)*CHOOSE(CONTROL!$C$42, 31, 31))/1000000</f>
        <v>12.063045499999998</v>
      </c>
      <c r="V439" s="57">
        <f>(1000*CHOOSE(CONTROL!$C$42, 500, 500)*CHOOSE(CONTROL!$C$42, 0.275, 0.275)*CHOOSE(CONTROL!$C$42, 31, 31))/1000000</f>
        <v>4.2625000000000002</v>
      </c>
      <c r="W439" s="57">
        <f>(1000*CHOOSE(CONTROL!$C$42, 0.1146, 0.1146)*CHOOSE(CONTROL!$C$42, 121.5, 121.5)*CHOOSE(CONTROL!$C$42, 31, 31))/1000000</f>
        <v>0.43164089999999994</v>
      </c>
      <c r="X439" s="57">
        <f>(31*0.1790888*245000/1000000)+(31*0.2374*100000/1000000)</f>
        <v>2.0961194359999999</v>
      </c>
      <c r="Y439" s="57"/>
      <c r="Z439" s="14"/>
      <c r="AA439" s="56"/>
      <c r="AB439" s="50">
        <f>(B439*194.205+C439*267.466+D439*133.845+E439*53.484+F439*40+G439*185+H439*0+I439*100+J439*300)/(194.205+267.466+133.845+53.484+0+40+185+100+300)</f>
        <v>21.699391357221351</v>
      </c>
      <c r="AC439" s="45">
        <f>(M439*'RAP TEMPLATE-GAS AVAILABILITY'!O438+N439*'RAP TEMPLATE-GAS AVAILABILITY'!P438+O439*'RAP TEMPLATE-GAS AVAILABILITY'!Q438+P439*'RAP TEMPLATE-GAS AVAILABILITY'!R438)/('RAP TEMPLATE-GAS AVAILABILITY'!O438+'RAP TEMPLATE-GAS AVAILABILITY'!P438+'RAP TEMPLATE-GAS AVAILABILITY'!Q438+'RAP TEMPLATE-GAS AVAILABILITY'!R438)</f>
        <v>21.293351079136691</v>
      </c>
    </row>
    <row r="440" spans="1:29" ht="15.75" x14ac:dyDescent="0.25">
      <c r="A440" s="33">
        <v>54301</v>
      </c>
      <c r="B440" s="14">
        <f>CHOOSE(CONTROL!$C$42, 20.5968, 20.5968) * CHOOSE(CONTROL!$C$21, $C$9, 100%, $E$9)</f>
        <v>20.596800000000002</v>
      </c>
      <c r="C440" s="14">
        <f>CHOOSE(CONTROL!$C$42, 20.6048, 20.6048) * CHOOSE(CONTROL!$C$21, $C$9, 100%, $E$9)</f>
        <v>20.604800000000001</v>
      </c>
      <c r="D440" s="14">
        <f>CHOOSE(CONTROL!$C$42, 20.8087, 20.8087) * CHOOSE(CONTROL!$C$21, $C$9, 100%, $E$9)</f>
        <v>20.808700000000002</v>
      </c>
      <c r="E440" s="14">
        <f>CHOOSE(CONTROL!$C$42, 20.8402, 20.8402) * CHOOSE(CONTROL!$C$21, $C$9, 100%, $E$9)</f>
        <v>20.840199999999999</v>
      </c>
      <c r="F440" s="14">
        <f>CHOOSE(CONTROL!$C$42, 20.5786, 20.5786)*CHOOSE(CONTROL!$C$21, $C$9, 100%, $E$9)</f>
        <v>20.578600000000002</v>
      </c>
      <c r="G440" s="14">
        <f>CHOOSE(CONTROL!$C$42, 20.5946, 20.5946)*CHOOSE(CONTROL!$C$21, $C$9, 100%, $E$9)</f>
        <v>20.5946</v>
      </c>
      <c r="H440" s="14">
        <f>CHOOSE(CONTROL!$C$42, 20.8288, 20.8288) * CHOOSE(CONTROL!$C$21, $C$9, 100%, $E$9)</f>
        <v>20.828800000000001</v>
      </c>
      <c r="I440" s="14">
        <f>CHOOSE(CONTROL!$C$42, 20.6667, 20.6667)* CHOOSE(CONTROL!$C$21, $C$9, 100%, $E$9)</f>
        <v>20.666699999999999</v>
      </c>
      <c r="J440" s="14">
        <f>CHOOSE(CONTROL!$C$42, 20.5716, 20.5716)* CHOOSE(CONTROL!$C$21, $C$9, 100%, $E$9)</f>
        <v>20.5716</v>
      </c>
      <c r="K440" s="53">
        <f>CHOOSE(CONTROL!$C$42, 20.6628, 20.6628) * CHOOSE(CONTROL!$C$21, $C$9, 100%, $E$9)</f>
        <v>20.662800000000001</v>
      </c>
      <c r="L440" s="14">
        <f>CHOOSE(CONTROL!$C$42, 21.4158, 21.4158) * CHOOSE(CONTROL!$C$21, $C$9, 100%, $E$9)</f>
        <v>21.415800000000001</v>
      </c>
      <c r="M440" s="14">
        <f>CHOOSE(CONTROL!$C$42, 20.1578, 20.1578) * CHOOSE(CONTROL!$C$21, $C$9, 100%, $E$9)</f>
        <v>20.157800000000002</v>
      </c>
      <c r="N440" s="14">
        <f>CHOOSE(CONTROL!$C$42, 20.1734, 20.1734) * CHOOSE(CONTROL!$C$21, $C$9, 100%, $E$9)</f>
        <v>20.173400000000001</v>
      </c>
      <c r="O440" s="14">
        <f>CHOOSE(CONTROL!$C$42, 20.4097, 20.4097) * CHOOSE(CONTROL!$C$21, $C$9, 100%, $E$9)</f>
        <v>20.409700000000001</v>
      </c>
      <c r="P440" s="14">
        <f>CHOOSE(CONTROL!$C$42, 20.2497, 20.2497) * CHOOSE(CONTROL!$C$21, $C$9, 100%, $E$9)</f>
        <v>20.249700000000001</v>
      </c>
      <c r="Q440" s="14">
        <f>CHOOSE(CONTROL!$C$42, 21.0044, 21.0044) * CHOOSE(CONTROL!$C$21, $C$9, 100%, $E$9)</f>
        <v>21.0044</v>
      </c>
      <c r="R440" s="14">
        <f>CHOOSE(CONTROL!$C$42, 21.644, 21.644) * CHOOSE(CONTROL!$C$21, $C$9, 100%, $E$9)</f>
        <v>21.643999999999998</v>
      </c>
      <c r="S440" s="14">
        <f>CHOOSE(CONTROL!$C$42, 19.7808, 19.7808) * CHOOSE(CONTROL!$C$21, $C$9, 100%, $E$9)</f>
        <v>19.780799999999999</v>
      </c>
      <c r="T44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40" s="57">
        <f>(1000*CHOOSE(CONTROL!$C$42, 695, 695)*CHOOSE(CONTROL!$C$42, 0.5599, 0.5599)*CHOOSE(CONTROL!$C$42, 31, 31))/1000000</f>
        <v>12.063045499999998</v>
      </c>
      <c r="V440" s="57">
        <f>(1000*CHOOSE(CONTROL!$C$42, 500, 500)*CHOOSE(CONTROL!$C$42, 0.275, 0.275)*CHOOSE(CONTROL!$C$42, 31, 31))/1000000</f>
        <v>4.2625000000000002</v>
      </c>
      <c r="W440" s="57">
        <f>(1000*CHOOSE(CONTROL!$C$42, 0.1146, 0.1146)*CHOOSE(CONTROL!$C$42, 121.5, 121.5)*CHOOSE(CONTROL!$C$42, 31, 31))/1000000</f>
        <v>0.43164089999999994</v>
      </c>
      <c r="X440" s="57">
        <f>(31*0.1790888*245000/1000000)+(31*0.2374*100000/1000000)</f>
        <v>2.0961194359999999</v>
      </c>
      <c r="Y440" s="57"/>
      <c r="Z440" s="14"/>
      <c r="AA440" s="56"/>
      <c r="AB440" s="50">
        <f>(B440*194.205+C440*267.466+D440*133.845+E440*53.484+F440*40+G440*185+H440*0+I440*100+J440*300)/(194.205+267.466+133.845+53.484+0+40+185+100+300)</f>
        <v>20.629621420015699</v>
      </c>
      <c r="AC440" s="45">
        <f>(M440*'RAP TEMPLATE-GAS AVAILABILITY'!O439+N440*'RAP TEMPLATE-GAS AVAILABILITY'!P439+O440*'RAP TEMPLATE-GAS AVAILABILITY'!Q439+P440*'RAP TEMPLATE-GAS AVAILABILITY'!R439)/('RAP TEMPLATE-GAS AVAILABILITY'!O439+'RAP TEMPLATE-GAS AVAILABILITY'!P439+'RAP TEMPLATE-GAS AVAILABILITY'!Q439+'RAP TEMPLATE-GAS AVAILABILITY'!R439)</f>
        <v>20.245291366906475</v>
      </c>
    </row>
    <row r="441" spans="1:29" ht="15.75" x14ac:dyDescent="0.25">
      <c r="A441" s="33">
        <v>54331</v>
      </c>
      <c r="B441" s="14">
        <f>CHOOSE(CONTROL!$C$42, 19.2895, 19.2895) * CHOOSE(CONTROL!$C$21, $C$9, 100%, $E$9)</f>
        <v>19.2895</v>
      </c>
      <c r="C441" s="14">
        <f>CHOOSE(CONTROL!$C$42, 19.2975, 19.2975) * CHOOSE(CONTROL!$C$21, $C$9, 100%, $E$9)</f>
        <v>19.297499999999999</v>
      </c>
      <c r="D441" s="14">
        <f>CHOOSE(CONTROL!$C$42, 19.5015, 19.5015) * CHOOSE(CONTROL!$C$21, $C$9, 100%, $E$9)</f>
        <v>19.5015</v>
      </c>
      <c r="E441" s="14">
        <f>CHOOSE(CONTROL!$C$42, 19.5329, 19.5329) * CHOOSE(CONTROL!$C$21, $C$9, 100%, $E$9)</f>
        <v>19.532900000000001</v>
      </c>
      <c r="F441" s="14">
        <f>CHOOSE(CONTROL!$C$42, 19.2714, 19.2714)*CHOOSE(CONTROL!$C$21, $C$9, 100%, $E$9)</f>
        <v>19.2714</v>
      </c>
      <c r="G441" s="14">
        <f>CHOOSE(CONTROL!$C$42, 19.2874, 19.2874)*CHOOSE(CONTROL!$C$21, $C$9, 100%, $E$9)</f>
        <v>19.287400000000002</v>
      </c>
      <c r="H441" s="14">
        <f>CHOOSE(CONTROL!$C$42, 19.5216, 19.5216) * CHOOSE(CONTROL!$C$21, $C$9, 100%, $E$9)</f>
        <v>19.521599999999999</v>
      </c>
      <c r="I441" s="14">
        <f>CHOOSE(CONTROL!$C$42, 19.3554, 19.3554)* CHOOSE(CONTROL!$C$21, $C$9, 100%, $E$9)</f>
        <v>19.355399999999999</v>
      </c>
      <c r="J441" s="14">
        <f>CHOOSE(CONTROL!$C$42, 19.2644, 19.2644)* CHOOSE(CONTROL!$C$21, $C$9, 100%, $E$9)</f>
        <v>19.264399999999998</v>
      </c>
      <c r="K441" s="53">
        <f>CHOOSE(CONTROL!$C$42, 19.3515, 19.3515) * CHOOSE(CONTROL!$C$21, $C$9, 100%, $E$9)</f>
        <v>19.351500000000001</v>
      </c>
      <c r="L441" s="14">
        <f>CHOOSE(CONTROL!$C$42, 20.1086, 20.1086) * CHOOSE(CONTROL!$C$21, $C$9, 100%, $E$9)</f>
        <v>20.108599999999999</v>
      </c>
      <c r="M441" s="14">
        <f>CHOOSE(CONTROL!$C$42, 18.8774, 18.8774) * CHOOSE(CONTROL!$C$21, $C$9, 100%, $E$9)</f>
        <v>18.877400000000002</v>
      </c>
      <c r="N441" s="14">
        <f>CHOOSE(CONTROL!$C$42, 18.893, 18.893) * CHOOSE(CONTROL!$C$21, $C$9, 100%, $E$9)</f>
        <v>18.893000000000001</v>
      </c>
      <c r="O441" s="14">
        <f>CHOOSE(CONTROL!$C$42, 19.1293, 19.1293) * CHOOSE(CONTROL!$C$21, $C$9, 100%, $E$9)</f>
        <v>19.129300000000001</v>
      </c>
      <c r="P441" s="14">
        <f>CHOOSE(CONTROL!$C$42, 18.9653, 18.9653) * CHOOSE(CONTROL!$C$21, $C$9, 100%, $E$9)</f>
        <v>18.965299999999999</v>
      </c>
      <c r="Q441" s="14">
        <f>CHOOSE(CONTROL!$C$42, 19.724, 19.724) * CHOOSE(CONTROL!$C$21, $C$9, 100%, $E$9)</f>
        <v>19.724</v>
      </c>
      <c r="R441" s="14">
        <f>CHOOSE(CONTROL!$C$42, 20.3603, 20.3603) * CHOOSE(CONTROL!$C$21, $C$9, 100%, $E$9)</f>
        <v>20.360299999999999</v>
      </c>
      <c r="S441" s="14">
        <f>CHOOSE(CONTROL!$C$42, 18.5247, 18.5247) * CHOOSE(CONTROL!$C$21, $C$9, 100%, $E$9)</f>
        <v>18.524699999999999</v>
      </c>
      <c r="T44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41" s="57">
        <f>(1000*CHOOSE(CONTROL!$C$42, 695, 695)*CHOOSE(CONTROL!$C$42, 0.5599, 0.5599)*CHOOSE(CONTROL!$C$42, 30, 30))/1000000</f>
        <v>11.673914999999997</v>
      </c>
      <c r="V441" s="57">
        <f>(1000*CHOOSE(CONTROL!$C$42, 500, 500)*CHOOSE(CONTROL!$C$42, 0.275, 0.275)*CHOOSE(CONTROL!$C$42, 30, 30))/1000000</f>
        <v>4.125</v>
      </c>
      <c r="W441" s="57">
        <f>(1000*CHOOSE(CONTROL!$C$42, 0.1146, 0.1146)*CHOOSE(CONTROL!$C$42, 121.5, 121.5)*CHOOSE(CONTROL!$C$42, 30, 30))/1000000</f>
        <v>0.417717</v>
      </c>
      <c r="X441" s="57">
        <f>(30*0.1790888*245000/1000000)+(30*0.2374*100000/1000000)</f>
        <v>2.0285026799999999</v>
      </c>
      <c r="Y441" s="57"/>
      <c r="Z441" s="14"/>
      <c r="AA441" s="56"/>
      <c r="AB441" s="50">
        <f>(B441*194.205+C441*267.466+D441*133.845+E441*53.484+F441*40+G441*185+H441*0+I441*100+J441*300)/(194.205+267.466+133.845+53.484+0+40+185+100+300)</f>
        <v>19.322059162951337</v>
      </c>
      <c r="AC441" s="45">
        <f>(M441*'RAP TEMPLATE-GAS AVAILABILITY'!O440+N441*'RAP TEMPLATE-GAS AVAILABILITY'!P440+O441*'RAP TEMPLATE-GAS AVAILABILITY'!Q440+P441*'RAP TEMPLATE-GAS AVAILABILITY'!R440)/('RAP TEMPLATE-GAS AVAILABILITY'!O440+'RAP TEMPLATE-GAS AVAILABILITY'!P440+'RAP TEMPLATE-GAS AVAILABILITY'!Q440+'RAP TEMPLATE-GAS AVAILABILITY'!R440)</f>
        <v>18.96431582733813</v>
      </c>
    </row>
    <row r="442" spans="1:29" ht="15.75" x14ac:dyDescent="0.25">
      <c r="A442" s="33">
        <v>54362</v>
      </c>
      <c r="B442" s="14">
        <f>CHOOSE(CONTROL!$C$42, 18.8963, 18.8963) * CHOOSE(CONTROL!$C$21, $C$9, 100%, $E$9)</f>
        <v>18.8963</v>
      </c>
      <c r="C442" s="14">
        <f>CHOOSE(CONTROL!$C$42, 18.9017, 18.9017) * CHOOSE(CONTROL!$C$21, $C$9, 100%, $E$9)</f>
        <v>18.901700000000002</v>
      </c>
      <c r="D442" s="14">
        <f>CHOOSE(CONTROL!$C$42, 19.1106, 19.1106) * CHOOSE(CONTROL!$C$21, $C$9, 100%, $E$9)</f>
        <v>19.110600000000002</v>
      </c>
      <c r="E442" s="14">
        <f>CHOOSE(CONTROL!$C$42, 19.1397, 19.1397) * CHOOSE(CONTROL!$C$21, $C$9, 100%, $E$9)</f>
        <v>19.139700000000001</v>
      </c>
      <c r="F442" s="14">
        <f>CHOOSE(CONTROL!$C$42, 18.8803, 18.8803)*CHOOSE(CONTROL!$C$21, $C$9, 100%, $E$9)</f>
        <v>18.880299999999998</v>
      </c>
      <c r="G442" s="14">
        <f>CHOOSE(CONTROL!$C$42, 18.896, 18.896)*CHOOSE(CONTROL!$C$21, $C$9, 100%, $E$9)</f>
        <v>18.896000000000001</v>
      </c>
      <c r="H442" s="14">
        <f>CHOOSE(CONTROL!$C$42, 19.1301, 19.1301) * CHOOSE(CONTROL!$C$21, $C$9, 100%, $E$9)</f>
        <v>19.130099999999999</v>
      </c>
      <c r="I442" s="14">
        <f>CHOOSE(CONTROL!$C$42, 18.9627, 18.9627)* CHOOSE(CONTROL!$C$21, $C$9, 100%, $E$9)</f>
        <v>18.962700000000002</v>
      </c>
      <c r="J442" s="14">
        <f>CHOOSE(CONTROL!$C$42, 18.8733, 18.8733)* CHOOSE(CONTROL!$C$21, $C$9, 100%, $E$9)</f>
        <v>18.8733</v>
      </c>
      <c r="K442" s="53">
        <f>CHOOSE(CONTROL!$C$42, 18.9588, 18.9588) * CHOOSE(CONTROL!$C$21, $C$9, 100%, $E$9)</f>
        <v>18.9588</v>
      </c>
      <c r="L442" s="14">
        <f>CHOOSE(CONTROL!$C$42, 19.7171, 19.7171) * CHOOSE(CONTROL!$C$21, $C$9, 100%, $E$9)</f>
        <v>19.717099999999999</v>
      </c>
      <c r="M442" s="14">
        <f>CHOOSE(CONTROL!$C$42, 18.4943, 18.4943) * CHOOSE(CONTROL!$C$21, $C$9, 100%, $E$9)</f>
        <v>18.494299999999999</v>
      </c>
      <c r="N442" s="14">
        <f>CHOOSE(CONTROL!$C$42, 18.5096, 18.5096) * CHOOSE(CONTROL!$C$21, $C$9, 100%, $E$9)</f>
        <v>18.509599999999999</v>
      </c>
      <c r="O442" s="14">
        <f>CHOOSE(CONTROL!$C$42, 18.7459, 18.7459) * CHOOSE(CONTROL!$C$21, $C$9, 100%, $E$9)</f>
        <v>18.745899999999999</v>
      </c>
      <c r="P442" s="14">
        <f>CHOOSE(CONTROL!$C$42, 18.5808, 18.5808) * CHOOSE(CONTROL!$C$21, $C$9, 100%, $E$9)</f>
        <v>18.5808</v>
      </c>
      <c r="Q442" s="14">
        <f>CHOOSE(CONTROL!$C$42, 19.3406, 19.3406) * CHOOSE(CONTROL!$C$21, $C$9, 100%, $E$9)</f>
        <v>19.340599999999998</v>
      </c>
      <c r="R442" s="14">
        <f>CHOOSE(CONTROL!$C$42, 19.9759, 19.9759) * CHOOSE(CONTROL!$C$21, $C$9, 100%, $E$9)</f>
        <v>19.975899999999999</v>
      </c>
      <c r="S442" s="14">
        <f>CHOOSE(CONTROL!$C$42, 18.1485, 18.1485) * CHOOSE(CONTROL!$C$21, $C$9, 100%, $E$9)</f>
        <v>18.148499999999999</v>
      </c>
      <c r="T44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42" s="57">
        <f>(1000*CHOOSE(CONTROL!$C$42, 695, 695)*CHOOSE(CONTROL!$C$42, 0.5599, 0.5599)*CHOOSE(CONTROL!$C$42, 31, 31))/1000000</f>
        <v>12.063045499999998</v>
      </c>
      <c r="V442" s="57">
        <f>(1000*CHOOSE(CONTROL!$C$42, 500, 500)*CHOOSE(CONTROL!$C$42, 0.275, 0.275)*CHOOSE(CONTROL!$C$42, 31, 31))/1000000</f>
        <v>4.2625000000000002</v>
      </c>
      <c r="W442" s="57">
        <f>(1000*CHOOSE(CONTROL!$C$42, 0.1146, 0.1146)*CHOOSE(CONTROL!$C$42, 121.5, 121.5)*CHOOSE(CONTROL!$C$42, 31, 31))/1000000</f>
        <v>0.43164089999999994</v>
      </c>
      <c r="X442" s="57">
        <f>(31*0.1790888*245000/1000000)+(31*0.2374*100000/1000000)</f>
        <v>2.0961194359999999</v>
      </c>
      <c r="Y442" s="57"/>
      <c r="Z442" s="14"/>
      <c r="AA442" s="56"/>
      <c r="AB442" s="50">
        <f>(B442*131.881+C442*277.167+D442*79.08+E442*125.872+F442*40+G442*185+H442*0+I442*100+J442*300)/(131.881+277.167+79.08+125.872+0+40+185+100+300)</f>
        <v>18.935142042453588</v>
      </c>
      <c r="AC442" s="45">
        <f>(M442*'RAP TEMPLATE-GAS AVAILABILITY'!O441+N442*'RAP TEMPLATE-GAS AVAILABILITY'!P441+O442*'RAP TEMPLATE-GAS AVAILABILITY'!Q441+P442*'RAP TEMPLATE-GAS AVAILABILITY'!R441)/('RAP TEMPLATE-GAS AVAILABILITY'!O441+'RAP TEMPLATE-GAS AVAILABILITY'!P441+'RAP TEMPLATE-GAS AVAILABILITY'!Q441+'RAP TEMPLATE-GAS AVAILABILITY'!R441)</f>
        <v>18.580861151079137</v>
      </c>
    </row>
    <row r="443" spans="1:29" ht="15.75" x14ac:dyDescent="0.25">
      <c r="A443" s="33">
        <v>54392</v>
      </c>
      <c r="B443" s="14">
        <f>CHOOSE(CONTROL!$C$42, 19.3935, 19.3935) * CHOOSE(CONTROL!$C$21, $C$9, 100%, $E$9)</f>
        <v>19.3935</v>
      </c>
      <c r="C443" s="14">
        <f>CHOOSE(CONTROL!$C$42, 19.3985, 19.3985) * CHOOSE(CONTROL!$C$21, $C$9, 100%, $E$9)</f>
        <v>19.398499999999999</v>
      </c>
      <c r="D443" s="14">
        <f>CHOOSE(CONTROL!$C$42, 19.4623, 19.4623) * CHOOSE(CONTROL!$C$21, $C$9, 100%, $E$9)</f>
        <v>19.462299999999999</v>
      </c>
      <c r="E443" s="14">
        <f>CHOOSE(CONTROL!$C$42, 19.4965, 19.4965) * CHOOSE(CONTROL!$C$21, $C$9, 100%, $E$9)</f>
        <v>19.496500000000001</v>
      </c>
      <c r="F443" s="14">
        <f>CHOOSE(CONTROL!$C$42, 19.3959, 19.3959)*CHOOSE(CONTROL!$C$21, $C$9, 100%, $E$9)</f>
        <v>19.395900000000001</v>
      </c>
      <c r="G443" s="14">
        <f>CHOOSE(CONTROL!$C$42, 19.4119, 19.4119)*CHOOSE(CONTROL!$C$21, $C$9, 100%, $E$9)</f>
        <v>19.411899999999999</v>
      </c>
      <c r="H443" s="14">
        <f>CHOOSE(CONTROL!$C$42, 19.4856, 19.4856) * CHOOSE(CONTROL!$C$21, $C$9, 100%, $E$9)</f>
        <v>19.485600000000002</v>
      </c>
      <c r="I443" s="14">
        <f>CHOOSE(CONTROL!$C$42, 19.467, 19.467)* CHOOSE(CONTROL!$C$21, $C$9, 100%, $E$9)</f>
        <v>19.466999999999999</v>
      </c>
      <c r="J443" s="14">
        <f>CHOOSE(CONTROL!$C$42, 19.3889, 19.3889)* CHOOSE(CONTROL!$C$21, $C$9, 100%, $E$9)</f>
        <v>19.3889</v>
      </c>
      <c r="K443" s="53">
        <f>CHOOSE(CONTROL!$C$42, 19.4632, 19.4632) * CHOOSE(CONTROL!$C$21, $C$9, 100%, $E$9)</f>
        <v>19.463200000000001</v>
      </c>
      <c r="L443" s="14">
        <f>CHOOSE(CONTROL!$C$42, 20.0726, 20.0726) * CHOOSE(CONTROL!$C$21, $C$9, 100%, $E$9)</f>
        <v>20.072600000000001</v>
      </c>
      <c r="M443" s="14">
        <f>CHOOSE(CONTROL!$C$42, 18.9993, 18.9993) * CHOOSE(CONTROL!$C$21, $C$9, 100%, $E$9)</f>
        <v>18.999300000000002</v>
      </c>
      <c r="N443" s="14">
        <f>CHOOSE(CONTROL!$C$42, 19.015, 19.015) * CHOOSE(CONTROL!$C$21, $C$9, 100%, $E$9)</f>
        <v>19.015000000000001</v>
      </c>
      <c r="O443" s="14">
        <f>CHOOSE(CONTROL!$C$42, 19.0941, 19.0941) * CHOOSE(CONTROL!$C$21, $C$9, 100%, $E$9)</f>
        <v>19.094100000000001</v>
      </c>
      <c r="P443" s="14">
        <f>CHOOSE(CONTROL!$C$42, 19.0747, 19.0747) * CHOOSE(CONTROL!$C$21, $C$9, 100%, $E$9)</f>
        <v>19.0747</v>
      </c>
      <c r="Q443" s="14">
        <f>CHOOSE(CONTROL!$C$42, 19.6888, 19.6888) * CHOOSE(CONTROL!$C$21, $C$9, 100%, $E$9)</f>
        <v>19.688800000000001</v>
      </c>
      <c r="R443" s="14">
        <f>CHOOSE(CONTROL!$C$42, 20.325, 20.325) * CHOOSE(CONTROL!$C$21, $C$9, 100%, $E$9)</f>
        <v>20.324999999999999</v>
      </c>
      <c r="S443" s="14">
        <f>CHOOSE(CONTROL!$C$42, 18.6266, 18.6266) * CHOOSE(CONTROL!$C$21, $C$9, 100%, $E$9)</f>
        <v>18.6266</v>
      </c>
      <c r="T44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43" s="57">
        <f>(1000*CHOOSE(CONTROL!$C$42, 695, 695)*CHOOSE(CONTROL!$C$42, 0.5599, 0.5599)*CHOOSE(CONTROL!$C$42, 30, 30))/1000000</f>
        <v>11.673914999999997</v>
      </c>
      <c r="V443" s="57">
        <f>(1000*CHOOSE(CONTROL!$C$42, 500, 500)*CHOOSE(CONTROL!$C$42, 0.275, 0.275)*CHOOSE(CONTROL!$C$42, 30, 30))/1000000</f>
        <v>4.125</v>
      </c>
      <c r="W443" s="57">
        <f>(1000*CHOOSE(CONTROL!$C$42, 0.1146, 0.1146)*CHOOSE(CONTROL!$C$42, 121.5, 121.5)*CHOOSE(CONTROL!$C$42, 30, 30))/1000000</f>
        <v>0.417717</v>
      </c>
      <c r="X443" s="57">
        <f>(30*0.1790888*100000/1000000)+(30*0.2374*100000/1000000)</f>
        <v>1.2494664</v>
      </c>
      <c r="Y443" s="57"/>
      <c r="Z443" s="14"/>
      <c r="AA443" s="56"/>
      <c r="AB443" s="50">
        <f>(B443*122.58+C443*297.941+D443*89.177+E443*40.302+F443*40+G443*160+H443*0+I443*100+J443*300)/(122.58+297.941+89.177+40.302+0+40+160+100+300)</f>
        <v>19.411574946608692</v>
      </c>
      <c r="AC443" s="45">
        <f>(M443*'RAP TEMPLATE-GAS AVAILABILITY'!O442+N443*'RAP TEMPLATE-GAS AVAILABILITY'!P442+O443*'RAP TEMPLATE-GAS AVAILABILITY'!Q442+P443*'RAP TEMPLATE-GAS AVAILABILITY'!R442)/('RAP TEMPLATE-GAS AVAILABILITY'!O442+'RAP TEMPLATE-GAS AVAILABILITY'!P442+'RAP TEMPLATE-GAS AVAILABILITY'!Q442+'RAP TEMPLATE-GAS AVAILABILITY'!R442)</f>
        <v>19.054019424460435</v>
      </c>
    </row>
    <row r="444" spans="1:29" ht="15.75" x14ac:dyDescent="0.25">
      <c r="A444" s="33">
        <v>54423</v>
      </c>
      <c r="B444" s="14">
        <f>CHOOSE(CONTROL!$C$42, 20.715, 20.715) * CHOOSE(CONTROL!$C$21, $C$9, 100%, $E$9)</f>
        <v>20.715</v>
      </c>
      <c r="C444" s="14">
        <f>CHOOSE(CONTROL!$C$42, 20.7201, 20.7201) * CHOOSE(CONTROL!$C$21, $C$9, 100%, $E$9)</f>
        <v>20.720099999999999</v>
      </c>
      <c r="D444" s="14">
        <f>CHOOSE(CONTROL!$C$42, 20.7839, 20.7839) * CHOOSE(CONTROL!$C$21, $C$9, 100%, $E$9)</f>
        <v>20.783899999999999</v>
      </c>
      <c r="E444" s="14">
        <f>CHOOSE(CONTROL!$C$42, 20.818, 20.818) * CHOOSE(CONTROL!$C$21, $C$9, 100%, $E$9)</f>
        <v>20.818000000000001</v>
      </c>
      <c r="F444" s="14">
        <f>CHOOSE(CONTROL!$C$42, 20.7197, 20.7197)*CHOOSE(CONTROL!$C$21, $C$9, 100%, $E$9)</f>
        <v>20.7197</v>
      </c>
      <c r="G444" s="14">
        <f>CHOOSE(CONTROL!$C$42, 20.7363, 20.7363)*CHOOSE(CONTROL!$C$21, $C$9, 100%, $E$9)</f>
        <v>20.7363</v>
      </c>
      <c r="H444" s="14">
        <f>CHOOSE(CONTROL!$C$42, 20.8072, 20.8072) * CHOOSE(CONTROL!$C$21, $C$9, 100%, $E$9)</f>
        <v>20.807200000000002</v>
      </c>
      <c r="I444" s="14">
        <f>CHOOSE(CONTROL!$C$42, 20.7928, 20.7928)* CHOOSE(CONTROL!$C$21, $C$9, 100%, $E$9)</f>
        <v>20.7928</v>
      </c>
      <c r="J444" s="14">
        <f>CHOOSE(CONTROL!$C$42, 20.7127, 20.7127)* CHOOSE(CONTROL!$C$21, $C$9, 100%, $E$9)</f>
        <v>20.712700000000002</v>
      </c>
      <c r="K444" s="53">
        <f>CHOOSE(CONTROL!$C$42, 20.7889, 20.7889) * CHOOSE(CONTROL!$C$21, $C$9, 100%, $E$9)</f>
        <v>20.788900000000002</v>
      </c>
      <c r="L444" s="14">
        <f>CHOOSE(CONTROL!$C$42, 21.3942, 21.3942) * CHOOSE(CONTROL!$C$21, $C$9, 100%, $E$9)</f>
        <v>21.394200000000001</v>
      </c>
      <c r="M444" s="14">
        <f>CHOOSE(CONTROL!$C$42, 20.296, 20.296) * CHOOSE(CONTROL!$C$21, $C$9, 100%, $E$9)</f>
        <v>20.295999999999999</v>
      </c>
      <c r="N444" s="14">
        <f>CHOOSE(CONTROL!$C$42, 20.3123, 20.3123) * CHOOSE(CONTROL!$C$21, $C$9, 100%, $E$9)</f>
        <v>20.3123</v>
      </c>
      <c r="O444" s="14">
        <f>CHOOSE(CONTROL!$C$42, 20.3886, 20.3886) * CHOOSE(CONTROL!$C$21, $C$9, 100%, $E$9)</f>
        <v>20.3886</v>
      </c>
      <c r="P444" s="14">
        <f>CHOOSE(CONTROL!$C$42, 20.3732, 20.3732) * CHOOSE(CONTROL!$C$21, $C$9, 100%, $E$9)</f>
        <v>20.373200000000001</v>
      </c>
      <c r="Q444" s="14">
        <f>CHOOSE(CONTROL!$C$42, 20.9833, 20.9833) * CHOOSE(CONTROL!$C$21, $C$9, 100%, $E$9)</f>
        <v>20.9833</v>
      </c>
      <c r="R444" s="14">
        <f>CHOOSE(CONTROL!$C$42, 21.6227, 21.6227) * CHOOSE(CONTROL!$C$21, $C$9, 100%, $E$9)</f>
        <v>21.622699999999998</v>
      </c>
      <c r="S444" s="14">
        <f>CHOOSE(CONTROL!$C$42, 19.8965, 19.8965) * CHOOSE(CONTROL!$C$21, $C$9, 100%, $E$9)</f>
        <v>19.8965</v>
      </c>
      <c r="T44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44" s="57">
        <f>(1000*CHOOSE(CONTROL!$C$42, 695, 695)*CHOOSE(CONTROL!$C$42, 0.5599, 0.5599)*CHOOSE(CONTROL!$C$42, 31, 31))/1000000</f>
        <v>12.063045499999998</v>
      </c>
      <c r="V444" s="57">
        <f>(1000*CHOOSE(CONTROL!$C$42, 500, 500)*CHOOSE(CONTROL!$C$42, 0.275, 0.275)*CHOOSE(CONTROL!$C$42, 31, 31))/1000000</f>
        <v>4.2625000000000002</v>
      </c>
      <c r="W444" s="57">
        <f>(1000*CHOOSE(CONTROL!$C$42, 0.1146, 0.1146)*CHOOSE(CONTROL!$C$42, 121.5, 121.5)*CHOOSE(CONTROL!$C$42, 31, 31))/1000000</f>
        <v>0.43164089999999994</v>
      </c>
      <c r="X444" s="57">
        <f>(31*0.1790888*100000/1000000)+(31*0.2374*100000/1000000)</f>
        <v>1.2911152800000001</v>
      </c>
      <c r="Y444" s="57"/>
      <c r="Z444" s="14"/>
      <c r="AA444" s="56"/>
      <c r="AB444" s="50">
        <f>(B444*122.58+C444*297.941+D444*89.177+E444*40.302+F444*40+G444*160+H444*0+I444*100+J444*300)/(122.58+297.941+89.177+40.302+0+40+160+100+300)</f>
        <v>20.734566000347829</v>
      </c>
      <c r="AC444" s="45">
        <f>(M444*'RAP TEMPLATE-GAS AVAILABILITY'!O443+N444*'RAP TEMPLATE-GAS AVAILABILITY'!P443+O444*'RAP TEMPLATE-GAS AVAILABILITY'!Q443+P444*'RAP TEMPLATE-GAS AVAILABILITY'!R443)/('RAP TEMPLATE-GAS AVAILABILITY'!O443+'RAP TEMPLATE-GAS AVAILABILITY'!P443+'RAP TEMPLATE-GAS AVAILABILITY'!Q443+'RAP TEMPLATE-GAS AVAILABILITY'!R443)</f>
        <v>20.350015827338126</v>
      </c>
    </row>
    <row r="445" spans="1:29" ht="15.75" x14ac:dyDescent="0.25">
      <c r="A445" s="33">
        <v>54454</v>
      </c>
      <c r="B445" s="14">
        <f>CHOOSE(CONTROL!$C$42, 22.4111, 22.4111) * CHOOSE(CONTROL!$C$21, $C$9, 100%, $E$9)</f>
        <v>22.411100000000001</v>
      </c>
      <c r="C445" s="14">
        <f>CHOOSE(CONTROL!$C$42, 22.4162, 22.4162) * CHOOSE(CONTROL!$C$21, $C$9, 100%, $E$9)</f>
        <v>22.4162</v>
      </c>
      <c r="D445" s="14">
        <f>CHOOSE(CONTROL!$C$42, 22.4826, 22.4826) * CHOOSE(CONTROL!$C$21, $C$9, 100%, $E$9)</f>
        <v>22.482600000000001</v>
      </c>
      <c r="E445" s="14">
        <f>CHOOSE(CONTROL!$C$42, 22.5167, 22.5167) * CHOOSE(CONTROL!$C$21, $C$9, 100%, $E$9)</f>
        <v>22.5167</v>
      </c>
      <c r="F445" s="14">
        <f>CHOOSE(CONTROL!$C$42, 22.3984, 22.3984)*CHOOSE(CONTROL!$C$21, $C$9, 100%, $E$9)</f>
        <v>22.398399999999999</v>
      </c>
      <c r="G445" s="14">
        <f>CHOOSE(CONTROL!$C$42, 22.4139, 22.4139)*CHOOSE(CONTROL!$C$21, $C$9, 100%, $E$9)</f>
        <v>22.413900000000002</v>
      </c>
      <c r="H445" s="14">
        <f>CHOOSE(CONTROL!$C$42, 22.5059, 22.5059) * CHOOSE(CONTROL!$C$21, $C$9, 100%, $E$9)</f>
        <v>22.5059</v>
      </c>
      <c r="I445" s="14">
        <f>CHOOSE(CONTROL!$C$42, 22.4889, 22.4889)* CHOOSE(CONTROL!$C$21, $C$9, 100%, $E$9)</f>
        <v>22.488900000000001</v>
      </c>
      <c r="J445" s="14">
        <f>CHOOSE(CONTROL!$C$42, 22.3914, 22.3914)* CHOOSE(CONTROL!$C$21, $C$9, 100%, $E$9)</f>
        <v>22.391400000000001</v>
      </c>
      <c r="K445" s="53">
        <f>CHOOSE(CONTROL!$C$42, 22.485, 22.485) * CHOOSE(CONTROL!$C$21, $C$9, 100%, $E$9)</f>
        <v>22.484999999999999</v>
      </c>
      <c r="L445" s="14">
        <f>CHOOSE(CONTROL!$C$42, 23.0929, 23.0929) * CHOOSE(CONTROL!$C$21, $C$9, 100%, $E$9)</f>
        <v>23.0929</v>
      </c>
      <c r="M445" s="14">
        <f>CHOOSE(CONTROL!$C$42, 21.9403, 21.9403) * CHOOSE(CONTROL!$C$21, $C$9, 100%, $E$9)</f>
        <v>21.940300000000001</v>
      </c>
      <c r="N445" s="14">
        <f>CHOOSE(CONTROL!$C$42, 21.9555, 21.9555) * CHOOSE(CONTROL!$C$21, $C$9, 100%, $E$9)</f>
        <v>21.955500000000001</v>
      </c>
      <c r="O445" s="14">
        <f>CHOOSE(CONTROL!$C$42, 22.0524, 22.0524) * CHOOSE(CONTROL!$C$21, $C$9, 100%, $E$9)</f>
        <v>22.052399999999999</v>
      </c>
      <c r="P445" s="14">
        <f>CHOOSE(CONTROL!$C$42, 22.0345, 22.0345) * CHOOSE(CONTROL!$C$21, $C$9, 100%, $E$9)</f>
        <v>22.034500000000001</v>
      </c>
      <c r="Q445" s="14">
        <f>CHOOSE(CONTROL!$C$42, 22.6471, 22.6471) * CHOOSE(CONTROL!$C$21, $C$9, 100%, $E$9)</f>
        <v>22.647099999999998</v>
      </c>
      <c r="R445" s="14">
        <f>CHOOSE(CONTROL!$C$42, 23.2908, 23.2908) * CHOOSE(CONTROL!$C$21, $C$9, 100%, $E$9)</f>
        <v>23.290800000000001</v>
      </c>
      <c r="S445" s="14">
        <f>CHOOSE(CONTROL!$C$42, 21.5263, 21.5263) * CHOOSE(CONTROL!$C$21, $C$9, 100%, $E$9)</f>
        <v>21.526299999999999</v>
      </c>
      <c r="T44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45" s="57">
        <f>(1000*CHOOSE(CONTROL!$C$42, 695, 695)*CHOOSE(CONTROL!$C$42, 0.5599, 0.5599)*CHOOSE(CONTROL!$C$42, 31, 31))/1000000</f>
        <v>12.063045499999998</v>
      </c>
      <c r="V445" s="57">
        <f>(1000*CHOOSE(CONTROL!$C$42, 500, 500)*CHOOSE(CONTROL!$C$42, 0.275, 0.275)*CHOOSE(CONTROL!$C$42, 31, 31))/1000000</f>
        <v>4.2625000000000002</v>
      </c>
      <c r="W445" s="57">
        <f>(1000*CHOOSE(CONTROL!$C$42, 0.1146, 0.1146)*CHOOSE(CONTROL!$C$42, 121.5, 121.5)*CHOOSE(CONTROL!$C$42, 31, 31))/1000000</f>
        <v>0.43164089999999994</v>
      </c>
      <c r="X445" s="57">
        <f>(31*0.1790888*100000/1000000)+(31*0.2374*100000/1000000)</f>
        <v>1.2911152800000001</v>
      </c>
      <c r="Y445" s="57"/>
      <c r="Z445" s="14"/>
      <c r="AA445" s="56"/>
      <c r="AB445" s="50">
        <f>(B445*122.58+C445*297.941+D445*89.177+E445*40.302+F445*40+G445*160+H445*0+I445*100+J445*300)/(122.58+297.941+89.177+40.302+0+40+160+100+300)</f>
        <v>22.423240474608694</v>
      </c>
      <c r="AC445" s="45">
        <f>(M445*'RAP TEMPLATE-GAS AVAILABILITY'!O444+N445*'RAP TEMPLATE-GAS AVAILABILITY'!P444+O445*'RAP TEMPLATE-GAS AVAILABILITY'!Q444+P445*'RAP TEMPLATE-GAS AVAILABILITY'!R444)/('RAP TEMPLATE-GAS AVAILABILITY'!O444+'RAP TEMPLATE-GAS AVAILABILITY'!P444+'RAP TEMPLATE-GAS AVAILABILITY'!Q444+'RAP TEMPLATE-GAS AVAILABILITY'!R444)</f>
        <v>22.005536690647485</v>
      </c>
    </row>
    <row r="446" spans="1:29" ht="15.75" x14ac:dyDescent="0.25">
      <c r="A446" s="33">
        <v>54482</v>
      </c>
      <c r="B446" s="14">
        <f>CHOOSE(CONTROL!$C$42, 22.8099, 22.8099) * CHOOSE(CONTROL!$C$21, $C$9, 100%, $E$9)</f>
        <v>22.809899999999999</v>
      </c>
      <c r="C446" s="14">
        <f>CHOOSE(CONTROL!$C$42, 22.8149, 22.8149) * CHOOSE(CONTROL!$C$21, $C$9, 100%, $E$9)</f>
        <v>22.814900000000002</v>
      </c>
      <c r="D446" s="14">
        <f>CHOOSE(CONTROL!$C$42, 22.8814, 22.8814) * CHOOSE(CONTROL!$C$21, $C$9, 100%, $E$9)</f>
        <v>22.881399999999999</v>
      </c>
      <c r="E446" s="14">
        <f>CHOOSE(CONTROL!$C$42, 22.9155, 22.9155) * CHOOSE(CONTROL!$C$21, $C$9, 100%, $E$9)</f>
        <v>22.915500000000002</v>
      </c>
      <c r="F446" s="14">
        <f>CHOOSE(CONTROL!$C$42, 22.7973, 22.7973)*CHOOSE(CONTROL!$C$21, $C$9, 100%, $E$9)</f>
        <v>22.7973</v>
      </c>
      <c r="G446" s="14">
        <f>CHOOSE(CONTROL!$C$42, 22.8128, 22.8128)*CHOOSE(CONTROL!$C$21, $C$9, 100%, $E$9)</f>
        <v>22.812799999999999</v>
      </c>
      <c r="H446" s="14">
        <f>CHOOSE(CONTROL!$C$42, 22.9047, 22.9047) * CHOOSE(CONTROL!$C$21, $C$9, 100%, $E$9)</f>
        <v>22.904699999999998</v>
      </c>
      <c r="I446" s="14">
        <f>CHOOSE(CONTROL!$C$42, 22.8889, 22.8889)* CHOOSE(CONTROL!$C$21, $C$9, 100%, $E$9)</f>
        <v>22.8889</v>
      </c>
      <c r="J446" s="14">
        <f>CHOOSE(CONTROL!$C$42, 22.7903, 22.7903)* CHOOSE(CONTROL!$C$21, $C$9, 100%, $E$9)</f>
        <v>22.790299999999998</v>
      </c>
      <c r="K446" s="53">
        <f>CHOOSE(CONTROL!$C$42, 22.8851, 22.8851) * CHOOSE(CONTROL!$C$21, $C$9, 100%, $E$9)</f>
        <v>22.885100000000001</v>
      </c>
      <c r="L446" s="14">
        <f>CHOOSE(CONTROL!$C$42, 23.4917, 23.4917) * CHOOSE(CONTROL!$C$21, $C$9, 100%, $E$9)</f>
        <v>23.491700000000002</v>
      </c>
      <c r="M446" s="14">
        <f>CHOOSE(CONTROL!$C$42, 22.331, 22.331) * CHOOSE(CONTROL!$C$21, $C$9, 100%, $E$9)</f>
        <v>22.331</v>
      </c>
      <c r="N446" s="14">
        <f>CHOOSE(CONTROL!$C$42, 22.3462, 22.3462) * CHOOSE(CONTROL!$C$21, $C$9, 100%, $E$9)</f>
        <v>22.3462</v>
      </c>
      <c r="O446" s="14">
        <f>CHOOSE(CONTROL!$C$42, 22.4431, 22.4431) * CHOOSE(CONTROL!$C$21, $C$9, 100%, $E$9)</f>
        <v>22.443100000000001</v>
      </c>
      <c r="P446" s="14">
        <f>CHOOSE(CONTROL!$C$42, 22.4263, 22.4263) * CHOOSE(CONTROL!$C$21, $C$9, 100%, $E$9)</f>
        <v>22.426300000000001</v>
      </c>
      <c r="Q446" s="14">
        <f>CHOOSE(CONTROL!$C$42, 23.0378, 23.0378) * CHOOSE(CONTROL!$C$21, $C$9, 100%, $E$9)</f>
        <v>23.037800000000001</v>
      </c>
      <c r="R446" s="14">
        <f>CHOOSE(CONTROL!$C$42, 23.6823, 23.6823) * CHOOSE(CONTROL!$C$21, $C$9, 100%, $E$9)</f>
        <v>23.682300000000001</v>
      </c>
      <c r="S446" s="14">
        <f>CHOOSE(CONTROL!$C$42, 21.9095, 21.9095) * CHOOSE(CONTROL!$C$21, $C$9, 100%, $E$9)</f>
        <v>21.909500000000001</v>
      </c>
      <c r="T44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46" s="57">
        <f>(1000*CHOOSE(CONTROL!$C$42, 695, 695)*CHOOSE(CONTROL!$C$42, 0.5599, 0.5599)*CHOOSE(CONTROL!$C$42, 28, 28))/1000000</f>
        <v>10.895653999999999</v>
      </c>
      <c r="V446" s="57">
        <f>(1000*CHOOSE(CONTROL!$C$42, 500, 500)*CHOOSE(CONTROL!$C$42, 0.275, 0.275)*CHOOSE(CONTROL!$C$42, 28, 28))/1000000</f>
        <v>3.85</v>
      </c>
      <c r="W446" s="57">
        <f>(1000*CHOOSE(CONTROL!$C$42, 0.1146, 0.1146)*CHOOSE(CONTROL!$C$42, 121.5, 121.5)*CHOOSE(CONTROL!$C$42, 28, 28))/1000000</f>
        <v>0.38986920000000003</v>
      </c>
      <c r="X446" s="57">
        <f>(28*0.1790888*100000/1000000)+(28*0.2374*100000/1000000)</f>
        <v>1.16616864</v>
      </c>
      <c r="Y446" s="57"/>
      <c r="Z446" s="14"/>
      <c r="AA446" s="56"/>
      <c r="AB446" s="50">
        <f>(B446*122.58+C446*297.941+D446*89.177+E446*40.302+F446*40+G446*160+H446*0+I446*100+J446*300)/(122.58+297.941+89.177+40.302+0+40+160+100+300)</f>
        <v>22.822162392782609</v>
      </c>
      <c r="AC446" s="45">
        <f>(M446*'RAP TEMPLATE-GAS AVAILABILITY'!O445+N446*'RAP TEMPLATE-GAS AVAILABILITY'!P445+O446*'RAP TEMPLATE-GAS AVAILABILITY'!Q445+P446*'RAP TEMPLATE-GAS AVAILABILITY'!R445)/('RAP TEMPLATE-GAS AVAILABILITY'!O445+'RAP TEMPLATE-GAS AVAILABILITY'!P445+'RAP TEMPLATE-GAS AVAILABILITY'!Q445+'RAP TEMPLATE-GAS AVAILABILITY'!R445)</f>
        <v>22.396394964028779</v>
      </c>
    </row>
    <row r="447" spans="1:29" ht="15.75" x14ac:dyDescent="0.25">
      <c r="A447" s="33">
        <v>54513</v>
      </c>
      <c r="B447" s="14">
        <f>CHOOSE(CONTROL!$C$42, 22.1626, 22.1626) * CHOOSE(CONTROL!$C$21, $C$9, 100%, $E$9)</f>
        <v>22.162600000000001</v>
      </c>
      <c r="C447" s="14">
        <f>CHOOSE(CONTROL!$C$42, 22.1676, 22.1676) * CHOOSE(CONTROL!$C$21, $C$9, 100%, $E$9)</f>
        <v>22.1676</v>
      </c>
      <c r="D447" s="14">
        <f>CHOOSE(CONTROL!$C$42, 22.234, 22.234) * CHOOSE(CONTROL!$C$21, $C$9, 100%, $E$9)</f>
        <v>22.234000000000002</v>
      </c>
      <c r="E447" s="14">
        <f>CHOOSE(CONTROL!$C$42, 22.2682, 22.2682) * CHOOSE(CONTROL!$C$21, $C$9, 100%, $E$9)</f>
        <v>22.2682</v>
      </c>
      <c r="F447" s="14">
        <f>CHOOSE(CONTROL!$C$42, 22.1496, 22.1496)*CHOOSE(CONTROL!$C$21, $C$9, 100%, $E$9)</f>
        <v>22.1496</v>
      </c>
      <c r="G447" s="14">
        <f>CHOOSE(CONTROL!$C$42, 22.165, 22.165)*CHOOSE(CONTROL!$C$21, $C$9, 100%, $E$9)</f>
        <v>22.164999999999999</v>
      </c>
      <c r="H447" s="14">
        <f>CHOOSE(CONTROL!$C$42, 22.2573, 22.2573) * CHOOSE(CONTROL!$C$21, $C$9, 100%, $E$9)</f>
        <v>22.257300000000001</v>
      </c>
      <c r="I447" s="14">
        <f>CHOOSE(CONTROL!$C$42, 22.2396, 22.2396)* CHOOSE(CONTROL!$C$21, $C$9, 100%, $E$9)</f>
        <v>22.239599999999999</v>
      </c>
      <c r="J447" s="14">
        <f>CHOOSE(CONTROL!$C$42, 22.1426, 22.1426)* CHOOSE(CONTROL!$C$21, $C$9, 100%, $E$9)</f>
        <v>22.142600000000002</v>
      </c>
      <c r="K447" s="53">
        <f>CHOOSE(CONTROL!$C$42, 22.2357, 22.2357) * CHOOSE(CONTROL!$C$21, $C$9, 100%, $E$9)</f>
        <v>22.235700000000001</v>
      </c>
      <c r="L447" s="14">
        <f>CHOOSE(CONTROL!$C$42, 22.8443, 22.8443) * CHOOSE(CONTROL!$C$21, $C$9, 100%, $E$9)</f>
        <v>22.8443</v>
      </c>
      <c r="M447" s="14">
        <f>CHOOSE(CONTROL!$C$42, 21.6966, 21.6966) * CHOOSE(CONTROL!$C$21, $C$9, 100%, $E$9)</f>
        <v>21.6966</v>
      </c>
      <c r="N447" s="14">
        <f>CHOOSE(CONTROL!$C$42, 21.7117, 21.7117) * CHOOSE(CONTROL!$C$21, $C$9, 100%, $E$9)</f>
        <v>21.7117</v>
      </c>
      <c r="O447" s="14">
        <f>CHOOSE(CONTROL!$C$42, 21.809, 21.809) * CHOOSE(CONTROL!$C$21, $C$9, 100%, $E$9)</f>
        <v>21.809000000000001</v>
      </c>
      <c r="P447" s="14">
        <f>CHOOSE(CONTROL!$C$42, 21.7903, 21.7903) * CHOOSE(CONTROL!$C$21, $C$9, 100%, $E$9)</f>
        <v>21.790299999999998</v>
      </c>
      <c r="Q447" s="14">
        <f>CHOOSE(CONTROL!$C$42, 22.4037, 22.4037) * CHOOSE(CONTROL!$C$21, $C$9, 100%, $E$9)</f>
        <v>22.403700000000001</v>
      </c>
      <c r="R447" s="14">
        <f>CHOOSE(CONTROL!$C$42, 23.0467, 23.0467) * CHOOSE(CONTROL!$C$21, $C$9, 100%, $E$9)</f>
        <v>23.046700000000001</v>
      </c>
      <c r="S447" s="14">
        <f>CHOOSE(CONTROL!$C$42, 21.2875, 21.2875) * CHOOSE(CONTROL!$C$21, $C$9, 100%, $E$9)</f>
        <v>21.287500000000001</v>
      </c>
      <c r="T44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47" s="57">
        <f>(1000*CHOOSE(CONTROL!$C$42, 695, 695)*CHOOSE(CONTROL!$C$42, 0.5599, 0.5599)*CHOOSE(CONTROL!$C$42, 31, 31))/1000000</f>
        <v>12.063045499999998</v>
      </c>
      <c r="V447" s="57">
        <f>(1000*CHOOSE(CONTROL!$C$42, 500, 500)*CHOOSE(CONTROL!$C$42, 0.275, 0.275)*CHOOSE(CONTROL!$C$42, 31, 31))/1000000</f>
        <v>4.2625000000000002</v>
      </c>
      <c r="W447" s="57">
        <f>(1000*CHOOSE(CONTROL!$C$42, 0.1146, 0.1146)*CHOOSE(CONTROL!$C$42, 121.5, 121.5)*CHOOSE(CONTROL!$C$42, 31, 31))/1000000</f>
        <v>0.43164089999999994</v>
      </c>
      <c r="X447" s="57">
        <f>(31*0.1790888*100000/1000000)+(31*0.2374*100000/1000000)</f>
        <v>1.2911152800000001</v>
      </c>
      <c r="Y447" s="57"/>
      <c r="Z447" s="14"/>
      <c r="AA447" s="56"/>
      <c r="AB447" s="50">
        <f>(B447*122.58+C447*297.941+D447*89.177+E447*40.302+F447*40+G447*160+H447*0+I447*100+J447*300)/(122.58+297.941+89.177+40.302+0+40+160+100+300)</f>
        <v>22.174492899130431</v>
      </c>
      <c r="AC447" s="45">
        <f>(M447*'RAP TEMPLATE-GAS AVAILABILITY'!O446+N447*'RAP TEMPLATE-GAS AVAILABILITY'!P446+O447*'RAP TEMPLATE-GAS AVAILABILITY'!Q446+P447*'RAP TEMPLATE-GAS AVAILABILITY'!R446)/('RAP TEMPLATE-GAS AVAILABILITY'!O446+'RAP TEMPLATE-GAS AVAILABILITY'!P446+'RAP TEMPLATE-GAS AVAILABILITY'!Q446+'RAP TEMPLATE-GAS AVAILABILITY'!R446)</f>
        <v>21.761894964028777</v>
      </c>
    </row>
    <row r="448" spans="1:29" ht="15.75" x14ac:dyDescent="0.25">
      <c r="A448" s="33">
        <v>54543</v>
      </c>
      <c r="B448" s="14">
        <f>CHOOSE(CONTROL!$C$42, 22.0974, 22.0974) * CHOOSE(CONTROL!$C$21, $C$9, 100%, $E$9)</f>
        <v>22.0974</v>
      </c>
      <c r="C448" s="14">
        <f>CHOOSE(CONTROL!$C$42, 22.1019, 22.1019) * CHOOSE(CONTROL!$C$21, $C$9, 100%, $E$9)</f>
        <v>22.101900000000001</v>
      </c>
      <c r="D448" s="14">
        <f>CHOOSE(CONTROL!$C$42, 22.309, 22.309) * CHOOSE(CONTROL!$C$21, $C$9, 100%, $E$9)</f>
        <v>22.309000000000001</v>
      </c>
      <c r="E448" s="14">
        <f>CHOOSE(CONTROL!$C$42, 22.3411, 22.3411) * CHOOSE(CONTROL!$C$21, $C$9, 100%, $E$9)</f>
        <v>22.341100000000001</v>
      </c>
      <c r="F448" s="14">
        <f>CHOOSE(CONTROL!$C$42, 22.0793, 22.0793)*CHOOSE(CONTROL!$C$21, $C$9, 100%, $E$9)</f>
        <v>22.0793</v>
      </c>
      <c r="G448" s="14">
        <f>CHOOSE(CONTROL!$C$42, 22.0945, 22.0945)*CHOOSE(CONTROL!$C$21, $C$9, 100%, $E$9)</f>
        <v>22.0945</v>
      </c>
      <c r="H448" s="14">
        <f>CHOOSE(CONTROL!$C$42, 22.3309, 22.3309) * CHOOSE(CONTROL!$C$21, $C$9, 100%, $E$9)</f>
        <v>22.3309</v>
      </c>
      <c r="I448" s="14">
        <f>CHOOSE(CONTROL!$C$42, 22.1735, 22.1735)* CHOOSE(CONTROL!$C$21, $C$9, 100%, $E$9)</f>
        <v>22.173500000000001</v>
      </c>
      <c r="J448" s="14">
        <f>CHOOSE(CONTROL!$C$42, 22.0723, 22.0723)* CHOOSE(CONTROL!$C$21, $C$9, 100%, $E$9)</f>
        <v>22.072299999999998</v>
      </c>
      <c r="K448" s="53">
        <f>CHOOSE(CONTROL!$C$42, 22.1696, 22.1696) * CHOOSE(CONTROL!$C$21, $C$9, 100%, $E$9)</f>
        <v>22.169599999999999</v>
      </c>
      <c r="L448" s="14">
        <f>CHOOSE(CONTROL!$C$42, 22.9179, 22.9179) * CHOOSE(CONTROL!$C$21, $C$9, 100%, $E$9)</f>
        <v>22.917899999999999</v>
      </c>
      <c r="M448" s="14">
        <f>CHOOSE(CONTROL!$C$42, 21.6277, 21.6277) * CHOOSE(CONTROL!$C$21, $C$9, 100%, $E$9)</f>
        <v>21.627700000000001</v>
      </c>
      <c r="N448" s="14">
        <f>CHOOSE(CONTROL!$C$42, 21.6426, 21.6426) * CHOOSE(CONTROL!$C$21, $C$9, 100%, $E$9)</f>
        <v>21.642600000000002</v>
      </c>
      <c r="O448" s="14">
        <f>CHOOSE(CONTROL!$C$42, 21.881, 21.881) * CHOOSE(CONTROL!$C$21, $C$9, 100%, $E$9)</f>
        <v>21.881</v>
      </c>
      <c r="P448" s="14">
        <f>CHOOSE(CONTROL!$C$42, 21.7255, 21.7255) * CHOOSE(CONTROL!$C$21, $C$9, 100%, $E$9)</f>
        <v>21.7255</v>
      </c>
      <c r="Q448" s="14">
        <f>CHOOSE(CONTROL!$C$42, 22.4757, 22.4757) * CHOOSE(CONTROL!$C$21, $C$9, 100%, $E$9)</f>
        <v>22.4757</v>
      </c>
      <c r="R448" s="14">
        <f>CHOOSE(CONTROL!$C$42, 23.1189, 23.1189) * CHOOSE(CONTROL!$C$21, $C$9, 100%, $E$9)</f>
        <v>23.1189</v>
      </c>
      <c r="S448" s="14">
        <f>CHOOSE(CONTROL!$C$42, 21.2241, 21.2241) * CHOOSE(CONTROL!$C$21, $C$9, 100%, $E$9)</f>
        <v>21.2241</v>
      </c>
      <c r="T44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48" s="57">
        <f>(1000*CHOOSE(CONTROL!$C$42, 695, 695)*CHOOSE(CONTROL!$C$42, 0.5599, 0.5599)*CHOOSE(CONTROL!$C$42, 30, 30))/1000000</f>
        <v>11.673914999999997</v>
      </c>
      <c r="V448" s="57">
        <f>(1000*CHOOSE(CONTROL!$C$42, 500, 500)*CHOOSE(CONTROL!$C$42, 0.275, 0.275)*CHOOSE(CONTROL!$C$42, 30, 30))/1000000</f>
        <v>4.125</v>
      </c>
      <c r="W448" s="57">
        <f>(1000*CHOOSE(CONTROL!$C$42, 0.1146, 0.1146)*CHOOSE(CONTROL!$C$42, 121.5, 121.5)*CHOOSE(CONTROL!$C$42, 30, 30))/1000000</f>
        <v>0.417717</v>
      </c>
      <c r="X448" s="57">
        <f>(30*0.1790888*245000/1000000)+(30*0.2374*100000/1000000)</f>
        <v>2.0285026799999999</v>
      </c>
      <c r="Y448" s="57"/>
      <c r="Z448" s="14"/>
      <c r="AA448" s="56"/>
      <c r="AB448" s="50">
        <f>(B448*141.293+C448*267.993+D448*115.016+E448*89.698+F448*40+G448*185+H448*0+I448*100+J448*300)/(141.293+267.993+115.016+89.698+0+40+185+100+300)</f>
        <v>22.134706099031476</v>
      </c>
      <c r="AC448" s="45">
        <f>(M448*'RAP TEMPLATE-GAS AVAILABILITY'!O447+N448*'RAP TEMPLATE-GAS AVAILABILITY'!P447+O448*'RAP TEMPLATE-GAS AVAILABILITY'!Q447+P448*'RAP TEMPLATE-GAS AVAILABILITY'!R447)/('RAP TEMPLATE-GAS AVAILABILITY'!O447+'RAP TEMPLATE-GAS AVAILABILITY'!P447+'RAP TEMPLATE-GAS AVAILABILITY'!Q447+'RAP TEMPLATE-GAS AVAILABILITY'!R447)</f>
        <v>21.716271942446046</v>
      </c>
    </row>
    <row r="449" spans="1:29" ht="15.75" x14ac:dyDescent="0.25">
      <c r="A449" s="33">
        <v>54574</v>
      </c>
      <c r="B449" s="14">
        <f>CHOOSE(CONTROL!$C$42, 22.2938, 22.2938) * CHOOSE(CONTROL!$C$21, $C$9, 100%, $E$9)</f>
        <v>22.293800000000001</v>
      </c>
      <c r="C449" s="14">
        <f>CHOOSE(CONTROL!$C$42, 22.3018, 22.3018) * CHOOSE(CONTROL!$C$21, $C$9, 100%, $E$9)</f>
        <v>22.3018</v>
      </c>
      <c r="D449" s="14">
        <f>CHOOSE(CONTROL!$C$42, 22.5057, 22.5057) * CHOOSE(CONTROL!$C$21, $C$9, 100%, $E$9)</f>
        <v>22.505700000000001</v>
      </c>
      <c r="E449" s="14">
        <f>CHOOSE(CONTROL!$C$42, 22.5372, 22.5372) * CHOOSE(CONTROL!$C$21, $C$9, 100%, $E$9)</f>
        <v>22.537199999999999</v>
      </c>
      <c r="F449" s="14">
        <f>CHOOSE(CONTROL!$C$42, 22.2745, 22.2745)*CHOOSE(CONTROL!$C$21, $C$9, 100%, $E$9)</f>
        <v>22.2745</v>
      </c>
      <c r="G449" s="14">
        <f>CHOOSE(CONTROL!$C$42, 22.2902, 22.2902)*CHOOSE(CONTROL!$C$21, $C$9, 100%, $E$9)</f>
        <v>22.290199999999999</v>
      </c>
      <c r="H449" s="14">
        <f>CHOOSE(CONTROL!$C$42, 22.5258, 22.5258) * CHOOSE(CONTROL!$C$21, $C$9, 100%, $E$9)</f>
        <v>22.5258</v>
      </c>
      <c r="I449" s="14">
        <f>CHOOSE(CONTROL!$C$42, 22.369, 22.369)* CHOOSE(CONTROL!$C$21, $C$9, 100%, $E$9)</f>
        <v>22.369</v>
      </c>
      <c r="J449" s="14">
        <f>CHOOSE(CONTROL!$C$42, 22.2675, 22.2675)* CHOOSE(CONTROL!$C$21, $C$9, 100%, $E$9)</f>
        <v>22.267499999999998</v>
      </c>
      <c r="K449" s="53">
        <f>CHOOSE(CONTROL!$C$42, 22.3651, 22.3651) * CHOOSE(CONTROL!$C$21, $C$9, 100%, $E$9)</f>
        <v>22.365100000000002</v>
      </c>
      <c r="L449" s="14">
        <f>CHOOSE(CONTROL!$C$42, 23.1128, 23.1128) * CHOOSE(CONTROL!$C$21, $C$9, 100%, $E$9)</f>
        <v>23.1128</v>
      </c>
      <c r="M449" s="14">
        <f>CHOOSE(CONTROL!$C$42, 21.8189, 21.8189) * CHOOSE(CONTROL!$C$21, $C$9, 100%, $E$9)</f>
        <v>21.818899999999999</v>
      </c>
      <c r="N449" s="14">
        <f>CHOOSE(CONTROL!$C$42, 21.8343, 21.8343) * CHOOSE(CONTROL!$C$21, $C$9, 100%, $E$9)</f>
        <v>21.834299999999999</v>
      </c>
      <c r="O449" s="14">
        <f>CHOOSE(CONTROL!$C$42, 22.072, 22.072) * CHOOSE(CONTROL!$C$21, $C$9, 100%, $E$9)</f>
        <v>22.071999999999999</v>
      </c>
      <c r="P449" s="14">
        <f>CHOOSE(CONTROL!$C$42, 21.9171, 21.9171) * CHOOSE(CONTROL!$C$21, $C$9, 100%, $E$9)</f>
        <v>21.917100000000001</v>
      </c>
      <c r="Q449" s="14">
        <f>CHOOSE(CONTROL!$C$42, 22.6667, 22.6667) * CHOOSE(CONTROL!$C$21, $C$9, 100%, $E$9)</f>
        <v>22.666699999999999</v>
      </c>
      <c r="R449" s="14">
        <f>CHOOSE(CONTROL!$C$42, 23.3103, 23.3103) * CHOOSE(CONTROL!$C$21, $C$9, 100%, $E$9)</f>
        <v>23.310300000000002</v>
      </c>
      <c r="S449" s="14">
        <f>CHOOSE(CONTROL!$C$42, 21.4114, 21.4114) * CHOOSE(CONTROL!$C$21, $C$9, 100%, $E$9)</f>
        <v>21.4114</v>
      </c>
      <c r="T44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49" s="57">
        <f>(1000*CHOOSE(CONTROL!$C$42, 695, 695)*CHOOSE(CONTROL!$C$42, 0.5599, 0.5599)*CHOOSE(CONTROL!$C$42, 31, 31))/1000000</f>
        <v>12.063045499999998</v>
      </c>
      <c r="V449" s="57">
        <f>(1000*CHOOSE(CONTROL!$C$42, 500, 500)*CHOOSE(CONTROL!$C$42, 0.275, 0.275)*CHOOSE(CONTROL!$C$42, 31, 31))/1000000</f>
        <v>4.2625000000000002</v>
      </c>
      <c r="W449" s="57">
        <f>(1000*CHOOSE(CONTROL!$C$42, 0.1146, 0.1146)*CHOOSE(CONTROL!$C$42, 121.5, 121.5)*CHOOSE(CONTROL!$C$42, 31, 31))/1000000</f>
        <v>0.43164089999999994</v>
      </c>
      <c r="X449" s="57">
        <f>(31*0.1790888*245000/1000000)+(31*0.2374*100000/1000000)</f>
        <v>2.0961194359999999</v>
      </c>
      <c r="Y449" s="57"/>
      <c r="Z449" s="14"/>
      <c r="AA449" s="56"/>
      <c r="AB449" s="50">
        <f>(B449*194.205+C449*267.466+D449*133.845+E449*53.484+F449*40+G449*185+H449*0+I449*100+J449*300)/(194.205+267.466+133.845+53.484+0+40+185+100+300)</f>
        <v>22.326540572291997</v>
      </c>
      <c r="AC449" s="45">
        <f>(M449*'RAP TEMPLATE-GAS AVAILABILITY'!O448+N449*'RAP TEMPLATE-GAS AVAILABILITY'!P448+O449*'RAP TEMPLATE-GAS AVAILABILITY'!Q448+P449*'RAP TEMPLATE-GAS AVAILABILITY'!R448)/('RAP TEMPLATE-GAS AVAILABILITY'!O448+'RAP TEMPLATE-GAS AVAILABILITY'!P448+'RAP TEMPLATE-GAS AVAILABILITY'!Q448+'RAP TEMPLATE-GAS AVAILABILITY'!R448)</f>
        <v>21.907588489208628</v>
      </c>
    </row>
    <row r="450" spans="1:29" ht="15.75" x14ac:dyDescent="0.25">
      <c r="A450" s="33">
        <v>54604</v>
      </c>
      <c r="B450" s="14">
        <f>CHOOSE(CONTROL!$C$42, 22.9258, 22.9258) * CHOOSE(CONTROL!$C$21, $C$9, 100%, $E$9)</f>
        <v>22.925799999999999</v>
      </c>
      <c r="C450" s="14">
        <f>CHOOSE(CONTROL!$C$42, 22.9338, 22.9338) * CHOOSE(CONTROL!$C$21, $C$9, 100%, $E$9)</f>
        <v>22.933800000000002</v>
      </c>
      <c r="D450" s="14">
        <f>CHOOSE(CONTROL!$C$42, 23.1378, 23.1378) * CHOOSE(CONTROL!$C$21, $C$9, 100%, $E$9)</f>
        <v>23.137799999999999</v>
      </c>
      <c r="E450" s="14">
        <f>CHOOSE(CONTROL!$C$42, 23.1692, 23.1692) * CHOOSE(CONTROL!$C$21, $C$9, 100%, $E$9)</f>
        <v>23.1692</v>
      </c>
      <c r="F450" s="14">
        <f>CHOOSE(CONTROL!$C$42, 22.907, 22.907)*CHOOSE(CONTROL!$C$21, $C$9, 100%, $E$9)</f>
        <v>22.907</v>
      </c>
      <c r="G450" s="14">
        <f>CHOOSE(CONTROL!$C$42, 22.9227, 22.9227)*CHOOSE(CONTROL!$C$21, $C$9, 100%, $E$9)</f>
        <v>22.922699999999999</v>
      </c>
      <c r="H450" s="14">
        <f>CHOOSE(CONTROL!$C$42, 23.1579, 23.1579) * CHOOSE(CONTROL!$C$21, $C$9, 100%, $E$9)</f>
        <v>23.157900000000001</v>
      </c>
      <c r="I450" s="14">
        <f>CHOOSE(CONTROL!$C$42, 23.003, 23.003)* CHOOSE(CONTROL!$C$21, $C$9, 100%, $E$9)</f>
        <v>23.003</v>
      </c>
      <c r="J450" s="14">
        <f>CHOOSE(CONTROL!$C$42, 22.9, 22.9)* CHOOSE(CONTROL!$C$21, $C$9, 100%, $E$9)</f>
        <v>22.9</v>
      </c>
      <c r="K450" s="53">
        <f>CHOOSE(CONTROL!$C$42, 22.9991, 22.9991) * CHOOSE(CONTROL!$C$21, $C$9, 100%, $E$9)</f>
        <v>22.999099999999999</v>
      </c>
      <c r="L450" s="14">
        <f>CHOOSE(CONTROL!$C$42, 23.7449, 23.7449) * CHOOSE(CONTROL!$C$21, $C$9, 100%, $E$9)</f>
        <v>23.744900000000001</v>
      </c>
      <c r="M450" s="14">
        <f>CHOOSE(CONTROL!$C$42, 22.4385, 22.4385) * CHOOSE(CONTROL!$C$21, $C$9, 100%, $E$9)</f>
        <v>22.438500000000001</v>
      </c>
      <c r="N450" s="14">
        <f>CHOOSE(CONTROL!$C$42, 22.4539, 22.4539) * CHOOSE(CONTROL!$C$21, $C$9, 100%, $E$9)</f>
        <v>22.453900000000001</v>
      </c>
      <c r="O450" s="14">
        <f>CHOOSE(CONTROL!$C$42, 22.6911, 22.6911) * CHOOSE(CONTROL!$C$21, $C$9, 100%, $E$9)</f>
        <v>22.691099999999999</v>
      </c>
      <c r="P450" s="14">
        <f>CHOOSE(CONTROL!$C$42, 22.538, 22.538) * CHOOSE(CONTROL!$C$21, $C$9, 100%, $E$9)</f>
        <v>22.538</v>
      </c>
      <c r="Q450" s="14">
        <f>CHOOSE(CONTROL!$C$42, 23.2858, 23.2858) * CHOOSE(CONTROL!$C$21, $C$9, 100%, $E$9)</f>
        <v>23.285799999999998</v>
      </c>
      <c r="R450" s="14">
        <f>CHOOSE(CONTROL!$C$42, 23.931, 23.931) * CHOOSE(CONTROL!$C$21, $C$9, 100%, $E$9)</f>
        <v>23.931000000000001</v>
      </c>
      <c r="S450" s="14">
        <f>CHOOSE(CONTROL!$C$42, 22.0188, 22.0188) * CHOOSE(CONTROL!$C$21, $C$9, 100%, $E$9)</f>
        <v>22.018799999999999</v>
      </c>
      <c r="T45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50" s="57">
        <f>(1000*CHOOSE(CONTROL!$C$42, 695, 695)*CHOOSE(CONTROL!$C$42, 0.5599, 0.5599)*CHOOSE(CONTROL!$C$42, 30, 30))/1000000</f>
        <v>11.673914999999997</v>
      </c>
      <c r="V450" s="57">
        <f>(1000*CHOOSE(CONTROL!$C$42, 500, 500)*CHOOSE(CONTROL!$C$42, 0.275, 0.275)*CHOOSE(CONTROL!$C$42, 30, 30))/1000000</f>
        <v>4.125</v>
      </c>
      <c r="W450" s="57">
        <f>(1000*CHOOSE(CONTROL!$C$42, 0.1146, 0.1146)*CHOOSE(CONTROL!$C$42, 121.5, 121.5)*CHOOSE(CONTROL!$C$42, 30, 30))/1000000</f>
        <v>0.417717</v>
      </c>
      <c r="X450" s="57">
        <f>(30*0.1790888*245000/1000000)+(30*0.2374*100000/1000000)</f>
        <v>2.0285026799999999</v>
      </c>
      <c r="Y450" s="57"/>
      <c r="Z450" s="14"/>
      <c r="AA450" s="56"/>
      <c r="AB450" s="50">
        <f>(B450*194.205+C450*267.466+D450*133.845+E450*53.484+F450*40+G450*185+H450*0+I450*100+J450*300)/(194.205+267.466+133.845+53.484+0+40+185+100+300)</f>
        <v>22.95891410800628</v>
      </c>
      <c r="AC450" s="45">
        <f>(M450*'RAP TEMPLATE-GAS AVAILABILITY'!O449+N450*'RAP TEMPLATE-GAS AVAILABILITY'!P449+O450*'RAP TEMPLATE-GAS AVAILABILITY'!Q449+P450*'RAP TEMPLATE-GAS AVAILABILITY'!R449)/('RAP TEMPLATE-GAS AVAILABILITY'!O449+'RAP TEMPLATE-GAS AVAILABILITY'!P449+'RAP TEMPLATE-GAS AVAILABILITY'!Q449+'RAP TEMPLATE-GAS AVAILABILITY'!R449)</f>
        <v>22.527235251798565</v>
      </c>
    </row>
    <row r="451" spans="1:29" ht="15.75" x14ac:dyDescent="0.25">
      <c r="A451" s="33">
        <v>54635</v>
      </c>
      <c r="B451" s="14">
        <f>CHOOSE(CONTROL!$C$42, 22.4862, 22.4862) * CHOOSE(CONTROL!$C$21, $C$9, 100%, $E$9)</f>
        <v>22.4862</v>
      </c>
      <c r="C451" s="14">
        <f>CHOOSE(CONTROL!$C$42, 22.4942, 22.4942) * CHOOSE(CONTROL!$C$21, $C$9, 100%, $E$9)</f>
        <v>22.494199999999999</v>
      </c>
      <c r="D451" s="14">
        <f>CHOOSE(CONTROL!$C$42, 22.6982, 22.6982) * CHOOSE(CONTROL!$C$21, $C$9, 100%, $E$9)</f>
        <v>22.6982</v>
      </c>
      <c r="E451" s="14">
        <f>CHOOSE(CONTROL!$C$42, 22.7296, 22.7296) * CHOOSE(CONTROL!$C$21, $C$9, 100%, $E$9)</f>
        <v>22.729600000000001</v>
      </c>
      <c r="F451" s="14">
        <f>CHOOSE(CONTROL!$C$42, 22.4678, 22.4678)*CHOOSE(CONTROL!$C$21, $C$9, 100%, $E$9)</f>
        <v>22.4678</v>
      </c>
      <c r="G451" s="14">
        <f>CHOOSE(CONTROL!$C$42, 22.4837, 22.4837)*CHOOSE(CONTROL!$C$21, $C$9, 100%, $E$9)</f>
        <v>22.483699999999999</v>
      </c>
      <c r="H451" s="14">
        <f>CHOOSE(CONTROL!$C$42, 22.7183, 22.7183) * CHOOSE(CONTROL!$C$21, $C$9, 100%, $E$9)</f>
        <v>22.718299999999999</v>
      </c>
      <c r="I451" s="14">
        <f>CHOOSE(CONTROL!$C$42, 22.5621, 22.5621)* CHOOSE(CONTROL!$C$21, $C$9, 100%, $E$9)</f>
        <v>22.562100000000001</v>
      </c>
      <c r="J451" s="14">
        <f>CHOOSE(CONTROL!$C$42, 22.4608, 22.4608)* CHOOSE(CONTROL!$C$21, $C$9, 100%, $E$9)</f>
        <v>22.460799999999999</v>
      </c>
      <c r="K451" s="53">
        <f>CHOOSE(CONTROL!$C$42, 22.5582, 22.5582) * CHOOSE(CONTROL!$C$21, $C$9, 100%, $E$9)</f>
        <v>22.558199999999999</v>
      </c>
      <c r="L451" s="14">
        <f>CHOOSE(CONTROL!$C$42, 23.3053, 23.3053) * CHOOSE(CONTROL!$C$21, $C$9, 100%, $E$9)</f>
        <v>23.305299999999999</v>
      </c>
      <c r="M451" s="14">
        <f>CHOOSE(CONTROL!$C$42, 22.0083, 22.0083) * CHOOSE(CONTROL!$C$21, $C$9, 100%, $E$9)</f>
        <v>22.008299999999998</v>
      </c>
      <c r="N451" s="14">
        <f>CHOOSE(CONTROL!$C$42, 22.0239, 22.0239) * CHOOSE(CONTROL!$C$21, $C$9, 100%, $E$9)</f>
        <v>22.023900000000001</v>
      </c>
      <c r="O451" s="14">
        <f>CHOOSE(CONTROL!$C$42, 22.2605, 22.2605) * CHOOSE(CONTROL!$C$21, $C$9, 100%, $E$9)</f>
        <v>22.2605</v>
      </c>
      <c r="P451" s="14">
        <f>CHOOSE(CONTROL!$C$42, 22.1061, 22.1061) * CHOOSE(CONTROL!$C$21, $C$9, 100%, $E$9)</f>
        <v>22.106100000000001</v>
      </c>
      <c r="Q451" s="14">
        <f>CHOOSE(CONTROL!$C$42, 22.8552, 22.8552) * CHOOSE(CONTROL!$C$21, $C$9, 100%, $E$9)</f>
        <v>22.8552</v>
      </c>
      <c r="R451" s="14">
        <f>CHOOSE(CONTROL!$C$42, 23.4993, 23.4993) * CHOOSE(CONTROL!$C$21, $C$9, 100%, $E$9)</f>
        <v>23.499300000000002</v>
      </c>
      <c r="S451" s="14">
        <f>CHOOSE(CONTROL!$C$42, 21.5964, 21.5964) * CHOOSE(CONTROL!$C$21, $C$9, 100%, $E$9)</f>
        <v>21.596399999999999</v>
      </c>
      <c r="T45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51" s="57">
        <f>(1000*CHOOSE(CONTROL!$C$42, 695, 695)*CHOOSE(CONTROL!$C$42, 0.5599, 0.5599)*CHOOSE(CONTROL!$C$42, 31, 31))/1000000</f>
        <v>12.063045499999998</v>
      </c>
      <c r="V451" s="57">
        <f>(1000*CHOOSE(CONTROL!$C$42, 500, 500)*CHOOSE(CONTROL!$C$42, 0.275, 0.275)*CHOOSE(CONTROL!$C$42, 31, 31))/1000000</f>
        <v>4.2625000000000002</v>
      </c>
      <c r="W451" s="57">
        <f>(1000*CHOOSE(CONTROL!$C$42, 0.1146, 0.1146)*CHOOSE(CONTROL!$C$42, 121.5, 121.5)*CHOOSE(CONTROL!$C$42, 31, 31))/1000000</f>
        <v>0.43164089999999994</v>
      </c>
      <c r="X451" s="57">
        <f>(31*0.1790888*245000/1000000)+(31*0.2374*100000/1000000)</f>
        <v>2.0961194359999999</v>
      </c>
      <c r="Y451" s="57"/>
      <c r="Z451" s="14"/>
      <c r="AA451" s="56"/>
      <c r="AB451" s="50">
        <f>(B451*194.205+C451*267.466+D451*133.845+E451*53.484+F451*40+G451*185+H451*0+I451*100+J451*300)/(194.205+267.466+133.845+53.484+0+40+185+100+300)</f>
        <v>22.519405944740971</v>
      </c>
      <c r="AC451" s="45">
        <f>(M451*'RAP TEMPLATE-GAS AVAILABILITY'!O450+N451*'RAP TEMPLATE-GAS AVAILABILITY'!P450+O451*'RAP TEMPLATE-GAS AVAILABILITY'!Q450+P451*'RAP TEMPLATE-GAS AVAILABILITY'!R450)/('RAP TEMPLATE-GAS AVAILABILITY'!O450+'RAP TEMPLATE-GAS AVAILABILITY'!P450+'RAP TEMPLATE-GAS AVAILABILITY'!Q450+'RAP TEMPLATE-GAS AVAILABILITY'!R450)</f>
        <v>22.096724460431656</v>
      </c>
    </row>
    <row r="452" spans="1:29" ht="15.75" x14ac:dyDescent="0.25">
      <c r="A452" s="33">
        <v>54666</v>
      </c>
      <c r="B452" s="14">
        <f>CHOOSE(CONTROL!$C$42, 21.3761, 21.3761) * CHOOSE(CONTROL!$C$21, $C$9, 100%, $E$9)</f>
        <v>21.376100000000001</v>
      </c>
      <c r="C452" s="14">
        <f>CHOOSE(CONTROL!$C$42, 21.3841, 21.3841) * CHOOSE(CONTROL!$C$21, $C$9, 100%, $E$9)</f>
        <v>21.3841</v>
      </c>
      <c r="D452" s="14">
        <f>CHOOSE(CONTROL!$C$42, 21.5881, 21.5881) * CHOOSE(CONTROL!$C$21, $C$9, 100%, $E$9)</f>
        <v>21.588100000000001</v>
      </c>
      <c r="E452" s="14">
        <f>CHOOSE(CONTROL!$C$42, 21.6195, 21.6195) * CHOOSE(CONTROL!$C$21, $C$9, 100%, $E$9)</f>
        <v>21.619499999999999</v>
      </c>
      <c r="F452" s="14">
        <f>CHOOSE(CONTROL!$C$42, 21.3579, 21.3579)*CHOOSE(CONTROL!$C$21, $C$9, 100%, $E$9)</f>
        <v>21.357900000000001</v>
      </c>
      <c r="G452" s="14">
        <f>CHOOSE(CONTROL!$C$42, 21.3739, 21.3739)*CHOOSE(CONTROL!$C$21, $C$9, 100%, $E$9)</f>
        <v>21.373899999999999</v>
      </c>
      <c r="H452" s="14">
        <f>CHOOSE(CONTROL!$C$42, 21.6082, 21.6082) * CHOOSE(CONTROL!$C$21, $C$9, 100%, $E$9)</f>
        <v>21.6082</v>
      </c>
      <c r="I452" s="14">
        <f>CHOOSE(CONTROL!$C$42, 21.4485, 21.4485)* CHOOSE(CONTROL!$C$21, $C$9, 100%, $E$9)</f>
        <v>21.448499999999999</v>
      </c>
      <c r="J452" s="14">
        <f>CHOOSE(CONTROL!$C$42, 21.3509, 21.3509)* CHOOSE(CONTROL!$C$21, $C$9, 100%, $E$9)</f>
        <v>21.350899999999999</v>
      </c>
      <c r="K452" s="53">
        <f>CHOOSE(CONTROL!$C$42, 21.4446, 21.4446) * CHOOSE(CONTROL!$C$21, $C$9, 100%, $E$9)</f>
        <v>21.444600000000001</v>
      </c>
      <c r="L452" s="14">
        <f>CHOOSE(CONTROL!$C$42, 22.1952, 22.1952) * CHOOSE(CONTROL!$C$21, $C$9, 100%, $E$9)</f>
        <v>22.1952</v>
      </c>
      <c r="M452" s="14">
        <f>CHOOSE(CONTROL!$C$42, 20.9212, 20.9212) * CHOOSE(CONTROL!$C$21, $C$9, 100%, $E$9)</f>
        <v>20.921199999999999</v>
      </c>
      <c r="N452" s="14">
        <f>CHOOSE(CONTROL!$C$42, 20.9368, 20.9368) * CHOOSE(CONTROL!$C$21, $C$9, 100%, $E$9)</f>
        <v>20.936800000000002</v>
      </c>
      <c r="O452" s="14">
        <f>CHOOSE(CONTROL!$C$42, 21.1731, 21.1731) * CHOOSE(CONTROL!$C$21, $C$9, 100%, $E$9)</f>
        <v>21.173100000000002</v>
      </c>
      <c r="P452" s="14">
        <f>CHOOSE(CONTROL!$C$42, 21.0154, 21.0154) * CHOOSE(CONTROL!$C$21, $C$9, 100%, $E$9)</f>
        <v>21.0154</v>
      </c>
      <c r="Q452" s="14">
        <f>CHOOSE(CONTROL!$C$42, 21.7678, 21.7678) * CHOOSE(CONTROL!$C$21, $C$9, 100%, $E$9)</f>
        <v>21.767800000000001</v>
      </c>
      <c r="R452" s="14">
        <f>CHOOSE(CONTROL!$C$42, 22.4092, 22.4092) * CHOOSE(CONTROL!$C$21, $C$9, 100%, $E$9)</f>
        <v>22.409199999999998</v>
      </c>
      <c r="S452" s="14">
        <f>CHOOSE(CONTROL!$C$42, 20.5297, 20.5297) * CHOOSE(CONTROL!$C$21, $C$9, 100%, $E$9)</f>
        <v>20.529699999999998</v>
      </c>
      <c r="T45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52" s="57">
        <f>(1000*CHOOSE(CONTROL!$C$42, 695, 695)*CHOOSE(CONTROL!$C$42, 0.5599, 0.5599)*CHOOSE(CONTROL!$C$42, 31, 31))/1000000</f>
        <v>12.063045499999998</v>
      </c>
      <c r="V452" s="57">
        <f>(1000*CHOOSE(CONTROL!$C$42, 500, 500)*CHOOSE(CONTROL!$C$42, 0.275, 0.275)*CHOOSE(CONTROL!$C$42, 31, 31))/1000000</f>
        <v>4.2625000000000002</v>
      </c>
      <c r="W452" s="57">
        <f>(1000*CHOOSE(CONTROL!$C$42, 0.1146, 0.1146)*CHOOSE(CONTROL!$C$42, 121.5, 121.5)*CHOOSE(CONTROL!$C$42, 31, 31))/1000000</f>
        <v>0.43164089999999994</v>
      </c>
      <c r="X452" s="57">
        <f>(31*0.1790888*245000/1000000)+(31*0.2374*100000/1000000)</f>
        <v>2.0961194359999999</v>
      </c>
      <c r="Y452" s="57"/>
      <c r="Z452" s="14"/>
      <c r="AA452" s="56"/>
      <c r="AB452" s="50">
        <f>(B452*194.205+C452*267.466+D452*133.845+E452*53.484+F452*40+G452*185+H452*0+I452*100+J452*300)/(194.205+267.466+133.845+53.484+0+40+185+100+300)</f>
        <v>21.40912815824176</v>
      </c>
      <c r="AC452" s="45">
        <f>(M452*'RAP TEMPLATE-GAS AVAILABILITY'!O451+N452*'RAP TEMPLATE-GAS AVAILABILITY'!P451+O452*'RAP TEMPLATE-GAS AVAILABILITY'!Q451+P452*'RAP TEMPLATE-GAS AVAILABILITY'!R451)/('RAP TEMPLATE-GAS AVAILABILITY'!O451+'RAP TEMPLATE-GAS AVAILABILITY'!P451+'RAP TEMPLATE-GAS AVAILABILITY'!Q451+'RAP TEMPLATE-GAS AVAILABILITY'!R451)</f>
        <v>21.009022302158275</v>
      </c>
    </row>
    <row r="453" spans="1:29" ht="15.75" x14ac:dyDescent="0.25">
      <c r="A453" s="33">
        <v>54696</v>
      </c>
      <c r="B453" s="14">
        <f>CHOOSE(CONTROL!$C$42, 20.0194, 20.0194) * CHOOSE(CONTROL!$C$21, $C$9, 100%, $E$9)</f>
        <v>20.019400000000001</v>
      </c>
      <c r="C453" s="14">
        <f>CHOOSE(CONTROL!$C$42, 20.0274, 20.0274) * CHOOSE(CONTROL!$C$21, $C$9, 100%, $E$9)</f>
        <v>20.0274</v>
      </c>
      <c r="D453" s="14">
        <f>CHOOSE(CONTROL!$C$42, 20.2313, 20.2313) * CHOOSE(CONTROL!$C$21, $C$9, 100%, $E$9)</f>
        <v>20.231300000000001</v>
      </c>
      <c r="E453" s="14">
        <f>CHOOSE(CONTROL!$C$42, 20.2628, 20.2628) * CHOOSE(CONTROL!$C$21, $C$9, 100%, $E$9)</f>
        <v>20.262799999999999</v>
      </c>
      <c r="F453" s="14">
        <f>CHOOSE(CONTROL!$C$42, 20.0013, 20.0013)*CHOOSE(CONTROL!$C$21, $C$9, 100%, $E$9)</f>
        <v>20.001300000000001</v>
      </c>
      <c r="G453" s="14">
        <f>CHOOSE(CONTROL!$C$42, 20.0172, 20.0172)*CHOOSE(CONTROL!$C$21, $C$9, 100%, $E$9)</f>
        <v>20.017199999999999</v>
      </c>
      <c r="H453" s="14">
        <f>CHOOSE(CONTROL!$C$42, 20.2514, 20.2514) * CHOOSE(CONTROL!$C$21, $C$9, 100%, $E$9)</f>
        <v>20.2514</v>
      </c>
      <c r="I453" s="14">
        <f>CHOOSE(CONTROL!$C$42, 20.0875, 20.0875)* CHOOSE(CONTROL!$C$21, $C$9, 100%, $E$9)</f>
        <v>20.087499999999999</v>
      </c>
      <c r="J453" s="14">
        <f>CHOOSE(CONTROL!$C$42, 19.9943, 19.9943)* CHOOSE(CONTROL!$C$21, $C$9, 100%, $E$9)</f>
        <v>19.994299999999999</v>
      </c>
      <c r="K453" s="53">
        <f>CHOOSE(CONTROL!$C$42, 20.0836, 20.0836) * CHOOSE(CONTROL!$C$21, $C$9, 100%, $E$9)</f>
        <v>20.083600000000001</v>
      </c>
      <c r="L453" s="14">
        <f>CHOOSE(CONTROL!$C$42, 20.8384, 20.8384) * CHOOSE(CONTROL!$C$21, $C$9, 100%, $E$9)</f>
        <v>20.8384</v>
      </c>
      <c r="M453" s="14">
        <f>CHOOSE(CONTROL!$C$42, 19.5923, 19.5923) * CHOOSE(CONTROL!$C$21, $C$9, 100%, $E$9)</f>
        <v>19.592300000000002</v>
      </c>
      <c r="N453" s="14">
        <f>CHOOSE(CONTROL!$C$42, 19.6079, 19.6079) * CHOOSE(CONTROL!$C$21, $C$9, 100%, $E$9)</f>
        <v>19.607900000000001</v>
      </c>
      <c r="O453" s="14">
        <f>CHOOSE(CONTROL!$C$42, 19.8442, 19.8442) * CHOOSE(CONTROL!$C$21, $C$9, 100%, $E$9)</f>
        <v>19.844200000000001</v>
      </c>
      <c r="P453" s="14">
        <f>CHOOSE(CONTROL!$C$42, 19.6824, 19.6824) * CHOOSE(CONTROL!$C$21, $C$9, 100%, $E$9)</f>
        <v>19.682400000000001</v>
      </c>
      <c r="Q453" s="14">
        <f>CHOOSE(CONTROL!$C$42, 20.4389, 20.4389) * CHOOSE(CONTROL!$C$21, $C$9, 100%, $E$9)</f>
        <v>20.4389</v>
      </c>
      <c r="R453" s="14">
        <f>CHOOSE(CONTROL!$C$42, 21.077, 21.077) * CHOOSE(CONTROL!$C$21, $C$9, 100%, $E$9)</f>
        <v>21.077000000000002</v>
      </c>
      <c r="S453" s="14">
        <f>CHOOSE(CONTROL!$C$42, 19.226, 19.226) * CHOOSE(CONTROL!$C$21, $C$9, 100%, $E$9)</f>
        <v>19.225999999999999</v>
      </c>
      <c r="T45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53" s="57">
        <f>(1000*CHOOSE(CONTROL!$C$42, 695, 695)*CHOOSE(CONTROL!$C$42, 0.5599, 0.5599)*CHOOSE(CONTROL!$C$42, 30, 30))/1000000</f>
        <v>11.673914999999997</v>
      </c>
      <c r="V453" s="57">
        <f>(1000*CHOOSE(CONTROL!$C$42, 500, 500)*CHOOSE(CONTROL!$C$42, 0.275, 0.275)*CHOOSE(CONTROL!$C$42, 30, 30))/1000000</f>
        <v>4.125</v>
      </c>
      <c r="W453" s="57">
        <f>(1000*CHOOSE(CONTROL!$C$42, 0.1146, 0.1146)*CHOOSE(CONTROL!$C$42, 121.5, 121.5)*CHOOSE(CONTROL!$C$42, 30, 30))/1000000</f>
        <v>0.417717</v>
      </c>
      <c r="X453" s="57">
        <f>(30*0.1790888*245000/1000000)+(30*0.2374*100000/1000000)</f>
        <v>2.0285026799999999</v>
      </c>
      <c r="Y453" s="57"/>
      <c r="Z453" s="14"/>
      <c r="AA453" s="56"/>
      <c r="AB453" s="50">
        <f>(B453*194.205+C453*267.466+D453*133.845+E453*53.484+F453*40+G453*185+H453*0+I453*100+J453*300)/(194.205+267.466+133.845+53.484+0+40+185+100+300)</f>
        <v>20.052106820329669</v>
      </c>
      <c r="AC453" s="45">
        <f>(M453*'RAP TEMPLATE-GAS AVAILABILITY'!O452+N453*'RAP TEMPLATE-GAS AVAILABILITY'!P452+O453*'RAP TEMPLATE-GAS AVAILABILITY'!Q452+P453*'RAP TEMPLATE-GAS AVAILABILITY'!R452)/('RAP TEMPLATE-GAS AVAILABILITY'!O452+'RAP TEMPLATE-GAS AVAILABILITY'!P452+'RAP TEMPLATE-GAS AVAILABILITY'!Q452+'RAP TEMPLATE-GAS AVAILABILITY'!R452)</f>
        <v>19.67953237410072</v>
      </c>
    </row>
    <row r="454" spans="1:29" ht="15.75" x14ac:dyDescent="0.25">
      <c r="A454" s="33">
        <v>54727</v>
      </c>
      <c r="B454" s="14">
        <f>CHOOSE(CONTROL!$C$42, 19.6114, 19.6114) * CHOOSE(CONTROL!$C$21, $C$9, 100%, $E$9)</f>
        <v>19.6114</v>
      </c>
      <c r="C454" s="14">
        <f>CHOOSE(CONTROL!$C$42, 19.6167, 19.6167) * CHOOSE(CONTROL!$C$21, $C$9, 100%, $E$9)</f>
        <v>19.616700000000002</v>
      </c>
      <c r="D454" s="14">
        <f>CHOOSE(CONTROL!$C$42, 19.8256, 19.8256) * CHOOSE(CONTROL!$C$21, $C$9, 100%, $E$9)</f>
        <v>19.825600000000001</v>
      </c>
      <c r="E454" s="14">
        <f>CHOOSE(CONTROL!$C$42, 19.8547, 19.8547) * CHOOSE(CONTROL!$C$21, $C$9, 100%, $E$9)</f>
        <v>19.854700000000001</v>
      </c>
      <c r="F454" s="14">
        <f>CHOOSE(CONTROL!$C$42, 19.5953, 19.5953)*CHOOSE(CONTROL!$C$21, $C$9, 100%, $E$9)</f>
        <v>19.595300000000002</v>
      </c>
      <c r="G454" s="14">
        <f>CHOOSE(CONTROL!$C$42, 19.611, 19.611)*CHOOSE(CONTROL!$C$21, $C$9, 100%, $E$9)</f>
        <v>19.611000000000001</v>
      </c>
      <c r="H454" s="14">
        <f>CHOOSE(CONTROL!$C$42, 19.8452, 19.8452) * CHOOSE(CONTROL!$C$21, $C$9, 100%, $E$9)</f>
        <v>19.845199999999998</v>
      </c>
      <c r="I454" s="14">
        <f>CHOOSE(CONTROL!$C$42, 19.68, 19.68)* CHOOSE(CONTROL!$C$21, $C$9, 100%, $E$9)</f>
        <v>19.68</v>
      </c>
      <c r="J454" s="14">
        <f>CHOOSE(CONTROL!$C$42, 19.5883, 19.5883)* CHOOSE(CONTROL!$C$21, $C$9, 100%, $E$9)</f>
        <v>19.5883</v>
      </c>
      <c r="K454" s="53">
        <f>CHOOSE(CONTROL!$C$42, 19.6761, 19.6761) * CHOOSE(CONTROL!$C$21, $C$9, 100%, $E$9)</f>
        <v>19.676100000000002</v>
      </c>
      <c r="L454" s="14">
        <f>CHOOSE(CONTROL!$C$42, 20.4322, 20.4322) * CHOOSE(CONTROL!$C$21, $C$9, 100%, $E$9)</f>
        <v>20.432200000000002</v>
      </c>
      <c r="M454" s="14">
        <f>CHOOSE(CONTROL!$C$42, 19.1947, 19.1947) * CHOOSE(CONTROL!$C$21, $C$9, 100%, $E$9)</f>
        <v>19.194700000000001</v>
      </c>
      <c r="N454" s="14">
        <f>CHOOSE(CONTROL!$C$42, 19.21, 19.21) * CHOOSE(CONTROL!$C$21, $C$9, 100%, $E$9)</f>
        <v>19.21</v>
      </c>
      <c r="O454" s="14">
        <f>CHOOSE(CONTROL!$C$42, 19.4463, 19.4463) * CHOOSE(CONTROL!$C$21, $C$9, 100%, $E$9)</f>
        <v>19.446300000000001</v>
      </c>
      <c r="P454" s="14">
        <f>CHOOSE(CONTROL!$C$42, 19.2833, 19.2833) * CHOOSE(CONTROL!$C$21, $C$9, 100%, $E$9)</f>
        <v>19.283300000000001</v>
      </c>
      <c r="Q454" s="14">
        <f>CHOOSE(CONTROL!$C$42, 20.041, 20.041) * CHOOSE(CONTROL!$C$21, $C$9, 100%, $E$9)</f>
        <v>20.041</v>
      </c>
      <c r="R454" s="14">
        <f>CHOOSE(CONTROL!$C$42, 20.6781, 20.6781) * CHOOSE(CONTROL!$C$21, $C$9, 100%, $E$9)</f>
        <v>20.678100000000001</v>
      </c>
      <c r="S454" s="14">
        <f>CHOOSE(CONTROL!$C$42, 18.8356, 18.8356) * CHOOSE(CONTROL!$C$21, $C$9, 100%, $E$9)</f>
        <v>18.835599999999999</v>
      </c>
      <c r="T45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54" s="57">
        <f>(1000*CHOOSE(CONTROL!$C$42, 695, 695)*CHOOSE(CONTROL!$C$42, 0.5599, 0.5599)*CHOOSE(CONTROL!$C$42, 31, 31))/1000000</f>
        <v>12.063045499999998</v>
      </c>
      <c r="V454" s="57">
        <f>(1000*CHOOSE(CONTROL!$C$42, 500, 500)*CHOOSE(CONTROL!$C$42, 0.275, 0.275)*CHOOSE(CONTROL!$C$42, 31, 31))/1000000</f>
        <v>4.2625000000000002</v>
      </c>
      <c r="W454" s="57">
        <f>(1000*CHOOSE(CONTROL!$C$42, 0.1146, 0.1146)*CHOOSE(CONTROL!$C$42, 121.5, 121.5)*CHOOSE(CONTROL!$C$42, 31, 31))/1000000</f>
        <v>0.43164089999999994</v>
      </c>
      <c r="X454" s="57">
        <f>(31*0.1790888*245000/1000000)+(31*0.2374*100000/1000000)</f>
        <v>2.0961194359999999</v>
      </c>
      <c r="Y454" s="57"/>
      <c r="Z454" s="14"/>
      <c r="AA454" s="56"/>
      <c r="AB454" s="50">
        <f>(B454*131.881+C454*277.167+D454*79.08+E454*125.872+F454*40+G454*185+H454*0+I454*100+J454*300)/(131.881+277.167+79.08+125.872+0+40+185+100+300)</f>
        <v>19.650338320177564</v>
      </c>
      <c r="AC454" s="45">
        <f>(M454*'RAP TEMPLATE-GAS AVAILABILITY'!O453+N454*'RAP TEMPLATE-GAS AVAILABILITY'!P453+O454*'RAP TEMPLATE-GAS AVAILABILITY'!Q453+P454*'RAP TEMPLATE-GAS AVAILABILITY'!R453)/('RAP TEMPLATE-GAS AVAILABILITY'!O453+'RAP TEMPLATE-GAS AVAILABILITY'!P453+'RAP TEMPLATE-GAS AVAILABILITY'!Q453+'RAP TEMPLATE-GAS AVAILABILITY'!R453)</f>
        <v>19.281563309352521</v>
      </c>
    </row>
    <row r="455" spans="1:29" ht="15.75" x14ac:dyDescent="0.25">
      <c r="A455" s="33">
        <v>54757</v>
      </c>
      <c r="B455" s="14">
        <f>CHOOSE(CONTROL!$C$42, 20.1273, 20.1273) * CHOOSE(CONTROL!$C$21, $C$9, 100%, $E$9)</f>
        <v>20.127300000000002</v>
      </c>
      <c r="C455" s="14">
        <f>CHOOSE(CONTROL!$C$42, 20.1324, 20.1324) * CHOOSE(CONTROL!$C$21, $C$9, 100%, $E$9)</f>
        <v>20.132400000000001</v>
      </c>
      <c r="D455" s="14">
        <f>CHOOSE(CONTROL!$C$42, 20.1962, 20.1962) * CHOOSE(CONTROL!$C$21, $C$9, 100%, $E$9)</f>
        <v>20.196200000000001</v>
      </c>
      <c r="E455" s="14">
        <f>CHOOSE(CONTROL!$C$42, 20.2303, 20.2303) * CHOOSE(CONTROL!$C$21, $C$9, 100%, $E$9)</f>
        <v>20.2303</v>
      </c>
      <c r="F455" s="14">
        <f>CHOOSE(CONTROL!$C$42, 20.1297, 20.1297)*CHOOSE(CONTROL!$C$21, $C$9, 100%, $E$9)</f>
        <v>20.1297</v>
      </c>
      <c r="G455" s="14">
        <f>CHOOSE(CONTROL!$C$42, 20.1457, 20.1457)*CHOOSE(CONTROL!$C$21, $C$9, 100%, $E$9)</f>
        <v>20.145700000000001</v>
      </c>
      <c r="H455" s="14">
        <f>CHOOSE(CONTROL!$C$42, 20.2195, 20.2195) * CHOOSE(CONTROL!$C$21, $C$9, 100%, $E$9)</f>
        <v>20.2195</v>
      </c>
      <c r="I455" s="14">
        <f>CHOOSE(CONTROL!$C$42, 20.2032, 20.2032)* CHOOSE(CONTROL!$C$21, $C$9, 100%, $E$9)</f>
        <v>20.203199999999999</v>
      </c>
      <c r="J455" s="14">
        <f>CHOOSE(CONTROL!$C$42, 20.1227, 20.1227)* CHOOSE(CONTROL!$C$21, $C$9, 100%, $E$9)</f>
        <v>20.122699999999998</v>
      </c>
      <c r="K455" s="53">
        <f>CHOOSE(CONTROL!$C$42, 20.1993, 20.1993) * CHOOSE(CONTROL!$C$21, $C$9, 100%, $E$9)</f>
        <v>20.199300000000001</v>
      </c>
      <c r="L455" s="14">
        <f>CHOOSE(CONTROL!$C$42, 20.8065, 20.8065) * CHOOSE(CONTROL!$C$21, $C$9, 100%, $E$9)</f>
        <v>20.8065</v>
      </c>
      <c r="M455" s="14">
        <f>CHOOSE(CONTROL!$C$42, 19.7181, 19.7181) * CHOOSE(CONTROL!$C$21, $C$9, 100%, $E$9)</f>
        <v>19.7181</v>
      </c>
      <c r="N455" s="14">
        <f>CHOOSE(CONTROL!$C$42, 19.7338, 19.7338) * CHOOSE(CONTROL!$C$21, $C$9, 100%, $E$9)</f>
        <v>19.733799999999999</v>
      </c>
      <c r="O455" s="14">
        <f>CHOOSE(CONTROL!$C$42, 19.8129, 19.8129) * CHOOSE(CONTROL!$C$21, $C$9, 100%, $E$9)</f>
        <v>19.812899999999999</v>
      </c>
      <c r="P455" s="14">
        <f>CHOOSE(CONTROL!$C$42, 19.7958, 19.7958) * CHOOSE(CONTROL!$C$21, $C$9, 100%, $E$9)</f>
        <v>19.7958</v>
      </c>
      <c r="Q455" s="14">
        <f>CHOOSE(CONTROL!$C$42, 20.4076, 20.4076) * CHOOSE(CONTROL!$C$21, $C$9, 100%, $E$9)</f>
        <v>20.407599999999999</v>
      </c>
      <c r="R455" s="14">
        <f>CHOOSE(CONTROL!$C$42, 21.0456, 21.0456) * CHOOSE(CONTROL!$C$21, $C$9, 100%, $E$9)</f>
        <v>21.0456</v>
      </c>
      <c r="S455" s="14">
        <f>CHOOSE(CONTROL!$C$42, 19.3318, 19.3318) * CHOOSE(CONTROL!$C$21, $C$9, 100%, $E$9)</f>
        <v>19.331800000000001</v>
      </c>
      <c r="T45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55" s="57">
        <f>(1000*CHOOSE(CONTROL!$C$42, 695, 695)*CHOOSE(CONTROL!$C$42, 0.5599, 0.5599)*CHOOSE(CONTROL!$C$42, 30, 30))/1000000</f>
        <v>11.673914999999997</v>
      </c>
      <c r="V455" s="57">
        <f>(1000*CHOOSE(CONTROL!$C$42, 500, 500)*CHOOSE(CONTROL!$C$42, 0.275, 0.275)*CHOOSE(CONTROL!$C$42, 30, 30))/1000000</f>
        <v>4.125</v>
      </c>
      <c r="W455" s="57">
        <f>(1000*CHOOSE(CONTROL!$C$42, 0.1146, 0.1146)*CHOOSE(CONTROL!$C$42, 121.5, 121.5)*CHOOSE(CONTROL!$C$42, 30, 30))/1000000</f>
        <v>0.417717</v>
      </c>
      <c r="X455" s="57">
        <f>(30*0.1790888*100000/1000000)+(30*0.2374*100000/1000000)</f>
        <v>1.2494664</v>
      </c>
      <c r="Y455" s="57"/>
      <c r="Z455" s="14"/>
      <c r="AA455" s="56"/>
      <c r="AB455" s="50">
        <f>(B455*122.58+C455*297.941+D455*89.177+E455*40.302+F455*40+G455*160+H455*0+I455*100+J455*300)/(122.58+297.941+89.177+40.302+0+40+160+100+300)</f>
        <v>20.145617304695651</v>
      </c>
      <c r="AC455" s="45">
        <f>(M455*'RAP TEMPLATE-GAS AVAILABILITY'!O454+N455*'RAP TEMPLATE-GAS AVAILABILITY'!P454+O455*'RAP TEMPLATE-GAS AVAILABILITY'!Q454+P455*'RAP TEMPLATE-GAS AVAILABILITY'!R454)/('RAP TEMPLATE-GAS AVAILABILITY'!O454+'RAP TEMPLATE-GAS AVAILABILITY'!P454+'RAP TEMPLATE-GAS AVAILABILITY'!Q454+'RAP TEMPLATE-GAS AVAILABILITY'!R454)</f>
        <v>19.773150359712229</v>
      </c>
    </row>
    <row r="456" spans="1:29" ht="15.75" x14ac:dyDescent="0.25">
      <c r="A456" s="33">
        <v>54788</v>
      </c>
      <c r="B456" s="14">
        <f>CHOOSE(CONTROL!$C$42, 21.4989, 21.4989) * CHOOSE(CONTROL!$C$21, $C$9, 100%, $E$9)</f>
        <v>21.498899999999999</v>
      </c>
      <c r="C456" s="14">
        <f>CHOOSE(CONTROL!$C$42, 21.504, 21.504) * CHOOSE(CONTROL!$C$21, $C$9, 100%, $E$9)</f>
        <v>21.504000000000001</v>
      </c>
      <c r="D456" s="14">
        <f>CHOOSE(CONTROL!$C$42, 21.5678, 21.5678) * CHOOSE(CONTROL!$C$21, $C$9, 100%, $E$9)</f>
        <v>21.567799999999998</v>
      </c>
      <c r="E456" s="14">
        <f>CHOOSE(CONTROL!$C$42, 21.6019, 21.6019) * CHOOSE(CONTROL!$C$21, $C$9, 100%, $E$9)</f>
        <v>21.601900000000001</v>
      </c>
      <c r="F456" s="14">
        <f>CHOOSE(CONTROL!$C$42, 21.5036, 21.5036)*CHOOSE(CONTROL!$C$21, $C$9, 100%, $E$9)</f>
        <v>21.503599999999999</v>
      </c>
      <c r="G456" s="14">
        <f>CHOOSE(CONTROL!$C$42, 21.5202, 21.5202)*CHOOSE(CONTROL!$C$21, $C$9, 100%, $E$9)</f>
        <v>21.520199999999999</v>
      </c>
      <c r="H456" s="14">
        <f>CHOOSE(CONTROL!$C$42, 21.5911, 21.5911) * CHOOSE(CONTROL!$C$21, $C$9, 100%, $E$9)</f>
        <v>21.591100000000001</v>
      </c>
      <c r="I456" s="14">
        <f>CHOOSE(CONTROL!$C$42, 21.5791, 21.5791)* CHOOSE(CONTROL!$C$21, $C$9, 100%, $E$9)</f>
        <v>21.5791</v>
      </c>
      <c r="J456" s="14">
        <f>CHOOSE(CONTROL!$C$42, 21.4966, 21.4966)* CHOOSE(CONTROL!$C$21, $C$9, 100%, $E$9)</f>
        <v>21.496600000000001</v>
      </c>
      <c r="K456" s="53">
        <f>CHOOSE(CONTROL!$C$42, 21.5752, 21.5752) * CHOOSE(CONTROL!$C$21, $C$9, 100%, $E$9)</f>
        <v>21.575199999999999</v>
      </c>
      <c r="L456" s="14">
        <f>CHOOSE(CONTROL!$C$42, 22.1781, 22.1781) * CHOOSE(CONTROL!$C$21, $C$9, 100%, $E$9)</f>
        <v>22.178100000000001</v>
      </c>
      <c r="M456" s="14">
        <f>CHOOSE(CONTROL!$C$42, 21.0638, 21.0638) * CHOOSE(CONTROL!$C$21, $C$9, 100%, $E$9)</f>
        <v>21.063800000000001</v>
      </c>
      <c r="N456" s="14">
        <f>CHOOSE(CONTROL!$C$42, 21.0801, 21.0801) * CHOOSE(CONTROL!$C$21, $C$9, 100%, $E$9)</f>
        <v>21.080100000000002</v>
      </c>
      <c r="O456" s="14">
        <f>CHOOSE(CONTROL!$C$42, 21.1564, 21.1564) * CHOOSE(CONTROL!$C$21, $C$9, 100%, $E$9)</f>
        <v>21.156400000000001</v>
      </c>
      <c r="P456" s="14">
        <f>CHOOSE(CONTROL!$C$42, 21.1434, 21.1434) * CHOOSE(CONTROL!$C$21, $C$9, 100%, $E$9)</f>
        <v>21.1434</v>
      </c>
      <c r="Q456" s="14">
        <f>CHOOSE(CONTROL!$C$42, 21.7511, 21.7511) * CHOOSE(CONTROL!$C$21, $C$9, 100%, $E$9)</f>
        <v>21.751100000000001</v>
      </c>
      <c r="R456" s="14">
        <f>CHOOSE(CONTROL!$C$42, 22.3925, 22.3925) * CHOOSE(CONTROL!$C$21, $C$9, 100%, $E$9)</f>
        <v>22.392499999999998</v>
      </c>
      <c r="S456" s="14">
        <f>CHOOSE(CONTROL!$C$42, 20.6498, 20.6498) * CHOOSE(CONTROL!$C$21, $C$9, 100%, $E$9)</f>
        <v>20.649799999999999</v>
      </c>
      <c r="T45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56" s="57">
        <f>(1000*CHOOSE(CONTROL!$C$42, 695, 695)*CHOOSE(CONTROL!$C$42, 0.5599, 0.5599)*CHOOSE(CONTROL!$C$42, 31, 31))/1000000</f>
        <v>12.063045499999998</v>
      </c>
      <c r="V456" s="57">
        <f>(1000*CHOOSE(CONTROL!$C$42, 500, 500)*CHOOSE(CONTROL!$C$42, 0.275, 0.275)*CHOOSE(CONTROL!$C$42, 31, 31))/1000000</f>
        <v>4.2625000000000002</v>
      </c>
      <c r="W456" s="57">
        <f>(1000*CHOOSE(CONTROL!$C$42, 0.1146, 0.1146)*CHOOSE(CONTROL!$C$42, 121.5, 121.5)*CHOOSE(CONTROL!$C$42, 31, 31))/1000000</f>
        <v>0.43164089999999994</v>
      </c>
      <c r="X456" s="57">
        <f>(31*0.1790888*100000/1000000)+(31*0.2374*100000/1000000)</f>
        <v>1.2911152800000001</v>
      </c>
      <c r="Y456" s="57"/>
      <c r="Z456" s="14"/>
      <c r="AA456" s="56"/>
      <c r="AB456" s="50">
        <f>(B456*122.58+C456*297.941+D456*89.177+E456*40.302+F456*40+G456*160+H456*0+I456*100+J456*300)/(122.58+297.941+89.177+40.302+0+40+160+100+300)</f>
        <v>21.518674696000001</v>
      </c>
      <c r="AC456" s="45">
        <f>(M456*'RAP TEMPLATE-GAS AVAILABILITY'!O455+N456*'RAP TEMPLATE-GAS AVAILABILITY'!P455+O456*'RAP TEMPLATE-GAS AVAILABILITY'!Q455+P456*'RAP TEMPLATE-GAS AVAILABILITY'!R455)/('RAP TEMPLATE-GAS AVAILABILITY'!O455+'RAP TEMPLATE-GAS AVAILABILITY'!P455+'RAP TEMPLATE-GAS AVAILABILITY'!Q455+'RAP TEMPLATE-GAS AVAILABILITY'!R455)</f>
        <v>21.118161151079136</v>
      </c>
    </row>
    <row r="457" spans="1:29" ht="15.75" x14ac:dyDescent="0.25">
      <c r="A457" s="33">
        <v>54819</v>
      </c>
      <c r="B457" s="14">
        <f>CHOOSE(CONTROL!$C$42, 23.2592, 23.2592) * CHOOSE(CONTROL!$C$21, $C$9, 100%, $E$9)</f>
        <v>23.2592</v>
      </c>
      <c r="C457" s="14">
        <f>CHOOSE(CONTROL!$C$42, 23.2643, 23.2643) * CHOOSE(CONTROL!$C$21, $C$9, 100%, $E$9)</f>
        <v>23.264299999999999</v>
      </c>
      <c r="D457" s="14">
        <f>CHOOSE(CONTROL!$C$42, 23.3307, 23.3307) * CHOOSE(CONTROL!$C$21, $C$9, 100%, $E$9)</f>
        <v>23.3307</v>
      </c>
      <c r="E457" s="14">
        <f>CHOOSE(CONTROL!$C$42, 23.3648, 23.3648) * CHOOSE(CONTROL!$C$21, $C$9, 100%, $E$9)</f>
        <v>23.364799999999999</v>
      </c>
      <c r="F457" s="14">
        <f>CHOOSE(CONTROL!$C$42, 23.2465, 23.2465)*CHOOSE(CONTROL!$C$21, $C$9, 100%, $E$9)</f>
        <v>23.246500000000001</v>
      </c>
      <c r="G457" s="14">
        <f>CHOOSE(CONTROL!$C$42, 23.262, 23.262)*CHOOSE(CONTROL!$C$21, $C$9, 100%, $E$9)</f>
        <v>23.262</v>
      </c>
      <c r="H457" s="14">
        <f>CHOOSE(CONTROL!$C$42, 23.354, 23.354) * CHOOSE(CONTROL!$C$21, $C$9, 100%, $E$9)</f>
        <v>23.353999999999999</v>
      </c>
      <c r="I457" s="14">
        <f>CHOOSE(CONTROL!$C$42, 23.3397, 23.3397)* CHOOSE(CONTROL!$C$21, $C$9, 100%, $E$9)</f>
        <v>23.339700000000001</v>
      </c>
      <c r="J457" s="14">
        <f>CHOOSE(CONTROL!$C$42, 23.2395, 23.2395)* CHOOSE(CONTROL!$C$21, $C$9, 100%, $E$9)</f>
        <v>23.2395</v>
      </c>
      <c r="K457" s="53">
        <f>CHOOSE(CONTROL!$C$42, 23.3358, 23.3358) * CHOOSE(CONTROL!$C$21, $C$9, 100%, $E$9)</f>
        <v>23.335799999999999</v>
      </c>
      <c r="L457" s="14">
        <f>CHOOSE(CONTROL!$C$42, 23.941, 23.941) * CHOOSE(CONTROL!$C$21, $C$9, 100%, $E$9)</f>
        <v>23.940999999999999</v>
      </c>
      <c r="M457" s="14">
        <f>CHOOSE(CONTROL!$C$42, 22.7711, 22.7711) * CHOOSE(CONTROL!$C$21, $C$9, 100%, $E$9)</f>
        <v>22.771100000000001</v>
      </c>
      <c r="N457" s="14">
        <f>CHOOSE(CONTROL!$C$42, 22.7862, 22.7862) * CHOOSE(CONTROL!$C$21, $C$9, 100%, $E$9)</f>
        <v>22.786200000000001</v>
      </c>
      <c r="O457" s="14">
        <f>CHOOSE(CONTROL!$C$42, 22.8832, 22.8832) * CHOOSE(CONTROL!$C$21, $C$9, 100%, $E$9)</f>
        <v>22.883199999999999</v>
      </c>
      <c r="P457" s="14">
        <f>CHOOSE(CONTROL!$C$42, 22.8678, 22.8678) * CHOOSE(CONTROL!$C$21, $C$9, 100%, $E$9)</f>
        <v>22.867799999999999</v>
      </c>
      <c r="Q457" s="14">
        <f>CHOOSE(CONTROL!$C$42, 23.4779, 23.4779) * CHOOSE(CONTROL!$C$21, $C$9, 100%, $E$9)</f>
        <v>23.477900000000002</v>
      </c>
      <c r="R457" s="14">
        <f>CHOOSE(CONTROL!$C$42, 24.1236, 24.1236) * CHOOSE(CONTROL!$C$21, $C$9, 100%, $E$9)</f>
        <v>24.1236</v>
      </c>
      <c r="S457" s="14">
        <f>CHOOSE(CONTROL!$C$42, 22.3412, 22.3412) * CHOOSE(CONTROL!$C$21, $C$9, 100%, $E$9)</f>
        <v>22.341200000000001</v>
      </c>
      <c r="T45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57" s="57">
        <f>(1000*CHOOSE(CONTROL!$C$42, 695, 695)*CHOOSE(CONTROL!$C$42, 0.5599, 0.5599)*CHOOSE(CONTROL!$C$42, 31, 31))/1000000</f>
        <v>12.063045499999998</v>
      </c>
      <c r="V457" s="57">
        <f>(1000*CHOOSE(CONTROL!$C$42, 500, 500)*CHOOSE(CONTROL!$C$42, 0.275, 0.275)*CHOOSE(CONTROL!$C$42, 31, 31))/1000000</f>
        <v>4.2625000000000002</v>
      </c>
      <c r="W457" s="57">
        <f>(1000*CHOOSE(CONTROL!$C$42, 0.1146, 0.1146)*CHOOSE(CONTROL!$C$42, 121.5, 121.5)*CHOOSE(CONTROL!$C$42, 31, 31))/1000000</f>
        <v>0.43164089999999994</v>
      </c>
      <c r="X457" s="57">
        <f>(31*0.1790888*100000/1000000)+(31*0.2374*100000/1000000)</f>
        <v>1.2911152800000001</v>
      </c>
      <c r="Y457" s="57"/>
      <c r="Z457" s="14"/>
      <c r="AA457" s="56"/>
      <c r="AB457" s="50">
        <f>(B457*122.58+C457*297.941+D457*89.177+E457*40.302+F457*40+G457*160+H457*0+I457*100+J457*300)/(122.58+297.941+89.177+40.302+0+40+160+100+300)</f>
        <v>23.271575257217389</v>
      </c>
      <c r="AC457" s="45">
        <f>(M457*'RAP TEMPLATE-GAS AVAILABILITY'!O456+N457*'RAP TEMPLATE-GAS AVAILABILITY'!P456+O457*'RAP TEMPLATE-GAS AVAILABILITY'!Q456+P457*'RAP TEMPLATE-GAS AVAILABILITY'!R456)/('RAP TEMPLATE-GAS AVAILABILITY'!O456+'RAP TEMPLATE-GAS AVAILABILITY'!P456+'RAP TEMPLATE-GAS AVAILABILITY'!Q456+'RAP TEMPLATE-GAS AVAILABILITY'!R456)</f>
        <v>22.836690647482015</v>
      </c>
    </row>
    <row r="458" spans="1:29" ht="15.75" x14ac:dyDescent="0.25">
      <c r="A458" s="33">
        <v>54847</v>
      </c>
      <c r="B458" s="14">
        <f>CHOOSE(CONTROL!$C$42, 23.6731, 23.6731) * CHOOSE(CONTROL!$C$21, $C$9, 100%, $E$9)</f>
        <v>23.673100000000002</v>
      </c>
      <c r="C458" s="14">
        <f>CHOOSE(CONTROL!$C$42, 23.6782, 23.6782) * CHOOSE(CONTROL!$C$21, $C$9, 100%, $E$9)</f>
        <v>23.6782</v>
      </c>
      <c r="D458" s="14">
        <f>CHOOSE(CONTROL!$C$42, 23.7446, 23.7446) * CHOOSE(CONTROL!$C$21, $C$9, 100%, $E$9)</f>
        <v>23.744599999999998</v>
      </c>
      <c r="E458" s="14">
        <f>CHOOSE(CONTROL!$C$42, 23.7787, 23.7787) * CHOOSE(CONTROL!$C$21, $C$9, 100%, $E$9)</f>
        <v>23.778700000000001</v>
      </c>
      <c r="F458" s="14">
        <f>CHOOSE(CONTROL!$C$42, 23.6605, 23.6605)*CHOOSE(CONTROL!$C$21, $C$9, 100%, $E$9)</f>
        <v>23.660499999999999</v>
      </c>
      <c r="G458" s="14">
        <f>CHOOSE(CONTROL!$C$42, 23.676, 23.676)*CHOOSE(CONTROL!$C$21, $C$9, 100%, $E$9)</f>
        <v>23.675999999999998</v>
      </c>
      <c r="H458" s="14">
        <f>CHOOSE(CONTROL!$C$42, 23.7679, 23.7679) * CHOOSE(CONTROL!$C$21, $C$9, 100%, $E$9)</f>
        <v>23.767900000000001</v>
      </c>
      <c r="I458" s="14">
        <f>CHOOSE(CONTROL!$C$42, 23.7549, 23.7549)* CHOOSE(CONTROL!$C$21, $C$9, 100%, $E$9)</f>
        <v>23.754899999999999</v>
      </c>
      <c r="J458" s="14">
        <f>CHOOSE(CONTROL!$C$42, 23.6535, 23.6535)* CHOOSE(CONTROL!$C$21, $C$9, 100%, $E$9)</f>
        <v>23.653500000000001</v>
      </c>
      <c r="K458" s="53">
        <f>CHOOSE(CONTROL!$C$42, 23.751, 23.751) * CHOOSE(CONTROL!$C$21, $C$9, 100%, $E$9)</f>
        <v>23.751000000000001</v>
      </c>
      <c r="L458" s="14">
        <f>CHOOSE(CONTROL!$C$42, 24.3549, 24.3549) * CHOOSE(CONTROL!$C$21, $C$9, 100%, $E$9)</f>
        <v>24.354900000000001</v>
      </c>
      <c r="M458" s="14">
        <f>CHOOSE(CONTROL!$C$42, 23.1766, 23.1766) * CHOOSE(CONTROL!$C$21, $C$9, 100%, $E$9)</f>
        <v>23.176600000000001</v>
      </c>
      <c r="N458" s="14">
        <f>CHOOSE(CONTROL!$C$42, 23.1917, 23.1917) * CHOOSE(CONTROL!$C$21, $C$9, 100%, $E$9)</f>
        <v>23.191700000000001</v>
      </c>
      <c r="O458" s="14">
        <f>CHOOSE(CONTROL!$C$42, 23.2886, 23.2886) * CHOOSE(CONTROL!$C$21, $C$9, 100%, $E$9)</f>
        <v>23.288599999999999</v>
      </c>
      <c r="P458" s="14">
        <f>CHOOSE(CONTROL!$C$42, 23.2744, 23.2744) * CHOOSE(CONTROL!$C$21, $C$9, 100%, $E$9)</f>
        <v>23.2744</v>
      </c>
      <c r="Q458" s="14">
        <f>CHOOSE(CONTROL!$C$42, 23.8833, 23.8833) * CHOOSE(CONTROL!$C$21, $C$9, 100%, $E$9)</f>
        <v>23.883299999999998</v>
      </c>
      <c r="R458" s="14">
        <f>CHOOSE(CONTROL!$C$42, 24.53, 24.53) * CHOOSE(CONTROL!$C$21, $C$9, 100%, $E$9)</f>
        <v>24.53</v>
      </c>
      <c r="S458" s="14">
        <f>CHOOSE(CONTROL!$C$42, 22.7389, 22.7389) * CHOOSE(CONTROL!$C$21, $C$9, 100%, $E$9)</f>
        <v>22.738900000000001</v>
      </c>
      <c r="T45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58" s="57">
        <f>(1000*CHOOSE(CONTROL!$C$42, 695, 695)*CHOOSE(CONTROL!$C$42, 0.5599, 0.5599)*CHOOSE(CONTROL!$C$42, 28, 28))/1000000</f>
        <v>10.895653999999999</v>
      </c>
      <c r="V458" s="57">
        <f>(1000*CHOOSE(CONTROL!$C$42, 500, 500)*CHOOSE(CONTROL!$C$42, 0.275, 0.275)*CHOOSE(CONTROL!$C$42, 28, 28))/1000000</f>
        <v>3.85</v>
      </c>
      <c r="W458" s="57">
        <f>(1000*CHOOSE(CONTROL!$C$42, 0.1146, 0.1146)*CHOOSE(CONTROL!$C$42, 121.5, 121.5)*CHOOSE(CONTROL!$C$42, 28, 28))/1000000</f>
        <v>0.38986920000000003</v>
      </c>
      <c r="X458" s="57">
        <f>(28*0.1790888*100000/1000000)+(28*0.2374*100000/1000000)</f>
        <v>1.16616864</v>
      </c>
      <c r="Y458" s="57"/>
      <c r="Z458" s="14"/>
      <c r="AA458" s="56"/>
      <c r="AB458" s="50">
        <f>(B458*122.58+C458*297.941+D458*89.177+E458*40.302+F458*40+G458*160+H458*0+I458*100+J458*300)/(122.58+297.941+89.177+40.302+0+40+160+100+300)</f>
        <v>23.685631778956523</v>
      </c>
      <c r="AC458" s="45">
        <f>(M458*'RAP TEMPLATE-GAS AVAILABILITY'!O457+N458*'RAP TEMPLATE-GAS AVAILABILITY'!P457+O458*'RAP TEMPLATE-GAS AVAILABILITY'!Q457+P458*'RAP TEMPLATE-GAS AVAILABILITY'!R457)/('RAP TEMPLATE-GAS AVAILABILITY'!O457+'RAP TEMPLATE-GAS AVAILABILITY'!P457+'RAP TEMPLATE-GAS AVAILABILITY'!Q457+'RAP TEMPLATE-GAS AVAILABILITY'!R457)</f>
        <v>23.242303597122302</v>
      </c>
    </row>
    <row r="459" spans="1:29" ht="15.75" x14ac:dyDescent="0.25">
      <c r="A459" s="33">
        <v>54878</v>
      </c>
      <c r="B459" s="14">
        <f>CHOOSE(CONTROL!$C$42, 23.0013, 23.0013) * CHOOSE(CONTROL!$C$21, $C$9, 100%, $E$9)</f>
        <v>23.001300000000001</v>
      </c>
      <c r="C459" s="14">
        <f>CHOOSE(CONTROL!$C$42, 23.0063, 23.0063) * CHOOSE(CONTROL!$C$21, $C$9, 100%, $E$9)</f>
        <v>23.0063</v>
      </c>
      <c r="D459" s="14">
        <f>CHOOSE(CONTROL!$C$42, 23.0728, 23.0728) * CHOOSE(CONTROL!$C$21, $C$9, 100%, $E$9)</f>
        <v>23.072800000000001</v>
      </c>
      <c r="E459" s="14">
        <f>CHOOSE(CONTROL!$C$42, 23.1069, 23.1069) * CHOOSE(CONTROL!$C$21, $C$9, 100%, $E$9)</f>
        <v>23.1069</v>
      </c>
      <c r="F459" s="14">
        <f>CHOOSE(CONTROL!$C$42, 22.9883, 22.9883)*CHOOSE(CONTROL!$C$21, $C$9, 100%, $E$9)</f>
        <v>22.988299999999999</v>
      </c>
      <c r="G459" s="14">
        <f>CHOOSE(CONTROL!$C$42, 23.0037, 23.0037)*CHOOSE(CONTROL!$C$21, $C$9, 100%, $E$9)</f>
        <v>23.003699999999998</v>
      </c>
      <c r="H459" s="14">
        <f>CHOOSE(CONTROL!$C$42, 23.0961, 23.0961) * CHOOSE(CONTROL!$C$21, $C$9, 100%, $E$9)</f>
        <v>23.0961</v>
      </c>
      <c r="I459" s="14">
        <f>CHOOSE(CONTROL!$C$42, 23.0809, 23.0809)* CHOOSE(CONTROL!$C$21, $C$9, 100%, $E$9)</f>
        <v>23.0809</v>
      </c>
      <c r="J459" s="14">
        <f>CHOOSE(CONTROL!$C$42, 22.9813, 22.9813)* CHOOSE(CONTROL!$C$21, $C$9, 100%, $E$9)</f>
        <v>22.981300000000001</v>
      </c>
      <c r="K459" s="53">
        <f>CHOOSE(CONTROL!$C$42, 23.077, 23.077) * CHOOSE(CONTROL!$C$21, $C$9, 100%, $E$9)</f>
        <v>23.077000000000002</v>
      </c>
      <c r="L459" s="14">
        <f>CHOOSE(CONTROL!$C$42, 23.6831, 23.6831) * CHOOSE(CONTROL!$C$21, $C$9, 100%, $E$9)</f>
        <v>23.6831</v>
      </c>
      <c r="M459" s="14">
        <f>CHOOSE(CONTROL!$C$42, 22.5181, 22.5181) * CHOOSE(CONTROL!$C$21, $C$9, 100%, $E$9)</f>
        <v>22.5181</v>
      </c>
      <c r="N459" s="14">
        <f>CHOOSE(CONTROL!$C$42, 22.5332, 22.5332) * CHOOSE(CONTROL!$C$21, $C$9, 100%, $E$9)</f>
        <v>22.533200000000001</v>
      </c>
      <c r="O459" s="14">
        <f>CHOOSE(CONTROL!$C$42, 22.6305, 22.6305) * CHOOSE(CONTROL!$C$21, $C$9, 100%, $E$9)</f>
        <v>22.630500000000001</v>
      </c>
      <c r="P459" s="14">
        <f>CHOOSE(CONTROL!$C$42, 22.6143, 22.6143) * CHOOSE(CONTROL!$C$21, $C$9, 100%, $E$9)</f>
        <v>22.6143</v>
      </c>
      <c r="Q459" s="14">
        <f>CHOOSE(CONTROL!$C$42, 23.2252, 23.2252) * CHOOSE(CONTROL!$C$21, $C$9, 100%, $E$9)</f>
        <v>23.225200000000001</v>
      </c>
      <c r="R459" s="14">
        <f>CHOOSE(CONTROL!$C$42, 23.8703, 23.8703) * CHOOSE(CONTROL!$C$21, $C$9, 100%, $E$9)</f>
        <v>23.8703</v>
      </c>
      <c r="S459" s="14">
        <f>CHOOSE(CONTROL!$C$42, 22.0934, 22.0934) * CHOOSE(CONTROL!$C$21, $C$9, 100%, $E$9)</f>
        <v>22.093399999999999</v>
      </c>
      <c r="T45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59" s="57">
        <f>(1000*CHOOSE(CONTROL!$C$42, 695, 695)*CHOOSE(CONTROL!$C$42, 0.5599, 0.5599)*CHOOSE(CONTROL!$C$42, 31, 31))/1000000</f>
        <v>12.063045499999998</v>
      </c>
      <c r="V459" s="57">
        <f>(1000*CHOOSE(CONTROL!$C$42, 500, 500)*CHOOSE(CONTROL!$C$42, 0.275, 0.275)*CHOOSE(CONTROL!$C$42, 31, 31))/1000000</f>
        <v>4.2625000000000002</v>
      </c>
      <c r="W459" s="57">
        <f>(1000*CHOOSE(CONTROL!$C$42, 0.1146, 0.1146)*CHOOSE(CONTROL!$C$42, 121.5, 121.5)*CHOOSE(CONTROL!$C$42, 31, 31))/1000000</f>
        <v>0.43164089999999994</v>
      </c>
      <c r="X459" s="57">
        <f>(31*0.1790888*100000/1000000)+(31*0.2374*100000/1000000)</f>
        <v>1.2911152800000001</v>
      </c>
      <c r="Y459" s="57"/>
      <c r="Z459" s="14"/>
      <c r="AA459" s="56"/>
      <c r="AB459" s="50">
        <f>(B459*122.58+C459*297.941+D459*89.177+E459*40.302+F459*40+G459*160+H459*0+I459*100+J459*300)/(122.58+297.941+89.177+40.302+0+40+160+100+300)</f>
        <v>23.013426740608697</v>
      </c>
      <c r="AC459" s="45">
        <f>(M459*'RAP TEMPLATE-GAS AVAILABILITY'!O458+N459*'RAP TEMPLATE-GAS AVAILABILITY'!P458+O459*'RAP TEMPLATE-GAS AVAILABILITY'!Q458+P459*'RAP TEMPLATE-GAS AVAILABILITY'!R458)/('RAP TEMPLATE-GAS AVAILABILITY'!O458+'RAP TEMPLATE-GAS AVAILABILITY'!P458+'RAP TEMPLATE-GAS AVAILABILITY'!Q458+'RAP TEMPLATE-GAS AVAILABILITY'!R458)</f>
        <v>22.583754676258994</v>
      </c>
    </row>
    <row r="460" spans="1:29" ht="15.75" x14ac:dyDescent="0.25">
      <c r="A460" s="33">
        <v>54908</v>
      </c>
      <c r="B460" s="14">
        <f>CHOOSE(CONTROL!$C$42, 22.9336, 22.9336) * CHOOSE(CONTROL!$C$21, $C$9, 100%, $E$9)</f>
        <v>22.933599999999998</v>
      </c>
      <c r="C460" s="14">
        <f>CHOOSE(CONTROL!$C$42, 22.9381, 22.9381) * CHOOSE(CONTROL!$C$21, $C$9, 100%, $E$9)</f>
        <v>22.938099999999999</v>
      </c>
      <c r="D460" s="14">
        <f>CHOOSE(CONTROL!$C$42, 23.1452, 23.1452) * CHOOSE(CONTROL!$C$21, $C$9, 100%, $E$9)</f>
        <v>23.145199999999999</v>
      </c>
      <c r="E460" s="14">
        <f>CHOOSE(CONTROL!$C$42, 23.1773, 23.1773) * CHOOSE(CONTROL!$C$21, $C$9, 100%, $E$9)</f>
        <v>23.177299999999999</v>
      </c>
      <c r="F460" s="14">
        <f>CHOOSE(CONTROL!$C$42, 22.9155, 22.9155)*CHOOSE(CONTROL!$C$21, $C$9, 100%, $E$9)</f>
        <v>22.915500000000002</v>
      </c>
      <c r="G460" s="14">
        <f>CHOOSE(CONTROL!$C$42, 22.9307, 22.9307)*CHOOSE(CONTROL!$C$21, $C$9, 100%, $E$9)</f>
        <v>22.930700000000002</v>
      </c>
      <c r="H460" s="14">
        <f>CHOOSE(CONTROL!$C$42, 23.1671, 23.1671) * CHOOSE(CONTROL!$C$21, $C$9, 100%, $E$9)</f>
        <v>23.167100000000001</v>
      </c>
      <c r="I460" s="14">
        <f>CHOOSE(CONTROL!$C$42, 23.0123, 23.0123)* CHOOSE(CONTROL!$C$21, $C$9, 100%, $E$9)</f>
        <v>23.0123</v>
      </c>
      <c r="J460" s="14">
        <f>CHOOSE(CONTROL!$C$42, 22.9085, 22.9085)* CHOOSE(CONTROL!$C$21, $C$9, 100%, $E$9)</f>
        <v>22.9085</v>
      </c>
      <c r="K460" s="53">
        <f>CHOOSE(CONTROL!$C$42, 23.0084, 23.0084) * CHOOSE(CONTROL!$C$21, $C$9, 100%, $E$9)</f>
        <v>23.008400000000002</v>
      </c>
      <c r="L460" s="14">
        <f>CHOOSE(CONTROL!$C$42, 23.7541, 23.7541) * CHOOSE(CONTROL!$C$21, $C$9, 100%, $E$9)</f>
        <v>23.754100000000001</v>
      </c>
      <c r="M460" s="14">
        <f>CHOOSE(CONTROL!$C$42, 22.4468, 22.4468) * CHOOSE(CONTROL!$C$21, $C$9, 100%, $E$9)</f>
        <v>22.4468</v>
      </c>
      <c r="N460" s="14">
        <f>CHOOSE(CONTROL!$C$42, 22.4617, 22.4617) * CHOOSE(CONTROL!$C$21, $C$9, 100%, $E$9)</f>
        <v>22.4617</v>
      </c>
      <c r="O460" s="14">
        <f>CHOOSE(CONTROL!$C$42, 22.7001, 22.7001) * CHOOSE(CONTROL!$C$21, $C$9, 100%, $E$9)</f>
        <v>22.700099999999999</v>
      </c>
      <c r="P460" s="14">
        <f>CHOOSE(CONTROL!$C$42, 22.5471, 22.5471) * CHOOSE(CONTROL!$C$21, $C$9, 100%, $E$9)</f>
        <v>22.5471</v>
      </c>
      <c r="Q460" s="14">
        <f>CHOOSE(CONTROL!$C$42, 23.2948, 23.2948) * CHOOSE(CONTROL!$C$21, $C$9, 100%, $E$9)</f>
        <v>23.294799999999999</v>
      </c>
      <c r="R460" s="14">
        <f>CHOOSE(CONTROL!$C$42, 23.94, 23.94) * CHOOSE(CONTROL!$C$21, $C$9, 100%, $E$9)</f>
        <v>23.94</v>
      </c>
      <c r="S460" s="14">
        <f>CHOOSE(CONTROL!$C$42, 22.0276, 22.0276) * CHOOSE(CONTROL!$C$21, $C$9, 100%, $E$9)</f>
        <v>22.0276</v>
      </c>
      <c r="T46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60" s="57">
        <f>(1000*CHOOSE(CONTROL!$C$42, 695, 695)*CHOOSE(CONTROL!$C$42, 0.5599, 0.5599)*CHOOSE(CONTROL!$C$42, 30, 30))/1000000</f>
        <v>11.673914999999997</v>
      </c>
      <c r="V460" s="57">
        <f>(1000*CHOOSE(CONTROL!$C$42, 500, 500)*CHOOSE(CONTROL!$C$42, 0.275, 0.275)*CHOOSE(CONTROL!$C$42, 30, 30))/1000000</f>
        <v>4.125</v>
      </c>
      <c r="W460" s="57">
        <f>(1000*CHOOSE(CONTROL!$C$42, 0.1146, 0.1146)*CHOOSE(CONTROL!$C$42, 121.5, 121.5)*CHOOSE(CONTROL!$C$42, 30, 30))/1000000</f>
        <v>0.417717</v>
      </c>
      <c r="X460" s="57">
        <f>(30*0.1790888*245000/1000000)+(30*0.2374*100000/1000000)</f>
        <v>2.0285026799999999</v>
      </c>
      <c r="Y460" s="57"/>
      <c r="Z460" s="14"/>
      <c r="AA460" s="56"/>
      <c r="AB460" s="50">
        <f>(B460*141.293+C460*267.993+D460*115.016+E460*89.698+F460*40+G460*185+H460*0+I460*100+J460*300)/(141.293+267.993+115.016+89.698+0+40+185+100+300)</f>
        <v>22.971115945682001</v>
      </c>
      <c r="AC460" s="45">
        <f>(M460*'RAP TEMPLATE-GAS AVAILABILITY'!O459+N460*'RAP TEMPLATE-GAS AVAILABILITY'!P459+O460*'RAP TEMPLATE-GAS AVAILABILITY'!Q459+P460*'RAP TEMPLATE-GAS AVAILABILITY'!R459)/('RAP TEMPLATE-GAS AVAILABILITY'!O459+'RAP TEMPLATE-GAS AVAILABILITY'!P459+'RAP TEMPLATE-GAS AVAILABILITY'!Q459+'RAP TEMPLATE-GAS AVAILABILITY'!R459)</f>
        <v>22.535731654676255</v>
      </c>
    </row>
    <row r="461" spans="1:29" ht="15.75" x14ac:dyDescent="0.25">
      <c r="A461" s="33">
        <v>54939</v>
      </c>
      <c r="B461" s="14">
        <f>CHOOSE(CONTROL!$C$42, 23.1373, 23.1373) * CHOOSE(CONTROL!$C$21, $C$9, 100%, $E$9)</f>
        <v>23.1373</v>
      </c>
      <c r="C461" s="14">
        <f>CHOOSE(CONTROL!$C$42, 23.1454, 23.1454) * CHOOSE(CONTROL!$C$21, $C$9, 100%, $E$9)</f>
        <v>23.145399999999999</v>
      </c>
      <c r="D461" s="14">
        <f>CHOOSE(CONTROL!$C$42, 23.3493, 23.3493) * CHOOSE(CONTROL!$C$21, $C$9, 100%, $E$9)</f>
        <v>23.349299999999999</v>
      </c>
      <c r="E461" s="14">
        <f>CHOOSE(CONTROL!$C$42, 23.3807, 23.3807) * CHOOSE(CONTROL!$C$21, $C$9, 100%, $E$9)</f>
        <v>23.380700000000001</v>
      </c>
      <c r="F461" s="14">
        <f>CHOOSE(CONTROL!$C$42, 23.1181, 23.1181)*CHOOSE(CONTROL!$C$21, $C$9, 100%, $E$9)</f>
        <v>23.118099999999998</v>
      </c>
      <c r="G461" s="14">
        <f>CHOOSE(CONTROL!$C$42, 23.1337, 23.1337)*CHOOSE(CONTROL!$C$21, $C$9, 100%, $E$9)</f>
        <v>23.133700000000001</v>
      </c>
      <c r="H461" s="14">
        <f>CHOOSE(CONTROL!$C$42, 23.3694, 23.3694) * CHOOSE(CONTROL!$C$21, $C$9, 100%, $E$9)</f>
        <v>23.369399999999999</v>
      </c>
      <c r="I461" s="14">
        <f>CHOOSE(CONTROL!$C$42, 23.2152, 23.2152)* CHOOSE(CONTROL!$C$21, $C$9, 100%, $E$9)</f>
        <v>23.215199999999999</v>
      </c>
      <c r="J461" s="14">
        <f>CHOOSE(CONTROL!$C$42, 23.1111, 23.1111)* CHOOSE(CONTROL!$C$21, $C$9, 100%, $E$9)</f>
        <v>23.1111</v>
      </c>
      <c r="K461" s="53">
        <f>CHOOSE(CONTROL!$C$42, 23.2113, 23.2113) * CHOOSE(CONTROL!$C$21, $C$9, 100%, $E$9)</f>
        <v>23.211300000000001</v>
      </c>
      <c r="L461" s="14">
        <f>CHOOSE(CONTROL!$C$42, 23.9564, 23.9564) * CHOOSE(CONTROL!$C$21, $C$9, 100%, $E$9)</f>
        <v>23.956399999999999</v>
      </c>
      <c r="M461" s="14">
        <f>CHOOSE(CONTROL!$C$42, 22.6452, 22.6452) * CHOOSE(CONTROL!$C$21, $C$9, 100%, $E$9)</f>
        <v>22.645199999999999</v>
      </c>
      <c r="N461" s="14">
        <f>CHOOSE(CONTROL!$C$42, 22.6606, 22.6606) * CHOOSE(CONTROL!$C$21, $C$9, 100%, $E$9)</f>
        <v>22.660599999999999</v>
      </c>
      <c r="O461" s="14">
        <f>CHOOSE(CONTROL!$C$42, 22.8983, 22.8983) * CHOOSE(CONTROL!$C$21, $C$9, 100%, $E$9)</f>
        <v>22.898299999999999</v>
      </c>
      <c r="P461" s="14">
        <f>CHOOSE(CONTROL!$C$42, 22.7459, 22.7459) * CHOOSE(CONTROL!$C$21, $C$9, 100%, $E$9)</f>
        <v>22.745899999999999</v>
      </c>
      <c r="Q461" s="14">
        <f>CHOOSE(CONTROL!$C$42, 23.493, 23.493) * CHOOSE(CONTROL!$C$21, $C$9, 100%, $E$9)</f>
        <v>23.492999999999999</v>
      </c>
      <c r="R461" s="14">
        <f>CHOOSE(CONTROL!$C$42, 24.1387, 24.1387) * CHOOSE(CONTROL!$C$21, $C$9, 100%, $E$9)</f>
        <v>24.1387</v>
      </c>
      <c r="S461" s="14">
        <f>CHOOSE(CONTROL!$C$42, 22.222, 22.222) * CHOOSE(CONTROL!$C$21, $C$9, 100%, $E$9)</f>
        <v>22.222000000000001</v>
      </c>
      <c r="T46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61" s="57">
        <f>(1000*CHOOSE(CONTROL!$C$42, 695, 695)*CHOOSE(CONTROL!$C$42, 0.5599, 0.5599)*CHOOSE(CONTROL!$C$42, 31, 31))/1000000</f>
        <v>12.063045499999998</v>
      </c>
      <c r="V461" s="57">
        <f>(1000*CHOOSE(CONTROL!$C$42, 500, 500)*CHOOSE(CONTROL!$C$42, 0.275, 0.275)*CHOOSE(CONTROL!$C$42, 31, 31))/1000000</f>
        <v>4.2625000000000002</v>
      </c>
      <c r="W461" s="57">
        <f>(1000*CHOOSE(CONTROL!$C$42, 0.1146, 0.1146)*CHOOSE(CONTROL!$C$42, 121.5, 121.5)*CHOOSE(CONTROL!$C$42, 31, 31))/1000000</f>
        <v>0.43164089999999994</v>
      </c>
      <c r="X461" s="57">
        <f>(31*0.1790888*245000/1000000)+(31*0.2374*100000/1000000)</f>
        <v>2.0961194359999999</v>
      </c>
      <c r="Y461" s="57"/>
      <c r="Z461" s="14"/>
      <c r="AA461" s="56"/>
      <c r="AB461" s="50">
        <f>(B461*194.205+C461*267.466+D461*133.845+E461*53.484+F461*40+G461*185+H461*0+I461*100+J461*300)/(194.205+267.466+133.845+53.484+0+40+185+100+300)</f>
        <v>23.170310690894819</v>
      </c>
      <c r="AC461" s="45">
        <f>(M461*'RAP TEMPLATE-GAS AVAILABILITY'!O460+N461*'RAP TEMPLATE-GAS AVAILABILITY'!P460+O461*'RAP TEMPLATE-GAS AVAILABILITY'!Q460+P461*'RAP TEMPLATE-GAS AVAILABILITY'!R460)/('RAP TEMPLATE-GAS AVAILABILITY'!O460+'RAP TEMPLATE-GAS AVAILABILITY'!P460+'RAP TEMPLATE-GAS AVAILABILITY'!Q460+'RAP TEMPLATE-GAS AVAILABILITY'!R460)</f>
        <v>22.734248201438849</v>
      </c>
    </row>
    <row r="462" spans="1:29" ht="15.75" x14ac:dyDescent="0.25">
      <c r="A462" s="33">
        <v>54969</v>
      </c>
      <c r="B462" s="14">
        <f>CHOOSE(CONTROL!$C$42, 23.7933, 23.7933) * CHOOSE(CONTROL!$C$21, $C$9, 100%, $E$9)</f>
        <v>23.793299999999999</v>
      </c>
      <c r="C462" s="14">
        <f>CHOOSE(CONTROL!$C$42, 23.8013, 23.8013) * CHOOSE(CONTROL!$C$21, $C$9, 100%, $E$9)</f>
        <v>23.801300000000001</v>
      </c>
      <c r="D462" s="14">
        <f>CHOOSE(CONTROL!$C$42, 24.0053, 24.0053) * CHOOSE(CONTROL!$C$21, $C$9, 100%, $E$9)</f>
        <v>24.005299999999998</v>
      </c>
      <c r="E462" s="14">
        <f>CHOOSE(CONTROL!$C$42, 24.0367, 24.0367) * CHOOSE(CONTROL!$C$21, $C$9, 100%, $E$9)</f>
        <v>24.0367</v>
      </c>
      <c r="F462" s="14">
        <f>CHOOSE(CONTROL!$C$42, 23.7745, 23.7745)*CHOOSE(CONTROL!$C$21, $C$9, 100%, $E$9)</f>
        <v>23.7745</v>
      </c>
      <c r="G462" s="14">
        <f>CHOOSE(CONTROL!$C$42, 23.7902, 23.7902)*CHOOSE(CONTROL!$C$21, $C$9, 100%, $E$9)</f>
        <v>23.790199999999999</v>
      </c>
      <c r="H462" s="14">
        <f>CHOOSE(CONTROL!$C$42, 24.0254, 24.0254) * CHOOSE(CONTROL!$C$21, $C$9, 100%, $E$9)</f>
        <v>24.025400000000001</v>
      </c>
      <c r="I462" s="14">
        <f>CHOOSE(CONTROL!$C$42, 23.8733, 23.8733)* CHOOSE(CONTROL!$C$21, $C$9, 100%, $E$9)</f>
        <v>23.8733</v>
      </c>
      <c r="J462" s="14">
        <f>CHOOSE(CONTROL!$C$42, 23.7675, 23.7675)* CHOOSE(CONTROL!$C$21, $C$9, 100%, $E$9)</f>
        <v>23.767499999999998</v>
      </c>
      <c r="K462" s="53">
        <f>CHOOSE(CONTROL!$C$42, 23.8694, 23.8694) * CHOOSE(CONTROL!$C$21, $C$9, 100%, $E$9)</f>
        <v>23.869399999999999</v>
      </c>
      <c r="L462" s="14">
        <f>CHOOSE(CONTROL!$C$42, 24.6124, 24.6124) * CHOOSE(CONTROL!$C$21, $C$9, 100%, $E$9)</f>
        <v>24.612400000000001</v>
      </c>
      <c r="M462" s="14">
        <f>CHOOSE(CONTROL!$C$42, 23.2882, 23.2882) * CHOOSE(CONTROL!$C$21, $C$9, 100%, $E$9)</f>
        <v>23.2882</v>
      </c>
      <c r="N462" s="14">
        <f>CHOOSE(CONTROL!$C$42, 23.3036, 23.3036) * CHOOSE(CONTROL!$C$21, $C$9, 100%, $E$9)</f>
        <v>23.303599999999999</v>
      </c>
      <c r="O462" s="14">
        <f>CHOOSE(CONTROL!$C$42, 23.5408, 23.5408) * CHOOSE(CONTROL!$C$21, $C$9, 100%, $E$9)</f>
        <v>23.540800000000001</v>
      </c>
      <c r="P462" s="14">
        <f>CHOOSE(CONTROL!$C$42, 23.3904, 23.3904) * CHOOSE(CONTROL!$C$21, $C$9, 100%, $E$9)</f>
        <v>23.3904</v>
      </c>
      <c r="Q462" s="14">
        <f>CHOOSE(CONTROL!$C$42, 24.1355, 24.1355) * CHOOSE(CONTROL!$C$21, $C$9, 100%, $E$9)</f>
        <v>24.1355</v>
      </c>
      <c r="R462" s="14">
        <f>CHOOSE(CONTROL!$C$42, 24.7828, 24.7828) * CHOOSE(CONTROL!$C$21, $C$9, 100%, $E$9)</f>
        <v>24.782800000000002</v>
      </c>
      <c r="S462" s="14">
        <f>CHOOSE(CONTROL!$C$42, 22.8524, 22.8524) * CHOOSE(CONTROL!$C$21, $C$9, 100%, $E$9)</f>
        <v>22.852399999999999</v>
      </c>
      <c r="T46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62" s="57">
        <f>(1000*CHOOSE(CONTROL!$C$42, 695, 695)*CHOOSE(CONTROL!$C$42, 0.5599, 0.5599)*CHOOSE(CONTROL!$C$42, 30, 30))/1000000</f>
        <v>11.673914999999997</v>
      </c>
      <c r="V462" s="57">
        <f>(1000*CHOOSE(CONTROL!$C$42, 500, 500)*CHOOSE(CONTROL!$C$42, 0.275, 0.275)*CHOOSE(CONTROL!$C$42, 30, 30))/1000000</f>
        <v>4.125</v>
      </c>
      <c r="W462" s="57">
        <f>(1000*CHOOSE(CONTROL!$C$42, 0.1146, 0.1146)*CHOOSE(CONTROL!$C$42, 121.5, 121.5)*CHOOSE(CONTROL!$C$42, 30, 30))/1000000</f>
        <v>0.417717</v>
      </c>
      <c r="X462" s="57">
        <f>(30*0.1790888*245000/1000000)+(30*0.2374*100000/1000000)</f>
        <v>2.0285026799999999</v>
      </c>
      <c r="Y462" s="57"/>
      <c r="Z462" s="14"/>
      <c r="AA462" s="56"/>
      <c r="AB462" s="50">
        <f>(B462*194.205+C462*267.466+D462*133.845+E462*53.484+F462*40+G462*185+H462*0+I462*100+J462*300)/(194.205+267.466+133.845+53.484+0+40+185+100+300)</f>
        <v>23.826633888226063</v>
      </c>
      <c r="AC462" s="45">
        <f>(M462*'RAP TEMPLATE-GAS AVAILABILITY'!O461+N462*'RAP TEMPLATE-GAS AVAILABILITY'!P461+O462*'RAP TEMPLATE-GAS AVAILABILITY'!Q461+P462*'RAP TEMPLATE-GAS AVAILABILITY'!R461)/('RAP TEMPLATE-GAS AVAILABILITY'!O461+'RAP TEMPLATE-GAS AVAILABILITY'!P461+'RAP TEMPLATE-GAS AVAILABILITY'!Q461+'RAP TEMPLATE-GAS AVAILABILITY'!R461)</f>
        <v>23.377323741007192</v>
      </c>
    </row>
    <row r="463" spans="1:29" ht="15.75" x14ac:dyDescent="0.25">
      <c r="A463" s="33">
        <v>55000</v>
      </c>
      <c r="B463" s="14">
        <f>CHOOSE(CONTROL!$C$42, 23.3371, 23.3371) * CHOOSE(CONTROL!$C$21, $C$9, 100%, $E$9)</f>
        <v>23.3371</v>
      </c>
      <c r="C463" s="14">
        <f>CHOOSE(CONTROL!$C$42, 23.3451, 23.3451) * CHOOSE(CONTROL!$C$21, $C$9, 100%, $E$9)</f>
        <v>23.345099999999999</v>
      </c>
      <c r="D463" s="14">
        <f>CHOOSE(CONTROL!$C$42, 23.549, 23.549) * CHOOSE(CONTROL!$C$21, $C$9, 100%, $E$9)</f>
        <v>23.548999999999999</v>
      </c>
      <c r="E463" s="14">
        <f>CHOOSE(CONTROL!$C$42, 23.5805, 23.5805) * CHOOSE(CONTROL!$C$21, $C$9, 100%, $E$9)</f>
        <v>23.580500000000001</v>
      </c>
      <c r="F463" s="14">
        <f>CHOOSE(CONTROL!$C$42, 23.3187, 23.3187)*CHOOSE(CONTROL!$C$21, $C$9, 100%, $E$9)</f>
        <v>23.3187</v>
      </c>
      <c r="G463" s="14">
        <f>CHOOSE(CONTROL!$C$42, 23.3346, 23.3346)*CHOOSE(CONTROL!$C$21, $C$9, 100%, $E$9)</f>
        <v>23.334599999999998</v>
      </c>
      <c r="H463" s="14">
        <f>CHOOSE(CONTROL!$C$42, 23.5691, 23.5691) * CHOOSE(CONTROL!$C$21, $C$9, 100%, $E$9)</f>
        <v>23.569099999999999</v>
      </c>
      <c r="I463" s="14">
        <f>CHOOSE(CONTROL!$C$42, 23.4156, 23.4156)* CHOOSE(CONTROL!$C$21, $C$9, 100%, $E$9)</f>
        <v>23.415600000000001</v>
      </c>
      <c r="J463" s="14">
        <f>CHOOSE(CONTROL!$C$42, 23.3117, 23.3117)* CHOOSE(CONTROL!$C$21, $C$9, 100%, $E$9)</f>
        <v>23.311699999999998</v>
      </c>
      <c r="K463" s="53">
        <f>CHOOSE(CONTROL!$C$42, 23.4117, 23.4117) * CHOOSE(CONTROL!$C$21, $C$9, 100%, $E$9)</f>
        <v>23.4117</v>
      </c>
      <c r="L463" s="14">
        <f>CHOOSE(CONTROL!$C$42, 24.1561, 24.1561) * CHOOSE(CONTROL!$C$21, $C$9, 100%, $E$9)</f>
        <v>24.156099999999999</v>
      </c>
      <c r="M463" s="14">
        <f>CHOOSE(CONTROL!$C$42, 22.8417, 22.8417) * CHOOSE(CONTROL!$C$21, $C$9, 100%, $E$9)</f>
        <v>22.841699999999999</v>
      </c>
      <c r="N463" s="14">
        <f>CHOOSE(CONTROL!$C$42, 22.8573, 22.8573) * CHOOSE(CONTROL!$C$21, $C$9, 100%, $E$9)</f>
        <v>22.857299999999999</v>
      </c>
      <c r="O463" s="14">
        <f>CHOOSE(CONTROL!$C$42, 23.0939, 23.0939) * CHOOSE(CONTROL!$C$21, $C$9, 100%, $E$9)</f>
        <v>23.093900000000001</v>
      </c>
      <c r="P463" s="14">
        <f>CHOOSE(CONTROL!$C$42, 22.9421, 22.9421) * CHOOSE(CONTROL!$C$21, $C$9, 100%, $E$9)</f>
        <v>22.9421</v>
      </c>
      <c r="Q463" s="14">
        <f>CHOOSE(CONTROL!$C$42, 23.6886, 23.6886) * CHOOSE(CONTROL!$C$21, $C$9, 100%, $E$9)</f>
        <v>23.688600000000001</v>
      </c>
      <c r="R463" s="14">
        <f>CHOOSE(CONTROL!$C$42, 24.3348, 24.3348) * CHOOSE(CONTROL!$C$21, $C$9, 100%, $E$9)</f>
        <v>24.334800000000001</v>
      </c>
      <c r="S463" s="14">
        <f>CHOOSE(CONTROL!$C$42, 22.414, 22.414) * CHOOSE(CONTROL!$C$21, $C$9, 100%, $E$9)</f>
        <v>22.414000000000001</v>
      </c>
      <c r="T46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63" s="57">
        <f>(1000*CHOOSE(CONTROL!$C$42, 695, 695)*CHOOSE(CONTROL!$C$42, 0.5599, 0.5599)*CHOOSE(CONTROL!$C$42, 31, 31))/1000000</f>
        <v>12.063045499999998</v>
      </c>
      <c r="V463" s="57">
        <f>(1000*CHOOSE(CONTROL!$C$42, 500, 500)*CHOOSE(CONTROL!$C$42, 0.275, 0.275)*CHOOSE(CONTROL!$C$42, 31, 31))/1000000</f>
        <v>4.2625000000000002</v>
      </c>
      <c r="W463" s="57">
        <f>(1000*CHOOSE(CONTROL!$C$42, 0.1146, 0.1146)*CHOOSE(CONTROL!$C$42, 121.5, 121.5)*CHOOSE(CONTROL!$C$42, 31, 31))/1000000</f>
        <v>0.43164089999999994</v>
      </c>
      <c r="X463" s="57">
        <f>(31*0.1790888*245000/1000000)+(31*0.2374*100000/1000000)</f>
        <v>2.0961194359999999</v>
      </c>
      <c r="Y463" s="57"/>
      <c r="Z463" s="14"/>
      <c r="AA463" s="56"/>
      <c r="AB463" s="50">
        <f>(B463*194.205+C463*267.466+D463*133.845+E463*53.484+F463*40+G463*185+H463*0+I463*100+J463*300)/(194.205+267.466+133.845+53.484+0+40+185+100+300)</f>
        <v>23.370499520486653</v>
      </c>
      <c r="AC463" s="45">
        <f>(M463*'RAP TEMPLATE-GAS AVAILABILITY'!O462+N463*'RAP TEMPLATE-GAS AVAILABILITY'!P462+O463*'RAP TEMPLATE-GAS AVAILABILITY'!Q462+P463*'RAP TEMPLATE-GAS AVAILABILITY'!R462)/('RAP TEMPLATE-GAS AVAILABILITY'!O462+'RAP TEMPLATE-GAS AVAILABILITY'!P462+'RAP TEMPLATE-GAS AVAILABILITY'!Q462+'RAP TEMPLATE-GAS AVAILABILITY'!R462)</f>
        <v>22.930498561151076</v>
      </c>
    </row>
    <row r="464" spans="1:29" ht="15.75" x14ac:dyDescent="0.25">
      <c r="A464" s="33">
        <v>55031</v>
      </c>
      <c r="B464" s="14">
        <f>CHOOSE(CONTROL!$C$42, 22.1849, 22.1849) * CHOOSE(CONTROL!$C$21, $C$9, 100%, $E$9)</f>
        <v>22.184899999999999</v>
      </c>
      <c r="C464" s="14">
        <f>CHOOSE(CONTROL!$C$42, 22.193, 22.193) * CHOOSE(CONTROL!$C$21, $C$9, 100%, $E$9)</f>
        <v>22.193000000000001</v>
      </c>
      <c r="D464" s="14">
        <f>CHOOSE(CONTROL!$C$42, 22.3969, 22.3969) * CHOOSE(CONTROL!$C$21, $C$9, 100%, $E$9)</f>
        <v>22.396899999999999</v>
      </c>
      <c r="E464" s="14">
        <f>CHOOSE(CONTROL!$C$42, 22.4284, 22.4284) * CHOOSE(CONTROL!$C$21, $C$9, 100%, $E$9)</f>
        <v>22.4284</v>
      </c>
      <c r="F464" s="14">
        <f>CHOOSE(CONTROL!$C$42, 22.1668, 22.1668)*CHOOSE(CONTROL!$C$21, $C$9, 100%, $E$9)</f>
        <v>22.166799999999999</v>
      </c>
      <c r="G464" s="14">
        <f>CHOOSE(CONTROL!$C$42, 22.1827, 22.1827)*CHOOSE(CONTROL!$C$21, $C$9, 100%, $E$9)</f>
        <v>22.182700000000001</v>
      </c>
      <c r="H464" s="14">
        <f>CHOOSE(CONTROL!$C$42, 22.417, 22.417) * CHOOSE(CONTROL!$C$21, $C$9, 100%, $E$9)</f>
        <v>22.417000000000002</v>
      </c>
      <c r="I464" s="14">
        <f>CHOOSE(CONTROL!$C$42, 22.2598, 22.2598)* CHOOSE(CONTROL!$C$21, $C$9, 100%, $E$9)</f>
        <v>22.259799999999998</v>
      </c>
      <c r="J464" s="14">
        <f>CHOOSE(CONTROL!$C$42, 22.1598, 22.1598)* CHOOSE(CONTROL!$C$21, $C$9, 100%, $E$9)</f>
        <v>22.159800000000001</v>
      </c>
      <c r="K464" s="53">
        <f>CHOOSE(CONTROL!$C$42, 22.256, 22.256) * CHOOSE(CONTROL!$C$21, $C$9, 100%, $E$9)</f>
        <v>22.256</v>
      </c>
      <c r="L464" s="14">
        <f>CHOOSE(CONTROL!$C$42, 23.004, 23.004) * CHOOSE(CONTROL!$C$21, $C$9, 100%, $E$9)</f>
        <v>23.004000000000001</v>
      </c>
      <c r="M464" s="14">
        <f>CHOOSE(CONTROL!$C$42, 21.7134, 21.7134) * CHOOSE(CONTROL!$C$21, $C$9, 100%, $E$9)</f>
        <v>21.7134</v>
      </c>
      <c r="N464" s="14">
        <f>CHOOSE(CONTROL!$C$42, 21.7291, 21.7291) * CHOOSE(CONTROL!$C$21, $C$9, 100%, $E$9)</f>
        <v>21.729099999999999</v>
      </c>
      <c r="O464" s="14">
        <f>CHOOSE(CONTROL!$C$42, 21.9654, 21.9654) * CHOOSE(CONTROL!$C$21, $C$9, 100%, $E$9)</f>
        <v>21.965399999999999</v>
      </c>
      <c r="P464" s="14">
        <f>CHOOSE(CONTROL!$C$42, 21.8101, 21.8101) * CHOOSE(CONTROL!$C$21, $C$9, 100%, $E$9)</f>
        <v>21.810099999999998</v>
      </c>
      <c r="Q464" s="14">
        <f>CHOOSE(CONTROL!$C$42, 22.5601, 22.5601) * CHOOSE(CONTROL!$C$21, $C$9, 100%, $E$9)</f>
        <v>22.560099999999998</v>
      </c>
      <c r="R464" s="14">
        <f>CHOOSE(CONTROL!$C$42, 23.2035, 23.2035) * CHOOSE(CONTROL!$C$21, $C$9, 100%, $E$9)</f>
        <v>23.203499999999998</v>
      </c>
      <c r="S464" s="14">
        <f>CHOOSE(CONTROL!$C$42, 21.3069, 21.3069) * CHOOSE(CONTROL!$C$21, $C$9, 100%, $E$9)</f>
        <v>21.306899999999999</v>
      </c>
      <c r="T46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64" s="57">
        <f>(1000*CHOOSE(CONTROL!$C$42, 695, 695)*CHOOSE(CONTROL!$C$42, 0.5599, 0.5599)*CHOOSE(CONTROL!$C$42, 31, 31))/1000000</f>
        <v>12.063045499999998</v>
      </c>
      <c r="V464" s="57">
        <f>(1000*CHOOSE(CONTROL!$C$42, 500, 500)*CHOOSE(CONTROL!$C$42, 0.275, 0.275)*CHOOSE(CONTROL!$C$42, 31, 31))/1000000</f>
        <v>4.2625000000000002</v>
      </c>
      <c r="W464" s="57">
        <f>(1000*CHOOSE(CONTROL!$C$42, 0.1146, 0.1146)*CHOOSE(CONTROL!$C$42, 121.5, 121.5)*CHOOSE(CONTROL!$C$42, 31, 31))/1000000</f>
        <v>0.43164089999999994</v>
      </c>
      <c r="X464" s="57">
        <f>(31*0.1790888*245000/1000000)+(31*0.2374*100000/1000000)</f>
        <v>2.0961194359999999</v>
      </c>
      <c r="Y464" s="57"/>
      <c r="Z464" s="14"/>
      <c r="AA464" s="56"/>
      <c r="AB464" s="50">
        <f>(B464*194.205+C464*267.466+D464*133.845+E464*53.484+F464*40+G464*185+H464*0+I464*100+J464*300)/(194.205+267.466+133.845+53.484+0+40+185+100+300)</f>
        <v>22.218176270486655</v>
      </c>
      <c r="AC464" s="45">
        <f>(M464*'RAP TEMPLATE-GAS AVAILABILITY'!O463+N464*'RAP TEMPLATE-GAS AVAILABILITY'!P463+O464*'RAP TEMPLATE-GAS AVAILABILITY'!Q463+P464*'RAP TEMPLATE-GAS AVAILABILITY'!R463)/('RAP TEMPLATE-GAS AVAILABILITY'!O463+'RAP TEMPLATE-GAS AVAILABILITY'!P463+'RAP TEMPLATE-GAS AVAILABILITY'!Q463+'RAP TEMPLATE-GAS AVAILABILITY'!R463)</f>
        <v>21.801633093525179</v>
      </c>
    </row>
    <row r="465" spans="1:29" ht="15.75" x14ac:dyDescent="0.25">
      <c r="A465" s="33">
        <v>55061</v>
      </c>
      <c r="B465" s="14">
        <f>CHOOSE(CONTROL!$C$42, 20.7768, 20.7768) * CHOOSE(CONTROL!$C$21, $C$9, 100%, $E$9)</f>
        <v>20.776800000000001</v>
      </c>
      <c r="C465" s="14">
        <f>CHOOSE(CONTROL!$C$42, 20.7849, 20.7849) * CHOOSE(CONTROL!$C$21, $C$9, 100%, $E$9)</f>
        <v>20.7849</v>
      </c>
      <c r="D465" s="14">
        <f>CHOOSE(CONTROL!$C$42, 20.9888, 20.9888) * CHOOSE(CONTROL!$C$21, $C$9, 100%, $E$9)</f>
        <v>20.988800000000001</v>
      </c>
      <c r="E465" s="14">
        <f>CHOOSE(CONTROL!$C$42, 21.0203, 21.0203) * CHOOSE(CONTROL!$C$21, $C$9, 100%, $E$9)</f>
        <v>21.020299999999999</v>
      </c>
      <c r="F465" s="14">
        <f>CHOOSE(CONTROL!$C$42, 20.7587, 20.7587)*CHOOSE(CONTROL!$C$21, $C$9, 100%, $E$9)</f>
        <v>20.758700000000001</v>
      </c>
      <c r="G465" s="14">
        <f>CHOOSE(CONTROL!$C$42, 20.7747, 20.7747)*CHOOSE(CONTROL!$C$21, $C$9, 100%, $E$9)</f>
        <v>20.774699999999999</v>
      </c>
      <c r="H465" s="14">
        <f>CHOOSE(CONTROL!$C$42, 21.0089, 21.0089) * CHOOSE(CONTROL!$C$21, $C$9, 100%, $E$9)</f>
        <v>21.008900000000001</v>
      </c>
      <c r="I465" s="14">
        <f>CHOOSE(CONTROL!$C$42, 20.8473, 20.8473)* CHOOSE(CONTROL!$C$21, $C$9, 100%, $E$9)</f>
        <v>20.847300000000001</v>
      </c>
      <c r="J465" s="14">
        <f>CHOOSE(CONTROL!$C$42, 20.7517, 20.7517)* CHOOSE(CONTROL!$C$21, $C$9, 100%, $E$9)</f>
        <v>20.7517</v>
      </c>
      <c r="K465" s="53">
        <f>CHOOSE(CONTROL!$C$42, 20.8435, 20.8435) * CHOOSE(CONTROL!$C$21, $C$9, 100%, $E$9)</f>
        <v>20.843499999999999</v>
      </c>
      <c r="L465" s="14">
        <f>CHOOSE(CONTROL!$C$42, 21.5959, 21.5959) * CHOOSE(CONTROL!$C$21, $C$9, 100%, $E$9)</f>
        <v>21.5959</v>
      </c>
      <c r="M465" s="14">
        <f>CHOOSE(CONTROL!$C$42, 20.3342, 20.3342) * CHOOSE(CONTROL!$C$21, $C$9, 100%, $E$9)</f>
        <v>20.334199999999999</v>
      </c>
      <c r="N465" s="14">
        <f>CHOOSE(CONTROL!$C$42, 20.3499, 20.3499) * CHOOSE(CONTROL!$C$21, $C$9, 100%, $E$9)</f>
        <v>20.349900000000002</v>
      </c>
      <c r="O465" s="14">
        <f>CHOOSE(CONTROL!$C$42, 20.5861, 20.5861) * CHOOSE(CONTROL!$C$21, $C$9, 100%, $E$9)</f>
        <v>20.586099999999998</v>
      </c>
      <c r="P465" s="14">
        <f>CHOOSE(CONTROL!$C$42, 20.4267, 20.4267) * CHOOSE(CONTROL!$C$21, $C$9, 100%, $E$9)</f>
        <v>20.4267</v>
      </c>
      <c r="Q465" s="14">
        <f>CHOOSE(CONTROL!$C$42, 21.1808, 21.1808) * CHOOSE(CONTROL!$C$21, $C$9, 100%, $E$9)</f>
        <v>21.180800000000001</v>
      </c>
      <c r="R465" s="14">
        <f>CHOOSE(CONTROL!$C$42, 21.8208, 21.8208) * CHOOSE(CONTROL!$C$21, $C$9, 100%, $E$9)</f>
        <v>21.820799999999998</v>
      </c>
      <c r="S465" s="14">
        <f>CHOOSE(CONTROL!$C$42, 19.9538, 19.9538) * CHOOSE(CONTROL!$C$21, $C$9, 100%, $E$9)</f>
        <v>19.953800000000001</v>
      </c>
      <c r="T46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65" s="57">
        <f>(1000*CHOOSE(CONTROL!$C$42, 695, 695)*CHOOSE(CONTROL!$C$42, 0.5599, 0.5599)*CHOOSE(CONTROL!$C$42, 30, 30))/1000000</f>
        <v>11.673914999999997</v>
      </c>
      <c r="V465" s="57">
        <f>(1000*CHOOSE(CONTROL!$C$42, 500, 500)*CHOOSE(CONTROL!$C$42, 0.275, 0.275)*CHOOSE(CONTROL!$C$42, 30, 30))/1000000</f>
        <v>4.125</v>
      </c>
      <c r="W465" s="57">
        <f>(1000*CHOOSE(CONTROL!$C$42, 0.1146, 0.1146)*CHOOSE(CONTROL!$C$42, 121.5, 121.5)*CHOOSE(CONTROL!$C$42, 30, 30))/1000000</f>
        <v>0.417717</v>
      </c>
      <c r="X465" s="57">
        <f>(30*0.1790888*245000/1000000)+(30*0.2374*100000/1000000)</f>
        <v>2.0285026799999999</v>
      </c>
      <c r="Y465" s="57"/>
      <c r="Z465" s="14"/>
      <c r="AA465" s="56"/>
      <c r="AB465" s="50">
        <f>(B465*194.205+C465*267.466+D465*133.845+E465*53.484+F465*40+G465*185+H465*0+I465*100+J465*300)/(194.205+267.466+133.845+53.484+0+40+185+100+300)</f>
        <v>20.809745422762955</v>
      </c>
      <c r="AC465" s="45">
        <f>(M465*'RAP TEMPLATE-GAS AVAILABILITY'!O464+N465*'RAP TEMPLATE-GAS AVAILABILITY'!P464+O465*'RAP TEMPLATE-GAS AVAILABILITY'!Q464+P465*'RAP TEMPLATE-GAS AVAILABILITY'!R464)/('RAP TEMPLATE-GAS AVAILABILITY'!O464+'RAP TEMPLATE-GAS AVAILABILITY'!P464+'RAP TEMPLATE-GAS AVAILABILITY'!Q464+'RAP TEMPLATE-GAS AVAILABILITY'!R464)</f>
        <v>20.421800719424461</v>
      </c>
    </row>
    <row r="466" spans="1:29" ht="15.75" x14ac:dyDescent="0.25">
      <c r="A466" s="33">
        <v>55092</v>
      </c>
      <c r="B466" s="14">
        <f>CHOOSE(CONTROL!$C$42, 20.3535, 20.3535) * CHOOSE(CONTROL!$C$21, $C$9, 100%, $E$9)</f>
        <v>20.3535</v>
      </c>
      <c r="C466" s="14">
        <f>CHOOSE(CONTROL!$C$42, 20.3588, 20.3588) * CHOOSE(CONTROL!$C$21, $C$9, 100%, $E$9)</f>
        <v>20.358799999999999</v>
      </c>
      <c r="D466" s="14">
        <f>CHOOSE(CONTROL!$C$42, 20.5677, 20.5677) * CHOOSE(CONTROL!$C$21, $C$9, 100%, $E$9)</f>
        <v>20.567699999999999</v>
      </c>
      <c r="E466" s="14">
        <f>CHOOSE(CONTROL!$C$42, 20.5968, 20.5968) * CHOOSE(CONTROL!$C$21, $C$9, 100%, $E$9)</f>
        <v>20.596800000000002</v>
      </c>
      <c r="F466" s="14">
        <f>CHOOSE(CONTROL!$C$42, 20.3374, 20.3374)*CHOOSE(CONTROL!$C$21, $C$9, 100%, $E$9)</f>
        <v>20.337399999999999</v>
      </c>
      <c r="G466" s="14">
        <f>CHOOSE(CONTROL!$C$42, 20.3531, 20.3531)*CHOOSE(CONTROL!$C$21, $C$9, 100%, $E$9)</f>
        <v>20.353100000000001</v>
      </c>
      <c r="H466" s="14">
        <f>CHOOSE(CONTROL!$C$42, 20.5873, 20.5873) * CHOOSE(CONTROL!$C$21, $C$9, 100%, $E$9)</f>
        <v>20.587299999999999</v>
      </c>
      <c r="I466" s="14">
        <f>CHOOSE(CONTROL!$C$42, 20.4244, 20.4244)* CHOOSE(CONTROL!$C$21, $C$9, 100%, $E$9)</f>
        <v>20.424399999999999</v>
      </c>
      <c r="J466" s="14">
        <f>CHOOSE(CONTROL!$C$42, 20.3304, 20.3304)* CHOOSE(CONTROL!$C$21, $C$9, 100%, $E$9)</f>
        <v>20.330400000000001</v>
      </c>
      <c r="K466" s="53">
        <f>CHOOSE(CONTROL!$C$42, 20.4205, 20.4205) * CHOOSE(CONTROL!$C$21, $C$9, 100%, $E$9)</f>
        <v>20.420500000000001</v>
      </c>
      <c r="L466" s="14">
        <f>CHOOSE(CONTROL!$C$42, 21.1743, 21.1743) * CHOOSE(CONTROL!$C$21, $C$9, 100%, $E$9)</f>
        <v>21.174299999999999</v>
      </c>
      <c r="M466" s="14">
        <f>CHOOSE(CONTROL!$C$42, 19.9216, 19.9216) * CHOOSE(CONTROL!$C$21, $C$9, 100%, $E$9)</f>
        <v>19.921600000000002</v>
      </c>
      <c r="N466" s="14">
        <f>CHOOSE(CONTROL!$C$42, 19.9369, 19.9369) * CHOOSE(CONTROL!$C$21, $C$9, 100%, $E$9)</f>
        <v>19.936900000000001</v>
      </c>
      <c r="O466" s="14">
        <f>CHOOSE(CONTROL!$C$42, 20.1732, 20.1732) * CHOOSE(CONTROL!$C$21, $C$9, 100%, $E$9)</f>
        <v>20.173200000000001</v>
      </c>
      <c r="P466" s="14">
        <f>CHOOSE(CONTROL!$C$42, 20.0124, 20.0124) * CHOOSE(CONTROL!$C$21, $C$9, 100%, $E$9)</f>
        <v>20.0124</v>
      </c>
      <c r="Q466" s="14">
        <f>CHOOSE(CONTROL!$C$42, 20.7679, 20.7679) * CHOOSE(CONTROL!$C$21, $C$9, 100%, $E$9)</f>
        <v>20.767900000000001</v>
      </c>
      <c r="R466" s="14">
        <f>CHOOSE(CONTROL!$C$42, 21.4068, 21.4068) * CHOOSE(CONTROL!$C$21, $C$9, 100%, $E$9)</f>
        <v>21.4068</v>
      </c>
      <c r="S466" s="14">
        <f>CHOOSE(CONTROL!$C$42, 19.5487, 19.5487) * CHOOSE(CONTROL!$C$21, $C$9, 100%, $E$9)</f>
        <v>19.5487</v>
      </c>
      <c r="T46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66" s="57">
        <f>(1000*CHOOSE(CONTROL!$C$42, 695, 695)*CHOOSE(CONTROL!$C$42, 0.5599, 0.5599)*CHOOSE(CONTROL!$C$42, 31, 31))/1000000</f>
        <v>12.063045499999998</v>
      </c>
      <c r="V466" s="57">
        <f>(1000*CHOOSE(CONTROL!$C$42, 500, 500)*CHOOSE(CONTROL!$C$42, 0.275, 0.275)*CHOOSE(CONTROL!$C$42, 31, 31))/1000000</f>
        <v>4.2625000000000002</v>
      </c>
      <c r="W466" s="57">
        <f>(1000*CHOOSE(CONTROL!$C$42, 0.1146, 0.1146)*CHOOSE(CONTROL!$C$42, 121.5, 121.5)*CHOOSE(CONTROL!$C$42, 31, 31))/1000000</f>
        <v>0.43164089999999994</v>
      </c>
      <c r="X466" s="57">
        <f>(31*0.1790888*245000/1000000)+(31*0.2374*100000/1000000)</f>
        <v>2.0961194359999999</v>
      </c>
      <c r="Y466" s="57"/>
      <c r="Z466" s="14"/>
      <c r="AA466" s="56"/>
      <c r="AB466" s="50">
        <f>(B466*131.881+C466*277.167+D466*79.08+E466*125.872+F466*40+G466*185+H466*0+I466*100+J466*300)/(131.881+277.167+79.08+125.872+0+40+185+100+300)</f>
        <v>20.392623953753024</v>
      </c>
      <c r="AC466" s="45">
        <f>(M466*'RAP TEMPLATE-GAS AVAILABILITY'!O465+N466*'RAP TEMPLATE-GAS AVAILABILITY'!P465+O466*'RAP TEMPLATE-GAS AVAILABILITY'!Q465+P466*'RAP TEMPLATE-GAS AVAILABILITY'!R465)/('RAP TEMPLATE-GAS AVAILABILITY'!O465+'RAP TEMPLATE-GAS AVAILABILITY'!P465+'RAP TEMPLATE-GAS AVAILABILITY'!Q465+'RAP TEMPLATE-GAS AVAILABILITY'!R465)</f>
        <v>20.008779856115108</v>
      </c>
    </row>
    <row r="467" spans="1:29" ht="15.75" x14ac:dyDescent="0.25">
      <c r="A467" s="33">
        <v>55122</v>
      </c>
      <c r="B467" s="14">
        <f>CHOOSE(CONTROL!$C$42, 20.889, 20.889) * CHOOSE(CONTROL!$C$21, $C$9, 100%, $E$9)</f>
        <v>20.888999999999999</v>
      </c>
      <c r="C467" s="14">
        <f>CHOOSE(CONTROL!$C$42, 20.8941, 20.8941) * CHOOSE(CONTROL!$C$21, $C$9, 100%, $E$9)</f>
        <v>20.894100000000002</v>
      </c>
      <c r="D467" s="14">
        <f>CHOOSE(CONTROL!$C$42, 20.9579, 20.9579) * CHOOSE(CONTROL!$C$21, $C$9, 100%, $E$9)</f>
        <v>20.957899999999999</v>
      </c>
      <c r="E467" s="14">
        <f>CHOOSE(CONTROL!$C$42, 20.992, 20.992) * CHOOSE(CONTROL!$C$21, $C$9, 100%, $E$9)</f>
        <v>20.992000000000001</v>
      </c>
      <c r="F467" s="14">
        <f>CHOOSE(CONTROL!$C$42, 20.8914, 20.8914)*CHOOSE(CONTROL!$C$21, $C$9, 100%, $E$9)</f>
        <v>20.891400000000001</v>
      </c>
      <c r="G467" s="14">
        <f>CHOOSE(CONTROL!$C$42, 20.9074, 20.9074)*CHOOSE(CONTROL!$C$21, $C$9, 100%, $E$9)</f>
        <v>20.907399999999999</v>
      </c>
      <c r="H467" s="14">
        <f>CHOOSE(CONTROL!$C$42, 20.9812, 20.9812) * CHOOSE(CONTROL!$C$21, $C$9, 100%, $E$9)</f>
        <v>20.981200000000001</v>
      </c>
      <c r="I467" s="14">
        <f>CHOOSE(CONTROL!$C$42, 20.9673, 20.9673)* CHOOSE(CONTROL!$C$21, $C$9, 100%, $E$9)</f>
        <v>20.967300000000002</v>
      </c>
      <c r="J467" s="14">
        <f>CHOOSE(CONTROL!$C$42, 20.8844, 20.8844)* CHOOSE(CONTROL!$C$21, $C$9, 100%, $E$9)</f>
        <v>20.884399999999999</v>
      </c>
      <c r="K467" s="53">
        <f>CHOOSE(CONTROL!$C$42, 20.9634, 20.9634) * CHOOSE(CONTROL!$C$21, $C$9, 100%, $E$9)</f>
        <v>20.9634</v>
      </c>
      <c r="L467" s="14">
        <f>CHOOSE(CONTROL!$C$42, 21.5682, 21.5682) * CHOOSE(CONTROL!$C$21, $C$9, 100%, $E$9)</f>
        <v>21.568200000000001</v>
      </c>
      <c r="M467" s="14">
        <f>CHOOSE(CONTROL!$C$42, 20.4642, 20.4642) * CHOOSE(CONTROL!$C$21, $C$9, 100%, $E$9)</f>
        <v>20.464200000000002</v>
      </c>
      <c r="N467" s="14">
        <f>CHOOSE(CONTROL!$C$42, 20.4799, 20.4799) * CHOOSE(CONTROL!$C$21, $C$9, 100%, $E$9)</f>
        <v>20.479900000000001</v>
      </c>
      <c r="O467" s="14">
        <f>CHOOSE(CONTROL!$C$42, 20.559, 20.559) * CHOOSE(CONTROL!$C$21, $C$9, 100%, $E$9)</f>
        <v>20.559000000000001</v>
      </c>
      <c r="P467" s="14">
        <f>CHOOSE(CONTROL!$C$42, 20.5441, 20.5441) * CHOOSE(CONTROL!$C$21, $C$9, 100%, $E$9)</f>
        <v>20.5441</v>
      </c>
      <c r="Q467" s="14">
        <f>CHOOSE(CONTROL!$C$42, 21.1537, 21.1537) * CHOOSE(CONTROL!$C$21, $C$9, 100%, $E$9)</f>
        <v>21.153700000000001</v>
      </c>
      <c r="R467" s="14">
        <f>CHOOSE(CONTROL!$C$42, 21.7936, 21.7936) * CHOOSE(CONTROL!$C$21, $C$9, 100%, $E$9)</f>
        <v>21.793600000000001</v>
      </c>
      <c r="S467" s="14">
        <f>CHOOSE(CONTROL!$C$42, 20.0637, 20.0637) * CHOOSE(CONTROL!$C$21, $C$9, 100%, $E$9)</f>
        <v>20.063700000000001</v>
      </c>
      <c r="T46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67" s="57">
        <f>(1000*CHOOSE(CONTROL!$C$42, 695, 695)*CHOOSE(CONTROL!$C$42, 0.5599, 0.5599)*CHOOSE(CONTROL!$C$42, 30, 30))/1000000</f>
        <v>11.673914999999997</v>
      </c>
      <c r="V467" s="57">
        <f>(1000*CHOOSE(CONTROL!$C$42, 500, 500)*CHOOSE(CONTROL!$C$42, 0.275, 0.275)*CHOOSE(CONTROL!$C$42, 30, 30))/1000000</f>
        <v>4.125</v>
      </c>
      <c r="W467" s="57">
        <f>(1000*CHOOSE(CONTROL!$C$42, 0.1146, 0.1146)*CHOOSE(CONTROL!$C$42, 121.5, 121.5)*CHOOSE(CONTROL!$C$42, 30, 30))/1000000</f>
        <v>0.417717</v>
      </c>
      <c r="X467" s="57">
        <f>(30*0.1790888*100000/1000000)+(30*0.2374*100000/1000000)</f>
        <v>1.2494664</v>
      </c>
      <c r="Y467" s="57"/>
      <c r="Z467" s="14"/>
      <c r="AA467" s="56"/>
      <c r="AB467" s="50">
        <f>(B467*122.58+C467*297.941+D467*89.177+E467*40.302+F467*40+G467*160+H467*0+I467*100+J467*300)/(122.58+297.941+89.177+40.302+0+40+160+100+300)</f>
        <v>20.907526000347822</v>
      </c>
      <c r="AC467" s="45">
        <f>(M467*'RAP TEMPLATE-GAS AVAILABILITY'!O466+N467*'RAP TEMPLATE-GAS AVAILABILITY'!P466+O467*'RAP TEMPLATE-GAS AVAILABILITY'!Q466+P467*'RAP TEMPLATE-GAS AVAILABILITY'!R466)/('RAP TEMPLATE-GAS AVAILABILITY'!O466+'RAP TEMPLATE-GAS AVAILABILITY'!P466+'RAP TEMPLATE-GAS AVAILABILITY'!Q466+'RAP TEMPLATE-GAS AVAILABILITY'!R466)</f>
        <v>20.519566906474822</v>
      </c>
    </row>
    <row r="468" spans="1:29" ht="15.75" x14ac:dyDescent="0.25">
      <c r="A468" s="33">
        <v>55153</v>
      </c>
      <c r="B468" s="14">
        <f>CHOOSE(CONTROL!$C$42, 22.3125, 22.3125) * CHOOSE(CONTROL!$C$21, $C$9, 100%, $E$9)</f>
        <v>22.3125</v>
      </c>
      <c r="C468" s="14">
        <f>CHOOSE(CONTROL!$C$42, 22.3176, 22.3176) * CHOOSE(CONTROL!$C$21, $C$9, 100%, $E$9)</f>
        <v>22.317599999999999</v>
      </c>
      <c r="D468" s="14">
        <f>CHOOSE(CONTROL!$C$42, 22.3814, 22.3814) * CHOOSE(CONTROL!$C$21, $C$9, 100%, $E$9)</f>
        <v>22.381399999999999</v>
      </c>
      <c r="E468" s="14">
        <f>CHOOSE(CONTROL!$C$42, 22.4155, 22.4155) * CHOOSE(CONTROL!$C$21, $C$9, 100%, $E$9)</f>
        <v>22.415500000000002</v>
      </c>
      <c r="F468" s="14">
        <f>CHOOSE(CONTROL!$C$42, 22.3172, 22.3172)*CHOOSE(CONTROL!$C$21, $C$9, 100%, $E$9)</f>
        <v>22.3172</v>
      </c>
      <c r="G468" s="14">
        <f>CHOOSE(CONTROL!$C$42, 22.3338, 22.3338)*CHOOSE(CONTROL!$C$21, $C$9, 100%, $E$9)</f>
        <v>22.3338</v>
      </c>
      <c r="H468" s="14">
        <f>CHOOSE(CONTROL!$C$42, 22.4047, 22.4047) * CHOOSE(CONTROL!$C$21, $C$9, 100%, $E$9)</f>
        <v>22.404699999999998</v>
      </c>
      <c r="I468" s="14">
        <f>CHOOSE(CONTROL!$C$42, 22.3953, 22.3953)* CHOOSE(CONTROL!$C$21, $C$9, 100%, $E$9)</f>
        <v>22.395299999999999</v>
      </c>
      <c r="J468" s="14">
        <f>CHOOSE(CONTROL!$C$42, 22.3102, 22.3102)* CHOOSE(CONTROL!$C$21, $C$9, 100%, $E$9)</f>
        <v>22.310199999999998</v>
      </c>
      <c r="K468" s="53">
        <f>CHOOSE(CONTROL!$C$42, 22.3914, 22.3914) * CHOOSE(CONTROL!$C$21, $C$9, 100%, $E$9)</f>
        <v>22.391400000000001</v>
      </c>
      <c r="L468" s="14">
        <f>CHOOSE(CONTROL!$C$42, 22.9917, 22.9917) * CHOOSE(CONTROL!$C$21, $C$9, 100%, $E$9)</f>
        <v>22.991700000000002</v>
      </c>
      <c r="M468" s="14">
        <f>CHOOSE(CONTROL!$C$42, 21.8607, 21.8607) * CHOOSE(CONTROL!$C$21, $C$9, 100%, $E$9)</f>
        <v>21.860700000000001</v>
      </c>
      <c r="N468" s="14">
        <f>CHOOSE(CONTROL!$C$42, 21.877, 21.877) * CHOOSE(CONTROL!$C$21, $C$9, 100%, $E$9)</f>
        <v>21.876999999999999</v>
      </c>
      <c r="O468" s="14">
        <f>CHOOSE(CONTROL!$C$42, 21.9533, 21.9533) * CHOOSE(CONTROL!$C$21, $C$9, 100%, $E$9)</f>
        <v>21.953299999999999</v>
      </c>
      <c r="P468" s="14">
        <f>CHOOSE(CONTROL!$C$42, 21.9428, 21.9428) * CHOOSE(CONTROL!$C$21, $C$9, 100%, $E$9)</f>
        <v>21.942799999999998</v>
      </c>
      <c r="Q468" s="14">
        <f>CHOOSE(CONTROL!$C$42, 22.548, 22.548) * CHOOSE(CONTROL!$C$21, $C$9, 100%, $E$9)</f>
        <v>22.547999999999998</v>
      </c>
      <c r="R468" s="14">
        <f>CHOOSE(CONTROL!$C$42, 23.1914, 23.1914) * CHOOSE(CONTROL!$C$21, $C$9, 100%, $E$9)</f>
        <v>23.191400000000002</v>
      </c>
      <c r="S468" s="14">
        <f>CHOOSE(CONTROL!$C$42, 21.4316, 21.4316) * CHOOSE(CONTROL!$C$21, $C$9, 100%, $E$9)</f>
        <v>21.4316</v>
      </c>
      <c r="T46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68" s="57">
        <f>(1000*CHOOSE(CONTROL!$C$42, 695, 695)*CHOOSE(CONTROL!$C$42, 0.5599, 0.5599)*CHOOSE(CONTROL!$C$42, 31, 31))/1000000</f>
        <v>12.063045499999998</v>
      </c>
      <c r="V468" s="57">
        <f>(1000*CHOOSE(CONTROL!$C$42, 500, 500)*CHOOSE(CONTROL!$C$42, 0.275, 0.275)*CHOOSE(CONTROL!$C$42, 31, 31))/1000000</f>
        <v>4.2625000000000002</v>
      </c>
      <c r="W468" s="57">
        <f>(1000*CHOOSE(CONTROL!$C$42, 0.1146, 0.1146)*CHOOSE(CONTROL!$C$42, 121.5, 121.5)*CHOOSE(CONTROL!$C$42, 31, 31))/1000000</f>
        <v>0.43164089999999994</v>
      </c>
      <c r="X468" s="57">
        <f>(31*0.1790888*100000/1000000)+(31*0.2374*100000/1000000)</f>
        <v>1.2911152800000001</v>
      </c>
      <c r="Y468" s="57"/>
      <c r="Z468" s="14"/>
      <c r="AA468" s="56"/>
      <c r="AB468" s="50">
        <f>(B468*122.58+C468*297.941+D468*89.177+E468*40.302+F468*40+G468*160+H468*0+I468*100+J468*300)/(122.58+297.941+89.177+40.302+0+40+160+100+300)</f>
        <v>22.332500782956519</v>
      </c>
      <c r="AC468" s="45">
        <f>(M468*'RAP TEMPLATE-GAS AVAILABILITY'!O467+N468*'RAP TEMPLATE-GAS AVAILABILITY'!P467+O468*'RAP TEMPLATE-GAS AVAILABILITY'!Q467+P468*'RAP TEMPLATE-GAS AVAILABILITY'!R467)/('RAP TEMPLATE-GAS AVAILABILITY'!O467+'RAP TEMPLATE-GAS AVAILABILITY'!P467+'RAP TEMPLATE-GAS AVAILABILITY'!Q467+'RAP TEMPLATE-GAS AVAILABILITY'!R467)</f>
        <v>21.91542086330935</v>
      </c>
    </row>
    <row r="469" spans="1:29" ht="15.75" x14ac:dyDescent="0.25">
      <c r="A469" s="33">
        <v>55184</v>
      </c>
      <c r="B469" s="14">
        <f>CHOOSE(CONTROL!$C$42, 24.1394, 24.1394) * CHOOSE(CONTROL!$C$21, $C$9, 100%, $E$9)</f>
        <v>24.139399999999998</v>
      </c>
      <c r="C469" s="14">
        <f>CHOOSE(CONTROL!$C$42, 24.1445, 24.1445) * CHOOSE(CONTROL!$C$21, $C$9, 100%, $E$9)</f>
        <v>24.144500000000001</v>
      </c>
      <c r="D469" s="14">
        <f>CHOOSE(CONTROL!$C$42, 24.2109, 24.2109) * CHOOSE(CONTROL!$C$21, $C$9, 100%, $E$9)</f>
        <v>24.210899999999999</v>
      </c>
      <c r="E469" s="14">
        <f>CHOOSE(CONTROL!$C$42, 24.245, 24.245) * CHOOSE(CONTROL!$C$21, $C$9, 100%, $E$9)</f>
        <v>24.245000000000001</v>
      </c>
      <c r="F469" s="14">
        <f>CHOOSE(CONTROL!$C$42, 24.1268, 24.1268)*CHOOSE(CONTROL!$C$21, $C$9, 100%, $E$9)</f>
        <v>24.126799999999999</v>
      </c>
      <c r="G469" s="14">
        <f>CHOOSE(CONTROL!$C$42, 24.1422, 24.1422)*CHOOSE(CONTROL!$C$21, $C$9, 100%, $E$9)</f>
        <v>24.142199999999999</v>
      </c>
      <c r="H469" s="14">
        <f>CHOOSE(CONTROL!$C$42, 24.2342, 24.2342) * CHOOSE(CONTROL!$C$21, $C$9, 100%, $E$9)</f>
        <v>24.234200000000001</v>
      </c>
      <c r="I469" s="14">
        <f>CHOOSE(CONTROL!$C$42, 24.2227, 24.2227)* CHOOSE(CONTROL!$C$21, $C$9, 100%, $E$9)</f>
        <v>24.2227</v>
      </c>
      <c r="J469" s="14">
        <f>CHOOSE(CONTROL!$C$42, 24.1198, 24.1198)* CHOOSE(CONTROL!$C$21, $C$9, 100%, $E$9)</f>
        <v>24.119800000000001</v>
      </c>
      <c r="K469" s="53">
        <f>CHOOSE(CONTROL!$C$42, 24.2188, 24.2188) * CHOOSE(CONTROL!$C$21, $C$9, 100%, $E$9)</f>
        <v>24.218800000000002</v>
      </c>
      <c r="L469" s="14">
        <f>CHOOSE(CONTROL!$C$42, 24.8212, 24.8212) * CHOOSE(CONTROL!$C$21, $C$9, 100%, $E$9)</f>
        <v>24.821200000000001</v>
      </c>
      <c r="M469" s="14">
        <f>CHOOSE(CONTROL!$C$42, 23.6333, 23.6333) * CHOOSE(CONTROL!$C$21, $C$9, 100%, $E$9)</f>
        <v>23.633299999999998</v>
      </c>
      <c r="N469" s="14">
        <f>CHOOSE(CONTROL!$C$42, 23.6484, 23.6484) * CHOOSE(CONTROL!$C$21, $C$9, 100%, $E$9)</f>
        <v>23.648399999999999</v>
      </c>
      <c r="O469" s="14">
        <f>CHOOSE(CONTROL!$C$42, 23.7454, 23.7454) * CHOOSE(CONTROL!$C$21, $C$9, 100%, $E$9)</f>
        <v>23.7454</v>
      </c>
      <c r="P469" s="14">
        <f>CHOOSE(CONTROL!$C$42, 23.7326, 23.7326) * CHOOSE(CONTROL!$C$21, $C$9, 100%, $E$9)</f>
        <v>23.732600000000001</v>
      </c>
      <c r="Q469" s="14">
        <f>CHOOSE(CONTROL!$C$42, 24.3401, 24.3401) * CHOOSE(CONTROL!$C$21, $C$9, 100%, $E$9)</f>
        <v>24.3401</v>
      </c>
      <c r="R469" s="14">
        <f>CHOOSE(CONTROL!$C$42, 24.9879, 24.9879) * CHOOSE(CONTROL!$C$21, $C$9, 100%, $E$9)</f>
        <v>24.9879</v>
      </c>
      <c r="S469" s="14">
        <f>CHOOSE(CONTROL!$C$42, 23.1871, 23.1871) * CHOOSE(CONTROL!$C$21, $C$9, 100%, $E$9)</f>
        <v>23.187100000000001</v>
      </c>
      <c r="T46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69" s="57">
        <f>(1000*CHOOSE(CONTROL!$C$42, 695, 695)*CHOOSE(CONTROL!$C$42, 0.5599, 0.5599)*CHOOSE(CONTROL!$C$42, 31, 31))/1000000</f>
        <v>12.063045499999998</v>
      </c>
      <c r="V469" s="57">
        <f>(1000*CHOOSE(CONTROL!$C$42, 500, 500)*CHOOSE(CONTROL!$C$42, 0.275, 0.275)*CHOOSE(CONTROL!$C$42, 31, 31))/1000000</f>
        <v>4.2625000000000002</v>
      </c>
      <c r="W469" s="57">
        <f>(1000*CHOOSE(CONTROL!$C$42, 0.1146, 0.1146)*CHOOSE(CONTROL!$C$42, 121.5, 121.5)*CHOOSE(CONTROL!$C$42, 31, 31))/1000000</f>
        <v>0.43164089999999994</v>
      </c>
      <c r="X469" s="57">
        <f>(31*0.1790888*100000/1000000)+(31*0.2374*100000/1000000)</f>
        <v>1.2911152800000001</v>
      </c>
      <c r="Y469" s="57"/>
      <c r="Z469" s="14"/>
      <c r="AA469" s="56"/>
      <c r="AB469" s="50">
        <f>(B469*122.58+C469*297.941+D469*89.177+E469*40.302+F469*40+G469*160+H469*0+I469*100+J469*300)/(122.58+297.941+89.177+40.302+0+40+160+100+300)</f>
        <v>24.15204830069565</v>
      </c>
      <c r="AC469" s="45">
        <f>(M469*'RAP TEMPLATE-GAS AVAILABILITY'!O468+N469*'RAP TEMPLATE-GAS AVAILABILITY'!P468+O469*'RAP TEMPLATE-GAS AVAILABILITY'!Q468+P469*'RAP TEMPLATE-GAS AVAILABILITY'!R468)/('RAP TEMPLATE-GAS AVAILABILITY'!O468+'RAP TEMPLATE-GAS AVAILABILITY'!P468+'RAP TEMPLATE-GAS AVAILABILITY'!Q468+'RAP TEMPLATE-GAS AVAILABILITY'!R468)</f>
        <v>23.69926474820144</v>
      </c>
    </row>
    <row r="470" spans="1:29" ht="15.75" x14ac:dyDescent="0.25">
      <c r="A470" s="33">
        <v>55212</v>
      </c>
      <c r="B470" s="14">
        <f>CHOOSE(CONTROL!$C$42, 24.569, 24.569) * CHOOSE(CONTROL!$C$21, $C$9, 100%, $E$9)</f>
        <v>24.568999999999999</v>
      </c>
      <c r="C470" s="14">
        <f>CHOOSE(CONTROL!$C$42, 24.5741, 24.5741) * CHOOSE(CONTROL!$C$21, $C$9, 100%, $E$9)</f>
        <v>24.574100000000001</v>
      </c>
      <c r="D470" s="14">
        <f>CHOOSE(CONTROL!$C$42, 24.6405, 24.6405) * CHOOSE(CONTROL!$C$21, $C$9, 100%, $E$9)</f>
        <v>24.640499999999999</v>
      </c>
      <c r="E470" s="14">
        <f>CHOOSE(CONTROL!$C$42, 24.6746, 24.6746) * CHOOSE(CONTROL!$C$21, $C$9, 100%, $E$9)</f>
        <v>24.674600000000002</v>
      </c>
      <c r="F470" s="14">
        <f>CHOOSE(CONTROL!$C$42, 24.5564, 24.5564)*CHOOSE(CONTROL!$C$21, $C$9, 100%, $E$9)</f>
        <v>24.5564</v>
      </c>
      <c r="G470" s="14">
        <f>CHOOSE(CONTROL!$C$42, 24.5719, 24.5719)*CHOOSE(CONTROL!$C$21, $C$9, 100%, $E$9)</f>
        <v>24.571899999999999</v>
      </c>
      <c r="H470" s="14">
        <f>CHOOSE(CONTROL!$C$42, 24.6638, 24.6638) * CHOOSE(CONTROL!$C$21, $C$9, 100%, $E$9)</f>
        <v>24.663799999999998</v>
      </c>
      <c r="I470" s="14">
        <f>CHOOSE(CONTROL!$C$42, 24.6536, 24.6536)* CHOOSE(CONTROL!$C$21, $C$9, 100%, $E$9)</f>
        <v>24.653600000000001</v>
      </c>
      <c r="J470" s="14">
        <f>CHOOSE(CONTROL!$C$42, 24.5494, 24.5494)* CHOOSE(CONTROL!$C$21, $C$9, 100%, $E$9)</f>
        <v>24.549399999999999</v>
      </c>
      <c r="K470" s="53">
        <f>CHOOSE(CONTROL!$C$42, 24.6497, 24.6497) * CHOOSE(CONTROL!$C$21, $C$9, 100%, $E$9)</f>
        <v>24.649699999999999</v>
      </c>
      <c r="L470" s="14">
        <f>CHOOSE(CONTROL!$C$42, 25.2508, 25.2508) * CHOOSE(CONTROL!$C$21, $C$9, 100%, $E$9)</f>
        <v>25.250800000000002</v>
      </c>
      <c r="M470" s="14">
        <f>CHOOSE(CONTROL!$C$42, 24.0541, 24.0541) * CHOOSE(CONTROL!$C$21, $C$9, 100%, $E$9)</f>
        <v>24.054099999999998</v>
      </c>
      <c r="N470" s="14">
        <f>CHOOSE(CONTROL!$C$42, 24.0693, 24.0693) * CHOOSE(CONTROL!$C$21, $C$9, 100%, $E$9)</f>
        <v>24.069299999999998</v>
      </c>
      <c r="O470" s="14">
        <f>CHOOSE(CONTROL!$C$42, 24.1661, 24.1661) * CHOOSE(CONTROL!$C$21, $C$9, 100%, $E$9)</f>
        <v>24.1661</v>
      </c>
      <c r="P470" s="14">
        <f>CHOOSE(CONTROL!$C$42, 24.1547, 24.1547) * CHOOSE(CONTROL!$C$21, $C$9, 100%, $E$9)</f>
        <v>24.154699999999998</v>
      </c>
      <c r="Q470" s="14">
        <f>CHOOSE(CONTROL!$C$42, 24.7608, 24.7608) * CHOOSE(CONTROL!$C$21, $C$9, 100%, $E$9)</f>
        <v>24.7608</v>
      </c>
      <c r="R470" s="14">
        <f>CHOOSE(CONTROL!$C$42, 25.4097, 25.4097) * CHOOSE(CONTROL!$C$21, $C$9, 100%, $E$9)</f>
        <v>25.409700000000001</v>
      </c>
      <c r="S470" s="14">
        <f>CHOOSE(CONTROL!$C$42, 23.5998, 23.5998) * CHOOSE(CONTROL!$C$21, $C$9, 100%, $E$9)</f>
        <v>23.599799999999998</v>
      </c>
      <c r="T47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70" s="57">
        <f>(1000*CHOOSE(CONTROL!$C$42, 695, 695)*CHOOSE(CONTROL!$C$42, 0.5599, 0.5599)*CHOOSE(CONTROL!$C$42, 28, 28))/1000000</f>
        <v>10.895653999999999</v>
      </c>
      <c r="V470" s="57">
        <f>(1000*CHOOSE(CONTROL!$C$42, 500, 500)*CHOOSE(CONTROL!$C$42, 0.275, 0.275)*CHOOSE(CONTROL!$C$42, 28, 28))/1000000</f>
        <v>3.85</v>
      </c>
      <c r="W470" s="57">
        <f>(1000*CHOOSE(CONTROL!$C$42, 0.1146, 0.1146)*CHOOSE(CONTROL!$C$42, 121.5, 121.5)*CHOOSE(CONTROL!$C$42, 28, 28))/1000000</f>
        <v>0.38986920000000003</v>
      </c>
      <c r="X470" s="57">
        <f>(28*0.1790888*100000/1000000)+(28*0.2374*100000/1000000)</f>
        <v>1.16616864</v>
      </c>
      <c r="Y470" s="57"/>
      <c r="Z470" s="14"/>
      <c r="AA470" s="56"/>
      <c r="AB470" s="50">
        <f>(B470*122.58+C470*297.941+D470*89.177+E470*40.302+F470*40+G470*160+H470*0+I470*100+J470*300)/(122.58+297.941+89.177+40.302+0+40+160+100+300)</f>
        <v>24.581775257217394</v>
      </c>
      <c r="AC470" s="45">
        <f>(M470*'RAP TEMPLATE-GAS AVAILABILITY'!O469+N470*'RAP TEMPLATE-GAS AVAILABILITY'!P469+O470*'RAP TEMPLATE-GAS AVAILABILITY'!Q469+P470*'RAP TEMPLATE-GAS AVAILABILITY'!R469)/('RAP TEMPLATE-GAS AVAILABILITY'!O469+'RAP TEMPLATE-GAS AVAILABILITY'!P469+'RAP TEMPLATE-GAS AVAILABILITY'!Q469+'RAP TEMPLATE-GAS AVAILABILITY'!R469)</f>
        <v>24.120212230215827</v>
      </c>
    </row>
    <row r="471" spans="1:29" ht="15.75" x14ac:dyDescent="0.25">
      <c r="A471" s="33">
        <v>55243</v>
      </c>
      <c r="B471" s="14">
        <f>CHOOSE(CONTROL!$C$42, 23.8717, 23.8717) * CHOOSE(CONTROL!$C$21, $C$9, 100%, $E$9)</f>
        <v>23.871700000000001</v>
      </c>
      <c r="C471" s="14">
        <f>CHOOSE(CONTROL!$C$42, 23.8768, 23.8768) * CHOOSE(CONTROL!$C$21, $C$9, 100%, $E$9)</f>
        <v>23.876799999999999</v>
      </c>
      <c r="D471" s="14">
        <f>CHOOSE(CONTROL!$C$42, 23.9432, 23.9432) * CHOOSE(CONTROL!$C$21, $C$9, 100%, $E$9)</f>
        <v>23.943200000000001</v>
      </c>
      <c r="E471" s="14">
        <f>CHOOSE(CONTROL!$C$42, 23.9773, 23.9773) * CHOOSE(CONTROL!$C$21, $C$9, 100%, $E$9)</f>
        <v>23.9773</v>
      </c>
      <c r="F471" s="14">
        <f>CHOOSE(CONTROL!$C$42, 23.8587, 23.8587)*CHOOSE(CONTROL!$C$21, $C$9, 100%, $E$9)</f>
        <v>23.858699999999999</v>
      </c>
      <c r="G471" s="14">
        <f>CHOOSE(CONTROL!$C$42, 23.8741, 23.8741)*CHOOSE(CONTROL!$C$21, $C$9, 100%, $E$9)</f>
        <v>23.874099999999999</v>
      </c>
      <c r="H471" s="14">
        <f>CHOOSE(CONTROL!$C$42, 23.9665, 23.9665) * CHOOSE(CONTROL!$C$21, $C$9, 100%, $E$9)</f>
        <v>23.9665</v>
      </c>
      <c r="I471" s="14">
        <f>CHOOSE(CONTROL!$C$42, 23.9541, 23.9541)* CHOOSE(CONTROL!$C$21, $C$9, 100%, $E$9)</f>
        <v>23.9541</v>
      </c>
      <c r="J471" s="14">
        <f>CHOOSE(CONTROL!$C$42, 23.8517, 23.8517)* CHOOSE(CONTROL!$C$21, $C$9, 100%, $E$9)</f>
        <v>23.851700000000001</v>
      </c>
      <c r="K471" s="53">
        <f>CHOOSE(CONTROL!$C$42, 23.9502, 23.9502) * CHOOSE(CONTROL!$C$21, $C$9, 100%, $E$9)</f>
        <v>23.950199999999999</v>
      </c>
      <c r="L471" s="14">
        <f>CHOOSE(CONTROL!$C$42, 24.5535, 24.5535) * CHOOSE(CONTROL!$C$21, $C$9, 100%, $E$9)</f>
        <v>24.5535</v>
      </c>
      <c r="M471" s="14">
        <f>CHOOSE(CONTROL!$C$42, 23.3707, 23.3707) * CHOOSE(CONTROL!$C$21, $C$9, 100%, $E$9)</f>
        <v>23.370699999999999</v>
      </c>
      <c r="N471" s="14">
        <f>CHOOSE(CONTROL!$C$42, 23.3858, 23.3858) * CHOOSE(CONTROL!$C$21, $C$9, 100%, $E$9)</f>
        <v>23.3858</v>
      </c>
      <c r="O471" s="14">
        <f>CHOOSE(CONTROL!$C$42, 23.4832, 23.4832) * CHOOSE(CONTROL!$C$21, $C$9, 100%, $E$9)</f>
        <v>23.4832</v>
      </c>
      <c r="P471" s="14">
        <f>CHOOSE(CONTROL!$C$42, 23.4696, 23.4696) * CHOOSE(CONTROL!$C$21, $C$9, 100%, $E$9)</f>
        <v>23.4696</v>
      </c>
      <c r="Q471" s="14">
        <f>CHOOSE(CONTROL!$C$42, 24.0779, 24.0779) * CHOOSE(CONTROL!$C$21, $C$9, 100%, $E$9)</f>
        <v>24.0779</v>
      </c>
      <c r="R471" s="14">
        <f>CHOOSE(CONTROL!$C$42, 24.725, 24.725) * CHOOSE(CONTROL!$C$21, $C$9, 100%, $E$9)</f>
        <v>24.725000000000001</v>
      </c>
      <c r="S471" s="14">
        <f>CHOOSE(CONTROL!$C$42, 22.9298, 22.9298) * CHOOSE(CONTROL!$C$21, $C$9, 100%, $E$9)</f>
        <v>22.9298</v>
      </c>
      <c r="T47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71" s="57">
        <f>(1000*CHOOSE(CONTROL!$C$42, 695, 695)*CHOOSE(CONTROL!$C$42, 0.5599, 0.5599)*CHOOSE(CONTROL!$C$42, 31, 31))/1000000</f>
        <v>12.063045499999998</v>
      </c>
      <c r="V471" s="57">
        <f>(1000*CHOOSE(CONTROL!$C$42, 500, 500)*CHOOSE(CONTROL!$C$42, 0.275, 0.275)*CHOOSE(CONTROL!$C$42, 31, 31))/1000000</f>
        <v>4.2625000000000002</v>
      </c>
      <c r="W471" s="57">
        <f>(1000*CHOOSE(CONTROL!$C$42, 0.1146, 0.1146)*CHOOSE(CONTROL!$C$42, 121.5, 121.5)*CHOOSE(CONTROL!$C$42, 31, 31))/1000000</f>
        <v>0.43164089999999994</v>
      </c>
      <c r="X471" s="57">
        <f>(31*0.1790888*100000/1000000)+(31*0.2374*100000/1000000)</f>
        <v>1.2911152800000001</v>
      </c>
      <c r="Y471" s="57"/>
      <c r="Z471" s="14"/>
      <c r="AA471" s="56"/>
      <c r="AB471" s="50">
        <f>(B471*122.58+C471*297.941+D471*89.177+E471*40.302+F471*40+G471*160+H471*0+I471*100+J471*300)/(122.58+297.941+89.177+40.302+0+40+160+100+300)</f>
        <v>23.884096126782602</v>
      </c>
      <c r="AC471" s="45">
        <f>(M471*'RAP TEMPLATE-GAS AVAILABILITY'!O470+N471*'RAP TEMPLATE-GAS AVAILABILITY'!P470+O471*'RAP TEMPLATE-GAS AVAILABILITY'!Q470+P471*'RAP TEMPLATE-GAS AVAILABILITY'!R470)/('RAP TEMPLATE-GAS AVAILABILITY'!O470+'RAP TEMPLATE-GAS AVAILABILITY'!P470+'RAP TEMPLATE-GAS AVAILABILITY'!Q470+'RAP TEMPLATE-GAS AVAILABILITY'!R470)</f>
        <v>23.436788489208631</v>
      </c>
    </row>
    <row r="472" spans="1:29" ht="15.75" x14ac:dyDescent="0.25">
      <c r="A472" s="33">
        <v>55273</v>
      </c>
      <c r="B472" s="14">
        <f>CHOOSE(CONTROL!$C$42, 23.8015, 23.8015) * CHOOSE(CONTROL!$C$21, $C$9, 100%, $E$9)</f>
        <v>23.801500000000001</v>
      </c>
      <c r="C472" s="14">
        <f>CHOOSE(CONTROL!$C$42, 23.8059, 23.8059) * CHOOSE(CONTROL!$C$21, $C$9, 100%, $E$9)</f>
        <v>23.805900000000001</v>
      </c>
      <c r="D472" s="14">
        <f>CHOOSE(CONTROL!$C$42, 24.013, 24.013) * CHOOSE(CONTROL!$C$21, $C$9, 100%, $E$9)</f>
        <v>24.013000000000002</v>
      </c>
      <c r="E472" s="14">
        <f>CHOOSE(CONTROL!$C$42, 24.0451, 24.0451) * CHOOSE(CONTROL!$C$21, $C$9, 100%, $E$9)</f>
        <v>24.045100000000001</v>
      </c>
      <c r="F472" s="14">
        <f>CHOOSE(CONTROL!$C$42, 23.7833, 23.7833)*CHOOSE(CONTROL!$C$21, $C$9, 100%, $E$9)</f>
        <v>23.783300000000001</v>
      </c>
      <c r="G472" s="14">
        <f>CHOOSE(CONTROL!$C$42, 23.7985, 23.7985)*CHOOSE(CONTROL!$C$21, $C$9, 100%, $E$9)</f>
        <v>23.798500000000001</v>
      </c>
      <c r="H472" s="14">
        <f>CHOOSE(CONTROL!$C$42, 24.0349, 24.0349) * CHOOSE(CONTROL!$C$21, $C$9, 100%, $E$9)</f>
        <v>24.0349</v>
      </c>
      <c r="I472" s="14">
        <f>CHOOSE(CONTROL!$C$42, 23.8828, 23.8828)* CHOOSE(CONTROL!$C$21, $C$9, 100%, $E$9)</f>
        <v>23.8828</v>
      </c>
      <c r="J472" s="14">
        <f>CHOOSE(CONTROL!$C$42, 23.7763, 23.7763)* CHOOSE(CONTROL!$C$21, $C$9, 100%, $E$9)</f>
        <v>23.776299999999999</v>
      </c>
      <c r="K472" s="53">
        <f>CHOOSE(CONTROL!$C$42, 23.879, 23.879) * CHOOSE(CONTROL!$C$21, $C$9, 100%, $E$9)</f>
        <v>23.879000000000001</v>
      </c>
      <c r="L472" s="14">
        <f>CHOOSE(CONTROL!$C$42, 24.6219, 24.6219) * CHOOSE(CONTROL!$C$21, $C$9, 100%, $E$9)</f>
        <v>24.6219</v>
      </c>
      <c r="M472" s="14">
        <f>CHOOSE(CONTROL!$C$42, 23.2969, 23.2969) * CHOOSE(CONTROL!$C$21, $C$9, 100%, $E$9)</f>
        <v>23.296900000000001</v>
      </c>
      <c r="N472" s="14">
        <f>CHOOSE(CONTROL!$C$42, 23.3118, 23.3118) * CHOOSE(CONTROL!$C$21, $C$9, 100%, $E$9)</f>
        <v>23.311800000000002</v>
      </c>
      <c r="O472" s="14">
        <f>CHOOSE(CONTROL!$C$42, 23.5502, 23.5502) * CHOOSE(CONTROL!$C$21, $C$9, 100%, $E$9)</f>
        <v>23.5502</v>
      </c>
      <c r="P472" s="14">
        <f>CHOOSE(CONTROL!$C$42, 23.3998, 23.3998) * CHOOSE(CONTROL!$C$21, $C$9, 100%, $E$9)</f>
        <v>23.399799999999999</v>
      </c>
      <c r="Q472" s="14">
        <f>CHOOSE(CONTROL!$C$42, 24.1449, 24.1449) * CHOOSE(CONTROL!$C$21, $C$9, 100%, $E$9)</f>
        <v>24.1449</v>
      </c>
      <c r="R472" s="14">
        <f>CHOOSE(CONTROL!$C$42, 24.7922, 24.7922) * CHOOSE(CONTROL!$C$21, $C$9, 100%, $E$9)</f>
        <v>24.792200000000001</v>
      </c>
      <c r="S472" s="14">
        <f>CHOOSE(CONTROL!$C$42, 22.8615, 22.8615) * CHOOSE(CONTROL!$C$21, $C$9, 100%, $E$9)</f>
        <v>22.861499999999999</v>
      </c>
      <c r="T47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72" s="57">
        <f>(1000*CHOOSE(CONTROL!$C$42, 695, 695)*CHOOSE(CONTROL!$C$42, 0.5599, 0.5599)*CHOOSE(CONTROL!$C$42, 30, 30))/1000000</f>
        <v>11.673914999999997</v>
      </c>
      <c r="V472" s="57">
        <f>(1000*CHOOSE(CONTROL!$C$42, 500, 500)*CHOOSE(CONTROL!$C$42, 0.275, 0.275)*CHOOSE(CONTROL!$C$42, 30, 30))/1000000</f>
        <v>4.125</v>
      </c>
      <c r="W472" s="57">
        <f>(1000*CHOOSE(CONTROL!$C$42, 0.1146, 0.1146)*CHOOSE(CONTROL!$C$42, 121.5, 121.5)*CHOOSE(CONTROL!$C$42, 30, 30))/1000000</f>
        <v>0.417717</v>
      </c>
      <c r="X472" s="57">
        <f>(30*0.1790888*245000/1000000)+(30*0.2374*100000/1000000)</f>
        <v>2.0285026799999999</v>
      </c>
      <c r="Y472" s="57"/>
      <c r="Z472" s="14"/>
      <c r="AA472" s="56"/>
      <c r="AB472" s="50">
        <f>(B472*141.293+C472*267.993+D472*115.016+E472*89.698+F472*40+G472*185+H472*0+I472*100+J472*300)/(141.293+267.993+115.016+89.698+0+40+185+100+300)</f>
        <v>23.839145267150929</v>
      </c>
      <c r="AC472" s="45">
        <f>(M472*'RAP TEMPLATE-GAS AVAILABILITY'!O471+N472*'RAP TEMPLATE-GAS AVAILABILITY'!P471+O472*'RAP TEMPLATE-GAS AVAILABILITY'!Q471+P472*'RAP TEMPLATE-GAS AVAILABILITY'!R471)/('RAP TEMPLATE-GAS AVAILABILITY'!O471+'RAP TEMPLATE-GAS AVAILABILITY'!P471+'RAP TEMPLATE-GAS AVAILABILITY'!Q471+'RAP TEMPLATE-GAS AVAILABILITY'!R471)</f>
        <v>23.386205755395682</v>
      </c>
    </row>
    <row r="473" spans="1:29" ht="15.75" x14ac:dyDescent="0.25">
      <c r="A473" s="33">
        <v>55304</v>
      </c>
      <c r="B473" s="14">
        <f>CHOOSE(CONTROL!$C$42, 24.0128, 24.0128) * CHOOSE(CONTROL!$C$21, $C$9, 100%, $E$9)</f>
        <v>24.012799999999999</v>
      </c>
      <c r="C473" s="14">
        <f>CHOOSE(CONTROL!$C$42, 24.0209, 24.0209) * CHOOSE(CONTROL!$C$21, $C$9, 100%, $E$9)</f>
        <v>24.020900000000001</v>
      </c>
      <c r="D473" s="14">
        <f>CHOOSE(CONTROL!$C$42, 24.2248, 24.2248) * CHOOSE(CONTROL!$C$21, $C$9, 100%, $E$9)</f>
        <v>24.224799999999998</v>
      </c>
      <c r="E473" s="14">
        <f>CHOOSE(CONTROL!$C$42, 24.2563, 24.2563) * CHOOSE(CONTROL!$C$21, $C$9, 100%, $E$9)</f>
        <v>24.2563</v>
      </c>
      <c r="F473" s="14">
        <f>CHOOSE(CONTROL!$C$42, 23.9936, 23.9936)*CHOOSE(CONTROL!$C$21, $C$9, 100%, $E$9)</f>
        <v>23.993600000000001</v>
      </c>
      <c r="G473" s="14">
        <f>CHOOSE(CONTROL!$C$42, 24.0092, 24.0092)*CHOOSE(CONTROL!$C$21, $C$9, 100%, $E$9)</f>
        <v>24.0092</v>
      </c>
      <c r="H473" s="14">
        <f>CHOOSE(CONTROL!$C$42, 24.2449, 24.2449) * CHOOSE(CONTROL!$C$21, $C$9, 100%, $E$9)</f>
        <v>24.244900000000001</v>
      </c>
      <c r="I473" s="14">
        <f>CHOOSE(CONTROL!$C$42, 24.0935, 24.0935)* CHOOSE(CONTROL!$C$21, $C$9, 100%, $E$9)</f>
        <v>24.093499999999999</v>
      </c>
      <c r="J473" s="14">
        <f>CHOOSE(CONTROL!$C$42, 23.9866, 23.9866)* CHOOSE(CONTROL!$C$21, $C$9, 100%, $E$9)</f>
        <v>23.986599999999999</v>
      </c>
      <c r="K473" s="53">
        <f>CHOOSE(CONTROL!$C$42, 24.0896, 24.0896) * CHOOSE(CONTROL!$C$21, $C$9, 100%, $E$9)</f>
        <v>24.089600000000001</v>
      </c>
      <c r="L473" s="14">
        <f>CHOOSE(CONTROL!$C$42, 24.8319, 24.8319) * CHOOSE(CONTROL!$C$21, $C$9, 100%, $E$9)</f>
        <v>24.831900000000001</v>
      </c>
      <c r="M473" s="14">
        <f>CHOOSE(CONTROL!$C$42, 23.5028, 23.5028) * CHOOSE(CONTROL!$C$21, $C$9, 100%, $E$9)</f>
        <v>23.502800000000001</v>
      </c>
      <c r="N473" s="14">
        <f>CHOOSE(CONTROL!$C$42, 23.5181, 23.5181) * CHOOSE(CONTROL!$C$21, $C$9, 100%, $E$9)</f>
        <v>23.5181</v>
      </c>
      <c r="O473" s="14">
        <f>CHOOSE(CONTROL!$C$42, 23.7558, 23.7558) * CHOOSE(CONTROL!$C$21, $C$9, 100%, $E$9)</f>
        <v>23.755800000000001</v>
      </c>
      <c r="P473" s="14">
        <f>CHOOSE(CONTROL!$C$42, 23.6061, 23.6061) * CHOOSE(CONTROL!$C$21, $C$9, 100%, $E$9)</f>
        <v>23.606100000000001</v>
      </c>
      <c r="Q473" s="14">
        <f>CHOOSE(CONTROL!$C$42, 24.3505, 24.3505) * CHOOSE(CONTROL!$C$21, $C$9, 100%, $E$9)</f>
        <v>24.3505</v>
      </c>
      <c r="R473" s="14">
        <f>CHOOSE(CONTROL!$C$42, 24.9984, 24.9984) * CHOOSE(CONTROL!$C$21, $C$9, 100%, $E$9)</f>
        <v>24.9984</v>
      </c>
      <c r="S473" s="14">
        <f>CHOOSE(CONTROL!$C$42, 23.0633, 23.0633) * CHOOSE(CONTROL!$C$21, $C$9, 100%, $E$9)</f>
        <v>23.063300000000002</v>
      </c>
      <c r="T47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73" s="57">
        <f>(1000*CHOOSE(CONTROL!$C$42, 695, 695)*CHOOSE(CONTROL!$C$42, 0.5599, 0.5599)*CHOOSE(CONTROL!$C$42, 31, 31))/1000000</f>
        <v>12.063045499999998</v>
      </c>
      <c r="V473" s="57">
        <f>(1000*CHOOSE(CONTROL!$C$42, 500, 500)*CHOOSE(CONTROL!$C$42, 0.275, 0.275)*CHOOSE(CONTROL!$C$42, 31, 31))/1000000</f>
        <v>4.2625000000000002</v>
      </c>
      <c r="W473" s="57">
        <f>(1000*CHOOSE(CONTROL!$C$42, 0.1146, 0.1146)*CHOOSE(CONTROL!$C$42, 121.5, 121.5)*CHOOSE(CONTROL!$C$42, 31, 31))/1000000</f>
        <v>0.43164089999999994</v>
      </c>
      <c r="X473" s="57">
        <f>(31*0.1790888*245000/1000000)+(31*0.2374*100000/1000000)</f>
        <v>2.0961194359999999</v>
      </c>
      <c r="Y473" s="57"/>
      <c r="Z473" s="14"/>
      <c r="AA473" s="56"/>
      <c r="AB473" s="50">
        <f>(B473*194.205+C473*267.466+D473*133.845+E473*53.484+F473*40+G473*185+H473*0+I473*100+J473*300)/(194.205+267.466+133.845+53.484+0+40+185+100+300)</f>
        <v>24.046034669230767</v>
      </c>
      <c r="AC473" s="45">
        <f>(M473*'RAP TEMPLATE-GAS AVAILABILITY'!O472+N473*'RAP TEMPLATE-GAS AVAILABILITY'!P472+O473*'RAP TEMPLATE-GAS AVAILABILITY'!Q472+P473*'RAP TEMPLATE-GAS AVAILABILITY'!R472)/('RAP TEMPLATE-GAS AVAILABILITY'!O472+'RAP TEMPLATE-GAS AVAILABILITY'!P472+'RAP TEMPLATE-GAS AVAILABILITY'!Q472+'RAP TEMPLATE-GAS AVAILABILITY'!R472)</f>
        <v>23.592171223021584</v>
      </c>
    </row>
    <row r="474" spans="1:29" ht="15.75" x14ac:dyDescent="0.25">
      <c r="A474" s="33">
        <v>55334</v>
      </c>
      <c r="B474" s="14">
        <f>CHOOSE(CONTROL!$C$42, 24.6937, 24.6937) * CHOOSE(CONTROL!$C$21, $C$9, 100%, $E$9)</f>
        <v>24.6937</v>
      </c>
      <c r="C474" s="14">
        <f>CHOOSE(CONTROL!$C$42, 24.7017, 24.7017) * CHOOSE(CONTROL!$C$21, $C$9, 100%, $E$9)</f>
        <v>24.701699999999999</v>
      </c>
      <c r="D474" s="14">
        <f>CHOOSE(CONTROL!$C$42, 24.9056, 24.9056) * CHOOSE(CONTROL!$C$21, $C$9, 100%, $E$9)</f>
        <v>24.9056</v>
      </c>
      <c r="E474" s="14">
        <f>CHOOSE(CONTROL!$C$42, 24.9371, 24.9371) * CHOOSE(CONTROL!$C$21, $C$9, 100%, $E$9)</f>
        <v>24.937100000000001</v>
      </c>
      <c r="F474" s="14">
        <f>CHOOSE(CONTROL!$C$42, 24.6748, 24.6748)*CHOOSE(CONTROL!$C$21, $C$9, 100%, $E$9)</f>
        <v>24.674800000000001</v>
      </c>
      <c r="G474" s="14">
        <f>CHOOSE(CONTROL!$C$42, 24.6906, 24.6906)*CHOOSE(CONTROL!$C$21, $C$9, 100%, $E$9)</f>
        <v>24.6906</v>
      </c>
      <c r="H474" s="14">
        <f>CHOOSE(CONTROL!$C$42, 24.9257, 24.9257) * CHOOSE(CONTROL!$C$21, $C$9, 100%, $E$9)</f>
        <v>24.925699999999999</v>
      </c>
      <c r="I474" s="14">
        <f>CHOOSE(CONTROL!$C$42, 24.7764, 24.7764)* CHOOSE(CONTROL!$C$21, $C$9, 100%, $E$9)</f>
        <v>24.776399999999999</v>
      </c>
      <c r="J474" s="14">
        <f>CHOOSE(CONTROL!$C$42, 24.6678, 24.6678)* CHOOSE(CONTROL!$C$21, $C$9, 100%, $E$9)</f>
        <v>24.6678</v>
      </c>
      <c r="K474" s="53">
        <f>CHOOSE(CONTROL!$C$42, 24.7725, 24.7725) * CHOOSE(CONTROL!$C$21, $C$9, 100%, $E$9)</f>
        <v>24.772500000000001</v>
      </c>
      <c r="L474" s="14">
        <f>CHOOSE(CONTROL!$C$42, 25.5127, 25.5127) * CHOOSE(CONTROL!$C$21, $C$9, 100%, $E$9)</f>
        <v>25.512699999999999</v>
      </c>
      <c r="M474" s="14">
        <f>CHOOSE(CONTROL!$C$42, 24.1701, 24.1701) * CHOOSE(CONTROL!$C$21, $C$9, 100%, $E$9)</f>
        <v>24.170100000000001</v>
      </c>
      <c r="N474" s="14">
        <f>CHOOSE(CONTROL!$C$42, 24.1855, 24.1855) * CHOOSE(CONTROL!$C$21, $C$9, 100%, $E$9)</f>
        <v>24.185500000000001</v>
      </c>
      <c r="O474" s="14">
        <f>CHOOSE(CONTROL!$C$42, 24.4227, 24.4227) * CHOOSE(CONTROL!$C$21, $C$9, 100%, $E$9)</f>
        <v>24.422699999999999</v>
      </c>
      <c r="P474" s="14">
        <f>CHOOSE(CONTROL!$C$42, 24.275, 24.275) * CHOOSE(CONTROL!$C$21, $C$9, 100%, $E$9)</f>
        <v>24.274999999999999</v>
      </c>
      <c r="Q474" s="14">
        <f>CHOOSE(CONTROL!$C$42, 25.0174, 25.0174) * CHOOSE(CONTROL!$C$21, $C$9, 100%, $E$9)</f>
        <v>25.017399999999999</v>
      </c>
      <c r="R474" s="14">
        <f>CHOOSE(CONTROL!$C$42, 25.6669, 25.6669) * CHOOSE(CONTROL!$C$21, $C$9, 100%, $E$9)</f>
        <v>25.666899999999998</v>
      </c>
      <c r="S474" s="14">
        <f>CHOOSE(CONTROL!$C$42, 23.7175, 23.7175) * CHOOSE(CONTROL!$C$21, $C$9, 100%, $E$9)</f>
        <v>23.717500000000001</v>
      </c>
      <c r="T47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74" s="57">
        <f>(1000*CHOOSE(CONTROL!$C$42, 695, 695)*CHOOSE(CONTROL!$C$42, 0.5599, 0.5599)*CHOOSE(CONTROL!$C$42, 30, 30))/1000000</f>
        <v>11.673914999999997</v>
      </c>
      <c r="V474" s="57">
        <f>(1000*CHOOSE(CONTROL!$C$42, 500, 500)*CHOOSE(CONTROL!$C$42, 0.275, 0.275)*CHOOSE(CONTROL!$C$42, 30, 30))/1000000</f>
        <v>4.125</v>
      </c>
      <c r="W474" s="57">
        <f>(1000*CHOOSE(CONTROL!$C$42, 0.1146, 0.1146)*CHOOSE(CONTROL!$C$42, 121.5, 121.5)*CHOOSE(CONTROL!$C$42, 30, 30))/1000000</f>
        <v>0.417717</v>
      </c>
      <c r="X474" s="57">
        <f>(30*0.1790888*245000/1000000)+(30*0.2374*100000/1000000)</f>
        <v>2.0285026799999999</v>
      </c>
      <c r="Y474" s="57"/>
      <c r="Z474" s="14"/>
      <c r="AA474" s="56"/>
      <c r="AB474" s="50">
        <f>(B474*194.205+C474*267.466+D474*133.845+E474*53.484+F474*40+G474*185+H474*0+I474*100+J474*300)/(194.205+267.466+133.845+53.484+0+40+185+100+300)</f>
        <v>24.727208625667188</v>
      </c>
      <c r="AC474" s="45">
        <f>(M474*'RAP TEMPLATE-GAS AVAILABILITY'!O473+N474*'RAP TEMPLATE-GAS AVAILABILITY'!P473+O474*'RAP TEMPLATE-GAS AVAILABILITY'!Q473+P474*'RAP TEMPLATE-GAS AVAILABILITY'!R473)/('RAP TEMPLATE-GAS AVAILABILITY'!O473+'RAP TEMPLATE-GAS AVAILABILITY'!P473+'RAP TEMPLATE-GAS AVAILABILITY'!Q473+'RAP TEMPLATE-GAS AVAILABILITY'!R473)</f>
        <v>24.259612230215829</v>
      </c>
    </row>
    <row r="475" spans="1:29" ht="15.75" x14ac:dyDescent="0.25">
      <c r="A475" s="33">
        <v>55365</v>
      </c>
      <c r="B475" s="14">
        <f>CHOOSE(CONTROL!$C$42, 24.2201, 24.2201) * CHOOSE(CONTROL!$C$21, $C$9, 100%, $E$9)</f>
        <v>24.220099999999999</v>
      </c>
      <c r="C475" s="14">
        <f>CHOOSE(CONTROL!$C$42, 24.2282, 24.2282) * CHOOSE(CONTROL!$C$21, $C$9, 100%, $E$9)</f>
        <v>24.228200000000001</v>
      </c>
      <c r="D475" s="14">
        <f>CHOOSE(CONTROL!$C$42, 24.4321, 24.4321) * CHOOSE(CONTROL!$C$21, $C$9, 100%, $E$9)</f>
        <v>24.432099999999998</v>
      </c>
      <c r="E475" s="14">
        <f>CHOOSE(CONTROL!$C$42, 24.4636, 24.4636) * CHOOSE(CONTROL!$C$21, $C$9, 100%, $E$9)</f>
        <v>24.4636</v>
      </c>
      <c r="F475" s="14">
        <f>CHOOSE(CONTROL!$C$42, 24.2018, 24.2018)*CHOOSE(CONTROL!$C$21, $C$9, 100%, $E$9)</f>
        <v>24.201799999999999</v>
      </c>
      <c r="G475" s="14">
        <f>CHOOSE(CONTROL!$C$42, 24.2177, 24.2177)*CHOOSE(CONTROL!$C$21, $C$9, 100%, $E$9)</f>
        <v>24.217700000000001</v>
      </c>
      <c r="H475" s="14">
        <f>CHOOSE(CONTROL!$C$42, 24.4522, 24.4522) * CHOOSE(CONTROL!$C$21, $C$9, 100%, $E$9)</f>
        <v>24.452200000000001</v>
      </c>
      <c r="I475" s="14">
        <f>CHOOSE(CONTROL!$C$42, 24.3014, 24.3014)* CHOOSE(CONTROL!$C$21, $C$9, 100%, $E$9)</f>
        <v>24.301400000000001</v>
      </c>
      <c r="J475" s="14">
        <f>CHOOSE(CONTROL!$C$42, 24.1948, 24.1948)* CHOOSE(CONTROL!$C$21, $C$9, 100%, $E$9)</f>
        <v>24.194800000000001</v>
      </c>
      <c r="K475" s="53">
        <f>CHOOSE(CONTROL!$C$42, 24.2975, 24.2975) * CHOOSE(CONTROL!$C$21, $C$9, 100%, $E$9)</f>
        <v>24.297499999999999</v>
      </c>
      <c r="L475" s="14">
        <f>CHOOSE(CONTROL!$C$42, 25.0392, 25.0392) * CHOOSE(CONTROL!$C$21, $C$9, 100%, $E$9)</f>
        <v>25.039200000000001</v>
      </c>
      <c r="M475" s="14">
        <f>CHOOSE(CONTROL!$C$42, 23.7067, 23.7067) * CHOOSE(CONTROL!$C$21, $C$9, 100%, $E$9)</f>
        <v>23.706700000000001</v>
      </c>
      <c r="N475" s="14">
        <f>CHOOSE(CONTROL!$C$42, 23.7223, 23.7223) * CHOOSE(CONTROL!$C$21, $C$9, 100%, $E$9)</f>
        <v>23.722300000000001</v>
      </c>
      <c r="O475" s="14">
        <f>CHOOSE(CONTROL!$C$42, 23.9589, 23.9589) * CHOOSE(CONTROL!$C$21, $C$9, 100%, $E$9)</f>
        <v>23.9589</v>
      </c>
      <c r="P475" s="14">
        <f>CHOOSE(CONTROL!$C$42, 23.8098, 23.8098) * CHOOSE(CONTROL!$C$21, $C$9, 100%, $E$9)</f>
        <v>23.809799999999999</v>
      </c>
      <c r="Q475" s="14">
        <f>CHOOSE(CONTROL!$C$42, 24.5536, 24.5536) * CHOOSE(CONTROL!$C$21, $C$9, 100%, $E$9)</f>
        <v>24.553599999999999</v>
      </c>
      <c r="R475" s="14">
        <f>CHOOSE(CONTROL!$C$42, 25.202, 25.202) * CHOOSE(CONTROL!$C$21, $C$9, 100%, $E$9)</f>
        <v>25.202000000000002</v>
      </c>
      <c r="S475" s="14">
        <f>CHOOSE(CONTROL!$C$42, 23.2625, 23.2625) * CHOOSE(CONTROL!$C$21, $C$9, 100%, $E$9)</f>
        <v>23.262499999999999</v>
      </c>
      <c r="T47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75" s="57">
        <f>(1000*CHOOSE(CONTROL!$C$42, 695, 695)*CHOOSE(CONTROL!$C$42, 0.5599, 0.5599)*CHOOSE(CONTROL!$C$42, 31, 31))/1000000</f>
        <v>12.063045499999998</v>
      </c>
      <c r="V475" s="57">
        <f>(1000*CHOOSE(CONTROL!$C$42, 500, 500)*CHOOSE(CONTROL!$C$42, 0.275, 0.275)*CHOOSE(CONTROL!$C$42, 31, 31))/1000000</f>
        <v>4.2625000000000002</v>
      </c>
      <c r="W475" s="57">
        <f>(1000*CHOOSE(CONTROL!$C$42, 0.1146, 0.1146)*CHOOSE(CONTROL!$C$42, 121.5, 121.5)*CHOOSE(CONTROL!$C$42, 31, 31))/1000000</f>
        <v>0.43164089999999994</v>
      </c>
      <c r="X475" s="57">
        <f>(31*0.1790888*245000/1000000)+(31*0.2374*100000/1000000)</f>
        <v>2.0961194359999999</v>
      </c>
      <c r="Y475" s="57"/>
      <c r="Z475" s="14"/>
      <c r="AA475" s="56"/>
      <c r="AB475" s="50">
        <f>(B475*194.205+C475*267.466+D475*133.845+E475*53.484+F475*40+G475*185+H475*0+I475*100+J475*300)/(194.205+267.466+133.845+53.484+0+40+185+100+300)</f>
        <v>24.253796207692307</v>
      </c>
      <c r="AC475" s="45">
        <f>(M475*'RAP TEMPLATE-GAS AVAILABILITY'!O474+N475*'RAP TEMPLATE-GAS AVAILABILITY'!P474+O475*'RAP TEMPLATE-GAS AVAILABILITY'!Q474+P475*'RAP TEMPLATE-GAS AVAILABILITY'!R474)/('RAP TEMPLATE-GAS AVAILABILITY'!O474+'RAP TEMPLATE-GAS AVAILABILITY'!P474+'RAP TEMPLATE-GAS AVAILABILITY'!Q474+'RAP TEMPLATE-GAS AVAILABILITY'!R474)</f>
        <v>23.79588705035971</v>
      </c>
    </row>
    <row r="476" spans="1:29" ht="15.75" x14ac:dyDescent="0.25">
      <c r="A476" s="33">
        <v>55396</v>
      </c>
      <c r="B476" s="14">
        <f>CHOOSE(CONTROL!$C$42, 23.0244, 23.0244) * CHOOSE(CONTROL!$C$21, $C$9, 100%, $E$9)</f>
        <v>23.0244</v>
      </c>
      <c r="C476" s="14">
        <f>CHOOSE(CONTROL!$C$42, 23.0324, 23.0324) * CHOOSE(CONTROL!$C$21, $C$9, 100%, $E$9)</f>
        <v>23.032399999999999</v>
      </c>
      <c r="D476" s="14">
        <f>CHOOSE(CONTROL!$C$42, 23.2363, 23.2363) * CHOOSE(CONTROL!$C$21, $C$9, 100%, $E$9)</f>
        <v>23.2363</v>
      </c>
      <c r="E476" s="14">
        <f>CHOOSE(CONTROL!$C$42, 23.2678, 23.2678) * CHOOSE(CONTROL!$C$21, $C$9, 100%, $E$9)</f>
        <v>23.267800000000001</v>
      </c>
      <c r="F476" s="14">
        <f>CHOOSE(CONTROL!$C$42, 23.0062, 23.0062)*CHOOSE(CONTROL!$C$21, $C$9, 100%, $E$9)</f>
        <v>23.0062</v>
      </c>
      <c r="G476" s="14">
        <f>CHOOSE(CONTROL!$C$42, 23.0222, 23.0222)*CHOOSE(CONTROL!$C$21, $C$9, 100%, $E$9)</f>
        <v>23.022200000000002</v>
      </c>
      <c r="H476" s="14">
        <f>CHOOSE(CONTROL!$C$42, 23.2564, 23.2564) * CHOOSE(CONTROL!$C$21, $C$9, 100%, $E$9)</f>
        <v>23.256399999999999</v>
      </c>
      <c r="I476" s="14">
        <f>CHOOSE(CONTROL!$C$42, 23.1019, 23.1019)* CHOOSE(CONTROL!$C$21, $C$9, 100%, $E$9)</f>
        <v>23.101900000000001</v>
      </c>
      <c r="J476" s="14">
        <f>CHOOSE(CONTROL!$C$42, 22.9992, 22.9992)* CHOOSE(CONTROL!$C$21, $C$9, 100%, $E$9)</f>
        <v>22.999199999999998</v>
      </c>
      <c r="K476" s="53">
        <f>CHOOSE(CONTROL!$C$42, 23.098, 23.098) * CHOOSE(CONTROL!$C$21, $C$9, 100%, $E$9)</f>
        <v>23.097999999999999</v>
      </c>
      <c r="L476" s="14">
        <f>CHOOSE(CONTROL!$C$42, 23.8434, 23.8434) * CHOOSE(CONTROL!$C$21, $C$9, 100%, $E$9)</f>
        <v>23.843399999999999</v>
      </c>
      <c r="M476" s="14">
        <f>CHOOSE(CONTROL!$C$42, 22.5357, 22.5357) * CHOOSE(CONTROL!$C$21, $C$9, 100%, $E$9)</f>
        <v>22.535699999999999</v>
      </c>
      <c r="N476" s="14">
        <f>CHOOSE(CONTROL!$C$42, 22.5513, 22.5513) * CHOOSE(CONTROL!$C$21, $C$9, 100%, $E$9)</f>
        <v>22.551300000000001</v>
      </c>
      <c r="O476" s="14">
        <f>CHOOSE(CONTROL!$C$42, 22.7876, 22.7876) * CHOOSE(CONTROL!$C$21, $C$9, 100%, $E$9)</f>
        <v>22.787600000000001</v>
      </c>
      <c r="P476" s="14">
        <f>CHOOSE(CONTROL!$C$42, 22.6349, 22.6349) * CHOOSE(CONTROL!$C$21, $C$9, 100%, $E$9)</f>
        <v>22.634899999999998</v>
      </c>
      <c r="Q476" s="14">
        <f>CHOOSE(CONTROL!$C$42, 23.3823, 23.3823) * CHOOSE(CONTROL!$C$21, $C$9, 100%, $E$9)</f>
        <v>23.382300000000001</v>
      </c>
      <c r="R476" s="14">
        <f>CHOOSE(CONTROL!$C$42, 24.0278, 24.0278) * CHOOSE(CONTROL!$C$21, $C$9, 100%, $E$9)</f>
        <v>24.027799999999999</v>
      </c>
      <c r="S476" s="14">
        <f>CHOOSE(CONTROL!$C$42, 22.1135, 22.1135) * CHOOSE(CONTROL!$C$21, $C$9, 100%, $E$9)</f>
        <v>22.113499999999998</v>
      </c>
      <c r="T47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76" s="57">
        <f>(1000*CHOOSE(CONTROL!$C$42, 695, 695)*CHOOSE(CONTROL!$C$42, 0.5599, 0.5599)*CHOOSE(CONTROL!$C$42, 31, 31))/1000000</f>
        <v>12.063045499999998</v>
      </c>
      <c r="V476" s="57">
        <f>(1000*CHOOSE(CONTROL!$C$42, 500, 500)*CHOOSE(CONTROL!$C$42, 0.275, 0.275)*CHOOSE(CONTROL!$C$42, 31, 31))/1000000</f>
        <v>4.2625000000000002</v>
      </c>
      <c r="W476" s="57">
        <f>(1000*CHOOSE(CONTROL!$C$42, 0.1146, 0.1146)*CHOOSE(CONTROL!$C$42, 121.5, 121.5)*CHOOSE(CONTROL!$C$42, 31, 31))/1000000</f>
        <v>0.43164089999999994</v>
      </c>
      <c r="X476" s="57">
        <f>(31*0.1790888*245000/1000000)+(31*0.2374*100000/1000000)</f>
        <v>2.0961194359999999</v>
      </c>
      <c r="Y476" s="57"/>
      <c r="Z476" s="14"/>
      <c r="AA476" s="56"/>
      <c r="AB476" s="50">
        <f>(B476*194.205+C476*267.466+D476*133.845+E476*53.484+F476*40+G476*185+H476*0+I476*100+J476*300)/(194.205+267.466+133.845+53.484+0+40+185+100+300)</f>
        <v>23.057817966326528</v>
      </c>
      <c r="AC476" s="45">
        <f>(M476*'RAP TEMPLATE-GAS AVAILABILITY'!O475+N476*'RAP TEMPLATE-GAS AVAILABILITY'!P475+O476*'RAP TEMPLATE-GAS AVAILABILITY'!Q475+P476*'RAP TEMPLATE-GAS AVAILABILITY'!R475)/('RAP TEMPLATE-GAS AVAILABILITY'!O475+'RAP TEMPLATE-GAS AVAILABILITY'!P475+'RAP TEMPLATE-GAS AVAILABILITY'!Q475+'RAP TEMPLATE-GAS AVAILABILITY'!R475)</f>
        <v>22.624241726618706</v>
      </c>
    </row>
    <row r="477" spans="1:29" ht="15.75" x14ac:dyDescent="0.25">
      <c r="A477" s="33">
        <v>55426</v>
      </c>
      <c r="B477" s="14">
        <f>CHOOSE(CONTROL!$C$42, 21.563, 21.563) * CHOOSE(CONTROL!$C$21, $C$9, 100%, $E$9)</f>
        <v>21.562999999999999</v>
      </c>
      <c r="C477" s="14">
        <f>CHOOSE(CONTROL!$C$42, 21.571, 21.571) * CHOOSE(CONTROL!$C$21, $C$9, 100%, $E$9)</f>
        <v>21.571000000000002</v>
      </c>
      <c r="D477" s="14">
        <f>CHOOSE(CONTROL!$C$42, 21.775, 21.775) * CHOOSE(CONTROL!$C$21, $C$9, 100%, $E$9)</f>
        <v>21.774999999999999</v>
      </c>
      <c r="E477" s="14">
        <f>CHOOSE(CONTROL!$C$42, 21.8064, 21.8064) * CHOOSE(CONTROL!$C$21, $C$9, 100%, $E$9)</f>
        <v>21.8064</v>
      </c>
      <c r="F477" s="14">
        <f>CHOOSE(CONTROL!$C$42, 21.5449, 21.5449)*CHOOSE(CONTROL!$C$21, $C$9, 100%, $E$9)</f>
        <v>21.544899999999998</v>
      </c>
      <c r="G477" s="14">
        <f>CHOOSE(CONTROL!$C$42, 21.5609, 21.5609)*CHOOSE(CONTROL!$C$21, $C$9, 100%, $E$9)</f>
        <v>21.5609</v>
      </c>
      <c r="H477" s="14">
        <f>CHOOSE(CONTROL!$C$42, 21.7951, 21.7951) * CHOOSE(CONTROL!$C$21, $C$9, 100%, $E$9)</f>
        <v>21.795100000000001</v>
      </c>
      <c r="I477" s="14">
        <f>CHOOSE(CONTROL!$C$42, 21.636, 21.636)* CHOOSE(CONTROL!$C$21, $C$9, 100%, $E$9)</f>
        <v>21.635999999999999</v>
      </c>
      <c r="J477" s="14">
        <f>CHOOSE(CONTROL!$C$42, 21.5379, 21.5379)* CHOOSE(CONTROL!$C$21, $C$9, 100%, $E$9)</f>
        <v>21.5379</v>
      </c>
      <c r="K477" s="53">
        <f>CHOOSE(CONTROL!$C$42, 21.6321, 21.6321) * CHOOSE(CONTROL!$C$21, $C$9, 100%, $E$9)</f>
        <v>21.632100000000001</v>
      </c>
      <c r="L477" s="14">
        <f>CHOOSE(CONTROL!$C$42, 22.3821, 22.3821) * CHOOSE(CONTROL!$C$21, $C$9, 100%, $E$9)</f>
        <v>22.382100000000001</v>
      </c>
      <c r="M477" s="14">
        <f>CHOOSE(CONTROL!$C$42, 21.1043, 21.1043) * CHOOSE(CONTROL!$C$21, $C$9, 100%, $E$9)</f>
        <v>21.104299999999999</v>
      </c>
      <c r="N477" s="14">
        <f>CHOOSE(CONTROL!$C$42, 21.1199, 21.1199) * CHOOSE(CONTROL!$C$21, $C$9, 100%, $E$9)</f>
        <v>21.119900000000001</v>
      </c>
      <c r="O477" s="14">
        <f>CHOOSE(CONTROL!$C$42, 21.3562, 21.3562) * CHOOSE(CONTROL!$C$21, $C$9, 100%, $E$9)</f>
        <v>21.356200000000001</v>
      </c>
      <c r="P477" s="14">
        <f>CHOOSE(CONTROL!$C$42, 21.1991, 21.1991) * CHOOSE(CONTROL!$C$21, $C$9, 100%, $E$9)</f>
        <v>21.199100000000001</v>
      </c>
      <c r="Q477" s="14">
        <f>CHOOSE(CONTROL!$C$42, 21.9509, 21.9509) * CHOOSE(CONTROL!$C$21, $C$9, 100%, $E$9)</f>
        <v>21.950900000000001</v>
      </c>
      <c r="R477" s="14">
        <f>CHOOSE(CONTROL!$C$42, 22.5928, 22.5928) * CHOOSE(CONTROL!$C$21, $C$9, 100%, $E$9)</f>
        <v>22.5928</v>
      </c>
      <c r="S477" s="14">
        <f>CHOOSE(CONTROL!$C$42, 20.7093, 20.7093) * CHOOSE(CONTROL!$C$21, $C$9, 100%, $E$9)</f>
        <v>20.709299999999999</v>
      </c>
      <c r="T47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77" s="57">
        <f>(1000*CHOOSE(CONTROL!$C$42, 695, 695)*CHOOSE(CONTROL!$C$42, 0.5599, 0.5599)*CHOOSE(CONTROL!$C$42, 30, 30))/1000000</f>
        <v>11.673914999999997</v>
      </c>
      <c r="V477" s="57">
        <f>(1000*CHOOSE(CONTROL!$C$42, 500, 500)*CHOOSE(CONTROL!$C$42, 0.275, 0.275)*CHOOSE(CONTROL!$C$42, 30, 30))/1000000</f>
        <v>4.125</v>
      </c>
      <c r="W477" s="57">
        <f>(1000*CHOOSE(CONTROL!$C$42, 0.1146, 0.1146)*CHOOSE(CONTROL!$C$42, 121.5, 121.5)*CHOOSE(CONTROL!$C$42, 30, 30))/1000000</f>
        <v>0.417717</v>
      </c>
      <c r="X477" s="57">
        <f>(30*0.1790888*245000/1000000)+(30*0.2374*100000/1000000)</f>
        <v>2.0285026799999999</v>
      </c>
      <c r="Y477" s="57"/>
      <c r="Z477" s="14"/>
      <c r="AA477" s="56"/>
      <c r="AB477" s="50">
        <f>(B477*194.205+C477*267.466+D477*133.845+E477*53.484+F477*40+G477*185+H477*0+I477*100+J477*300)/(194.205+267.466+133.845+53.484+0+40+185+100+300)</f>
        <v>21.596116462794345</v>
      </c>
      <c r="AC477" s="45">
        <f>(M477*'RAP TEMPLATE-GAS AVAILABILITY'!O476+N477*'RAP TEMPLATE-GAS AVAILABILITY'!P476+O477*'RAP TEMPLATE-GAS AVAILABILITY'!Q476+P477*'RAP TEMPLATE-GAS AVAILABILITY'!R476)/('RAP TEMPLATE-GAS AVAILABILITY'!O476+'RAP TEMPLATE-GAS AVAILABILITY'!P476+'RAP TEMPLATE-GAS AVAILABILITY'!Q476+'RAP TEMPLATE-GAS AVAILABILITY'!R476)</f>
        <v>21.192208633093525</v>
      </c>
    </row>
    <row r="478" spans="1:29" ht="15.75" x14ac:dyDescent="0.25">
      <c r="A478" s="33">
        <v>55457</v>
      </c>
      <c r="B478" s="14">
        <f>CHOOSE(CONTROL!$C$42, 21.1237, 21.1237) * CHOOSE(CONTROL!$C$21, $C$9, 100%, $E$9)</f>
        <v>21.123699999999999</v>
      </c>
      <c r="C478" s="14">
        <f>CHOOSE(CONTROL!$C$42, 21.129, 21.129) * CHOOSE(CONTROL!$C$21, $C$9, 100%, $E$9)</f>
        <v>21.129000000000001</v>
      </c>
      <c r="D478" s="14">
        <f>CHOOSE(CONTROL!$C$42, 21.3379, 21.3379) * CHOOSE(CONTROL!$C$21, $C$9, 100%, $E$9)</f>
        <v>21.337900000000001</v>
      </c>
      <c r="E478" s="14">
        <f>CHOOSE(CONTROL!$C$42, 21.367, 21.367) * CHOOSE(CONTROL!$C$21, $C$9, 100%, $E$9)</f>
        <v>21.367000000000001</v>
      </c>
      <c r="F478" s="14">
        <f>CHOOSE(CONTROL!$C$42, 21.1076, 21.1076)*CHOOSE(CONTROL!$C$21, $C$9, 100%, $E$9)</f>
        <v>21.107600000000001</v>
      </c>
      <c r="G478" s="14">
        <f>CHOOSE(CONTROL!$C$42, 21.1233, 21.1233)*CHOOSE(CONTROL!$C$21, $C$9, 100%, $E$9)</f>
        <v>21.1233</v>
      </c>
      <c r="H478" s="14">
        <f>CHOOSE(CONTROL!$C$42, 21.3575, 21.3575) * CHOOSE(CONTROL!$C$21, $C$9, 100%, $E$9)</f>
        <v>21.357500000000002</v>
      </c>
      <c r="I478" s="14">
        <f>CHOOSE(CONTROL!$C$42, 21.197, 21.197)* CHOOSE(CONTROL!$C$21, $C$9, 100%, $E$9)</f>
        <v>21.196999999999999</v>
      </c>
      <c r="J478" s="14">
        <f>CHOOSE(CONTROL!$C$42, 21.1006, 21.1006)* CHOOSE(CONTROL!$C$21, $C$9, 100%, $E$9)</f>
        <v>21.1006</v>
      </c>
      <c r="K478" s="53">
        <f>CHOOSE(CONTROL!$C$42, 21.1931, 21.1931) * CHOOSE(CONTROL!$C$21, $C$9, 100%, $E$9)</f>
        <v>21.193100000000001</v>
      </c>
      <c r="L478" s="14">
        <f>CHOOSE(CONTROL!$C$42, 21.9445, 21.9445) * CHOOSE(CONTROL!$C$21, $C$9, 100%, $E$9)</f>
        <v>21.944500000000001</v>
      </c>
      <c r="M478" s="14">
        <f>CHOOSE(CONTROL!$C$42, 20.676, 20.676) * CHOOSE(CONTROL!$C$21, $C$9, 100%, $E$9)</f>
        <v>20.675999999999998</v>
      </c>
      <c r="N478" s="14">
        <f>CHOOSE(CONTROL!$C$42, 20.6913, 20.6913) * CHOOSE(CONTROL!$C$21, $C$9, 100%, $E$9)</f>
        <v>20.691299999999998</v>
      </c>
      <c r="O478" s="14">
        <f>CHOOSE(CONTROL!$C$42, 20.9276, 20.9276) * CHOOSE(CONTROL!$C$21, $C$9, 100%, $E$9)</f>
        <v>20.927600000000002</v>
      </c>
      <c r="P478" s="14">
        <f>CHOOSE(CONTROL!$C$42, 20.7692, 20.7692) * CHOOSE(CONTROL!$C$21, $C$9, 100%, $E$9)</f>
        <v>20.769200000000001</v>
      </c>
      <c r="Q478" s="14">
        <f>CHOOSE(CONTROL!$C$42, 21.5223, 21.5223) * CHOOSE(CONTROL!$C$21, $C$9, 100%, $E$9)</f>
        <v>21.522300000000001</v>
      </c>
      <c r="R478" s="14">
        <f>CHOOSE(CONTROL!$C$42, 22.1631, 22.1631) * CHOOSE(CONTROL!$C$21, $C$9, 100%, $E$9)</f>
        <v>22.1631</v>
      </c>
      <c r="S478" s="14">
        <f>CHOOSE(CONTROL!$C$42, 20.2888, 20.2888) * CHOOSE(CONTROL!$C$21, $C$9, 100%, $E$9)</f>
        <v>20.288799999999998</v>
      </c>
      <c r="T47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78" s="57">
        <f>(1000*CHOOSE(CONTROL!$C$42, 695, 695)*CHOOSE(CONTROL!$C$42, 0.5599, 0.5599)*CHOOSE(CONTROL!$C$42, 31, 31))/1000000</f>
        <v>12.063045499999998</v>
      </c>
      <c r="V478" s="57">
        <f>(1000*CHOOSE(CONTROL!$C$42, 500, 500)*CHOOSE(CONTROL!$C$42, 0.275, 0.275)*CHOOSE(CONTROL!$C$42, 31, 31))/1000000</f>
        <v>4.2625000000000002</v>
      </c>
      <c r="W478" s="57">
        <f>(1000*CHOOSE(CONTROL!$C$42, 0.1146, 0.1146)*CHOOSE(CONTROL!$C$42, 121.5, 121.5)*CHOOSE(CONTROL!$C$42, 31, 31))/1000000</f>
        <v>0.43164089999999994</v>
      </c>
      <c r="X478" s="57">
        <f>(31*0.1790888*245000/1000000)+(31*0.2374*100000/1000000)</f>
        <v>2.0961194359999999</v>
      </c>
      <c r="Y478" s="57"/>
      <c r="Z478" s="14"/>
      <c r="AA478" s="56"/>
      <c r="AB478" s="50">
        <f>(B478*131.881+C478*277.167+D478*79.08+E478*125.872+F478*40+G478*185+H478*0+I478*100+J478*300)/(131.881+277.167+79.08+125.872+0+40+185+100+300)</f>
        <v>21.163017658353514</v>
      </c>
      <c r="AC478" s="45">
        <f>(M478*'RAP TEMPLATE-GAS AVAILABILITY'!O477+N478*'RAP TEMPLATE-GAS AVAILABILITY'!P477+O478*'RAP TEMPLATE-GAS AVAILABILITY'!Q477+P478*'RAP TEMPLATE-GAS AVAILABILITY'!R477)/('RAP TEMPLATE-GAS AVAILABILITY'!O477+'RAP TEMPLATE-GAS AVAILABILITY'!P477+'RAP TEMPLATE-GAS AVAILABILITY'!Q477+'RAP TEMPLATE-GAS AVAILABILITY'!R477)</f>
        <v>20.763525179856114</v>
      </c>
    </row>
    <row r="479" spans="1:29" ht="15.75" x14ac:dyDescent="0.25">
      <c r="A479" s="33">
        <v>55487</v>
      </c>
      <c r="B479" s="14">
        <f>CHOOSE(CONTROL!$C$42, 21.6795, 21.6795) * CHOOSE(CONTROL!$C$21, $C$9, 100%, $E$9)</f>
        <v>21.679500000000001</v>
      </c>
      <c r="C479" s="14">
        <f>CHOOSE(CONTROL!$C$42, 21.6845, 21.6845) * CHOOSE(CONTROL!$C$21, $C$9, 100%, $E$9)</f>
        <v>21.6845</v>
      </c>
      <c r="D479" s="14">
        <f>CHOOSE(CONTROL!$C$42, 21.7484, 21.7484) * CHOOSE(CONTROL!$C$21, $C$9, 100%, $E$9)</f>
        <v>21.7484</v>
      </c>
      <c r="E479" s="14">
        <f>CHOOSE(CONTROL!$C$42, 21.7825, 21.7825) * CHOOSE(CONTROL!$C$21, $C$9, 100%, $E$9)</f>
        <v>21.782499999999999</v>
      </c>
      <c r="F479" s="14">
        <f>CHOOSE(CONTROL!$C$42, 21.6819, 21.6819)*CHOOSE(CONTROL!$C$21, $C$9, 100%, $E$9)</f>
        <v>21.681899999999999</v>
      </c>
      <c r="G479" s="14">
        <f>CHOOSE(CONTROL!$C$42, 21.6979, 21.6979)*CHOOSE(CONTROL!$C$21, $C$9, 100%, $E$9)</f>
        <v>21.697900000000001</v>
      </c>
      <c r="H479" s="14">
        <f>CHOOSE(CONTROL!$C$42, 21.7717, 21.7717) * CHOOSE(CONTROL!$C$21, $C$9, 100%, $E$9)</f>
        <v>21.771699999999999</v>
      </c>
      <c r="I479" s="14">
        <f>CHOOSE(CONTROL!$C$42, 21.7602, 21.7602)* CHOOSE(CONTROL!$C$21, $C$9, 100%, $E$9)</f>
        <v>21.760200000000001</v>
      </c>
      <c r="J479" s="14">
        <f>CHOOSE(CONTROL!$C$42, 21.6749, 21.6749)* CHOOSE(CONTROL!$C$21, $C$9, 100%, $E$9)</f>
        <v>21.674900000000001</v>
      </c>
      <c r="K479" s="53">
        <f>CHOOSE(CONTROL!$C$42, 21.7563, 21.7563) * CHOOSE(CONTROL!$C$21, $C$9, 100%, $E$9)</f>
        <v>21.7563</v>
      </c>
      <c r="L479" s="14">
        <f>CHOOSE(CONTROL!$C$42, 22.3587, 22.3587) * CHOOSE(CONTROL!$C$21, $C$9, 100%, $E$9)</f>
        <v>22.358699999999999</v>
      </c>
      <c r="M479" s="14">
        <f>CHOOSE(CONTROL!$C$42, 21.2385, 21.2385) * CHOOSE(CONTROL!$C$21, $C$9, 100%, $E$9)</f>
        <v>21.238499999999998</v>
      </c>
      <c r="N479" s="14">
        <f>CHOOSE(CONTROL!$C$42, 21.2541, 21.2541) * CHOOSE(CONTROL!$C$21, $C$9, 100%, $E$9)</f>
        <v>21.254100000000001</v>
      </c>
      <c r="O479" s="14">
        <f>CHOOSE(CONTROL!$C$42, 21.3333, 21.3333) * CHOOSE(CONTROL!$C$21, $C$9, 100%, $E$9)</f>
        <v>21.333300000000001</v>
      </c>
      <c r="P479" s="14">
        <f>CHOOSE(CONTROL!$C$42, 21.3208, 21.3208) * CHOOSE(CONTROL!$C$21, $C$9, 100%, $E$9)</f>
        <v>21.320799999999998</v>
      </c>
      <c r="Q479" s="14">
        <f>CHOOSE(CONTROL!$C$42, 21.928, 21.928) * CHOOSE(CONTROL!$C$21, $C$9, 100%, $E$9)</f>
        <v>21.928000000000001</v>
      </c>
      <c r="R479" s="14">
        <f>CHOOSE(CONTROL!$C$42, 22.5698, 22.5698) * CHOOSE(CONTROL!$C$21, $C$9, 100%, $E$9)</f>
        <v>22.569800000000001</v>
      </c>
      <c r="S479" s="14">
        <f>CHOOSE(CONTROL!$C$42, 20.8233, 20.8233) * CHOOSE(CONTROL!$C$21, $C$9, 100%, $E$9)</f>
        <v>20.8233</v>
      </c>
      <c r="T47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79" s="57">
        <f>(1000*CHOOSE(CONTROL!$C$42, 695, 695)*CHOOSE(CONTROL!$C$42, 0.5599, 0.5599)*CHOOSE(CONTROL!$C$42, 30, 30))/1000000</f>
        <v>11.673914999999997</v>
      </c>
      <c r="V479" s="57">
        <f>(1000*CHOOSE(CONTROL!$C$42, 500, 500)*CHOOSE(CONTROL!$C$42, 0.275, 0.275)*CHOOSE(CONTROL!$C$42, 30, 30))/1000000</f>
        <v>4.125</v>
      </c>
      <c r="W479" s="57">
        <f>(1000*CHOOSE(CONTROL!$C$42, 0.1146, 0.1146)*CHOOSE(CONTROL!$C$42, 121.5, 121.5)*CHOOSE(CONTROL!$C$42, 30, 30))/1000000</f>
        <v>0.417717</v>
      </c>
      <c r="X479" s="57">
        <f>(30*0.1790888*100000/1000000)+(30*0.2374*100000/1000000)</f>
        <v>1.2494664</v>
      </c>
      <c r="Y479" s="57"/>
      <c r="Z479" s="14"/>
      <c r="AA479" s="56"/>
      <c r="AB479" s="50">
        <f>(B479*122.58+C479*297.941+D479*89.177+E479*40.302+F479*40+G479*160+H479*0+I479*100+J479*300)/(122.58+297.941+89.177+40.302+0+40+160+100+300)</f>
        <v>21.698208788086959</v>
      </c>
      <c r="AC479" s="45">
        <f>(M479*'RAP TEMPLATE-GAS AVAILABILITY'!O478+N479*'RAP TEMPLATE-GAS AVAILABILITY'!P478+O479*'RAP TEMPLATE-GAS AVAILABILITY'!Q478+P479*'RAP TEMPLATE-GAS AVAILABILITY'!R478)/('RAP TEMPLATE-GAS AVAILABILITY'!O478+'RAP TEMPLATE-GAS AVAILABILITY'!P478+'RAP TEMPLATE-GAS AVAILABILITY'!Q478+'RAP TEMPLATE-GAS AVAILABILITY'!R478)</f>
        <v>21.294206474820143</v>
      </c>
    </row>
    <row r="480" spans="1:29" ht="15.75" x14ac:dyDescent="0.25">
      <c r="A480" s="33">
        <v>55518</v>
      </c>
      <c r="B480" s="14">
        <f>CHOOSE(CONTROL!$C$42, 23.1569, 23.1569) * CHOOSE(CONTROL!$C$21, $C$9, 100%, $E$9)</f>
        <v>23.1569</v>
      </c>
      <c r="C480" s="14">
        <f>CHOOSE(CONTROL!$C$42, 23.162, 23.162) * CHOOSE(CONTROL!$C$21, $C$9, 100%, $E$9)</f>
        <v>23.161999999999999</v>
      </c>
      <c r="D480" s="14">
        <f>CHOOSE(CONTROL!$C$42, 23.2258, 23.2258) * CHOOSE(CONTROL!$C$21, $C$9, 100%, $E$9)</f>
        <v>23.2258</v>
      </c>
      <c r="E480" s="14">
        <f>CHOOSE(CONTROL!$C$42, 23.2599, 23.2599) * CHOOSE(CONTROL!$C$21, $C$9, 100%, $E$9)</f>
        <v>23.259899999999998</v>
      </c>
      <c r="F480" s="14">
        <f>CHOOSE(CONTROL!$C$42, 23.1616, 23.1616)*CHOOSE(CONTROL!$C$21, $C$9, 100%, $E$9)</f>
        <v>23.1616</v>
      </c>
      <c r="G480" s="14">
        <f>CHOOSE(CONTROL!$C$42, 23.1782, 23.1782)*CHOOSE(CONTROL!$C$21, $C$9, 100%, $E$9)</f>
        <v>23.1782</v>
      </c>
      <c r="H480" s="14">
        <f>CHOOSE(CONTROL!$C$42, 23.2491, 23.2491) * CHOOSE(CONTROL!$C$21, $C$9, 100%, $E$9)</f>
        <v>23.249099999999999</v>
      </c>
      <c r="I480" s="14">
        <f>CHOOSE(CONTROL!$C$42, 23.2423, 23.2423)* CHOOSE(CONTROL!$C$21, $C$9, 100%, $E$9)</f>
        <v>23.2423</v>
      </c>
      <c r="J480" s="14">
        <f>CHOOSE(CONTROL!$C$42, 23.1546, 23.1546)* CHOOSE(CONTROL!$C$21, $C$9, 100%, $E$9)</f>
        <v>23.154599999999999</v>
      </c>
      <c r="K480" s="53">
        <f>CHOOSE(CONTROL!$C$42, 23.2384, 23.2384) * CHOOSE(CONTROL!$C$21, $C$9, 100%, $E$9)</f>
        <v>23.238399999999999</v>
      </c>
      <c r="L480" s="14">
        <f>CHOOSE(CONTROL!$C$42, 23.8361, 23.8361) * CHOOSE(CONTROL!$C$21, $C$9, 100%, $E$9)</f>
        <v>23.836099999999998</v>
      </c>
      <c r="M480" s="14">
        <f>CHOOSE(CONTROL!$C$42, 22.6878, 22.6878) * CHOOSE(CONTROL!$C$21, $C$9, 100%, $E$9)</f>
        <v>22.687799999999999</v>
      </c>
      <c r="N480" s="14">
        <f>CHOOSE(CONTROL!$C$42, 22.7041, 22.7041) * CHOOSE(CONTROL!$C$21, $C$9, 100%, $E$9)</f>
        <v>22.7041</v>
      </c>
      <c r="O480" s="14">
        <f>CHOOSE(CONTROL!$C$42, 22.7804, 22.7804) * CHOOSE(CONTROL!$C$21, $C$9, 100%, $E$9)</f>
        <v>22.7804</v>
      </c>
      <c r="P480" s="14">
        <f>CHOOSE(CONTROL!$C$42, 22.7724, 22.7724) * CHOOSE(CONTROL!$C$21, $C$9, 100%, $E$9)</f>
        <v>22.772400000000001</v>
      </c>
      <c r="Q480" s="14">
        <f>CHOOSE(CONTROL!$C$42, 23.3751, 23.3751) * CHOOSE(CONTROL!$C$21, $C$9, 100%, $E$9)</f>
        <v>23.3751</v>
      </c>
      <c r="R480" s="14">
        <f>CHOOSE(CONTROL!$C$42, 24.0206, 24.0206) * CHOOSE(CONTROL!$C$21, $C$9, 100%, $E$9)</f>
        <v>24.020600000000002</v>
      </c>
      <c r="S480" s="14">
        <f>CHOOSE(CONTROL!$C$42, 22.2429, 22.2429) * CHOOSE(CONTROL!$C$21, $C$9, 100%, $E$9)</f>
        <v>22.242899999999999</v>
      </c>
      <c r="T48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80" s="57">
        <f>(1000*CHOOSE(CONTROL!$C$42, 695, 695)*CHOOSE(CONTROL!$C$42, 0.5599, 0.5599)*CHOOSE(CONTROL!$C$42, 31, 31))/1000000</f>
        <v>12.063045499999998</v>
      </c>
      <c r="V480" s="57">
        <f>(1000*CHOOSE(CONTROL!$C$42, 500, 500)*CHOOSE(CONTROL!$C$42, 0.275, 0.275)*CHOOSE(CONTROL!$C$42, 31, 31))/1000000</f>
        <v>4.2625000000000002</v>
      </c>
      <c r="W480" s="57">
        <f>(1000*CHOOSE(CONTROL!$C$42, 0.1146, 0.1146)*CHOOSE(CONTROL!$C$42, 121.5, 121.5)*CHOOSE(CONTROL!$C$42, 31, 31))/1000000</f>
        <v>0.43164089999999994</v>
      </c>
      <c r="X480" s="57">
        <f>(31*0.1790888*100000/1000000)+(31*0.2374*100000/1000000)</f>
        <v>1.2911152800000001</v>
      </c>
      <c r="Y480" s="57"/>
      <c r="Z480" s="14"/>
      <c r="AA480" s="56"/>
      <c r="AB480" s="50">
        <f>(B480*122.58+C480*297.941+D480*89.177+E480*40.302+F480*40+G480*160+H480*0+I480*100+J480*300)/(122.58+297.941+89.177+40.302+0+40+160+100+300)</f>
        <v>23.177126869913046</v>
      </c>
      <c r="AC480" s="45">
        <f>(M480*'RAP TEMPLATE-GAS AVAILABILITY'!O479+N480*'RAP TEMPLATE-GAS AVAILABILITY'!P479+O480*'RAP TEMPLATE-GAS AVAILABILITY'!Q479+P480*'RAP TEMPLATE-GAS AVAILABILITY'!R479)/('RAP TEMPLATE-GAS AVAILABILITY'!O479+'RAP TEMPLATE-GAS AVAILABILITY'!P479+'RAP TEMPLATE-GAS AVAILABILITY'!Q479+'RAP TEMPLATE-GAS AVAILABILITY'!R479)</f>
        <v>22.742880575539569</v>
      </c>
    </row>
    <row r="481" spans="1:29" ht="15.75" x14ac:dyDescent="0.25">
      <c r="A481" s="33">
        <v>55549</v>
      </c>
      <c r="B481" s="14">
        <f>CHOOSE(CONTROL!$C$42, 25.053, 25.053) * CHOOSE(CONTROL!$C$21, $C$9, 100%, $E$9)</f>
        <v>25.053000000000001</v>
      </c>
      <c r="C481" s="14">
        <f>CHOOSE(CONTROL!$C$42, 25.0581, 25.0581) * CHOOSE(CONTROL!$C$21, $C$9, 100%, $E$9)</f>
        <v>25.0581</v>
      </c>
      <c r="D481" s="14">
        <f>CHOOSE(CONTROL!$C$42, 25.1245, 25.1245) * CHOOSE(CONTROL!$C$21, $C$9, 100%, $E$9)</f>
        <v>25.124500000000001</v>
      </c>
      <c r="E481" s="14">
        <f>CHOOSE(CONTROL!$C$42, 25.1586, 25.1586) * CHOOSE(CONTROL!$C$21, $C$9, 100%, $E$9)</f>
        <v>25.1586</v>
      </c>
      <c r="F481" s="14">
        <f>CHOOSE(CONTROL!$C$42, 25.0403, 25.0403)*CHOOSE(CONTROL!$C$21, $C$9, 100%, $E$9)</f>
        <v>25.040299999999998</v>
      </c>
      <c r="G481" s="14">
        <f>CHOOSE(CONTROL!$C$42, 25.0558, 25.0558)*CHOOSE(CONTROL!$C$21, $C$9, 100%, $E$9)</f>
        <v>25.055800000000001</v>
      </c>
      <c r="H481" s="14">
        <f>CHOOSE(CONTROL!$C$42, 25.1478, 25.1478) * CHOOSE(CONTROL!$C$21, $C$9, 100%, $E$9)</f>
        <v>25.1478</v>
      </c>
      <c r="I481" s="14">
        <f>CHOOSE(CONTROL!$C$42, 25.1391, 25.1391)* CHOOSE(CONTROL!$C$21, $C$9, 100%, $E$9)</f>
        <v>25.139099999999999</v>
      </c>
      <c r="J481" s="14">
        <f>CHOOSE(CONTROL!$C$42, 25.0333, 25.0333)* CHOOSE(CONTROL!$C$21, $C$9, 100%, $E$9)</f>
        <v>25.033300000000001</v>
      </c>
      <c r="K481" s="53">
        <f>CHOOSE(CONTROL!$C$42, 25.1352, 25.1352) * CHOOSE(CONTROL!$C$21, $C$9, 100%, $E$9)</f>
        <v>25.135200000000001</v>
      </c>
      <c r="L481" s="14">
        <f>CHOOSE(CONTROL!$C$42, 25.7348, 25.7348) * CHOOSE(CONTROL!$C$21, $C$9, 100%, $E$9)</f>
        <v>25.7348</v>
      </c>
      <c r="M481" s="14">
        <f>CHOOSE(CONTROL!$C$42, 24.5281, 24.5281) * CHOOSE(CONTROL!$C$21, $C$9, 100%, $E$9)</f>
        <v>24.528099999999998</v>
      </c>
      <c r="N481" s="14">
        <f>CHOOSE(CONTROL!$C$42, 24.5433, 24.5433) * CHOOSE(CONTROL!$C$21, $C$9, 100%, $E$9)</f>
        <v>24.543299999999999</v>
      </c>
      <c r="O481" s="14">
        <f>CHOOSE(CONTROL!$C$42, 24.6402, 24.6402) * CHOOSE(CONTROL!$C$21, $C$9, 100%, $E$9)</f>
        <v>24.6402</v>
      </c>
      <c r="P481" s="14">
        <f>CHOOSE(CONTROL!$C$42, 24.6302, 24.6302) * CHOOSE(CONTROL!$C$21, $C$9, 100%, $E$9)</f>
        <v>24.630199999999999</v>
      </c>
      <c r="Q481" s="14">
        <f>CHOOSE(CONTROL!$C$42, 25.2349, 25.2349) * CHOOSE(CONTROL!$C$21, $C$9, 100%, $E$9)</f>
        <v>25.2349</v>
      </c>
      <c r="R481" s="14">
        <f>CHOOSE(CONTROL!$C$42, 25.885, 25.885) * CHOOSE(CONTROL!$C$21, $C$9, 100%, $E$9)</f>
        <v>25.885000000000002</v>
      </c>
      <c r="S481" s="14">
        <f>CHOOSE(CONTROL!$C$42, 24.0649, 24.0649) * CHOOSE(CONTROL!$C$21, $C$9, 100%, $E$9)</f>
        <v>24.064900000000002</v>
      </c>
      <c r="T48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81" s="57">
        <f>(1000*CHOOSE(CONTROL!$C$42, 695, 695)*CHOOSE(CONTROL!$C$42, 0.5599, 0.5599)*CHOOSE(CONTROL!$C$42, 31, 31))/1000000</f>
        <v>12.063045499999998</v>
      </c>
      <c r="V481" s="57">
        <f>(1000*CHOOSE(CONTROL!$C$42, 500, 500)*CHOOSE(CONTROL!$C$42, 0.275, 0.275)*CHOOSE(CONTROL!$C$42, 31, 31))/1000000</f>
        <v>4.2625000000000002</v>
      </c>
      <c r="W481" s="57">
        <f>(1000*CHOOSE(CONTROL!$C$42, 0.1146, 0.1146)*CHOOSE(CONTROL!$C$42, 121.5, 121.5)*CHOOSE(CONTROL!$C$42, 31, 31))/1000000</f>
        <v>0.43164089999999994</v>
      </c>
      <c r="X481" s="57">
        <f>(31*0.1790888*100000/1000000)+(31*0.2374*100000/1000000)</f>
        <v>1.2911152800000001</v>
      </c>
      <c r="Y481" s="57"/>
      <c r="Z481" s="14"/>
      <c r="AA481" s="56"/>
      <c r="AB481" s="50">
        <f>(B481*122.58+C481*297.941+D481*89.177+E481*40.302+F481*40+G481*160+H481*0+I481*100+J481*300)/(122.58+297.941+89.177+40.302+0+40+160+100+300)</f>
        <v>25.065862213739127</v>
      </c>
      <c r="AC481" s="45">
        <f>(M481*'RAP TEMPLATE-GAS AVAILABILITY'!O480+N481*'RAP TEMPLATE-GAS AVAILABILITY'!P480+O481*'RAP TEMPLATE-GAS AVAILABILITY'!Q480+P481*'RAP TEMPLATE-GAS AVAILABILITY'!R480)/('RAP TEMPLATE-GAS AVAILABILITY'!O480+'RAP TEMPLATE-GAS AVAILABILITY'!P480+'RAP TEMPLATE-GAS AVAILABILITY'!Q480+'RAP TEMPLATE-GAS AVAILABILITY'!R480)</f>
        <v>24.594473381294964</v>
      </c>
    </row>
    <row r="482" spans="1:29" ht="15.75" x14ac:dyDescent="0.25">
      <c r="A482" s="33">
        <v>55577</v>
      </c>
      <c r="B482" s="14">
        <f>CHOOSE(CONTROL!$C$42, 25.4988, 25.4988) * CHOOSE(CONTROL!$C$21, $C$9, 100%, $E$9)</f>
        <v>25.498799999999999</v>
      </c>
      <c r="C482" s="14">
        <f>CHOOSE(CONTROL!$C$42, 25.5039, 25.5039) * CHOOSE(CONTROL!$C$21, $C$9, 100%, $E$9)</f>
        <v>25.503900000000002</v>
      </c>
      <c r="D482" s="14">
        <f>CHOOSE(CONTROL!$C$42, 25.5703, 25.5703) * CHOOSE(CONTROL!$C$21, $C$9, 100%, $E$9)</f>
        <v>25.5703</v>
      </c>
      <c r="E482" s="14">
        <f>CHOOSE(CONTROL!$C$42, 25.6044, 25.6044) * CHOOSE(CONTROL!$C$21, $C$9, 100%, $E$9)</f>
        <v>25.604399999999998</v>
      </c>
      <c r="F482" s="14">
        <f>CHOOSE(CONTROL!$C$42, 25.4862, 25.4862)*CHOOSE(CONTROL!$C$21, $C$9, 100%, $E$9)</f>
        <v>25.4862</v>
      </c>
      <c r="G482" s="14">
        <f>CHOOSE(CONTROL!$C$42, 25.5017, 25.5017)*CHOOSE(CONTROL!$C$21, $C$9, 100%, $E$9)</f>
        <v>25.5017</v>
      </c>
      <c r="H482" s="14">
        <f>CHOOSE(CONTROL!$C$42, 25.5936, 25.5936) * CHOOSE(CONTROL!$C$21, $C$9, 100%, $E$9)</f>
        <v>25.593599999999999</v>
      </c>
      <c r="I482" s="14">
        <f>CHOOSE(CONTROL!$C$42, 25.5863, 25.5863)* CHOOSE(CONTROL!$C$21, $C$9, 100%, $E$9)</f>
        <v>25.586300000000001</v>
      </c>
      <c r="J482" s="14">
        <f>CHOOSE(CONTROL!$C$42, 25.4792, 25.4792)* CHOOSE(CONTROL!$C$21, $C$9, 100%, $E$9)</f>
        <v>25.479199999999999</v>
      </c>
      <c r="K482" s="53">
        <f>CHOOSE(CONTROL!$C$42, 25.5824, 25.5824) * CHOOSE(CONTROL!$C$21, $C$9, 100%, $E$9)</f>
        <v>25.5824</v>
      </c>
      <c r="L482" s="14">
        <f>CHOOSE(CONTROL!$C$42, 26.1806, 26.1806) * CHOOSE(CONTROL!$C$21, $C$9, 100%, $E$9)</f>
        <v>26.180599999999998</v>
      </c>
      <c r="M482" s="14">
        <f>CHOOSE(CONTROL!$C$42, 24.9649, 24.9649) * CHOOSE(CONTROL!$C$21, $C$9, 100%, $E$9)</f>
        <v>24.9649</v>
      </c>
      <c r="N482" s="14">
        <f>CHOOSE(CONTROL!$C$42, 24.98, 24.98) * CHOOSE(CONTROL!$C$21, $C$9, 100%, $E$9)</f>
        <v>24.98</v>
      </c>
      <c r="O482" s="14">
        <f>CHOOSE(CONTROL!$C$42, 25.0769, 25.0769) * CHOOSE(CONTROL!$C$21, $C$9, 100%, $E$9)</f>
        <v>25.076899999999998</v>
      </c>
      <c r="P482" s="14">
        <f>CHOOSE(CONTROL!$C$42, 25.0682, 25.0682) * CHOOSE(CONTROL!$C$21, $C$9, 100%, $E$9)</f>
        <v>25.068200000000001</v>
      </c>
      <c r="Q482" s="14">
        <f>CHOOSE(CONTROL!$C$42, 25.6716, 25.6716) * CHOOSE(CONTROL!$C$21, $C$9, 100%, $E$9)</f>
        <v>25.671600000000002</v>
      </c>
      <c r="R482" s="14">
        <f>CHOOSE(CONTROL!$C$42, 26.3228, 26.3228) * CHOOSE(CONTROL!$C$21, $C$9, 100%, $E$9)</f>
        <v>26.322800000000001</v>
      </c>
      <c r="S482" s="14">
        <f>CHOOSE(CONTROL!$C$42, 24.4933, 24.4933) * CHOOSE(CONTROL!$C$21, $C$9, 100%, $E$9)</f>
        <v>24.493300000000001</v>
      </c>
      <c r="T482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482" s="57">
        <f>(1000*CHOOSE(CONTROL!$C$42, 695, 695)*CHOOSE(CONTROL!$C$42, 0.5599, 0.5599)*CHOOSE(CONTROL!$C$42, 29, 29))/1000000</f>
        <v>11.284784499999999</v>
      </c>
      <c r="V482" s="57">
        <f>(1000*CHOOSE(CONTROL!$C$42, 500, 500)*CHOOSE(CONTROL!$C$42, 0.275, 0.275)*CHOOSE(CONTROL!$C$42, 29, 29))/1000000</f>
        <v>3.9874999999999998</v>
      </c>
      <c r="W482" s="57">
        <f>(1000*CHOOSE(CONTROL!$C$42, 0.1146, 0.1146)*CHOOSE(CONTROL!$C$42, 121.5, 121.5)*CHOOSE(CONTROL!$C$42, 29, 29))/1000000</f>
        <v>0.40379309999999996</v>
      </c>
      <c r="X482" s="57">
        <f>(29*0.1790888*100000/1000000)+(29*0.2374*100000/1000000)</f>
        <v>1.2078175199999999</v>
      </c>
      <c r="Y482" s="57"/>
      <c r="Z482" s="14"/>
      <c r="AA482" s="56"/>
      <c r="AB482" s="50">
        <f>(B482*122.58+C482*297.941+D482*89.177+E482*40.302+F482*40+G482*160+H482*0+I482*100+J482*300)/(122.58+297.941+89.177+40.302+0+40+160+100+300)</f>
        <v>25.511827431130435</v>
      </c>
      <c r="AC482" s="45">
        <f>(M482*'RAP TEMPLATE-GAS AVAILABILITY'!O481+N482*'RAP TEMPLATE-GAS AVAILABILITY'!P481+O482*'RAP TEMPLATE-GAS AVAILABILITY'!Q481+P482*'RAP TEMPLATE-GAS AVAILABILITY'!R481)/('RAP TEMPLATE-GAS AVAILABILITY'!O481+'RAP TEMPLATE-GAS AVAILABILITY'!P481+'RAP TEMPLATE-GAS AVAILABILITY'!Q481+'RAP TEMPLATE-GAS AVAILABILITY'!R481)</f>
        <v>25.031394964028774</v>
      </c>
    </row>
    <row r="483" spans="1:29" ht="15.75" x14ac:dyDescent="0.25">
      <c r="A483" s="33">
        <v>55609</v>
      </c>
      <c r="B483" s="14">
        <f>CHOOSE(CONTROL!$C$42, 24.7752, 24.7752) * CHOOSE(CONTROL!$C$21, $C$9, 100%, $E$9)</f>
        <v>24.775200000000002</v>
      </c>
      <c r="C483" s="14">
        <f>CHOOSE(CONTROL!$C$42, 24.7802, 24.7802) * CHOOSE(CONTROL!$C$21, $C$9, 100%, $E$9)</f>
        <v>24.780200000000001</v>
      </c>
      <c r="D483" s="14">
        <f>CHOOSE(CONTROL!$C$42, 24.8466, 24.8466) * CHOOSE(CONTROL!$C$21, $C$9, 100%, $E$9)</f>
        <v>24.846599999999999</v>
      </c>
      <c r="E483" s="14">
        <f>CHOOSE(CONTROL!$C$42, 24.8807, 24.8807) * CHOOSE(CONTROL!$C$21, $C$9, 100%, $E$9)</f>
        <v>24.880700000000001</v>
      </c>
      <c r="F483" s="14">
        <f>CHOOSE(CONTROL!$C$42, 24.7622, 24.7622)*CHOOSE(CONTROL!$C$21, $C$9, 100%, $E$9)</f>
        <v>24.7622</v>
      </c>
      <c r="G483" s="14">
        <f>CHOOSE(CONTROL!$C$42, 24.7775, 24.7775)*CHOOSE(CONTROL!$C$21, $C$9, 100%, $E$9)</f>
        <v>24.7775</v>
      </c>
      <c r="H483" s="14">
        <f>CHOOSE(CONTROL!$C$42, 24.8699, 24.8699) * CHOOSE(CONTROL!$C$21, $C$9, 100%, $E$9)</f>
        <v>24.869900000000001</v>
      </c>
      <c r="I483" s="14">
        <f>CHOOSE(CONTROL!$C$42, 24.8604, 24.8604)* CHOOSE(CONTROL!$C$21, $C$9, 100%, $E$9)</f>
        <v>24.860399999999998</v>
      </c>
      <c r="J483" s="14">
        <f>CHOOSE(CONTROL!$C$42, 24.7552, 24.7552)* CHOOSE(CONTROL!$C$21, $C$9, 100%, $E$9)</f>
        <v>24.755199999999999</v>
      </c>
      <c r="K483" s="53">
        <f>CHOOSE(CONTROL!$C$42, 24.8565, 24.8565) * CHOOSE(CONTROL!$C$21, $C$9, 100%, $E$9)</f>
        <v>24.8565</v>
      </c>
      <c r="L483" s="14">
        <f>CHOOSE(CONTROL!$C$42, 25.4569, 25.4569) * CHOOSE(CONTROL!$C$21, $C$9, 100%, $E$9)</f>
        <v>25.456900000000001</v>
      </c>
      <c r="M483" s="14">
        <f>CHOOSE(CONTROL!$C$42, 24.2556, 24.2556) * CHOOSE(CONTROL!$C$21, $C$9, 100%, $E$9)</f>
        <v>24.255600000000001</v>
      </c>
      <c r="N483" s="14">
        <f>CHOOSE(CONTROL!$C$42, 24.2707, 24.2707) * CHOOSE(CONTROL!$C$21, $C$9, 100%, $E$9)</f>
        <v>24.270700000000001</v>
      </c>
      <c r="O483" s="14">
        <f>CHOOSE(CONTROL!$C$42, 24.3681, 24.3681) * CHOOSE(CONTROL!$C$21, $C$9, 100%, $E$9)</f>
        <v>24.368099999999998</v>
      </c>
      <c r="P483" s="14">
        <f>CHOOSE(CONTROL!$C$42, 24.3572, 24.3572) * CHOOSE(CONTROL!$C$21, $C$9, 100%, $E$9)</f>
        <v>24.357199999999999</v>
      </c>
      <c r="Q483" s="14">
        <f>CHOOSE(CONTROL!$C$42, 24.9628, 24.9628) * CHOOSE(CONTROL!$C$21, $C$9, 100%, $E$9)</f>
        <v>24.962800000000001</v>
      </c>
      <c r="R483" s="14">
        <f>CHOOSE(CONTROL!$C$42, 25.6122, 25.6122) * CHOOSE(CONTROL!$C$21, $C$9, 100%, $E$9)</f>
        <v>25.612200000000001</v>
      </c>
      <c r="S483" s="14">
        <f>CHOOSE(CONTROL!$C$42, 23.7979, 23.7979) * CHOOSE(CONTROL!$C$21, $C$9, 100%, $E$9)</f>
        <v>23.797899999999998</v>
      </c>
      <c r="T48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83" s="57">
        <f>(1000*CHOOSE(CONTROL!$C$42, 695, 695)*CHOOSE(CONTROL!$C$42, 0.5599, 0.5599)*CHOOSE(CONTROL!$C$42, 31, 31))/1000000</f>
        <v>12.063045499999998</v>
      </c>
      <c r="V483" s="57">
        <f>(1000*CHOOSE(CONTROL!$C$42, 500, 500)*CHOOSE(CONTROL!$C$42, 0.275, 0.275)*CHOOSE(CONTROL!$C$42, 31, 31))/1000000</f>
        <v>4.2625000000000002</v>
      </c>
      <c r="W483" s="57">
        <f>(1000*CHOOSE(CONTROL!$C$42, 0.1146, 0.1146)*CHOOSE(CONTROL!$C$42, 121.5, 121.5)*CHOOSE(CONTROL!$C$42, 31, 31))/1000000</f>
        <v>0.43164089999999994</v>
      </c>
      <c r="X483" s="57">
        <f>(31*0.1790888*100000/1000000)+(31*0.2374*100000/1000000)</f>
        <v>1.2911152800000001</v>
      </c>
      <c r="Y483" s="57"/>
      <c r="Z483" s="14"/>
      <c r="AA483" s="56"/>
      <c r="AB483" s="50">
        <f>(B483*122.58+C483*297.941+D483*89.177+E483*40.302+F483*40+G483*160+H483*0+I483*100+J483*300)/(122.58+297.941+89.177+40.302+0+40+160+100+300)</f>
        <v>24.787788525043478</v>
      </c>
      <c r="AC483" s="45">
        <f>(M483*'RAP TEMPLATE-GAS AVAILABILITY'!O482+N483*'RAP TEMPLATE-GAS AVAILABILITY'!P482+O483*'RAP TEMPLATE-GAS AVAILABILITY'!Q482+P483*'RAP TEMPLATE-GAS AVAILABILITY'!R482)/('RAP TEMPLATE-GAS AVAILABILITY'!O482+'RAP TEMPLATE-GAS AVAILABILITY'!P482+'RAP TEMPLATE-GAS AVAILABILITY'!Q482+'RAP TEMPLATE-GAS AVAILABILITY'!R482)</f>
        <v>24.322076978417265</v>
      </c>
    </row>
    <row r="484" spans="1:29" ht="15.75" x14ac:dyDescent="0.25">
      <c r="A484" s="33">
        <v>55639</v>
      </c>
      <c r="B484" s="14">
        <f>CHOOSE(CONTROL!$C$42, 24.7022, 24.7022) * CHOOSE(CONTROL!$C$21, $C$9, 100%, $E$9)</f>
        <v>24.702200000000001</v>
      </c>
      <c r="C484" s="14">
        <f>CHOOSE(CONTROL!$C$42, 24.7067, 24.7067) * CHOOSE(CONTROL!$C$21, $C$9, 100%, $E$9)</f>
        <v>24.706700000000001</v>
      </c>
      <c r="D484" s="14">
        <f>CHOOSE(CONTROL!$C$42, 24.9137, 24.9137) * CHOOSE(CONTROL!$C$21, $C$9, 100%, $E$9)</f>
        <v>24.913699999999999</v>
      </c>
      <c r="E484" s="14">
        <f>CHOOSE(CONTROL!$C$42, 24.9458, 24.9458) * CHOOSE(CONTROL!$C$21, $C$9, 100%, $E$9)</f>
        <v>24.945799999999998</v>
      </c>
      <c r="F484" s="14">
        <f>CHOOSE(CONTROL!$C$42, 24.6841, 24.6841)*CHOOSE(CONTROL!$C$21, $C$9, 100%, $E$9)</f>
        <v>24.684100000000001</v>
      </c>
      <c r="G484" s="14">
        <f>CHOOSE(CONTROL!$C$42, 24.6993, 24.6993)*CHOOSE(CONTROL!$C$21, $C$9, 100%, $E$9)</f>
        <v>24.699300000000001</v>
      </c>
      <c r="H484" s="14">
        <f>CHOOSE(CONTROL!$C$42, 24.9356, 24.9356) * CHOOSE(CONTROL!$C$21, $C$9, 100%, $E$9)</f>
        <v>24.935600000000001</v>
      </c>
      <c r="I484" s="14">
        <f>CHOOSE(CONTROL!$C$42, 24.7864, 24.7864)* CHOOSE(CONTROL!$C$21, $C$9, 100%, $E$9)</f>
        <v>24.7864</v>
      </c>
      <c r="J484" s="14">
        <f>CHOOSE(CONTROL!$C$42, 24.6771, 24.6771)* CHOOSE(CONTROL!$C$21, $C$9, 100%, $E$9)</f>
        <v>24.677099999999999</v>
      </c>
      <c r="K484" s="53">
        <f>CHOOSE(CONTROL!$C$42, 24.7825, 24.7825) * CHOOSE(CONTROL!$C$21, $C$9, 100%, $E$9)</f>
        <v>24.782499999999999</v>
      </c>
      <c r="L484" s="14">
        <f>CHOOSE(CONTROL!$C$42, 25.5226, 25.5226) * CHOOSE(CONTROL!$C$21, $C$9, 100%, $E$9)</f>
        <v>25.522600000000001</v>
      </c>
      <c r="M484" s="14">
        <f>CHOOSE(CONTROL!$C$42, 24.1791, 24.1791) * CHOOSE(CONTROL!$C$21, $C$9, 100%, $E$9)</f>
        <v>24.179099999999998</v>
      </c>
      <c r="N484" s="14">
        <f>CHOOSE(CONTROL!$C$42, 24.194, 24.194) * CHOOSE(CONTROL!$C$21, $C$9, 100%, $E$9)</f>
        <v>24.193999999999999</v>
      </c>
      <c r="O484" s="14">
        <f>CHOOSE(CONTROL!$C$42, 24.4324, 24.4324) * CHOOSE(CONTROL!$C$21, $C$9, 100%, $E$9)</f>
        <v>24.432400000000001</v>
      </c>
      <c r="P484" s="14">
        <f>CHOOSE(CONTROL!$C$42, 24.2847, 24.2847) * CHOOSE(CONTROL!$C$21, $C$9, 100%, $E$9)</f>
        <v>24.284700000000001</v>
      </c>
      <c r="Q484" s="14">
        <f>CHOOSE(CONTROL!$C$42, 25.0271, 25.0271) * CHOOSE(CONTROL!$C$21, $C$9, 100%, $E$9)</f>
        <v>25.027100000000001</v>
      </c>
      <c r="R484" s="14">
        <f>CHOOSE(CONTROL!$C$42, 25.6767, 25.6767) * CHOOSE(CONTROL!$C$21, $C$9, 100%, $E$9)</f>
        <v>25.6767</v>
      </c>
      <c r="S484" s="14">
        <f>CHOOSE(CONTROL!$C$42, 23.727, 23.727) * CHOOSE(CONTROL!$C$21, $C$9, 100%, $E$9)</f>
        <v>23.727</v>
      </c>
      <c r="T48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84" s="57">
        <f>(1000*CHOOSE(CONTROL!$C$42, 695, 695)*CHOOSE(CONTROL!$C$42, 0.5599, 0.5599)*CHOOSE(CONTROL!$C$42, 30, 30))/1000000</f>
        <v>11.673914999999997</v>
      </c>
      <c r="V484" s="57">
        <f>(1000*CHOOSE(CONTROL!$C$42, 500, 500)*CHOOSE(CONTROL!$C$42, 0.275, 0.275)*CHOOSE(CONTROL!$C$42, 30, 30))/1000000</f>
        <v>4.125</v>
      </c>
      <c r="W484" s="57">
        <f>(1000*CHOOSE(CONTROL!$C$42, 0.1146, 0.1146)*CHOOSE(CONTROL!$C$42, 121.5, 121.5)*CHOOSE(CONTROL!$C$42, 30, 30))/1000000</f>
        <v>0.417717</v>
      </c>
      <c r="X484" s="57">
        <f>(30*0.1790888*245000/1000000)+(30*0.2374*100000/1000000)</f>
        <v>2.0285026799999999</v>
      </c>
      <c r="Y484" s="57"/>
      <c r="Z484" s="14"/>
      <c r="AA484" s="56"/>
      <c r="AB484" s="50">
        <f>(B484*141.293+C484*267.993+D484*115.016+E484*89.698+F484*40+G484*185+H484*0+I484*100+J484*300)/(141.293+267.993+115.016+89.698+0+40+185+100+300)</f>
        <v>24.740143329539951</v>
      </c>
      <c r="AC484" s="45">
        <f>(M484*'RAP TEMPLATE-GAS AVAILABILITY'!O483+N484*'RAP TEMPLATE-GAS AVAILABILITY'!P483+O484*'RAP TEMPLATE-GAS AVAILABILITY'!Q483+P484*'RAP TEMPLATE-GAS AVAILABILITY'!R483)/('RAP TEMPLATE-GAS AVAILABILITY'!O483+'RAP TEMPLATE-GAS AVAILABILITY'!P483+'RAP TEMPLATE-GAS AVAILABILITY'!Q483+'RAP TEMPLATE-GAS AVAILABILITY'!R483)</f>
        <v>24.268794244604319</v>
      </c>
    </row>
    <row r="485" spans="1:29" ht="15.75" x14ac:dyDescent="0.25">
      <c r="A485" s="33">
        <v>55670</v>
      </c>
      <c r="B485" s="14">
        <f>CHOOSE(CONTROL!$C$42, 24.9215, 24.9215) * CHOOSE(CONTROL!$C$21, $C$9, 100%, $E$9)</f>
        <v>24.921500000000002</v>
      </c>
      <c r="C485" s="14">
        <f>CHOOSE(CONTROL!$C$42, 24.9295, 24.9295) * CHOOSE(CONTROL!$C$21, $C$9, 100%, $E$9)</f>
        <v>24.929500000000001</v>
      </c>
      <c r="D485" s="14">
        <f>CHOOSE(CONTROL!$C$42, 25.1335, 25.1335) * CHOOSE(CONTROL!$C$21, $C$9, 100%, $E$9)</f>
        <v>25.133500000000002</v>
      </c>
      <c r="E485" s="14">
        <f>CHOOSE(CONTROL!$C$42, 25.1649, 25.1649) * CHOOSE(CONTROL!$C$21, $C$9, 100%, $E$9)</f>
        <v>25.164899999999999</v>
      </c>
      <c r="F485" s="14">
        <f>CHOOSE(CONTROL!$C$42, 24.9022, 24.9022)*CHOOSE(CONTROL!$C$21, $C$9, 100%, $E$9)</f>
        <v>24.902200000000001</v>
      </c>
      <c r="G485" s="14">
        <f>CHOOSE(CONTROL!$C$42, 24.9179, 24.9179)*CHOOSE(CONTROL!$C$21, $C$9, 100%, $E$9)</f>
        <v>24.917899999999999</v>
      </c>
      <c r="H485" s="14">
        <f>CHOOSE(CONTROL!$C$42, 25.1536, 25.1536) * CHOOSE(CONTROL!$C$21, $C$9, 100%, $E$9)</f>
        <v>25.153600000000001</v>
      </c>
      <c r="I485" s="14">
        <f>CHOOSE(CONTROL!$C$42, 25.005, 25.005)* CHOOSE(CONTROL!$C$21, $C$9, 100%, $E$9)</f>
        <v>25.004999999999999</v>
      </c>
      <c r="J485" s="14">
        <f>CHOOSE(CONTROL!$C$42, 24.8952, 24.8952)* CHOOSE(CONTROL!$C$21, $C$9, 100%, $E$9)</f>
        <v>24.895199999999999</v>
      </c>
      <c r="K485" s="53">
        <f>CHOOSE(CONTROL!$C$42, 25.0011, 25.0011) * CHOOSE(CONTROL!$C$21, $C$9, 100%, $E$9)</f>
        <v>25.001100000000001</v>
      </c>
      <c r="L485" s="14">
        <f>CHOOSE(CONTROL!$C$42, 25.7406, 25.7406) * CHOOSE(CONTROL!$C$21, $C$9, 100%, $E$9)</f>
        <v>25.740600000000001</v>
      </c>
      <c r="M485" s="14">
        <f>CHOOSE(CONTROL!$C$42, 24.3928, 24.3928) * CHOOSE(CONTROL!$C$21, $C$9, 100%, $E$9)</f>
        <v>24.392800000000001</v>
      </c>
      <c r="N485" s="14">
        <f>CHOOSE(CONTROL!$C$42, 24.4082, 24.4082) * CHOOSE(CONTROL!$C$21, $C$9, 100%, $E$9)</f>
        <v>24.408200000000001</v>
      </c>
      <c r="O485" s="14">
        <f>CHOOSE(CONTROL!$C$42, 24.6459, 24.6459) * CHOOSE(CONTROL!$C$21, $C$9, 100%, $E$9)</f>
        <v>24.645900000000001</v>
      </c>
      <c r="P485" s="14">
        <f>CHOOSE(CONTROL!$C$42, 24.4989, 24.4989) * CHOOSE(CONTROL!$C$21, $C$9, 100%, $E$9)</f>
        <v>24.498899999999999</v>
      </c>
      <c r="Q485" s="14">
        <f>CHOOSE(CONTROL!$C$42, 25.2406, 25.2406) * CHOOSE(CONTROL!$C$21, $C$9, 100%, $E$9)</f>
        <v>25.240600000000001</v>
      </c>
      <c r="R485" s="14">
        <f>CHOOSE(CONTROL!$C$42, 25.8907, 25.8907) * CHOOSE(CONTROL!$C$21, $C$9, 100%, $E$9)</f>
        <v>25.890699999999999</v>
      </c>
      <c r="S485" s="14">
        <f>CHOOSE(CONTROL!$C$42, 23.9364, 23.9364) * CHOOSE(CONTROL!$C$21, $C$9, 100%, $E$9)</f>
        <v>23.936399999999999</v>
      </c>
      <c r="T48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85" s="57">
        <f>(1000*CHOOSE(CONTROL!$C$42, 695, 695)*CHOOSE(CONTROL!$C$42, 0.5599, 0.5599)*CHOOSE(CONTROL!$C$42, 31, 31))/1000000</f>
        <v>12.063045499999998</v>
      </c>
      <c r="V485" s="57">
        <f>(1000*CHOOSE(CONTROL!$C$42, 500, 500)*CHOOSE(CONTROL!$C$42, 0.275, 0.275)*CHOOSE(CONTROL!$C$42, 31, 31))/1000000</f>
        <v>4.2625000000000002</v>
      </c>
      <c r="W485" s="57">
        <f>(1000*CHOOSE(CONTROL!$C$42, 0.1146, 0.1146)*CHOOSE(CONTROL!$C$42, 121.5, 121.5)*CHOOSE(CONTROL!$C$42, 31, 31))/1000000</f>
        <v>0.43164089999999994</v>
      </c>
      <c r="X485" s="57">
        <f>(31*0.1790888*245000/1000000)+(31*0.2374*100000/1000000)</f>
        <v>2.0961194359999999</v>
      </c>
      <c r="Y485" s="57"/>
      <c r="Z485" s="14"/>
      <c r="AA485" s="56"/>
      <c r="AB485" s="50">
        <f>(B485*194.205+C485*267.466+D485*133.845+E485*53.484+F485*40+G485*185+H485*0+I485*100+J485*300)/(194.205+267.466+133.845+53.484+0+40+185+100+300)</f>
        <v>24.954902569544743</v>
      </c>
      <c r="AC485" s="45">
        <f>(M485*'RAP TEMPLATE-GAS AVAILABILITY'!O484+N485*'RAP TEMPLATE-GAS AVAILABILITY'!P484+O485*'RAP TEMPLATE-GAS AVAILABILITY'!Q484+P485*'RAP TEMPLATE-GAS AVAILABILITY'!R484)/('RAP TEMPLATE-GAS AVAILABILITY'!O484+'RAP TEMPLATE-GAS AVAILABILITY'!P484+'RAP TEMPLATE-GAS AVAILABILITY'!Q484+'RAP TEMPLATE-GAS AVAILABILITY'!R484)</f>
        <v>24.482625179856111</v>
      </c>
    </row>
    <row r="486" spans="1:29" ht="15.75" x14ac:dyDescent="0.25">
      <c r="A486" s="33">
        <v>55700</v>
      </c>
      <c r="B486" s="14">
        <f>CHOOSE(CONTROL!$C$42, 25.6281, 25.6281) * CHOOSE(CONTROL!$C$21, $C$9, 100%, $E$9)</f>
        <v>25.6281</v>
      </c>
      <c r="C486" s="14">
        <f>CHOOSE(CONTROL!$C$42, 25.6361, 25.6361) * CHOOSE(CONTROL!$C$21, $C$9, 100%, $E$9)</f>
        <v>25.636099999999999</v>
      </c>
      <c r="D486" s="14">
        <f>CHOOSE(CONTROL!$C$42, 25.84, 25.84) * CHOOSE(CONTROL!$C$21, $C$9, 100%, $E$9)</f>
        <v>25.84</v>
      </c>
      <c r="E486" s="14">
        <f>CHOOSE(CONTROL!$C$42, 25.8715, 25.8715) * CHOOSE(CONTROL!$C$21, $C$9, 100%, $E$9)</f>
        <v>25.871500000000001</v>
      </c>
      <c r="F486" s="14">
        <f>CHOOSE(CONTROL!$C$42, 25.6093, 25.6093)*CHOOSE(CONTROL!$C$21, $C$9, 100%, $E$9)</f>
        <v>25.609300000000001</v>
      </c>
      <c r="G486" s="14">
        <f>CHOOSE(CONTROL!$C$42, 25.625, 25.625)*CHOOSE(CONTROL!$C$21, $C$9, 100%, $E$9)</f>
        <v>25.625</v>
      </c>
      <c r="H486" s="14">
        <f>CHOOSE(CONTROL!$C$42, 25.8601, 25.8601) * CHOOSE(CONTROL!$C$21, $C$9, 100%, $E$9)</f>
        <v>25.860099999999999</v>
      </c>
      <c r="I486" s="14">
        <f>CHOOSE(CONTROL!$C$42, 25.7138, 25.7138)* CHOOSE(CONTROL!$C$21, $C$9, 100%, $E$9)</f>
        <v>25.713799999999999</v>
      </c>
      <c r="J486" s="14">
        <f>CHOOSE(CONTROL!$C$42, 25.6023, 25.6023)* CHOOSE(CONTROL!$C$21, $C$9, 100%, $E$9)</f>
        <v>25.6023</v>
      </c>
      <c r="K486" s="53">
        <f>CHOOSE(CONTROL!$C$42, 25.7099, 25.7099) * CHOOSE(CONTROL!$C$21, $C$9, 100%, $E$9)</f>
        <v>25.709900000000001</v>
      </c>
      <c r="L486" s="14">
        <f>CHOOSE(CONTROL!$C$42, 26.4471, 26.4471) * CHOOSE(CONTROL!$C$21, $C$9, 100%, $E$9)</f>
        <v>26.447099999999999</v>
      </c>
      <c r="M486" s="14">
        <f>CHOOSE(CONTROL!$C$42, 25.0854, 25.0854) * CHOOSE(CONTROL!$C$21, $C$9, 100%, $E$9)</f>
        <v>25.0854</v>
      </c>
      <c r="N486" s="14">
        <f>CHOOSE(CONTROL!$C$42, 25.1008, 25.1008) * CHOOSE(CONTROL!$C$21, $C$9, 100%, $E$9)</f>
        <v>25.1008</v>
      </c>
      <c r="O486" s="14">
        <f>CHOOSE(CONTROL!$C$42, 25.338, 25.338) * CHOOSE(CONTROL!$C$21, $C$9, 100%, $E$9)</f>
        <v>25.338000000000001</v>
      </c>
      <c r="P486" s="14">
        <f>CHOOSE(CONTROL!$C$42, 25.1931, 25.1931) * CHOOSE(CONTROL!$C$21, $C$9, 100%, $E$9)</f>
        <v>25.193100000000001</v>
      </c>
      <c r="Q486" s="14">
        <f>CHOOSE(CONTROL!$C$42, 25.9327, 25.9327) * CHOOSE(CONTROL!$C$21, $C$9, 100%, $E$9)</f>
        <v>25.932700000000001</v>
      </c>
      <c r="R486" s="14">
        <f>CHOOSE(CONTROL!$C$42, 26.5845, 26.5845) * CHOOSE(CONTROL!$C$21, $C$9, 100%, $E$9)</f>
        <v>26.584499999999998</v>
      </c>
      <c r="S486" s="14">
        <f>CHOOSE(CONTROL!$C$42, 24.6154, 24.6154) * CHOOSE(CONTROL!$C$21, $C$9, 100%, $E$9)</f>
        <v>24.615400000000001</v>
      </c>
      <c r="T48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86" s="57">
        <f>(1000*CHOOSE(CONTROL!$C$42, 695, 695)*CHOOSE(CONTROL!$C$42, 0.5599, 0.5599)*CHOOSE(CONTROL!$C$42, 30, 30))/1000000</f>
        <v>11.673914999999997</v>
      </c>
      <c r="V486" s="57">
        <f>(1000*CHOOSE(CONTROL!$C$42, 500, 500)*CHOOSE(CONTROL!$C$42, 0.275, 0.275)*CHOOSE(CONTROL!$C$42, 30, 30))/1000000</f>
        <v>4.125</v>
      </c>
      <c r="W486" s="57">
        <f>(1000*CHOOSE(CONTROL!$C$42, 0.1146, 0.1146)*CHOOSE(CONTROL!$C$42, 121.5, 121.5)*CHOOSE(CONTROL!$C$42, 30, 30))/1000000</f>
        <v>0.417717</v>
      </c>
      <c r="X486" s="57">
        <f>(30*0.1790888*245000/1000000)+(30*0.2374*100000/1000000)</f>
        <v>2.0285026799999999</v>
      </c>
      <c r="Y486" s="57"/>
      <c r="Z486" s="14"/>
      <c r="AA486" s="56"/>
      <c r="AB486" s="50">
        <f>(B486*194.205+C486*267.466+D486*133.845+E486*53.484+F486*40+G486*185+H486*0+I486*100+J486*300)/(194.205+267.466+133.845+53.484+0+40+185+100+300)</f>
        <v>25.661870792072214</v>
      </c>
      <c r="AC486" s="45">
        <f>(M486*'RAP TEMPLATE-GAS AVAILABILITY'!O485+N486*'RAP TEMPLATE-GAS AVAILABILITY'!P485+O486*'RAP TEMPLATE-GAS AVAILABILITY'!Q485+P486*'RAP TEMPLATE-GAS AVAILABILITY'!R485)/('RAP TEMPLATE-GAS AVAILABILITY'!O485+'RAP TEMPLATE-GAS AVAILABILITY'!P485+'RAP TEMPLATE-GAS AVAILABILITY'!Q485+'RAP TEMPLATE-GAS AVAILABILITY'!R485)</f>
        <v>25.175315107913672</v>
      </c>
    </row>
    <row r="487" spans="1:29" ht="15.75" x14ac:dyDescent="0.25">
      <c r="A487" s="33">
        <v>55731</v>
      </c>
      <c r="B487" s="14">
        <f>CHOOSE(CONTROL!$C$42, 25.1367, 25.1367) * CHOOSE(CONTROL!$C$21, $C$9, 100%, $E$9)</f>
        <v>25.136700000000001</v>
      </c>
      <c r="C487" s="14">
        <f>CHOOSE(CONTROL!$C$42, 25.1447, 25.1447) * CHOOSE(CONTROL!$C$21, $C$9, 100%, $E$9)</f>
        <v>25.1447</v>
      </c>
      <c r="D487" s="14">
        <f>CHOOSE(CONTROL!$C$42, 25.3486, 25.3486) * CHOOSE(CONTROL!$C$21, $C$9, 100%, $E$9)</f>
        <v>25.348600000000001</v>
      </c>
      <c r="E487" s="14">
        <f>CHOOSE(CONTROL!$C$42, 25.3801, 25.3801) * CHOOSE(CONTROL!$C$21, $C$9, 100%, $E$9)</f>
        <v>25.380099999999999</v>
      </c>
      <c r="F487" s="14">
        <f>CHOOSE(CONTROL!$C$42, 25.1183, 25.1183)*CHOOSE(CONTROL!$C$21, $C$9, 100%, $E$9)</f>
        <v>25.118300000000001</v>
      </c>
      <c r="G487" s="14">
        <f>CHOOSE(CONTROL!$C$42, 25.1342, 25.1342)*CHOOSE(CONTROL!$C$21, $C$9, 100%, $E$9)</f>
        <v>25.1342</v>
      </c>
      <c r="H487" s="14">
        <f>CHOOSE(CONTROL!$C$42, 25.3687, 25.3687) * CHOOSE(CONTROL!$C$21, $C$9, 100%, $E$9)</f>
        <v>25.3687</v>
      </c>
      <c r="I487" s="14">
        <f>CHOOSE(CONTROL!$C$42, 25.2208, 25.2208)* CHOOSE(CONTROL!$C$21, $C$9, 100%, $E$9)</f>
        <v>25.220800000000001</v>
      </c>
      <c r="J487" s="14">
        <f>CHOOSE(CONTROL!$C$42, 25.1113, 25.1113)* CHOOSE(CONTROL!$C$21, $C$9, 100%, $E$9)</f>
        <v>25.1113</v>
      </c>
      <c r="K487" s="53">
        <f>CHOOSE(CONTROL!$C$42, 25.2169, 25.2169) * CHOOSE(CONTROL!$C$21, $C$9, 100%, $E$9)</f>
        <v>25.216899999999999</v>
      </c>
      <c r="L487" s="14">
        <f>CHOOSE(CONTROL!$C$42, 25.9557, 25.9557) * CHOOSE(CONTROL!$C$21, $C$9, 100%, $E$9)</f>
        <v>25.9557</v>
      </c>
      <c r="M487" s="14">
        <f>CHOOSE(CONTROL!$C$42, 24.6045, 24.6045) * CHOOSE(CONTROL!$C$21, $C$9, 100%, $E$9)</f>
        <v>24.604500000000002</v>
      </c>
      <c r="N487" s="14">
        <f>CHOOSE(CONTROL!$C$42, 24.62, 24.62) * CHOOSE(CONTROL!$C$21, $C$9, 100%, $E$9)</f>
        <v>24.62</v>
      </c>
      <c r="O487" s="14">
        <f>CHOOSE(CONTROL!$C$42, 24.8566, 24.8566) * CHOOSE(CONTROL!$C$21, $C$9, 100%, $E$9)</f>
        <v>24.8566</v>
      </c>
      <c r="P487" s="14">
        <f>CHOOSE(CONTROL!$C$42, 24.7102, 24.7102) * CHOOSE(CONTROL!$C$21, $C$9, 100%, $E$9)</f>
        <v>24.7102</v>
      </c>
      <c r="Q487" s="14">
        <f>CHOOSE(CONTROL!$C$42, 25.4513, 25.4513) * CHOOSE(CONTROL!$C$21, $C$9, 100%, $E$9)</f>
        <v>25.4513</v>
      </c>
      <c r="R487" s="14">
        <f>CHOOSE(CONTROL!$C$42, 26.1019, 26.1019) * CHOOSE(CONTROL!$C$21, $C$9, 100%, $E$9)</f>
        <v>26.101900000000001</v>
      </c>
      <c r="S487" s="14">
        <f>CHOOSE(CONTROL!$C$42, 24.1432, 24.1432) * CHOOSE(CONTROL!$C$21, $C$9, 100%, $E$9)</f>
        <v>24.1432</v>
      </c>
      <c r="T48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87" s="57">
        <f>(1000*CHOOSE(CONTROL!$C$42, 695, 695)*CHOOSE(CONTROL!$C$42, 0.5599, 0.5599)*CHOOSE(CONTROL!$C$42, 31, 31))/1000000</f>
        <v>12.063045499999998</v>
      </c>
      <c r="V487" s="57">
        <f>(1000*CHOOSE(CONTROL!$C$42, 500, 500)*CHOOSE(CONTROL!$C$42, 0.275, 0.275)*CHOOSE(CONTROL!$C$42, 31, 31))/1000000</f>
        <v>4.2625000000000002</v>
      </c>
      <c r="W487" s="57">
        <f>(1000*CHOOSE(CONTROL!$C$42, 0.1146, 0.1146)*CHOOSE(CONTROL!$C$42, 121.5, 121.5)*CHOOSE(CONTROL!$C$42, 31, 31))/1000000</f>
        <v>0.43164089999999994</v>
      </c>
      <c r="X487" s="57">
        <f>(31*0.1790888*245000/1000000)+(31*0.2374*100000/1000000)</f>
        <v>2.0961194359999999</v>
      </c>
      <c r="Y487" s="57"/>
      <c r="Z487" s="14"/>
      <c r="AA487" s="56"/>
      <c r="AB487" s="50">
        <f>(B487*194.205+C487*267.466+D487*133.845+E487*53.484+F487*40+G487*185+H487*0+I487*100+J487*300)/(194.205+267.466+133.845+53.484+0+40+185+100+300)</f>
        <v>25.170539080926218</v>
      </c>
      <c r="AC487" s="45">
        <f>(M487*'RAP TEMPLATE-GAS AVAILABILITY'!O486+N487*'RAP TEMPLATE-GAS AVAILABILITY'!P486+O487*'RAP TEMPLATE-GAS AVAILABILITY'!Q486+P487*'RAP TEMPLATE-GAS AVAILABILITY'!R486)/('RAP TEMPLATE-GAS AVAILABILITY'!O486+'RAP TEMPLATE-GAS AVAILABILITY'!P486+'RAP TEMPLATE-GAS AVAILABILITY'!Q486+'RAP TEMPLATE-GAS AVAILABILITY'!R486)</f>
        <v>24.694010071942447</v>
      </c>
    </row>
    <row r="488" spans="1:29" ht="15.75" x14ac:dyDescent="0.25">
      <c r="A488" s="33">
        <v>55762</v>
      </c>
      <c r="B488" s="14">
        <f>CHOOSE(CONTROL!$C$42, 23.8956, 23.8956) * CHOOSE(CONTROL!$C$21, $C$9, 100%, $E$9)</f>
        <v>23.895600000000002</v>
      </c>
      <c r="C488" s="14">
        <f>CHOOSE(CONTROL!$C$42, 23.9037, 23.9037) * CHOOSE(CONTROL!$C$21, $C$9, 100%, $E$9)</f>
        <v>23.903700000000001</v>
      </c>
      <c r="D488" s="14">
        <f>CHOOSE(CONTROL!$C$42, 24.1076, 24.1076) * CHOOSE(CONTROL!$C$21, $C$9, 100%, $E$9)</f>
        <v>24.107600000000001</v>
      </c>
      <c r="E488" s="14">
        <f>CHOOSE(CONTROL!$C$42, 24.139, 24.139) * CHOOSE(CONTROL!$C$21, $C$9, 100%, $E$9)</f>
        <v>24.138999999999999</v>
      </c>
      <c r="F488" s="14">
        <f>CHOOSE(CONTROL!$C$42, 23.8775, 23.8775)*CHOOSE(CONTROL!$C$21, $C$9, 100%, $E$9)</f>
        <v>23.877500000000001</v>
      </c>
      <c r="G488" s="14">
        <f>CHOOSE(CONTROL!$C$42, 23.8934, 23.8934)*CHOOSE(CONTROL!$C$21, $C$9, 100%, $E$9)</f>
        <v>23.8934</v>
      </c>
      <c r="H488" s="14">
        <f>CHOOSE(CONTROL!$C$42, 24.1277, 24.1277) * CHOOSE(CONTROL!$C$21, $C$9, 100%, $E$9)</f>
        <v>24.127700000000001</v>
      </c>
      <c r="I488" s="14">
        <f>CHOOSE(CONTROL!$C$42, 23.9759, 23.9759)* CHOOSE(CONTROL!$C$21, $C$9, 100%, $E$9)</f>
        <v>23.975899999999999</v>
      </c>
      <c r="J488" s="14">
        <f>CHOOSE(CONTROL!$C$42, 23.8705, 23.8705)* CHOOSE(CONTROL!$C$21, $C$9, 100%, $E$9)</f>
        <v>23.8705</v>
      </c>
      <c r="K488" s="53">
        <f>CHOOSE(CONTROL!$C$42, 23.972, 23.972) * CHOOSE(CONTROL!$C$21, $C$9, 100%, $E$9)</f>
        <v>23.972000000000001</v>
      </c>
      <c r="L488" s="14">
        <f>CHOOSE(CONTROL!$C$42, 24.7147, 24.7147) * CHOOSE(CONTROL!$C$21, $C$9, 100%, $E$9)</f>
        <v>24.714700000000001</v>
      </c>
      <c r="M488" s="14">
        <f>CHOOSE(CONTROL!$C$42, 23.3891, 23.3891) * CHOOSE(CONTROL!$C$21, $C$9, 100%, $E$9)</f>
        <v>23.389099999999999</v>
      </c>
      <c r="N488" s="14">
        <f>CHOOSE(CONTROL!$C$42, 23.4047, 23.4047) * CHOOSE(CONTROL!$C$21, $C$9, 100%, $E$9)</f>
        <v>23.404699999999998</v>
      </c>
      <c r="O488" s="14">
        <f>CHOOSE(CONTROL!$C$42, 23.641, 23.641) * CHOOSE(CONTROL!$C$21, $C$9, 100%, $E$9)</f>
        <v>23.640999999999998</v>
      </c>
      <c r="P488" s="14">
        <f>CHOOSE(CONTROL!$C$42, 23.4909, 23.4909) * CHOOSE(CONTROL!$C$21, $C$9, 100%, $E$9)</f>
        <v>23.4909</v>
      </c>
      <c r="Q488" s="14">
        <f>CHOOSE(CONTROL!$C$42, 24.2357, 24.2357) * CHOOSE(CONTROL!$C$21, $C$9, 100%, $E$9)</f>
        <v>24.235700000000001</v>
      </c>
      <c r="R488" s="14">
        <f>CHOOSE(CONTROL!$C$42, 24.8833, 24.8833) * CHOOSE(CONTROL!$C$21, $C$9, 100%, $E$9)</f>
        <v>24.883299999999998</v>
      </c>
      <c r="S488" s="14">
        <f>CHOOSE(CONTROL!$C$42, 22.9507, 22.9507) * CHOOSE(CONTROL!$C$21, $C$9, 100%, $E$9)</f>
        <v>22.950700000000001</v>
      </c>
      <c r="T48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88" s="57">
        <f>(1000*CHOOSE(CONTROL!$C$42, 695, 695)*CHOOSE(CONTROL!$C$42, 0.5599, 0.5599)*CHOOSE(CONTROL!$C$42, 31, 31))/1000000</f>
        <v>12.063045499999998</v>
      </c>
      <c r="V488" s="57">
        <f>(1000*CHOOSE(CONTROL!$C$42, 500, 500)*CHOOSE(CONTROL!$C$42, 0.275, 0.275)*CHOOSE(CONTROL!$C$42, 31, 31))/1000000</f>
        <v>4.2625000000000002</v>
      </c>
      <c r="W488" s="57">
        <f>(1000*CHOOSE(CONTROL!$C$42, 0.1146, 0.1146)*CHOOSE(CONTROL!$C$42, 121.5, 121.5)*CHOOSE(CONTROL!$C$42, 31, 31))/1000000</f>
        <v>0.43164089999999994</v>
      </c>
      <c r="X488" s="57">
        <f>(31*0.1790888*245000/1000000)+(31*0.2374*100000/1000000)</f>
        <v>2.0961194359999999</v>
      </c>
      <c r="Y488" s="57"/>
      <c r="Z488" s="14"/>
      <c r="AA488" s="56"/>
      <c r="AB488" s="50">
        <f>(B488*194.205+C488*267.466+D488*133.845+E488*53.484+F488*40+G488*185+H488*0+I488*100+J488*300)/(194.205+267.466+133.845+53.484+0+40+185+100+300)</f>
        <v>23.929295934222921</v>
      </c>
      <c r="AC488" s="45">
        <f>(M488*'RAP TEMPLATE-GAS AVAILABILITY'!O487+N488*'RAP TEMPLATE-GAS AVAILABILITY'!P487+O488*'RAP TEMPLATE-GAS AVAILABILITY'!Q487+P488*'RAP TEMPLATE-GAS AVAILABILITY'!R487)/('RAP TEMPLATE-GAS AVAILABILITY'!O487+'RAP TEMPLATE-GAS AVAILABILITY'!P487+'RAP TEMPLATE-GAS AVAILABILITY'!Q487+'RAP TEMPLATE-GAS AVAILABILITY'!R487)</f>
        <v>23.478015827338126</v>
      </c>
    </row>
    <row r="489" spans="1:29" ht="15.75" x14ac:dyDescent="0.25">
      <c r="A489" s="33">
        <v>55792</v>
      </c>
      <c r="B489" s="14">
        <f>CHOOSE(CONTROL!$C$42, 22.3789, 22.3789) * CHOOSE(CONTROL!$C$21, $C$9, 100%, $E$9)</f>
        <v>22.378900000000002</v>
      </c>
      <c r="C489" s="14">
        <f>CHOOSE(CONTROL!$C$42, 22.387, 22.387) * CHOOSE(CONTROL!$C$21, $C$9, 100%, $E$9)</f>
        <v>22.387</v>
      </c>
      <c r="D489" s="14">
        <f>CHOOSE(CONTROL!$C$42, 22.5909, 22.5909) * CHOOSE(CONTROL!$C$21, $C$9, 100%, $E$9)</f>
        <v>22.590900000000001</v>
      </c>
      <c r="E489" s="14">
        <f>CHOOSE(CONTROL!$C$42, 22.6223, 22.6223) * CHOOSE(CONTROL!$C$21, $C$9, 100%, $E$9)</f>
        <v>22.622299999999999</v>
      </c>
      <c r="F489" s="14">
        <f>CHOOSE(CONTROL!$C$42, 22.3608, 22.3608)*CHOOSE(CONTROL!$C$21, $C$9, 100%, $E$9)</f>
        <v>22.360800000000001</v>
      </c>
      <c r="G489" s="14">
        <f>CHOOSE(CONTROL!$C$42, 22.3768, 22.3768)*CHOOSE(CONTROL!$C$21, $C$9, 100%, $E$9)</f>
        <v>22.376799999999999</v>
      </c>
      <c r="H489" s="14">
        <f>CHOOSE(CONTROL!$C$42, 22.611, 22.611) * CHOOSE(CONTROL!$C$21, $C$9, 100%, $E$9)</f>
        <v>22.611000000000001</v>
      </c>
      <c r="I489" s="14">
        <f>CHOOSE(CONTROL!$C$42, 22.4545, 22.4545)* CHOOSE(CONTROL!$C$21, $C$9, 100%, $E$9)</f>
        <v>22.454499999999999</v>
      </c>
      <c r="J489" s="14">
        <f>CHOOSE(CONTROL!$C$42, 22.3538, 22.3538)* CHOOSE(CONTROL!$C$21, $C$9, 100%, $E$9)</f>
        <v>22.3538</v>
      </c>
      <c r="K489" s="53">
        <f>CHOOSE(CONTROL!$C$42, 22.4506, 22.4506) * CHOOSE(CONTROL!$C$21, $C$9, 100%, $E$9)</f>
        <v>22.450600000000001</v>
      </c>
      <c r="L489" s="14">
        <f>CHOOSE(CONTROL!$C$42, 23.198, 23.198) * CHOOSE(CONTROL!$C$21, $C$9, 100%, $E$9)</f>
        <v>23.198</v>
      </c>
      <c r="M489" s="14">
        <f>CHOOSE(CONTROL!$C$42, 21.9035, 21.9035) * CHOOSE(CONTROL!$C$21, $C$9, 100%, $E$9)</f>
        <v>21.903500000000001</v>
      </c>
      <c r="N489" s="14">
        <f>CHOOSE(CONTROL!$C$42, 21.9191, 21.9191) * CHOOSE(CONTROL!$C$21, $C$9, 100%, $E$9)</f>
        <v>21.9191</v>
      </c>
      <c r="O489" s="14">
        <f>CHOOSE(CONTROL!$C$42, 22.1554, 22.1554) * CHOOSE(CONTROL!$C$21, $C$9, 100%, $E$9)</f>
        <v>22.1554</v>
      </c>
      <c r="P489" s="14">
        <f>CHOOSE(CONTROL!$C$42, 22.0007, 22.0007) * CHOOSE(CONTROL!$C$21, $C$9, 100%, $E$9)</f>
        <v>22.000699999999998</v>
      </c>
      <c r="Q489" s="14">
        <f>CHOOSE(CONTROL!$C$42, 22.7501, 22.7501) * CHOOSE(CONTROL!$C$21, $C$9, 100%, $E$9)</f>
        <v>22.7501</v>
      </c>
      <c r="R489" s="14">
        <f>CHOOSE(CONTROL!$C$42, 23.394, 23.394) * CHOOSE(CONTROL!$C$21, $C$9, 100%, $E$9)</f>
        <v>23.393999999999998</v>
      </c>
      <c r="S489" s="14">
        <f>CHOOSE(CONTROL!$C$42, 21.4933, 21.4933) * CHOOSE(CONTROL!$C$21, $C$9, 100%, $E$9)</f>
        <v>21.493300000000001</v>
      </c>
      <c r="T48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89" s="57">
        <f>(1000*CHOOSE(CONTROL!$C$42, 695, 695)*CHOOSE(CONTROL!$C$42, 0.5599, 0.5599)*CHOOSE(CONTROL!$C$42, 30, 30))/1000000</f>
        <v>11.673914999999997</v>
      </c>
      <c r="V489" s="57">
        <f>(1000*CHOOSE(CONTROL!$C$42, 500, 500)*CHOOSE(CONTROL!$C$42, 0.275, 0.275)*CHOOSE(CONTROL!$C$42, 30, 30))/1000000</f>
        <v>4.125</v>
      </c>
      <c r="W489" s="57">
        <f>(1000*CHOOSE(CONTROL!$C$42, 0.1146, 0.1146)*CHOOSE(CONTROL!$C$42, 121.5, 121.5)*CHOOSE(CONTROL!$C$42, 30, 30))/1000000</f>
        <v>0.417717</v>
      </c>
      <c r="X489" s="57">
        <f>(30*0.1790888*245000/1000000)+(30*0.2374*100000/1000000)</f>
        <v>2.0285026799999999</v>
      </c>
      <c r="Y489" s="57"/>
      <c r="Z489" s="14"/>
      <c r="AA489" s="56"/>
      <c r="AB489" s="50">
        <f>(B489*194.205+C489*267.466+D489*133.845+E489*53.484+F489*40+G489*185+H489*0+I489*100+J489*300)/(194.205+267.466+133.845+53.484+0+40+185+100+300)</f>
        <v>22.412241538618524</v>
      </c>
      <c r="AC489" s="45">
        <f>(M489*'RAP TEMPLATE-GAS AVAILABILITY'!O488+N489*'RAP TEMPLATE-GAS AVAILABILITY'!P488+O489*'RAP TEMPLATE-GAS AVAILABILITY'!Q488+P489*'RAP TEMPLATE-GAS AVAILABILITY'!R488)/('RAP TEMPLATE-GAS AVAILABILITY'!O488+'RAP TEMPLATE-GAS AVAILABILITY'!P488+'RAP TEMPLATE-GAS AVAILABILITY'!Q488+'RAP TEMPLATE-GAS AVAILABILITY'!R488)</f>
        <v>21.991753956834533</v>
      </c>
    </row>
    <row r="490" spans="1:29" ht="15.75" x14ac:dyDescent="0.25">
      <c r="A490" s="33">
        <v>55823</v>
      </c>
      <c r="B490" s="14">
        <f>CHOOSE(CONTROL!$C$42, 21.923, 21.923) * CHOOSE(CONTROL!$C$21, $C$9, 100%, $E$9)</f>
        <v>21.922999999999998</v>
      </c>
      <c r="C490" s="14">
        <f>CHOOSE(CONTROL!$C$42, 21.9283, 21.9283) * CHOOSE(CONTROL!$C$21, $C$9, 100%, $E$9)</f>
        <v>21.9283</v>
      </c>
      <c r="D490" s="14">
        <f>CHOOSE(CONTROL!$C$42, 22.1372, 22.1372) * CHOOSE(CONTROL!$C$21, $C$9, 100%, $E$9)</f>
        <v>22.1372</v>
      </c>
      <c r="E490" s="14">
        <f>CHOOSE(CONTROL!$C$42, 22.1664, 22.1664) * CHOOSE(CONTROL!$C$21, $C$9, 100%, $E$9)</f>
        <v>22.166399999999999</v>
      </c>
      <c r="F490" s="14">
        <f>CHOOSE(CONTROL!$C$42, 21.907, 21.907)*CHOOSE(CONTROL!$C$21, $C$9, 100%, $E$9)</f>
        <v>21.907</v>
      </c>
      <c r="G490" s="14">
        <f>CHOOSE(CONTROL!$C$42, 21.9227, 21.9227)*CHOOSE(CONTROL!$C$21, $C$9, 100%, $E$9)</f>
        <v>21.922699999999999</v>
      </c>
      <c r="H490" s="14">
        <f>CHOOSE(CONTROL!$C$42, 22.1568, 22.1568) * CHOOSE(CONTROL!$C$21, $C$9, 100%, $E$9)</f>
        <v>22.1568</v>
      </c>
      <c r="I490" s="14">
        <f>CHOOSE(CONTROL!$C$42, 21.9989, 21.9989)* CHOOSE(CONTROL!$C$21, $C$9, 100%, $E$9)</f>
        <v>21.998899999999999</v>
      </c>
      <c r="J490" s="14">
        <f>CHOOSE(CONTROL!$C$42, 21.9, 21.9)* CHOOSE(CONTROL!$C$21, $C$9, 100%, $E$9)</f>
        <v>21.9</v>
      </c>
      <c r="K490" s="53">
        <f>CHOOSE(CONTROL!$C$42, 21.995, 21.995) * CHOOSE(CONTROL!$C$21, $C$9, 100%, $E$9)</f>
        <v>21.995000000000001</v>
      </c>
      <c r="L490" s="14">
        <f>CHOOSE(CONTROL!$C$42, 22.7438, 22.7438) * CHOOSE(CONTROL!$C$21, $C$9, 100%, $E$9)</f>
        <v>22.7438</v>
      </c>
      <c r="M490" s="14">
        <f>CHOOSE(CONTROL!$C$42, 21.459, 21.459) * CHOOSE(CONTROL!$C$21, $C$9, 100%, $E$9)</f>
        <v>21.459</v>
      </c>
      <c r="N490" s="14">
        <f>CHOOSE(CONTROL!$C$42, 21.4743, 21.4743) * CHOOSE(CONTROL!$C$21, $C$9, 100%, $E$9)</f>
        <v>21.474299999999999</v>
      </c>
      <c r="O490" s="14">
        <f>CHOOSE(CONTROL!$C$42, 21.7106, 21.7106) * CHOOSE(CONTROL!$C$21, $C$9, 100%, $E$9)</f>
        <v>21.710599999999999</v>
      </c>
      <c r="P490" s="14">
        <f>CHOOSE(CONTROL!$C$42, 21.5545, 21.5545) * CHOOSE(CONTROL!$C$21, $C$9, 100%, $E$9)</f>
        <v>21.554500000000001</v>
      </c>
      <c r="Q490" s="14">
        <f>CHOOSE(CONTROL!$C$42, 22.3053, 22.3053) * CHOOSE(CONTROL!$C$21, $C$9, 100%, $E$9)</f>
        <v>22.305299999999999</v>
      </c>
      <c r="R490" s="14">
        <f>CHOOSE(CONTROL!$C$42, 22.948, 22.948) * CHOOSE(CONTROL!$C$21, $C$9, 100%, $E$9)</f>
        <v>22.948</v>
      </c>
      <c r="S490" s="14">
        <f>CHOOSE(CONTROL!$C$42, 21.0569, 21.0569) * CHOOSE(CONTROL!$C$21, $C$9, 100%, $E$9)</f>
        <v>21.056899999999999</v>
      </c>
      <c r="T49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90" s="57">
        <f>(1000*CHOOSE(CONTROL!$C$42, 695, 695)*CHOOSE(CONTROL!$C$42, 0.5599, 0.5599)*CHOOSE(CONTROL!$C$42, 31, 31))/1000000</f>
        <v>12.063045499999998</v>
      </c>
      <c r="V490" s="57">
        <f>(1000*CHOOSE(CONTROL!$C$42, 500, 500)*CHOOSE(CONTROL!$C$42, 0.275, 0.275)*CHOOSE(CONTROL!$C$42, 31, 31))/1000000</f>
        <v>4.2625000000000002</v>
      </c>
      <c r="W490" s="57">
        <f>(1000*CHOOSE(CONTROL!$C$42, 0.1146, 0.1146)*CHOOSE(CONTROL!$C$42, 121.5, 121.5)*CHOOSE(CONTROL!$C$42, 31, 31))/1000000</f>
        <v>0.43164089999999994</v>
      </c>
      <c r="X490" s="57">
        <f>(31*0.1790888*245000/1000000)+(31*0.2374*100000/1000000)</f>
        <v>2.0961194359999999</v>
      </c>
      <c r="Y490" s="57"/>
      <c r="Z490" s="14"/>
      <c r="AA490" s="56"/>
      <c r="AB490" s="50">
        <f>(B490*131.881+C490*277.167+D490*79.08+E490*125.872+F490*40+G490*185+H490*0+I490*100+J490*300)/(131.881+277.167+79.08+125.872+0+40+185+100+300)</f>
        <v>21.962580037046003</v>
      </c>
      <c r="AC490" s="45">
        <f>(M490*'RAP TEMPLATE-GAS AVAILABILITY'!O489+N490*'RAP TEMPLATE-GAS AVAILABILITY'!P489+O490*'RAP TEMPLATE-GAS AVAILABILITY'!Q489+P490*'RAP TEMPLATE-GAS AVAILABILITY'!R489)/('RAP TEMPLATE-GAS AVAILABILITY'!O489+'RAP TEMPLATE-GAS AVAILABILITY'!P489+'RAP TEMPLATE-GAS AVAILABILITY'!Q489+'RAP TEMPLATE-GAS AVAILABILITY'!R489)</f>
        <v>21.546856115107911</v>
      </c>
    </row>
    <row r="491" spans="1:29" ht="15.75" x14ac:dyDescent="0.25">
      <c r="A491" s="33">
        <v>55853</v>
      </c>
      <c r="B491" s="14">
        <f>CHOOSE(CONTROL!$C$42, 22.4999, 22.4999) * CHOOSE(CONTROL!$C$21, $C$9, 100%, $E$9)</f>
        <v>22.4999</v>
      </c>
      <c r="C491" s="14">
        <f>CHOOSE(CONTROL!$C$42, 22.505, 22.505) * CHOOSE(CONTROL!$C$21, $C$9, 100%, $E$9)</f>
        <v>22.504999999999999</v>
      </c>
      <c r="D491" s="14">
        <f>CHOOSE(CONTROL!$C$42, 22.5688, 22.5688) * CHOOSE(CONTROL!$C$21, $C$9, 100%, $E$9)</f>
        <v>22.5688</v>
      </c>
      <c r="E491" s="14">
        <f>CHOOSE(CONTROL!$C$42, 22.6029, 22.6029) * CHOOSE(CONTROL!$C$21, $C$9, 100%, $E$9)</f>
        <v>22.602900000000002</v>
      </c>
      <c r="F491" s="14">
        <f>CHOOSE(CONTROL!$C$42, 22.5023, 22.5023)*CHOOSE(CONTROL!$C$21, $C$9, 100%, $E$9)</f>
        <v>22.502300000000002</v>
      </c>
      <c r="G491" s="14">
        <f>CHOOSE(CONTROL!$C$42, 22.5183, 22.5183)*CHOOSE(CONTROL!$C$21, $C$9, 100%, $E$9)</f>
        <v>22.5183</v>
      </c>
      <c r="H491" s="14">
        <f>CHOOSE(CONTROL!$C$42, 22.5921, 22.5921) * CHOOSE(CONTROL!$C$21, $C$9, 100%, $E$9)</f>
        <v>22.592099999999999</v>
      </c>
      <c r="I491" s="14">
        <f>CHOOSE(CONTROL!$C$42, 22.5832, 22.5832)* CHOOSE(CONTROL!$C$21, $C$9, 100%, $E$9)</f>
        <v>22.583200000000001</v>
      </c>
      <c r="J491" s="14">
        <f>CHOOSE(CONTROL!$C$42, 22.4953, 22.4953)* CHOOSE(CONTROL!$C$21, $C$9, 100%, $E$9)</f>
        <v>22.4953</v>
      </c>
      <c r="K491" s="53">
        <f>CHOOSE(CONTROL!$C$42, 22.5793, 22.5793) * CHOOSE(CONTROL!$C$21, $C$9, 100%, $E$9)</f>
        <v>22.5793</v>
      </c>
      <c r="L491" s="14">
        <f>CHOOSE(CONTROL!$C$42, 23.1791, 23.1791) * CHOOSE(CONTROL!$C$21, $C$9, 100%, $E$9)</f>
        <v>23.179099999999998</v>
      </c>
      <c r="M491" s="14">
        <f>CHOOSE(CONTROL!$C$42, 22.0421, 22.0421) * CHOOSE(CONTROL!$C$21, $C$9, 100%, $E$9)</f>
        <v>22.042100000000001</v>
      </c>
      <c r="N491" s="14">
        <f>CHOOSE(CONTROL!$C$42, 22.0578, 22.0578) * CHOOSE(CONTROL!$C$21, $C$9, 100%, $E$9)</f>
        <v>22.0578</v>
      </c>
      <c r="O491" s="14">
        <f>CHOOSE(CONTROL!$C$42, 22.1369, 22.1369) * CHOOSE(CONTROL!$C$21, $C$9, 100%, $E$9)</f>
        <v>22.136900000000001</v>
      </c>
      <c r="P491" s="14">
        <f>CHOOSE(CONTROL!$C$42, 22.1268, 22.1268) * CHOOSE(CONTROL!$C$21, $C$9, 100%, $E$9)</f>
        <v>22.126799999999999</v>
      </c>
      <c r="Q491" s="14">
        <f>CHOOSE(CONTROL!$C$42, 22.7316, 22.7316) * CHOOSE(CONTROL!$C$21, $C$9, 100%, $E$9)</f>
        <v>22.7316</v>
      </c>
      <c r="R491" s="14">
        <f>CHOOSE(CONTROL!$C$42, 23.3754, 23.3754) * CHOOSE(CONTROL!$C$21, $C$9, 100%, $E$9)</f>
        <v>23.375399999999999</v>
      </c>
      <c r="S491" s="14">
        <f>CHOOSE(CONTROL!$C$42, 21.6116, 21.6116) * CHOOSE(CONTROL!$C$21, $C$9, 100%, $E$9)</f>
        <v>21.611599999999999</v>
      </c>
      <c r="T49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91" s="57">
        <f>(1000*CHOOSE(CONTROL!$C$42, 695, 695)*CHOOSE(CONTROL!$C$42, 0.5599, 0.5599)*CHOOSE(CONTROL!$C$42, 30, 30))/1000000</f>
        <v>11.673914999999997</v>
      </c>
      <c r="V491" s="57">
        <f>(1000*CHOOSE(CONTROL!$C$42, 500, 500)*CHOOSE(CONTROL!$C$42, 0.275, 0.275)*CHOOSE(CONTROL!$C$42, 30, 30))/1000000</f>
        <v>4.125</v>
      </c>
      <c r="W491" s="57">
        <f>(1000*CHOOSE(CONTROL!$C$42, 0.1146, 0.1146)*CHOOSE(CONTROL!$C$42, 121.5, 121.5)*CHOOSE(CONTROL!$C$42, 30, 30))/1000000</f>
        <v>0.417717</v>
      </c>
      <c r="X491" s="57">
        <f>(30*0.1790888*100000/1000000)+(30*0.2374*100000/1000000)</f>
        <v>1.2494664</v>
      </c>
      <c r="Y491" s="57"/>
      <c r="Z491" s="14"/>
      <c r="AA491" s="56"/>
      <c r="AB491" s="50">
        <f>(B491*122.58+C491*297.941+D491*89.177+E491*40.302+F491*40+G491*160+H491*0+I491*100+J491*300)/(122.58+297.941+89.177+40.302+0+40+160+100+300)</f>
        <v>22.518860782956519</v>
      </c>
      <c r="AC491" s="45">
        <f>(M491*'RAP TEMPLATE-GAS AVAILABILITY'!O490+N491*'RAP TEMPLATE-GAS AVAILABILITY'!P490+O491*'RAP TEMPLATE-GAS AVAILABILITY'!Q490+P491*'RAP TEMPLATE-GAS AVAILABILITY'!R490)/('RAP TEMPLATE-GAS AVAILABILITY'!O490+'RAP TEMPLATE-GAS AVAILABILITY'!P490+'RAP TEMPLATE-GAS AVAILABILITY'!Q490+'RAP TEMPLATE-GAS AVAILABILITY'!R490)</f>
        <v>22.098157553956835</v>
      </c>
    </row>
    <row r="492" spans="1:29" ht="15.75" x14ac:dyDescent="0.25">
      <c r="A492" s="33">
        <v>55884</v>
      </c>
      <c r="B492" s="14">
        <f>CHOOSE(CONTROL!$C$42, 24.0333, 24.0333) * CHOOSE(CONTROL!$C$21, $C$9, 100%, $E$9)</f>
        <v>24.033300000000001</v>
      </c>
      <c r="C492" s="14">
        <f>CHOOSE(CONTROL!$C$42, 24.0383, 24.0383) * CHOOSE(CONTROL!$C$21, $C$9, 100%, $E$9)</f>
        <v>24.0383</v>
      </c>
      <c r="D492" s="14">
        <f>CHOOSE(CONTROL!$C$42, 24.1021, 24.1021) * CHOOSE(CONTROL!$C$21, $C$9, 100%, $E$9)</f>
        <v>24.1021</v>
      </c>
      <c r="E492" s="14">
        <f>CHOOSE(CONTROL!$C$42, 24.1363, 24.1363) * CHOOSE(CONTROL!$C$21, $C$9, 100%, $E$9)</f>
        <v>24.136299999999999</v>
      </c>
      <c r="F492" s="14">
        <f>CHOOSE(CONTROL!$C$42, 24.0379, 24.0379)*CHOOSE(CONTROL!$C$21, $C$9, 100%, $E$9)</f>
        <v>24.0379</v>
      </c>
      <c r="G492" s="14">
        <f>CHOOSE(CONTROL!$C$42, 24.0545, 24.0545)*CHOOSE(CONTROL!$C$21, $C$9, 100%, $E$9)</f>
        <v>24.054500000000001</v>
      </c>
      <c r="H492" s="14">
        <f>CHOOSE(CONTROL!$C$42, 24.1254, 24.1254) * CHOOSE(CONTROL!$C$21, $C$9, 100%, $E$9)</f>
        <v>24.125399999999999</v>
      </c>
      <c r="I492" s="14">
        <f>CHOOSE(CONTROL!$C$42, 24.1214, 24.1214)* CHOOSE(CONTROL!$C$21, $C$9, 100%, $E$9)</f>
        <v>24.121400000000001</v>
      </c>
      <c r="J492" s="14">
        <f>CHOOSE(CONTROL!$C$42, 24.0309, 24.0309)* CHOOSE(CONTROL!$C$21, $C$9, 100%, $E$9)</f>
        <v>24.030899999999999</v>
      </c>
      <c r="K492" s="53">
        <f>CHOOSE(CONTROL!$C$42, 24.1175, 24.1175) * CHOOSE(CONTROL!$C$21, $C$9, 100%, $E$9)</f>
        <v>24.1175</v>
      </c>
      <c r="L492" s="14">
        <f>CHOOSE(CONTROL!$C$42, 24.7124, 24.7124) * CHOOSE(CONTROL!$C$21, $C$9, 100%, $E$9)</f>
        <v>24.712399999999999</v>
      </c>
      <c r="M492" s="14">
        <f>CHOOSE(CONTROL!$C$42, 23.5462, 23.5462) * CHOOSE(CONTROL!$C$21, $C$9, 100%, $E$9)</f>
        <v>23.546199999999999</v>
      </c>
      <c r="N492" s="14">
        <f>CHOOSE(CONTROL!$C$42, 23.5625, 23.5625) * CHOOSE(CONTROL!$C$21, $C$9, 100%, $E$9)</f>
        <v>23.5625</v>
      </c>
      <c r="O492" s="14">
        <f>CHOOSE(CONTROL!$C$42, 23.6388, 23.6388) * CHOOSE(CONTROL!$C$21, $C$9, 100%, $E$9)</f>
        <v>23.6388</v>
      </c>
      <c r="P492" s="14">
        <f>CHOOSE(CONTROL!$C$42, 23.6334, 23.6334) * CHOOSE(CONTROL!$C$21, $C$9, 100%, $E$9)</f>
        <v>23.633400000000002</v>
      </c>
      <c r="Q492" s="14">
        <f>CHOOSE(CONTROL!$C$42, 24.2335, 24.2335) * CHOOSE(CONTROL!$C$21, $C$9, 100%, $E$9)</f>
        <v>24.233499999999999</v>
      </c>
      <c r="R492" s="14">
        <f>CHOOSE(CONTROL!$C$42, 24.8811, 24.8811) * CHOOSE(CONTROL!$C$21, $C$9, 100%, $E$9)</f>
        <v>24.8811</v>
      </c>
      <c r="S492" s="14">
        <f>CHOOSE(CONTROL!$C$42, 23.085, 23.085) * CHOOSE(CONTROL!$C$21, $C$9, 100%, $E$9)</f>
        <v>23.085000000000001</v>
      </c>
      <c r="T49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92" s="57">
        <f>(1000*CHOOSE(CONTROL!$C$42, 695, 695)*CHOOSE(CONTROL!$C$42, 0.5599, 0.5599)*CHOOSE(CONTROL!$C$42, 31, 31))/1000000</f>
        <v>12.063045499999998</v>
      </c>
      <c r="V492" s="57">
        <f>(1000*CHOOSE(CONTROL!$C$42, 500, 500)*CHOOSE(CONTROL!$C$42, 0.275, 0.275)*CHOOSE(CONTROL!$C$42, 31, 31))/1000000</f>
        <v>4.2625000000000002</v>
      </c>
      <c r="W492" s="57">
        <f>(1000*CHOOSE(CONTROL!$C$42, 0.1146, 0.1146)*CHOOSE(CONTROL!$C$42, 121.5, 121.5)*CHOOSE(CONTROL!$C$42, 31, 31))/1000000</f>
        <v>0.43164089999999994</v>
      </c>
      <c r="X492" s="57">
        <f>(31*0.1790888*100000/1000000)+(31*0.2374*100000/1000000)</f>
        <v>1.2911152800000001</v>
      </c>
      <c r="Y492" s="57"/>
      <c r="Z492" s="14"/>
      <c r="AA492" s="56"/>
      <c r="AB492" s="50">
        <f>(B492*122.58+C492*297.941+D492*89.177+E492*40.302+F492*40+G492*160+H492*0+I492*100+J492*300)/(122.58+297.941+89.177+40.302+0+40+160+100+300)</f>
        <v>24.053684511826088</v>
      </c>
      <c r="AC492" s="45">
        <f>(M492*'RAP TEMPLATE-GAS AVAILABILITY'!O491+N492*'RAP TEMPLATE-GAS AVAILABILITY'!P491+O492*'RAP TEMPLATE-GAS AVAILABILITY'!Q491+P492*'RAP TEMPLATE-GAS AVAILABILITY'!R491)/('RAP TEMPLATE-GAS AVAILABILITY'!O491+'RAP TEMPLATE-GAS AVAILABILITY'!P491+'RAP TEMPLATE-GAS AVAILABILITY'!Q491+'RAP TEMPLATE-GAS AVAILABILITY'!R491)</f>
        <v>23.601654676258995</v>
      </c>
    </row>
    <row r="493" spans="1:29" ht="15.75" x14ac:dyDescent="0.25">
      <c r="A493" s="33">
        <v>55915</v>
      </c>
      <c r="B493" s="14">
        <f>CHOOSE(CONTROL!$C$42, 26.0011, 26.0011) * CHOOSE(CONTROL!$C$21, $C$9, 100%, $E$9)</f>
        <v>26.001100000000001</v>
      </c>
      <c r="C493" s="14">
        <f>CHOOSE(CONTROL!$C$42, 26.0062, 26.0062) * CHOOSE(CONTROL!$C$21, $C$9, 100%, $E$9)</f>
        <v>26.0062</v>
      </c>
      <c r="D493" s="14">
        <f>CHOOSE(CONTROL!$C$42, 26.0726, 26.0726) * CHOOSE(CONTROL!$C$21, $C$9, 100%, $E$9)</f>
        <v>26.072600000000001</v>
      </c>
      <c r="E493" s="14">
        <f>CHOOSE(CONTROL!$C$42, 26.1067, 26.1067) * CHOOSE(CONTROL!$C$21, $C$9, 100%, $E$9)</f>
        <v>26.1067</v>
      </c>
      <c r="F493" s="14">
        <f>CHOOSE(CONTROL!$C$42, 25.9885, 25.9885)*CHOOSE(CONTROL!$C$21, $C$9, 100%, $E$9)</f>
        <v>25.988499999999998</v>
      </c>
      <c r="G493" s="14">
        <f>CHOOSE(CONTROL!$C$42, 26.0039, 26.0039)*CHOOSE(CONTROL!$C$21, $C$9, 100%, $E$9)</f>
        <v>26.003900000000002</v>
      </c>
      <c r="H493" s="14">
        <f>CHOOSE(CONTROL!$C$42, 26.0959, 26.0959) * CHOOSE(CONTROL!$C$21, $C$9, 100%, $E$9)</f>
        <v>26.0959</v>
      </c>
      <c r="I493" s="14">
        <f>CHOOSE(CONTROL!$C$42, 26.0902, 26.0902)* CHOOSE(CONTROL!$C$21, $C$9, 100%, $E$9)</f>
        <v>26.090199999999999</v>
      </c>
      <c r="J493" s="14">
        <f>CHOOSE(CONTROL!$C$42, 25.9815, 25.9815)* CHOOSE(CONTROL!$C$21, $C$9, 100%, $E$9)</f>
        <v>25.9815</v>
      </c>
      <c r="K493" s="53">
        <f>CHOOSE(CONTROL!$C$42, 26.0863, 26.0863) * CHOOSE(CONTROL!$C$21, $C$9, 100%, $E$9)</f>
        <v>26.086300000000001</v>
      </c>
      <c r="L493" s="14">
        <f>CHOOSE(CONTROL!$C$42, 26.6829, 26.6829) * CHOOSE(CONTROL!$C$21, $C$9, 100%, $E$9)</f>
        <v>26.6829</v>
      </c>
      <c r="M493" s="14">
        <f>CHOOSE(CONTROL!$C$42, 25.4568, 25.4568) * CHOOSE(CONTROL!$C$21, $C$9, 100%, $E$9)</f>
        <v>25.456800000000001</v>
      </c>
      <c r="N493" s="14">
        <f>CHOOSE(CONTROL!$C$42, 25.472, 25.472) * CHOOSE(CONTROL!$C$21, $C$9, 100%, $E$9)</f>
        <v>25.472000000000001</v>
      </c>
      <c r="O493" s="14">
        <f>CHOOSE(CONTROL!$C$42, 25.5689, 25.5689) * CHOOSE(CONTROL!$C$21, $C$9, 100%, $E$9)</f>
        <v>25.568899999999999</v>
      </c>
      <c r="P493" s="14">
        <f>CHOOSE(CONTROL!$C$42, 25.5618, 25.5618) * CHOOSE(CONTROL!$C$21, $C$9, 100%, $E$9)</f>
        <v>25.561800000000002</v>
      </c>
      <c r="Q493" s="14">
        <f>CHOOSE(CONTROL!$C$42, 26.1636, 26.1636) * CHOOSE(CONTROL!$C$21, $C$9, 100%, $E$9)</f>
        <v>26.163599999999999</v>
      </c>
      <c r="R493" s="14">
        <f>CHOOSE(CONTROL!$C$42, 26.816, 26.816) * CHOOSE(CONTROL!$C$21, $C$9, 100%, $E$9)</f>
        <v>26.815999999999999</v>
      </c>
      <c r="S493" s="14">
        <f>CHOOSE(CONTROL!$C$42, 24.976, 24.976) * CHOOSE(CONTROL!$C$21, $C$9, 100%, $E$9)</f>
        <v>24.975999999999999</v>
      </c>
      <c r="T49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93" s="57">
        <f>(1000*CHOOSE(CONTROL!$C$42, 695, 695)*CHOOSE(CONTROL!$C$42, 0.5599, 0.5599)*CHOOSE(CONTROL!$C$42, 31, 31))/1000000</f>
        <v>12.063045499999998</v>
      </c>
      <c r="V493" s="57">
        <f>(1000*CHOOSE(CONTROL!$C$42, 500, 500)*CHOOSE(CONTROL!$C$42, 0.275, 0.275)*CHOOSE(CONTROL!$C$42, 31, 31))/1000000</f>
        <v>4.2625000000000002</v>
      </c>
      <c r="W493" s="57">
        <f>(1000*CHOOSE(CONTROL!$C$42, 0.1146, 0.1146)*CHOOSE(CONTROL!$C$42, 121.5, 121.5)*CHOOSE(CONTROL!$C$42, 31, 31))/1000000</f>
        <v>0.43164089999999994</v>
      </c>
      <c r="X493" s="57">
        <f>(31*0.1790888*100000/1000000)+(31*0.2374*100000/1000000)</f>
        <v>1.2911152800000001</v>
      </c>
      <c r="Y493" s="57"/>
      <c r="Z493" s="14"/>
      <c r="AA493" s="56"/>
      <c r="AB493" s="50">
        <f>(B493*122.58+C493*297.941+D493*89.177+E493*40.302+F493*40+G493*160+H493*0+I493*100+J493*300)/(122.58+297.941+89.177+40.302+0+40+160+100+300)</f>
        <v>26.01425264852174</v>
      </c>
      <c r="AC493" s="45">
        <f>(M493*'RAP TEMPLATE-GAS AVAILABILITY'!O492+N493*'RAP TEMPLATE-GAS AVAILABILITY'!P492+O493*'RAP TEMPLATE-GAS AVAILABILITY'!Q492+P493*'RAP TEMPLATE-GAS AVAILABILITY'!R492)/('RAP TEMPLATE-GAS AVAILABILITY'!O492+'RAP TEMPLATE-GAS AVAILABILITY'!P492+'RAP TEMPLATE-GAS AVAILABILITY'!Q492+'RAP TEMPLATE-GAS AVAILABILITY'!R492)</f>
        <v>25.523590647482013</v>
      </c>
    </row>
    <row r="494" spans="1:29" ht="15.75" x14ac:dyDescent="0.25">
      <c r="A494" s="33">
        <v>55943</v>
      </c>
      <c r="B494" s="14">
        <f>CHOOSE(CONTROL!$C$42, 26.4638, 26.4638) * CHOOSE(CONTROL!$C$21, $C$9, 100%, $E$9)</f>
        <v>26.463799999999999</v>
      </c>
      <c r="C494" s="14">
        <f>CHOOSE(CONTROL!$C$42, 26.4689, 26.4689) * CHOOSE(CONTROL!$C$21, $C$9, 100%, $E$9)</f>
        <v>26.468900000000001</v>
      </c>
      <c r="D494" s="14">
        <f>CHOOSE(CONTROL!$C$42, 26.5353, 26.5353) * CHOOSE(CONTROL!$C$21, $C$9, 100%, $E$9)</f>
        <v>26.535299999999999</v>
      </c>
      <c r="E494" s="14">
        <f>CHOOSE(CONTROL!$C$42, 26.5694, 26.5694) * CHOOSE(CONTROL!$C$21, $C$9, 100%, $E$9)</f>
        <v>26.569400000000002</v>
      </c>
      <c r="F494" s="14">
        <f>CHOOSE(CONTROL!$C$42, 26.4512, 26.4512)*CHOOSE(CONTROL!$C$21, $C$9, 100%, $E$9)</f>
        <v>26.4512</v>
      </c>
      <c r="G494" s="14">
        <f>CHOOSE(CONTROL!$C$42, 26.4667, 26.4667)*CHOOSE(CONTROL!$C$21, $C$9, 100%, $E$9)</f>
        <v>26.466699999999999</v>
      </c>
      <c r="H494" s="14">
        <f>CHOOSE(CONTROL!$C$42, 26.5586, 26.5586) * CHOOSE(CONTROL!$C$21, $C$9, 100%, $E$9)</f>
        <v>26.558599999999998</v>
      </c>
      <c r="I494" s="14">
        <f>CHOOSE(CONTROL!$C$42, 26.5543, 26.5543)* CHOOSE(CONTROL!$C$21, $C$9, 100%, $E$9)</f>
        <v>26.554300000000001</v>
      </c>
      <c r="J494" s="14">
        <f>CHOOSE(CONTROL!$C$42, 26.4442, 26.4442)* CHOOSE(CONTROL!$C$21, $C$9, 100%, $E$9)</f>
        <v>26.444199999999999</v>
      </c>
      <c r="K494" s="53">
        <f>CHOOSE(CONTROL!$C$42, 26.5504, 26.5504) * CHOOSE(CONTROL!$C$21, $C$9, 100%, $E$9)</f>
        <v>26.5504</v>
      </c>
      <c r="L494" s="14">
        <f>CHOOSE(CONTROL!$C$42, 27.1456, 27.1456) * CHOOSE(CONTROL!$C$21, $C$9, 100%, $E$9)</f>
        <v>27.145600000000002</v>
      </c>
      <c r="M494" s="14">
        <f>CHOOSE(CONTROL!$C$42, 25.9101, 25.9101) * CHOOSE(CONTROL!$C$21, $C$9, 100%, $E$9)</f>
        <v>25.9101</v>
      </c>
      <c r="N494" s="14">
        <f>CHOOSE(CONTROL!$C$42, 25.9253, 25.9253) * CHOOSE(CONTROL!$C$21, $C$9, 100%, $E$9)</f>
        <v>25.9253</v>
      </c>
      <c r="O494" s="14">
        <f>CHOOSE(CONTROL!$C$42, 26.0221, 26.0221) * CHOOSE(CONTROL!$C$21, $C$9, 100%, $E$9)</f>
        <v>26.022099999999998</v>
      </c>
      <c r="P494" s="14">
        <f>CHOOSE(CONTROL!$C$42, 26.0164, 26.0164) * CHOOSE(CONTROL!$C$21, $C$9, 100%, $E$9)</f>
        <v>26.016400000000001</v>
      </c>
      <c r="Q494" s="14">
        <f>CHOOSE(CONTROL!$C$42, 26.6168, 26.6168) * CHOOSE(CONTROL!$C$21, $C$9, 100%, $E$9)</f>
        <v>26.616800000000001</v>
      </c>
      <c r="R494" s="14">
        <f>CHOOSE(CONTROL!$C$42, 27.2704, 27.2704) * CHOOSE(CONTROL!$C$21, $C$9, 100%, $E$9)</f>
        <v>27.270399999999999</v>
      </c>
      <c r="S494" s="14">
        <f>CHOOSE(CONTROL!$C$42, 25.4205, 25.4205) * CHOOSE(CONTROL!$C$21, $C$9, 100%, $E$9)</f>
        <v>25.420500000000001</v>
      </c>
      <c r="T49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94" s="57">
        <f>(1000*CHOOSE(CONTROL!$C$42, 695, 695)*CHOOSE(CONTROL!$C$42, 0.5599, 0.5599)*CHOOSE(CONTROL!$C$42, 28, 28))/1000000</f>
        <v>10.895653999999999</v>
      </c>
      <c r="V494" s="57">
        <f>(1000*CHOOSE(CONTROL!$C$42, 500, 500)*CHOOSE(CONTROL!$C$42, 0.275, 0.275)*CHOOSE(CONTROL!$C$42, 28, 28))/1000000</f>
        <v>3.85</v>
      </c>
      <c r="W494" s="57">
        <f>(1000*CHOOSE(CONTROL!$C$42, 0.1146, 0.1146)*CHOOSE(CONTROL!$C$42, 121.5, 121.5)*CHOOSE(CONTROL!$C$42, 28, 28))/1000000</f>
        <v>0.38986920000000003</v>
      </c>
      <c r="X494" s="57">
        <f>(28*0.1790888*100000/1000000)+(28*0.2374*100000/1000000)</f>
        <v>1.16616864</v>
      </c>
      <c r="Y494" s="57"/>
      <c r="Z494" s="14"/>
      <c r="AA494" s="56"/>
      <c r="AB494" s="50">
        <f>(B494*122.58+C494*297.941+D494*89.177+E494*40.302+F494*40+G494*160+H494*0+I494*100+J494*300)/(122.58+297.941+89.177+40.302+0+40+160+100+300)</f>
        <v>26.477088300695648</v>
      </c>
      <c r="AC494" s="45">
        <f>(M494*'RAP TEMPLATE-GAS AVAILABILITY'!O493+N494*'RAP TEMPLATE-GAS AVAILABILITY'!P493+O494*'RAP TEMPLATE-GAS AVAILABILITY'!Q493+P494*'RAP TEMPLATE-GAS AVAILABILITY'!R493)/('RAP TEMPLATE-GAS AVAILABILITY'!O493+'RAP TEMPLATE-GAS AVAILABILITY'!P493+'RAP TEMPLATE-GAS AVAILABILITY'!Q493+'RAP TEMPLATE-GAS AVAILABILITY'!R493)</f>
        <v>25.977032374100716</v>
      </c>
    </row>
    <row r="495" spans="1:29" ht="15.75" x14ac:dyDescent="0.25">
      <c r="A495" s="33">
        <v>55974</v>
      </c>
      <c r="B495" s="14">
        <f>CHOOSE(CONTROL!$C$42, 25.7128, 25.7128) * CHOOSE(CONTROL!$C$21, $C$9, 100%, $E$9)</f>
        <v>25.712800000000001</v>
      </c>
      <c r="C495" s="14">
        <f>CHOOSE(CONTROL!$C$42, 25.7178, 25.7178) * CHOOSE(CONTROL!$C$21, $C$9, 100%, $E$9)</f>
        <v>25.7178</v>
      </c>
      <c r="D495" s="14">
        <f>CHOOSE(CONTROL!$C$42, 25.7843, 25.7843) * CHOOSE(CONTROL!$C$21, $C$9, 100%, $E$9)</f>
        <v>25.784300000000002</v>
      </c>
      <c r="E495" s="14">
        <f>CHOOSE(CONTROL!$C$42, 25.8184, 25.8184) * CHOOSE(CONTROL!$C$21, $C$9, 100%, $E$9)</f>
        <v>25.8184</v>
      </c>
      <c r="F495" s="14">
        <f>CHOOSE(CONTROL!$C$42, 25.6998, 25.6998)*CHOOSE(CONTROL!$C$21, $C$9, 100%, $E$9)</f>
        <v>25.6998</v>
      </c>
      <c r="G495" s="14">
        <f>CHOOSE(CONTROL!$C$42, 25.7152, 25.7152)*CHOOSE(CONTROL!$C$21, $C$9, 100%, $E$9)</f>
        <v>25.715199999999999</v>
      </c>
      <c r="H495" s="14">
        <f>CHOOSE(CONTROL!$C$42, 25.8076, 25.8076) * CHOOSE(CONTROL!$C$21, $C$9, 100%, $E$9)</f>
        <v>25.807600000000001</v>
      </c>
      <c r="I495" s="14">
        <f>CHOOSE(CONTROL!$C$42, 25.8009, 25.8009)* CHOOSE(CONTROL!$C$21, $C$9, 100%, $E$9)</f>
        <v>25.800899999999999</v>
      </c>
      <c r="J495" s="14">
        <f>CHOOSE(CONTROL!$C$42, 25.6928, 25.6928)* CHOOSE(CONTROL!$C$21, $C$9, 100%, $E$9)</f>
        <v>25.692799999999998</v>
      </c>
      <c r="K495" s="53">
        <f>CHOOSE(CONTROL!$C$42, 25.797, 25.797) * CHOOSE(CONTROL!$C$21, $C$9, 100%, $E$9)</f>
        <v>25.797000000000001</v>
      </c>
      <c r="L495" s="14">
        <f>CHOOSE(CONTROL!$C$42, 26.3946, 26.3946) * CHOOSE(CONTROL!$C$21, $C$9, 100%, $E$9)</f>
        <v>26.394600000000001</v>
      </c>
      <c r="M495" s="14">
        <f>CHOOSE(CONTROL!$C$42, 25.174, 25.174) * CHOOSE(CONTROL!$C$21, $C$9, 100%, $E$9)</f>
        <v>25.173999999999999</v>
      </c>
      <c r="N495" s="14">
        <f>CHOOSE(CONTROL!$C$42, 25.1891, 25.1891) * CHOOSE(CONTROL!$C$21, $C$9, 100%, $E$9)</f>
        <v>25.1891</v>
      </c>
      <c r="O495" s="14">
        <f>CHOOSE(CONTROL!$C$42, 25.2865, 25.2865) * CHOOSE(CONTROL!$C$21, $C$9, 100%, $E$9)</f>
        <v>25.2865</v>
      </c>
      <c r="P495" s="14">
        <f>CHOOSE(CONTROL!$C$42, 25.2784, 25.2784) * CHOOSE(CONTROL!$C$21, $C$9, 100%, $E$9)</f>
        <v>25.278400000000001</v>
      </c>
      <c r="Q495" s="14">
        <f>CHOOSE(CONTROL!$C$42, 25.8812, 25.8812) * CHOOSE(CONTROL!$C$21, $C$9, 100%, $E$9)</f>
        <v>25.8812</v>
      </c>
      <c r="R495" s="14">
        <f>CHOOSE(CONTROL!$C$42, 26.5329, 26.5329) * CHOOSE(CONTROL!$C$21, $C$9, 100%, $E$9)</f>
        <v>26.532900000000001</v>
      </c>
      <c r="S495" s="14">
        <f>CHOOSE(CONTROL!$C$42, 24.6989, 24.6989) * CHOOSE(CONTROL!$C$21, $C$9, 100%, $E$9)</f>
        <v>24.698899999999998</v>
      </c>
      <c r="T49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95" s="57">
        <f>(1000*CHOOSE(CONTROL!$C$42, 695, 695)*CHOOSE(CONTROL!$C$42, 0.5599, 0.5599)*CHOOSE(CONTROL!$C$42, 31, 31))/1000000</f>
        <v>12.063045499999998</v>
      </c>
      <c r="V495" s="57">
        <f>(1000*CHOOSE(CONTROL!$C$42, 500, 500)*CHOOSE(CONTROL!$C$42, 0.275, 0.275)*CHOOSE(CONTROL!$C$42, 31, 31))/1000000</f>
        <v>4.2625000000000002</v>
      </c>
      <c r="W495" s="57">
        <f>(1000*CHOOSE(CONTROL!$C$42, 0.1146, 0.1146)*CHOOSE(CONTROL!$C$42, 121.5, 121.5)*CHOOSE(CONTROL!$C$42, 31, 31))/1000000</f>
        <v>0.43164089999999994</v>
      </c>
      <c r="X495" s="57">
        <f>(31*0.1790888*100000/1000000)+(31*0.2374*100000/1000000)</f>
        <v>1.2911152800000001</v>
      </c>
      <c r="Y495" s="57"/>
      <c r="Z495" s="14"/>
      <c r="AA495" s="56"/>
      <c r="AB495" s="50">
        <f>(B495*122.58+C495*297.941+D495*89.177+E495*40.302+F495*40+G495*160+H495*0+I495*100+J495*300)/(122.58+297.941+89.177+40.302+0+40+160+100+300)</f>
        <v>25.725665871043478</v>
      </c>
      <c r="AC495" s="45">
        <f>(M495*'RAP TEMPLATE-GAS AVAILABILITY'!O494+N495*'RAP TEMPLATE-GAS AVAILABILITY'!P494+O495*'RAP TEMPLATE-GAS AVAILABILITY'!Q494+P495*'RAP TEMPLATE-GAS AVAILABILITY'!R494)/('RAP TEMPLATE-GAS AVAILABILITY'!O494+'RAP TEMPLATE-GAS AVAILABILITY'!P494+'RAP TEMPLATE-GAS AVAILABILITY'!Q494+'RAP TEMPLATE-GAS AVAILABILITY'!R494)</f>
        <v>25.240879856115111</v>
      </c>
    </row>
    <row r="496" spans="1:29" ht="15.75" x14ac:dyDescent="0.25">
      <c r="A496" s="33">
        <v>56004</v>
      </c>
      <c r="B496" s="14">
        <f>CHOOSE(CONTROL!$C$42, 25.637, 25.637) * CHOOSE(CONTROL!$C$21, $C$9, 100%, $E$9)</f>
        <v>25.637</v>
      </c>
      <c r="C496" s="14">
        <f>CHOOSE(CONTROL!$C$42, 25.6415, 25.6415) * CHOOSE(CONTROL!$C$21, $C$9, 100%, $E$9)</f>
        <v>25.641500000000001</v>
      </c>
      <c r="D496" s="14">
        <f>CHOOSE(CONTROL!$C$42, 25.8485, 25.8485) * CHOOSE(CONTROL!$C$21, $C$9, 100%, $E$9)</f>
        <v>25.848500000000001</v>
      </c>
      <c r="E496" s="14">
        <f>CHOOSE(CONTROL!$C$42, 25.8807, 25.8807) * CHOOSE(CONTROL!$C$21, $C$9, 100%, $E$9)</f>
        <v>25.880700000000001</v>
      </c>
      <c r="F496" s="14">
        <f>CHOOSE(CONTROL!$C$42, 25.6189, 25.6189)*CHOOSE(CONTROL!$C$21, $C$9, 100%, $E$9)</f>
        <v>25.6189</v>
      </c>
      <c r="G496" s="14">
        <f>CHOOSE(CONTROL!$C$42, 25.6341, 25.6341)*CHOOSE(CONTROL!$C$21, $C$9, 100%, $E$9)</f>
        <v>25.6341</v>
      </c>
      <c r="H496" s="14">
        <f>CHOOSE(CONTROL!$C$42, 25.8704, 25.8704) * CHOOSE(CONTROL!$C$21, $C$9, 100%, $E$9)</f>
        <v>25.8704</v>
      </c>
      <c r="I496" s="14">
        <f>CHOOSE(CONTROL!$C$42, 25.7241, 25.7241)* CHOOSE(CONTROL!$C$21, $C$9, 100%, $E$9)</f>
        <v>25.7241</v>
      </c>
      <c r="J496" s="14">
        <f>CHOOSE(CONTROL!$C$42, 25.6119, 25.6119)* CHOOSE(CONTROL!$C$21, $C$9, 100%, $E$9)</f>
        <v>25.611899999999999</v>
      </c>
      <c r="K496" s="53">
        <f>CHOOSE(CONTROL!$C$42, 25.7202, 25.7202) * CHOOSE(CONTROL!$C$21, $C$9, 100%, $E$9)</f>
        <v>25.720199999999998</v>
      </c>
      <c r="L496" s="14">
        <f>CHOOSE(CONTROL!$C$42, 26.4574, 26.4574) * CHOOSE(CONTROL!$C$21, $C$9, 100%, $E$9)</f>
        <v>26.4574</v>
      </c>
      <c r="M496" s="14">
        <f>CHOOSE(CONTROL!$C$42, 25.0948, 25.0948) * CHOOSE(CONTROL!$C$21, $C$9, 100%, $E$9)</f>
        <v>25.094799999999999</v>
      </c>
      <c r="N496" s="14">
        <f>CHOOSE(CONTROL!$C$42, 25.1097, 25.1097) * CHOOSE(CONTROL!$C$21, $C$9, 100%, $E$9)</f>
        <v>25.1097</v>
      </c>
      <c r="O496" s="14">
        <f>CHOOSE(CONTROL!$C$42, 25.3481, 25.3481) * CHOOSE(CONTROL!$C$21, $C$9, 100%, $E$9)</f>
        <v>25.348099999999999</v>
      </c>
      <c r="P496" s="14">
        <f>CHOOSE(CONTROL!$C$42, 25.2032, 25.2032) * CHOOSE(CONTROL!$C$21, $C$9, 100%, $E$9)</f>
        <v>25.203199999999999</v>
      </c>
      <c r="Q496" s="14">
        <f>CHOOSE(CONTROL!$C$42, 25.9428, 25.9428) * CHOOSE(CONTROL!$C$21, $C$9, 100%, $E$9)</f>
        <v>25.942799999999998</v>
      </c>
      <c r="R496" s="14">
        <f>CHOOSE(CONTROL!$C$42, 26.5946, 26.5946) * CHOOSE(CONTROL!$C$21, $C$9, 100%, $E$9)</f>
        <v>26.5946</v>
      </c>
      <c r="S496" s="14">
        <f>CHOOSE(CONTROL!$C$42, 24.6253, 24.6253) * CHOOSE(CONTROL!$C$21, $C$9, 100%, $E$9)</f>
        <v>24.625299999999999</v>
      </c>
      <c r="T49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96" s="57">
        <f>(1000*CHOOSE(CONTROL!$C$42, 695, 695)*CHOOSE(CONTROL!$C$42, 0.5599, 0.5599)*CHOOSE(CONTROL!$C$42, 30, 30))/1000000</f>
        <v>11.673914999999997</v>
      </c>
      <c r="V496" s="57">
        <f>(1000*CHOOSE(CONTROL!$C$42, 500, 500)*CHOOSE(CONTROL!$C$42, 0.275, 0.275)*CHOOSE(CONTROL!$C$42, 30, 30))/1000000</f>
        <v>4.125</v>
      </c>
      <c r="W496" s="57">
        <f>(1000*CHOOSE(CONTROL!$C$42, 0.1146, 0.1146)*CHOOSE(CONTROL!$C$42, 121.5, 121.5)*CHOOSE(CONTROL!$C$42, 30, 30))/1000000</f>
        <v>0.417717</v>
      </c>
      <c r="X496" s="57">
        <f>(30*0.1790888*245000/1000000)+(30*0.2374*100000/1000000)</f>
        <v>2.0285026799999999</v>
      </c>
      <c r="Y496" s="57"/>
      <c r="Z496" s="14"/>
      <c r="AA496" s="56"/>
      <c r="AB496" s="50">
        <f>(B496*141.293+C496*267.993+D496*115.016+E496*89.698+F496*40+G496*185+H496*0+I496*100+J496*300)/(141.293+267.993+115.016+89.698+0+40+185+100+300)</f>
        <v>25.675184628813557</v>
      </c>
      <c r="AC496" s="45">
        <f>(M496*'RAP TEMPLATE-GAS AVAILABILITY'!O495+N496*'RAP TEMPLATE-GAS AVAILABILITY'!P495+O496*'RAP TEMPLATE-GAS AVAILABILITY'!Q495+P496*'RAP TEMPLATE-GAS AVAILABILITY'!R495)/('RAP TEMPLATE-GAS AVAILABILITY'!O495+'RAP TEMPLATE-GAS AVAILABILITY'!P495+'RAP TEMPLATE-GAS AVAILABILITY'!Q495+'RAP TEMPLATE-GAS AVAILABILITY'!R495)</f>
        <v>25.184897122302157</v>
      </c>
    </row>
    <row r="497" spans="1:29" ht="15.75" x14ac:dyDescent="0.25">
      <c r="A497" s="33">
        <v>56035</v>
      </c>
      <c r="B497" s="14">
        <f>CHOOSE(CONTROL!$C$42, 25.8646, 25.8646) * CHOOSE(CONTROL!$C$21, $C$9, 100%, $E$9)</f>
        <v>25.864599999999999</v>
      </c>
      <c r="C497" s="14">
        <f>CHOOSE(CONTROL!$C$42, 25.8726, 25.8726) * CHOOSE(CONTROL!$C$21, $C$9, 100%, $E$9)</f>
        <v>25.872599999999998</v>
      </c>
      <c r="D497" s="14">
        <f>CHOOSE(CONTROL!$C$42, 26.0765, 26.0765) * CHOOSE(CONTROL!$C$21, $C$9, 100%, $E$9)</f>
        <v>26.076499999999999</v>
      </c>
      <c r="E497" s="14">
        <f>CHOOSE(CONTROL!$C$42, 26.108, 26.108) * CHOOSE(CONTROL!$C$21, $C$9, 100%, $E$9)</f>
        <v>26.108000000000001</v>
      </c>
      <c r="F497" s="14">
        <f>CHOOSE(CONTROL!$C$42, 25.8453, 25.8453)*CHOOSE(CONTROL!$C$21, $C$9, 100%, $E$9)</f>
        <v>25.845300000000002</v>
      </c>
      <c r="G497" s="14">
        <f>CHOOSE(CONTROL!$C$42, 25.861, 25.861)*CHOOSE(CONTROL!$C$21, $C$9, 100%, $E$9)</f>
        <v>25.861000000000001</v>
      </c>
      <c r="H497" s="14">
        <f>CHOOSE(CONTROL!$C$42, 26.0966, 26.0966) * CHOOSE(CONTROL!$C$21, $C$9, 100%, $E$9)</f>
        <v>26.096599999999999</v>
      </c>
      <c r="I497" s="14">
        <f>CHOOSE(CONTROL!$C$42, 25.951, 25.951)* CHOOSE(CONTROL!$C$21, $C$9, 100%, $E$9)</f>
        <v>25.951000000000001</v>
      </c>
      <c r="J497" s="14">
        <f>CHOOSE(CONTROL!$C$42, 25.8383, 25.8383)* CHOOSE(CONTROL!$C$21, $C$9, 100%, $E$9)</f>
        <v>25.8383</v>
      </c>
      <c r="K497" s="53">
        <f>CHOOSE(CONTROL!$C$42, 25.9471, 25.9471) * CHOOSE(CONTROL!$C$21, $C$9, 100%, $E$9)</f>
        <v>25.947099999999999</v>
      </c>
      <c r="L497" s="14">
        <f>CHOOSE(CONTROL!$C$42, 26.6836, 26.6836) * CHOOSE(CONTROL!$C$21, $C$9, 100%, $E$9)</f>
        <v>26.683599999999998</v>
      </c>
      <c r="M497" s="14">
        <f>CHOOSE(CONTROL!$C$42, 25.3166, 25.3166) * CHOOSE(CONTROL!$C$21, $C$9, 100%, $E$9)</f>
        <v>25.316600000000001</v>
      </c>
      <c r="N497" s="14">
        <f>CHOOSE(CONTROL!$C$42, 25.3319, 25.3319) * CHOOSE(CONTROL!$C$21, $C$9, 100%, $E$9)</f>
        <v>25.331900000000001</v>
      </c>
      <c r="O497" s="14">
        <f>CHOOSE(CONTROL!$C$42, 25.5696, 25.5696) * CHOOSE(CONTROL!$C$21, $C$9, 100%, $E$9)</f>
        <v>25.569600000000001</v>
      </c>
      <c r="P497" s="14">
        <f>CHOOSE(CONTROL!$C$42, 25.4254, 25.4254) * CHOOSE(CONTROL!$C$21, $C$9, 100%, $E$9)</f>
        <v>25.4254</v>
      </c>
      <c r="Q497" s="14">
        <f>CHOOSE(CONTROL!$C$42, 26.1643, 26.1643) * CHOOSE(CONTROL!$C$21, $C$9, 100%, $E$9)</f>
        <v>26.164300000000001</v>
      </c>
      <c r="R497" s="14">
        <f>CHOOSE(CONTROL!$C$42, 26.8167, 26.8167) * CHOOSE(CONTROL!$C$21, $C$9, 100%, $E$9)</f>
        <v>26.816700000000001</v>
      </c>
      <c r="S497" s="14">
        <f>CHOOSE(CONTROL!$C$42, 24.8426, 24.8426) * CHOOSE(CONTROL!$C$21, $C$9, 100%, $E$9)</f>
        <v>24.842600000000001</v>
      </c>
      <c r="T49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97" s="57">
        <f>(1000*CHOOSE(CONTROL!$C$42, 695, 695)*CHOOSE(CONTROL!$C$42, 0.5599, 0.5599)*CHOOSE(CONTROL!$C$42, 31, 31))/1000000</f>
        <v>12.063045499999998</v>
      </c>
      <c r="V497" s="57">
        <f>(1000*CHOOSE(CONTROL!$C$42, 500, 500)*CHOOSE(CONTROL!$C$42, 0.275, 0.275)*CHOOSE(CONTROL!$C$42, 31, 31))/1000000</f>
        <v>4.2625000000000002</v>
      </c>
      <c r="W497" s="57">
        <f>(1000*CHOOSE(CONTROL!$C$42, 0.1146, 0.1146)*CHOOSE(CONTROL!$C$42, 121.5, 121.5)*CHOOSE(CONTROL!$C$42, 31, 31))/1000000</f>
        <v>0.43164089999999994</v>
      </c>
      <c r="X497" s="57">
        <f>(31*0.1790888*245000/1000000)+(31*0.2374*100000/1000000)</f>
        <v>2.0961194359999999</v>
      </c>
      <c r="Y497" s="57"/>
      <c r="Z497" s="14"/>
      <c r="AA497" s="56"/>
      <c r="AB497" s="50">
        <f>(B497*194.205+C497*267.466+D497*133.845+E497*53.484+F497*40+G497*185+H497*0+I497*100+J497*300)/(194.205+267.466+133.845+53.484+0+40+185+100+300)</f>
        <v>25.898219693171114</v>
      </c>
      <c r="AC497" s="45">
        <f>(M497*'RAP TEMPLATE-GAS AVAILABILITY'!O496+N497*'RAP TEMPLATE-GAS AVAILABILITY'!P496+O497*'RAP TEMPLATE-GAS AVAILABILITY'!Q496+P497*'RAP TEMPLATE-GAS AVAILABILITY'!R496)/('RAP TEMPLATE-GAS AVAILABILITY'!O496+'RAP TEMPLATE-GAS AVAILABILITY'!P496+'RAP TEMPLATE-GAS AVAILABILITY'!Q496+'RAP TEMPLATE-GAS AVAILABILITY'!R496)</f>
        <v>25.406762589928057</v>
      </c>
    </row>
    <row r="498" spans="1:29" ht="15.75" x14ac:dyDescent="0.25">
      <c r="A498" s="33">
        <v>56065</v>
      </c>
      <c r="B498" s="14">
        <f>CHOOSE(CONTROL!$C$42, 26.5979, 26.5979) * CHOOSE(CONTROL!$C$21, $C$9, 100%, $E$9)</f>
        <v>26.597899999999999</v>
      </c>
      <c r="C498" s="14">
        <f>CHOOSE(CONTROL!$C$42, 26.6059, 26.6059) * CHOOSE(CONTROL!$C$21, $C$9, 100%, $E$9)</f>
        <v>26.605899999999998</v>
      </c>
      <c r="D498" s="14">
        <f>CHOOSE(CONTROL!$C$42, 26.8099, 26.8099) * CHOOSE(CONTROL!$C$21, $C$9, 100%, $E$9)</f>
        <v>26.809899999999999</v>
      </c>
      <c r="E498" s="14">
        <f>CHOOSE(CONTROL!$C$42, 26.8413, 26.8413) * CHOOSE(CONTROL!$C$21, $C$9, 100%, $E$9)</f>
        <v>26.8413</v>
      </c>
      <c r="F498" s="14">
        <f>CHOOSE(CONTROL!$C$42, 26.5791, 26.5791)*CHOOSE(CONTROL!$C$21, $C$9, 100%, $E$9)</f>
        <v>26.5791</v>
      </c>
      <c r="G498" s="14">
        <f>CHOOSE(CONTROL!$C$42, 26.5948, 26.5948)*CHOOSE(CONTROL!$C$21, $C$9, 100%, $E$9)</f>
        <v>26.594799999999999</v>
      </c>
      <c r="H498" s="14">
        <f>CHOOSE(CONTROL!$C$42, 26.83, 26.83) * CHOOSE(CONTROL!$C$21, $C$9, 100%, $E$9)</f>
        <v>26.83</v>
      </c>
      <c r="I498" s="14">
        <f>CHOOSE(CONTROL!$C$42, 26.6866, 26.6866)* CHOOSE(CONTROL!$C$21, $C$9, 100%, $E$9)</f>
        <v>26.686599999999999</v>
      </c>
      <c r="J498" s="14">
        <f>CHOOSE(CONTROL!$C$42, 26.5721, 26.5721)* CHOOSE(CONTROL!$C$21, $C$9, 100%, $E$9)</f>
        <v>26.572099999999999</v>
      </c>
      <c r="K498" s="53">
        <f>CHOOSE(CONTROL!$C$42, 26.6828, 26.6828) * CHOOSE(CONTROL!$C$21, $C$9, 100%, $E$9)</f>
        <v>26.6828</v>
      </c>
      <c r="L498" s="14">
        <f>CHOOSE(CONTROL!$C$42, 27.417, 27.417) * CHOOSE(CONTROL!$C$21, $C$9, 100%, $E$9)</f>
        <v>27.417000000000002</v>
      </c>
      <c r="M498" s="14">
        <f>CHOOSE(CONTROL!$C$42, 26.0353, 26.0353) * CHOOSE(CONTROL!$C$21, $C$9, 100%, $E$9)</f>
        <v>26.035299999999999</v>
      </c>
      <c r="N498" s="14">
        <f>CHOOSE(CONTROL!$C$42, 26.0508, 26.0508) * CHOOSE(CONTROL!$C$21, $C$9, 100%, $E$9)</f>
        <v>26.050799999999999</v>
      </c>
      <c r="O498" s="14">
        <f>CHOOSE(CONTROL!$C$42, 26.2879, 26.2879) * CHOOSE(CONTROL!$C$21, $C$9, 100%, $E$9)</f>
        <v>26.2879</v>
      </c>
      <c r="P498" s="14">
        <f>CHOOSE(CONTROL!$C$42, 26.1459, 26.1459) * CHOOSE(CONTROL!$C$21, $C$9, 100%, $E$9)</f>
        <v>26.145900000000001</v>
      </c>
      <c r="Q498" s="14">
        <f>CHOOSE(CONTROL!$C$42, 26.8826, 26.8826) * CHOOSE(CONTROL!$C$21, $C$9, 100%, $E$9)</f>
        <v>26.8826</v>
      </c>
      <c r="R498" s="14">
        <f>CHOOSE(CONTROL!$C$42, 27.5368, 27.5368) * CHOOSE(CONTROL!$C$21, $C$9, 100%, $E$9)</f>
        <v>27.536799999999999</v>
      </c>
      <c r="S498" s="14">
        <f>CHOOSE(CONTROL!$C$42, 25.5473, 25.5473) * CHOOSE(CONTROL!$C$21, $C$9, 100%, $E$9)</f>
        <v>25.5473</v>
      </c>
      <c r="T49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98" s="57">
        <f>(1000*CHOOSE(CONTROL!$C$42, 695, 695)*CHOOSE(CONTROL!$C$42, 0.5599, 0.5599)*CHOOSE(CONTROL!$C$42, 30, 30))/1000000</f>
        <v>11.673914999999997</v>
      </c>
      <c r="V498" s="57">
        <f>(1000*CHOOSE(CONTROL!$C$42, 500, 500)*CHOOSE(CONTROL!$C$42, 0.275, 0.275)*CHOOSE(CONTROL!$C$42, 30, 30))/1000000</f>
        <v>4.125</v>
      </c>
      <c r="W498" s="57">
        <f>(1000*CHOOSE(CONTROL!$C$42, 0.1146, 0.1146)*CHOOSE(CONTROL!$C$42, 121.5, 121.5)*CHOOSE(CONTROL!$C$42, 30, 30))/1000000</f>
        <v>0.417717</v>
      </c>
      <c r="X498" s="57">
        <f>(30*0.1790888*245000/1000000)+(30*0.2374*100000/1000000)</f>
        <v>2.0285026799999999</v>
      </c>
      <c r="Y498" s="57"/>
      <c r="Z498" s="14"/>
      <c r="AA498" s="56"/>
      <c r="AB498" s="50">
        <f>(B498*194.205+C498*267.466+D498*133.845+E498*53.484+F498*40+G498*185+H498*0+I498*100+J498*300)/(194.205+267.466+133.845+53.484+0+40+185+100+300)</f>
        <v>26.63191677676609</v>
      </c>
      <c r="AC498" s="45">
        <f>(M498*'RAP TEMPLATE-GAS AVAILABILITY'!O497+N498*'RAP TEMPLATE-GAS AVAILABILITY'!P497+O498*'RAP TEMPLATE-GAS AVAILABILITY'!Q497+P498*'RAP TEMPLATE-GAS AVAILABILITY'!R497)/('RAP TEMPLATE-GAS AVAILABILITY'!O497+'RAP TEMPLATE-GAS AVAILABILITY'!P497+'RAP TEMPLATE-GAS AVAILABILITY'!Q497+'RAP TEMPLATE-GAS AVAILABILITY'!R497)</f>
        <v>26.125655395683452</v>
      </c>
    </row>
    <row r="499" spans="1:29" ht="15.75" x14ac:dyDescent="0.25">
      <c r="A499" s="33">
        <v>56096</v>
      </c>
      <c r="B499" s="14">
        <f>CHOOSE(CONTROL!$C$42, 26.0879, 26.0879) * CHOOSE(CONTROL!$C$21, $C$9, 100%, $E$9)</f>
        <v>26.087900000000001</v>
      </c>
      <c r="C499" s="14">
        <f>CHOOSE(CONTROL!$C$42, 26.0959, 26.0959) * CHOOSE(CONTROL!$C$21, $C$9, 100%, $E$9)</f>
        <v>26.0959</v>
      </c>
      <c r="D499" s="14">
        <f>CHOOSE(CONTROL!$C$42, 26.2998, 26.2998) * CHOOSE(CONTROL!$C$21, $C$9, 100%, $E$9)</f>
        <v>26.299800000000001</v>
      </c>
      <c r="E499" s="14">
        <f>CHOOSE(CONTROL!$C$42, 26.3313, 26.3313) * CHOOSE(CONTROL!$C$21, $C$9, 100%, $E$9)</f>
        <v>26.331299999999999</v>
      </c>
      <c r="F499" s="14">
        <f>CHOOSE(CONTROL!$C$42, 26.0695, 26.0695)*CHOOSE(CONTROL!$C$21, $C$9, 100%, $E$9)</f>
        <v>26.069500000000001</v>
      </c>
      <c r="G499" s="14">
        <f>CHOOSE(CONTROL!$C$42, 26.0854, 26.0854)*CHOOSE(CONTROL!$C$21, $C$9, 100%, $E$9)</f>
        <v>26.0854</v>
      </c>
      <c r="H499" s="14">
        <f>CHOOSE(CONTROL!$C$42, 26.3199, 26.3199) * CHOOSE(CONTROL!$C$21, $C$9, 100%, $E$9)</f>
        <v>26.319900000000001</v>
      </c>
      <c r="I499" s="14">
        <f>CHOOSE(CONTROL!$C$42, 26.175, 26.175)* CHOOSE(CONTROL!$C$21, $C$9, 100%, $E$9)</f>
        <v>26.175000000000001</v>
      </c>
      <c r="J499" s="14">
        <f>CHOOSE(CONTROL!$C$42, 26.0625, 26.0625)* CHOOSE(CONTROL!$C$21, $C$9, 100%, $E$9)</f>
        <v>26.0625</v>
      </c>
      <c r="K499" s="53">
        <f>CHOOSE(CONTROL!$C$42, 26.1711, 26.1711) * CHOOSE(CONTROL!$C$21, $C$9, 100%, $E$9)</f>
        <v>26.171099999999999</v>
      </c>
      <c r="L499" s="14">
        <f>CHOOSE(CONTROL!$C$42, 26.9069, 26.9069) * CHOOSE(CONTROL!$C$21, $C$9, 100%, $E$9)</f>
        <v>26.9069</v>
      </c>
      <c r="M499" s="14">
        <f>CHOOSE(CONTROL!$C$42, 25.5362, 25.5362) * CHOOSE(CONTROL!$C$21, $C$9, 100%, $E$9)</f>
        <v>25.536200000000001</v>
      </c>
      <c r="N499" s="14">
        <f>CHOOSE(CONTROL!$C$42, 25.5517, 25.5517) * CHOOSE(CONTROL!$C$21, $C$9, 100%, $E$9)</f>
        <v>25.5517</v>
      </c>
      <c r="O499" s="14">
        <f>CHOOSE(CONTROL!$C$42, 25.7883, 25.7883) * CHOOSE(CONTROL!$C$21, $C$9, 100%, $E$9)</f>
        <v>25.7883</v>
      </c>
      <c r="P499" s="14">
        <f>CHOOSE(CONTROL!$C$42, 25.6448, 25.6448) * CHOOSE(CONTROL!$C$21, $C$9, 100%, $E$9)</f>
        <v>25.6448</v>
      </c>
      <c r="Q499" s="14">
        <f>CHOOSE(CONTROL!$C$42, 26.383, 26.383) * CHOOSE(CONTROL!$C$21, $C$9, 100%, $E$9)</f>
        <v>26.382999999999999</v>
      </c>
      <c r="R499" s="14">
        <f>CHOOSE(CONTROL!$C$42, 27.036, 27.036) * CHOOSE(CONTROL!$C$21, $C$9, 100%, $E$9)</f>
        <v>27.036000000000001</v>
      </c>
      <c r="S499" s="14">
        <f>CHOOSE(CONTROL!$C$42, 25.0572, 25.0572) * CHOOSE(CONTROL!$C$21, $C$9, 100%, $E$9)</f>
        <v>25.057200000000002</v>
      </c>
      <c r="T49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99" s="57">
        <f>(1000*CHOOSE(CONTROL!$C$42, 695, 695)*CHOOSE(CONTROL!$C$42, 0.5599, 0.5599)*CHOOSE(CONTROL!$C$42, 31, 31))/1000000</f>
        <v>12.063045499999998</v>
      </c>
      <c r="V499" s="57">
        <f>(1000*CHOOSE(CONTROL!$C$42, 500, 500)*CHOOSE(CONTROL!$C$42, 0.275, 0.275)*CHOOSE(CONTROL!$C$42, 31, 31))/1000000</f>
        <v>4.2625000000000002</v>
      </c>
      <c r="W499" s="57">
        <f>(1000*CHOOSE(CONTROL!$C$42, 0.1146, 0.1146)*CHOOSE(CONTROL!$C$42, 121.5, 121.5)*CHOOSE(CONTROL!$C$42, 31, 31))/1000000</f>
        <v>0.43164089999999994</v>
      </c>
      <c r="X499" s="57">
        <f>(31*0.1790888*245000/1000000)+(31*0.2374*100000/1000000)</f>
        <v>2.0961194359999999</v>
      </c>
      <c r="Y499" s="57"/>
      <c r="Z499" s="14"/>
      <c r="AA499" s="56"/>
      <c r="AB499" s="50">
        <f>(B499*194.205+C499*267.466+D499*133.845+E499*53.484+F499*40+G499*185+H499*0+I499*100+J499*300)/(194.205+267.466+133.845+53.484+0+40+185+100+300)</f>
        <v>26.121974559733118</v>
      </c>
      <c r="AC499" s="45">
        <f>(M499*'RAP TEMPLATE-GAS AVAILABILITY'!O498+N499*'RAP TEMPLATE-GAS AVAILABILITY'!P498+O499*'RAP TEMPLATE-GAS AVAILABILITY'!Q498+P499*'RAP TEMPLATE-GAS AVAILABILITY'!R498)/('RAP TEMPLATE-GAS AVAILABILITY'!O498+'RAP TEMPLATE-GAS AVAILABILITY'!P498+'RAP TEMPLATE-GAS AVAILABILITY'!Q498+'RAP TEMPLATE-GAS AVAILABILITY'!R498)</f>
        <v>25.626127338129493</v>
      </c>
    </row>
    <row r="500" spans="1:29" ht="15.75" x14ac:dyDescent="0.25">
      <c r="A500" s="33">
        <v>56127</v>
      </c>
      <c r="B500" s="14">
        <f>CHOOSE(CONTROL!$C$42, 24.7998, 24.7998) * CHOOSE(CONTROL!$C$21, $C$9, 100%, $E$9)</f>
        <v>24.799800000000001</v>
      </c>
      <c r="C500" s="14">
        <f>CHOOSE(CONTROL!$C$42, 24.8079, 24.8079) * CHOOSE(CONTROL!$C$21, $C$9, 100%, $E$9)</f>
        <v>24.8079</v>
      </c>
      <c r="D500" s="14">
        <f>CHOOSE(CONTROL!$C$42, 25.0118, 25.0118) * CHOOSE(CONTROL!$C$21, $C$9, 100%, $E$9)</f>
        <v>25.011800000000001</v>
      </c>
      <c r="E500" s="14">
        <f>CHOOSE(CONTROL!$C$42, 25.0433, 25.0433) * CHOOSE(CONTROL!$C$21, $C$9, 100%, $E$9)</f>
        <v>25.043299999999999</v>
      </c>
      <c r="F500" s="14">
        <f>CHOOSE(CONTROL!$C$42, 24.7817, 24.7817)*CHOOSE(CONTROL!$C$21, $C$9, 100%, $E$9)</f>
        <v>24.781700000000001</v>
      </c>
      <c r="G500" s="14">
        <f>CHOOSE(CONTROL!$C$42, 24.7977, 24.7977)*CHOOSE(CONTROL!$C$21, $C$9, 100%, $E$9)</f>
        <v>24.797699999999999</v>
      </c>
      <c r="H500" s="14">
        <f>CHOOSE(CONTROL!$C$42, 25.0319, 25.0319) * CHOOSE(CONTROL!$C$21, $C$9, 100%, $E$9)</f>
        <v>25.0319</v>
      </c>
      <c r="I500" s="14">
        <f>CHOOSE(CONTROL!$C$42, 24.883, 24.883)* CHOOSE(CONTROL!$C$21, $C$9, 100%, $E$9)</f>
        <v>24.882999999999999</v>
      </c>
      <c r="J500" s="14">
        <f>CHOOSE(CONTROL!$C$42, 24.7747, 24.7747)* CHOOSE(CONTROL!$C$21, $C$9, 100%, $E$9)</f>
        <v>24.774699999999999</v>
      </c>
      <c r="K500" s="53">
        <f>CHOOSE(CONTROL!$C$42, 24.8791, 24.8791) * CHOOSE(CONTROL!$C$21, $C$9, 100%, $E$9)</f>
        <v>24.879100000000001</v>
      </c>
      <c r="L500" s="14">
        <f>CHOOSE(CONTROL!$C$42, 25.6189, 25.6189) * CHOOSE(CONTROL!$C$21, $C$9, 100%, $E$9)</f>
        <v>25.6189</v>
      </c>
      <c r="M500" s="14">
        <f>CHOOSE(CONTROL!$C$42, 24.2748, 24.2748) * CHOOSE(CONTROL!$C$21, $C$9, 100%, $E$9)</f>
        <v>24.274799999999999</v>
      </c>
      <c r="N500" s="14">
        <f>CHOOSE(CONTROL!$C$42, 24.2904, 24.2904) * CHOOSE(CONTROL!$C$21, $C$9, 100%, $E$9)</f>
        <v>24.290400000000002</v>
      </c>
      <c r="O500" s="14">
        <f>CHOOSE(CONTROL!$C$42, 24.5267, 24.5267) * CHOOSE(CONTROL!$C$21, $C$9, 100%, $E$9)</f>
        <v>24.526700000000002</v>
      </c>
      <c r="P500" s="14">
        <f>CHOOSE(CONTROL!$C$42, 24.3793, 24.3793) * CHOOSE(CONTROL!$C$21, $C$9, 100%, $E$9)</f>
        <v>24.379300000000001</v>
      </c>
      <c r="Q500" s="14">
        <f>CHOOSE(CONTROL!$C$42, 25.1214, 25.1214) * CHOOSE(CONTROL!$C$21, $C$9, 100%, $E$9)</f>
        <v>25.121400000000001</v>
      </c>
      <c r="R500" s="14">
        <f>CHOOSE(CONTROL!$C$42, 25.7712, 25.7712) * CHOOSE(CONTROL!$C$21, $C$9, 100%, $E$9)</f>
        <v>25.7712</v>
      </c>
      <c r="S500" s="14">
        <f>CHOOSE(CONTROL!$C$42, 23.8195, 23.8195) * CHOOSE(CONTROL!$C$21, $C$9, 100%, $E$9)</f>
        <v>23.819500000000001</v>
      </c>
      <c r="T50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00" s="57">
        <f>(1000*CHOOSE(CONTROL!$C$42, 695, 695)*CHOOSE(CONTROL!$C$42, 0.5599, 0.5599)*CHOOSE(CONTROL!$C$42, 31, 31))/1000000</f>
        <v>12.063045499999998</v>
      </c>
      <c r="V500" s="57">
        <f>(1000*CHOOSE(CONTROL!$C$42, 500, 500)*CHOOSE(CONTROL!$C$42, 0.275, 0.275)*CHOOSE(CONTROL!$C$42, 31, 31))/1000000</f>
        <v>4.2625000000000002</v>
      </c>
      <c r="W500" s="57">
        <f>(1000*CHOOSE(CONTROL!$C$42, 0.1146, 0.1146)*CHOOSE(CONTROL!$C$42, 121.5, 121.5)*CHOOSE(CONTROL!$C$42, 31, 31))/1000000</f>
        <v>0.43164089999999994</v>
      </c>
      <c r="X500" s="57">
        <f>(31*0.1790888*245000/1000000)+(31*0.2374*100000/1000000)</f>
        <v>2.0961194359999999</v>
      </c>
      <c r="Y500" s="57"/>
      <c r="Z500" s="14"/>
      <c r="AA500" s="56"/>
      <c r="AB500" s="50">
        <f>(B500*194.205+C500*267.466+D500*133.845+E500*53.484+F500*40+G500*185+H500*0+I500*100+J500*300)/(194.205+267.466+133.845+53.484+0+40+185+100+300)</f>
        <v>24.833742283045524</v>
      </c>
      <c r="AC500" s="45">
        <f>(M500*'RAP TEMPLATE-GAS AVAILABILITY'!O499+N500*'RAP TEMPLATE-GAS AVAILABILITY'!P499+O500*'RAP TEMPLATE-GAS AVAILABILITY'!Q499+P500*'RAP TEMPLATE-GAS AVAILABILITY'!R499)/('RAP TEMPLATE-GAS AVAILABILITY'!O499+'RAP TEMPLATE-GAS AVAILABILITY'!P499+'RAP TEMPLATE-GAS AVAILABILITY'!Q499+'RAP TEMPLATE-GAS AVAILABILITY'!R499)</f>
        <v>24.364104316546758</v>
      </c>
    </row>
    <row r="501" spans="1:29" ht="15.75" x14ac:dyDescent="0.25">
      <c r="A501" s="33">
        <v>56157</v>
      </c>
      <c r="B501" s="14">
        <f>CHOOSE(CONTROL!$C$42, 23.2257, 23.2257) * CHOOSE(CONTROL!$C$21, $C$9, 100%, $E$9)</f>
        <v>23.2257</v>
      </c>
      <c r="C501" s="14">
        <f>CHOOSE(CONTROL!$C$42, 23.2338, 23.2338) * CHOOSE(CONTROL!$C$21, $C$9, 100%, $E$9)</f>
        <v>23.233799999999999</v>
      </c>
      <c r="D501" s="14">
        <f>CHOOSE(CONTROL!$C$42, 23.4377, 23.4377) * CHOOSE(CONTROL!$C$21, $C$9, 100%, $E$9)</f>
        <v>23.4377</v>
      </c>
      <c r="E501" s="14">
        <f>CHOOSE(CONTROL!$C$42, 23.4692, 23.4692) * CHOOSE(CONTROL!$C$21, $C$9, 100%, $E$9)</f>
        <v>23.469200000000001</v>
      </c>
      <c r="F501" s="14">
        <f>CHOOSE(CONTROL!$C$42, 23.2076, 23.2076)*CHOOSE(CONTROL!$C$21, $C$9, 100%, $E$9)</f>
        <v>23.207599999999999</v>
      </c>
      <c r="G501" s="14">
        <f>CHOOSE(CONTROL!$C$42, 23.2236, 23.2236)*CHOOSE(CONTROL!$C$21, $C$9, 100%, $E$9)</f>
        <v>23.223600000000001</v>
      </c>
      <c r="H501" s="14">
        <f>CHOOSE(CONTROL!$C$42, 23.4578, 23.4578) * CHOOSE(CONTROL!$C$21, $C$9, 100%, $E$9)</f>
        <v>23.457799999999999</v>
      </c>
      <c r="I501" s="14">
        <f>CHOOSE(CONTROL!$C$42, 23.3039, 23.3039)* CHOOSE(CONTROL!$C$21, $C$9, 100%, $E$9)</f>
        <v>23.303899999999999</v>
      </c>
      <c r="J501" s="14">
        <f>CHOOSE(CONTROL!$C$42, 23.2006, 23.2006)* CHOOSE(CONTROL!$C$21, $C$9, 100%, $E$9)</f>
        <v>23.200600000000001</v>
      </c>
      <c r="K501" s="53">
        <f>CHOOSE(CONTROL!$C$42, 23.3, 23.3) * CHOOSE(CONTROL!$C$21, $C$9, 100%, $E$9)</f>
        <v>23.3</v>
      </c>
      <c r="L501" s="14">
        <f>CHOOSE(CONTROL!$C$42, 24.0448, 24.0448) * CHOOSE(CONTROL!$C$21, $C$9, 100%, $E$9)</f>
        <v>24.044799999999999</v>
      </c>
      <c r="M501" s="14">
        <f>CHOOSE(CONTROL!$C$42, 22.733, 22.733) * CHOOSE(CONTROL!$C$21, $C$9, 100%, $E$9)</f>
        <v>22.733000000000001</v>
      </c>
      <c r="N501" s="14">
        <f>CHOOSE(CONTROL!$C$42, 22.7486, 22.7486) * CHOOSE(CONTROL!$C$21, $C$9, 100%, $E$9)</f>
        <v>22.7486</v>
      </c>
      <c r="O501" s="14">
        <f>CHOOSE(CONTROL!$C$42, 22.9849, 22.9849) * CHOOSE(CONTROL!$C$21, $C$9, 100%, $E$9)</f>
        <v>22.9849</v>
      </c>
      <c r="P501" s="14">
        <f>CHOOSE(CONTROL!$C$42, 22.8327, 22.8327) * CHOOSE(CONTROL!$C$21, $C$9, 100%, $E$9)</f>
        <v>22.832699999999999</v>
      </c>
      <c r="Q501" s="14">
        <f>CHOOSE(CONTROL!$C$42, 23.5796, 23.5796) * CHOOSE(CONTROL!$C$21, $C$9, 100%, $E$9)</f>
        <v>23.579599999999999</v>
      </c>
      <c r="R501" s="14">
        <f>CHOOSE(CONTROL!$C$42, 24.2255, 24.2255) * CHOOSE(CONTROL!$C$21, $C$9, 100%, $E$9)</f>
        <v>24.2255</v>
      </c>
      <c r="S501" s="14">
        <f>CHOOSE(CONTROL!$C$42, 22.307, 22.307) * CHOOSE(CONTROL!$C$21, $C$9, 100%, $E$9)</f>
        <v>22.306999999999999</v>
      </c>
      <c r="T50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01" s="57">
        <f>(1000*CHOOSE(CONTROL!$C$42, 695, 695)*CHOOSE(CONTROL!$C$42, 0.5599, 0.5599)*CHOOSE(CONTROL!$C$42, 30, 30))/1000000</f>
        <v>11.673914999999997</v>
      </c>
      <c r="V501" s="57">
        <f>(1000*CHOOSE(CONTROL!$C$42, 500, 500)*CHOOSE(CONTROL!$C$42, 0.275, 0.275)*CHOOSE(CONTROL!$C$42, 30, 30))/1000000</f>
        <v>4.125</v>
      </c>
      <c r="W501" s="57">
        <f>(1000*CHOOSE(CONTROL!$C$42, 0.1146, 0.1146)*CHOOSE(CONTROL!$C$42, 121.5, 121.5)*CHOOSE(CONTROL!$C$42, 30, 30))/1000000</f>
        <v>0.417717</v>
      </c>
      <c r="X501" s="57">
        <f>(30*0.1790888*245000/1000000)+(30*0.2374*100000/1000000)</f>
        <v>2.0285026799999999</v>
      </c>
      <c r="Y501" s="57"/>
      <c r="Z501" s="14"/>
      <c r="AA501" s="56"/>
      <c r="AB501" s="50">
        <f>(B501*194.205+C501*267.466+D501*133.845+E501*53.484+F501*40+G501*185+H501*0+I501*100+J501*300)/(194.205+267.466+133.845+53.484+0+40+185+100+300)</f>
        <v>23.259249818367348</v>
      </c>
      <c r="AC501" s="45">
        <f>(M501*'RAP TEMPLATE-GAS AVAILABILITY'!O500+N501*'RAP TEMPLATE-GAS AVAILABILITY'!P500+O501*'RAP TEMPLATE-GAS AVAILABILITY'!Q500+P501*'RAP TEMPLATE-GAS AVAILABILITY'!R500)/('RAP TEMPLATE-GAS AVAILABILITY'!O500+'RAP TEMPLATE-GAS AVAILABILITY'!P500+'RAP TEMPLATE-GAS AVAILABILITY'!Q500+'RAP TEMPLATE-GAS AVAILABILITY'!R500)</f>
        <v>22.821613669064746</v>
      </c>
    </row>
    <row r="502" spans="1:29" ht="15.75" x14ac:dyDescent="0.25">
      <c r="A502" s="33">
        <v>56188</v>
      </c>
      <c r="B502" s="14">
        <f>CHOOSE(CONTROL!$C$42, 22.7526, 22.7526) * CHOOSE(CONTROL!$C$21, $C$9, 100%, $E$9)</f>
        <v>22.752600000000001</v>
      </c>
      <c r="C502" s="14">
        <f>CHOOSE(CONTROL!$C$42, 22.758, 22.758) * CHOOSE(CONTROL!$C$21, $C$9, 100%, $E$9)</f>
        <v>22.757999999999999</v>
      </c>
      <c r="D502" s="14">
        <f>CHOOSE(CONTROL!$C$42, 22.9669, 22.9669) * CHOOSE(CONTROL!$C$21, $C$9, 100%, $E$9)</f>
        <v>22.966899999999999</v>
      </c>
      <c r="E502" s="14">
        <f>CHOOSE(CONTROL!$C$42, 22.996, 22.996) * CHOOSE(CONTROL!$C$21, $C$9, 100%, $E$9)</f>
        <v>22.995999999999999</v>
      </c>
      <c r="F502" s="14">
        <f>CHOOSE(CONTROL!$C$42, 22.7366, 22.7366)*CHOOSE(CONTROL!$C$21, $C$9, 100%, $E$9)</f>
        <v>22.736599999999999</v>
      </c>
      <c r="G502" s="14">
        <f>CHOOSE(CONTROL!$C$42, 22.7523, 22.7523)*CHOOSE(CONTROL!$C$21, $C$9, 100%, $E$9)</f>
        <v>22.752300000000002</v>
      </c>
      <c r="H502" s="14">
        <f>CHOOSE(CONTROL!$C$42, 22.9865, 22.9865) * CHOOSE(CONTROL!$C$21, $C$9, 100%, $E$9)</f>
        <v>22.986499999999999</v>
      </c>
      <c r="I502" s="14">
        <f>CHOOSE(CONTROL!$C$42, 22.8311, 22.8311)* CHOOSE(CONTROL!$C$21, $C$9, 100%, $E$9)</f>
        <v>22.831099999999999</v>
      </c>
      <c r="J502" s="14">
        <f>CHOOSE(CONTROL!$C$42, 22.7296, 22.7296)* CHOOSE(CONTROL!$C$21, $C$9, 100%, $E$9)</f>
        <v>22.729600000000001</v>
      </c>
      <c r="K502" s="53">
        <f>CHOOSE(CONTROL!$C$42, 22.8272, 22.8272) * CHOOSE(CONTROL!$C$21, $C$9, 100%, $E$9)</f>
        <v>22.827200000000001</v>
      </c>
      <c r="L502" s="14">
        <f>CHOOSE(CONTROL!$C$42, 23.5735, 23.5735) * CHOOSE(CONTROL!$C$21, $C$9, 100%, $E$9)</f>
        <v>23.573499999999999</v>
      </c>
      <c r="M502" s="14">
        <f>CHOOSE(CONTROL!$C$42, 22.2716, 22.2716) * CHOOSE(CONTROL!$C$21, $C$9, 100%, $E$9)</f>
        <v>22.271599999999999</v>
      </c>
      <c r="N502" s="14">
        <f>CHOOSE(CONTROL!$C$42, 22.2869, 22.2869) * CHOOSE(CONTROL!$C$21, $C$9, 100%, $E$9)</f>
        <v>22.286899999999999</v>
      </c>
      <c r="O502" s="14">
        <f>CHOOSE(CONTROL!$C$42, 22.5232, 22.5232) * CHOOSE(CONTROL!$C$21, $C$9, 100%, $E$9)</f>
        <v>22.523199999999999</v>
      </c>
      <c r="P502" s="14">
        <f>CHOOSE(CONTROL!$C$42, 22.3697, 22.3697) * CHOOSE(CONTROL!$C$21, $C$9, 100%, $E$9)</f>
        <v>22.369700000000002</v>
      </c>
      <c r="Q502" s="14">
        <f>CHOOSE(CONTROL!$C$42, 23.1179, 23.1179) * CHOOSE(CONTROL!$C$21, $C$9, 100%, $E$9)</f>
        <v>23.117899999999999</v>
      </c>
      <c r="R502" s="14">
        <f>CHOOSE(CONTROL!$C$42, 23.7627, 23.7627) * CHOOSE(CONTROL!$C$21, $C$9, 100%, $E$9)</f>
        <v>23.762699999999999</v>
      </c>
      <c r="S502" s="14">
        <f>CHOOSE(CONTROL!$C$42, 21.8541, 21.8541) * CHOOSE(CONTROL!$C$21, $C$9, 100%, $E$9)</f>
        <v>21.854099999999999</v>
      </c>
      <c r="T50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02" s="57">
        <f>(1000*CHOOSE(CONTROL!$C$42, 695, 695)*CHOOSE(CONTROL!$C$42, 0.5599, 0.5599)*CHOOSE(CONTROL!$C$42, 31, 31))/1000000</f>
        <v>12.063045499999998</v>
      </c>
      <c r="V502" s="57">
        <f>(1000*CHOOSE(CONTROL!$C$42, 500, 500)*CHOOSE(CONTROL!$C$42, 0.275, 0.275)*CHOOSE(CONTROL!$C$42, 31, 31))/1000000</f>
        <v>4.2625000000000002</v>
      </c>
      <c r="W502" s="57">
        <f>(1000*CHOOSE(CONTROL!$C$42, 0.1146, 0.1146)*CHOOSE(CONTROL!$C$42, 121.5, 121.5)*CHOOSE(CONTROL!$C$42, 31, 31))/1000000</f>
        <v>0.43164089999999994</v>
      </c>
      <c r="X502" s="57">
        <f>(31*0.1790888*245000/1000000)+(31*0.2374*100000/1000000)</f>
        <v>2.0961194359999999</v>
      </c>
      <c r="Y502" s="57"/>
      <c r="Z502" s="14"/>
      <c r="AA502" s="56"/>
      <c r="AB502" s="50">
        <f>(B502*131.881+C502*277.167+D502*79.08+E502*125.872+F502*40+G502*185+H502*0+I502*100+J502*300)/(131.881+277.167+79.08+125.872+0+40+185+100+300)</f>
        <v>22.792418636481035</v>
      </c>
      <c r="AC502" s="45">
        <f>(M502*'RAP TEMPLATE-GAS AVAILABILITY'!O501+N502*'RAP TEMPLATE-GAS AVAILABILITY'!P501+O502*'RAP TEMPLATE-GAS AVAILABILITY'!Q501+P502*'RAP TEMPLATE-GAS AVAILABILITY'!R501)/('RAP TEMPLATE-GAS AVAILABILITY'!O501+'RAP TEMPLATE-GAS AVAILABILITY'!P501+'RAP TEMPLATE-GAS AVAILABILITY'!Q501+'RAP TEMPLATE-GAS AVAILABILITY'!R501)</f>
        <v>22.359830215827337</v>
      </c>
    </row>
    <row r="503" spans="1:29" ht="15.75" x14ac:dyDescent="0.25">
      <c r="A503" s="33">
        <v>56218</v>
      </c>
      <c r="B503" s="14">
        <f>CHOOSE(CONTROL!$C$42, 23.3514, 23.3514) * CHOOSE(CONTROL!$C$21, $C$9, 100%, $E$9)</f>
        <v>23.351400000000002</v>
      </c>
      <c r="C503" s="14">
        <f>CHOOSE(CONTROL!$C$42, 23.3564, 23.3564) * CHOOSE(CONTROL!$C$21, $C$9, 100%, $E$9)</f>
        <v>23.356400000000001</v>
      </c>
      <c r="D503" s="14">
        <f>CHOOSE(CONTROL!$C$42, 23.4203, 23.4203) * CHOOSE(CONTROL!$C$21, $C$9, 100%, $E$9)</f>
        <v>23.420300000000001</v>
      </c>
      <c r="E503" s="14">
        <f>CHOOSE(CONTROL!$C$42, 23.4544, 23.4544) * CHOOSE(CONTROL!$C$21, $C$9, 100%, $E$9)</f>
        <v>23.4544</v>
      </c>
      <c r="F503" s="14">
        <f>CHOOSE(CONTROL!$C$42, 23.3538, 23.3538)*CHOOSE(CONTROL!$C$21, $C$9, 100%, $E$9)</f>
        <v>23.3538</v>
      </c>
      <c r="G503" s="14">
        <f>CHOOSE(CONTROL!$C$42, 23.3698, 23.3698)*CHOOSE(CONTROL!$C$21, $C$9, 100%, $E$9)</f>
        <v>23.369800000000001</v>
      </c>
      <c r="H503" s="14">
        <f>CHOOSE(CONTROL!$C$42, 23.4436, 23.4436) * CHOOSE(CONTROL!$C$21, $C$9, 100%, $E$9)</f>
        <v>23.4436</v>
      </c>
      <c r="I503" s="14">
        <f>CHOOSE(CONTROL!$C$42, 23.4374, 23.4374)* CHOOSE(CONTROL!$C$21, $C$9, 100%, $E$9)</f>
        <v>23.4374</v>
      </c>
      <c r="J503" s="14">
        <f>CHOOSE(CONTROL!$C$42, 23.3468, 23.3468)* CHOOSE(CONTROL!$C$21, $C$9, 100%, $E$9)</f>
        <v>23.346800000000002</v>
      </c>
      <c r="K503" s="53">
        <f>CHOOSE(CONTROL!$C$42, 23.4335, 23.4335) * CHOOSE(CONTROL!$C$21, $C$9, 100%, $E$9)</f>
        <v>23.433499999999999</v>
      </c>
      <c r="L503" s="14">
        <f>CHOOSE(CONTROL!$C$42, 24.0306, 24.0306) * CHOOSE(CONTROL!$C$21, $C$9, 100%, $E$9)</f>
        <v>24.0306</v>
      </c>
      <c r="M503" s="14">
        <f>CHOOSE(CONTROL!$C$42, 22.8761, 22.8761) * CHOOSE(CONTROL!$C$21, $C$9, 100%, $E$9)</f>
        <v>22.876100000000001</v>
      </c>
      <c r="N503" s="14">
        <f>CHOOSE(CONTROL!$C$42, 22.8918, 22.8918) * CHOOSE(CONTROL!$C$21, $C$9, 100%, $E$9)</f>
        <v>22.8918</v>
      </c>
      <c r="O503" s="14">
        <f>CHOOSE(CONTROL!$C$42, 22.9709, 22.9709) * CHOOSE(CONTROL!$C$21, $C$9, 100%, $E$9)</f>
        <v>22.9709</v>
      </c>
      <c r="P503" s="14">
        <f>CHOOSE(CONTROL!$C$42, 22.9634, 22.9634) * CHOOSE(CONTROL!$C$21, $C$9, 100%, $E$9)</f>
        <v>22.9634</v>
      </c>
      <c r="Q503" s="14">
        <f>CHOOSE(CONTROL!$C$42, 23.5656, 23.5656) * CHOOSE(CONTROL!$C$21, $C$9, 100%, $E$9)</f>
        <v>23.5656</v>
      </c>
      <c r="R503" s="14">
        <f>CHOOSE(CONTROL!$C$42, 24.2115, 24.2115) * CHOOSE(CONTROL!$C$21, $C$9, 100%, $E$9)</f>
        <v>24.211500000000001</v>
      </c>
      <c r="S503" s="14">
        <f>CHOOSE(CONTROL!$C$42, 22.4298, 22.4298) * CHOOSE(CONTROL!$C$21, $C$9, 100%, $E$9)</f>
        <v>22.4298</v>
      </c>
      <c r="T50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03" s="57">
        <f>(1000*CHOOSE(CONTROL!$C$42, 695, 695)*CHOOSE(CONTROL!$C$42, 0.5599, 0.5599)*CHOOSE(CONTROL!$C$42, 30, 30))/1000000</f>
        <v>11.673914999999997</v>
      </c>
      <c r="V503" s="57">
        <f>(1000*CHOOSE(CONTROL!$C$42, 500, 500)*CHOOSE(CONTROL!$C$42, 0.275, 0.275)*CHOOSE(CONTROL!$C$42, 30, 30))/1000000</f>
        <v>4.125</v>
      </c>
      <c r="W503" s="57">
        <f>(1000*CHOOSE(CONTROL!$C$42, 0.1146, 0.1146)*CHOOSE(CONTROL!$C$42, 121.5, 121.5)*CHOOSE(CONTROL!$C$42, 30, 30))/1000000</f>
        <v>0.417717</v>
      </c>
      <c r="X503" s="57">
        <f>(30*0.1790888*100000/1000000)+(30*0.2374*100000/1000000)</f>
        <v>1.2494664</v>
      </c>
      <c r="Y503" s="57"/>
      <c r="Z503" s="14"/>
      <c r="AA503" s="56"/>
      <c r="AB503" s="50">
        <f>(B503*122.58+C503*297.941+D503*89.177+E503*40.302+F503*40+G503*160+H503*0+I503*100+J503*300)/(122.58+297.941+89.177+40.302+0+40+160+100+300)</f>
        <v>23.370569657652176</v>
      </c>
      <c r="AC503" s="45">
        <f>(M503*'RAP TEMPLATE-GAS AVAILABILITY'!O502+N503*'RAP TEMPLATE-GAS AVAILABILITY'!P502+O503*'RAP TEMPLATE-GAS AVAILABILITY'!Q502+P503*'RAP TEMPLATE-GAS AVAILABILITY'!R502)/('RAP TEMPLATE-GAS AVAILABILITY'!O502+'RAP TEMPLATE-GAS AVAILABILITY'!P502+'RAP TEMPLATE-GAS AVAILABILITY'!Q502+'RAP TEMPLATE-GAS AVAILABILITY'!R502)</f>
        <v>22.932531654676257</v>
      </c>
    </row>
    <row r="504" spans="1:29" ht="15.75" x14ac:dyDescent="0.25">
      <c r="A504" s="33">
        <v>56249</v>
      </c>
      <c r="B504" s="14">
        <f>CHOOSE(CONTROL!$C$42, 24.9428, 24.9428) * CHOOSE(CONTROL!$C$21, $C$9, 100%, $E$9)</f>
        <v>24.942799999999998</v>
      </c>
      <c r="C504" s="14">
        <f>CHOOSE(CONTROL!$C$42, 24.9479, 24.9479) * CHOOSE(CONTROL!$C$21, $C$9, 100%, $E$9)</f>
        <v>24.947900000000001</v>
      </c>
      <c r="D504" s="14">
        <f>CHOOSE(CONTROL!$C$42, 25.0117, 25.0117) * CHOOSE(CONTROL!$C$21, $C$9, 100%, $E$9)</f>
        <v>25.011700000000001</v>
      </c>
      <c r="E504" s="14">
        <f>CHOOSE(CONTROL!$C$42, 25.0458, 25.0458) * CHOOSE(CONTROL!$C$21, $C$9, 100%, $E$9)</f>
        <v>25.0458</v>
      </c>
      <c r="F504" s="14">
        <f>CHOOSE(CONTROL!$C$42, 24.9474, 24.9474)*CHOOSE(CONTROL!$C$21, $C$9, 100%, $E$9)</f>
        <v>24.947399999999998</v>
      </c>
      <c r="G504" s="14">
        <f>CHOOSE(CONTROL!$C$42, 24.964, 24.964)*CHOOSE(CONTROL!$C$21, $C$9, 100%, $E$9)</f>
        <v>24.963999999999999</v>
      </c>
      <c r="H504" s="14">
        <f>CHOOSE(CONTROL!$C$42, 25.035, 25.035) * CHOOSE(CONTROL!$C$21, $C$9, 100%, $E$9)</f>
        <v>25.035</v>
      </c>
      <c r="I504" s="14">
        <f>CHOOSE(CONTROL!$C$42, 25.0338, 25.0338)* CHOOSE(CONTROL!$C$21, $C$9, 100%, $E$9)</f>
        <v>25.033799999999999</v>
      </c>
      <c r="J504" s="14">
        <f>CHOOSE(CONTROL!$C$42, 24.9404, 24.9404)* CHOOSE(CONTROL!$C$21, $C$9, 100%, $E$9)</f>
        <v>24.9404</v>
      </c>
      <c r="K504" s="53">
        <f>CHOOSE(CONTROL!$C$42, 25.0299, 25.0299) * CHOOSE(CONTROL!$C$21, $C$9, 100%, $E$9)</f>
        <v>25.029900000000001</v>
      </c>
      <c r="L504" s="14">
        <f>CHOOSE(CONTROL!$C$42, 25.622, 25.622) * CHOOSE(CONTROL!$C$21, $C$9, 100%, $E$9)</f>
        <v>25.622</v>
      </c>
      <c r="M504" s="14">
        <f>CHOOSE(CONTROL!$C$42, 24.4371, 24.4371) * CHOOSE(CONTROL!$C$21, $C$9, 100%, $E$9)</f>
        <v>24.437100000000001</v>
      </c>
      <c r="N504" s="14">
        <f>CHOOSE(CONTROL!$C$42, 24.4534, 24.4534) * CHOOSE(CONTROL!$C$21, $C$9, 100%, $E$9)</f>
        <v>24.453399999999998</v>
      </c>
      <c r="O504" s="14">
        <f>CHOOSE(CONTROL!$C$42, 24.5297, 24.5297) * CHOOSE(CONTROL!$C$21, $C$9, 100%, $E$9)</f>
        <v>24.529699999999998</v>
      </c>
      <c r="P504" s="14">
        <f>CHOOSE(CONTROL!$C$42, 24.527, 24.527) * CHOOSE(CONTROL!$C$21, $C$9, 100%, $E$9)</f>
        <v>24.527000000000001</v>
      </c>
      <c r="Q504" s="14">
        <f>CHOOSE(CONTROL!$C$42, 25.1244, 25.1244) * CHOOSE(CONTROL!$C$21, $C$9, 100%, $E$9)</f>
        <v>25.124400000000001</v>
      </c>
      <c r="R504" s="14">
        <f>CHOOSE(CONTROL!$C$42, 25.7742, 25.7742) * CHOOSE(CONTROL!$C$21, $C$9, 100%, $E$9)</f>
        <v>25.7742</v>
      </c>
      <c r="S504" s="14">
        <f>CHOOSE(CONTROL!$C$42, 23.959, 23.959) * CHOOSE(CONTROL!$C$21, $C$9, 100%, $E$9)</f>
        <v>23.959</v>
      </c>
      <c r="T50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04" s="57">
        <f>(1000*CHOOSE(CONTROL!$C$42, 695, 695)*CHOOSE(CONTROL!$C$42, 0.5599, 0.5599)*CHOOSE(CONTROL!$C$42, 31, 31))/1000000</f>
        <v>12.063045499999998</v>
      </c>
      <c r="V504" s="57">
        <f>(1000*CHOOSE(CONTROL!$C$42, 500, 500)*CHOOSE(CONTROL!$C$42, 0.275, 0.275)*CHOOSE(CONTROL!$C$42, 31, 31))/1000000</f>
        <v>4.2625000000000002</v>
      </c>
      <c r="W504" s="57">
        <f>(1000*CHOOSE(CONTROL!$C$42, 0.1146, 0.1146)*CHOOSE(CONTROL!$C$42, 121.5, 121.5)*CHOOSE(CONTROL!$C$42, 31, 31))/1000000</f>
        <v>0.43164089999999994</v>
      </c>
      <c r="X504" s="57">
        <f>(31*0.1790888*100000/1000000)+(31*0.2374*100000/1000000)</f>
        <v>1.2911152800000001</v>
      </c>
      <c r="Y504" s="57"/>
      <c r="Z504" s="14"/>
      <c r="AA504" s="56"/>
      <c r="AB504" s="50">
        <f>(B504*122.58+C504*297.941+D504*89.177+E504*40.302+F504*40+G504*160+H504*0+I504*100+J504*300)/(122.58+297.941+89.177+40.302+0+40+160+100+300)</f>
        <v>24.963470348173914</v>
      </c>
      <c r="AC504" s="45">
        <f>(M504*'RAP TEMPLATE-GAS AVAILABILITY'!O503+N504*'RAP TEMPLATE-GAS AVAILABILITY'!P503+O504*'RAP TEMPLATE-GAS AVAILABILITY'!Q503+P504*'RAP TEMPLATE-GAS AVAILABILITY'!R503)/('RAP TEMPLATE-GAS AVAILABILITY'!O503+'RAP TEMPLATE-GAS AVAILABILITY'!P503+'RAP TEMPLATE-GAS AVAILABILITY'!Q503+'RAP TEMPLATE-GAS AVAILABILITY'!R503)</f>
        <v>24.492943165467626</v>
      </c>
    </row>
    <row r="505" spans="1:29" ht="15.75" x14ac:dyDescent="0.25">
      <c r="A505" s="33">
        <v>56280</v>
      </c>
      <c r="B505" s="14">
        <f>CHOOSE(CONTROL!$C$42, 26.9852, 26.9852) * CHOOSE(CONTROL!$C$21, $C$9, 100%, $E$9)</f>
        <v>26.985199999999999</v>
      </c>
      <c r="C505" s="14">
        <f>CHOOSE(CONTROL!$C$42, 26.9902, 26.9902) * CHOOSE(CONTROL!$C$21, $C$9, 100%, $E$9)</f>
        <v>26.990200000000002</v>
      </c>
      <c r="D505" s="14">
        <f>CHOOSE(CONTROL!$C$42, 27.0567, 27.0567) * CHOOSE(CONTROL!$C$21, $C$9, 100%, $E$9)</f>
        <v>27.056699999999999</v>
      </c>
      <c r="E505" s="14">
        <f>CHOOSE(CONTROL!$C$42, 27.0908, 27.0908) * CHOOSE(CONTROL!$C$21, $C$9, 100%, $E$9)</f>
        <v>27.090800000000002</v>
      </c>
      <c r="F505" s="14">
        <f>CHOOSE(CONTROL!$C$42, 26.9725, 26.9725)*CHOOSE(CONTROL!$C$21, $C$9, 100%, $E$9)</f>
        <v>26.9725</v>
      </c>
      <c r="G505" s="14">
        <f>CHOOSE(CONTROL!$C$42, 26.988, 26.988)*CHOOSE(CONTROL!$C$21, $C$9, 100%, $E$9)</f>
        <v>26.988</v>
      </c>
      <c r="H505" s="14">
        <f>CHOOSE(CONTROL!$C$42, 27.08, 27.08) * CHOOSE(CONTROL!$C$21, $C$9, 100%, $E$9)</f>
        <v>27.08</v>
      </c>
      <c r="I505" s="14">
        <f>CHOOSE(CONTROL!$C$42, 27.0773, 27.0773)* CHOOSE(CONTROL!$C$21, $C$9, 100%, $E$9)</f>
        <v>27.077300000000001</v>
      </c>
      <c r="J505" s="14">
        <f>CHOOSE(CONTROL!$C$42, 26.9655, 26.9655)* CHOOSE(CONTROL!$C$21, $C$9, 100%, $E$9)</f>
        <v>26.965499999999999</v>
      </c>
      <c r="K505" s="53">
        <f>CHOOSE(CONTROL!$C$42, 27.0734, 27.0734) * CHOOSE(CONTROL!$C$21, $C$9, 100%, $E$9)</f>
        <v>27.073399999999999</v>
      </c>
      <c r="L505" s="14">
        <f>CHOOSE(CONTROL!$C$42, 27.667, 27.667) * CHOOSE(CONTROL!$C$21, $C$9, 100%, $E$9)</f>
        <v>27.667000000000002</v>
      </c>
      <c r="M505" s="14">
        <f>CHOOSE(CONTROL!$C$42, 26.4207, 26.4207) * CHOOSE(CONTROL!$C$21, $C$9, 100%, $E$9)</f>
        <v>26.4207</v>
      </c>
      <c r="N505" s="14">
        <f>CHOOSE(CONTROL!$C$42, 26.4358, 26.4358) * CHOOSE(CONTROL!$C$21, $C$9, 100%, $E$9)</f>
        <v>26.4358</v>
      </c>
      <c r="O505" s="14">
        <f>CHOOSE(CONTROL!$C$42, 26.5328, 26.5328) * CHOOSE(CONTROL!$C$21, $C$9, 100%, $E$9)</f>
        <v>26.532800000000002</v>
      </c>
      <c r="P505" s="14">
        <f>CHOOSE(CONTROL!$C$42, 26.5286, 26.5286) * CHOOSE(CONTROL!$C$21, $C$9, 100%, $E$9)</f>
        <v>26.528600000000001</v>
      </c>
      <c r="Q505" s="14">
        <f>CHOOSE(CONTROL!$C$42, 27.1275, 27.1275) * CHOOSE(CONTROL!$C$21, $C$9, 100%, $E$9)</f>
        <v>27.127500000000001</v>
      </c>
      <c r="R505" s="14">
        <f>CHOOSE(CONTROL!$C$42, 27.7823, 27.7823) * CHOOSE(CONTROL!$C$21, $C$9, 100%, $E$9)</f>
        <v>27.782299999999999</v>
      </c>
      <c r="S505" s="14">
        <f>CHOOSE(CONTROL!$C$42, 25.9215, 25.9215) * CHOOSE(CONTROL!$C$21, $C$9, 100%, $E$9)</f>
        <v>25.921500000000002</v>
      </c>
      <c r="T50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05" s="57">
        <f>(1000*CHOOSE(CONTROL!$C$42, 695, 695)*CHOOSE(CONTROL!$C$42, 0.5599, 0.5599)*CHOOSE(CONTROL!$C$42, 31, 31))/1000000</f>
        <v>12.063045499999998</v>
      </c>
      <c r="V505" s="57">
        <f>(1000*CHOOSE(CONTROL!$C$42, 500, 500)*CHOOSE(CONTROL!$C$42, 0.275, 0.275)*CHOOSE(CONTROL!$C$42, 31, 31))/1000000</f>
        <v>4.2625000000000002</v>
      </c>
      <c r="W505" s="57">
        <f>(1000*CHOOSE(CONTROL!$C$42, 0.1146, 0.1146)*CHOOSE(CONTROL!$C$42, 121.5, 121.5)*CHOOSE(CONTROL!$C$42, 31, 31))/1000000</f>
        <v>0.43164089999999994</v>
      </c>
      <c r="X505" s="57">
        <f>(31*0.1790888*100000/1000000)+(31*0.2374*100000/1000000)</f>
        <v>1.2911152800000001</v>
      </c>
      <c r="Y505" s="57"/>
      <c r="Z505" s="14"/>
      <c r="AA505" s="56"/>
      <c r="AB505" s="50">
        <f>(B505*122.58+C505*297.941+D505*89.177+E505*40.302+F505*40+G505*160+H505*0+I505*100+J505*300)/(122.58+297.941+89.177+40.302+0+40+160+100+300)</f>
        <v>26.998558044956521</v>
      </c>
      <c r="AC505" s="45">
        <f>(M505*'RAP TEMPLATE-GAS AVAILABILITY'!O504+N505*'RAP TEMPLATE-GAS AVAILABILITY'!P504+O505*'RAP TEMPLATE-GAS AVAILABILITY'!Q504+P505*'RAP TEMPLATE-GAS AVAILABILITY'!R504)/('RAP TEMPLATE-GAS AVAILABILITY'!O504+'RAP TEMPLATE-GAS AVAILABILITY'!P504+'RAP TEMPLATE-GAS AVAILABILITY'!Q504+'RAP TEMPLATE-GAS AVAILABILITY'!R504)</f>
        <v>26.487902158273382</v>
      </c>
    </row>
    <row r="506" spans="1:29" ht="15.75" x14ac:dyDescent="0.25">
      <c r="A506" s="33">
        <v>56308</v>
      </c>
      <c r="B506" s="14">
        <f>CHOOSE(CONTROL!$C$42, 27.4654, 27.4654) * CHOOSE(CONTROL!$C$21, $C$9, 100%, $E$9)</f>
        <v>27.465399999999999</v>
      </c>
      <c r="C506" s="14">
        <f>CHOOSE(CONTROL!$C$42, 27.4704, 27.4704) * CHOOSE(CONTROL!$C$21, $C$9, 100%, $E$9)</f>
        <v>27.470400000000001</v>
      </c>
      <c r="D506" s="14">
        <f>CHOOSE(CONTROL!$C$42, 27.5369, 27.5369) * CHOOSE(CONTROL!$C$21, $C$9, 100%, $E$9)</f>
        <v>27.536899999999999</v>
      </c>
      <c r="E506" s="14">
        <f>CHOOSE(CONTROL!$C$42, 27.571, 27.571) * CHOOSE(CONTROL!$C$21, $C$9, 100%, $E$9)</f>
        <v>27.571000000000002</v>
      </c>
      <c r="F506" s="14">
        <f>CHOOSE(CONTROL!$C$42, 27.4528, 27.4528)*CHOOSE(CONTROL!$C$21, $C$9, 100%, $E$9)</f>
        <v>27.4528</v>
      </c>
      <c r="G506" s="14">
        <f>CHOOSE(CONTROL!$C$42, 27.4683, 27.4683)*CHOOSE(CONTROL!$C$21, $C$9, 100%, $E$9)</f>
        <v>27.468299999999999</v>
      </c>
      <c r="H506" s="14">
        <f>CHOOSE(CONTROL!$C$42, 27.5602, 27.5602) * CHOOSE(CONTROL!$C$21, $C$9, 100%, $E$9)</f>
        <v>27.560199999999998</v>
      </c>
      <c r="I506" s="14">
        <f>CHOOSE(CONTROL!$C$42, 27.559, 27.559)* CHOOSE(CONTROL!$C$21, $C$9, 100%, $E$9)</f>
        <v>27.559000000000001</v>
      </c>
      <c r="J506" s="14">
        <f>CHOOSE(CONTROL!$C$42, 27.4458, 27.4458)* CHOOSE(CONTROL!$C$21, $C$9, 100%, $E$9)</f>
        <v>27.445799999999998</v>
      </c>
      <c r="K506" s="53">
        <f>CHOOSE(CONTROL!$C$42, 27.5551, 27.5551) * CHOOSE(CONTROL!$C$21, $C$9, 100%, $E$9)</f>
        <v>27.555099999999999</v>
      </c>
      <c r="L506" s="14">
        <f>CHOOSE(CONTROL!$C$42, 28.1472, 28.1472) * CHOOSE(CONTROL!$C$21, $C$9, 100%, $E$9)</f>
        <v>28.147200000000002</v>
      </c>
      <c r="M506" s="14">
        <f>CHOOSE(CONTROL!$C$42, 26.8911, 26.8911) * CHOOSE(CONTROL!$C$21, $C$9, 100%, $E$9)</f>
        <v>26.891100000000002</v>
      </c>
      <c r="N506" s="14">
        <f>CHOOSE(CONTROL!$C$42, 26.9063, 26.9063) * CHOOSE(CONTROL!$C$21, $C$9, 100%, $E$9)</f>
        <v>26.906300000000002</v>
      </c>
      <c r="O506" s="14">
        <f>CHOOSE(CONTROL!$C$42, 27.0032, 27.0032) * CHOOSE(CONTROL!$C$21, $C$9, 100%, $E$9)</f>
        <v>27.0032</v>
      </c>
      <c r="P506" s="14">
        <f>CHOOSE(CONTROL!$C$42, 27.0004, 27.0004) * CHOOSE(CONTROL!$C$21, $C$9, 100%, $E$9)</f>
        <v>27.000399999999999</v>
      </c>
      <c r="Q506" s="14">
        <f>CHOOSE(CONTROL!$C$42, 27.5979, 27.5979) * CHOOSE(CONTROL!$C$21, $C$9, 100%, $E$9)</f>
        <v>27.597899999999999</v>
      </c>
      <c r="R506" s="14">
        <f>CHOOSE(CONTROL!$C$42, 28.2539, 28.2539) * CHOOSE(CONTROL!$C$21, $C$9, 100%, $E$9)</f>
        <v>28.253900000000002</v>
      </c>
      <c r="S506" s="14">
        <f>CHOOSE(CONTROL!$C$42, 26.3829, 26.3829) * CHOOSE(CONTROL!$C$21, $C$9, 100%, $E$9)</f>
        <v>26.382899999999999</v>
      </c>
      <c r="T50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06" s="57">
        <f>(1000*CHOOSE(CONTROL!$C$42, 695, 695)*CHOOSE(CONTROL!$C$42, 0.5599, 0.5599)*CHOOSE(CONTROL!$C$42, 28, 28))/1000000</f>
        <v>10.895653999999999</v>
      </c>
      <c r="V506" s="57">
        <f>(1000*CHOOSE(CONTROL!$C$42, 500, 500)*CHOOSE(CONTROL!$C$42, 0.275, 0.275)*CHOOSE(CONTROL!$C$42, 28, 28))/1000000</f>
        <v>3.85</v>
      </c>
      <c r="W506" s="57">
        <f>(1000*CHOOSE(CONTROL!$C$42, 0.1146, 0.1146)*CHOOSE(CONTROL!$C$42, 121.5, 121.5)*CHOOSE(CONTROL!$C$42, 28, 28))/1000000</f>
        <v>0.38986920000000003</v>
      </c>
      <c r="X506" s="57">
        <f>(28*0.1790888*100000/1000000)+(28*0.2374*100000/1000000)</f>
        <v>1.16616864</v>
      </c>
      <c r="Y506" s="57"/>
      <c r="Z506" s="14"/>
      <c r="AA506" s="56"/>
      <c r="AB506" s="50">
        <f>(B506*122.58+C506*297.941+D506*89.177+E506*40.302+F506*40+G506*160+H506*0+I506*100+J506*300)/(122.58+297.941+89.177+40.302+0+40+160+100+300)</f>
        <v>27.478931957999997</v>
      </c>
      <c r="AC506" s="45">
        <f>(M506*'RAP TEMPLATE-GAS AVAILABILITY'!O505+N506*'RAP TEMPLATE-GAS AVAILABILITY'!P505+O506*'RAP TEMPLATE-GAS AVAILABILITY'!Q505+P506*'RAP TEMPLATE-GAS AVAILABILITY'!R505)/('RAP TEMPLATE-GAS AVAILABILITY'!O505+'RAP TEMPLATE-GAS AVAILABILITY'!P505+'RAP TEMPLATE-GAS AVAILABILITY'!Q505+'RAP TEMPLATE-GAS AVAILABILITY'!R505)</f>
        <v>26.958509352517986</v>
      </c>
    </row>
    <row r="507" spans="1:29" ht="15.75" x14ac:dyDescent="0.25">
      <c r="A507" s="33">
        <v>56339</v>
      </c>
      <c r="B507" s="14">
        <f>CHOOSE(CONTROL!$C$42, 26.6859, 26.6859) * CHOOSE(CONTROL!$C$21, $C$9, 100%, $E$9)</f>
        <v>26.6859</v>
      </c>
      <c r="C507" s="14">
        <f>CHOOSE(CONTROL!$C$42, 26.691, 26.691) * CHOOSE(CONTROL!$C$21, $C$9, 100%, $E$9)</f>
        <v>26.690999999999999</v>
      </c>
      <c r="D507" s="14">
        <f>CHOOSE(CONTROL!$C$42, 26.7574, 26.7574) * CHOOSE(CONTROL!$C$21, $C$9, 100%, $E$9)</f>
        <v>26.757400000000001</v>
      </c>
      <c r="E507" s="14">
        <f>CHOOSE(CONTROL!$C$42, 26.7915, 26.7915) * CHOOSE(CONTROL!$C$21, $C$9, 100%, $E$9)</f>
        <v>26.791499999999999</v>
      </c>
      <c r="F507" s="14">
        <f>CHOOSE(CONTROL!$C$42, 26.6729, 26.6729)*CHOOSE(CONTROL!$C$21, $C$9, 100%, $E$9)</f>
        <v>26.672899999999998</v>
      </c>
      <c r="G507" s="14">
        <f>CHOOSE(CONTROL!$C$42, 26.6883, 26.6883)*CHOOSE(CONTROL!$C$21, $C$9, 100%, $E$9)</f>
        <v>26.688300000000002</v>
      </c>
      <c r="H507" s="14">
        <f>CHOOSE(CONTROL!$C$42, 26.7807, 26.7807) * CHOOSE(CONTROL!$C$21, $C$9, 100%, $E$9)</f>
        <v>26.7807</v>
      </c>
      <c r="I507" s="14">
        <f>CHOOSE(CONTROL!$C$42, 26.7771, 26.7771)* CHOOSE(CONTROL!$C$21, $C$9, 100%, $E$9)</f>
        <v>26.777100000000001</v>
      </c>
      <c r="J507" s="14">
        <f>CHOOSE(CONTROL!$C$42, 26.6659, 26.6659)* CHOOSE(CONTROL!$C$21, $C$9, 100%, $E$9)</f>
        <v>26.665900000000001</v>
      </c>
      <c r="K507" s="53">
        <f>CHOOSE(CONTROL!$C$42, 26.7732, 26.7732) * CHOOSE(CONTROL!$C$21, $C$9, 100%, $E$9)</f>
        <v>26.773199999999999</v>
      </c>
      <c r="L507" s="14">
        <f>CHOOSE(CONTROL!$C$42, 27.3677, 27.3677) * CHOOSE(CONTROL!$C$21, $C$9, 100%, $E$9)</f>
        <v>27.367699999999999</v>
      </c>
      <c r="M507" s="14">
        <f>CHOOSE(CONTROL!$C$42, 26.1272, 26.1272) * CHOOSE(CONTROL!$C$21, $C$9, 100%, $E$9)</f>
        <v>26.127199999999998</v>
      </c>
      <c r="N507" s="14">
        <f>CHOOSE(CONTROL!$C$42, 26.1423, 26.1423) * CHOOSE(CONTROL!$C$21, $C$9, 100%, $E$9)</f>
        <v>26.142299999999999</v>
      </c>
      <c r="O507" s="14">
        <f>CHOOSE(CONTROL!$C$42, 26.2396, 26.2396) * CHOOSE(CONTROL!$C$21, $C$9, 100%, $E$9)</f>
        <v>26.239599999999999</v>
      </c>
      <c r="P507" s="14">
        <f>CHOOSE(CONTROL!$C$42, 26.2345, 26.2345) * CHOOSE(CONTROL!$C$21, $C$9, 100%, $E$9)</f>
        <v>26.234500000000001</v>
      </c>
      <c r="Q507" s="14">
        <f>CHOOSE(CONTROL!$C$42, 26.8343, 26.8343) * CHOOSE(CONTROL!$C$21, $C$9, 100%, $E$9)</f>
        <v>26.834299999999999</v>
      </c>
      <c r="R507" s="14">
        <f>CHOOSE(CONTROL!$C$42, 27.4884, 27.4884) * CHOOSE(CONTROL!$C$21, $C$9, 100%, $E$9)</f>
        <v>27.488399999999999</v>
      </c>
      <c r="S507" s="14">
        <f>CHOOSE(CONTROL!$C$42, 25.6339, 25.6339) * CHOOSE(CONTROL!$C$21, $C$9, 100%, $E$9)</f>
        <v>25.633900000000001</v>
      </c>
      <c r="T50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07" s="57">
        <f>(1000*CHOOSE(CONTROL!$C$42, 695, 695)*CHOOSE(CONTROL!$C$42, 0.5599, 0.5599)*CHOOSE(CONTROL!$C$42, 31, 31))/1000000</f>
        <v>12.063045499999998</v>
      </c>
      <c r="V507" s="57">
        <f>(1000*CHOOSE(CONTROL!$C$42, 500, 500)*CHOOSE(CONTROL!$C$42, 0.275, 0.275)*CHOOSE(CONTROL!$C$42, 31, 31))/1000000</f>
        <v>4.2625000000000002</v>
      </c>
      <c r="W507" s="57">
        <f>(1000*CHOOSE(CONTROL!$C$42, 0.1146, 0.1146)*CHOOSE(CONTROL!$C$42, 121.5, 121.5)*CHOOSE(CONTROL!$C$42, 31, 31))/1000000</f>
        <v>0.43164089999999994</v>
      </c>
      <c r="X507" s="57">
        <f>(31*0.1790888*100000/1000000)+(31*0.2374*100000/1000000)</f>
        <v>1.2911152800000001</v>
      </c>
      <c r="Y507" s="57"/>
      <c r="Z507" s="14"/>
      <c r="AA507" s="56"/>
      <c r="AB507" s="50">
        <f>(B507*122.58+C507*297.941+D507*89.177+E507*40.302+F507*40+G507*160+H507*0+I507*100+J507*300)/(122.58+297.941+89.177+40.302+0+40+160+100+300)</f>
        <v>26.699061344173913</v>
      </c>
      <c r="AC507" s="45">
        <f>(M507*'RAP TEMPLATE-GAS AVAILABILITY'!O506+N507*'RAP TEMPLATE-GAS AVAILABILITY'!P506+O507*'RAP TEMPLATE-GAS AVAILABILITY'!Q506+P507*'RAP TEMPLATE-GAS AVAILABILITY'!R506)/('RAP TEMPLATE-GAS AVAILABILITY'!O506+'RAP TEMPLATE-GAS AVAILABILITY'!P506+'RAP TEMPLATE-GAS AVAILABILITY'!Q506+'RAP TEMPLATE-GAS AVAILABILITY'!R506)</f>
        <v>26.19445179856115</v>
      </c>
    </row>
    <row r="508" spans="1:29" ht="15.75" x14ac:dyDescent="0.25">
      <c r="A508" s="33">
        <v>56369</v>
      </c>
      <c r="B508" s="14">
        <f>CHOOSE(CONTROL!$C$42, 26.6072, 26.6072) * CHOOSE(CONTROL!$C$21, $C$9, 100%, $E$9)</f>
        <v>26.607199999999999</v>
      </c>
      <c r="C508" s="14">
        <f>CHOOSE(CONTROL!$C$42, 26.6117, 26.6117) * CHOOSE(CONTROL!$C$21, $C$9, 100%, $E$9)</f>
        <v>26.611699999999999</v>
      </c>
      <c r="D508" s="14">
        <f>CHOOSE(CONTROL!$C$42, 26.8188, 26.8188) * CHOOSE(CONTROL!$C$21, $C$9, 100%, $E$9)</f>
        <v>26.8188</v>
      </c>
      <c r="E508" s="14">
        <f>CHOOSE(CONTROL!$C$42, 26.8509, 26.8509) * CHOOSE(CONTROL!$C$21, $C$9, 100%, $E$9)</f>
        <v>26.850899999999999</v>
      </c>
      <c r="F508" s="14">
        <f>CHOOSE(CONTROL!$C$42, 26.5891, 26.5891)*CHOOSE(CONTROL!$C$21, $C$9, 100%, $E$9)</f>
        <v>26.589099999999998</v>
      </c>
      <c r="G508" s="14">
        <f>CHOOSE(CONTROL!$C$42, 26.6043, 26.6043)*CHOOSE(CONTROL!$C$21, $C$9, 100%, $E$9)</f>
        <v>26.604299999999999</v>
      </c>
      <c r="H508" s="14">
        <f>CHOOSE(CONTROL!$C$42, 26.8406, 26.8406) * CHOOSE(CONTROL!$C$21, $C$9, 100%, $E$9)</f>
        <v>26.840599999999998</v>
      </c>
      <c r="I508" s="14">
        <f>CHOOSE(CONTROL!$C$42, 26.6974, 26.6974)* CHOOSE(CONTROL!$C$21, $C$9, 100%, $E$9)</f>
        <v>26.697399999999998</v>
      </c>
      <c r="J508" s="14">
        <f>CHOOSE(CONTROL!$C$42, 26.5821, 26.5821)* CHOOSE(CONTROL!$C$21, $C$9, 100%, $E$9)</f>
        <v>26.582100000000001</v>
      </c>
      <c r="K508" s="53">
        <f>CHOOSE(CONTROL!$C$42, 26.6935, 26.6935) * CHOOSE(CONTROL!$C$21, $C$9, 100%, $E$9)</f>
        <v>26.6935</v>
      </c>
      <c r="L508" s="14">
        <f>CHOOSE(CONTROL!$C$42, 27.4276, 27.4276) * CHOOSE(CONTROL!$C$21, $C$9, 100%, $E$9)</f>
        <v>27.427600000000002</v>
      </c>
      <c r="M508" s="14">
        <f>CHOOSE(CONTROL!$C$42, 26.0451, 26.0451) * CHOOSE(CONTROL!$C$21, $C$9, 100%, $E$9)</f>
        <v>26.045100000000001</v>
      </c>
      <c r="N508" s="14">
        <f>CHOOSE(CONTROL!$C$42, 26.06, 26.06) * CHOOSE(CONTROL!$C$21, $C$9, 100%, $E$9)</f>
        <v>26.06</v>
      </c>
      <c r="O508" s="14">
        <f>CHOOSE(CONTROL!$C$42, 26.2984, 26.2984) * CHOOSE(CONTROL!$C$21, $C$9, 100%, $E$9)</f>
        <v>26.298400000000001</v>
      </c>
      <c r="P508" s="14">
        <f>CHOOSE(CONTROL!$C$42, 26.1564, 26.1564) * CHOOSE(CONTROL!$C$21, $C$9, 100%, $E$9)</f>
        <v>26.156400000000001</v>
      </c>
      <c r="Q508" s="14">
        <f>CHOOSE(CONTROL!$C$42, 26.8931, 26.8931) * CHOOSE(CONTROL!$C$21, $C$9, 100%, $E$9)</f>
        <v>26.8931</v>
      </c>
      <c r="R508" s="14">
        <f>CHOOSE(CONTROL!$C$42, 27.5473, 27.5473) * CHOOSE(CONTROL!$C$21, $C$9, 100%, $E$9)</f>
        <v>27.5473</v>
      </c>
      <c r="S508" s="14">
        <f>CHOOSE(CONTROL!$C$42, 25.5576, 25.5576) * CHOOSE(CONTROL!$C$21, $C$9, 100%, $E$9)</f>
        <v>25.557600000000001</v>
      </c>
      <c r="T50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08" s="57">
        <f>(1000*CHOOSE(CONTROL!$C$42, 695, 695)*CHOOSE(CONTROL!$C$42, 0.5599, 0.5599)*CHOOSE(CONTROL!$C$42, 30, 30))/1000000</f>
        <v>11.673914999999997</v>
      </c>
      <c r="V508" s="57">
        <f>(1000*CHOOSE(CONTROL!$C$42, 500, 500)*CHOOSE(CONTROL!$C$42, 0.275, 0.275)*CHOOSE(CONTROL!$C$42, 30, 30))/1000000</f>
        <v>4.125</v>
      </c>
      <c r="W508" s="57">
        <f>(1000*CHOOSE(CONTROL!$C$42, 0.1146, 0.1146)*CHOOSE(CONTROL!$C$42, 121.5, 121.5)*CHOOSE(CONTROL!$C$42, 30, 30))/1000000</f>
        <v>0.417717</v>
      </c>
      <c r="X508" s="57">
        <f>(30*0.1790888*245000/1000000)+(30*0.2374*100000/1000000)</f>
        <v>2.0285026799999999</v>
      </c>
      <c r="Y508" s="57"/>
      <c r="Z508" s="14"/>
      <c r="AA508" s="56"/>
      <c r="AB508" s="50">
        <f>(B508*141.293+C508*267.993+D508*115.016+E508*89.698+F508*40+G508*185+H508*0+I508*100+J508*300)/(141.293+267.993+115.016+89.698+0+40+185+100+300)</f>
        <v>26.645644113559321</v>
      </c>
      <c r="AC508" s="45">
        <f>(M508*'RAP TEMPLATE-GAS AVAILABILITY'!O507+N508*'RAP TEMPLATE-GAS AVAILABILITY'!P507+O508*'RAP TEMPLATE-GAS AVAILABILITY'!Q507+P508*'RAP TEMPLATE-GAS AVAILABILITY'!R507)/('RAP TEMPLATE-GAS AVAILABILITY'!O507+'RAP TEMPLATE-GAS AVAILABILITY'!P507+'RAP TEMPLATE-GAS AVAILABILITY'!Q507+'RAP TEMPLATE-GAS AVAILABILITY'!R507)</f>
        <v>26.135614388489209</v>
      </c>
    </row>
    <row r="509" spans="1:29" ht="15.75" x14ac:dyDescent="0.25">
      <c r="A509" s="33">
        <v>56400</v>
      </c>
      <c r="B509" s="14">
        <f>CHOOSE(CONTROL!$C$42, 26.8433, 26.8433) * CHOOSE(CONTROL!$C$21, $C$9, 100%, $E$9)</f>
        <v>26.843299999999999</v>
      </c>
      <c r="C509" s="14">
        <f>CHOOSE(CONTROL!$C$42, 26.8514, 26.8514) * CHOOSE(CONTROL!$C$21, $C$9, 100%, $E$9)</f>
        <v>26.851400000000002</v>
      </c>
      <c r="D509" s="14">
        <f>CHOOSE(CONTROL!$C$42, 27.0553, 27.0553) * CHOOSE(CONTROL!$C$21, $C$9, 100%, $E$9)</f>
        <v>27.055299999999999</v>
      </c>
      <c r="E509" s="14">
        <f>CHOOSE(CONTROL!$C$42, 27.0868, 27.0868) * CHOOSE(CONTROL!$C$21, $C$9, 100%, $E$9)</f>
        <v>27.0868</v>
      </c>
      <c r="F509" s="14">
        <f>CHOOSE(CONTROL!$C$42, 26.8241, 26.8241)*CHOOSE(CONTROL!$C$21, $C$9, 100%, $E$9)</f>
        <v>26.824100000000001</v>
      </c>
      <c r="G509" s="14">
        <f>CHOOSE(CONTROL!$C$42, 26.8397, 26.8397)*CHOOSE(CONTROL!$C$21, $C$9, 100%, $E$9)</f>
        <v>26.839700000000001</v>
      </c>
      <c r="H509" s="14">
        <f>CHOOSE(CONTROL!$C$42, 27.0754, 27.0754) * CHOOSE(CONTROL!$C$21, $C$9, 100%, $E$9)</f>
        <v>27.075399999999998</v>
      </c>
      <c r="I509" s="14">
        <f>CHOOSE(CONTROL!$C$42, 26.9328, 26.9328)* CHOOSE(CONTROL!$C$21, $C$9, 100%, $E$9)</f>
        <v>26.9328</v>
      </c>
      <c r="J509" s="14">
        <f>CHOOSE(CONTROL!$C$42, 26.8171, 26.8171)* CHOOSE(CONTROL!$C$21, $C$9, 100%, $E$9)</f>
        <v>26.8171</v>
      </c>
      <c r="K509" s="53">
        <f>CHOOSE(CONTROL!$C$42, 26.9289, 26.9289) * CHOOSE(CONTROL!$C$21, $C$9, 100%, $E$9)</f>
        <v>26.928899999999999</v>
      </c>
      <c r="L509" s="14">
        <f>CHOOSE(CONTROL!$C$42, 27.6624, 27.6624) * CHOOSE(CONTROL!$C$21, $C$9, 100%, $E$9)</f>
        <v>27.662400000000002</v>
      </c>
      <c r="M509" s="14">
        <f>CHOOSE(CONTROL!$C$42, 26.2753, 26.2753) * CHOOSE(CONTROL!$C$21, $C$9, 100%, $E$9)</f>
        <v>26.275300000000001</v>
      </c>
      <c r="N509" s="14">
        <f>CHOOSE(CONTROL!$C$42, 26.2906, 26.2906) * CHOOSE(CONTROL!$C$21, $C$9, 100%, $E$9)</f>
        <v>26.290600000000001</v>
      </c>
      <c r="O509" s="14">
        <f>CHOOSE(CONTROL!$C$42, 26.5283, 26.5283) * CHOOSE(CONTROL!$C$21, $C$9, 100%, $E$9)</f>
        <v>26.528300000000002</v>
      </c>
      <c r="P509" s="14">
        <f>CHOOSE(CONTROL!$C$42, 26.3871, 26.3871) * CHOOSE(CONTROL!$C$21, $C$9, 100%, $E$9)</f>
        <v>26.3871</v>
      </c>
      <c r="Q509" s="14">
        <f>CHOOSE(CONTROL!$C$42, 27.123, 27.123) * CHOOSE(CONTROL!$C$21, $C$9, 100%, $E$9)</f>
        <v>27.123000000000001</v>
      </c>
      <c r="R509" s="14">
        <f>CHOOSE(CONTROL!$C$42, 27.7778, 27.7778) * CHOOSE(CONTROL!$C$21, $C$9, 100%, $E$9)</f>
        <v>27.777799999999999</v>
      </c>
      <c r="S509" s="14">
        <f>CHOOSE(CONTROL!$C$42, 25.7831, 25.7831) * CHOOSE(CONTROL!$C$21, $C$9, 100%, $E$9)</f>
        <v>25.783100000000001</v>
      </c>
      <c r="T50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09" s="57">
        <f>(1000*CHOOSE(CONTROL!$C$42, 695, 695)*CHOOSE(CONTROL!$C$42, 0.5599, 0.5599)*CHOOSE(CONTROL!$C$42, 31, 31))/1000000</f>
        <v>12.063045499999998</v>
      </c>
      <c r="V509" s="57">
        <f>(1000*CHOOSE(CONTROL!$C$42, 500, 500)*CHOOSE(CONTROL!$C$42, 0.275, 0.275)*CHOOSE(CONTROL!$C$42, 31, 31))/1000000</f>
        <v>4.2625000000000002</v>
      </c>
      <c r="W509" s="57">
        <f>(1000*CHOOSE(CONTROL!$C$42, 0.1146, 0.1146)*CHOOSE(CONTROL!$C$42, 121.5, 121.5)*CHOOSE(CONTROL!$C$42, 31, 31))/1000000</f>
        <v>0.43164089999999994</v>
      </c>
      <c r="X509" s="57">
        <f>(31*0.1790888*245000/1000000)+(31*0.2374*100000/1000000)</f>
        <v>2.0961194359999999</v>
      </c>
      <c r="Y509" s="57"/>
      <c r="Z509" s="14"/>
      <c r="AA509" s="56"/>
      <c r="AB509" s="50">
        <f>(B509*194.205+C509*267.466+D509*133.845+E509*53.484+F509*40+G509*185+H509*0+I509*100+J509*300)/(194.205+267.466+133.845+53.484+0+40+185+100+300)</f>
        <v>26.877225407064365</v>
      </c>
      <c r="AC509" s="45">
        <f>(M509*'RAP TEMPLATE-GAS AVAILABILITY'!O508+N509*'RAP TEMPLATE-GAS AVAILABILITY'!P508+O509*'RAP TEMPLATE-GAS AVAILABILITY'!Q508+P509*'RAP TEMPLATE-GAS AVAILABILITY'!R508)/('RAP TEMPLATE-GAS AVAILABILITY'!O508+'RAP TEMPLATE-GAS AVAILABILITY'!P508+'RAP TEMPLATE-GAS AVAILABILITY'!Q508+'RAP TEMPLATE-GAS AVAILABILITY'!R508)</f>
        <v>26.365894244604316</v>
      </c>
    </row>
    <row r="510" spans="1:29" ht="15.75" x14ac:dyDescent="0.25">
      <c r="A510" s="33">
        <v>56430</v>
      </c>
      <c r="B510" s="14">
        <f>CHOOSE(CONTROL!$C$42, 27.6044, 27.6044) * CHOOSE(CONTROL!$C$21, $C$9, 100%, $E$9)</f>
        <v>27.604399999999998</v>
      </c>
      <c r="C510" s="14">
        <f>CHOOSE(CONTROL!$C$42, 27.6125, 27.6125) * CHOOSE(CONTROL!$C$21, $C$9, 100%, $E$9)</f>
        <v>27.612500000000001</v>
      </c>
      <c r="D510" s="14">
        <f>CHOOSE(CONTROL!$C$42, 27.8164, 27.8164) * CHOOSE(CONTROL!$C$21, $C$9, 100%, $E$9)</f>
        <v>27.816400000000002</v>
      </c>
      <c r="E510" s="14">
        <f>CHOOSE(CONTROL!$C$42, 27.8479, 27.8479) * CHOOSE(CONTROL!$C$21, $C$9, 100%, $E$9)</f>
        <v>27.847899999999999</v>
      </c>
      <c r="F510" s="14">
        <f>CHOOSE(CONTROL!$C$42, 27.5856, 27.5856)*CHOOSE(CONTROL!$C$21, $C$9, 100%, $E$9)</f>
        <v>27.585599999999999</v>
      </c>
      <c r="G510" s="14">
        <f>CHOOSE(CONTROL!$C$42, 27.6014, 27.6014)*CHOOSE(CONTROL!$C$21, $C$9, 100%, $E$9)</f>
        <v>27.601400000000002</v>
      </c>
      <c r="H510" s="14">
        <f>CHOOSE(CONTROL!$C$42, 27.8365, 27.8365) * CHOOSE(CONTROL!$C$21, $C$9, 100%, $E$9)</f>
        <v>27.836500000000001</v>
      </c>
      <c r="I510" s="14">
        <f>CHOOSE(CONTROL!$C$42, 27.6963, 27.6963)* CHOOSE(CONTROL!$C$21, $C$9, 100%, $E$9)</f>
        <v>27.696300000000001</v>
      </c>
      <c r="J510" s="14">
        <f>CHOOSE(CONTROL!$C$42, 27.5786, 27.5786)* CHOOSE(CONTROL!$C$21, $C$9, 100%, $E$9)</f>
        <v>27.578600000000002</v>
      </c>
      <c r="K510" s="53">
        <f>CHOOSE(CONTROL!$C$42, 27.6924, 27.6924) * CHOOSE(CONTROL!$C$21, $C$9, 100%, $E$9)</f>
        <v>27.692399999999999</v>
      </c>
      <c r="L510" s="14">
        <f>CHOOSE(CONTROL!$C$42, 28.4235, 28.4235) * CHOOSE(CONTROL!$C$21, $C$9, 100%, $E$9)</f>
        <v>28.423500000000001</v>
      </c>
      <c r="M510" s="14">
        <f>CHOOSE(CONTROL!$C$42, 27.0212, 27.0212) * CHOOSE(CONTROL!$C$21, $C$9, 100%, $E$9)</f>
        <v>27.0212</v>
      </c>
      <c r="N510" s="14">
        <f>CHOOSE(CONTROL!$C$42, 27.0367, 27.0367) * CHOOSE(CONTROL!$C$21, $C$9, 100%, $E$9)</f>
        <v>27.0367</v>
      </c>
      <c r="O510" s="14">
        <f>CHOOSE(CONTROL!$C$42, 27.2738, 27.2738) * CHOOSE(CONTROL!$C$21, $C$9, 100%, $E$9)</f>
        <v>27.273800000000001</v>
      </c>
      <c r="P510" s="14">
        <f>CHOOSE(CONTROL!$C$42, 27.1349, 27.1349) * CHOOSE(CONTROL!$C$21, $C$9, 100%, $E$9)</f>
        <v>27.134899999999998</v>
      </c>
      <c r="Q510" s="14">
        <f>CHOOSE(CONTROL!$C$42, 27.8685, 27.8685) * CHOOSE(CONTROL!$C$21, $C$9, 100%, $E$9)</f>
        <v>27.868500000000001</v>
      </c>
      <c r="R510" s="14">
        <f>CHOOSE(CONTROL!$C$42, 28.5252, 28.5252) * CHOOSE(CONTROL!$C$21, $C$9, 100%, $E$9)</f>
        <v>28.525200000000002</v>
      </c>
      <c r="S510" s="14">
        <f>CHOOSE(CONTROL!$C$42, 26.5145, 26.5145) * CHOOSE(CONTROL!$C$21, $C$9, 100%, $E$9)</f>
        <v>26.514500000000002</v>
      </c>
      <c r="T51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10" s="57">
        <f>(1000*CHOOSE(CONTROL!$C$42, 695, 695)*CHOOSE(CONTROL!$C$42, 0.5599, 0.5599)*CHOOSE(CONTROL!$C$42, 30, 30))/1000000</f>
        <v>11.673914999999997</v>
      </c>
      <c r="V510" s="57">
        <f>(1000*CHOOSE(CONTROL!$C$42, 500, 500)*CHOOSE(CONTROL!$C$42, 0.275, 0.275)*CHOOSE(CONTROL!$C$42, 30, 30))/1000000</f>
        <v>4.125</v>
      </c>
      <c r="W510" s="57">
        <f>(1000*CHOOSE(CONTROL!$C$42, 0.1146, 0.1146)*CHOOSE(CONTROL!$C$42, 121.5, 121.5)*CHOOSE(CONTROL!$C$42, 30, 30))/1000000</f>
        <v>0.417717</v>
      </c>
      <c r="X510" s="57">
        <f>(30*0.1790888*245000/1000000)+(30*0.2374*100000/1000000)</f>
        <v>2.0285026799999999</v>
      </c>
      <c r="Y510" s="57"/>
      <c r="Z510" s="14"/>
      <c r="AA510" s="56"/>
      <c r="AB510" s="50">
        <f>(B510*194.205+C510*267.466+D510*133.845+E510*53.484+F510*40+G510*185+H510*0+I510*100+J510*300)/(194.205+267.466+133.845+53.484+0+40+185+100+300)</f>
        <v>27.638707667660913</v>
      </c>
      <c r="AC510" s="45">
        <f>(M510*'RAP TEMPLATE-GAS AVAILABILITY'!O509+N510*'RAP TEMPLATE-GAS AVAILABILITY'!P509+O510*'RAP TEMPLATE-GAS AVAILABILITY'!Q509+P510*'RAP TEMPLATE-GAS AVAILABILITY'!R509)/('RAP TEMPLATE-GAS AVAILABILITY'!O509+'RAP TEMPLATE-GAS AVAILABILITY'!P509+'RAP TEMPLATE-GAS AVAILABILITY'!Q509+'RAP TEMPLATE-GAS AVAILABILITY'!R509)</f>
        <v>27.112001438848921</v>
      </c>
    </row>
    <row r="511" spans="1:29" ht="15.75" x14ac:dyDescent="0.25">
      <c r="A511" s="33">
        <v>56461</v>
      </c>
      <c r="B511" s="14">
        <f>CHOOSE(CONTROL!$C$42, 27.0751, 27.0751) * CHOOSE(CONTROL!$C$21, $C$9, 100%, $E$9)</f>
        <v>27.075099999999999</v>
      </c>
      <c r="C511" s="14">
        <f>CHOOSE(CONTROL!$C$42, 27.0831, 27.0831) * CHOOSE(CONTROL!$C$21, $C$9, 100%, $E$9)</f>
        <v>27.083100000000002</v>
      </c>
      <c r="D511" s="14">
        <f>CHOOSE(CONTROL!$C$42, 27.287, 27.287) * CHOOSE(CONTROL!$C$21, $C$9, 100%, $E$9)</f>
        <v>27.286999999999999</v>
      </c>
      <c r="E511" s="14">
        <f>CHOOSE(CONTROL!$C$42, 27.3185, 27.3185) * CHOOSE(CONTROL!$C$21, $C$9, 100%, $E$9)</f>
        <v>27.3185</v>
      </c>
      <c r="F511" s="14">
        <f>CHOOSE(CONTROL!$C$42, 27.0567, 27.0567)*CHOOSE(CONTROL!$C$21, $C$9, 100%, $E$9)</f>
        <v>27.056699999999999</v>
      </c>
      <c r="G511" s="14">
        <f>CHOOSE(CONTROL!$C$42, 27.0726, 27.0726)*CHOOSE(CONTROL!$C$21, $C$9, 100%, $E$9)</f>
        <v>27.072600000000001</v>
      </c>
      <c r="H511" s="14">
        <f>CHOOSE(CONTROL!$C$42, 27.3071, 27.3071) * CHOOSE(CONTROL!$C$21, $C$9, 100%, $E$9)</f>
        <v>27.307099999999998</v>
      </c>
      <c r="I511" s="14">
        <f>CHOOSE(CONTROL!$C$42, 27.1653, 27.1653)* CHOOSE(CONTROL!$C$21, $C$9, 100%, $E$9)</f>
        <v>27.165299999999998</v>
      </c>
      <c r="J511" s="14">
        <f>CHOOSE(CONTROL!$C$42, 27.0497, 27.0497)* CHOOSE(CONTROL!$C$21, $C$9, 100%, $E$9)</f>
        <v>27.049700000000001</v>
      </c>
      <c r="K511" s="53">
        <f>CHOOSE(CONTROL!$C$42, 27.1614, 27.1614) * CHOOSE(CONTROL!$C$21, $C$9, 100%, $E$9)</f>
        <v>27.1614</v>
      </c>
      <c r="L511" s="14">
        <f>CHOOSE(CONTROL!$C$42, 27.8941, 27.8941) * CHOOSE(CONTROL!$C$21, $C$9, 100%, $E$9)</f>
        <v>27.894100000000002</v>
      </c>
      <c r="M511" s="14">
        <f>CHOOSE(CONTROL!$C$42, 26.5032, 26.5032) * CHOOSE(CONTROL!$C$21, $C$9, 100%, $E$9)</f>
        <v>26.5032</v>
      </c>
      <c r="N511" s="14">
        <f>CHOOSE(CONTROL!$C$42, 26.5187, 26.5187) * CHOOSE(CONTROL!$C$21, $C$9, 100%, $E$9)</f>
        <v>26.518699999999999</v>
      </c>
      <c r="O511" s="14">
        <f>CHOOSE(CONTROL!$C$42, 26.7553, 26.7553) * CHOOSE(CONTROL!$C$21, $C$9, 100%, $E$9)</f>
        <v>26.755299999999998</v>
      </c>
      <c r="P511" s="14">
        <f>CHOOSE(CONTROL!$C$42, 26.6148, 26.6148) * CHOOSE(CONTROL!$C$21, $C$9, 100%, $E$9)</f>
        <v>26.614799999999999</v>
      </c>
      <c r="Q511" s="14">
        <f>CHOOSE(CONTROL!$C$42, 27.35, 27.35) * CHOOSE(CONTROL!$C$21, $C$9, 100%, $E$9)</f>
        <v>27.35</v>
      </c>
      <c r="R511" s="14">
        <f>CHOOSE(CONTROL!$C$42, 28.0054, 28.0054) * CHOOSE(CONTROL!$C$21, $C$9, 100%, $E$9)</f>
        <v>28.005400000000002</v>
      </c>
      <c r="S511" s="14">
        <f>CHOOSE(CONTROL!$C$42, 26.0058, 26.0058) * CHOOSE(CONTROL!$C$21, $C$9, 100%, $E$9)</f>
        <v>26.005800000000001</v>
      </c>
      <c r="T51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11" s="57">
        <f>(1000*CHOOSE(CONTROL!$C$42, 695, 695)*CHOOSE(CONTROL!$C$42, 0.5599, 0.5599)*CHOOSE(CONTROL!$C$42, 31, 31))/1000000</f>
        <v>12.063045499999998</v>
      </c>
      <c r="V511" s="57">
        <f>(1000*CHOOSE(CONTROL!$C$42, 500, 500)*CHOOSE(CONTROL!$C$42, 0.275, 0.275)*CHOOSE(CONTROL!$C$42, 31, 31))/1000000</f>
        <v>4.2625000000000002</v>
      </c>
      <c r="W511" s="57">
        <f>(1000*CHOOSE(CONTROL!$C$42, 0.1146, 0.1146)*CHOOSE(CONTROL!$C$42, 121.5, 121.5)*CHOOSE(CONTROL!$C$42, 31, 31))/1000000</f>
        <v>0.43164089999999994</v>
      </c>
      <c r="X511" s="57">
        <f>(31*0.1790888*245000/1000000)+(31*0.2374*100000/1000000)</f>
        <v>2.0961194359999999</v>
      </c>
      <c r="Y511" s="57"/>
      <c r="Z511" s="14"/>
      <c r="AA511" s="56"/>
      <c r="AB511" s="50">
        <f>(B511*194.205+C511*267.466+D511*133.845+E511*53.484+F511*40+G511*185+H511*0+I511*100+J511*300)/(194.205+267.466+133.845+53.484+0+40+185+100+300)</f>
        <v>27.109417887833597</v>
      </c>
      <c r="AC511" s="45">
        <f>(M511*'RAP TEMPLATE-GAS AVAILABILITY'!O510+N511*'RAP TEMPLATE-GAS AVAILABILITY'!P510+O511*'RAP TEMPLATE-GAS AVAILABILITY'!Q510+P511*'RAP TEMPLATE-GAS AVAILABILITY'!R510)/('RAP TEMPLATE-GAS AVAILABILITY'!O510+'RAP TEMPLATE-GAS AVAILABILITY'!P510+'RAP TEMPLATE-GAS AVAILABILITY'!Q510+'RAP TEMPLATE-GAS AVAILABILITY'!R510)</f>
        <v>26.593558992805754</v>
      </c>
    </row>
    <row r="512" spans="1:29" ht="15.75" x14ac:dyDescent="0.25">
      <c r="A512" s="33">
        <v>56492</v>
      </c>
      <c r="B512" s="14">
        <f>CHOOSE(CONTROL!$C$42, 25.7383, 25.7383) * CHOOSE(CONTROL!$C$21, $C$9, 100%, $E$9)</f>
        <v>25.738299999999999</v>
      </c>
      <c r="C512" s="14">
        <f>CHOOSE(CONTROL!$C$42, 25.7463, 25.7463) * CHOOSE(CONTROL!$C$21, $C$9, 100%, $E$9)</f>
        <v>25.746300000000002</v>
      </c>
      <c r="D512" s="14">
        <f>CHOOSE(CONTROL!$C$42, 25.9503, 25.9503) * CHOOSE(CONTROL!$C$21, $C$9, 100%, $E$9)</f>
        <v>25.950299999999999</v>
      </c>
      <c r="E512" s="14">
        <f>CHOOSE(CONTROL!$C$42, 25.9817, 25.9817) * CHOOSE(CONTROL!$C$21, $C$9, 100%, $E$9)</f>
        <v>25.9817</v>
      </c>
      <c r="F512" s="14">
        <f>CHOOSE(CONTROL!$C$42, 25.7202, 25.7202)*CHOOSE(CONTROL!$C$21, $C$9, 100%, $E$9)</f>
        <v>25.720199999999998</v>
      </c>
      <c r="G512" s="14">
        <f>CHOOSE(CONTROL!$C$42, 25.7361, 25.7361)*CHOOSE(CONTROL!$C$21, $C$9, 100%, $E$9)</f>
        <v>25.7361</v>
      </c>
      <c r="H512" s="14">
        <f>CHOOSE(CONTROL!$C$42, 25.9704, 25.9704) * CHOOSE(CONTROL!$C$21, $C$9, 100%, $E$9)</f>
        <v>25.970400000000001</v>
      </c>
      <c r="I512" s="14">
        <f>CHOOSE(CONTROL!$C$42, 25.8244, 25.8244)* CHOOSE(CONTROL!$C$21, $C$9, 100%, $E$9)</f>
        <v>25.824400000000001</v>
      </c>
      <c r="J512" s="14">
        <f>CHOOSE(CONTROL!$C$42, 25.7132, 25.7132)* CHOOSE(CONTROL!$C$21, $C$9, 100%, $E$9)</f>
        <v>25.713200000000001</v>
      </c>
      <c r="K512" s="53">
        <f>CHOOSE(CONTROL!$C$42, 25.8205, 25.8205) * CHOOSE(CONTROL!$C$21, $C$9, 100%, $E$9)</f>
        <v>25.820499999999999</v>
      </c>
      <c r="L512" s="14">
        <f>CHOOSE(CONTROL!$C$42, 26.5574, 26.5574) * CHOOSE(CONTROL!$C$21, $C$9, 100%, $E$9)</f>
        <v>26.557400000000001</v>
      </c>
      <c r="M512" s="14">
        <f>CHOOSE(CONTROL!$C$42, 25.194, 25.194) * CHOOSE(CONTROL!$C$21, $C$9, 100%, $E$9)</f>
        <v>25.193999999999999</v>
      </c>
      <c r="N512" s="14">
        <f>CHOOSE(CONTROL!$C$42, 25.2096, 25.2096) * CHOOSE(CONTROL!$C$21, $C$9, 100%, $E$9)</f>
        <v>25.209599999999998</v>
      </c>
      <c r="O512" s="14">
        <f>CHOOSE(CONTROL!$C$42, 25.4459, 25.4459) * CHOOSE(CONTROL!$C$21, $C$9, 100%, $E$9)</f>
        <v>25.445900000000002</v>
      </c>
      <c r="P512" s="14">
        <f>CHOOSE(CONTROL!$C$42, 25.3014, 25.3014) * CHOOSE(CONTROL!$C$21, $C$9, 100%, $E$9)</f>
        <v>25.301400000000001</v>
      </c>
      <c r="Q512" s="14">
        <f>CHOOSE(CONTROL!$C$42, 26.0406, 26.0406) * CHOOSE(CONTROL!$C$21, $C$9, 100%, $E$9)</f>
        <v>26.040600000000001</v>
      </c>
      <c r="R512" s="14">
        <f>CHOOSE(CONTROL!$C$42, 26.6927, 26.6927) * CHOOSE(CONTROL!$C$21, $C$9, 100%, $E$9)</f>
        <v>26.692699999999999</v>
      </c>
      <c r="S512" s="14">
        <f>CHOOSE(CONTROL!$C$42, 24.7213, 24.7213) * CHOOSE(CONTROL!$C$21, $C$9, 100%, $E$9)</f>
        <v>24.721299999999999</v>
      </c>
      <c r="T51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12" s="57">
        <f>(1000*CHOOSE(CONTROL!$C$42, 695, 695)*CHOOSE(CONTROL!$C$42, 0.5599, 0.5599)*CHOOSE(CONTROL!$C$42, 31, 31))/1000000</f>
        <v>12.063045499999998</v>
      </c>
      <c r="V512" s="57">
        <f>(1000*CHOOSE(CONTROL!$C$42, 500, 500)*CHOOSE(CONTROL!$C$42, 0.275, 0.275)*CHOOSE(CONTROL!$C$42, 31, 31))/1000000</f>
        <v>4.2625000000000002</v>
      </c>
      <c r="W512" s="57">
        <f>(1000*CHOOSE(CONTROL!$C$42, 0.1146, 0.1146)*CHOOSE(CONTROL!$C$42, 121.5, 121.5)*CHOOSE(CONTROL!$C$42, 31, 31))/1000000</f>
        <v>0.43164089999999994</v>
      </c>
      <c r="X512" s="57">
        <f>(31*0.1790888*245000/1000000)+(31*0.2374*100000/1000000)</f>
        <v>2.0961194359999999</v>
      </c>
      <c r="Y512" s="57"/>
      <c r="Z512" s="14"/>
      <c r="AA512" s="56"/>
      <c r="AB512" s="50">
        <f>(B512*194.205+C512*267.466+D512*133.845+E512*53.484+F512*40+G512*185+H512*0+I512*100+J512*300)/(194.205+267.466+133.845+53.484+0+40+185+100+300)</f>
        <v>25.772430199058086</v>
      </c>
      <c r="AC512" s="45">
        <f>(M512*'RAP TEMPLATE-GAS AVAILABILITY'!O511+N512*'RAP TEMPLATE-GAS AVAILABILITY'!P511+O512*'RAP TEMPLATE-GAS AVAILABILITY'!Q511+P512*'RAP TEMPLATE-GAS AVAILABILITY'!R511)/('RAP TEMPLATE-GAS AVAILABILITY'!O511+'RAP TEMPLATE-GAS AVAILABILITY'!P511+'RAP TEMPLATE-GAS AVAILABILITY'!Q511+'RAP TEMPLATE-GAS AVAILABILITY'!R511)</f>
        <v>25.283721582733811</v>
      </c>
    </row>
    <row r="513" spans="1:29" ht="15.75" x14ac:dyDescent="0.25">
      <c r="A513" s="33">
        <v>56522</v>
      </c>
      <c r="B513" s="14">
        <f>CHOOSE(CONTROL!$C$42, 24.1046, 24.1046) * CHOOSE(CONTROL!$C$21, $C$9, 100%, $E$9)</f>
        <v>24.104600000000001</v>
      </c>
      <c r="C513" s="14">
        <f>CHOOSE(CONTROL!$C$42, 24.1126, 24.1126) * CHOOSE(CONTROL!$C$21, $C$9, 100%, $E$9)</f>
        <v>24.1126</v>
      </c>
      <c r="D513" s="14">
        <f>CHOOSE(CONTROL!$C$42, 24.3166, 24.3166) * CHOOSE(CONTROL!$C$21, $C$9, 100%, $E$9)</f>
        <v>24.316600000000001</v>
      </c>
      <c r="E513" s="14">
        <f>CHOOSE(CONTROL!$C$42, 24.348, 24.348) * CHOOSE(CONTROL!$C$21, $C$9, 100%, $E$9)</f>
        <v>24.347999999999999</v>
      </c>
      <c r="F513" s="14">
        <f>CHOOSE(CONTROL!$C$42, 24.0865, 24.0865)*CHOOSE(CONTROL!$C$21, $C$9, 100%, $E$9)</f>
        <v>24.086500000000001</v>
      </c>
      <c r="G513" s="14">
        <f>CHOOSE(CONTROL!$C$42, 24.1025, 24.1025)*CHOOSE(CONTROL!$C$21, $C$9, 100%, $E$9)</f>
        <v>24.102499999999999</v>
      </c>
      <c r="H513" s="14">
        <f>CHOOSE(CONTROL!$C$42, 24.3367, 24.3367) * CHOOSE(CONTROL!$C$21, $C$9, 100%, $E$9)</f>
        <v>24.3367</v>
      </c>
      <c r="I513" s="14">
        <f>CHOOSE(CONTROL!$C$42, 24.1855, 24.1855)* CHOOSE(CONTROL!$C$21, $C$9, 100%, $E$9)</f>
        <v>24.185500000000001</v>
      </c>
      <c r="J513" s="14">
        <f>CHOOSE(CONTROL!$C$42, 24.0795, 24.0795)* CHOOSE(CONTROL!$C$21, $C$9, 100%, $E$9)</f>
        <v>24.079499999999999</v>
      </c>
      <c r="K513" s="53">
        <f>CHOOSE(CONTROL!$C$42, 24.1817, 24.1817) * CHOOSE(CONTROL!$C$21, $C$9, 100%, $E$9)</f>
        <v>24.181699999999999</v>
      </c>
      <c r="L513" s="14">
        <f>CHOOSE(CONTROL!$C$42, 24.9237, 24.9237) * CHOOSE(CONTROL!$C$21, $C$9, 100%, $E$9)</f>
        <v>24.9237</v>
      </c>
      <c r="M513" s="14">
        <f>CHOOSE(CONTROL!$C$42, 23.5938, 23.5938) * CHOOSE(CONTROL!$C$21, $C$9, 100%, $E$9)</f>
        <v>23.593800000000002</v>
      </c>
      <c r="N513" s="14">
        <f>CHOOSE(CONTROL!$C$42, 23.6095, 23.6095) * CHOOSE(CONTROL!$C$21, $C$9, 100%, $E$9)</f>
        <v>23.609500000000001</v>
      </c>
      <c r="O513" s="14">
        <f>CHOOSE(CONTROL!$C$42, 23.8457, 23.8457) * CHOOSE(CONTROL!$C$21, $C$9, 100%, $E$9)</f>
        <v>23.845700000000001</v>
      </c>
      <c r="P513" s="14">
        <f>CHOOSE(CONTROL!$C$42, 23.6963, 23.6963) * CHOOSE(CONTROL!$C$21, $C$9, 100%, $E$9)</f>
        <v>23.696300000000001</v>
      </c>
      <c r="Q513" s="14">
        <f>CHOOSE(CONTROL!$C$42, 24.4404, 24.4404) * CHOOSE(CONTROL!$C$21, $C$9, 100%, $E$9)</f>
        <v>24.4404</v>
      </c>
      <c r="R513" s="14">
        <f>CHOOSE(CONTROL!$C$42, 25.0885, 25.0885) * CHOOSE(CONTROL!$C$21, $C$9, 100%, $E$9)</f>
        <v>25.0885</v>
      </c>
      <c r="S513" s="14">
        <f>CHOOSE(CONTROL!$C$42, 23.1515, 23.1515) * CHOOSE(CONTROL!$C$21, $C$9, 100%, $E$9)</f>
        <v>23.151499999999999</v>
      </c>
      <c r="T51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13" s="57">
        <f>(1000*CHOOSE(CONTROL!$C$42, 695, 695)*CHOOSE(CONTROL!$C$42, 0.5599, 0.5599)*CHOOSE(CONTROL!$C$42, 30, 30))/1000000</f>
        <v>11.673914999999997</v>
      </c>
      <c r="V513" s="57">
        <f>(1000*CHOOSE(CONTROL!$C$42, 500, 500)*CHOOSE(CONTROL!$C$42, 0.275, 0.275)*CHOOSE(CONTROL!$C$42, 30, 30))/1000000</f>
        <v>4.125</v>
      </c>
      <c r="W513" s="57">
        <f>(1000*CHOOSE(CONTROL!$C$42, 0.1146, 0.1146)*CHOOSE(CONTROL!$C$42, 121.5, 121.5)*CHOOSE(CONTROL!$C$42, 30, 30))/1000000</f>
        <v>0.417717</v>
      </c>
      <c r="X513" s="57">
        <f>(30*0.1790888*245000/1000000)+(30*0.2374*100000/1000000)</f>
        <v>2.0285026799999999</v>
      </c>
      <c r="Y513" s="57"/>
      <c r="Z513" s="14"/>
      <c r="AA513" s="56"/>
      <c r="AB513" s="50">
        <f>(B513*194.205+C513*267.466+D513*133.845+E513*53.484+F513*40+G513*185+H513*0+I513*100+J513*300)/(194.205+267.466+133.845+53.484+0+40+185+100+300)</f>
        <v>24.13833655698587</v>
      </c>
      <c r="AC513" s="45">
        <f>(M513*'RAP TEMPLATE-GAS AVAILABILITY'!O512+N513*'RAP TEMPLATE-GAS AVAILABILITY'!P512+O513*'RAP TEMPLATE-GAS AVAILABILITY'!Q512+P513*'RAP TEMPLATE-GAS AVAILABILITY'!R512)/('RAP TEMPLATE-GAS AVAILABILITY'!O512+'RAP TEMPLATE-GAS AVAILABILITY'!P512+'RAP TEMPLATE-GAS AVAILABILITY'!Q512+'RAP TEMPLATE-GAS AVAILABILITY'!R512)</f>
        <v>23.682839568345326</v>
      </c>
    </row>
    <row r="514" spans="1:29" ht="15.75" x14ac:dyDescent="0.25">
      <c r="A514" s="33">
        <v>56553</v>
      </c>
      <c r="B514" s="14">
        <f>CHOOSE(CONTROL!$C$42, 23.6137, 23.6137) * CHOOSE(CONTROL!$C$21, $C$9, 100%, $E$9)</f>
        <v>23.613700000000001</v>
      </c>
      <c r="C514" s="14">
        <f>CHOOSE(CONTROL!$C$42, 23.619, 23.619) * CHOOSE(CONTROL!$C$21, $C$9, 100%, $E$9)</f>
        <v>23.619</v>
      </c>
      <c r="D514" s="14">
        <f>CHOOSE(CONTROL!$C$42, 23.8279, 23.8279) * CHOOSE(CONTROL!$C$21, $C$9, 100%, $E$9)</f>
        <v>23.8279</v>
      </c>
      <c r="E514" s="14">
        <f>CHOOSE(CONTROL!$C$42, 23.857, 23.857) * CHOOSE(CONTROL!$C$21, $C$9, 100%, $E$9)</f>
        <v>23.856999999999999</v>
      </c>
      <c r="F514" s="14">
        <f>CHOOSE(CONTROL!$C$42, 23.5977, 23.5977)*CHOOSE(CONTROL!$C$21, $C$9, 100%, $E$9)</f>
        <v>23.5977</v>
      </c>
      <c r="G514" s="14">
        <f>CHOOSE(CONTROL!$C$42, 23.6133, 23.6133)*CHOOSE(CONTROL!$C$21, $C$9, 100%, $E$9)</f>
        <v>23.613299999999999</v>
      </c>
      <c r="H514" s="14">
        <f>CHOOSE(CONTROL!$C$42, 23.8475, 23.8475) * CHOOSE(CONTROL!$C$21, $C$9, 100%, $E$9)</f>
        <v>23.8475</v>
      </c>
      <c r="I514" s="14">
        <f>CHOOSE(CONTROL!$C$42, 23.6948, 23.6948)* CHOOSE(CONTROL!$C$21, $C$9, 100%, $E$9)</f>
        <v>23.694800000000001</v>
      </c>
      <c r="J514" s="14">
        <f>CHOOSE(CONTROL!$C$42, 23.5907, 23.5907)* CHOOSE(CONTROL!$C$21, $C$9, 100%, $E$9)</f>
        <v>23.590699999999998</v>
      </c>
      <c r="K514" s="53">
        <f>CHOOSE(CONTROL!$C$42, 23.6909, 23.6909) * CHOOSE(CONTROL!$C$21, $C$9, 100%, $E$9)</f>
        <v>23.690899999999999</v>
      </c>
      <c r="L514" s="14">
        <f>CHOOSE(CONTROL!$C$42, 24.4345, 24.4345) * CHOOSE(CONTROL!$C$21, $C$9, 100%, $E$9)</f>
        <v>24.4345</v>
      </c>
      <c r="M514" s="14">
        <f>CHOOSE(CONTROL!$C$42, 23.115, 23.115) * CHOOSE(CONTROL!$C$21, $C$9, 100%, $E$9)</f>
        <v>23.114999999999998</v>
      </c>
      <c r="N514" s="14">
        <f>CHOOSE(CONTROL!$C$42, 23.1303, 23.1303) * CHOOSE(CONTROL!$C$21, $C$9, 100%, $E$9)</f>
        <v>23.130299999999998</v>
      </c>
      <c r="O514" s="14">
        <f>CHOOSE(CONTROL!$C$42, 23.3666, 23.3666) * CHOOSE(CONTROL!$C$21, $C$9, 100%, $E$9)</f>
        <v>23.366599999999998</v>
      </c>
      <c r="P514" s="14">
        <f>CHOOSE(CONTROL!$C$42, 23.2156, 23.2156) * CHOOSE(CONTROL!$C$21, $C$9, 100%, $E$9)</f>
        <v>23.215599999999998</v>
      </c>
      <c r="Q514" s="14">
        <f>CHOOSE(CONTROL!$C$42, 23.9613, 23.9613) * CHOOSE(CONTROL!$C$21, $C$9, 100%, $E$9)</f>
        <v>23.961300000000001</v>
      </c>
      <c r="R514" s="14">
        <f>CHOOSE(CONTROL!$C$42, 24.6082, 24.6082) * CHOOSE(CONTROL!$C$21, $C$9, 100%, $E$9)</f>
        <v>24.6082</v>
      </c>
      <c r="S514" s="14">
        <f>CHOOSE(CONTROL!$C$42, 22.6814, 22.6814) * CHOOSE(CONTROL!$C$21, $C$9, 100%, $E$9)</f>
        <v>22.6814</v>
      </c>
      <c r="T51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14" s="57">
        <f>(1000*CHOOSE(CONTROL!$C$42, 695, 695)*CHOOSE(CONTROL!$C$42, 0.5599, 0.5599)*CHOOSE(CONTROL!$C$42, 31, 31))/1000000</f>
        <v>12.063045499999998</v>
      </c>
      <c r="V514" s="57">
        <f>(1000*CHOOSE(CONTROL!$C$42, 500, 500)*CHOOSE(CONTROL!$C$42, 0.275, 0.275)*CHOOSE(CONTROL!$C$42, 31, 31))/1000000</f>
        <v>4.2625000000000002</v>
      </c>
      <c r="W514" s="57">
        <f>(1000*CHOOSE(CONTROL!$C$42, 0.1146, 0.1146)*CHOOSE(CONTROL!$C$42, 121.5, 121.5)*CHOOSE(CONTROL!$C$42, 31, 31))/1000000</f>
        <v>0.43164089999999994</v>
      </c>
      <c r="X514" s="57">
        <f>(31*0.1790888*245000/1000000)+(31*0.2374*100000/1000000)</f>
        <v>2.0961194359999999</v>
      </c>
      <c r="Y514" s="57"/>
      <c r="Z514" s="14"/>
      <c r="AA514" s="56"/>
      <c r="AB514" s="50">
        <f>(B514*131.881+C514*277.167+D514*79.08+E514*125.872+F514*40+G514*185+H514*0+I514*100+J514*300)/(131.881+277.167+79.08+125.872+0+40+185+100+300)</f>
        <v>23.653674639790154</v>
      </c>
      <c r="AC514" s="45">
        <f>(M514*'RAP TEMPLATE-GAS AVAILABILITY'!O513+N514*'RAP TEMPLATE-GAS AVAILABILITY'!P513+O514*'RAP TEMPLATE-GAS AVAILABILITY'!Q513+P514*'RAP TEMPLATE-GAS AVAILABILITY'!R513)/('RAP TEMPLATE-GAS AVAILABILITY'!O513+'RAP TEMPLATE-GAS AVAILABILITY'!P513+'RAP TEMPLATE-GAS AVAILABILITY'!Q513+'RAP TEMPLATE-GAS AVAILABILITY'!R513)</f>
        <v>23.203589928057553</v>
      </c>
    </row>
    <row r="515" spans="1:29" ht="15.75" x14ac:dyDescent="0.25">
      <c r="A515" s="33">
        <v>56583</v>
      </c>
      <c r="B515" s="14">
        <f>CHOOSE(CONTROL!$C$42, 24.2351, 24.2351) * CHOOSE(CONTROL!$C$21, $C$9, 100%, $E$9)</f>
        <v>24.235099999999999</v>
      </c>
      <c r="C515" s="14">
        <f>CHOOSE(CONTROL!$C$42, 24.2402, 24.2402) * CHOOSE(CONTROL!$C$21, $C$9, 100%, $E$9)</f>
        <v>24.240200000000002</v>
      </c>
      <c r="D515" s="14">
        <f>CHOOSE(CONTROL!$C$42, 24.304, 24.304) * CHOOSE(CONTROL!$C$21, $C$9, 100%, $E$9)</f>
        <v>24.303999999999998</v>
      </c>
      <c r="E515" s="14">
        <f>CHOOSE(CONTROL!$C$42, 24.3381, 24.3381) * CHOOSE(CONTROL!$C$21, $C$9, 100%, $E$9)</f>
        <v>24.338100000000001</v>
      </c>
      <c r="F515" s="14">
        <f>CHOOSE(CONTROL!$C$42, 24.2375, 24.2375)*CHOOSE(CONTROL!$C$21, $C$9, 100%, $E$9)</f>
        <v>24.237500000000001</v>
      </c>
      <c r="G515" s="14">
        <f>CHOOSE(CONTROL!$C$42, 24.2535, 24.2535)*CHOOSE(CONTROL!$C$21, $C$9, 100%, $E$9)</f>
        <v>24.253499999999999</v>
      </c>
      <c r="H515" s="14">
        <f>CHOOSE(CONTROL!$C$42, 24.3273, 24.3273) * CHOOSE(CONTROL!$C$21, $C$9, 100%, $E$9)</f>
        <v>24.327300000000001</v>
      </c>
      <c r="I515" s="14">
        <f>CHOOSE(CONTROL!$C$42, 24.3238, 24.3238)* CHOOSE(CONTROL!$C$21, $C$9, 100%, $E$9)</f>
        <v>24.323799999999999</v>
      </c>
      <c r="J515" s="14">
        <f>CHOOSE(CONTROL!$C$42, 24.2305, 24.2305)* CHOOSE(CONTROL!$C$21, $C$9, 100%, $E$9)</f>
        <v>24.230499999999999</v>
      </c>
      <c r="K515" s="53">
        <f>CHOOSE(CONTROL!$C$42, 24.3199, 24.3199) * CHOOSE(CONTROL!$C$21, $C$9, 100%, $E$9)</f>
        <v>24.319900000000001</v>
      </c>
      <c r="L515" s="14">
        <f>CHOOSE(CONTROL!$C$42, 24.9143, 24.9143) * CHOOSE(CONTROL!$C$21, $C$9, 100%, $E$9)</f>
        <v>24.914300000000001</v>
      </c>
      <c r="M515" s="14">
        <f>CHOOSE(CONTROL!$C$42, 23.7417, 23.7417) * CHOOSE(CONTROL!$C$21, $C$9, 100%, $E$9)</f>
        <v>23.741700000000002</v>
      </c>
      <c r="N515" s="14">
        <f>CHOOSE(CONTROL!$C$42, 23.7574, 23.7574) * CHOOSE(CONTROL!$C$21, $C$9, 100%, $E$9)</f>
        <v>23.757400000000001</v>
      </c>
      <c r="O515" s="14">
        <f>CHOOSE(CONTROL!$C$42, 23.8365, 23.8365) * CHOOSE(CONTROL!$C$21, $C$9, 100%, $E$9)</f>
        <v>23.836500000000001</v>
      </c>
      <c r="P515" s="14">
        <f>CHOOSE(CONTROL!$C$42, 23.8317, 23.8317) * CHOOSE(CONTROL!$C$21, $C$9, 100%, $E$9)</f>
        <v>23.831700000000001</v>
      </c>
      <c r="Q515" s="14">
        <f>CHOOSE(CONTROL!$C$42, 24.4312, 24.4312) * CHOOSE(CONTROL!$C$21, $C$9, 100%, $E$9)</f>
        <v>24.4312</v>
      </c>
      <c r="R515" s="14">
        <f>CHOOSE(CONTROL!$C$42, 25.0793, 25.0793) * CHOOSE(CONTROL!$C$21, $C$9, 100%, $E$9)</f>
        <v>25.0793</v>
      </c>
      <c r="S515" s="14">
        <f>CHOOSE(CONTROL!$C$42, 23.279, 23.279) * CHOOSE(CONTROL!$C$21, $C$9, 100%, $E$9)</f>
        <v>23.279</v>
      </c>
      <c r="T51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15" s="57">
        <f>(1000*CHOOSE(CONTROL!$C$42, 695, 695)*CHOOSE(CONTROL!$C$42, 0.5599, 0.5599)*CHOOSE(CONTROL!$C$42, 30, 30))/1000000</f>
        <v>11.673914999999997</v>
      </c>
      <c r="V515" s="57">
        <f>(1000*CHOOSE(CONTROL!$C$42, 500, 500)*CHOOSE(CONTROL!$C$42, 0.275, 0.275)*CHOOSE(CONTROL!$C$42, 30, 30))/1000000</f>
        <v>4.125</v>
      </c>
      <c r="W515" s="57">
        <f>(1000*CHOOSE(CONTROL!$C$42, 0.1146, 0.1146)*CHOOSE(CONTROL!$C$42, 121.5, 121.5)*CHOOSE(CONTROL!$C$42, 30, 30))/1000000</f>
        <v>0.417717</v>
      </c>
      <c r="X515" s="57">
        <f>(30*0.1790888*100000/1000000)+(30*0.2374*100000/1000000)</f>
        <v>1.2494664</v>
      </c>
      <c r="Y515" s="57"/>
      <c r="Z515" s="14"/>
      <c r="AA515" s="56"/>
      <c r="AB515" s="50">
        <f>(B515*122.58+C515*297.941+D515*89.177+E515*40.302+F515*40+G515*160+H515*0+I515*100+J515*300)/(122.58+297.941+89.177+40.302+0+40+160+100+300)</f>
        <v>24.254530348173915</v>
      </c>
      <c r="AC515" s="45">
        <f>(M515*'RAP TEMPLATE-GAS AVAILABILITY'!O514+N515*'RAP TEMPLATE-GAS AVAILABILITY'!P514+O515*'RAP TEMPLATE-GAS AVAILABILITY'!Q514+P515*'RAP TEMPLATE-GAS AVAILABILITY'!R514)/('RAP TEMPLATE-GAS AVAILABILITY'!O514+'RAP TEMPLATE-GAS AVAILABILITY'!P514+'RAP TEMPLATE-GAS AVAILABILITY'!Q514+'RAP TEMPLATE-GAS AVAILABILITY'!R514)</f>
        <v>23.798520143884893</v>
      </c>
    </row>
    <row r="516" spans="1:29" ht="15.75" x14ac:dyDescent="0.25">
      <c r="A516" s="33">
        <v>56614</v>
      </c>
      <c r="B516" s="14">
        <f>CHOOSE(CONTROL!$C$42, 25.8868, 25.8868) * CHOOSE(CONTROL!$C$21, $C$9, 100%, $E$9)</f>
        <v>25.886800000000001</v>
      </c>
      <c r="C516" s="14">
        <f>CHOOSE(CONTROL!$C$42, 25.8918, 25.8918) * CHOOSE(CONTROL!$C$21, $C$9, 100%, $E$9)</f>
        <v>25.8918</v>
      </c>
      <c r="D516" s="14">
        <f>CHOOSE(CONTROL!$C$42, 25.9556, 25.9556) * CHOOSE(CONTROL!$C$21, $C$9, 100%, $E$9)</f>
        <v>25.9556</v>
      </c>
      <c r="E516" s="14">
        <f>CHOOSE(CONTROL!$C$42, 25.9897, 25.9897) * CHOOSE(CONTROL!$C$21, $C$9, 100%, $E$9)</f>
        <v>25.989699999999999</v>
      </c>
      <c r="F516" s="14">
        <f>CHOOSE(CONTROL!$C$42, 25.8914, 25.8914)*CHOOSE(CONTROL!$C$21, $C$9, 100%, $E$9)</f>
        <v>25.891400000000001</v>
      </c>
      <c r="G516" s="14">
        <f>CHOOSE(CONTROL!$C$42, 25.908, 25.908)*CHOOSE(CONTROL!$C$21, $C$9, 100%, $E$9)</f>
        <v>25.908000000000001</v>
      </c>
      <c r="H516" s="14">
        <f>CHOOSE(CONTROL!$C$42, 25.9789, 25.9789) * CHOOSE(CONTROL!$C$21, $C$9, 100%, $E$9)</f>
        <v>25.978899999999999</v>
      </c>
      <c r="I516" s="14">
        <f>CHOOSE(CONTROL!$C$42, 25.9807, 25.9807)* CHOOSE(CONTROL!$C$21, $C$9, 100%, $E$9)</f>
        <v>25.980699999999999</v>
      </c>
      <c r="J516" s="14">
        <f>CHOOSE(CONTROL!$C$42, 25.8844, 25.8844)* CHOOSE(CONTROL!$C$21, $C$9, 100%, $E$9)</f>
        <v>25.884399999999999</v>
      </c>
      <c r="K516" s="53">
        <f>CHOOSE(CONTROL!$C$42, 25.9768, 25.9768) * CHOOSE(CONTROL!$C$21, $C$9, 100%, $E$9)</f>
        <v>25.976800000000001</v>
      </c>
      <c r="L516" s="14">
        <f>CHOOSE(CONTROL!$C$42, 26.5659, 26.5659) * CHOOSE(CONTROL!$C$21, $C$9, 100%, $E$9)</f>
        <v>26.565899999999999</v>
      </c>
      <c r="M516" s="14">
        <f>CHOOSE(CONTROL!$C$42, 25.3617, 25.3617) * CHOOSE(CONTROL!$C$21, $C$9, 100%, $E$9)</f>
        <v>25.361699999999999</v>
      </c>
      <c r="N516" s="14">
        <f>CHOOSE(CONTROL!$C$42, 25.378, 25.378) * CHOOSE(CONTROL!$C$21, $C$9, 100%, $E$9)</f>
        <v>25.378</v>
      </c>
      <c r="O516" s="14">
        <f>CHOOSE(CONTROL!$C$42, 25.4543, 25.4543) * CHOOSE(CONTROL!$C$21, $C$9, 100%, $E$9)</f>
        <v>25.4543</v>
      </c>
      <c r="P516" s="14">
        <f>CHOOSE(CONTROL!$C$42, 25.4545, 25.4545) * CHOOSE(CONTROL!$C$21, $C$9, 100%, $E$9)</f>
        <v>25.454499999999999</v>
      </c>
      <c r="Q516" s="14">
        <f>CHOOSE(CONTROL!$C$42, 26.049, 26.049) * CHOOSE(CONTROL!$C$21, $C$9, 100%, $E$9)</f>
        <v>26.048999999999999</v>
      </c>
      <c r="R516" s="14">
        <f>CHOOSE(CONTROL!$C$42, 26.7012, 26.7012) * CHOOSE(CONTROL!$C$21, $C$9, 100%, $E$9)</f>
        <v>26.7012</v>
      </c>
      <c r="S516" s="14">
        <f>CHOOSE(CONTROL!$C$42, 24.8661, 24.8661) * CHOOSE(CONTROL!$C$21, $C$9, 100%, $E$9)</f>
        <v>24.866099999999999</v>
      </c>
      <c r="T51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16" s="57">
        <f>(1000*CHOOSE(CONTROL!$C$42, 695, 695)*CHOOSE(CONTROL!$C$42, 0.5599, 0.5599)*CHOOSE(CONTROL!$C$42, 31, 31))/1000000</f>
        <v>12.063045499999998</v>
      </c>
      <c r="V516" s="57">
        <f>(1000*CHOOSE(CONTROL!$C$42, 500, 500)*CHOOSE(CONTROL!$C$42, 0.275, 0.275)*CHOOSE(CONTROL!$C$42, 31, 31))/1000000</f>
        <v>4.2625000000000002</v>
      </c>
      <c r="W516" s="57">
        <f>(1000*CHOOSE(CONTROL!$C$42, 0.1146, 0.1146)*CHOOSE(CONTROL!$C$42, 121.5, 121.5)*CHOOSE(CONTROL!$C$42, 31, 31))/1000000</f>
        <v>0.43164089999999994</v>
      </c>
      <c r="X516" s="57">
        <f>(31*0.1790888*100000/1000000)+(31*0.2374*100000/1000000)</f>
        <v>1.2911152800000001</v>
      </c>
      <c r="Y516" s="57"/>
      <c r="Z516" s="14"/>
      <c r="AA516" s="56"/>
      <c r="AB516" s="50">
        <f>(B516*122.58+C516*297.941+D516*89.177+E516*40.302+F516*40+G516*160+H516*0+I516*100+J516*300)/(122.58+297.941+89.177+40.302+0+40+160+100+300)</f>
        <v>25.907685355130436</v>
      </c>
      <c r="AC516" s="45">
        <f>(M516*'RAP TEMPLATE-GAS AVAILABILITY'!O515+N516*'RAP TEMPLATE-GAS AVAILABILITY'!P515+O516*'RAP TEMPLATE-GAS AVAILABILITY'!Q515+P516*'RAP TEMPLATE-GAS AVAILABILITY'!R515)/('RAP TEMPLATE-GAS AVAILABILITY'!O515+'RAP TEMPLATE-GAS AVAILABILITY'!P515+'RAP TEMPLATE-GAS AVAILABILITY'!Q515+'RAP TEMPLATE-GAS AVAILABILITY'!R515)</f>
        <v>25.417960431654677</v>
      </c>
    </row>
    <row r="517" spans="1:29" ht="15.75" x14ac:dyDescent="0.25">
      <c r="A517" s="32">
        <v>56645</v>
      </c>
      <c r="B517" s="14">
        <f>CHOOSE(CONTROL!$C$42, 28.0065, 28.0065) * CHOOSE(CONTROL!$C$21, $C$9, 100%, $E$9)</f>
        <v>28.006499999999999</v>
      </c>
      <c r="C517" s="14">
        <f>CHOOSE(CONTROL!$C$42, 28.0115, 28.0115) * CHOOSE(CONTROL!$C$21, $C$9, 100%, $E$9)</f>
        <v>28.011500000000002</v>
      </c>
      <c r="D517" s="14">
        <f>CHOOSE(CONTROL!$C$42, 28.0779, 28.0779) * CHOOSE(CONTROL!$C$21, $C$9, 100%, $E$9)</f>
        <v>28.0779</v>
      </c>
      <c r="E517" s="14">
        <f>CHOOSE(CONTROL!$C$42, 28.112, 28.112) * CHOOSE(CONTROL!$C$21, $C$9, 100%, $E$9)</f>
        <v>28.111999999999998</v>
      </c>
      <c r="F517" s="14">
        <f>CHOOSE(CONTROL!$C$42, 27.9938, 27.9938)*CHOOSE(CONTROL!$C$21, $C$9, 100%, $E$9)</f>
        <v>27.9938</v>
      </c>
      <c r="G517" s="14">
        <f>CHOOSE(CONTROL!$C$42, 28.0093, 28.0093)*CHOOSE(CONTROL!$C$21, $C$9, 100%, $E$9)</f>
        <v>28.0093</v>
      </c>
      <c r="H517" s="14">
        <f>CHOOSE(CONTROL!$C$42, 28.1012, 28.1012) * CHOOSE(CONTROL!$C$21, $C$9, 100%, $E$9)</f>
        <v>28.101199999999999</v>
      </c>
      <c r="I517" s="14">
        <f>CHOOSE(CONTROL!$C$42, 28.1018, 28.1018)* CHOOSE(CONTROL!$C$21, $C$9, 100%, $E$9)</f>
        <v>28.101800000000001</v>
      </c>
      <c r="J517" s="14">
        <f>CHOOSE(CONTROL!$C$42, 27.9868, 27.9868)* CHOOSE(CONTROL!$C$21, $C$9, 100%, $E$9)</f>
        <v>27.986799999999999</v>
      </c>
      <c r="K517" s="53">
        <f>CHOOSE(CONTROL!$C$42, 28.0979, 28.0979) * CHOOSE(CONTROL!$C$21, $C$9, 100%, $E$9)</f>
        <v>28.097899999999999</v>
      </c>
      <c r="L517" s="14">
        <f>CHOOSE(CONTROL!$C$42, 28.6882, 28.6882) * CHOOSE(CONTROL!$C$21, $C$9, 100%, $E$9)</f>
        <v>28.688199999999998</v>
      </c>
      <c r="M517" s="14">
        <f>CHOOSE(CONTROL!$C$42, 27.4211, 27.4211) * CHOOSE(CONTROL!$C$21, $C$9, 100%, $E$9)</f>
        <v>27.421099999999999</v>
      </c>
      <c r="N517" s="14">
        <f>CHOOSE(CONTROL!$C$42, 27.4362, 27.4362) * CHOOSE(CONTROL!$C$21, $C$9, 100%, $E$9)</f>
        <v>27.436199999999999</v>
      </c>
      <c r="O517" s="14">
        <f>CHOOSE(CONTROL!$C$42, 27.5332, 27.5332) * CHOOSE(CONTROL!$C$21, $C$9, 100%, $E$9)</f>
        <v>27.533200000000001</v>
      </c>
      <c r="P517" s="14">
        <f>CHOOSE(CONTROL!$C$42, 27.532, 27.532) * CHOOSE(CONTROL!$C$21, $C$9, 100%, $E$9)</f>
        <v>27.532</v>
      </c>
      <c r="Q517" s="14">
        <f>CHOOSE(CONTROL!$C$42, 28.1279, 28.1279) * CHOOSE(CONTROL!$C$21, $C$9, 100%, $E$9)</f>
        <v>28.1279</v>
      </c>
      <c r="R517" s="14">
        <f>CHOOSE(CONTROL!$C$42, 28.7852, 28.7852) * CHOOSE(CONTROL!$C$21, $C$9, 100%, $E$9)</f>
        <v>28.7852</v>
      </c>
      <c r="S517" s="14">
        <f>CHOOSE(CONTROL!$C$42, 26.9029, 26.9029) * CHOOSE(CONTROL!$C$21, $C$9, 100%, $E$9)</f>
        <v>26.902899999999999</v>
      </c>
      <c r="T51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17" s="57">
        <f>(1000*CHOOSE(CONTROL!$C$42, 695, 695)*CHOOSE(CONTROL!$C$42, 0.5599, 0.5599)*CHOOSE(CONTROL!$C$42, 31, 31))/1000000</f>
        <v>12.063045499999998</v>
      </c>
      <c r="V517" s="57">
        <f>(1000*CHOOSE(CONTROL!$C$42, 500, 500)*CHOOSE(CONTROL!$C$42, 0.275, 0.275)*CHOOSE(CONTROL!$C$42, 31, 31))/1000000</f>
        <v>4.2625000000000002</v>
      </c>
      <c r="W517" s="57">
        <f>(1000*CHOOSE(CONTROL!$C$42, 0.1146, 0.1146)*CHOOSE(CONTROL!$C$42, 121.5, 121.5)*CHOOSE(CONTROL!$C$42, 31, 31))/1000000</f>
        <v>0.43164089999999994</v>
      </c>
      <c r="X517" s="57">
        <f>(31*0.1790888*100000/1000000)+(31*0.2374*100000/1000000)</f>
        <v>1.2911152800000001</v>
      </c>
      <c r="Y517" s="57"/>
      <c r="Z517" s="14"/>
      <c r="AA517" s="56"/>
      <c r="AB517" s="50">
        <f>(B517*122.58+C517*297.941+D517*89.177+E517*40.302+F517*40+G517*160+H517*0+I517*100+J517*300)/(122.58+297.941+89.177+40.302+0+40+160+100+300)</f>
        <v>28.020125046782606</v>
      </c>
      <c r="AC517" s="45">
        <f>(M517*'RAP TEMPLATE-GAS AVAILABILITY'!O516+N517*'RAP TEMPLATE-GAS AVAILABILITY'!P516+O517*'RAP TEMPLATE-GAS AVAILABILITY'!Q516+P517*'RAP TEMPLATE-GAS AVAILABILITY'!R516)/('RAP TEMPLATE-GAS AVAILABILITY'!O516+'RAP TEMPLATE-GAS AVAILABILITY'!P516+'RAP TEMPLATE-GAS AVAILABILITY'!Q516+'RAP TEMPLATE-GAS AVAILABILITY'!R516)</f>
        <v>27.488733812949636</v>
      </c>
    </row>
    <row r="518" spans="1:29" ht="15.75" x14ac:dyDescent="0.25">
      <c r="A518" s="32">
        <v>56673</v>
      </c>
      <c r="B518" s="14">
        <f>CHOOSE(CONTROL!$C$42, 28.5048, 28.5048) * CHOOSE(CONTROL!$C$21, $C$9, 100%, $E$9)</f>
        <v>28.504799999999999</v>
      </c>
      <c r="C518" s="14">
        <f>CHOOSE(CONTROL!$C$42, 28.5099, 28.5099) * CHOOSE(CONTROL!$C$21, $C$9, 100%, $E$9)</f>
        <v>28.509899999999998</v>
      </c>
      <c r="D518" s="14">
        <f>CHOOSE(CONTROL!$C$42, 28.5763, 28.5763) * CHOOSE(CONTROL!$C$21, $C$9, 100%, $E$9)</f>
        <v>28.5763</v>
      </c>
      <c r="E518" s="14">
        <f>CHOOSE(CONTROL!$C$42, 28.6104, 28.6104) * CHOOSE(CONTROL!$C$21, $C$9, 100%, $E$9)</f>
        <v>28.610399999999998</v>
      </c>
      <c r="F518" s="14">
        <f>CHOOSE(CONTROL!$C$42, 28.4923, 28.4923)*CHOOSE(CONTROL!$C$21, $C$9, 100%, $E$9)</f>
        <v>28.4923</v>
      </c>
      <c r="G518" s="14">
        <f>CHOOSE(CONTROL!$C$42, 28.5077, 28.5077)*CHOOSE(CONTROL!$C$21, $C$9, 100%, $E$9)</f>
        <v>28.5077</v>
      </c>
      <c r="H518" s="14">
        <f>CHOOSE(CONTROL!$C$42, 28.5996, 28.5996) * CHOOSE(CONTROL!$C$21, $C$9, 100%, $E$9)</f>
        <v>28.599599999999999</v>
      </c>
      <c r="I518" s="14">
        <f>CHOOSE(CONTROL!$C$42, 28.6017, 28.6017)* CHOOSE(CONTROL!$C$21, $C$9, 100%, $E$9)</f>
        <v>28.601700000000001</v>
      </c>
      <c r="J518" s="14">
        <f>CHOOSE(CONTROL!$C$42, 28.4853, 28.4853)* CHOOSE(CONTROL!$C$21, $C$9, 100%, $E$9)</f>
        <v>28.485299999999999</v>
      </c>
      <c r="K518" s="53">
        <f>CHOOSE(CONTROL!$C$42, 28.5979, 28.5979) * CHOOSE(CONTROL!$C$21, $C$9, 100%, $E$9)</f>
        <v>28.597899999999999</v>
      </c>
      <c r="L518" s="14">
        <f>CHOOSE(CONTROL!$C$42, 29.1866, 29.1866) * CHOOSE(CONTROL!$C$21, $C$9, 100%, $E$9)</f>
        <v>29.186599999999999</v>
      </c>
      <c r="M518" s="14">
        <f>CHOOSE(CONTROL!$C$42, 27.9093, 27.9093) * CHOOSE(CONTROL!$C$21, $C$9, 100%, $E$9)</f>
        <v>27.909300000000002</v>
      </c>
      <c r="N518" s="14">
        <f>CHOOSE(CONTROL!$C$42, 27.9245, 27.9245) * CHOOSE(CONTROL!$C$21, $C$9, 100%, $E$9)</f>
        <v>27.924499999999998</v>
      </c>
      <c r="O518" s="14">
        <f>CHOOSE(CONTROL!$C$42, 28.0213, 28.0213) * CHOOSE(CONTROL!$C$21, $C$9, 100%, $E$9)</f>
        <v>28.0213</v>
      </c>
      <c r="P518" s="14">
        <f>CHOOSE(CONTROL!$C$42, 28.0217, 28.0217) * CHOOSE(CONTROL!$C$21, $C$9, 100%, $E$9)</f>
        <v>28.021699999999999</v>
      </c>
      <c r="Q518" s="14">
        <f>CHOOSE(CONTROL!$C$42, 28.616, 28.616) * CHOOSE(CONTROL!$C$21, $C$9, 100%, $E$9)</f>
        <v>28.616</v>
      </c>
      <c r="R518" s="14">
        <f>CHOOSE(CONTROL!$C$42, 29.2746, 29.2746) * CHOOSE(CONTROL!$C$21, $C$9, 100%, $E$9)</f>
        <v>29.2746</v>
      </c>
      <c r="S518" s="14">
        <f>CHOOSE(CONTROL!$C$42, 27.3818, 27.3818) * CHOOSE(CONTROL!$C$21, $C$9, 100%, $E$9)</f>
        <v>27.381799999999998</v>
      </c>
      <c r="T51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18" s="57">
        <f>(1000*CHOOSE(CONTROL!$C$42, 695, 695)*CHOOSE(CONTROL!$C$42, 0.5599, 0.5599)*CHOOSE(CONTROL!$C$42, 28, 28))/1000000</f>
        <v>10.895653999999999</v>
      </c>
      <c r="V518" s="57">
        <f>(1000*CHOOSE(CONTROL!$C$42, 500, 500)*CHOOSE(CONTROL!$C$42, 0.275, 0.275)*CHOOSE(CONTROL!$C$42, 28, 28))/1000000</f>
        <v>3.85</v>
      </c>
      <c r="W518" s="57">
        <f>(1000*CHOOSE(CONTROL!$C$42, 0.1146, 0.1146)*CHOOSE(CONTROL!$C$42, 121.5, 121.5)*CHOOSE(CONTROL!$C$42, 28, 28))/1000000</f>
        <v>0.38986920000000003</v>
      </c>
      <c r="X518" s="57">
        <f>(28*0.1790888*100000/1000000)+(28*0.2374*100000/1000000)</f>
        <v>1.16616864</v>
      </c>
      <c r="Y518" s="57"/>
      <c r="Z518" s="14"/>
      <c r="AA518" s="56"/>
      <c r="AB518" s="50">
        <f>(B518*122.58+C518*297.941+D518*89.177+E518*40.302+F518*40+G518*160+H518*0+I518*100+J518*300)/(122.58+297.941+89.177+40.302+0+40+160+100+300)</f>
        <v>28.518674387652172</v>
      </c>
      <c r="AC518" s="45">
        <f>(M518*'RAP TEMPLATE-GAS AVAILABILITY'!O517+N518*'RAP TEMPLATE-GAS AVAILABILITY'!P517+O518*'RAP TEMPLATE-GAS AVAILABILITY'!Q517+P518*'RAP TEMPLATE-GAS AVAILABILITY'!R517)/('RAP TEMPLATE-GAS AVAILABILITY'!O517+'RAP TEMPLATE-GAS AVAILABILITY'!P517+'RAP TEMPLATE-GAS AVAILABILITY'!Q517+'RAP TEMPLATE-GAS AVAILABILITY'!R517)</f>
        <v>27.977110071942448</v>
      </c>
    </row>
    <row r="519" spans="1:29" ht="15.75" x14ac:dyDescent="0.25">
      <c r="A519" s="32">
        <v>56704</v>
      </c>
      <c r="B519" s="14">
        <f>CHOOSE(CONTROL!$C$42, 27.6959, 27.6959) * CHOOSE(CONTROL!$C$21, $C$9, 100%, $E$9)</f>
        <v>27.695900000000002</v>
      </c>
      <c r="C519" s="14">
        <f>CHOOSE(CONTROL!$C$42, 27.7009, 27.7009) * CHOOSE(CONTROL!$C$21, $C$9, 100%, $E$9)</f>
        <v>27.700900000000001</v>
      </c>
      <c r="D519" s="14">
        <f>CHOOSE(CONTROL!$C$42, 27.7673, 27.7673) * CHOOSE(CONTROL!$C$21, $C$9, 100%, $E$9)</f>
        <v>27.767299999999999</v>
      </c>
      <c r="E519" s="14">
        <f>CHOOSE(CONTROL!$C$42, 27.8014, 27.8014) * CHOOSE(CONTROL!$C$21, $C$9, 100%, $E$9)</f>
        <v>27.801400000000001</v>
      </c>
      <c r="F519" s="14">
        <f>CHOOSE(CONTROL!$C$42, 27.6829, 27.6829)*CHOOSE(CONTROL!$C$21, $C$9, 100%, $E$9)</f>
        <v>27.6829</v>
      </c>
      <c r="G519" s="14">
        <f>CHOOSE(CONTROL!$C$42, 27.6982, 27.6982)*CHOOSE(CONTROL!$C$21, $C$9, 100%, $E$9)</f>
        <v>27.6982</v>
      </c>
      <c r="H519" s="14">
        <f>CHOOSE(CONTROL!$C$42, 27.7906, 27.7906) * CHOOSE(CONTROL!$C$21, $C$9, 100%, $E$9)</f>
        <v>27.790600000000001</v>
      </c>
      <c r="I519" s="14">
        <f>CHOOSE(CONTROL!$C$42, 27.7902, 27.7902)* CHOOSE(CONTROL!$C$21, $C$9, 100%, $E$9)</f>
        <v>27.790199999999999</v>
      </c>
      <c r="J519" s="14">
        <f>CHOOSE(CONTROL!$C$42, 27.6759, 27.6759)* CHOOSE(CONTROL!$C$21, $C$9, 100%, $E$9)</f>
        <v>27.675899999999999</v>
      </c>
      <c r="K519" s="53">
        <f>CHOOSE(CONTROL!$C$42, 27.7863, 27.7863) * CHOOSE(CONTROL!$C$21, $C$9, 100%, $E$9)</f>
        <v>27.786300000000001</v>
      </c>
      <c r="L519" s="14">
        <f>CHOOSE(CONTROL!$C$42, 28.3776, 28.3776) * CHOOSE(CONTROL!$C$21, $C$9, 100%, $E$9)</f>
        <v>28.377600000000001</v>
      </c>
      <c r="M519" s="14">
        <f>CHOOSE(CONTROL!$C$42, 27.1165, 27.1165) * CHOOSE(CONTROL!$C$21, $C$9, 100%, $E$9)</f>
        <v>27.116499999999998</v>
      </c>
      <c r="N519" s="14">
        <f>CHOOSE(CONTROL!$C$42, 27.1316, 27.1316) * CHOOSE(CONTROL!$C$21, $C$9, 100%, $E$9)</f>
        <v>27.131599999999999</v>
      </c>
      <c r="O519" s="14">
        <f>CHOOSE(CONTROL!$C$42, 27.2289, 27.2289) * CHOOSE(CONTROL!$C$21, $C$9, 100%, $E$9)</f>
        <v>27.228899999999999</v>
      </c>
      <c r="P519" s="14">
        <f>CHOOSE(CONTROL!$C$42, 27.2268, 27.2268) * CHOOSE(CONTROL!$C$21, $C$9, 100%, $E$9)</f>
        <v>27.226800000000001</v>
      </c>
      <c r="Q519" s="14">
        <f>CHOOSE(CONTROL!$C$42, 27.8236, 27.8236) * CHOOSE(CONTROL!$C$21, $C$9, 100%, $E$9)</f>
        <v>27.823599999999999</v>
      </c>
      <c r="R519" s="14">
        <f>CHOOSE(CONTROL!$C$42, 28.4802, 28.4802) * CHOOSE(CONTROL!$C$21, $C$9, 100%, $E$9)</f>
        <v>28.4802</v>
      </c>
      <c r="S519" s="14">
        <f>CHOOSE(CONTROL!$C$42, 26.6044, 26.6044) * CHOOSE(CONTROL!$C$21, $C$9, 100%, $E$9)</f>
        <v>26.604399999999998</v>
      </c>
      <c r="T51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19" s="57">
        <f>(1000*CHOOSE(CONTROL!$C$42, 695, 695)*CHOOSE(CONTROL!$C$42, 0.5599, 0.5599)*CHOOSE(CONTROL!$C$42, 31, 31))/1000000</f>
        <v>12.063045499999998</v>
      </c>
      <c r="V519" s="57">
        <f>(1000*CHOOSE(CONTROL!$C$42, 500, 500)*CHOOSE(CONTROL!$C$42, 0.275, 0.275)*CHOOSE(CONTROL!$C$42, 31, 31))/1000000</f>
        <v>4.2625000000000002</v>
      </c>
      <c r="W519" s="57">
        <f>(1000*CHOOSE(CONTROL!$C$42, 0.1146, 0.1146)*CHOOSE(CONTROL!$C$42, 121.5, 121.5)*CHOOSE(CONTROL!$C$42, 31, 31))/1000000</f>
        <v>0.43164089999999994</v>
      </c>
      <c r="X519" s="57">
        <f>(31*0.1790888*100000/1000000)+(31*0.2374*100000/1000000)</f>
        <v>1.2911152800000001</v>
      </c>
      <c r="Y519" s="57"/>
      <c r="Z519" s="14"/>
      <c r="AA519" s="56"/>
      <c r="AB519" s="50">
        <f>(B519*122.58+C519*297.941+D519*89.177+E519*40.302+F519*40+G519*160+H519*0+I519*100+J519*300)/(122.58+297.941+89.177+40.302+0+40+160+100+300)</f>
        <v>27.709279829391306</v>
      </c>
      <c r="AC519" s="45">
        <f>(M519*'RAP TEMPLATE-GAS AVAILABILITY'!O518+N519*'RAP TEMPLATE-GAS AVAILABILITY'!P518+O519*'RAP TEMPLATE-GAS AVAILABILITY'!Q518+P519*'RAP TEMPLATE-GAS AVAILABILITY'!R518)/('RAP TEMPLATE-GAS AVAILABILITY'!O518+'RAP TEMPLATE-GAS AVAILABILITY'!P518+'RAP TEMPLATE-GAS AVAILABILITY'!Q518+'RAP TEMPLATE-GAS AVAILABILITY'!R518)</f>
        <v>27.184183453237409</v>
      </c>
    </row>
    <row r="520" spans="1:29" ht="15.75" x14ac:dyDescent="0.25">
      <c r="A520" s="32">
        <v>56734</v>
      </c>
      <c r="B520" s="14">
        <f>CHOOSE(CONTROL!$C$42, 27.6141, 27.6141) * CHOOSE(CONTROL!$C$21, $C$9, 100%, $E$9)</f>
        <v>27.614100000000001</v>
      </c>
      <c r="C520" s="14">
        <f>CHOOSE(CONTROL!$C$42, 27.6186, 27.6186) * CHOOSE(CONTROL!$C$21, $C$9, 100%, $E$9)</f>
        <v>27.618600000000001</v>
      </c>
      <c r="D520" s="14">
        <f>CHOOSE(CONTROL!$C$42, 27.8257, 27.8257) * CHOOSE(CONTROL!$C$21, $C$9, 100%, $E$9)</f>
        <v>27.825700000000001</v>
      </c>
      <c r="E520" s="14">
        <f>CHOOSE(CONTROL!$C$42, 27.8578, 27.8578) * CHOOSE(CONTROL!$C$21, $C$9, 100%, $E$9)</f>
        <v>27.857800000000001</v>
      </c>
      <c r="F520" s="14">
        <f>CHOOSE(CONTROL!$C$42, 27.596, 27.596)*CHOOSE(CONTROL!$C$21, $C$9, 100%, $E$9)</f>
        <v>27.596</v>
      </c>
      <c r="G520" s="14">
        <f>CHOOSE(CONTROL!$C$42, 27.6112, 27.6112)*CHOOSE(CONTROL!$C$21, $C$9, 100%, $E$9)</f>
        <v>27.6112</v>
      </c>
      <c r="H520" s="14">
        <f>CHOOSE(CONTROL!$C$42, 27.8476, 27.8476) * CHOOSE(CONTROL!$C$21, $C$9, 100%, $E$9)</f>
        <v>27.8476</v>
      </c>
      <c r="I520" s="14">
        <f>CHOOSE(CONTROL!$C$42, 27.7075, 27.7075)* CHOOSE(CONTROL!$C$21, $C$9, 100%, $E$9)</f>
        <v>27.7075</v>
      </c>
      <c r="J520" s="14">
        <f>CHOOSE(CONTROL!$C$42, 27.589, 27.589)* CHOOSE(CONTROL!$C$21, $C$9, 100%, $E$9)</f>
        <v>27.588999999999999</v>
      </c>
      <c r="K520" s="53">
        <f>CHOOSE(CONTROL!$C$42, 27.7036, 27.7036) * CHOOSE(CONTROL!$C$21, $C$9, 100%, $E$9)</f>
        <v>27.703600000000002</v>
      </c>
      <c r="L520" s="14">
        <f>CHOOSE(CONTROL!$C$42, 28.4346, 28.4346) * CHOOSE(CONTROL!$C$21, $C$9, 100%, $E$9)</f>
        <v>28.4346</v>
      </c>
      <c r="M520" s="14">
        <f>CHOOSE(CONTROL!$C$42, 27.0314, 27.0314) * CHOOSE(CONTROL!$C$21, $C$9, 100%, $E$9)</f>
        <v>27.031400000000001</v>
      </c>
      <c r="N520" s="14">
        <f>CHOOSE(CONTROL!$C$42, 27.0463, 27.0463) * CHOOSE(CONTROL!$C$21, $C$9, 100%, $E$9)</f>
        <v>27.046299999999999</v>
      </c>
      <c r="O520" s="14">
        <f>CHOOSE(CONTROL!$C$42, 27.2847, 27.2847) * CHOOSE(CONTROL!$C$21, $C$9, 100%, $E$9)</f>
        <v>27.284700000000001</v>
      </c>
      <c r="P520" s="14">
        <f>CHOOSE(CONTROL!$C$42, 27.1458, 27.1458) * CHOOSE(CONTROL!$C$21, $C$9, 100%, $E$9)</f>
        <v>27.145800000000001</v>
      </c>
      <c r="Q520" s="14">
        <f>CHOOSE(CONTROL!$C$42, 27.8794, 27.8794) * CHOOSE(CONTROL!$C$21, $C$9, 100%, $E$9)</f>
        <v>27.8794</v>
      </c>
      <c r="R520" s="14">
        <f>CHOOSE(CONTROL!$C$42, 28.5361, 28.5361) * CHOOSE(CONTROL!$C$21, $C$9, 100%, $E$9)</f>
        <v>28.536100000000001</v>
      </c>
      <c r="S520" s="14">
        <f>CHOOSE(CONTROL!$C$42, 26.5251, 26.5251) * CHOOSE(CONTROL!$C$21, $C$9, 100%, $E$9)</f>
        <v>26.525099999999998</v>
      </c>
      <c r="T52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20" s="57">
        <f>(1000*CHOOSE(CONTROL!$C$42, 695, 695)*CHOOSE(CONTROL!$C$42, 0.5599, 0.5599)*CHOOSE(CONTROL!$C$42, 30, 30))/1000000</f>
        <v>11.673914999999997</v>
      </c>
      <c r="V520" s="57">
        <f>(1000*CHOOSE(CONTROL!$C$42, 500, 500)*CHOOSE(CONTROL!$C$42, 0.275, 0.275)*CHOOSE(CONTROL!$C$42, 30, 30))/1000000</f>
        <v>4.125</v>
      </c>
      <c r="W520" s="57">
        <f>(1000*CHOOSE(CONTROL!$C$42, 0.1146, 0.1146)*CHOOSE(CONTROL!$C$42, 121.5, 121.5)*CHOOSE(CONTROL!$C$42, 30, 30))/1000000</f>
        <v>0.417717</v>
      </c>
      <c r="X520" s="57">
        <f>(30*0.1790888*245000/1000000)+(30*0.2374*100000/1000000)</f>
        <v>2.0285026799999999</v>
      </c>
      <c r="Y520" s="57"/>
      <c r="Z520" s="14"/>
      <c r="AA520" s="56"/>
      <c r="AB520" s="50">
        <f>(B520*141.293+C520*267.993+D520*115.016+E520*89.698+F520*40+G520*185+H520*0+I520*100+J520*300)/(141.293+267.993+115.016+89.698+0+40+185+100+300)</f>
        <v>27.652802386359969</v>
      </c>
      <c r="AC520" s="45">
        <f>(M520*'RAP TEMPLATE-GAS AVAILABILITY'!O519+N520*'RAP TEMPLATE-GAS AVAILABILITY'!P519+O520*'RAP TEMPLATE-GAS AVAILABILITY'!Q519+P520*'RAP TEMPLATE-GAS AVAILABILITY'!R519)/('RAP TEMPLATE-GAS AVAILABILITY'!O519+'RAP TEMPLATE-GAS AVAILABILITY'!P519+'RAP TEMPLATE-GAS AVAILABILITY'!Q519+'RAP TEMPLATE-GAS AVAILABILITY'!R519)</f>
        <v>27.122360431654673</v>
      </c>
    </row>
    <row r="521" spans="1:29" ht="15.75" x14ac:dyDescent="0.25">
      <c r="A521" s="32">
        <v>56765</v>
      </c>
      <c r="B521" s="14">
        <f>CHOOSE(CONTROL!$C$42, 27.8592, 27.8592) * CHOOSE(CONTROL!$C$21, $C$9, 100%, $E$9)</f>
        <v>27.859200000000001</v>
      </c>
      <c r="C521" s="14">
        <f>CHOOSE(CONTROL!$C$42, 27.8672, 27.8672) * CHOOSE(CONTROL!$C$21, $C$9, 100%, $E$9)</f>
        <v>27.8672</v>
      </c>
      <c r="D521" s="14">
        <f>CHOOSE(CONTROL!$C$42, 28.0711, 28.0711) * CHOOSE(CONTROL!$C$21, $C$9, 100%, $E$9)</f>
        <v>28.071100000000001</v>
      </c>
      <c r="E521" s="14">
        <f>CHOOSE(CONTROL!$C$42, 28.1026, 28.1026) * CHOOSE(CONTROL!$C$21, $C$9, 100%, $E$9)</f>
        <v>28.102599999999999</v>
      </c>
      <c r="F521" s="14">
        <f>CHOOSE(CONTROL!$C$42, 27.8399, 27.8399)*CHOOSE(CONTROL!$C$21, $C$9, 100%, $E$9)</f>
        <v>27.8399</v>
      </c>
      <c r="G521" s="14">
        <f>CHOOSE(CONTROL!$C$42, 27.8556, 27.8556)*CHOOSE(CONTROL!$C$21, $C$9, 100%, $E$9)</f>
        <v>27.855599999999999</v>
      </c>
      <c r="H521" s="14">
        <f>CHOOSE(CONTROL!$C$42, 28.0912, 28.0912) * CHOOSE(CONTROL!$C$21, $C$9, 100%, $E$9)</f>
        <v>28.091200000000001</v>
      </c>
      <c r="I521" s="14">
        <f>CHOOSE(CONTROL!$C$42, 27.9518, 27.9518)* CHOOSE(CONTROL!$C$21, $C$9, 100%, $E$9)</f>
        <v>27.951799999999999</v>
      </c>
      <c r="J521" s="14">
        <f>CHOOSE(CONTROL!$C$42, 27.8329, 27.8329)* CHOOSE(CONTROL!$C$21, $C$9, 100%, $E$9)</f>
        <v>27.832899999999999</v>
      </c>
      <c r="K521" s="53">
        <f>CHOOSE(CONTROL!$C$42, 27.948, 27.948) * CHOOSE(CONTROL!$C$21, $C$9, 100%, $E$9)</f>
        <v>27.948</v>
      </c>
      <c r="L521" s="14">
        <f>CHOOSE(CONTROL!$C$42, 28.6782, 28.6782) * CHOOSE(CONTROL!$C$21, $C$9, 100%, $E$9)</f>
        <v>28.6782</v>
      </c>
      <c r="M521" s="14">
        <f>CHOOSE(CONTROL!$C$42, 27.2703, 27.2703) * CHOOSE(CONTROL!$C$21, $C$9, 100%, $E$9)</f>
        <v>27.270299999999999</v>
      </c>
      <c r="N521" s="14">
        <f>CHOOSE(CONTROL!$C$42, 27.2856, 27.2856) * CHOOSE(CONTROL!$C$21, $C$9, 100%, $E$9)</f>
        <v>27.285599999999999</v>
      </c>
      <c r="O521" s="14">
        <f>CHOOSE(CONTROL!$C$42, 27.5233, 27.5233) * CHOOSE(CONTROL!$C$21, $C$9, 100%, $E$9)</f>
        <v>27.523299999999999</v>
      </c>
      <c r="P521" s="14">
        <f>CHOOSE(CONTROL!$C$42, 27.3851, 27.3851) * CHOOSE(CONTROL!$C$21, $C$9, 100%, $E$9)</f>
        <v>27.385100000000001</v>
      </c>
      <c r="Q521" s="14">
        <f>CHOOSE(CONTROL!$C$42, 28.118, 28.118) * CHOOSE(CONTROL!$C$21, $C$9, 100%, $E$9)</f>
        <v>28.117999999999999</v>
      </c>
      <c r="R521" s="14">
        <f>CHOOSE(CONTROL!$C$42, 28.7753, 28.7753) * CHOOSE(CONTROL!$C$21, $C$9, 100%, $E$9)</f>
        <v>28.775300000000001</v>
      </c>
      <c r="S521" s="14">
        <f>CHOOSE(CONTROL!$C$42, 26.7592, 26.7592) * CHOOSE(CONTROL!$C$21, $C$9, 100%, $E$9)</f>
        <v>26.7592</v>
      </c>
      <c r="T52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21" s="57">
        <f>(1000*CHOOSE(CONTROL!$C$42, 695, 695)*CHOOSE(CONTROL!$C$42, 0.5599, 0.5599)*CHOOSE(CONTROL!$C$42, 31, 31))/1000000</f>
        <v>12.063045499999998</v>
      </c>
      <c r="V521" s="57">
        <f>(1000*CHOOSE(CONTROL!$C$42, 500, 500)*CHOOSE(CONTROL!$C$42, 0.275, 0.275)*CHOOSE(CONTROL!$C$42, 31, 31))/1000000</f>
        <v>4.2625000000000002</v>
      </c>
      <c r="W521" s="57">
        <f>(1000*CHOOSE(CONTROL!$C$42, 0.1146, 0.1146)*CHOOSE(CONTROL!$C$42, 121.5, 121.5)*CHOOSE(CONTROL!$C$42, 31, 31))/1000000</f>
        <v>0.43164089999999994</v>
      </c>
      <c r="X521" s="57">
        <f>(31*0.1790888*245000/1000000)+(31*0.2374*100000/1000000)</f>
        <v>2.0961194359999999</v>
      </c>
      <c r="Y521" s="57"/>
      <c r="Z521" s="14"/>
      <c r="AA521" s="56"/>
      <c r="AB521" s="50">
        <f>(B521*194.205+C521*267.466+D521*133.845+E521*53.484+F521*40+G521*185+H521*0+I521*100+J521*300)/(194.205+267.466+133.845+53.484+0+40+185+100+300)</f>
        <v>27.893306349372061</v>
      </c>
      <c r="AC521" s="45">
        <f>(M521*'RAP TEMPLATE-GAS AVAILABILITY'!O520+N521*'RAP TEMPLATE-GAS AVAILABILITY'!P520+O521*'RAP TEMPLATE-GAS AVAILABILITY'!Q520+P521*'RAP TEMPLATE-GAS AVAILABILITY'!R520)/('RAP TEMPLATE-GAS AVAILABILITY'!O520+'RAP TEMPLATE-GAS AVAILABILITY'!P520+'RAP TEMPLATE-GAS AVAILABILITY'!Q520+'RAP TEMPLATE-GAS AVAILABILITY'!R520)</f>
        <v>27.361325899280576</v>
      </c>
    </row>
    <row r="522" spans="1:29" ht="15.75" x14ac:dyDescent="0.25">
      <c r="A522" s="32">
        <v>56795</v>
      </c>
      <c r="B522" s="14">
        <f>CHOOSE(CONTROL!$C$42, 28.6491, 28.6491) * CHOOSE(CONTROL!$C$21, $C$9, 100%, $E$9)</f>
        <v>28.649100000000001</v>
      </c>
      <c r="C522" s="14">
        <f>CHOOSE(CONTROL!$C$42, 28.6571, 28.6571) * CHOOSE(CONTROL!$C$21, $C$9, 100%, $E$9)</f>
        <v>28.6571</v>
      </c>
      <c r="D522" s="14">
        <f>CHOOSE(CONTROL!$C$42, 28.861, 28.861) * CHOOSE(CONTROL!$C$21, $C$9, 100%, $E$9)</f>
        <v>28.861000000000001</v>
      </c>
      <c r="E522" s="14">
        <f>CHOOSE(CONTROL!$C$42, 28.8925, 28.8925) * CHOOSE(CONTROL!$C$21, $C$9, 100%, $E$9)</f>
        <v>28.892499999999998</v>
      </c>
      <c r="F522" s="14">
        <f>CHOOSE(CONTROL!$C$42, 28.6302, 28.6302)*CHOOSE(CONTROL!$C$21, $C$9, 100%, $E$9)</f>
        <v>28.630199999999999</v>
      </c>
      <c r="G522" s="14">
        <f>CHOOSE(CONTROL!$C$42, 28.646, 28.646)*CHOOSE(CONTROL!$C$21, $C$9, 100%, $E$9)</f>
        <v>28.646000000000001</v>
      </c>
      <c r="H522" s="14">
        <f>CHOOSE(CONTROL!$C$42, 28.8811, 28.8811) * CHOOSE(CONTROL!$C$21, $C$9, 100%, $E$9)</f>
        <v>28.8811</v>
      </c>
      <c r="I522" s="14">
        <f>CHOOSE(CONTROL!$C$42, 28.7442, 28.7442)* CHOOSE(CONTROL!$C$21, $C$9, 100%, $E$9)</f>
        <v>28.744199999999999</v>
      </c>
      <c r="J522" s="14">
        <f>CHOOSE(CONTROL!$C$42, 28.6232, 28.6232)* CHOOSE(CONTROL!$C$21, $C$9, 100%, $E$9)</f>
        <v>28.623200000000001</v>
      </c>
      <c r="K522" s="53">
        <f>CHOOSE(CONTROL!$C$42, 28.7403, 28.7403) * CHOOSE(CONTROL!$C$21, $C$9, 100%, $E$9)</f>
        <v>28.740300000000001</v>
      </c>
      <c r="L522" s="14">
        <f>CHOOSE(CONTROL!$C$42, 29.4681, 29.4681) * CHOOSE(CONTROL!$C$21, $C$9, 100%, $E$9)</f>
        <v>29.4681</v>
      </c>
      <c r="M522" s="14">
        <f>CHOOSE(CONTROL!$C$42, 28.0445, 28.0445) * CHOOSE(CONTROL!$C$21, $C$9, 100%, $E$9)</f>
        <v>28.044499999999999</v>
      </c>
      <c r="N522" s="14">
        <f>CHOOSE(CONTROL!$C$42, 28.0599, 28.0599) * CHOOSE(CONTROL!$C$21, $C$9, 100%, $E$9)</f>
        <v>28.059899999999999</v>
      </c>
      <c r="O522" s="14">
        <f>CHOOSE(CONTROL!$C$42, 28.2971, 28.2971) * CHOOSE(CONTROL!$C$21, $C$9, 100%, $E$9)</f>
        <v>28.2971</v>
      </c>
      <c r="P522" s="14">
        <f>CHOOSE(CONTROL!$C$42, 28.1613, 28.1613) * CHOOSE(CONTROL!$C$21, $C$9, 100%, $E$9)</f>
        <v>28.161300000000001</v>
      </c>
      <c r="Q522" s="14">
        <f>CHOOSE(CONTROL!$C$42, 28.8918, 28.8918) * CHOOSE(CONTROL!$C$21, $C$9, 100%, $E$9)</f>
        <v>28.8918</v>
      </c>
      <c r="R522" s="14">
        <f>CHOOSE(CONTROL!$C$42, 29.551, 29.551) * CHOOSE(CONTROL!$C$21, $C$9, 100%, $E$9)</f>
        <v>29.550999999999998</v>
      </c>
      <c r="S522" s="14">
        <f>CHOOSE(CONTROL!$C$42, 27.5183, 27.5183) * CHOOSE(CONTROL!$C$21, $C$9, 100%, $E$9)</f>
        <v>27.5183</v>
      </c>
      <c r="T52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22" s="57">
        <f>(1000*CHOOSE(CONTROL!$C$42, 695, 695)*CHOOSE(CONTROL!$C$42, 0.5599, 0.5599)*CHOOSE(CONTROL!$C$42, 30, 30))/1000000</f>
        <v>11.673914999999997</v>
      </c>
      <c r="V522" s="57">
        <f>(1000*CHOOSE(CONTROL!$C$42, 500, 500)*CHOOSE(CONTROL!$C$42, 0.275, 0.275)*CHOOSE(CONTROL!$C$42, 30, 30))/1000000</f>
        <v>4.125</v>
      </c>
      <c r="W522" s="57">
        <f>(1000*CHOOSE(CONTROL!$C$42, 0.1146, 0.1146)*CHOOSE(CONTROL!$C$42, 121.5, 121.5)*CHOOSE(CONTROL!$C$42, 30, 30))/1000000</f>
        <v>0.417717</v>
      </c>
      <c r="X522" s="57">
        <f>(30*0.1790888*245000/1000000)+(30*0.2374*100000/1000000)</f>
        <v>2.0285026799999999</v>
      </c>
      <c r="Y522" s="57"/>
      <c r="Z522" s="14"/>
      <c r="AA522" s="56"/>
      <c r="AB522" s="50">
        <f>(B522*194.205+C522*267.466+D522*133.845+E522*53.484+F522*40+G522*185+H522*0+I522*100+J522*300)/(194.205+267.466+133.845+53.484+0+40+185+100+300)</f>
        <v>28.683581938069072</v>
      </c>
      <c r="AC522" s="45">
        <f>(M522*'RAP TEMPLATE-GAS AVAILABILITY'!O521+N522*'RAP TEMPLATE-GAS AVAILABILITY'!P521+O522*'RAP TEMPLATE-GAS AVAILABILITY'!Q521+P522*'RAP TEMPLATE-GAS AVAILABILITY'!R521)/('RAP TEMPLATE-GAS AVAILABILITY'!O521+'RAP TEMPLATE-GAS AVAILABILITY'!P521+'RAP TEMPLATE-GAS AVAILABILITY'!Q521+'RAP TEMPLATE-GAS AVAILABILITY'!R521)</f>
        <v>28.135724460431653</v>
      </c>
    </row>
    <row r="523" spans="1:29" ht="15.75" x14ac:dyDescent="0.25">
      <c r="A523" s="32">
        <v>56826</v>
      </c>
      <c r="B523" s="14">
        <f>CHOOSE(CONTROL!$C$42, 28.0997, 28.0997) * CHOOSE(CONTROL!$C$21, $C$9, 100%, $E$9)</f>
        <v>28.099699999999999</v>
      </c>
      <c r="C523" s="14">
        <f>CHOOSE(CONTROL!$C$42, 28.1077, 28.1077) * CHOOSE(CONTROL!$C$21, $C$9, 100%, $E$9)</f>
        <v>28.107700000000001</v>
      </c>
      <c r="D523" s="14">
        <f>CHOOSE(CONTROL!$C$42, 28.3116, 28.3116) * CHOOSE(CONTROL!$C$21, $C$9, 100%, $E$9)</f>
        <v>28.311599999999999</v>
      </c>
      <c r="E523" s="14">
        <f>CHOOSE(CONTROL!$C$42, 28.3431, 28.3431) * CHOOSE(CONTROL!$C$21, $C$9, 100%, $E$9)</f>
        <v>28.3431</v>
      </c>
      <c r="F523" s="14">
        <f>CHOOSE(CONTROL!$C$42, 28.0813, 28.0813)*CHOOSE(CONTROL!$C$21, $C$9, 100%, $E$9)</f>
        <v>28.081299999999999</v>
      </c>
      <c r="G523" s="14">
        <f>CHOOSE(CONTROL!$C$42, 28.0972, 28.0972)*CHOOSE(CONTROL!$C$21, $C$9, 100%, $E$9)</f>
        <v>28.097200000000001</v>
      </c>
      <c r="H523" s="14">
        <f>CHOOSE(CONTROL!$C$42, 28.3317, 28.3317) * CHOOSE(CONTROL!$C$21, $C$9, 100%, $E$9)</f>
        <v>28.331700000000001</v>
      </c>
      <c r="I523" s="14">
        <f>CHOOSE(CONTROL!$C$42, 28.1931, 28.1931)* CHOOSE(CONTROL!$C$21, $C$9, 100%, $E$9)</f>
        <v>28.193100000000001</v>
      </c>
      <c r="J523" s="14">
        <f>CHOOSE(CONTROL!$C$42, 28.0743, 28.0743)* CHOOSE(CONTROL!$C$21, $C$9, 100%, $E$9)</f>
        <v>28.074300000000001</v>
      </c>
      <c r="K523" s="53">
        <f>CHOOSE(CONTROL!$C$42, 28.1892, 28.1892) * CHOOSE(CONTROL!$C$21, $C$9, 100%, $E$9)</f>
        <v>28.1892</v>
      </c>
      <c r="L523" s="14">
        <f>CHOOSE(CONTROL!$C$42, 28.9187, 28.9187) * CHOOSE(CONTROL!$C$21, $C$9, 100%, $E$9)</f>
        <v>28.918700000000001</v>
      </c>
      <c r="M523" s="14">
        <f>CHOOSE(CONTROL!$C$42, 27.5068, 27.5068) * CHOOSE(CONTROL!$C$21, $C$9, 100%, $E$9)</f>
        <v>27.506799999999998</v>
      </c>
      <c r="N523" s="14">
        <f>CHOOSE(CONTROL!$C$42, 27.5223, 27.5223) * CHOOSE(CONTROL!$C$21, $C$9, 100%, $E$9)</f>
        <v>27.522300000000001</v>
      </c>
      <c r="O523" s="14">
        <f>CHOOSE(CONTROL!$C$42, 27.7589, 27.7589) * CHOOSE(CONTROL!$C$21, $C$9, 100%, $E$9)</f>
        <v>27.758900000000001</v>
      </c>
      <c r="P523" s="14">
        <f>CHOOSE(CONTROL!$C$42, 27.6215, 27.6215) * CHOOSE(CONTROL!$C$21, $C$9, 100%, $E$9)</f>
        <v>27.621500000000001</v>
      </c>
      <c r="Q523" s="14">
        <f>CHOOSE(CONTROL!$C$42, 28.3536, 28.3536) * CHOOSE(CONTROL!$C$21, $C$9, 100%, $E$9)</f>
        <v>28.3536</v>
      </c>
      <c r="R523" s="14">
        <f>CHOOSE(CONTROL!$C$42, 29.0115, 29.0115) * CHOOSE(CONTROL!$C$21, $C$9, 100%, $E$9)</f>
        <v>29.011500000000002</v>
      </c>
      <c r="S523" s="14">
        <f>CHOOSE(CONTROL!$C$42, 26.9903, 26.9903) * CHOOSE(CONTROL!$C$21, $C$9, 100%, $E$9)</f>
        <v>26.990300000000001</v>
      </c>
      <c r="T52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23" s="57">
        <f>(1000*CHOOSE(CONTROL!$C$42, 695, 695)*CHOOSE(CONTROL!$C$42, 0.5599, 0.5599)*CHOOSE(CONTROL!$C$42, 31, 31))/1000000</f>
        <v>12.063045499999998</v>
      </c>
      <c r="V523" s="57">
        <f>(1000*CHOOSE(CONTROL!$C$42, 500, 500)*CHOOSE(CONTROL!$C$42, 0.275, 0.275)*CHOOSE(CONTROL!$C$42, 31, 31))/1000000</f>
        <v>4.2625000000000002</v>
      </c>
      <c r="W523" s="57">
        <f>(1000*CHOOSE(CONTROL!$C$42, 0.1146, 0.1146)*CHOOSE(CONTROL!$C$42, 121.5, 121.5)*CHOOSE(CONTROL!$C$42, 31, 31))/1000000</f>
        <v>0.43164089999999994</v>
      </c>
      <c r="X523" s="57">
        <f>(31*0.1790888*245000/1000000)+(31*0.2374*100000/1000000)</f>
        <v>2.0961194359999999</v>
      </c>
      <c r="Y523" s="57"/>
      <c r="Z523" s="14"/>
      <c r="AA523" s="56"/>
      <c r="AB523" s="50">
        <f>(B523*194.205+C523*267.466+D523*133.845+E523*53.484+F523*40+G523*185+H523*0+I523*100+J523*300)/(194.205+267.466+133.845+53.484+0+40+185+100+300)</f>
        <v>28.134269065227631</v>
      </c>
      <c r="AC523" s="45">
        <f>(M523*'RAP TEMPLATE-GAS AVAILABILITY'!O522+N523*'RAP TEMPLATE-GAS AVAILABILITY'!P522+O523*'RAP TEMPLATE-GAS AVAILABILITY'!Q522+P523*'RAP TEMPLATE-GAS AVAILABILITY'!R522)/('RAP TEMPLATE-GAS AVAILABILITY'!O522+'RAP TEMPLATE-GAS AVAILABILITY'!P522+'RAP TEMPLATE-GAS AVAILABILITY'!Q522+'RAP TEMPLATE-GAS AVAILABILITY'!R522)</f>
        <v>27.597605035971224</v>
      </c>
    </row>
    <row r="524" spans="1:29" ht="15.75" x14ac:dyDescent="0.25">
      <c r="A524" s="32">
        <v>56857</v>
      </c>
      <c r="B524" s="14">
        <f>CHOOSE(CONTROL!$C$42, 26.7123, 26.7123) * CHOOSE(CONTROL!$C$21, $C$9, 100%, $E$9)</f>
        <v>26.712299999999999</v>
      </c>
      <c r="C524" s="14">
        <f>CHOOSE(CONTROL!$C$42, 26.7203, 26.7203) * CHOOSE(CONTROL!$C$21, $C$9, 100%, $E$9)</f>
        <v>26.720300000000002</v>
      </c>
      <c r="D524" s="14">
        <f>CHOOSE(CONTROL!$C$42, 26.9243, 26.9243) * CHOOSE(CONTROL!$C$21, $C$9, 100%, $E$9)</f>
        <v>26.924299999999999</v>
      </c>
      <c r="E524" s="14">
        <f>CHOOSE(CONTROL!$C$42, 26.9557, 26.9557) * CHOOSE(CONTROL!$C$21, $C$9, 100%, $E$9)</f>
        <v>26.9557</v>
      </c>
      <c r="F524" s="14">
        <f>CHOOSE(CONTROL!$C$42, 26.6941, 26.6941)*CHOOSE(CONTROL!$C$21, $C$9, 100%, $E$9)</f>
        <v>26.694099999999999</v>
      </c>
      <c r="G524" s="14">
        <f>CHOOSE(CONTROL!$C$42, 26.7101, 26.7101)*CHOOSE(CONTROL!$C$21, $C$9, 100%, $E$9)</f>
        <v>26.710100000000001</v>
      </c>
      <c r="H524" s="14">
        <f>CHOOSE(CONTROL!$C$42, 26.9443, 26.9443) * CHOOSE(CONTROL!$C$21, $C$9, 100%, $E$9)</f>
        <v>26.944299999999998</v>
      </c>
      <c r="I524" s="14">
        <f>CHOOSE(CONTROL!$C$42, 26.8014, 26.8014)* CHOOSE(CONTROL!$C$21, $C$9, 100%, $E$9)</f>
        <v>26.801400000000001</v>
      </c>
      <c r="J524" s="14">
        <f>CHOOSE(CONTROL!$C$42, 26.6871, 26.6871)* CHOOSE(CONTROL!$C$21, $C$9, 100%, $E$9)</f>
        <v>26.687100000000001</v>
      </c>
      <c r="K524" s="53">
        <f>CHOOSE(CONTROL!$C$42, 26.7975, 26.7975) * CHOOSE(CONTROL!$C$21, $C$9, 100%, $E$9)</f>
        <v>26.797499999999999</v>
      </c>
      <c r="L524" s="14">
        <f>CHOOSE(CONTROL!$C$42, 27.5313, 27.5313) * CHOOSE(CONTROL!$C$21, $C$9, 100%, $E$9)</f>
        <v>27.531300000000002</v>
      </c>
      <c r="M524" s="14">
        <f>CHOOSE(CONTROL!$C$42, 26.148, 26.148) * CHOOSE(CONTROL!$C$21, $C$9, 100%, $E$9)</f>
        <v>26.148</v>
      </c>
      <c r="N524" s="14">
        <f>CHOOSE(CONTROL!$C$42, 26.1637, 26.1637) * CHOOSE(CONTROL!$C$21, $C$9, 100%, $E$9)</f>
        <v>26.163699999999999</v>
      </c>
      <c r="O524" s="14">
        <f>CHOOSE(CONTROL!$C$42, 26.4, 26.4) * CHOOSE(CONTROL!$C$21, $C$9, 100%, $E$9)</f>
        <v>26.4</v>
      </c>
      <c r="P524" s="14">
        <f>CHOOSE(CONTROL!$C$42, 26.2583, 26.2583) * CHOOSE(CONTROL!$C$21, $C$9, 100%, $E$9)</f>
        <v>26.258299999999998</v>
      </c>
      <c r="Q524" s="14">
        <f>CHOOSE(CONTROL!$C$42, 26.9947, 26.9947) * CHOOSE(CONTROL!$C$21, $C$9, 100%, $E$9)</f>
        <v>26.994700000000002</v>
      </c>
      <c r="R524" s="14">
        <f>CHOOSE(CONTROL!$C$42, 27.6492, 27.6492) * CHOOSE(CONTROL!$C$21, $C$9, 100%, $E$9)</f>
        <v>27.6492</v>
      </c>
      <c r="S524" s="14">
        <f>CHOOSE(CONTROL!$C$42, 25.6572, 25.6572) * CHOOSE(CONTROL!$C$21, $C$9, 100%, $E$9)</f>
        <v>25.6572</v>
      </c>
      <c r="T52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24" s="57">
        <f>(1000*CHOOSE(CONTROL!$C$42, 695, 695)*CHOOSE(CONTROL!$C$42, 0.5599, 0.5599)*CHOOSE(CONTROL!$C$42, 31, 31))/1000000</f>
        <v>12.063045499999998</v>
      </c>
      <c r="V524" s="57">
        <f>(1000*CHOOSE(CONTROL!$C$42, 500, 500)*CHOOSE(CONTROL!$C$42, 0.275, 0.275)*CHOOSE(CONTROL!$C$42, 31, 31))/1000000</f>
        <v>4.2625000000000002</v>
      </c>
      <c r="W524" s="57">
        <f>(1000*CHOOSE(CONTROL!$C$42, 0.1146, 0.1146)*CHOOSE(CONTROL!$C$42, 121.5, 121.5)*CHOOSE(CONTROL!$C$42, 31, 31))/1000000</f>
        <v>0.43164089999999994</v>
      </c>
      <c r="X524" s="57">
        <f>(31*0.1790888*245000/1000000)+(31*0.2374*100000/1000000)</f>
        <v>2.0961194359999999</v>
      </c>
      <c r="Y524" s="57"/>
      <c r="Z524" s="14"/>
      <c r="AA524" s="56"/>
      <c r="AB524" s="50">
        <f>(B524*194.205+C524*267.466+D524*133.845+E524*53.484+F524*40+G524*185+H524*0+I524*100+J524*300)/(194.205+267.466+133.845+53.484+0+40+185+100+300)</f>
        <v>26.746638990266877</v>
      </c>
      <c r="AC524" s="45">
        <f>(M524*'RAP TEMPLATE-GAS AVAILABILITY'!O523+N524*'RAP TEMPLATE-GAS AVAILABILITY'!P523+O524*'RAP TEMPLATE-GAS AVAILABILITY'!Q523+P524*'RAP TEMPLATE-GAS AVAILABILITY'!R523)/('RAP TEMPLATE-GAS AVAILABILITY'!O523+'RAP TEMPLATE-GAS AVAILABILITY'!P523+'RAP TEMPLATE-GAS AVAILABILITY'!Q523+'RAP TEMPLATE-GAS AVAILABILITY'!R523)</f>
        <v>26.238189928057555</v>
      </c>
    </row>
    <row r="525" spans="1:29" ht="15.75" x14ac:dyDescent="0.25">
      <c r="A525" s="32">
        <v>56887</v>
      </c>
      <c r="B525" s="14">
        <f>CHOOSE(CONTROL!$C$42, 25.0168, 25.0168) * CHOOSE(CONTROL!$C$21, $C$9, 100%, $E$9)</f>
        <v>25.0168</v>
      </c>
      <c r="C525" s="14">
        <f>CHOOSE(CONTROL!$C$42, 25.0248, 25.0248) * CHOOSE(CONTROL!$C$21, $C$9, 100%, $E$9)</f>
        <v>25.024799999999999</v>
      </c>
      <c r="D525" s="14">
        <f>CHOOSE(CONTROL!$C$42, 25.2287, 25.2287) * CHOOSE(CONTROL!$C$21, $C$9, 100%, $E$9)</f>
        <v>25.2287</v>
      </c>
      <c r="E525" s="14">
        <f>CHOOSE(CONTROL!$C$42, 25.2602, 25.2602) * CHOOSE(CONTROL!$C$21, $C$9, 100%, $E$9)</f>
        <v>25.260200000000001</v>
      </c>
      <c r="F525" s="14">
        <f>CHOOSE(CONTROL!$C$42, 24.9987, 24.9987)*CHOOSE(CONTROL!$C$21, $C$9, 100%, $E$9)</f>
        <v>24.998699999999999</v>
      </c>
      <c r="G525" s="14">
        <f>CHOOSE(CONTROL!$C$42, 25.0146, 25.0146)*CHOOSE(CONTROL!$C$21, $C$9, 100%, $E$9)</f>
        <v>25.014600000000002</v>
      </c>
      <c r="H525" s="14">
        <f>CHOOSE(CONTROL!$C$42, 25.2488, 25.2488) * CHOOSE(CONTROL!$C$21, $C$9, 100%, $E$9)</f>
        <v>25.248799999999999</v>
      </c>
      <c r="I525" s="14">
        <f>CHOOSE(CONTROL!$C$42, 25.1006, 25.1006)* CHOOSE(CONTROL!$C$21, $C$9, 100%, $E$9)</f>
        <v>25.1006</v>
      </c>
      <c r="J525" s="14">
        <f>CHOOSE(CONTROL!$C$42, 24.9917, 24.9917)* CHOOSE(CONTROL!$C$21, $C$9, 100%, $E$9)</f>
        <v>24.991700000000002</v>
      </c>
      <c r="K525" s="53">
        <f>CHOOSE(CONTROL!$C$42, 25.0967, 25.0967) * CHOOSE(CONTROL!$C$21, $C$9, 100%, $E$9)</f>
        <v>25.096699999999998</v>
      </c>
      <c r="L525" s="14">
        <f>CHOOSE(CONTROL!$C$42, 25.8358, 25.8358) * CHOOSE(CONTROL!$C$21, $C$9, 100%, $E$9)</f>
        <v>25.835799999999999</v>
      </c>
      <c r="M525" s="14">
        <f>CHOOSE(CONTROL!$C$42, 24.4873, 24.4873) * CHOOSE(CONTROL!$C$21, $C$9, 100%, $E$9)</f>
        <v>24.487300000000001</v>
      </c>
      <c r="N525" s="14">
        <f>CHOOSE(CONTROL!$C$42, 24.5029, 24.5029) * CHOOSE(CONTROL!$C$21, $C$9, 100%, $E$9)</f>
        <v>24.5029</v>
      </c>
      <c r="O525" s="14">
        <f>CHOOSE(CONTROL!$C$42, 24.7392, 24.7392) * CHOOSE(CONTROL!$C$21, $C$9, 100%, $E$9)</f>
        <v>24.7392</v>
      </c>
      <c r="P525" s="14">
        <f>CHOOSE(CONTROL!$C$42, 24.5925, 24.5925) * CHOOSE(CONTROL!$C$21, $C$9, 100%, $E$9)</f>
        <v>24.592500000000001</v>
      </c>
      <c r="Q525" s="14">
        <f>CHOOSE(CONTROL!$C$42, 25.3339, 25.3339) * CHOOSE(CONTROL!$C$21, $C$9, 100%, $E$9)</f>
        <v>25.3339</v>
      </c>
      <c r="R525" s="14">
        <f>CHOOSE(CONTROL!$C$42, 25.9842, 25.9842) * CHOOSE(CONTROL!$C$21, $C$9, 100%, $E$9)</f>
        <v>25.984200000000001</v>
      </c>
      <c r="S525" s="14">
        <f>CHOOSE(CONTROL!$C$42, 24.028, 24.028) * CHOOSE(CONTROL!$C$21, $C$9, 100%, $E$9)</f>
        <v>24.027999999999999</v>
      </c>
      <c r="T52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25" s="57">
        <f>(1000*CHOOSE(CONTROL!$C$42, 695, 695)*CHOOSE(CONTROL!$C$42, 0.5599, 0.5599)*CHOOSE(CONTROL!$C$42, 30, 30))/1000000</f>
        <v>11.673914999999997</v>
      </c>
      <c r="V525" s="57">
        <f>(1000*CHOOSE(CONTROL!$C$42, 500, 500)*CHOOSE(CONTROL!$C$42, 0.275, 0.275)*CHOOSE(CONTROL!$C$42, 30, 30))/1000000</f>
        <v>4.125</v>
      </c>
      <c r="W525" s="57">
        <f>(1000*CHOOSE(CONTROL!$C$42, 0.1146, 0.1146)*CHOOSE(CONTROL!$C$42, 121.5, 121.5)*CHOOSE(CONTROL!$C$42, 30, 30))/1000000</f>
        <v>0.417717</v>
      </c>
      <c r="X525" s="57">
        <f>(30*0.1790888*245000/1000000)+(30*0.2374*100000/1000000)</f>
        <v>2.0285026799999999</v>
      </c>
      <c r="Y525" s="57"/>
      <c r="Z525" s="14"/>
      <c r="AA525" s="56"/>
      <c r="AB525" s="50">
        <f>(B525*194.205+C525*267.466+D525*133.845+E525*53.484+F525*40+G525*185+H525*0+I525*100+J525*300)/(194.205+267.466+133.845+53.484+0+40+185+100+300)</f>
        <v>25.050739159419155</v>
      </c>
      <c r="AC525" s="45">
        <f>(M525*'RAP TEMPLATE-GAS AVAILABILITY'!O524+N525*'RAP TEMPLATE-GAS AVAILABILITY'!P524+O525*'RAP TEMPLATE-GAS AVAILABILITY'!Q524+P525*'RAP TEMPLATE-GAS AVAILABILITY'!R524)/('RAP TEMPLATE-GAS AVAILABILITY'!O524+'RAP TEMPLATE-GAS AVAILABILITY'!P524+'RAP TEMPLATE-GAS AVAILABILITY'!Q524+'RAP TEMPLATE-GAS AVAILABILITY'!R524)</f>
        <v>24.576705035971226</v>
      </c>
    </row>
    <row r="526" spans="1:29" ht="15.75" x14ac:dyDescent="0.25">
      <c r="A526" s="32">
        <v>56918</v>
      </c>
      <c r="B526" s="14">
        <f>CHOOSE(CONTROL!$C$42, 24.5073, 24.5073) * CHOOSE(CONTROL!$C$21, $C$9, 100%, $E$9)</f>
        <v>24.507300000000001</v>
      </c>
      <c r="C526" s="14">
        <f>CHOOSE(CONTROL!$C$42, 24.5126, 24.5126) * CHOOSE(CONTROL!$C$21, $C$9, 100%, $E$9)</f>
        <v>24.512599999999999</v>
      </c>
      <c r="D526" s="14">
        <f>CHOOSE(CONTROL!$C$42, 24.7215, 24.7215) * CHOOSE(CONTROL!$C$21, $C$9, 100%, $E$9)</f>
        <v>24.721499999999999</v>
      </c>
      <c r="E526" s="14">
        <f>CHOOSE(CONTROL!$C$42, 24.7507, 24.7507) * CHOOSE(CONTROL!$C$21, $C$9, 100%, $E$9)</f>
        <v>24.750699999999998</v>
      </c>
      <c r="F526" s="14">
        <f>CHOOSE(CONTROL!$C$42, 24.4913, 24.4913)*CHOOSE(CONTROL!$C$21, $C$9, 100%, $E$9)</f>
        <v>24.491299999999999</v>
      </c>
      <c r="G526" s="14">
        <f>CHOOSE(CONTROL!$C$42, 24.5069, 24.5069)*CHOOSE(CONTROL!$C$21, $C$9, 100%, $E$9)</f>
        <v>24.506900000000002</v>
      </c>
      <c r="H526" s="14">
        <f>CHOOSE(CONTROL!$C$42, 24.7411, 24.7411) * CHOOSE(CONTROL!$C$21, $C$9, 100%, $E$9)</f>
        <v>24.741099999999999</v>
      </c>
      <c r="I526" s="14">
        <f>CHOOSE(CONTROL!$C$42, 24.5913, 24.5913)* CHOOSE(CONTROL!$C$21, $C$9, 100%, $E$9)</f>
        <v>24.5913</v>
      </c>
      <c r="J526" s="14">
        <f>CHOOSE(CONTROL!$C$42, 24.4843, 24.4843)* CHOOSE(CONTROL!$C$21, $C$9, 100%, $E$9)</f>
        <v>24.484300000000001</v>
      </c>
      <c r="K526" s="53">
        <f>CHOOSE(CONTROL!$C$42, 24.5874, 24.5874) * CHOOSE(CONTROL!$C$21, $C$9, 100%, $E$9)</f>
        <v>24.587399999999999</v>
      </c>
      <c r="L526" s="14">
        <f>CHOOSE(CONTROL!$C$42, 25.3281, 25.3281) * CHOOSE(CONTROL!$C$21, $C$9, 100%, $E$9)</f>
        <v>25.328099999999999</v>
      </c>
      <c r="M526" s="14">
        <f>CHOOSE(CONTROL!$C$42, 23.9903, 23.9903) * CHOOSE(CONTROL!$C$21, $C$9, 100%, $E$9)</f>
        <v>23.990300000000001</v>
      </c>
      <c r="N526" s="14">
        <f>CHOOSE(CONTROL!$C$42, 24.0057, 24.0057) * CHOOSE(CONTROL!$C$21, $C$9, 100%, $E$9)</f>
        <v>24.005700000000001</v>
      </c>
      <c r="O526" s="14">
        <f>CHOOSE(CONTROL!$C$42, 24.2419, 24.2419) * CHOOSE(CONTROL!$C$21, $C$9, 100%, $E$9)</f>
        <v>24.241900000000001</v>
      </c>
      <c r="P526" s="14">
        <f>CHOOSE(CONTROL!$C$42, 24.0936, 24.0936) * CHOOSE(CONTROL!$C$21, $C$9, 100%, $E$9)</f>
        <v>24.093599999999999</v>
      </c>
      <c r="Q526" s="14">
        <f>CHOOSE(CONTROL!$C$42, 24.8366, 24.8366) * CHOOSE(CONTROL!$C$21, $C$9, 100%, $E$9)</f>
        <v>24.836600000000001</v>
      </c>
      <c r="R526" s="14">
        <f>CHOOSE(CONTROL!$C$42, 25.4857, 25.4857) * CHOOSE(CONTROL!$C$21, $C$9, 100%, $E$9)</f>
        <v>25.485700000000001</v>
      </c>
      <c r="S526" s="14">
        <f>CHOOSE(CONTROL!$C$42, 23.5401, 23.5401) * CHOOSE(CONTROL!$C$21, $C$9, 100%, $E$9)</f>
        <v>23.540099999999999</v>
      </c>
      <c r="T52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26" s="57">
        <f>(1000*CHOOSE(CONTROL!$C$42, 695, 695)*CHOOSE(CONTROL!$C$42, 0.5599, 0.5599)*CHOOSE(CONTROL!$C$42, 31, 31))/1000000</f>
        <v>12.063045499999998</v>
      </c>
      <c r="V526" s="57">
        <f>(1000*CHOOSE(CONTROL!$C$42, 500, 500)*CHOOSE(CONTROL!$C$42, 0.275, 0.275)*CHOOSE(CONTROL!$C$42, 31, 31))/1000000</f>
        <v>4.2625000000000002</v>
      </c>
      <c r="W526" s="57">
        <f>(1000*CHOOSE(CONTROL!$C$42, 0.1146, 0.1146)*CHOOSE(CONTROL!$C$42, 121.5, 121.5)*CHOOSE(CONTROL!$C$42, 31, 31))/1000000</f>
        <v>0.43164089999999994</v>
      </c>
      <c r="X526" s="57">
        <f>(31*0.1790888*245000/1000000)+(31*0.2374*100000/1000000)</f>
        <v>2.0961194359999999</v>
      </c>
      <c r="Y526" s="57"/>
      <c r="Z526" s="14"/>
      <c r="AA526" s="56"/>
      <c r="AB526" s="50">
        <f>(B526*131.881+C526*277.167+D526*79.08+E526*125.872+F526*40+G526*185+H526*0+I526*100+J526*300)/(131.881+277.167+79.08+125.872+0+40+185+100+300)</f>
        <v>24.547518858676352</v>
      </c>
      <c r="AC526" s="45">
        <f>(M526*'RAP TEMPLATE-GAS AVAILABILITY'!O525+N526*'RAP TEMPLATE-GAS AVAILABILITY'!P525+O526*'RAP TEMPLATE-GAS AVAILABILITY'!Q525+P526*'RAP TEMPLATE-GAS AVAILABILITY'!R525)/('RAP TEMPLATE-GAS AVAILABILITY'!O525+'RAP TEMPLATE-GAS AVAILABILITY'!P525+'RAP TEMPLATE-GAS AVAILABILITY'!Q525+'RAP TEMPLATE-GAS AVAILABILITY'!R525)</f>
        <v>24.079301438848919</v>
      </c>
    </row>
    <row r="527" spans="1:29" ht="15.75" x14ac:dyDescent="0.25">
      <c r="A527" s="32">
        <v>56948</v>
      </c>
      <c r="B527" s="14">
        <f>CHOOSE(CONTROL!$C$42, 25.1523, 25.1523) * CHOOSE(CONTROL!$C$21, $C$9, 100%, $E$9)</f>
        <v>25.1523</v>
      </c>
      <c r="C527" s="14">
        <f>CHOOSE(CONTROL!$C$42, 25.1573, 25.1573) * CHOOSE(CONTROL!$C$21, $C$9, 100%, $E$9)</f>
        <v>25.157299999999999</v>
      </c>
      <c r="D527" s="14">
        <f>CHOOSE(CONTROL!$C$42, 25.2211, 25.2211) * CHOOSE(CONTROL!$C$21, $C$9, 100%, $E$9)</f>
        <v>25.2211</v>
      </c>
      <c r="E527" s="14">
        <f>CHOOSE(CONTROL!$C$42, 25.2552, 25.2552) * CHOOSE(CONTROL!$C$21, $C$9, 100%, $E$9)</f>
        <v>25.255199999999999</v>
      </c>
      <c r="F527" s="14">
        <f>CHOOSE(CONTROL!$C$42, 25.1547, 25.1547)*CHOOSE(CONTROL!$C$21, $C$9, 100%, $E$9)</f>
        <v>25.154699999999998</v>
      </c>
      <c r="G527" s="14">
        <f>CHOOSE(CONTROL!$C$42, 25.1707, 25.1707)*CHOOSE(CONTROL!$C$21, $C$9, 100%, $E$9)</f>
        <v>25.1707</v>
      </c>
      <c r="H527" s="14">
        <f>CHOOSE(CONTROL!$C$42, 25.2444, 25.2444) * CHOOSE(CONTROL!$C$21, $C$9, 100%, $E$9)</f>
        <v>25.244399999999999</v>
      </c>
      <c r="I527" s="14">
        <f>CHOOSE(CONTROL!$C$42, 25.2439, 25.2439)* CHOOSE(CONTROL!$C$21, $C$9, 100%, $E$9)</f>
        <v>25.2439</v>
      </c>
      <c r="J527" s="14">
        <f>CHOOSE(CONTROL!$C$42, 25.1477, 25.1477)* CHOOSE(CONTROL!$C$21, $C$9, 100%, $E$9)</f>
        <v>25.1477</v>
      </c>
      <c r="K527" s="53">
        <f>CHOOSE(CONTROL!$C$42, 25.24, 25.24) * CHOOSE(CONTROL!$C$21, $C$9, 100%, $E$9)</f>
        <v>25.24</v>
      </c>
      <c r="L527" s="14">
        <f>CHOOSE(CONTROL!$C$42, 25.8314, 25.8314) * CHOOSE(CONTROL!$C$21, $C$9, 100%, $E$9)</f>
        <v>25.831399999999999</v>
      </c>
      <c r="M527" s="14">
        <f>CHOOSE(CONTROL!$C$42, 24.6401, 24.6401) * CHOOSE(CONTROL!$C$21, $C$9, 100%, $E$9)</f>
        <v>24.6401</v>
      </c>
      <c r="N527" s="14">
        <f>CHOOSE(CONTROL!$C$42, 24.6558, 24.6558) * CHOOSE(CONTROL!$C$21, $C$9, 100%, $E$9)</f>
        <v>24.655799999999999</v>
      </c>
      <c r="O527" s="14">
        <f>CHOOSE(CONTROL!$C$42, 24.7349, 24.7349) * CHOOSE(CONTROL!$C$21, $C$9, 100%, $E$9)</f>
        <v>24.7349</v>
      </c>
      <c r="P527" s="14">
        <f>CHOOSE(CONTROL!$C$42, 24.7328, 24.7328) * CHOOSE(CONTROL!$C$21, $C$9, 100%, $E$9)</f>
        <v>24.732800000000001</v>
      </c>
      <c r="Q527" s="14">
        <f>CHOOSE(CONTROL!$C$42, 25.3296, 25.3296) * CHOOSE(CONTROL!$C$21, $C$9, 100%, $E$9)</f>
        <v>25.329599999999999</v>
      </c>
      <c r="R527" s="14">
        <f>CHOOSE(CONTROL!$C$42, 25.9799, 25.9799) * CHOOSE(CONTROL!$C$21, $C$9, 100%, $E$9)</f>
        <v>25.979900000000001</v>
      </c>
      <c r="S527" s="14">
        <f>CHOOSE(CONTROL!$C$42, 24.1603, 24.1603) * CHOOSE(CONTROL!$C$21, $C$9, 100%, $E$9)</f>
        <v>24.160299999999999</v>
      </c>
      <c r="T52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27" s="57">
        <f>(1000*CHOOSE(CONTROL!$C$42, 695, 695)*CHOOSE(CONTROL!$C$42, 0.5599, 0.5599)*CHOOSE(CONTROL!$C$42, 30, 30))/1000000</f>
        <v>11.673914999999997</v>
      </c>
      <c r="V527" s="57">
        <f>(1000*CHOOSE(CONTROL!$C$42, 500, 500)*CHOOSE(CONTROL!$C$42, 0.275, 0.275)*CHOOSE(CONTROL!$C$42, 30, 30))/1000000</f>
        <v>4.125</v>
      </c>
      <c r="W527" s="57">
        <f>(1000*CHOOSE(CONTROL!$C$42, 0.1146, 0.1146)*CHOOSE(CONTROL!$C$42, 121.5, 121.5)*CHOOSE(CONTROL!$C$42, 30, 30))/1000000</f>
        <v>0.417717</v>
      </c>
      <c r="X527" s="57">
        <f>(30*0.1790888*100000/1000000)+(30*0.2374*100000/1000000)</f>
        <v>1.2494664</v>
      </c>
      <c r="Y527" s="57"/>
      <c r="Z527" s="14"/>
      <c r="AA527" s="56"/>
      <c r="AB527" s="50">
        <f>(B527*122.58+C527*297.941+D527*89.177+E527*40.302+F527*40+G527*160+H527*0+I527*100+J527*300)/(122.58+297.941+89.177+40.302+0+40+160+100+300)</f>
        <v>25.171945355130436</v>
      </c>
      <c r="AC527" s="45">
        <f>(M527*'RAP TEMPLATE-GAS AVAILABILITY'!O526+N527*'RAP TEMPLATE-GAS AVAILABILITY'!P526+O527*'RAP TEMPLATE-GAS AVAILABILITY'!Q526+P527*'RAP TEMPLATE-GAS AVAILABILITY'!R526)/('RAP TEMPLATE-GAS AVAILABILITY'!O526+'RAP TEMPLATE-GAS AVAILABILITY'!P526+'RAP TEMPLATE-GAS AVAILABILITY'!Q526+'RAP TEMPLATE-GAS AVAILABILITY'!R526)</f>
        <v>24.697308633093524</v>
      </c>
    </row>
    <row r="528" spans="1:29" ht="15.75" x14ac:dyDescent="0.25">
      <c r="A528" s="32">
        <v>56979</v>
      </c>
      <c r="B528" s="14">
        <f>CHOOSE(CONTROL!$C$42, 26.8665, 26.8665) * CHOOSE(CONTROL!$C$21, $C$9, 100%, $E$9)</f>
        <v>26.866499999999998</v>
      </c>
      <c r="C528" s="14">
        <f>CHOOSE(CONTROL!$C$42, 26.8715, 26.8715) * CHOOSE(CONTROL!$C$21, $C$9, 100%, $E$9)</f>
        <v>26.871500000000001</v>
      </c>
      <c r="D528" s="14">
        <f>CHOOSE(CONTROL!$C$42, 26.9353, 26.9353) * CHOOSE(CONTROL!$C$21, $C$9, 100%, $E$9)</f>
        <v>26.935300000000002</v>
      </c>
      <c r="E528" s="14">
        <f>CHOOSE(CONTROL!$C$42, 26.9695, 26.9695) * CHOOSE(CONTROL!$C$21, $C$9, 100%, $E$9)</f>
        <v>26.9695</v>
      </c>
      <c r="F528" s="14">
        <f>CHOOSE(CONTROL!$C$42, 26.8711, 26.8711)*CHOOSE(CONTROL!$C$21, $C$9, 100%, $E$9)</f>
        <v>26.871099999999998</v>
      </c>
      <c r="G528" s="14">
        <f>CHOOSE(CONTROL!$C$42, 26.8877, 26.8877)*CHOOSE(CONTROL!$C$21, $C$9, 100%, $E$9)</f>
        <v>26.887699999999999</v>
      </c>
      <c r="H528" s="14">
        <f>CHOOSE(CONTROL!$C$42, 26.9587, 26.9587) * CHOOSE(CONTROL!$C$21, $C$9, 100%, $E$9)</f>
        <v>26.9587</v>
      </c>
      <c r="I528" s="14">
        <f>CHOOSE(CONTROL!$C$42, 26.9635, 26.9635)* CHOOSE(CONTROL!$C$21, $C$9, 100%, $E$9)</f>
        <v>26.9635</v>
      </c>
      <c r="J528" s="14">
        <f>CHOOSE(CONTROL!$C$42, 26.8641, 26.8641)* CHOOSE(CONTROL!$C$21, $C$9, 100%, $E$9)</f>
        <v>26.864100000000001</v>
      </c>
      <c r="K528" s="53">
        <f>CHOOSE(CONTROL!$C$42, 26.9596, 26.9596) * CHOOSE(CONTROL!$C$21, $C$9, 100%, $E$9)</f>
        <v>26.959599999999998</v>
      </c>
      <c r="L528" s="14">
        <f>CHOOSE(CONTROL!$C$42, 27.5457, 27.5457) * CHOOSE(CONTROL!$C$21, $C$9, 100%, $E$9)</f>
        <v>27.5457</v>
      </c>
      <c r="M528" s="14">
        <f>CHOOSE(CONTROL!$C$42, 26.3214, 26.3214) * CHOOSE(CONTROL!$C$21, $C$9, 100%, $E$9)</f>
        <v>26.321400000000001</v>
      </c>
      <c r="N528" s="14">
        <f>CHOOSE(CONTROL!$C$42, 26.3376, 26.3376) * CHOOSE(CONTROL!$C$21, $C$9, 100%, $E$9)</f>
        <v>26.337599999999998</v>
      </c>
      <c r="O528" s="14">
        <f>CHOOSE(CONTROL!$C$42, 26.414, 26.414) * CHOOSE(CONTROL!$C$21, $C$9, 100%, $E$9)</f>
        <v>26.414000000000001</v>
      </c>
      <c r="P528" s="14">
        <f>CHOOSE(CONTROL!$C$42, 26.4171, 26.4171) * CHOOSE(CONTROL!$C$21, $C$9, 100%, $E$9)</f>
        <v>26.417100000000001</v>
      </c>
      <c r="Q528" s="14">
        <f>CHOOSE(CONTROL!$C$42, 27.0087, 27.0087) * CHOOSE(CONTROL!$C$21, $C$9, 100%, $E$9)</f>
        <v>27.008700000000001</v>
      </c>
      <c r="R528" s="14">
        <f>CHOOSE(CONTROL!$C$42, 27.6632, 27.6632) * CHOOSE(CONTROL!$C$21, $C$9, 100%, $E$9)</f>
        <v>27.6632</v>
      </c>
      <c r="S528" s="14">
        <f>CHOOSE(CONTROL!$C$42, 25.8075, 25.8075) * CHOOSE(CONTROL!$C$21, $C$9, 100%, $E$9)</f>
        <v>25.807500000000001</v>
      </c>
      <c r="T52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28" s="57">
        <f>(1000*CHOOSE(CONTROL!$C$42, 695, 695)*CHOOSE(CONTROL!$C$42, 0.5599, 0.5599)*CHOOSE(CONTROL!$C$42, 31, 31))/1000000</f>
        <v>12.063045499999998</v>
      </c>
      <c r="V528" s="57">
        <f>(1000*CHOOSE(CONTROL!$C$42, 500, 500)*CHOOSE(CONTROL!$C$42, 0.275, 0.275)*CHOOSE(CONTROL!$C$42, 31, 31))/1000000</f>
        <v>4.2625000000000002</v>
      </c>
      <c r="W528" s="57">
        <f>(1000*CHOOSE(CONTROL!$C$42, 0.1146, 0.1146)*CHOOSE(CONTROL!$C$42, 121.5, 121.5)*CHOOSE(CONTROL!$C$42, 31, 31))/1000000</f>
        <v>0.43164089999999994</v>
      </c>
      <c r="X528" s="57">
        <f>(31*0.1790888*100000/1000000)+(31*0.2374*100000/1000000)</f>
        <v>1.2911152800000001</v>
      </c>
      <c r="Y528" s="57"/>
      <c r="Z528" s="14"/>
      <c r="AA528" s="56"/>
      <c r="AB528" s="50">
        <f>(B528*122.58+C528*297.941+D528*89.177+E528*40.302+F528*40+G528*160+H528*0+I528*100+J528*300)/(122.58+297.941+89.177+40.302+0+40+160+100+300)</f>
        <v>26.887658424869564</v>
      </c>
      <c r="AC528" s="45">
        <f>(M528*'RAP TEMPLATE-GAS AVAILABILITY'!O527+N528*'RAP TEMPLATE-GAS AVAILABILITY'!P527+O528*'RAP TEMPLATE-GAS AVAILABILITY'!Q527+P528*'RAP TEMPLATE-GAS AVAILABILITY'!R527)/('RAP TEMPLATE-GAS AVAILABILITY'!O527+'RAP TEMPLATE-GAS AVAILABILITY'!P527+'RAP TEMPLATE-GAS AVAILABILITY'!Q527+'RAP TEMPLATE-GAS AVAILABILITY'!R527)</f>
        <v>26.378071942446041</v>
      </c>
    </row>
    <row r="529" spans="1:29" ht="15.75" x14ac:dyDescent="0.25">
      <c r="A529" s="32">
        <v>57010</v>
      </c>
      <c r="B529" s="14">
        <f>CHOOSE(CONTROL!$C$42, 29.0664, 29.0664) * CHOOSE(CONTROL!$C$21, $C$9, 100%, $E$9)</f>
        <v>29.066400000000002</v>
      </c>
      <c r="C529" s="14">
        <f>CHOOSE(CONTROL!$C$42, 29.0715, 29.0715) * CHOOSE(CONTROL!$C$21, $C$9, 100%, $E$9)</f>
        <v>29.0715</v>
      </c>
      <c r="D529" s="14">
        <f>CHOOSE(CONTROL!$C$42, 29.1379, 29.1379) * CHOOSE(CONTROL!$C$21, $C$9, 100%, $E$9)</f>
        <v>29.137899999999998</v>
      </c>
      <c r="E529" s="14">
        <f>CHOOSE(CONTROL!$C$42, 29.172, 29.172) * CHOOSE(CONTROL!$C$21, $C$9, 100%, $E$9)</f>
        <v>29.172000000000001</v>
      </c>
      <c r="F529" s="14">
        <f>CHOOSE(CONTROL!$C$42, 29.0537, 29.0537)*CHOOSE(CONTROL!$C$21, $C$9, 100%, $E$9)</f>
        <v>29.053699999999999</v>
      </c>
      <c r="G529" s="14">
        <f>CHOOSE(CONTROL!$C$42, 29.0692, 29.0692)*CHOOSE(CONTROL!$C$21, $C$9, 100%, $E$9)</f>
        <v>29.069199999999999</v>
      </c>
      <c r="H529" s="14">
        <f>CHOOSE(CONTROL!$C$42, 29.1612, 29.1612) * CHOOSE(CONTROL!$C$21, $C$9, 100%, $E$9)</f>
        <v>29.161200000000001</v>
      </c>
      <c r="I529" s="14">
        <f>CHOOSE(CONTROL!$C$42, 29.1651, 29.1651)* CHOOSE(CONTROL!$C$21, $C$9, 100%, $E$9)</f>
        <v>29.165099999999999</v>
      </c>
      <c r="J529" s="14">
        <f>CHOOSE(CONTROL!$C$42, 29.0467, 29.0467)* CHOOSE(CONTROL!$C$21, $C$9, 100%, $E$9)</f>
        <v>29.046700000000001</v>
      </c>
      <c r="K529" s="53">
        <f>CHOOSE(CONTROL!$C$42, 29.1612, 29.1612) * CHOOSE(CONTROL!$C$21, $C$9, 100%, $E$9)</f>
        <v>29.161200000000001</v>
      </c>
      <c r="L529" s="14">
        <f>CHOOSE(CONTROL!$C$42, 29.7482, 29.7482) * CHOOSE(CONTROL!$C$21, $C$9, 100%, $E$9)</f>
        <v>29.748200000000001</v>
      </c>
      <c r="M529" s="14">
        <f>CHOOSE(CONTROL!$C$42, 28.4593, 28.4593) * CHOOSE(CONTROL!$C$21, $C$9, 100%, $E$9)</f>
        <v>28.459299999999999</v>
      </c>
      <c r="N529" s="14">
        <f>CHOOSE(CONTROL!$C$42, 28.4744, 28.4744) * CHOOSE(CONTROL!$C$21, $C$9, 100%, $E$9)</f>
        <v>28.474399999999999</v>
      </c>
      <c r="O529" s="14">
        <f>CHOOSE(CONTROL!$C$42, 28.5714, 28.5714) * CHOOSE(CONTROL!$C$21, $C$9, 100%, $E$9)</f>
        <v>28.571400000000001</v>
      </c>
      <c r="P529" s="14">
        <f>CHOOSE(CONTROL!$C$42, 28.5734, 28.5734) * CHOOSE(CONTROL!$C$21, $C$9, 100%, $E$9)</f>
        <v>28.573399999999999</v>
      </c>
      <c r="Q529" s="14">
        <f>CHOOSE(CONTROL!$C$42, 29.1661, 29.1661) * CHOOSE(CONTROL!$C$21, $C$9, 100%, $E$9)</f>
        <v>29.1661</v>
      </c>
      <c r="R529" s="14">
        <f>CHOOSE(CONTROL!$C$42, 29.826, 29.826) * CHOOSE(CONTROL!$C$21, $C$9, 100%, $E$9)</f>
        <v>29.826000000000001</v>
      </c>
      <c r="S529" s="14">
        <f>CHOOSE(CONTROL!$C$42, 27.9214, 27.9214) * CHOOSE(CONTROL!$C$21, $C$9, 100%, $E$9)</f>
        <v>27.921399999999998</v>
      </c>
      <c r="T52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29" s="57">
        <f>(1000*CHOOSE(CONTROL!$C$42, 695, 695)*CHOOSE(CONTROL!$C$42, 0.5599, 0.5599)*CHOOSE(CONTROL!$C$42, 31, 31))/1000000</f>
        <v>12.063045499999998</v>
      </c>
      <c r="V529" s="57">
        <f>(1000*CHOOSE(CONTROL!$C$42, 500, 500)*CHOOSE(CONTROL!$C$42, 0.275, 0.275)*CHOOSE(CONTROL!$C$42, 31, 31))/1000000</f>
        <v>4.2625000000000002</v>
      </c>
      <c r="W529" s="57">
        <f>(1000*CHOOSE(CONTROL!$C$42, 0.1146, 0.1146)*CHOOSE(CONTROL!$C$42, 121.5, 121.5)*CHOOSE(CONTROL!$C$42, 31, 31))/1000000</f>
        <v>0.43164089999999994</v>
      </c>
      <c r="X529" s="57">
        <f>(31*0.1790888*100000/1000000)+(31*0.2374*100000/1000000)</f>
        <v>1.2911152800000001</v>
      </c>
      <c r="Y529" s="57"/>
      <c r="Z529" s="14"/>
      <c r="AA529" s="56"/>
      <c r="AB529" s="50">
        <f>(B529*122.58+C529*297.941+D529*89.177+E529*40.302+F529*40+G529*160+H529*0+I529*100+J529*300)/(122.58+297.941+89.177+40.302+0+40+160+100+300)</f>
        <v>29.08035786591304</v>
      </c>
      <c r="AC529" s="45">
        <f>(M529*'RAP TEMPLATE-GAS AVAILABILITY'!O528+N529*'RAP TEMPLATE-GAS AVAILABILITY'!P528+O529*'RAP TEMPLATE-GAS AVAILABILITY'!Q528+P529*'RAP TEMPLATE-GAS AVAILABILITY'!R528)/('RAP TEMPLATE-GAS AVAILABILITY'!O528+'RAP TEMPLATE-GAS AVAILABILITY'!P528+'RAP TEMPLATE-GAS AVAILABILITY'!Q528+'RAP TEMPLATE-GAS AVAILABILITY'!R528)</f>
        <v>28.527394244604316</v>
      </c>
    </row>
    <row r="530" spans="1:29" ht="15.75" x14ac:dyDescent="0.25">
      <c r="A530" s="32">
        <v>57038</v>
      </c>
      <c r="B530" s="14">
        <f>CHOOSE(CONTROL!$C$42, 29.5837, 29.5837) * CHOOSE(CONTROL!$C$21, $C$9, 100%, $E$9)</f>
        <v>29.5837</v>
      </c>
      <c r="C530" s="14">
        <f>CHOOSE(CONTROL!$C$42, 29.5887, 29.5887) * CHOOSE(CONTROL!$C$21, $C$9, 100%, $E$9)</f>
        <v>29.588699999999999</v>
      </c>
      <c r="D530" s="14">
        <f>CHOOSE(CONTROL!$C$42, 29.6552, 29.6552) * CHOOSE(CONTROL!$C$21, $C$9, 100%, $E$9)</f>
        <v>29.655200000000001</v>
      </c>
      <c r="E530" s="14">
        <f>CHOOSE(CONTROL!$C$42, 29.6893, 29.6893) * CHOOSE(CONTROL!$C$21, $C$9, 100%, $E$9)</f>
        <v>29.689299999999999</v>
      </c>
      <c r="F530" s="14">
        <f>CHOOSE(CONTROL!$C$42, 29.5711, 29.5711)*CHOOSE(CONTROL!$C$21, $C$9, 100%, $E$9)</f>
        <v>29.571100000000001</v>
      </c>
      <c r="G530" s="14">
        <f>CHOOSE(CONTROL!$C$42, 29.5866, 29.5866)*CHOOSE(CONTROL!$C$21, $C$9, 100%, $E$9)</f>
        <v>29.586600000000001</v>
      </c>
      <c r="H530" s="14">
        <f>CHOOSE(CONTROL!$C$42, 29.6785, 29.6785) * CHOOSE(CONTROL!$C$21, $C$9, 100%, $E$9)</f>
        <v>29.6785</v>
      </c>
      <c r="I530" s="14">
        <f>CHOOSE(CONTROL!$C$42, 29.6839, 29.6839)* CHOOSE(CONTROL!$C$21, $C$9, 100%, $E$9)</f>
        <v>29.683900000000001</v>
      </c>
      <c r="J530" s="14">
        <f>CHOOSE(CONTROL!$C$42, 29.5641, 29.5641)* CHOOSE(CONTROL!$C$21, $C$9, 100%, $E$9)</f>
        <v>29.5641</v>
      </c>
      <c r="K530" s="53">
        <f>CHOOSE(CONTROL!$C$42, 29.6801, 29.6801) * CHOOSE(CONTROL!$C$21, $C$9, 100%, $E$9)</f>
        <v>29.680099999999999</v>
      </c>
      <c r="L530" s="14">
        <f>CHOOSE(CONTROL!$C$42, 30.2655, 30.2655) * CHOOSE(CONTROL!$C$21, $C$9, 100%, $E$9)</f>
        <v>30.265499999999999</v>
      </c>
      <c r="M530" s="14">
        <f>CHOOSE(CONTROL!$C$42, 28.966, 28.966) * CHOOSE(CONTROL!$C$21, $C$9, 100%, $E$9)</f>
        <v>28.966000000000001</v>
      </c>
      <c r="N530" s="14">
        <f>CHOOSE(CONTROL!$C$42, 28.9812, 28.9812) * CHOOSE(CONTROL!$C$21, $C$9, 100%, $E$9)</f>
        <v>28.981200000000001</v>
      </c>
      <c r="O530" s="14">
        <f>CHOOSE(CONTROL!$C$42, 29.0781, 29.0781) * CHOOSE(CONTROL!$C$21, $C$9, 100%, $E$9)</f>
        <v>29.078099999999999</v>
      </c>
      <c r="P530" s="14">
        <f>CHOOSE(CONTROL!$C$42, 29.0817, 29.0817) * CHOOSE(CONTROL!$C$21, $C$9, 100%, $E$9)</f>
        <v>29.081700000000001</v>
      </c>
      <c r="Q530" s="14">
        <f>CHOOSE(CONTROL!$C$42, 29.6728, 29.6728) * CHOOSE(CONTROL!$C$21, $C$9, 100%, $E$9)</f>
        <v>29.672799999999999</v>
      </c>
      <c r="R530" s="14">
        <f>CHOOSE(CONTROL!$C$42, 30.3339, 30.3339) * CHOOSE(CONTROL!$C$21, $C$9, 100%, $E$9)</f>
        <v>30.3339</v>
      </c>
      <c r="S530" s="14">
        <f>CHOOSE(CONTROL!$C$42, 28.4184, 28.4184) * CHOOSE(CONTROL!$C$21, $C$9, 100%, $E$9)</f>
        <v>28.418399999999998</v>
      </c>
      <c r="T530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530" s="57">
        <f>(1000*CHOOSE(CONTROL!$C$42, 695, 695)*CHOOSE(CONTROL!$C$42, 0.5599, 0.5599)*CHOOSE(CONTROL!$C$42, 29, 29))/1000000</f>
        <v>11.284784499999999</v>
      </c>
      <c r="V530" s="57">
        <f>(1000*CHOOSE(CONTROL!$C$42, 500, 500)*CHOOSE(CONTROL!$C$42, 0.275, 0.275)*CHOOSE(CONTROL!$C$42, 29, 29))/1000000</f>
        <v>3.9874999999999998</v>
      </c>
      <c r="W530" s="57">
        <f>(1000*CHOOSE(CONTROL!$C$42, 0.1146, 0.1146)*CHOOSE(CONTROL!$C$42, 121.5, 121.5)*CHOOSE(CONTROL!$C$42, 29, 29))/1000000</f>
        <v>0.40379309999999996</v>
      </c>
      <c r="X530" s="57">
        <f>(29*0.1790888*100000/1000000)+(29*0.2374*100000/1000000)</f>
        <v>1.2078175199999999</v>
      </c>
      <c r="Y530" s="57"/>
      <c r="Z530" s="14"/>
      <c r="AA530" s="56"/>
      <c r="AB530" s="50">
        <f>(B530*122.58+C530*297.941+D530*89.177+E530*40.302+F530*40+G530*160+H530*0+I530*100+J530*300)/(122.58+297.941+89.177+40.302+0+40+160+100+300)</f>
        <v>29.597805871043477</v>
      </c>
      <c r="AC530" s="45">
        <f>(M530*'RAP TEMPLATE-GAS AVAILABILITY'!O529+N530*'RAP TEMPLATE-GAS AVAILABILITY'!P529+O530*'RAP TEMPLATE-GAS AVAILABILITY'!Q529+P530*'RAP TEMPLATE-GAS AVAILABILITY'!R529)/('RAP TEMPLATE-GAS AVAILABILITY'!O529+'RAP TEMPLATE-GAS AVAILABILITY'!P529+'RAP TEMPLATE-GAS AVAILABILITY'!Q529+'RAP TEMPLATE-GAS AVAILABILITY'!R529)</f>
        <v>29.034330215827335</v>
      </c>
    </row>
    <row r="531" spans="1:29" ht="15.75" x14ac:dyDescent="0.25">
      <c r="A531" s="32">
        <v>57070</v>
      </c>
      <c r="B531" s="14">
        <f>CHOOSE(CONTROL!$C$42, 28.744, 28.744) * CHOOSE(CONTROL!$C$21, $C$9, 100%, $E$9)</f>
        <v>28.744</v>
      </c>
      <c r="C531" s="14">
        <f>CHOOSE(CONTROL!$C$42, 28.7491, 28.7491) * CHOOSE(CONTROL!$C$21, $C$9, 100%, $E$9)</f>
        <v>28.749099999999999</v>
      </c>
      <c r="D531" s="14">
        <f>CHOOSE(CONTROL!$C$42, 28.8155, 28.8155) * CHOOSE(CONTROL!$C$21, $C$9, 100%, $E$9)</f>
        <v>28.8155</v>
      </c>
      <c r="E531" s="14">
        <f>CHOOSE(CONTROL!$C$42, 28.8496, 28.8496) * CHOOSE(CONTROL!$C$21, $C$9, 100%, $E$9)</f>
        <v>28.849599999999999</v>
      </c>
      <c r="F531" s="14">
        <f>CHOOSE(CONTROL!$C$42, 28.7311, 28.7311)*CHOOSE(CONTROL!$C$21, $C$9, 100%, $E$9)</f>
        <v>28.731100000000001</v>
      </c>
      <c r="G531" s="14">
        <f>CHOOSE(CONTROL!$C$42, 28.7464, 28.7464)*CHOOSE(CONTROL!$C$21, $C$9, 100%, $E$9)</f>
        <v>28.746400000000001</v>
      </c>
      <c r="H531" s="14">
        <f>CHOOSE(CONTROL!$C$42, 28.8388, 28.8388) * CHOOSE(CONTROL!$C$21, $C$9, 100%, $E$9)</f>
        <v>28.838799999999999</v>
      </c>
      <c r="I531" s="14">
        <f>CHOOSE(CONTROL!$C$42, 28.8417, 28.8417)* CHOOSE(CONTROL!$C$21, $C$9, 100%, $E$9)</f>
        <v>28.841699999999999</v>
      </c>
      <c r="J531" s="14">
        <f>CHOOSE(CONTROL!$C$42, 28.7241, 28.7241)* CHOOSE(CONTROL!$C$21, $C$9, 100%, $E$9)</f>
        <v>28.7241</v>
      </c>
      <c r="K531" s="53">
        <f>CHOOSE(CONTROL!$C$42, 28.8378, 28.8378) * CHOOSE(CONTROL!$C$21, $C$9, 100%, $E$9)</f>
        <v>28.837800000000001</v>
      </c>
      <c r="L531" s="14">
        <f>CHOOSE(CONTROL!$C$42, 29.4258, 29.4258) * CHOOSE(CONTROL!$C$21, $C$9, 100%, $E$9)</f>
        <v>29.425799999999999</v>
      </c>
      <c r="M531" s="14">
        <f>CHOOSE(CONTROL!$C$42, 28.1432, 28.1432) * CHOOSE(CONTROL!$C$21, $C$9, 100%, $E$9)</f>
        <v>28.1432</v>
      </c>
      <c r="N531" s="14">
        <f>CHOOSE(CONTROL!$C$42, 28.1583, 28.1583) * CHOOSE(CONTROL!$C$21, $C$9, 100%, $E$9)</f>
        <v>28.158300000000001</v>
      </c>
      <c r="O531" s="14">
        <f>CHOOSE(CONTROL!$C$42, 28.2556, 28.2556) * CHOOSE(CONTROL!$C$21, $C$9, 100%, $E$9)</f>
        <v>28.255600000000001</v>
      </c>
      <c r="P531" s="14">
        <f>CHOOSE(CONTROL!$C$42, 28.2567, 28.2567) * CHOOSE(CONTROL!$C$21, $C$9, 100%, $E$9)</f>
        <v>28.256699999999999</v>
      </c>
      <c r="Q531" s="14">
        <f>CHOOSE(CONTROL!$C$42, 28.8503, 28.8503) * CHOOSE(CONTROL!$C$21, $C$9, 100%, $E$9)</f>
        <v>28.850300000000001</v>
      </c>
      <c r="R531" s="14">
        <f>CHOOSE(CONTROL!$C$42, 29.5095, 29.5095) * CHOOSE(CONTROL!$C$21, $C$9, 100%, $E$9)</f>
        <v>29.509499999999999</v>
      </c>
      <c r="S531" s="14">
        <f>CHOOSE(CONTROL!$C$42, 27.6116, 27.6116) * CHOOSE(CONTROL!$C$21, $C$9, 100%, $E$9)</f>
        <v>27.611599999999999</v>
      </c>
      <c r="T53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31" s="57">
        <f>(1000*CHOOSE(CONTROL!$C$42, 695, 695)*CHOOSE(CONTROL!$C$42, 0.5599, 0.5599)*CHOOSE(CONTROL!$C$42, 31, 31))/1000000</f>
        <v>12.063045499999998</v>
      </c>
      <c r="V531" s="57">
        <f>(1000*CHOOSE(CONTROL!$C$42, 500, 500)*CHOOSE(CONTROL!$C$42, 0.275, 0.275)*CHOOSE(CONTROL!$C$42, 31, 31))/1000000</f>
        <v>4.2625000000000002</v>
      </c>
      <c r="W531" s="57">
        <f>(1000*CHOOSE(CONTROL!$C$42, 0.1146, 0.1146)*CHOOSE(CONTROL!$C$42, 121.5, 121.5)*CHOOSE(CONTROL!$C$42, 31, 31))/1000000</f>
        <v>0.43164089999999994</v>
      </c>
      <c r="X531" s="57">
        <f>(31*0.1790888*100000/1000000)+(31*0.2374*100000/1000000)</f>
        <v>1.2911152800000001</v>
      </c>
      <c r="Y531" s="57"/>
      <c r="Z531" s="14"/>
      <c r="AA531" s="56"/>
      <c r="AB531" s="50">
        <f>(B531*122.58+C531*297.941+D531*89.177+E531*40.302+F531*40+G531*160+H531*0+I531*100+J531*300)/(122.58+297.941+89.177+40.302+0+40+160+100+300)</f>
        <v>28.75775612678261</v>
      </c>
      <c r="AC531" s="45">
        <f>(M531*'RAP TEMPLATE-GAS AVAILABILITY'!O530+N531*'RAP TEMPLATE-GAS AVAILABILITY'!P530+O531*'RAP TEMPLATE-GAS AVAILABILITY'!Q530+P531*'RAP TEMPLATE-GAS AVAILABILITY'!R530)/('RAP TEMPLATE-GAS AVAILABILITY'!O530+'RAP TEMPLATE-GAS AVAILABILITY'!P530+'RAP TEMPLATE-GAS AVAILABILITY'!Q530+'RAP TEMPLATE-GAS AVAILABILITY'!R530)</f>
        <v>28.211343884892084</v>
      </c>
    </row>
    <row r="532" spans="1:29" ht="15.75" x14ac:dyDescent="0.25">
      <c r="A532" s="32">
        <v>57100</v>
      </c>
      <c r="B532" s="14">
        <f>CHOOSE(CONTROL!$C$42, 28.6592, 28.6592) * CHOOSE(CONTROL!$C$21, $C$9, 100%, $E$9)</f>
        <v>28.659199999999998</v>
      </c>
      <c r="C532" s="14">
        <f>CHOOSE(CONTROL!$C$42, 28.6637, 28.6637) * CHOOSE(CONTROL!$C$21, $C$9, 100%, $E$9)</f>
        <v>28.663699999999999</v>
      </c>
      <c r="D532" s="14">
        <f>CHOOSE(CONTROL!$C$42, 28.8707, 28.8707) * CHOOSE(CONTROL!$C$21, $C$9, 100%, $E$9)</f>
        <v>28.870699999999999</v>
      </c>
      <c r="E532" s="14">
        <f>CHOOSE(CONTROL!$C$42, 28.9029, 28.9029) * CHOOSE(CONTROL!$C$21, $C$9, 100%, $E$9)</f>
        <v>28.902899999999999</v>
      </c>
      <c r="F532" s="14">
        <f>CHOOSE(CONTROL!$C$42, 28.6411, 28.6411)*CHOOSE(CONTROL!$C$21, $C$9, 100%, $E$9)</f>
        <v>28.641100000000002</v>
      </c>
      <c r="G532" s="14">
        <f>CHOOSE(CONTROL!$C$42, 28.6563, 28.6563)*CHOOSE(CONTROL!$C$21, $C$9, 100%, $E$9)</f>
        <v>28.656300000000002</v>
      </c>
      <c r="H532" s="14">
        <f>CHOOSE(CONTROL!$C$42, 28.8926, 28.8926) * CHOOSE(CONTROL!$C$21, $C$9, 100%, $E$9)</f>
        <v>28.892600000000002</v>
      </c>
      <c r="I532" s="14">
        <f>CHOOSE(CONTROL!$C$42, 28.7558, 28.7558)* CHOOSE(CONTROL!$C$21, $C$9, 100%, $E$9)</f>
        <v>28.755800000000001</v>
      </c>
      <c r="J532" s="14">
        <f>CHOOSE(CONTROL!$C$42, 28.6341, 28.6341)* CHOOSE(CONTROL!$C$21, $C$9, 100%, $E$9)</f>
        <v>28.6341</v>
      </c>
      <c r="K532" s="53">
        <f>CHOOSE(CONTROL!$C$42, 28.7519, 28.7519) * CHOOSE(CONTROL!$C$21, $C$9, 100%, $E$9)</f>
        <v>28.751899999999999</v>
      </c>
      <c r="L532" s="14">
        <f>CHOOSE(CONTROL!$C$42, 29.4796, 29.4796) * CHOOSE(CONTROL!$C$21, $C$9, 100%, $E$9)</f>
        <v>29.479600000000001</v>
      </c>
      <c r="M532" s="14">
        <f>CHOOSE(CONTROL!$C$42, 28.0551, 28.0551) * CHOOSE(CONTROL!$C$21, $C$9, 100%, $E$9)</f>
        <v>28.055099999999999</v>
      </c>
      <c r="N532" s="14">
        <f>CHOOSE(CONTROL!$C$42, 28.07, 28.07) * CHOOSE(CONTROL!$C$21, $C$9, 100%, $E$9)</f>
        <v>28.07</v>
      </c>
      <c r="O532" s="14">
        <f>CHOOSE(CONTROL!$C$42, 28.3083, 28.3083) * CHOOSE(CONTROL!$C$21, $C$9, 100%, $E$9)</f>
        <v>28.308299999999999</v>
      </c>
      <c r="P532" s="14">
        <f>CHOOSE(CONTROL!$C$42, 28.1726, 28.1726) * CHOOSE(CONTROL!$C$21, $C$9, 100%, $E$9)</f>
        <v>28.172599999999999</v>
      </c>
      <c r="Q532" s="14">
        <f>CHOOSE(CONTROL!$C$42, 28.903, 28.903) * CHOOSE(CONTROL!$C$21, $C$9, 100%, $E$9)</f>
        <v>28.902999999999999</v>
      </c>
      <c r="R532" s="14">
        <f>CHOOSE(CONTROL!$C$42, 29.5623, 29.5623) * CHOOSE(CONTROL!$C$21, $C$9, 100%, $E$9)</f>
        <v>29.5623</v>
      </c>
      <c r="S532" s="14">
        <f>CHOOSE(CONTROL!$C$42, 27.5293, 27.5293) * CHOOSE(CONTROL!$C$21, $C$9, 100%, $E$9)</f>
        <v>27.529299999999999</v>
      </c>
      <c r="T53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32" s="57">
        <f>(1000*CHOOSE(CONTROL!$C$42, 695, 695)*CHOOSE(CONTROL!$C$42, 0.5599, 0.5599)*CHOOSE(CONTROL!$C$42, 30, 30))/1000000</f>
        <v>11.673914999999997</v>
      </c>
      <c r="V532" s="57">
        <f>(1000*CHOOSE(CONTROL!$C$42, 500, 500)*CHOOSE(CONTROL!$C$42, 0.275, 0.275)*CHOOSE(CONTROL!$C$42, 30, 30))/1000000</f>
        <v>4.125</v>
      </c>
      <c r="W532" s="57">
        <f>(1000*CHOOSE(CONTROL!$C$42, 0.1146, 0.1146)*CHOOSE(CONTROL!$C$42, 121.5, 121.5)*CHOOSE(CONTROL!$C$42, 30, 30))/1000000</f>
        <v>0.417717</v>
      </c>
      <c r="X532" s="57">
        <f>(30*0.1790888*245000/1000000)+(30*0.2374*100000/1000000)</f>
        <v>2.0285026799999999</v>
      </c>
      <c r="Y532" s="57"/>
      <c r="Z532" s="14"/>
      <c r="AA532" s="56"/>
      <c r="AB532" s="50">
        <f>(B532*141.293+C532*267.993+D532*115.016+E532*89.698+F532*40+G532*185+H532*0+I532*100+J532*300)/(141.293+267.993+115.016+89.698+0+40+185+100+300)</f>
        <v>28.698151376190474</v>
      </c>
      <c r="AC532" s="45">
        <f>(M532*'RAP TEMPLATE-GAS AVAILABILITY'!O531+N532*'RAP TEMPLATE-GAS AVAILABILITY'!P531+O532*'RAP TEMPLATE-GAS AVAILABILITY'!Q531+P532*'RAP TEMPLATE-GAS AVAILABILITY'!R531)/('RAP TEMPLATE-GAS AVAILABILITY'!O531+'RAP TEMPLATE-GAS AVAILABILITY'!P531+'RAP TEMPLATE-GAS AVAILABILITY'!Q531+'RAP TEMPLATE-GAS AVAILABILITY'!R531)</f>
        <v>28.146478417266184</v>
      </c>
    </row>
    <row r="533" spans="1:29" ht="15.75" x14ac:dyDescent="0.25">
      <c r="A533" s="32">
        <v>57131</v>
      </c>
      <c r="B533" s="14">
        <f>CHOOSE(CONTROL!$C$42, 28.9134, 28.9134) * CHOOSE(CONTROL!$C$21, $C$9, 100%, $E$9)</f>
        <v>28.913399999999999</v>
      </c>
      <c r="C533" s="14">
        <f>CHOOSE(CONTROL!$C$42, 28.9215, 28.9215) * CHOOSE(CONTROL!$C$21, $C$9, 100%, $E$9)</f>
        <v>28.921500000000002</v>
      </c>
      <c r="D533" s="14">
        <f>CHOOSE(CONTROL!$C$42, 29.1254, 29.1254) * CHOOSE(CONTROL!$C$21, $C$9, 100%, $E$9)</f>
        <v>29.125399999999999</v>
      </c>
      <c r="E533" s="14">
        <f>CHOOSE(CONTROL!$C$42, 29.1569, 29.1569) * CHOOSE(CONTROL!$C$21, $C$9, 100%, $E$9)</f>
        <v>29.1569</v>
      </c>
      <c r="F533" s="14">
        <f>CHOOSE(CONTROL!$C$42, 28.8942, 28.8942)*CHOOSE(CONTROL!$C$21, $C$9, 100%, $E$9)</f>
        <v>28.894200000000001</v>
      </c>
      <c r="G533" s="14">
        <f>CHOOSE(CONTROL!$C$42, 28.9098, 28.9098)*CHOOSE(CONTROL!$C$21, $C$9, 100%, $E$9)</f>
        <v>28.909800000000001</v>
      </c>
      <c r="H533" s="14">
        <f>CHOOSE(CONTROL!$C$42, 29.1455, 29.1455) * CHOOSE(CONTROL!$C$21, $C$9, 100%, $E$9)</f>
        <v>29.145499999999998</v>
      </c>
      <c r="I533" s="14">
        <f>CHOOSE(CONTROL!$C$42, 29.0094, 29.0094)* CHOOSE(CONTROL!$C$21, $C$9, 100%, $E$9)</f>
        <v>29.009399999999999</v>
      </c>
      <c r="J533" s="14">
        <f>CHOOSE(CONTROL!$C$42, 28.8872, 28.8872)* CHOOSE(CONTROL!$C$21, $C$9, 100%, $E$9)</f>
        <v>28.8872</v>
      </c>
      <c r="K533" s="53">
        <f>CHOOSE(CONTROL!$C$42, 29.0055, 29.0055) * CHOOSE(CONTROL!$C$21, $C$9, 100%, $E$9)</f>
        <v>29.005500000000001</v>
      </c>
      <c r="L533" s="14">
        <f>CHOOSE(CONTROL!$C$42, 29.7325, 29.7325) * CHOOSE(CONTROL!$C$21, $C$9, 100%, $E$9)</f>
        <v>29.732500000000002</v>
      </c>
      <c r="M533" s="14">
        <f>CHOOSE(CONTROL!$C$42, 28.303, 28.303) * CHOOSE(CONTROL!$C$21, $C$9, 100%, $E$9)</f>
        <v>28.303000000000001</v>
      </c>
      <c r="N533" s="14">
        <f>CHOOSE(CONTROL!$C$42, 28.3183, 28.3183) * CHOOSE(CONTROL!$C$21, $C$9, 100%, $E$9)</f>
        <v>28.318300000000001</v>
      </c>
      <c r="O533" s="14">
        <f>CHOOSE(CONTROL!$C$42, 28.556, 28.556) * CHOOSE(CONTROL!$C$21, $C$9, 100%, $E$9)</f>
        <v>28.556000000000001</v>
      </c>
      <c r="P533" s="14">
        <f>CHOOSE(CONTROL!$C$42, 28.421, 28.421) * CHOOSE(CONTROL!$C$21, $C$9, 100%, $E$9)</f>
        <v>28.420999999999999</v>
      </c>
      <c r="Q533" s="14">
        <f>CHOOSE(CONTROL!$C$42, 29.1507, 29.1507) * CHOOSE(CONTROL!$C$21, $C$9, 100%, $E$9)</f>
        <v>29.150700000000001</v>
      </c>
      <c r="R533" s="14">
        <f>CHOOSE(CONTROL!$C$42, 29.8106, 29.8106) * CHOOSE(CONTROL!$C$21, $C$9, 100%, $E$9)</f>
        <v>29.810600000000001</v>
      </c>
      <c r="S533" s="14">
        <f>CHOOSE(CONTROL!$C$42, 27.7723, 27.7723) * CHOOSE(CONTROL!$C$21, $C$9, 100%, $E$9)</f>
        <v>27.772300000000001</v>
      </c>
      <c r="T53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33" s="57">
        <f>(1000*CHOOSE(CONTROL!$C$42, 695, 695)*CHOOSE(CONTROL!$C$42, 0.5599, 0.5599)*CHOOSE(CONTROL!$C$42, 31, 31))/1000000</f>
        <v>12.063045499999998</v>
      </c>
      <c r="V533" s="57">
        <f>(1000*CHOOSE(CONTROL!$C$42, 500, 500)*CHOOSE(CONTROL!$C$42, 0.275, 0.275)*CHOOSE(CONTROL!$C$42, 31, 31))/1000000</f>
        <v>4.2625000000000002</v>
      </c>
      <c r="W533" s="57">
        <f>(1000*CHOOSE(CONTROL!$C$42, 0.1146, 0.1146)*CHOOSE(CONTROL!$C$42, 121.5, 121.5)*CHOOSE(CONTROL!$C$42, 31, 31))/1000000</f>
        <v>0.43164089999999994</v>
      </c>
      <c r="X533" s="57">
        <f>(31*0.1790888*245000/1000000)+(31*0.2374*100000/1000000)</f>
        <v>2.0961194359999999</v>
      </c>
      <c r="Y533" s="57"/>
      <c r="Z533" s="14"/>
      <c r="AA533" s="56"/>
      <c r="AB533" s="50">
        <f>(B533*194.205+C533*267.466+D533*133.845+E533*53.484+F533*40+G533*185+H533*0+I533*100+J533*300)/(194.205+267.466+133.845+53.484+0+40+185+100+300)</f>
        <v>28.947835611145997</v>
      </c>
      <c r="AC533" s="45">
        <f>(M533*'RAP TEMPLATE-GAS AVAILABILITY'!O532+N533*'RAP TEMPLATE-GAS AVAILABILITY'!P532+O533*'RAP TEMPLATE-GAS AVAILABILITY'!Q532+P533*'RAP TEMPLATE-GAS AVAILABILITY'!R532)/('RAP TEMPLATE-GAS AVAILABILITY'!O532+'RAP TEMPLATE-GAS AVAILABILITY'!P532+'RAP TEMPLATE-GAS AVAILABILITY'!Q532+'RAP TEMPLATE-GAS AVAILABILITY'!R532)</f>
        <v>28.394486330935248</v>
      </c>
    </row>
    <row r="534" spans="1:29" ht="15.75" x14ac:dyDescent="0.25">
      <c r="A534" s="32">
        <v>57161</v>
      </c>
      <c r="B534" s="14">
        <f>CHOOSE(CONTROL!$C$42, 29.7333, 29.7333) * CHOOSE(CONTROL!$C$21, $C$9, 100%, $E$9)</f>
        <v>29.7333</v>
      </c>
      <c r="C534" s="14">
        <f>CHOOSE(CONTROL!$C$42, 29.7413, 29.7413) * CHOOSE(CONTROL!$C$21, $C$9, 100%, $E$9)</f>
        <v>29.741299999999999</v>
      </c>
      <c r="D534" s="14">
        <f>CHOOSE(CONTROL!$C$42, 29.9452, 29.9452) * CHOOSE(CONTROL!$C$21, $C$9, 100%, $E$9)</f>
        <v>29.9452</v>
      </c>
      <c r="E534" s="14">
        <f>CHOOSE(CONTROL!$C$42, 29.9767, 29.9767) * CHOOSE(CONTROL!$C$21, $C$9, 100%, $E$9)</f>
        <v>29.976700000000001</v>
      </c>
      <c r="F534" s="14">
        <f>CHOOSE(CONTROL!$C$42, 29.7144, 29.7144)*CHOOSE(CONTROL!$C$21, $C$9, 100%, $E$9)</f>
        <v>29.714400000000001</v>
      </c>
      <c r="G534" s="14">
        <f>CHOOSE(CONTROL!$C$42, 29.7302, 29.7302)*CHOOSE(CONTROL!$C$21, $C$9, 100%, $E$9)</f>
        <v>29.7302</v>
      </c>
      <c r="H534" s="14">
        <f>CHOOSE(CONTROL!$C$42, 29.9653, 29.9653) * CHOOSE(CONTROL!$C$21, $C$9, 100%, $E$9)</f>
        <v>29.965299999999999</v>
      </c>
      <c r="I534" s="14">
        <f>CHOOSE(CONTROL!$C$42, 29.8318, 29.8318)* CHOOSE(CONTROL!$C$21, $C$9, 100%, $E$9)</f>
        <v>29.831800000000001</v>
      </c>
      <c r="J534" s="14">
        <f>CHOOSE(CONTROL!$C$42, 29.7074, 29.7074)* CHOOSE(CONTROL!$C$21, $C$9, 100%, $E$9)</f>
        <v>29.7074</v>
      </c>
      <c r="K534" s="53">
        <f>CHOOSE(CONTROL!$C$42, 29.8279, 29.8279) * CHOOSE(CONTROL!$C$21, $C$9, 100%, $E$9)</f>
        <v>29.8279</v>
      </c>
      <c r="L534" s="14">
        <f>CHOOSE(CONTROL!$C$42, 30.5523, 30.5523) * CHOOSE(CONTROL!$C$21, $C$9, 100%, $E$9)</f>
        <v>30.552299999999999</v>
      </c>
      <c r="M534" s="14">
        <f>CHOOSE(CONTROL!$C$42, 29.1064, 29.1064) * CHOOSE(CONTROL!$C$21, $C$9, 100%, $E$9)</f>
        <v>29.106400000000001</v>
      </c>
      <c r="N534" s="14">
        <f>CHOOSE(CONTROL!$C$42, 29.1219, 29.1219) * CHOOSE(CONTROL!$C$21, $C$9, 100%, $E$9)</f>
        <v>29.1219</v>
      </c>
      <c r="O534" s="14">
        <f>CHOOSE(CONTROL!$C$42, 29.359, 29.359) * CHOOSE(CONTROL!$C$21, $C$9, 100%, $E$9)</f>
        <v>29.359000000000002</v>
      </c>
      <c r="P534" s="14">
        <f>CHOOSE(CONTROL!$C$42, 29.2265, 29.2265) * CHOOSE(CONTROL!$C$21, $C$9, 100%, $E$9)</f>
        <v>29.226500000000001</v>
      </c>
      <c r="Q534" s="14">
        <f>CHOOSE(CONTROL!$C$42, 29.9537, 29.9537) * CHOOSE(CONTROL!$C$21, $C$9, 100%, $E$9)</f>
        <v>29.953700000000001</v>
      </c>
      <c r="R534" s="14">
        <f>CHOOSE(CONTROL!$C$42, 30.6156, 30.6156) * CHOOSE(CONTROL!$C$21, $C$9, 100%, $E$9)</f>
        <v>30.615600000000001</v>
      </c>
      <c r="S534" s="14">
        <f>CHOOSE(CONTROL!$C$42, 28.5601, 28.5601) * CHOOSE(CONTROL!$C$21, $C$9, 100%, $E$9)</f>
        <v>28.560099999999998</v>
      </c>
      <c r="T53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34" s="57">
        <f>(1000*CHOOSE(CONTROL!$C$42, 695, 695)*CHOOSE(CONTROL!$C$42, 0.5599, 0.5599)*CHOOSE(CONTROL!$C$42, 30, 30))/1000000</f>
        <v>11.673914999999997</v>
      </c>
      <c r="V534" s="57">
        <f>(1000*CHOOSE(CONTROL!$C$42, 500, 500)*CHOOSE(CONTROL!$C$42, 0.275, 0.275)*CHOOSE(CONTROL!$C$42, 30, 30))/1000000</f>
        <v>4.125</v>
      </c>
      <c r="W534" s="57">
        <f>(1000*CHOOSE(CONTROL!$C$42, 0.1146, 0.1146)*CHOOSE(CONTROL!$C$42, 121.5, 121.5)*CHOOSE(CONTROL!$C$42, 30, 30))/1000000</f>
        <v>0.417717</v>
      </c>
      <c r="X534" s="57">
        <f>(30*0.1790888*245000/1000000)+(30*0.2374*100000/1000000)</f>
        <v>2.0285026799999999</v>
      </c>
      <c r="Y534" s="57"/>
      <c r="Z534" s="14"/>
      <c r="AA534" s="56"/>
      <c r="AB534" s="50">
        <f>(B534*194.205+C534*267.466+D534*133.845+E534*53.484+F534*40+G534*185+H534*0+I534*100+J534*300)/(194.205+267.466+133.845+53.484+0+40+185+100+300)</f>
        <v>29.768048814050239</v>
      </c>
      <c r="AC534" s="45">
        <f>(M534*'RAP TEMPLATE-GAS AVAILABILITY'!O533+N534*'RAP TEMPLATE-GAS AVAILABILITY'!P533+O534*'RAP TEMPLATE-GAS AVAILABILITY'!Q533+P534*'RAP TEMPLATE-GAS AVAILABILITY'!R533)/('RAP TEMPLATE-GAS AVAILABILITY'!O533+'RAP TEMPLATE-GAS AVAILABILITY'!P533+'RAP TEMPLATE-GAS AVAILABILITY'!Q533+'RAP TEMPLATE-GAS AVAILABILITY'!R533)</f>
        <v>29.198122302158279</v>
      </c>
    </row>
    <row r="535" spans="1:29" ht="15.75" x14ac:dyDescent="0.25">
      <c r="A535" s="32">
        <v>57192</v>
      </c>
      <c r="B535" s="14">
        <f>CHOOSE(CONTROL!$C$42, 29.1631, 29.1631) * CHOOSE(CONTROL!$C$21, $C$9, 100%, $E$9)</f>
        <v>29.1631</v>
      </c>
      <c r="C535" s="14">
        <f>CHOOSE(CONTROL!$C$42, 29.1711, 29.1711) * CHOOSE(CONTROL!$C$21, $C$9, 100%, $E$9)</f>
        <v>29.171099999999999</v>
      </c>
      <c r="D535" s="14">
        <f>CHOOSE(CONTROL!$C$42, 29.375, 29.375) * CHOOSE(CONTROL!$C$21, $C$9, 100%, $E$9)</f>
        <v>29.375</v>
      </c>
      <c r="E535" s="14">
        <f>CHOOSE(CONTROL!$C$42, 29.4065, 29.4065) * CHOOSE(CONTROL!$C$21, $C$9, 100%, $E$9)</f>
        <v>29.406500000000001</v>
      </c>
      <c r="F535" s="14">
        <f>CHOOSE(CONTROL!$C$42, 29.1447, 29.1447)*CHOOSE(CONTROL!$C$21, $C$9, 100%, $E$9)</f>
        <v>29.1447</v>
      </c>
      <c r="G535" s="14">
        <f>CHOOSE(CONTROL!$C$42, 29.1606, 29.1606)*CHOOSE(CONTROL!$C$21, $C$9, 100%, $E$9)</f>
        <v>29.160599999999999</v>
      </c>
      <c r="H535" s="14">
        <f>CHOOSE(CONTROL!$C$42, 29.3951, 29.3951) * CHOOSE(CONTROL!$C$21, $C$9, 100%, $E$9)</f>
        <v>29.395099999999999</v>
      </c>
      <c r="I535" s="14">
        <f>CHOOSE(CONTROL!$C$42, 29.2598, 29.2598)* CHOOSE(CONTROL!$C$21, $C$9, 100%, $E$9)</f>
        <v>29.259799999999998</v>
      </c>
      <c r="J535" s="14">
        <f>CHOOSE(CONTROL!$C$42, 29.1377, 29.1377)* CHOOSE(CONTROL!$C$21, $C$9, 100%, $E$9)</f>
        <v>29.137699999999999</v>
      </c>
      <c r="K535" s="53">
        <f>CHOOSE(CONTROL!$C$42, 29.256, 29.256) * CHOOSE(CONTROL!$C$21, $C$9, 100%, $E$9)</f>
        <v>29.256</v>
      </c>
      <c r="L535" s="14">
        <f>CHOOSE(CONTROL!$C$42, 29.9821, 29.9821) * CHOOSE(CONTROL!$C$21, $C$9, 100%, $E$9)</f>
        <v>29.982099999999999</v>
      </c>
      <c r="M535" s="14">
        <f>CHOOSE(CONTROL!$C$42, 28.5484, 28.5484) * CHOOSE(CONTROL!$C$21, $C$9, 100%, $E$9)</f>
        <v>28.548400000000001</v>
      </c>
      <c r="N535" s="14">
        <f>CHOOSE(CONTROL!$C$42, 28.5639, 28.5639) * CHOOSE(CONTROL!$C$21, $C$9, 100%, $E$9)</f>
        <v>28.5639</v>
      </c>
      <c r="O535" s="14">
        <f>CHOOSE(CONTROL!$C$42, 28.8005, 28.8005) * CHOOSE(CONTROL!$C$21, $C$9, 100%, $E$9)</f>
        <v>28.8005</v>
      </c>
      <c r="P535" s="14">
        <f>CHOOSE(CONTROL!$C$42, 28.6663, 28.6663) * CHOOSE(CONTROL!$C$21, $C$9, 100%, $E$9)</f>
        <v>28.6663</v>
      </c>
      <c r="Q535" s="14">
        <f>CHOOSE(CONTROL!$C$42, 29.3952, 29.3952) * CHOOSE(CONTROL!$C$21, $C$9, 100%, $E$9)</f>
        <v>29.395199999999999</v>
      </c>
      <c r="R535" s="14">
        <f>CHOOSE(CONTROL!$C$42, 30.0557, 30.0557) * CHOOSE(CONTROL!$C$21, $C$9, 100%, $E$9)</f>
        <v>30.055700000000002</v>
      </c>
      <c r="S535" s="14">
        <f>CHOOSE(CONTROL!$C$42, 28.0122, 28.0122) * CHOOSE(CONTROL!$C$21, $C$9, 100%, $E$9)</f>
        <v>28.0122</v>
      </c>
      <c r="T53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35" s="57">
        <f>(1000*CHOOSE(CONTROL!$C$42, 695, 695)*CHOOSE(CONTROL!$C$42, 0.5599, 0.5599)*CHOOSE(CONTROL!$C$42, 31, 31))/1000000</f>
        <v>12.063045499999998</v>
      </c>
      <c r="V535" s="57">
        <f>(1000*CHOOSE(CONTROL!$C$42, 500, 500)*CHOOSE(CONTROL!$C$42, 0.275, 0.275)*CHOOSE(CONTROL!$C$42, 31, 31))/1000000</f>
        <v>4.2625000000000002</v>
      </c>
      <c r="W535" s="57">
        <f>(1000*CHOOSE(CONTROL!$C$42, 0.1146, 0.1146)*CHOOSE(CONTROL!$C$42, 121.5, 121.5)*CHOOSE(CONTROL!$C$42, 31, 31))/1000000</f>
        <v>0.43164089999999994</v>
      </c>
      <c r="X535" s="57">
        <f>(31*0.1790888*245000/1000000)+(31*0.2374*100000/1000000)</f>
        <v>2.0961194359999999</v>
      </c>
      <c r="Y535" s="57"/>
      <c r="Z535" s="14"/>
      <c r="AA535" s="56"/>
      <c r="AB535" s="50">
        <f>(B535*194.205+C535*267.466+D535*133.845+E535*53.484+F535*40+G535*185+H535*0+I535*100+J535*300)/(194.205+267.466+133.845+53.484+0+40+185+100+300)</f>
        <v>29.19792809191523</v>
      </c>
      <c r="AC535" s="45">
        <f>(M535*'RAP TEMPLATE-GAS AVAILABILITY'!O534+N535*'RAP TEMPLATE-GAS AVAILABILITY'!P534+O535*'RAP TEMPLATE-GAS AVAILABILITY'!Q534+P535*'RAP TEMPLATE-GAS AVAILABILITY'!R534)/('RAP TEMPLATE-GAS AVAILABILITY'!O534+'RAP TEMPLATE-GAS AVAILABILITY'!P534+'RAP TEMPLATE-GAS AVAILABILITY'!Q534+'RAP TEMPLATE-GAS AVAILABILITY'!R534)</f>
        <v>28.6396654676259</v>
      </c>
    </row>
    <row r="536" spans="1:29" ht="15.75" x14ac:dyDescent="0.25">
      <c r="A536" s="32">
        <v>57223</v>
      </c>
      <c r="B536" s="14">
        <f>CHOOSE(CONTROL!$C$42, 27.7232, 27.7232) * CHOOSE(CONTROL!$C$21, $C$9, 100%, $E$9)</f>
        <v>27.723199999999999</v>
      </c>
      <c r="C536" s="14">
        <f>CHOOSE(CONTROL!$C$42, 27.7312, 27.7312) * CHOOSE(CONTROL!$C$21, $C$9, 100%, $E$9)</f>
        <v>27.731200000000001</v>
      </c>
      <c r="D536" s="14">
        <f>CHOOSE(CONTROL!$C$42, 27.9351, 27.9351) * CHOOSE(CONTROL!$C$21, $C$9, 100%, $E$9)</f>
        <v>27.935099999999998</v>
      </c>
      <c r="E536" s="14">
        <f>CHOOSE(CONTROL!$C$42, 27.9666, 27.9666) * CHOOSE(CONTROL!$C$21, $C$9, 100%, $E$9)</f>
        <v>27.9666</v>
      </c>
      <c r="F536" s="14">
        <f>CHOOSE(CONTROL!$C$42, 27.705, 27.705)*CHOOSE(CONTROL!$C$21, $C$9, 100%, $E$9)</f>
        <v>27.704999999999998</v>
      </c>
      <c r="G536" s="14">
        <f>CHOOSE(CONTROL!$C$42, 27.721, 27.721)*CHOOSE(CONTROL!$C$21, $C$9, 100%, $E$9)</f>
        <v>27.721</v>
      </c>
      <c r="H536" s="14">
        <f>CHOOSE(CONTROL!$C$42, 27.9552, 27.9552) * CHOOSE(CONTROL!$C$21, $C$9, 100%, $E$9)</f>
        <v>27.955200000000001</v>
      </c>
      <c r="I536" s="14">
        <f>CHOOSE(CONTROL!$C$42, 27.8154, 27.8154)* CHOOSE(CONTROL!$C$21, $C$9, 100%, $E$9)</f>
        <v>27.8154</v>
      </c>
      <c r="J536" s="14">
        <f>CHOOSE(CONTROL!$C$42, 27.698, 27.698)* CHOOSE(CONTROL!$C$21, $C$9, 100%, $E$9)</f>
        <v>27.698</v>
      </c>
      <c r="K536" s="53">
        <f>CHOOSE(CONTROL!$C$42, 27.8115, 27.8115) * CHOOSE(CONTROL!$C$21, $C$9, 100%, $E$9)</f>
        <v>27.811499999999999</v>
      </c>
      <c r="L536" s="14">
        <f>CHOOSE(CONTROL!$C$42, 28.5422, 28.5422) * CHOOSE(CONTROL!$C$21, $C$9, 100%, $E$9)</f>
        <v>28.542200000000001</v>
      </c>
      <c r="M536" s="14">
        <f>CHOOSE(CONTROL!$C$42, 27.1382, 27.1382) * CHOOSE(CONTROL!$C$21, $C$9, 100%, $E$9)</f>
        <v>27.138200000000001</v>
      </c>
      <c r="N536" s="14">
        <f>CHOOSE(CONTROL!$C$42, 27.1538, 27.1538) * CHOOSE(CONTROL!$C$21, $C$9, 100%, $E$9)</f>
        <v>27.1538</v>
      </c>
      <c r="O536" s="14">
        <f>CHOOSE(CONTROL!$C$42, 27.3901, 27.3901) * CHOOSE(CONTROL!$C$21, $C$9, 100%, $E$9)</f>
        <v>27.3901</v>
      </c>
      <c r="P536" s="14">
        <f>CHOOSE(CONTROL!$C$42, 27.2515, 27.2515) * CHOOSE(CONTROL!$C$21, $C$9, 100%, $E$9)</f>
        <v>27.2515</v>
      </c>
      <c r="Q536" s="14">
        <f>CHOOSE(CONTROL!$C$42, 27.9848, 27.9848) * CHOOSE(CONTROL!$C$21, $C$9, 100%, $E$9)</f>
        <v>27.9848</v>
      </c>
      <c r="R536" s="14">
        <f>CHOOSE(CONTROL!$C$42, 28.6418, 28.6418) * CHOOSE(CONTROL!$C$21, $C$9, 100%, $E$9)</f>
        <v>28.6418</v>
      </c>
      <c r="S536" s="14">
        <f>CHOOSE(CONTROL!$C$42, 26.6285, 26.6285) * CHOOSE(CONTROL!$C$21, $C$9, 100%, $E$9)</f>
        <v>26.628499999999999</v>
      </c>
      <c r="T53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36" s="57">
        <f>(1000*CHOOSE(CONTROL!$C$42, 695, 695)*CHOOSE(CONTROL!$C$42, 0.5599, 0.5599)*CHOOSE(CONTROL!$C$42, 31, 31))/1000000</f>
        <v>12.063045499999998</v>
      </c>
      <c r="V536" s="57">
        <f>(1000*CHOOSE(CONTROL!$C$42, 500, 500)*CHOOSE(CONTROL!$C$42, 0.275, 0.275)*CHOOSE(CONTROL!$C$42, 31, 31))/1000000</f>
        <v>4.2625000000000002</v>
      </c>
      <c r="W536" s="57">
        <f>(1000*CHOOSE(CONTROL!$C$42, 0.1146, 0.1146)*CHOOSE(CONTROL!$C$42, 121.5, 121.5)*CHOOSE(CONTROL!$C$42, 31, 31))/1000000</f>
        <v>0.43164089999999994</v>
      </c>
      <c r="X536" s="57">
        <f>(31*0.1790888*245000/1000000)+(31*0.2374*100000/1000000)</f>
        <v>2.0961194359999999</v>
      </c>
      <c r="Y536" s="57"/>
      <c r="Z536" s="14"/>
      <c r="AA536" s="56"/>
      <c r="AB536" s="50">
        <f>(B536*194.205+C536*267.466+D536*133.845+E536*53.484+F536*40+G536*185+H536*0+I536*100+J536*300)/(194.205+267.466+133.845+53.484+0+40+185+100+300)</f>
        <v>27.757771812480378</v>
      </c>
      <c r="AC536" s="45">
        <f>(M536*'RAP TEMPLATE-GAS AVAILABILITY'!O535+N536*'RAP TEMPLATE-GAS AVAILABILITY'!P535+O536*'RAP TEMPLATE-GAS AVAILABILITY'!Q535+P536*'RAP TEMPLATE-GAS AVAILABILITY'!R535)/('RAP TEMPLATE-GAS AVAILABILITY'!O535+'RAP TEMPLATE-GAS AVAILABILITY'!P535+'RAP TEMPLATE-GAS AVAILABILITY'!Q535+'RAP TEMPLATE-GAS AVAILABILITY'!R535)</f>
        <v>27.228770503597129</v>
      </c>
    </row>
    <row r="537" spans="1:29" ht="15.75" x14ac:dyDescent="0.25">
      <c r="A537" s="32">
        <v>57253</v>
      </c>
      <c r="B537" s="14">
        <f>CHOOSE(CONTROL!$C$42, 25.9635, 25.9635) * CHOOSE(CONTROL!$C$21, $C$9, 100%, $E$9)</f>
        <v>25.9635</v>
      </c>
      <c r="C537" s="14">
        <f>CHOOSE(CONTROL!$C$42, 25.9715, 25.9715) * CHOOSE(CONTROL!$C$21, $C$9, 100%, $E$9)</f>
        <v>25.971499999999999</v>
      </c>
      <c r="D537" s="14">
        <f>CHOOSE(CONTROL!$C$42, 26.1754, 26.1754) * CHOOSE(CONTROL!$C$21, $C$9, 100%, $E$9)</f>
        <v>26.1754</v>
      </c>
      <c r="E537" s="14">
        <f>CHOOSE(CONTROL!$C$42, 26.2069, 26.2069) * CHOOSE(CONTROL!$C$21, $C$9, 100%, $E$9)</f>
        <v>26.206900000000001</v>
      </c>
      <c r="F537" s="14">
        <f>CHOOSE(CONTROL!$C$42, 25.9454, 25.9454)*CHOOSE(CONTROL!$C$21, $C$9, 100%, $E$9)</f>
        <v>25.945399999999999</v>
      </c>
      <c r="G537" s="14">
        <f>CHOOSE(CONTROL!$C$42, 25.9613, 25.9613)*CHOOSE(CONTROL!$C$21, $C$9, 100%, $E$9)</f>
        <v>25.961300000000001</v>
      </c>
      <c r="H537" s="14">
        <f>CHOOSE(CONTROL!$C$42, 26.1955, 26.1955) * CHOOSE(CONTROL!$C$21, $C$9, 100%, $E$9)</f>
        <v>26.195499999999999</v>
      </c>
      <c r="I537" s="14">
        <f>CHOOSE(CONTROL!$C$42, 26.0502, 26.0502)* CHOOSE(CONTROL!$C$21, $C$9, 100%, $E$9)</f>
        <v>26.0502</v>
      </c>
      <c r="J537" s="14">
        <f>CHOOSE(CONTROL!$C$42, 25.9384, 25.9384)* CHOOSE(CONTROL!$C$21, $C$9, 100%, $E$9)</f>
        <v>25.938400000000001</v>
      </c>
      <c r="K537" s="53">
        <f>CHOOSE(CONTROL!$C$42, 26.0463, 26.0463) * CHOOSE(CONTROL!$C$21, $C$9, 100%, $E$9)</f>
        <v>26.046299999999999</v>
      </c>
      <c r="L537" s="14">
        <f>CHOOSE(CONTROL!$C$42, 26.7825, 26.7825) * CHOOSE(CONTROL!$C$21, $C$9, 100%, $E$9)</f>
        <v>26.782499999999999</v>
      </c>
      <c r="M537" s="14">
        <f>CHOOSE(CONTROL!$C$42, 25.4146, 25.4146) * CHOOSE(CONTROL!$C$21, $C$9, 100%, $E$9)</f>
        <v>25.4146</v>
      </c>
      <c r="N537" s="14">
        <f>CHOOSE(CONTROL!$C$42, 25.4302, 25.4302) * CHOOSE(CONTROL!$C$21, $C$9, 100%, $E$9)</f>
        <v>25.430199999999999</v>
      </c>
      <c r="O537" s="14">
        <f>CHOOSE(CONTROL!$C$42, 25.6665, 25.6665) * CHOOSE(CONTROL!$C$21, $C$9, 100%, $E$9)</f>
        <v>25.666499999999999</v>
      </c>
      <c r="P537" s="14">
        <f>CHOOSE(CONTROL!$C$42, 25.5226, 25.5226) * CHOOSE(CONTROL!$C$21, $C$9, 100%, $E$9)</f>
        <v>25.522600000000001</v>
      </c>
      <c r="Q537" s="14">
        <f>CHOOSE(CONTROL!$C$42, 26.2612, 26.2612) * CHOOSE(CONTROL!$C$21, $C$9, 100%, $E$9)</f>
        <v>26.261199999999999</v>
      </c>
      <c r="R537" s="14">
        <f>CHOOSE(CONTROL!$C$42, 26.9138, 26.9138) * CHOOSE(CONTROL!$C$21, $C$9, 100%, $E$9)</f>
        <v>26.913799999999998</v>
      </c>
      <c r="S537" s="14">
        <f>CHOOSE(CONTROL!$C$42, 24.9376, 24.9376) * CHOOSE(CONTROL!$C$21, $C$9, 100%, $E$9)</f>
        <v>24.9376</v>
      </c>
      <c r="T53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37" s="57">
        <f>(1000*CHOOSE(CONTROL!$C$42, 695, 695)*CHOOSE(CONTROL!$C$42, 0.5599, 0.5599)*CHOOSE(CONTROL!$C$42, 30, 30))/1000000</f>
        <v>11.673914999999997</v>
      </c>
      <c r="V537" s="57">
        <f>(1000*CHOOSE(CONTROL!$C$42, 500, 500)*CHOOSE(CONTROL!$C$42, 0.275, 0.275)*CHOOSE(CONTROL!$C$42, 30, 30))/1000000</f>
        <v>4.125</v>
      </c>
      <c r="W537" s="57">
        <f>(1000*CHOOSE(CONTROL!$C$42, 0.1146, 0.1146)*CHOOSE(CONTROL!$C$42, 121.5, 121.5)*CHOOSE(CONTROL!$C$42, 30, 30))/1000000</f>
        <v>0.417717</v>
      </c>
      <c r="X537" s="57">
        <f>(30*0.1790888*245000/1000000)+(30*0.2374*100000/1000000)</f>
        <v>2.0285026799999999</v>
      </c>
      <c r="Y537" s="57"/>
      <c r="Z537" s="14"/>
      <c r="AA537" s="56"/>
      <c r="AB537" s="50">
        <f>(B537*194.205+C537*267.466+D537*133.845+E537*53.484+F537*40+G537*185+H537*0+I537*100+J537*300)/(194.205+267.466+133.845+53.484+0+40+185+100+300)</f>
        <v>25.997666788932495</v>
      </c>
      <c r="AC537" s="45">
        <f>(M537*'RAP TEMPLATE-GAS AVAILABILITY'!O536+N537*'RAP TEMPLATE-GAS AVAILABILITY'!P536+O537*'RAP TEMPLATE-GAS AVAILABILITY'!Q536+P537*'RAP TEMPLATE-GAS AVAILABILITY'!R536)/('RAP TEMPLATE-GAS AVAILABILITY'!O536+'RAP TEMPLATE-GAS AVAILABILITY'!P536+'RAP TEMPLATE-GAS AVAILABILITY'!Q536+'RAP TEMPLATE-GAS AVAILABILITY'!R536)</f>
        <v>25.504407913669059</v>
      </c>
    </row>
    <row r="538" spans="1:29" ht="15.75" x14ac:dyDescent="0.25">
      <c r="A538" s="32">
        <v>57284</v>
      </c>
      <c r="B538" s="14">
        <f>CHOOSE(CONTROL!$C$42, 25.4348, 25.4348) * CHOOSE(CONTROL!$C$21, $C$9, 100%, $E$9)</f>
        <v>25.434799999999999</v>
      </c>
      <c r="C538" s="14">
        <f>CHOOSE(CONTROL!$C$42, 25.4401, 25.4401) * CHOOSE(CONTROL!$C$21, $C$9, 100%, $E$9)</f>
        <v>25.440100000000001</v>
      </c>
      <c r="D538" s="14">
        <f>CHOOSE(CONTROL!$C$42, 25.649, 25.649) * CHOOSE(CONTROL!$C$21, $C$9, 100%, $E$9)</f>
        <v>25.649000000000001</v>
      </c>
      <c r="E538" s="14">
        <f>CHOOSE(CONTROL!$C$42, 25.6781, 25.6781) * CHOOSE(CONTROL!$C$21, $C$9, 100%, $E$9)</f>
        <v>25.678100000000001</v>
      </c>
      <c r="F538" s="14">
        <f>CHOOSE(CONTROL!$C$42, 25.4188, 25.4188)*CHOOSE(CONTROL!$C$21, $C$9, 100%, $E$9)</f>
        <v>25.418800000000001</v>
      </c>
      <c r="G538" s="14">
        <f>CHOOSE(CONTROL!$C$42, 25.4344, 25.4344)*CHOOSE(CONTROL!$C$21, $C$9, 100%, $E$9)</f>
        <v>25.4344</v>
      </c>
      <c r="H538" s="14">
        <f>CHOOSE(CONTROL!$C$42, 25.6686, 25.6686) * CHOOSE(CONTROL!$C$21, $C$9, 100%, $E$9)</f>
        <v>25.668600000000001</v>
      </c>
      <c r="I538" s="14">
        <f>CHOOSE(CONTROL!$C$42, 25.5216, 25.5216)* CHOOSE(CONTROL!$C$21, $C$9, 100%, $E$9)</f>
        <v>25.521599999999999</v>
      </c>
      <c r="J538" s="14">
        <f>CHOOSE(CONTROL!$C$42, 25.4118, 25.4118)* CHOOSE(CONTROL!$C$21, $C$9, 100%, $E$9)</f>
        <v>25.411799999999999</v>
      </c>
      <c r="K538" s="53">
        <f>CHOOSE(CONTROL!$C$42, 25.5177, 25.5177) * CHOOSE(CONTROL!$C$21, $C$9, 100%, $E$9)</f>
        <v>25.517700000000001</v>
      </c>
      <c r="L538" s="14">
        <f>CHOOSE(CONTROL!$C$42, 26.2556, 26.2556) * CHOOSE(CONTROL!$C$21, $C$9, 100%, $E$9)</f>
        <v>26.255600000000001</v>
      </c>
      <c r="M538" s="14">
        <f>CHOOSE(CONTROL!$C$42, 24.8988, 24.8988) * CHOOSE(CONTROL!$C$21, $C$9, 100%, $E$9)</f>
        <v>24.898800000000001</v>
      </c>
      <c r="N538" s="14">
        <f>CHOOSE(CONTROL!$C$42, 24.9141, 24.9141) * CHOOSE(CONTROL!$C$21, $C$9, 100%, $E$9)</f>
        <v>24.914100000000001</v>
      </c>
      <c r="O538" s="14">
        <f>CHOOSE(CONTROL!$C$42, 25.1503, 25.1503) * CHOOSE(CONTROL!$C$21, $C$9, 100%, $E$9)</f>
        <v>25.150300000000001</v>
      </c>
      <c r="P538" s="14">
        <f>CHOOSE(CONTROL!$C$42, 25.0049, 25.0049) * CHOOSE(CONTROL!$C$21, $C$9, 100%, $E$9)</f>
        <v>25.004899999999999</v>
      </c>
      <c r="Q538" s="14">
        <f>CHOOSE(CONTROL!$C$42, 25.745, 25.745) * CHOOSE(CONTROL!$C$21, $C$9, 100%, $E$9)</f>
        <v>25.745000000000001</v>
      </c>
      <c r="R538" s="14">
        <f>CHOOSE(CONTROL!$C$42, 26.3964, 26.3964) * CHOOSE(CONTROL!$C$21, $C$9, 100%, $E$9)</f>
        <v>26.3964</v>
      </c>
      <c r="S538" s="14">
        <f>CHOOSE(CONTROL!$C$42, 24.4313, 24.4313) * CHOOSE(CONTROL!$C$21, $C$9, 100%, $E$9)</f>
        <v>24.4313</v>
      </c>
      <c r="T53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38" s="57">
        <f>(1000*CHOOSE(CONTROL!$C$42, 695, 695)*CHOOSE(CONTROL!$C$42, 0.5599, 0.5599)*CHOOSE(CONTROL!$C$42, 31, 31))/1000000</f>
        <v>12.063045499999998</v>
      </c>
      <c r="V538" s="57">
        <f>(1000*CHOOSE(CONTROL!$C$42, 500, 500)*CHOOSE(CONTROL!$C$42, 0.275, 0.275)*CHOOSE(CONTROL!$C$42, 31, 31))/1000000</f>
        <v>4.2625000000000002</v>
      </c>
      <c r="W538" s="57">
        <f>(1000*CHOOSE(CONTROL!$C$42, 0.1146, 0.1146)*CHOOSE(CONTROL!$C$42, 121.5, 121.5)*CHOOSE(CONTROL!$C$42, 31, 31))/1000000</f>
        <v>0.43164089999999994</v>
      </c>
      <c r="X538" s="57">
        <f>(31*0.1790888*245000/1000000)+(31*0.2374*100000/1000000)</f>
        <v>2.0961194359999999</v>
      </c>
      <c r="Y538" s="57"/>
      <c r="Z538" s="14"/>
      <c r="AA538" s="56"/>
      <c r="AB538" s="50">
        <f>(B538*131.881+C538*277.167+D538*79.08+E538*125.872+F538*40+G538*185+H538*0+I538*100+J538*300)/(131.881+277.167+79.08+125.872+0+40+185+100+300)</f>
        <v>25.4752346882163</v>
      </c>
      <c r="AC538" s="45">
        <f>(M538*'RAP TEMPLATE-GAS AVAILABILITY'!O537+N538*'RAP TEMPLATE-GAS AVAILABILITY'!P537+O538*'RAP TEMPLATE-GAS AVAILABILITY'!Q537+P538*'RAP TEMPLATE-GAS AVAILABILITY'!R537)/('RAP TEMPLATE-GAS AVAILABILITY'!O537+'RAP TEMPLATE-GAS AVAILABILITY'!P537+'RAP TEMPLATE-GAS AVAILABILITY'!Q537+'RAP TEMPLATE-GAS AVAILABILITY'!R537)</f>
        <v>24.988153237410067</v>
      </c>
    </row>
    <row r="539" spans="1:29" ht="15.75" x14ac:dyDescent="0.25">
      <c r="A539" s="32">
        <v>57314</v>
      </c>
      <c r="B539" s="14">
        <f>CHOOSE(CONTROL!$C$42, 26.1042, 26.1042) * CHOOSE(CONTROL!$C$21, $C$9, 100%, $E$9)</f>
        <v>26.104199999999999</v>
      </c>
      <c r="C539" s="14">
        <f>CHOOSE(CONTROL!$C$42, 26.1092, 26.1092) * CHOOSE(CONTROL!$C$21, $C$9, 100%, $E$9)</f>
        <v>26.109200000000001</v>
      </c>
      <c r="D539" s="14">
        <f>CHOOSE(CONTROL!$C$42, 26.173, 26.173) * CHOOSE(CONTROL!$C$21, $C$9, 100%, $E$9)</f>
        <v>26.172999999999998</v>
      </c>
      <c r="E539" s="14">
        <f>CHOOSE(CONTROL!$C$42, 26.2071, 26.2071) * CHOOSE(CONTROL!$C$21, $C$9, 100%, $E$9)</f>
        <v>26.207100000000001</v>
      </c>
      <c r="F539" s="14">
        <f>CHOOSE(CONTROL!$C$42, 26.1066, 26.1066)*CHOOSE(CONTROL!$C$21, $C$9, 100%, $E$9)</f>
        <v>26.1066</v>
      </c>
      <c r="G539" s="14">
        <f>CHOOSE(CONTROL!$C$42, 26.1226, 26.1226)*CHOOSE(CONTROL!$C$21, $C$9, 100%, $E$9)</f>
        <v>26.122599999999998</v>
      </c>
      <c r="H539" s="14">
        <f>CHOOSE(CONTROL!$C$42, 26.1963, 26.1963) * CHOOSE(CONTROL!$C$21, $C$9, 100%, $E$9)</f>
        <v>26.196300000000001</v>
      </c>
      <c r="I539" s="14">
        <f>CHOOSE(CONTROL!$C$42, 26.1988, 26.1988)* CHOOSE(CONTROL!$C$21, $C$9, 100%, $E$9)</f>
        <v>26.198799999999999</v>
      </c>
      <c r="J539" s="14">
        <f>CHOOSE(CONTROL!$C$42, 26.0996, 26.0996)* CHOOSE(CONTROL!$C$21, $C$9, 100%, $E$9)</f>
        <v>26.099599999999999</v>
      </c>
      <c r="K539" s="53">
        <f>CHOOSE(CONTROL!$C$42, 26.1949, 26.1949) * CHOOSE(CONTROL!$C$21, $C$9, 100%, $E$9)</f>
        <v>26.194900000000001</v>
      </c>
      <c r="L539" s="14">
        <f>CHOOSE(CONTROL!$C$42, 26.7833, 26.7833) * CHOOSE(CONTROL!$C$21, $C$9, 100%, $E$9)</f>
        <v>26.783300000000001</v>
      </c>
      <c r="M539" s="14">
        <f>CHOOSE(CONTROL!$C$42, 25.5725, 25.5725) * CHOOSE(CONTROL!$C$21, $C$9, 100%, $E$9)</f>
        <v>25.572500000000002</v>
      </c>
      <c r="N539" s="14">
        <f>CHOOSE(CONTROL!$C$42, 25.5882, 25.5882) * CHOOSE(CONTROL!$C$21, $C$9, 100%, $E$9)</f>
        <v>25.588200000000001</v>
      </c>
      <c r="O539" s="14">
        <f>CHOOSE(CONTROL!$C$42, 25.6673, 25.6673) * CHOOSE(CONTROL!$C$21, $C$9, 100%, $E$9)</f>
        <v>25.667300000000001</v>
      </c>
      <c r="P539" s="14">
        <f>CHOOSE(CONTROL!$C$42, 25.6681, 25.6681) * CHOOSE(CONTROL!$C$21, $C$9, 100%, $E$9)</f>
        <v>25.668099999999999</v>
      </c>
      <c r="Q539" s="14">
        <f>CHOOSE(CONTROL!$C$42, 26.262, 26.262) * CHOOSE(CONTROL!$C$21, $C$9, 100%, $E$9)</f>
        <v>26.262</v>
      </c>
      <c r="R539" s="14">
        <f>CHOOSE(CONTROL!$C$42, 26.9146, 26.9146) * CHOOSE(CONTROL!$C$21, $C$9, 100%, $E$9)</f>
        <v>26.9146</v>
      </c>
      <c r="S539" s="14">
        <f>CHOOSE(CONTROL!$C$42, 25.0749, 25.0749) * CHOOSE(CONTROL!$C$21, $C$9, 100%, $E$9)</f>
        <v>25.0749</v>
      </c>
      <c r="T53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39" s="57">
        <f>(1000*CHOOSE(CONTROL!$C$42, 695, 695)*CHOOSE(CONTROL!$C$42, 0.5599, 0.5599)*CHOOSE(CONTROL!$C$42, 30, 30))/1000000</f>
        <v>11.673914999999997</v>
      </c>
      <c r="V539" s="57">
        <f>(1000*CHOOSE(CONTROL!$C$42, 500, 500)*CHOOSE(CONTROL!$C$42, 0.275, 0.275)*CHOOSE(CONTROL!$C$42, 30, 30))/1000000</f>
        <v>4.125</v>
      </c>
      <c r="W539" s="57">
        <f>(1000*CHOOSE(CONTROL!$C$42, 0.1146, 0.1146)*CHOOSE(CONTROL!$C$42, 121.5, 121.5)*CHOOSE(CONTROL!$C$42, 30, 30))/1000000</f>
        <v>0.417717</v>
      </c>
      <c r="X539" s="57">
        <f>(30*0.1790888*100000/1000000)+(30*0.2374*100000/1000000)</f>
        <v>1.2494664</v>
      </c>
      <c r="Y539" s="57"/>
      <c r="Z539" s="14"/>
      <c r="AA539" s="56"/>
      <c r="AB539" s="50">
        <f>(B539*122.58+C539*297.941+D539*89.177+E539*40.302+F539*40+G539*160+H539*0+I539*100+J539*300)/(122.58+297.941+89.177+40.302+0+40+160+100+300)</f>
        <v>26.124106224695652</v>
      </c>
      <c r="AC539" s="45">
        <f>(M539*'RAP TEMPLATE-GAS AVAILABILITY'!O538+N539*'RAP TEMPLATE-GAS AVAILABILITY'!P538+O539*'RAP TEMPLATE-GAS AVAILABILITY'!Q538+P539*'RAP TEMPLATE-GAS AVAILABILITY'!R538)/('RAP TEMPLATE-GAS AVAILABILITY'!O538+'RAP TEMPLATE-GAS AVAILABILITY'!P538+'RAP TEMPLATE-GAS AVAILABILITY'!Q538+'RAP TEMPLATE-GAS AVAILABILITY'!R538)</f>
        <v>25.630125899280582</v>
      </c>
    </row>
    <row r="540" spans="1:29" ht="15.75" x14ac:dyDescent="0.25">
      <c r="A540" s="32">
        <v>57345</v>
      </c>
      <c r="B540" s="14">
        <f>CHOOSE(CONTROL!$C$42, 27.8833, 27.8833) * CHOOSE(CONTROL!$C$21, $C$9, 100%, $E$9)</f>
        <v>27.883299999999998</v>
      </c>
      <c r="C540" s="14">
        <f>CHOOSE(CONTROL!$C$42, 27.8883, 27.8883) * CHOOSE(CONTROL!$C$21, $C$9, 100%, $E$9)</f>
        <v>27.888300000000001</v>
      </c>
      <c r="D540" s="14">
        <f>CHOOSE(CONTROL!$C$42, 27.9521, 27.9521) * CHOOSE(CONTROL!$C$21, $C$9, 100%, $E$9)</f>
        <v>27.952100000000002</v>
      </c>
      <c r="E540" s="14">
        <f>CHOOSE(CONTROL!$C$42, 27.9863, 27.9863) * CHOOSE(CONTROL!$C$21, $C$9, 100%, $E$9)</f>
        <v>27.9863</v>
      </c>
      <c r="F540" s="14">
        <f>CHOOSE(CONTROL!$C$42, 27.8879, 27.8879)*CHOOSE(CONTROL!$C$21, $C$9, 100%, $E$9)</f>
        <v>27.887899999999998</v>
      </c>
      <c r="G540" s="14">
        <f>CHOOSE(CONTROL!$C$42, 27.9045, 27.9045)*CHOOSE(CONTROL!$C$21, $C$9, 100%, $E$9)</f>
        <v>27.904499999999999</v>
      </c>
      <c r="H540" s="14">
        <f>CHOOSE(CONTROL!$C$42, 27.9754, 27.9754) * CHOOSE(CONTROL!$C$21, $C$9, 100%, $E$9)</f>
        <v>27.9754</v>
      </c>
      <c r="I540" s="14">
        <f>CHOOSE(CONTROL!$C$42, 27.9834, 27.9834)* CHOOSE(CONTROL!$C$21, $C$9, 100%, $E$9)</f>
        <v>27.9834</v>
      </c>
      <c r="J540" s="14">
        <f>CHOOSE(CONTROL!$C$42, 27.8809, 27.8809)* CHOOSE(CONTROL!$C$21, $C$9, 100%, $E$9)</f>
        <v>27.8809</v>
      </c>
      <c r="K540" s="53">
        <f>CHOOSE(CONTROL!$C$42, 27.9795, 27.9795) * CHOOSE(CONTROL!$C$21, $C$9, 100%, $E$9)</f>
        <v>27.979500000000002</v>
      </c>
      <c r="L540" s="14">
        <f>CHOOSE(CONTROL!$C$42, 28.5624, 28.5624) * CHOOSE(CONTROL!$C$21, $C$9, 100%, $E$9)</f>
        <v>28.5624</v>
      </c>
      <c r="M540" s="14">
        <f>CHOOSE(CONTROL!$C$42, 27.3173, 27.3173) * CHOOSE(CONTROL!$C$21, $C$9, 100%, $E$9)</f>
        <v>27.317299999999999</v>
      </c>
      <c r="N540" s="14">
        <f>CHOOSE(CONTROL!$C$42, 27.3336, 27.3336) * CHOOSE(CONTROL!$C$21, $C$9, 100%, $E$9)</f>
        <v>27.333600000000001</v>
      </c>
      <c r="O540" s="14">
        <f>CHOOSE(CONTROL!$C$42, 27.4099, 27.4099) * CHOOSE(CONTROL!$C$21, $C$9, 100%, $E$9)</f>
        <v>27.4099</v>
      </c>
      <c r="P540" s="14">
        <f>CHOOSE(CONTROL!$C$42, 27.4161, 27.4161) * CHOOSE(CONTROL!$C$21, $C$9, 100%, $E$9)</f>
        <v>27.4161</v>
      </c>
      <c r="Q540" s="14">
        <f>CHOOSE(CONTROL!$C$42, 28.0046, 28.0046) * CHOOSE(CONTROL!$C$21, $C$9, 100%, $E$9)</f>
        <v>28.0046</v>
      </c>
      <c r="R540" s="14">
        <f>CHOOSE(CONTROL!$C$42, 28.6617, 28.6617) * CHOOSE(CONTROL!$C$21, $C$9, 100%, $E$9)</f>
        <v>28.6617</v>
      </c>
      <c r="S540" s="14">
        <f>CHOOSE(CONTROL!$C$42, 26.7845, 26.7845) * CHOOSE(CONTROL!$C$21, $C$9, 100%, $E$9)</f>
        <v>26.784500000000001</v>
      </c>
      <c r="T54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40" s="57">
        <f>(1000*CHOOSE(CONTROL!$C$42, 695, 695)*CHOOSE(CONTROL!$C$42, 0.5599, 0.5599)*CHOOSE(CONTROL!$C$42, 31, 31))/1000000</f>
        <v>12.063045499999998</v>
      </c>
      <c r="V540" s="57">
        <f>(1000*CHOOSE(CONTROL!$C$42, 500, 500)*CHOOSE(CONTROL!$C$42, 0.275, 0.275)*CHOOSE(CONTROL!$C$42, 31, 31))/1000000</f>
        <v>4.2625000000000002</v>
      </c>
      <c r="W540" s="57">
        <f>(1000*CHOOSE(CONTROL!$C$42, 0.1146, 0.1146)*CHOOSE(CONTROL!$C$42, 121.5, 121.5)*CHOOSE(CONTROL!$C$42, 31, 31))/1000000</f>
        <v>0.43164089999999994</v>
      </c>
      <c r="X540" s="57">
        <f>(31*0.1790888*100000/1000000)+(31*0.2374*100000/1000000)</f>
        <v>1.2911152800000001</v>
      </c>
      <c r="Y540" s="57"/>
      <c r="Z540" s="14"/>
      <c r="AA540" s="56"/>
      <c r="AB540" s="50">
        <f>(B540*122.58+C540*297.941+D540*89.177+E540*40.302+F540*40+G540*160+H540*0+I540*100+J540*300)/(122.58+297.941+89.177+40.302+0+40+160+100+300)</f>
        <v>27.904727990086958</v>
      </c>
      <c r="AC540" s="45">
        <f>(M540*'RAP TEMPLATE-GAS AVAILABILITY'!O539+N540*'RAP TEMPLATE-GAS AVAILABILITY'!P539+O540*'RAP TEMPLATE-GAS AVAILABILITY'!Q539+P540*'RAP TEMPLATE-GAS AVAILABILITY'!R539)/('RAP TEMPLATE-GAS AVAILABILITY'!O539+'RAP TEMPLATE-GAS AVAILABILITY'!P539+'RAP TEMPLATE-GAS AVAILABILITY'!Q539+'RAP TEMPLATE-GAS AVAILABILITY'!R539)</f>
        <v>27.374423741007195</v>
      </c>
    </row>
    <row r="541" spans="1:29" ht="15.75" x14ac:dyDescent="0.25">
      <c r="A541" s="32">
        <v>57376</v>
      </c>
      <c r="B541" s="14">
        <f>CHOOSE(CONTROL!$C$42, 30.1665, 30.1665) * CHOOSE(CONTROL!$C$21, $C$9, 100%, $E$9)</f>
        <v>30.166499999999999</v>
      </c>
      <c r="C541" s="14">
        <f>CHOOSE(CONTROL!$C$42, 30.1716, 30.1716) * CHOOSE(CONTROL!$C$21, $C$9, 100%, $E$9)</f>
        <v>30.171600000000002</v>
      </c>
      <c r="D541" s="14">
        <f>CHOOSE(CONTROL!$C$42, 30.238, 30.238) * CHOOSE(CONTROL!$C$21, $C$9, 100%, $E$9)</f>
        <v>30.238</v>
      </c>
      <c r="E541" s="14">
        <f>CHOOSE(CONTROL!$C$42, 30.2721, 30.2721) * CHOOSE(CONTROL!$C$21, $C$9, 100%, $E$9)</f>
        <v>30.272099999999998</v>
      </c>
      <c r="F541" s="14">
        <f>CHOOSE(CONTROL!$C$42, 30.1538, 30.1538)*CHOOSE(CONTROL!$C$21, $C$9, 100%, $E$9)</f>
        <v>30.1538</v>
      </c>
      <c r="G541" s="14">
        <f>CHOOSE(CONTROL!$C$42, 30.1693, 30.1693)*CHOOSE(CONTROL!$C$21, $C$9, 100%, $E$9)</f>
        <v>30.1693</v>
      </c>
      <c r="H541" s="14">
        <f>CHOOSE(CONTROL!$C$42, 30.2613, 30.2613) * CHOOSE(CONTROL!$C$21, $C$9, 100%, $E$9)</f>
        <v>30.261299999999999</v>
      </c>
      <c r="I541" s="14">
        <f>CHOOSE(CONTROL!$C$42, 30.2686, 30.2686)* CHOOSE(CONTROL!$C$21, $C$9, 100%, $E$9)</f>
        <v>30.268599999999999</v>
      </c>
      <c r="J541" s="14">
        <f>CHOOSE(CONTROL!$C$42, 30.1468, 30.1468)* CHOOSE(CONTROL!$C$21, $C$9, 100%, $E$9)</f>
        <v>30.146799999999999</v>
      </c>
      <c r="K541" s="53">
        <f>CHOOSE(CONTROL!$C$42, 30.2647, 30.2647) * CHOOSE(CONTROL!$C$21, $C$9, 100%, $E$9)</f>
        <v>30.264700000000001</v>
      </c>
      <c r="L541" s="14">
        <f>CHOOSE(CONTROL!$C$42, 30.8483, 30.8483) * CHOOSE(CONTROL!$C$21, $C$9, 100%, $E$9)</f>
        <v>30.848299999999998</v>
      </c>
      <c r="M541" s="14">
        <f>CHOOSE(CONTROL!$C$42, 29.5368, 29.5368) * CHOOSE(CONTROL!$C$21, $C$9, 100%, $E$9)</f>
        <v>29.536799999999999</v>
      </c>
      <c r="N541" s="14">
        <f>CHOOSE(CONTROL!$C$42, 29.552, 29.552) * CHOOSE(CONTROL!$C$21, $C$9, 100%, $E$9)</f>
        <v>29.552</v>
      </c>
      <c r="O541" s="14">
        <f>CHOOSE(CONTROL!$C$42, 29.6489, 29.6489) * CHOOSE(CONTROL!$C$21, $C$9, 100%, $E$9)</f>
        <v>29.648900000000001</v>
      </c>
      <c r="P541" s="14">
        <f>CHOOSE(CONTROL!$C$42, 29.6543, 29.6543) * CHOOSE(CONTROL!$C$21, $C$9, 100%, $E$9)</f>
        <v>29.654299999999999</v>
      </c>
      <c r="Q541" s="14">
        <f>CHOOSE(CONTROL!$C$42, 30.2436, 30.2436) * CHOOSE(CONTROL!$C$21, $C$9, 100%, $E$9)</f>
        <v>30.243600000000001</v>
      </c>
      <c r="R541" s="14">
        <f>CHOOSE(CONTROL!$C$42, 30.9063, 30.9063) * CHOOSE(CONTROL!$C$21, $C$9, 100%, $E$9)</f>
        <v>30.906300000000002</v>
      </c>
      <c r="S541" s="14">
        <f>CHOOSE(CONTROL!$C$42, 28.9785, 28.9785) * CHOOSE(CONTROL!$C$21, $C$9, 100%, $E$9)</f>
        <v>28.9785</v>
      </c>
      <c r="T54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41" s="57">
        <f>(1000*CHOOSE(CONTROL!$C$42, 695, 695)*CHOOSE(CONTROL!$C$42, 0.5599, 0.5599)*CHOOSE(CONTROL!$C$42, 31, 31))/1000000</f>
        <v>12.063045499999998</v>
      </c>
      <c r="V541" s="57">
        <f>(1000*CHOOSE(CONTROL!$C$42, 500, 500)*CHOOSE(CONTROL!$C$42, 0.275, 0.275)*CHOOSE(CONTROL!$C$42, 31, 31))/1000000</f>
        <v>4.2625000000000002</v>
      </c>
      <c r="W541" s="57">
        <f>(1000*CHOOSE(CONTROL!$C$42, 0.1146, 0.1146)*CHOOSE(CONTROL!$C$42, 121.5, 121.5)*CHOOSE(CONTROL!$C$42, 31, 31))/1000000</f>
        <v>0.43164089999999994</v>
      </c>
      <c r="X541" s="57">
        <f>(31*0.1790888*100000/1000000)+(31*0.2374*100000/1000000)</f>
        <v>1.2911152800000001</v>
      </c>
      <c r="Y541" s="57"/>
      <c r="Z541" s="14"/>
      <c r="AA541" s="56"/>
      <c r="AB541" s="50">
        <f>(B541*122.58+C541*297.941+D541*89.177+E541*40.302+F541*40+G541*160+H541*0+I541*100+J541*300)/(122.58+297.941+89.177+40.302+0+40+160+100+300)</f>
        <v>30.180753518086952</v>
      </c>
      <c r="AC541" s="45">
        <f>(M541*'RAP TEMPLATE-GAS AVAILABILITY'!O540+N541*'RAP TEMPLATE-GAS AVAILABILITY'!P540+O541*'RAP TEMPLATE-GAS AVAILABILITY'!Q540+P541*'RAP TEMPLATE-GAS AVAILABILITY'!R540)/('RAP TEMPLATE-GAS AVAILABILITY'!O540+'RAP TEMPLATE-GAS AVAILABILITY'!P540+'RAP TEMPLATE-GAS AVAILABILITY'!Q540+'RAP TEMPLATE-GAS AVAILABILITY'!R540)</f>
        <v>29.605389208633095</v>
      </c>
    </row>
    <row r="542" spans="1:29" ht="15.75" x14ac:dyDescent="0.25">
      <c r="A542" s="32">
        <v>57404</v>
      </c>
      <c r="B542" s="14">
        <f>CHOOSE(CONTROL!$C$42, 30.7033, 30.7033) * CHOOSE(CONTROL!$C$21, $C$9, 100%, $E$9)</f>
        <v>30.703299999999999</v>
      </c>
      <c r="C542" s="14">
        <f>CHOOSE(CONTROL!$C$42, 30.7084, 30.7084) * CHOOSE(CONTROL!$C$21, $C$9, 100%, $E$9)</f>
        <v>30.708400000000001</v>
      </c>
      <c r="D542" s="14">
        <f>CHOOSE(CONTROL!$C$42, 30.7748, 30.7748) * CHOOSE(CONTROL!$C$21, $C$9, 100%, $E$9)</f>
        <v>30.774799999999999</v>
      </c>
      <c r="E542" s="14">
        <f>CHOOSE(CONTROL!$C$42, 30.8089, 30.8089) * CHOOSE(CONTROL!$C$21, $C$9, 100%, $E$9)</f>
        <v>30.808900000000001</v>
      </c>
      <c r="F542" s="14">
        <f>CHOOSE(CONTROL!$C$42, 30.6908, 30.6908)*CHOOSE(CONTROL!$C$21, $C$9, 100%, $E$9)</f>
        <v>30.690799999999999</v>
      </c>
      <c r="G542" s="14">
        <f>CHOOSE(CONTROL!$C$42, 30.7062, 30.7062)*CHOOSE(CONTROL!$C$21, $C$9, 100%, $E$9)</f>
        <v>30.706199999999999</v>
      </c>
      <c r="H542" s="14">
        <f>CHOOSE(CONTROL!$C$42, 30.7981, 30.7981) * CHOOSE(CONTROL!$C$21, $C$9, 100%, $E$9)</f>
        <v>30.798100000000002</v>
      </c>
      <c r="I542" s="14">
        <f>CHOOSE(CONTROL!$C$42, 30.8071, 30.8071)* CHOOSE(CONTROL!$C$21, $C$9, 100%, $E$9)</f>
        <v>30.807099999999998</v>
      </c>
      <c r="J542" s="14">
        <f>CHOOSE(CONTROL!$C$42, 30.6838, 30.6838)* CHOOSE(CONTROL!$C$21, $C$9, 100%, $E$9)</f>
        <v>30.683800000000002</v>
      </c>
      <c r="K542" s="53">
        <f>CHOOSE(CONTROL!$C$42, 30.8032, 30.8032) * CHOOSE(CONTROL!$C$21, $C$9, 100%, $E$9)</f>
        <v>30.8032</v>
      </c>
      <c r="L542" s="14">
        <f>CHOOSE(CONTROL!$C$42, 31.3851, 31.3851) * CHOOSE(CONTROL!$C$21, $C$9, 100%, $E$9)</f>
        <v>31.385100000000001</v>
      </c>
      <c r="M542" s="14">
        <f>CHOOSE(CONTROL!$C$42, 30.0628, 30.0628) * CHOOSE(CONTROL!$C$21, $C$9, 100%, $E$9)</f>
        <v>30.062799999999999</v>
      </c>
      <c r="N542" s="14">
        <f>CHOOSE(CONTROL!$C$42, 30.0779, 30.0779) * CHOOSE(CONTROL!$C$21, $C$9, 100%, $E$9)</f>
        <v>30.0779</v>
      </c>
      <c r="O542" s="14">
        <f>CHOOSE(CONTROL!$C$42, 30.1748, 30.1748) * CHOOSE(CONTROL!$C$21, $C$9, 100%, $E$9)</f>
        <v>30.174800000000001</v>
      </c>
      <c r="P542" s="14">
        <f>CHOOSE(CONTROL!$C$42, 30.1817, 30.1817) * CHOOSE(CONTROL!$C$21, $C$9, 100%, $E$9)</f>
        <v>30.181699999999999</v>
      </c>
      <c r="Q542" s="14">
        <f>CHOOSE(CONTROL!$C$42, 30.7695, 30.7695) * CHOOSE(CONTROL!$C$21, $C$9, 100%, $E$9)</f>
        <v>30.769500000000001</v>
      </c>
      <c r="R542" s="14">
        <f>CHOOSE(CONTROL!$C$42, 31.4334, 31.4334) * CHOOSE(CONTROL!$C$21, $C$9, 100%, $E$9)</f>
        <v>31.433399999999999</v>
      </c>
      <c r="S542" s="14">
        <f>CHOOSE(CONTROL!$C$42, 29.4943, 29.4943) * CHOOSE(CONTROL!$C$21, $C$9, 100%, $E$9)</f>
        <v>29.494299999999999</v>
      </c>
      <c r="T54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42" s="57">
        <f>(1000*CHOOSE(CONTROL!$C$42, 695, 695)*CHOOSE(CONTROL!$C$42, 0.5599, 0.5599)*CHOOSE(CONTROL!$C$42, 28, 28))/1000000</f>
        <v>10.895653999999999</v>
      </c>
      <c r="V542" s="57">
        <f>(1000*CHOOSE(CONTROL!$C$42, 500, 500)*CHOOSE(CONTROL!$C$42, 0.275, 0.275)*CHOOSE(CONTROL!$C$42, 28, 28))/1000000</f>
        <v>3.85</v>
      </c>
      <c r="W542" s="57">
        <f>(1000*CHOOSE(CONTROL!$C$42, 0.1146, 0.1146)*CHOOSE(CONTROL!$C$42, 121.5, 121.5)*CHOOSE(CONTROL!$C$42, 28, 28))/1000000</f>
        <v>0.38986920000000003</v>
      </c>
      <c r="X542" s="57">
        <f>(28*0.1790888*100000/1000000)+(28*0.2374*100000/1000000)</f>
        <v>1.16616864</v>
      </c>
      <c r="Y542" s="57"/>
      <c r="Z542" s="14"/>
      <c r="AA542" s="56"/>
      <c r="AB542" s="50">
        <f>(B542*122.58+C542*297.941+D542*89.177+E542*40.302+F542*40+G542*160+H542*0+I542*100+J542*300)/(122.58+297.941+89.177+40.302+0+40+160+100+300)</f>
        <v>30.71777438765217</v>
      </c>
      <c r="AC542" s="45">
        <f>(M542*'RAP TEMPLATE-GAS AVAILABILITY'!O541+N542*'RAP TEMPLATE-GAS AVAILABILITY'!P541+O542*'RAP TEMPLATE-GAS AVAILABILITY'!Q541+P542*'RAP TEMPLATE-GAS AVAILABILITY'!R541)/('RAP TEMPLATE-GAS AVAILABILITY'!O541+'RAP TEMPLATE-GAS AVAILABILITY'!P541+'RAP TEMPLATE-GAS AVAILABILITY'!Q541+'RAP TEMPLATE-GAS AVAILABILITY'!R541)</f>
        <v>30.131539568345321</v>
      </c>
    </row>
    <row r="543" spans="1:29" ht="15.75" x14ac:dyDescent="0.25">
      <c r="A543" s="32">
        <v>57435</v>
      </c>
      <c r="B543" s="14">
        <f>CHOOSE(CONTROL!$C$42, 29.8319, 29.8319) * CHOOSE(CONTROL!$C$21, $C$9, 100%, $E$9)</f>
        <v>29.831900000000001</v>
      </c>
      <c r="C543" s="14">
        <f>CHOOSE(CONTROL!$C$42, 29.837, 29.837) * CHOOSE(CONTROL!$C$21, $C$9, 100%, $E$9)</f>
        <v>29.837</v>
      </c>
      <c r="D543" s="14">
        <f>CHOOSE(CONTROL!$C$42, 29.9034, 29.9034) * CHOOSE(CONTROL!$C$21, $C$9, 100%, $E$9)</f>
        <v>29.903400000000001</v>
      </c>
      <c r="E543" s="14">
        <f>CHOOSE(CONTROL!$C$42, 29.9375, 29.9375) * CHOOSE(CONTROL!$C$21, $C$9, 100%, $E$9)</f>
        <v>29.9375</v>
      </c>
      <c r="F543" s="14">
        <f>CHOOSE(CONTROL!$C$42, 29.8189, 29.8189)*CHOOSE(CONTROL!$C$21, $C$9, 100%, $E$9)</f>
        <v>29.818899999999999</v>
      </c>
      <c r="G543" s="14">
        <f>CHOOSE(CONTROL!$C$42, 29.8343, 29.8343)*CHOOSE(CONTROL!$C$21, $C$9, 100%, $E$9)</f>
        <v>29.834299999999999</v>
      </c>
      <c r="H543" s="14">
        <f>CHOOSE(CONTROL!$C$42, 29.9267, 29.9267) * CHOOSE(CONTROL!$C$21, $C$9, 100%, $E$9)</f>
        <v>29.9267</v>
      </c>
      <c r="I543" s="14">
        <f>CHOOSE(CONTROL!$C$42, 29.933, 29.933)* CHOOSE(CONTROL!$C$21, $C$9, 100%, $E$9)</f>
        <v>29.933</v>
      </c>
      <c r="J543" s="14">
        <f>CHOOSE(CONTROL!$C$42, 29.8119, 29.8119)* CHOOSE(CONTROL!$C$21, $C$9, 100%, $E$9)</f>
        <v>29.811900000000001</v>
      </c>
      <c r="K543" s="53">
        <f>CHOOSE(CONTROL!$C$42, 29.9291, 29.9291) * CHOOSE(CONTROL!$C$21, $C$9, 100%, $E$9)</f>
        <v>29.929099999999998</v>
      </c>
      <c r="L543" s="14">
        <f>CHOOSE(CONTROL!$C$42, 30.5137, 30.5137) * CHOOSE(CONTROL!$C$21, $C$9, 100%, $E$9)</f>
        <v>30.5137</v>
      </c>
      <c r="M543" s="14">
        <f>CHOOSE(CONTROL!$C$42, 29.2088, 29.2088) * CHOOSE(CONTROL!$C$21, $C$9, 100%, $E$9)</f>
        <v>29.2088</v>
      </c>
      <c r="N543" s="14">
        <f>CHOOSE(CONTROL!$C$42, 29.2239, 29.2239) * CHOOSE(CONTROL!$C$21, $C$9, 100%, $E$9)</f>
        <v>29.2239</v>
      </c>
      <c r="O543" s="14">
        <f>CHOOSE(CONTROL!$C$42, 29.3212, 29.3212) * CHOOSE(CONTROL!$C$21, $C$9, 100%, $E$9)</f>
        <v>29.321200000000001</v>
      </c>
      <c r="P543" s="14">
        <f>CHOOSE(CONTROL!$C$42, 29.3256, 29.3256) * CHOOSE(CONTROL!$C$21, $C$9, 100%, $E$9)</f>
        <v>29.325600000000001</v>
      </c>
      <c r="Q543" s="14">
        <f>CHOOSE(CONTROL!$C$42, 29.9159, 29.9159) * CHOOSE(CONTROL!$C$21, $C$9, 100%, $E$9)</f>
        <v>29.915900000000001</v>
      </c>
      <c r="R543" s="14">
        <f>CHOOSE(CONTROL!$C$42, 30.5777, 30.5777) * CHOOSE(CONTROL!$C$21, $C$9, 100%, $E$9)</f>
        <v>30.5777</v>
      </c>
      <c r="S543" s="14">
        <f>CHOOSE(CONTROL!$C$42, 28.657, 28.657) * CHOOSE(CONTROL!$C$21, $C$9, 100%, $E$9)</f>
        <v>28.657</v>
      </c>
      <c r="T54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43" s="57">
        <f>(1000*CHOOSE(CONTROL!$C$42, 695, 695)*CHOOSE(CONTROL!$C$42, 0.5599, 0.5599)*CHOOSE(CONTROL!$C$42, 31, 31))/1000000</f>
        <v>12.063045499999998</v>
      </c>
      <c r="V543" s="57">
        <f>(1000*CHOOSE(CONTROL!$C$42, 500, 500)*CHOOSE(CONTROL!$C$42, 0.275, 0.275)*CHOOSE(CONTROL!$C$42, 31, 31))/1000000</f>
        <v>4.2625000000000002</v>
      </c>
      <c r="W543" s="57">
        <f>(1000*CHOOSE(CONTROL!$C$42, 0.1146, 0.1146)*CHOOSE(CONTROL!$C$42, 121.5, 121.5)*CHOOSE(CONTROL!$C$42, 31, 31))/1000000</f>
        <v>0.43164089999999994</v>
      </c>
      <c r="X543" s="57">
        <f>(31*0.1790888*100000/1000000)+(31*0.2374*100000/1000000)</f>
        <v>1.2911152800000001</v>
      </c>
      <c r="Y543" s="57"/>
      <c r="Z543" s="14"/>
      <c r="AA543" s="56"/>
      <c r="AB543" s="50">
        <f>(B543*122.58+C543*297.941+D543*89.177+E543*40.302+F543*40+G543*160+H543*0+I543*100+J543*300)/(122.58+297.941+89.177+40.302+0+40+160+100+300)</f>
        <v>29.845922213739136</v>
      </c>
      <c r="AC543" s="45">
        <f>(M543*'RAP TEMPLATE-GAS AVAILABILITY'!O542+N543*'RAP TEMPLATE-GAS AVAILABILITY'!P542+O543*'RAP TEMPLATE-GAS AVAILABILITY'!Q542+P543*'RAP TEMPLATE-GAS AVAILABILITY'!R542)/('RAP TEMPLATE-GAS AVAILABILITY'!O542+'RAP TEMPLATE-GAS AVAILABILITY'!P542+'RAP TEMPLATE-GAS AVAILABILITY'!Q542+'RAP TEMPLATE-GAS AVAILABILITY'!R542)</f>
        <v>29.277418705035974</v>
      </c>
    </row>
    <row r="544" spans="1:29" ht="15.75" x14ac:dyDescent="0.25">
      <c r="A544" s="32">
        <v>57465</v>
      </c>
      <c r="B544" s="14">
        <f>CHOOSE(CONTROL!$C$42, 29.7438, 29.7438) * CHOOSE(CONTROL!$C$21, $C$9, 100%, $E$9)</f>
        <v>29.7438</v>
      </c>
      <c r="C544" s="14">
        <f>CHOOSE(CONTROL!$C$42, 29.7483, 29.7483) * CHOOSE(CONTROL!$C$21, $C$9, 100%, $E$9)</f>
        <v>29.7483</v>
      </c>
      <c r="D544" s="14">
        <f>CHOOSE(CONTROL!$C$42, 29.9554, 29.9554) * CHOOSE(CONTROL!$C$21, $C$9, 100%, $E$9)</f>
        <v>29.955400000000001</v>
      </c>
      <c r="E544" s="14">
        <f>CHOOSE(CONTROL!$C$42, 29.9875, 29.9875) * CHOOSE(CONTROL!$C$21, $C$9, 100%, $E$9)</f>
        <v>29.987500000000001</v>
      </c>
      <c r="F544" s="14">
        <f>CHOOSE(CONTROL!$C$42, 29.7257, 29.7257)*CHOOSE(CONTROL!$C$21, $C$9, 100%, $E$9)</f>
        <v>29.7257</v>
      </c>
      <c r="G544" s="14">
        <f>CHOOSE(CONTROL!$C$42, 29.7409, 29.7409)*CHOOSE(CONTROL!$C$21, $C$9, 100%, $E$9)</f>
        <v>29.7409</v>
      </c>
      <c r="H544" s="14">
        <f>CHOOSE(CONTROL!$C$42, 29.9773, 29.9773) * CHOOSE(CONTROL!$C$21, $C$9, 100%, $E$9)</f>
        <v>29.9773</v>
      </c>
      <c r="I544" s="14">
        <f>CHOOSE(CONTROL!$C$42, 29.8438, 29.8438)* CHOOSE(CONTROL!$C$21, $C$9, 100%, $E$9)</f>
        <v>29.843800000000002</v>
      </c>
      <c r="J544" s="14">
        <f>CHOOSE(CONTROL!$C$42, 29.7187, 29.7187)* CHOOSE(CONTROL!$C$21, $C$9, 100%, $E$9)</f>
        <v>29.718699999999998</v>
      </c>
      <c r="K544" s="53">
        <f>CHOOSE(CONTROL!$C$42, 29.8399, 29.8399) * CHOOSE(CONTROL!$C$21, $C$9, 100%, $E$9)</f>
        <v>29.8399</v>
      </c>
      <c r="L544" s="14">
        <f>CHOOSE(CONTROL!$C$42, 30.5643, 30.5643) * CHOOSE(CONTROL!$C$21, $C$9, 100%, $E$9)</f>
        <v>30.564299999999999</v>
      </c>
      <c r="M544" s="14">
        <f>CHOOSE(CONTROL!$C$42, 29.1175, 29.1175) * CHOOSE(CONTROL!$C$21, $C$9, 100%, $E$9)</f>
        <v>29.1175</v>
      </c>
      <c r="N544" s="14">
        <f>CHOOSE(CONTROL!$C$42, 29.1324, 29.1324) * CHOOSE(CONTROL!$C$21, $C$9, 100%, $E$9)</f>
        <v>29.132400000000001</v>
      </c>
      <c r="O544" s="14">
        <f>CHOOSE(CONTROL!$C$42, 29.3707, 29.3707) * CHOOSE(CONTROL!$C$21, $C$9, 100%, $E$9)</f>
        <v>29.370699999999999</v>
      </c>
      <c r="P544" s="14">
        <f>CHOOSE(CONTROL!$C$42, 29.2382, 29.2382) * CHOOSE(CONTROL!$C$21, $C$9, 100%, $E$9)</f>
        <v>29.238199999999999</v>
      </c>
      <c r="Q544" s="14">
        <f>CHOOSE(CONTROL!$C$42, 29.9654, 29.9654) * CHOOSE(CONTROL!$C$21, $C$9, 100%, $E$9)</f>
        <v>29.965399999999999</v>
      </c>
      <c r="R544" s="14">
        <f>CHOOSE(CONTROL!$C$42, 30.6274, 30.6274) * CHOOSE(CONTROL!$C$21, $C$9, 100%, $E$9)</f>
        <v>30.627400000000002</v>
      </c>
      <c r="S544" s="14">
        <f>CHOOSE(CONTROL!$C$42, 28.5715, 28.5715) * CHOOSE(CONTROL!$C$21, $C$9, 100%, $E$9)</f>
        <v>28.5715</v>
      </c>
      <c r="T54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44" s="57">
        <f>(1000*CHOOSE(CONTROL!$C$42, 695, 695)*CHOOSE(CONTROL!$C$42, 0.5599, 0.5599)*CHOOSE(CONTROL!$C$42, 30, 30))/1000000</f>
        <v>11.673914999999997</v>
      </c>
      <c r="V544" s="57">
        <f>(1000*CHOOSE(CONTROL!$C$42, 500, 500)*CHOOSE(CONTROL!$C$42, 0.275, 0.275)*CHOOSE(CONTROL!$C$42, 30, 30))/1000000</f>
        <v>4.125</v>
      </c>
      <c r="W544" s="57">
        <f>(1000*CHOOSE(CONTROL!$C$42, 0.1146, 0.1146)*CHOOSE(CONTROL!$C$42, 121.5, 121.5)*CHOOSE(CONTROL!$C$42, 30, 30))/1000000</f>
        <v>0.417717</v>
      </c>
      <c r="X544" s="57">
        <f>(30*0.1790888*245000/1000000)+(30*0.2374*100000/1000000)</f>
        <v>2.0285026799999999</v>
      </c>
      <c r="Y544" s="57"/>
      <c r="Z544" s="14"/>
      <c r="AA544" s="56"/>
      <c r="AB544" s="50">
        <f>(B544*141.293+C544*267.993+D544*115.016+E544*89.698+F544*40+G544*185+H544*0+I544*100+J544*300)/(141.293+267.993+115.016+89.698+0+40+185+100+300)</f>
        <v>29.783035074011298</v>
      </c>
      <c r="AC544" s="45">
        <f>(M544*'RAP TEMPLATE-GAS AVAILABILITY'!O543+N544*'RAP TEMPLATE-GAS AVAILABILITY'!P543+O544*'RAP TEMPLATE-GAS AVAILABILITY'!Q543+P544*'RAP TEMPLATE-GAS AVAILABILITY'!R543)/('RAP TEMPLATE-GAS AVAILABILITY'!O543+'RAP TEMPLATE-GAS AVAILABILITY'!P543+'RAP TEMPLATE-GAS AVAILABILITY'!Q543+'RAP TEMPLATE-GAS AVAILABILITY'!R543)</f>
        <v>29.209338848920861</v>
      </c>
    </row>
    <row r="545" spans="1:29" ht="15.75" x14ac:dyDescent="0.25">
      <c r="A545" s="32">
        <v>57496</v>
      </c>
      <c r="B545" s="14">
        <f>CHOOSE(CONTROL!$C$42, 30.0076, 30.0076) * CHOOSE(CONTROL!$C$21, $C$9, 100%, $E$9)</f>
        <v>30.0076</v>
      </c>
      <c r="C545" s="14">
        <f>CHOOSE(CONTROL!$C$42, 30.0157, 30.0157) * CHOOSE(CONTROL!$C$21, $C$9, 100%, $E$9)</f>
        <v>30.015699999999999</v>
      </c>
      <c r="D545" s="14">
        <f>CHOOSE(CONTROL!$C$42, 30.2196, 30.2196) * CHOOSE(CONTROL!$C$21, $C$9, 100%, $E$9)</f>
        <v>30.2196</v>
      </c>
      <c r="E545" s="14">
        <f>CHOOSE(CONTROL!$C$42, 30.2511, 30.2511) * CHOOSE(CONTROL!$C$21, $C$9, 100%, $E$9)</f>
        <v>30.251100000000001</v>
      </c>
      <c r="F545" s="14">
        <f>CHOOSE(CONTROL!$C$42, 29.9884, 29.9884)*CHOOSE(CONTROL!$C$21, $C$9, 100%, $E$9)</f>
        <v>29.988399999999999</v>
      </c>
      <c r="G545" s="14">
        <f>CHOOSE(CONTROL!$C$42, 30.004, 30.004)*CHOOSE(CONTROL!$C$21, $C$9, 100%, $E$9)</f>
        <v>30.004000000000001</v>
      </c>
      <c r="H545" s="14">
        <f>CHOOSE(CONTROL!$C$42, 30.2397, 30.2397) * CHOOSE(CONTROL!$C$21, $C$9, 100%, $E$9)</f>
        <v>30.239699999999999</v>
      </c>
      <c r="I545" s="14">
        <f>CHOOSE(CONTROL!$C$42, 30.1071, 30.1071)* CHOOSE(CONTROL!$C$21, $C$9, 100%, $E$9)</f>
        <v>30.107099999999999</v>
      </c>
      <c r="J545" s="14">
        <f>CHOOSE(CONTROL!$C$42, 29.9814, 29.9814)* CHOOSE(CONTROL!$C$21, $C$9, 100%, $E$9)</f>
        <v>29.981400000000001</v>
      </c>
      <c r="K545" s="53">
        <f>CHOOSE(CONTROL!$C$42, 30.1032, 30.1032) * CHOOSE(CONTROL!$C$21, $C$9, 100%, $E$9)</f>
        <v>30.103200000000001</v>
      </c>
      <c r="L545" s="14">
        <f>CHOOSE(CONTROL!$C$42, 30.8267, 30.8267) * CHOOSE(CONTROL!$C$21, $C$9, 100%, $E$9)</f>
        <v>30.826699999999999</v>
      </c>
      <c r="M545" s="14">
        <f>CHOOSE(CONTROL!$C$42, 29.3748, 29.3748) * CHOOSE(CONTROL!$C$21, $C$9, 100%, $E$9)</f>
        <v>29.3748</v>
      </c>
      <c r="N545" s="14">
        <f>CHOOSE(CONTROL!$C$42, 29.3901, 29.3901) * CHOOSE(CONTROL!$C$21, $C$9, 100%, $E$9)</f>
        <v>29.3901</v>
      </c>
      <c r="O545" s="14">
        <f>CHOOSE(CONTROL!$C$42, 29.6278, 29.6278) * CHOOSE(CONTROL!$C$21, $C$9, 100%, $E$9)</f>
        <v>29.627800000000001</v>
      </c>
      <c r="P545" s="14">
        <f>CHOOSE(CONTROL!$C$42, 29.4961, 29.4961) * CHOOSE(CONTROL!$C$21, $C$9, 100%, $E$9)</f>
        <v>29.496099999999998</v>
      </c>
      <c r="Q545" s="14">
        <f>CHOOSE(CONTROL!$C$42, 30.2225, 30.2225) * CHOOSE(CONTROL!$C$21, $C$9, 100%, $E$9)</f>
        <v>30.2225</v>
      </c>
      <c r="R545" s="14">
        <f>CHOOSE(CONTROL!$C$42, 30.885, 30.885) * CHOOSE(CONTROL!$C$21, $C$9, 100%, $E$9)</f>
        <v>30.885000000000002</v>
      </c>
      <c r="S545" s="14">
        <f>CHOOSE(CONTROL!$C$42, 28.8237, 28.8237) * CHOOSE(CONTROL!$C$21, $C$9, 100%, $E$9)</f>
        <v>28.823699999999999</v>
      </c>
      <c r="T54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45" s="57">
        <f>(1000*CHOOSE(CONTROL!$C$42, 695, 695)*CHOOSE(CONTROL!$C$42, 0.5599, 0.5599)*CHOOSE(CONTROL!$C$42, 31, 31))/1000000</f>
        <v>12.063045499999998</v>
      </c>
      <c r="V545" s="57">
        <f>(1000*CHOOSE(CONTROL!$C$42, 500, 500)*CHOOSE(CONTROL!$C$42, 0.275, 0.275)*CHOOSE(CONTROL!$C$42, 31, 31))/1000000</f>
        <v>4.2625000000000002</v>
      </c>
      <c r="W545" s="57">
        <f>(1000*CHOOSE(CONTROL!$C$42, 0.1146, 0.1146)*CHOOSE(CONTROL!$C$42, 121.5, 121.5)*CHOOSE(CONTROL!$C$42, 31, 31))/1000000</f>
        <v>0.43164089999999994</v>
      </c>
      <c r="X545" s="57">
        <f>(31*0.1790888*245000/1000000)+(31*0.2374*100000/1000000)</f>
        <v>2.0961194359999999</v>
      </c>
      <c r="Y545" s="57"/>
      <c r="Z545" s="14"/>
      <c r="AA545" s="56"/>
      <c r="AB545" s="50">
        <f>(B545*194.205+C545*267.466+D545*133.845+E545*53.484+F545*40+G545*185+H545*0+I545*100+J545*300)/(194.205+267.466+133.845+53.484+0+40+185+100+300)</f>
        <v>30.042310336420726</v>
      </c>
      <c r="AC545" s="45">
        <f>(M545*'RAP TEMPLATE-GAS AVAILABILITY'!O544+N545*'RAP TEMPLATE-GAS AVAILABILITY'!P544+O545*'RAP TEMPLATE-GAS AVAILABILITY'!Q544+P545*'RAP TEMPLATE-GAS AVAILABILITY'!R544)/('RAP TEMPLATE-GAS AVAILABILITY'!O544+'RAP TEMPLATE-GAS AVAILABILITY'!P544+'RAP TEMPLATE-GAS AVAILABILITY'!Q544+'RAP TEMPLATE-GAS AVAILABILITY'!R544)</f>
        <v>29.466761151079137</v>
      </c>
    </row>
    <row r="546" spans="1:29" ht="15.75" x14ac:dyDescent="0.25">
      <c r="A546" s="32">
        <v>57526</v>
      </c>
      <c r="B546" s="14">
        <f>CHOOSE(CONTROL!$C$42, 30.8585, 30.8585) * CHOOSE(CONTROL!$C$21, $C$9, 100%, $E$9)</f>
        <v>30.858499999999999</v>
      </c>
      <c r="C546" s="14">
        <f>CHOOSE(CONTROL!$C$42, 30.8665, 30.8665) * CHOOSE(CONTROL!$C$21, $C$9, 100%, $E$9)</f>
        <v>30.866499999999998</v>
      </c>
      <c r="D546" s="14">
        <f>CHOOSE(CONTROL!$C$42, 31.0705, 31.0705) * CHOOSE(CONTROL!$C$21, $C$9, 100%, $E$9)</f>
        <v>31.070499999999999</v>
      </c>
      <c r="E546" s="14">
        <f>CHOOSE(CONTROL!$C$42, 31.1019, 31.1019) * CHOOSE(CONTROL!$C$21, $C$9, 100%, $E$9)</f>
        <v>31.101900000000001</v>
      </c>
      <c r="F546" s="14">
        <f>CHOOSE(CONTROL!$C$42, 30.8397, 30.8397)*CHOOSE(CONTROL!$C$21, $C$9, 100%, $E$9)</f>
        <v>30.839700000000001</v>
      </c>
      <c r="G546" s="14">
        <f>CHOOSE(CONTROL!$C$42, 30.8554, 30.8554)*CHOOSE(CONTROL!$C$21, $C$9, 100%, $E$9)</f>
        <v>30.855399999999999</v>
      </c>
      <c r="H546" s="14">
        <f>CHOOSE(CONTROL!$C$42, 31.0906, 31.0906) * CHOOSE(CONTROL!$C$21, $C$9, 100%, $E$9)</f>
        <v>31.090599999999998</v>
      </c>
      <c r="I546" s="14">
        <f>CHOOSE(CONTROL!$C$42, 30.9606, 30.9606)* CHOOSE(CONTROL!$C$21, $C$9, 100%, $E$9)</f>
        <v>30.960599999999999</v>
      </c>
      <c r="J546" s="14">
        <f>CHOOSE(CONTROL!$C$42, 30.8327, 30.8327)* CHOOSE(CONTROL!$C$21, $C$9, 100%, $E$9)</f>
        <v>30.832699999999999</v>
      </c>
      <c r="K546" s="53">
        <f>CHOOSE(CONTROL!$C$42, 30.9567, 30.9567) * CHOOSE(CONTROL!$C$21, $C$9, 100%, $E$9)</f>
        <v>30.956700000000001</v>
      </c>
      <c r="L546" s="14">
        <f>CHOOSE(CONTROL!$C$42, 31.6776, 31.6776) * CHOOSE(CONTROL!$C$21, $C$9, 100%, $E$9)</f>
        <v>31.677600000000002</v>
      </c>
      <c r="M546" s="14">
        <f>CHOOSE(CONTROL!$C$42, 30.2086, 30.2086) * CHOOSE(CONTROL!$C$21, $C$9, 100%, $E$9)</f>
        <v>30.208600000000001</v>
      </c>
      <c r="N546" s="14">
        <f>CHOOSE(CONTROL!$C$42, 30.2241, 30.2241) * CHOOSE(CONTROL!$C$21, $C$9, 100%, $E$9)</f>
        <v>30.2241</v>
      </c>
      <c r="O546" s="14">
        <f>CHOOSE(CONTROL!$C$42, 30.4612, 30.4612) * CHOOSE(CONTROL!$C$21, $C$9, 100%, $E$9)</f>
        <v>30.461200000000002</v>
      </c>
      <c r="P546" s="14">
        <f>CHOOSE(CONTROL!$C$42, 30.332, 30.332) * CHOOSE(CONTROL!$C$21, $C$9, 100%, $E$9)</f>
        <v>30.332000000000001</v>
      </c>
      <c r="Q546" s="14">
        <f>CHOOSE(CONTROL!$C$42, 31.0559, 31.0559) * CHOOSE(CONTROL!$C$21, $C$9, 100%, $E$9)</f>
        <v>31.055900000000001</v>
      </c>
      <c r="R546" s="14">
        <f>CHOOSE(CONTROL!$C$42, 31.7206, 31.7206) * CHOOSE(CONTROL!$C$21, $C$9, 100%, $E$9)</f>
        <v>31.720600000000001</v>
      </c>
      <c r="S546" s="14">
        <f>CHOOSE(CONTROL!$C$42, 29.6413, 29.6413) * CHOOSE(CONTROL!$C$21, $C$9, 100%, $E$9)</f>
        <v>29.641300000000001</v>
      </c>
      <c r="T54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46" s="57">
        <f>(1000*CHOOSE(CONTROL!$C$42, 695, 695)*CHOOSE(CONTROL!$C$42, 0.5599, 0.5599)*CHOOSE(CONTROL!$C$42, 30, 30))/1000000</f>
        <v>11.673914999999997</v>
      </c>
      <c r="V546" s="57">
        <f>(1000*CHOOSE(CONTROL!$C$42, 500, 500)*CHOOSE(CONTROL!$C$42, 0.275, 0.275)*CHOOSE(CONTROL!$C$42, 30, 30))/1000000</f>
        <v>4.125</v>
      </c>
      <c r="W546" s="57">
        <f>(1000*CHOOSE(CONTROL!$C$42, 0.1146, 0.1146)*CHOOSE(CONTROL!$C$42, 121.5, 121.5)*CHOOSE(CONTROL!$C$42, 30, 30))/1000000</f>
        <v>0.417717</v>
      </c>
      <c r="X546" s="57">
        <f>(30*0.1790888*245000/1000000)+(30*0.2374*100000/1000000)</f>
        <v>2.0285026799999999</v>
      </c>
      <c r="Y546" s="57"/>
      <c r="Z546" s="14"/>
      <c r="AA546" s="56"/>
      <c r="AB546" s="50">
        <f>(B546*194.205+C546*267.466+D546*133.845+E546*53.484+F546*40+G546*185+H546*0+I546*100+J546*300)/(194.205+267.466+133.845+53.484+0+40+185+100+300)</f>
        <v>30.893568582103612</v>
      </c>
      <c r="AC546" s="45">
        <f>(M546*'RAP TEMPLATE-GAS AVAILABILITY'!O545+N546*'RAP TEMPLATE-GAS AVAILABILITY'!P545+O546*'RAP TEMPLATE-GAS AVAILABILITY'!Q545+P546*'RAP TEMPLATE-GAS AVAILABILITY'!R545)/('RAP TEMPLATE-GAS AVAILABILITY'!O545+'RAP TEMPLATE-GAS AVAILABILITY'!P545+'RAP TEMPLATE-GAS AVAILABILITY'!Q545+'RAP TEMPLATE-GAS AVAILABILITY'!R545)</f>
        <v>30.300797122302157</v>
      </c>
    </row>
    <row r="547" spans="1:29" ht="15.75" x14ac:dyDescent="0.25">
      <c r="A547" s="32">
        <v>57557</v>
      </c>
      <c r="B547" s="14">
        <f>CHOOSE(CONTROL!$C$42, 30.2667, 30.2667) * CHOOSE(CONTROL!$C$21, $C$9, 100%, $E$9)</f>
        <v>30.2667</v>
      </c>
      <c r="C547" s="14">
        <f>CHOOSE(CONTROL!$C$42, 30.2747, 30.2747) * CHOOSE(CONTROL!$C$21, $C$9, 100%, $E$9)</f>
        <v>30.274699999999999</v>
      </c>
      <c r="D547" s="14">
        <f>CHOOSE(CONTROL!$C$42, 30.4787, 30.4787) * CHOOSE(CONTROL!$C$21, $C$9, 100%, $E$9)</f>
        <v>30.4787</v>
      </c>
      <c r="E547" s="14">
        <f>CHOOSE(CONTROL!$C$42, 30.5101, 30.5101) * CHOOSE(CONTROL!$C$21, $C$9, 100%, $E$9)</f>
        <v>30.510100000000001</v>
      </c>
      <c r="F547" s="14">
        <f>CHOOSE(CONTROL!$C$42, 30.2483, 30.2483)*CHOOSE(CONTROL!$C$21, $C$9, 100%, $E$9)</f>
        <v>30.2483</v>
      </c>
      <c r="G547" s="14">
        <f>CHOOSE(CONTROL!$C$42, 30.2642, 30.2642)*CHOOSE(CONTROL!$C$21, $C$9, 100%, $E$9)</f>
        <v>30.264199999999999</v>
      </c>
      <c r="H547" s="14">
        <f>CHOOSE(CONTROL!$C$42, 30.4988, 30.4988) * CHOOSE(CONTROL!$C$21, $C$9, 100%, $E$9)</f>
        <v>30.498799999999999</v>
      </c>
      <c r="I547" s="14">
        <f>CHOOSE(CONTROL!$C$42, 30.3669, 30.3669)* CHOOSE(CONTROL!$C$21, $C$9, 100%, $E$9)</f>
        <v>30.366900000000001</v>
      </c>
      <c r="J547" s="14">
        <f>CHOOSE(CONTROL!$C$42, 30.2413, 30.2413)* CHOOSE(CONTROL!$C$21, $C$9, 100%, $E$9)</f>
        <v>30.241299999999999</v>
      </c>
      <c r="K547" s="53">
        <f>CHOOSE(CONTROL!$C$42, 30.3631, 30.3631) * CHOOSE(CONTROL!$C$21, $C$9, 100%, $E$9)</f>
        <v>30.363099999999999</v>
      </c>
      <c r="L547" s="14">
        <f>CHOOSE(CONTROL!$C$42, 31.0858, 31.0858) * CHOOSE(CONTROL!$C$21, $C$9, 100%, $E$9)</f>
        <v>31.085799999999999</v>
      </c>
      <c r="M547" s="14">
        <f>CHOOSE(CONTROL!$C$42, 29.6294, 29.6294) * CHOOSE(CONTROL!$C$21, $C$9, 100%, $E$9)</f>
        <v>29.6294</v>
      </c>
      <c r="N547" s="14">
        <f>CHOOSE(CONTROL!$C$42, 29.645, 29.645) * CHOOSE(CONTROL!$C$21, $C$9, 100%, $E$9)</f>
        <v>29.645</v>
      </c>
      <c r="O547" s="14">
        <f>CHOOSE(CONTROL!$C$42, 29.8816, 29.8816) * CHOOSE(CONTROL!$C$21, $C$9, 100%, $E$9)</f>
        <v>29.881599999999999</v>
      </c>
      <c r="P547" s="14">
        <f>CHOOSE(CONTROL!$C$42, 29.7506, 29.7506) * CHOOSE(CONTROL!$C$21, $C$9, 100%, $E$9)</f>
        <v>29.750599999999999</v>
      </c>
      <c r="Q547" s="14">
        <f>CHOOSE(CONTROL!$C$42, 30.4763, 30.4763) * CHOOSE(CONTROL!$C$21, $C$9, 100%, $E$9)</f>
        <v>30.476299999999998</v>
      </c>
      <c r="R547" s="14">
        <f>CHOOSE(CONTROL!$C$42, 31.1395, 31.1395) * CHOOSE(CONTROL!$C$21, $C$9, 100%, $E$9)</f>
        <v>31.139500000000002</v>
      </c>
      <c r="S547" s="14">
        <f>CHOOSE(CONTROL!$C$42, 29.0727, 29.0727) * CHOOSE(CONTROL!$C$21, $C$9, 100%, $E$9)</f>
        <v>29.072700000000001</v>
      </c>
      <c r="T54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47" s="57">
        <f>(1000*CHOOSE(CONTROL!$C$42, 695, 695)*CHOOSE(CONTROL!$C$42, 0.5599, 0.5599)*CHOOSE(CONTROL!$C$42, 31, 31))/1000000</f>
        <v>12.063045499999998</v>
      </c>
      <c r="V547" s="57">
        <f>(1000*CHOOSE(CONTROL!$C$42, 500, 500)*CHOOSE(CONTROL!$C$42, 0.275, 0.275)*CHOOSE(CONTROL!$C$42, 31, 31))/1000000</f>
        <v>4.2625000000000002</v>
      </c>
      <c r="W547" s="57">
        <f>(1000*CHOOSE(CONTROL!$C$42, 0.1146, 0.1146)*CHOOSE(CONTROL!$C$42, 121.5, 121.5)*CHOOSE(CONTROL!$C$42, 31, 31))/1000000</f>
        <v>0.43164089999999994</v>
      </c>
      <c r="X547" s="57">
        <f>(31*0.1790888*245000/1000000)+(31*0.2374*100000/1000000)</f>
        <v>2.0961194359999999</v>
      </c>
      <c r="Y547" s="57"/>
      <c r="Z547" s="14"/>
      <c r="AA547" s="56"/>
      <c r="AB547" s="50">
        <f>(B547*194.205+C547*267.466+D547*133.845+E547*53.484+F547*40+G547*185+H547*0+I547*100+J547*300)/(194.205+267.466+133.845+53.484+0+40+185+100+300)</f>
        <v>30.301813323076924</v>
      </c>
      <c r="AC547" s="45">
        <f>(M547*'RAP TEMPLATE-GAS AVAILABILITY'!O546+N547*'RAP TEMPLATE-GAS AVAILABILITY'!P546+O547*'RAP TEMPLATE-GAS AVAILABILITY'!Q546+P547*'RAP TEMPLATE-GAS AVAILABILITY'!R546)/('RAP TEMPLATE-GAS AVAILABILITY'!O546+'RAP TEMPLATE-GAS AVAILABILITY'!P546+'RAP TEMPLATE-GAS AVAILABILITY'!Q546+'RAP TEMPLATE-GAS AVAILABILITY'!R546)</f>
        <v>29.721191366906478</v>
      </c>
    </row>
    <row r="548" spans="1:29" ht="15.75" x14ac:dyDescent="0.25">
      <c r="A548" s="32">
        <v>57588</v>
      </c>
      <c r="B548" s="14">
        <f>CHOOSE(CONTROL!$C$42, 28.7723, 28.7723) * CHOOSE(CONTROL!$C$21, $C$9, 100%, $E$9)</f>
        <v>28.772300000000001</v>
      </c>
      <c r="C548" s="14">
        <f>CHOOSE(CONTROL!$C$42, 28.7803, 28.7803) * CHOOSE(CONTROL!$C$21, $C$9, 100%, $E$9)</f>
        <v>28.7803</v>
      </c>
      <c r="D548" s="14">
        <f>CHOOSE(CONTROL!$C$42, 28.9842, 28.9842) * CHOOSE(CONTROL!$C$21, $C$9, 100%, $E$9)</f>
        <v>28.984200000000001</v>
      </c>
      <c r="E548" s="14">
        <f>CHOOSE(CONTROL!$C$42, 29.0157, 29.0157) * CHOOSE(CONTROL!$C$21, $C$9, 100%, $E$9)</f>
        <v>29.015699999999999</v>
      </c>
      <c r="F548" s="14">
        <f>CHOOSE(CONTROL!$C$42, 28.7541, 28.7541)*CHOOSE(CONTROL!$C$21, $C$9, 100%, $E$9)</f>
        <v>28.754100000000001</v>
      </c>
      <c r="G548" s="14">
        <f>CHOOSE(CONTROL!$C$42, 28.7701, 28.7701)*CHOOSE(CONTROL!$C$21, $C$9, 100%, $E$9)</f>
        <v>28.770099999999999</v>
      </c>
      <c r="H548" s="14">
        <f>CHOOSE(CONTROL!$C$42, 29.0043, 29.0043) * CHOOSE(CONTROL!$C$21, $C$9, 100%, $E$9)</f>
        <v>29.004300000000001</v>
      </c>
      <c r="I548" s="14">
        <f>CHOOSE(CONTROL!$C$42, 28.8678, 28.8678)* CHOOSE(CONTROL!$C$21, $C$9, 100%, $E$9)</f>
        <v>28.867799999999999</v>
      </c>
      <c r="J548" s="14">
        <f>CHOOSE(CONTROL!$C$42, 28.7471, 28.7471)* CHOOSE(CONTROL!$C$21, $C$9, 100%, $E$9)</f>
        <v>28.7471</v>
      </c>
      <c r="K548" s="53">
        <f>CHOOSE(CONTROL!$C$42, 28.8639, 28.8639) * CHOOSE(CONTROL!$C$21, $C$9, 100%, $E$9)</f>
        <v>28.863900000000001</v>
      </c>
      <c r="L548" s="14">
        <f>CHOOSE(CONTROL!$C$42, 29.5913, 29.5913) * CHOOSE(CONTROL!$C$21, $C$9, 100%, $E$9)</f>
        <v>29.5913</v>
      </c>
      <c r="M548" s="14">
        <f>CHOOSE(CONTROL!$C$42, 28.1658, 28.1658) * CHOOSE(CONTROL!$C$21, $C$9, 100%, $E$9)</f>
        <v>28.165800000000001</v>
      </c>
      <c r="N548" s="14">
        <f>CHOOSE(CONTROL!$C$42, 28.1814, 28.1814) * CHOOSE(CONTROL!$C$21, $C$9, 100%, $E$9)</f>
        <v>28.1814</v>
      </c>
      <c r="O548" s="14">
        <f>CHOOSE(CONTROL!$C$42, 28.4178, 28.4178) * CHOOSE(CONTROL!$C$21, $C$9, 100%, $E$9)</f>
        <v>28.4178</v>
      </c>
      <c r="P548" s="14">
        <f>CHOOSE(CONTROL!$C$42, 28.2823, 28.2823) * CHOOSE(CONTROL!$C$21, $C$9, 100%, $E$9)</f>
        <v>28.282299999999999</v>
      </c>
      <c r="Q548" s="14">
        <f>CHOOSE(CONTROL!$C$42, 29.0125, 29.0125) * CHOOSE(CONTROL!$C$21, $C$9, 100%, $E$9)</f>
        <v>29.012499999999999</v>
      </c>
      <c r="R548" s="14">
        <f>CHOOSE(CONTROL!$C$42, 29.672, 29.672) * CHOOSE(CONTROL!$C$21, $C$9, 100%, $E$9)</f>
        <v>29.672000000000001</v>
      </c>
      <c r="S548" s="14">
        <f>CHOOSE(CONTROL!$C$42, 27.6367, 27.6367) * CHOOSE(CONTROL!$C$21, $C$9, 100%, $E$9)</f>
        <v>27.636700000000001</v>
      </c>
      <c r="T54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48" s="57">
        <f>(1000*CHOOSE(CONTROL!$C$42, 695, 695)*CHOOSE(CONTROL!$C$42, 0.5599, 0.5599)*CHOOSE(CONTROL!$C$42, 31, 31))/1000000</f>
        <v>12.063045499999998</v>
      </c>
      <c r="V548" s="57">
        <f>(1000*CHOOSE(CONTROL!$C$42, 500, 500)*CHOOSE(CONTROL!$C$42, 0.275, 0.275)*CHOOSE(CONTROL!$C$42, 31, 31))/1000000</f>
        <v>4.2625000000000002</v>
      </c>
      <c r="W548" s="57">
        <f>(1000*CHOOSE(CONTROL!$C$42, 0.1146, 0.1146)*CHOOSE(CONTROL!$C$42, 121.5, 121.5)*CHOOSE(CONTROL!$C$42, 31, 31))/1000000</f>
        <v>0.43164089999999994</v>
      </c>
      <c r="X548" s="57">
        <f>(31*0.1790888*245000/1000000)+(31*0.2374*100000/1000000)</f>
        <v>2.0961194359999999</v>
      </c>
      <c r="Y548" s="57"/>
      <c r="Z548" s="14"/>
      <c r="AA548" s="56"/>
      <c r="AB548" s="50">
        <f>(B548*194.205+C548*267.466+D548*133.845+E548*53.484+F548*40+G548*185+H548*0+I548*100+J548*300)/(194.205+267.466+133.845+53.484+0+40+185+100+300)</f>
        <v>28.807130839167975</v>
      </c>
      <c r="AC548" s="45">
        <f>(M548*'RAP TEMPLATE-GAS AVAILABILITY'!O547+N548*'RAP TEMPLATE-GAS AVAILABILITY'!P547+O548*'RAP TEMPLATE-GAS AVAILABILITY'!Q547+P548*'RAP TEMPLATE-GAS AVAILABILITY'!R547)/('RAP TEMPLATE-GAS AVAILABILITY'!O547+'RAP TEMPLATE-GAS AVAILABILITY'!P547+'RAP TEMPLATE-GAS AVAILABILITY'!Q547+'RAP TEMPLATE-GAS AVAILABILITY'!R547)</f>
        <v>28.256858992805753</v>
      </c>
    </row>
    <row r="549" spans="1:29" ht="15.75" x14ac:dyDescent="0.25">
      <c r="A549" s="32">
        <v>57618</v>
      </c>
      <c r="B549" s="14">
        <f>CHOOSE(CONTROL!$C$42, 26.946, 26.946) * CHOOSE(CONTROL!$C$21, $C$9, 100%, $E$9)</f>
        <v>26.946000000000002</v>
      </c>
      <c r="C549" s="14">
        <f>CHOOSE(CONTROL!$C$42, 26.954, 26.954) * CHOOSE(CONTROL!$C$21, $C$9, 100%, $E$9)</f>
        <v>26.954000000000001</v>
      </c>
      <c r="D549" s="14">
        <f>CHOOSE(CONTROL!$C$42, 27.1579, 27.1579) * CHOOSE(CONTROL!$C$21, $C$9, 100%, $E$9)</f>
        <v>27.157900000000001</v>
      </c>
      <c r="E549" s="14">
        <f>CHOOSE(CONTROL!$C$42, 27.1894, 27.1894) * CHOOSE(CONTROL!$C$21, $C$9, 100%, $E$9)</f>
        <v>27.189399999999999</v>
      </c>
      <c r="F549" s="14">
        <f>CHOOSE(CONTROL!$C$42, 26.9279, 26.9279)*CHOOSE(CONTROL!$C$21, $C$9, 100%, $E$9)</f>
        <v>26.927900000000001</v>
      </c>
      <c r="G549" s="14">
        <f>CHOOSE(CONTROL!$C$42, 26.9438, 26.9438)*CHOOSE(CONTROL!$C$21, $C$9, 100%, $E$9)</f>
        <v>26.9438</v>
      </c>
      <c r="H549" s="14">
        <f>CHOOSE(CONTROL!$C$42, 27.178, 27.178) * CHOOSE(CONTROL!$C$21, $C$9, 100%, $E$9)</f>
        <v>27.178000000000001</v>
      </c>
      <c r="I549" s="14">
        <f>CHOOSE(CONTROL!$C$42, 27.0358, 27.0358)* CHOOSE(CONTROL!$C$21, $C$9, 100%, $E$9)</f>
        <v>27.035799999999998</v>
      </c>
      <c r="J549" s="14">
        <f>CHOOSE(CONTROL!$C$42, 26.9209, 26.9209)* CHOOSE(CONTROL!$C$21, $C$9, 100%, $E$9)</f>
        <v>26.9209</v>
      </c>
      <c r="K549" s="53">
        <f>CHOOSE(CONTROL!$C$42, 27.0319, 27.0319) * CHOOSE(CONTROL!$C$21, $C$9, 100%, $E$9)</f>
        <v>27.0319</v>
      </c>
      <c r="L549" s="14">
        <f>CHOOSE(CONTROL!$C$42, 27.765, 27.765) * CHOOSE(CONTROL!$C$21, $C$9, 100%, $E$9)</f>
        <v>27.765000000000001</v>
      </c>
      <c r="M549" s="14">
        <f>CHOOSE(CONTROL!$C$42, 26.377, 26.377) * CHOOSE(CONTROL!$C$21, $C$9, 100%, $E$9)</f>
        <v>26.376999999999999</v>
      </c>
      <c r="N549" s="14">
        <f>CHOOSE(CONTROL!$C$42, 26.3926, 26.3926) * CHOOSE(CONTROL!$C$21, $C$9, 100%, $E$9)</f>
        <v>26.392600000000002</v>
      </c>
      <c r="O549" s="14">
        <f>CHOOSE(CONTROL!$C$42, 26.6289, 26.6289) * CHOOSE(CONTROL!$C$21, $C$9, 100%, $E$9)</f>
        <v>26.628900000000002</v>
      </c>
      <c r="P549" s="14">
        <f>CHOOSE(CONTROL!$C$42, 26.4879, 26.4879) * CHOOSE(CONTROL!$C$21, $C$9, 100%, $E$9)</f>
        <v>26.4879</v>
      </c>
      <c r="Q549" s="14">
        <f>CHOOSE(CONTROL!$C$42, 27.2236, 27.2236) * CHOOSE(CONTROL!$C$21, $C$9, 100%, $E$9)</f>
        <v>27.223600000000001</v>
      </c>
      <c r="R549" s="14">
        <f>CHOOSE(CONTROL!$C$42, 27.8786, 27.8786) * CHOOSE(CONTROL!$C$21, $C$9, 100%, $E$9)</f>
        <v>27.878599999999999</v>
      </c>
      <c r="S549" s="14">
        <f>CHOOSE(CONTROL!$C$42, 25.8818, 25.8818) * CHOOSE(CONTROL!$C$21, $C$9, 100%, $E$9)</f>
        <v>25.881799999999998</v>
      </c>
      <c r="T54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49" s="57">
        <f>(1000*CHOOSE(CONTROL!$C$42, 695, 695)*CHOOSE(CONTROL!$C$42, 0.5599, 0.5599)*CHOOSE(CONTROL!$C$42, 30, 30))/1000000</f>
        <v>11.673914999999997</v>
      </c>
      <c r="V549" s="57">
        <f>(1000*CHOOSE(CONTROL!$C$42, 500, 500)*CHOOSE(CONTROL!$C$42, 0.275, 0.275)*CHOOSE(CONTROL!$C$42, 30, 30))/1000000</f>
        <v>4.125</v>
      </c>
      <c r="W549" s="57">
        <f>(1000*CHOOSE(CONTROL!$C$42, 0.1146, 0.1146)*CHOOSE(CONTROL!$C$42, 121.5, 121.5)*CHOOSE(CONTROL!$C$42, 30, 30))/1000000</f>
        <v>0.417717</v>
      </c>
      <c r="X549" s="57">
        <f>(30*0.1790888*245000/1000000)+(30*0.2374*100000/1000000)</f>
        <v>2.0285026799999999</v>
      </c>
      <c r="Y549" s="57"/>
      <c r="Z549" s="14"/>
      <c r="AA549" s="56"/>
      <c r="AB549" s="50">
        <f>(B549*194.205+C549*267.466+D549*133.845+E549*53.484+F549*40+G549*185+H549*0+I549*100+J549*300)/(194.205+267.466+133.845+53.484+0+40+185+100+300)</f>
        <v>26.98041011703296</v>
      </c>
      <c r="AC549" s="45">
        <f>(M549*'RAP TEMPLATE-GAS AVAILABILITY'!O548+N549*'RAP TEMPLATE-GAS AVAILABILITY'!P548+O549*'RAP TEMPLATE-GAS AVAILABILITY'!Q548+P549*'RAP TEMPLATE-GAS AVAILABILITY'!R548)/('RAP TEMPLATE-GAS AVAILABILITY'!O548+'RAP TEMPLATE-GAS AVAILABILITY'!P548+'RAP TEMPLATE-GAS AVAILABILITY'!Q548+'RAP TEMPLATE-GAS AVAILABILITY'!R548)</f>
        <v>26.467225179856115</v>
      </c>
    </row>
    <row r="550" spans="1:29" ht="15.75" x14ac:dyDescent="0.25">
      <c r="A550" s="32">
        <v>57649</v>
      </c>
      <c r="B550" s="14">
        <f>CHOOSE(CONTROL!$C$42, 26.3973, 26.3973) * CHOOSE(CONTROL!$C$21, $C$9, 100%, $E$9)</f>
        <v>26.397300000000001</v>
      </c>
      <c r="C550" s="14">
        <f>CHOOSE(CONTROL!$C$42, 26.4027, 26.4027) * CHOOSE(CONTROL!$C$21, $C$9, 100%, $E$9)</f>
        <v>26.402699999999999</v>
      </c>
      <c r="D550" s="14">
        <f>CHOOSE(CONTROL!$C$42, 26.6116, 26.6116) * CHOOSE(CONTROL!$C$21, $C$9, 100%, $E$9)</f>
        <v>26.611599999999999</v>
      </c>
      <c r="E550" s="14">
        <f>CHOOSE(CONTROL!$C$42, 26.6407, 26.6407) * CHOOSE(CONTROL!$C$21, $C$9, 100%, $E$9)</f>
        <v>26.640699999999999</v>
      </c>
      <c r="F550" s="14">
        <f>CHOOSE(CONTROL!$C$42, 26.3813, 26.3813)*CHOOSE(CONTROL!$C$21, $C$9, 100%, $E$9)</f>
        <v>26.3813</v>
      </c>
      <c r="G550" s="14">
        <f>CHOOSE(CONTROL!$C$42, 26.397, 26.397)*CHOOSE(CONTROL!$C$21, $C$9, 100%, $E$9)</f>
        <v>26.396999999999998</v>
      </c>
      <c r="H550" s="14">
        <f>CHOOSE(CONTROL!$C$42, 26.6312, 26.6312) * CHOOSE(CONTROL!$C$21, $C$9, 100%, $E$9)</f>
        <v>26.6312</v>
      </c>
      <c r="I550" s="14">
        <f>CHOOSE(CONTROL!$C$42, 26.4872, 26.4872)* CHOOSE(CONTROL!$C$21, $C$9, 100%, $E$9)</f>
        <v>26.487200000000001</v>
      </c>
      <c r="J550" s="14">
        <f>CHOOSE(CONTROL!$C$42, 26.3743, 26.3743)* CHOOSE(CONTROL!$C$21, $C$9, 100%, $E$9)</f>
        <v>26.374300000000002</v>
      </c>
      <c r="K550" s="53">
        <f>CHOOSE(CONTROL!$C$42, 26.4833, 26.4833) * CHOOSE(CONTROL!$C$21, $C$9, 100%, $E$9)</f>
        <v>26.4833</v>
      </c>
      <c r="L550" s="14">
        <f>CHOOSE(CONTROL!$C$42, 27.2182, 27.2182) * CHOOSE(CONTROL!$C$21, $C$9, 100%, $E$9)</f>
        <v>27.2182</v>
      </c>
      <c r="M550" s="14">
        <f>CHOOSE(CONTROL!$C$42, 25.8416, 25.8416) * CHOOSE(CONTROL!$C$21, $C$9, 100%, $E$9)</f>
        <v>25.8416</v>
      </c>
      <c r="N550" s="14">
        <f>CHOOSE(CONTROL!$C$42, 25.857, 25.857) * CHOOSE(CONTROL!$C$21, $C$9, 100%, $E$9)</f>
        <v>25.856999999999999</v>
      </c>
      <c r="O550" s="14">
        <f>CHOOSE(CONTROL!$C$42, 26.0932, 26.0932) * CHOOSE(CONTROL!$C$21, $C$9, 100%, $E$9)</f>
        <v>26.0932</v>
      </c>
      <c r="P550" s="14">
        <f>CHOOSE(CONTROL!$C$42, 25.9506, 25.9506) * CHOOSE(CONTROL!$C$21, $C$9, 100%, $E$9)</f>
        <v>25.950600000000001</v>
      </c>
      <c r="Q550" s="14">
        <f>CHOOSE(CONTROL!$C$42, 26.6879, 26.6879) * CHOOSE(CONTROL!$C$21, $C$9, 100%, $E$9)</f>
        <v>26.687899999999999</v>
      </c>
      <c r="R550" s="14">
        <f>CHOOSE(CONTROL!$C$42, 27.3416, 27.3416) * CHOOSE(CONTROL!$C$21, $C$9, 100%, $E$9)</f>
        <v>27.3416</v>
      </c>
      <c r="S550" s="14">
        <f>CHOOSE(CONTROL!$C$42, 25.3563, 25.3563) * CHOOSE(CONTROL!$C$21, $C$9, 100%, $E$9)</f>
        <v>25.356300000000001</v>
      </c>
      <c r="T55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50" s="57">
        <f>(1000*CHOOSE(CONTROL!$C$42, 695, 695)*CHOOSE(CONTROL!$C$42, 0.5599, 0.5599)*CHOOSE(CONTROL!$C$42, 31, 31))/1000000</f>
        <v>12.063045499999998</v>
      </c>
      <c r="V550" s="57">
        <f>(1000*CHOOSE(CONTROL!$C$42, 500, 500)*CHOOSE(CONTROL!$C$42, 0.275, 0.275)*CHOOSE(CONTROL!$C$42, 31, 31))/1000000</f>
        <v>4.2625000000000002</v>
      </c>
      <c r="W550" s="57">
        <f>(1000*CHOOSE(CONTROL!$C$42, 0.1146, 0.1146)*CHOOSE(CONTROL!$C$42, 121.5, 121.5)*CHOOSE(CONTROL!$C$42, 31, 31))/1000000</f>
        <v>0.43164089999999994</v>
      </c>
      <c r="X550" s="57">
        <f>(31*0.1790888*245000/1000000)+(31*0.2374*100000/1000000)</f>
        <v>2.0961194359999999</v>
      </c>
      <c r="Y550" s="57"/>
      <c r="Z550" s="14"/>
      <c r="AA550" s="56"/>
      <c r="AB550" s="50">
        <f>(B550*131.881+C550*277.167+D550*79.08+E550*125.872+F550*40+G550*185+H550*0+I550*100+J550*300)/(131.881+277.167+79.08+125.872+0+40+185+100+300)</f>
        <v>26.438038733333332</v>
      </c>
      <c r="AC550" s="45">
        <f>(M550*'RAP TEMPLATE-GAS AVAILABILITY'!O549+N550*'RAP TEMPLATE-GAS AVAILABILITY'!P549+O550*'RAP TEMPLATE-GAS AVAILABILITY'!Q549+P550*'RAP TEMPLATE-GAS AVAILABILITY'!R549)/('RAP TEMPLATE-GAS AVAILABILITY'!O549+'RAP TEMPLATE-GAS AVAILABILITY'!P549+'RAP TEMPLATE-GAS AVAILABILITY'!Q549+'RAP TEMPLATE-GAS AVAILABILITY'!R549)</f>
        <v>25.931421582733812</v>
      </c>
    </row>
    <row r="551" spans="1:29" ht="15.75" x14ac:dyDescent="0.25">
      <c r="A551" s="32">
        <v>57679</v>
      </c>
      <c r="B551" s="14">
        <f>CHOOSE(CONTROL!$C$42, 27.0921, 27.0921) * CHOOSE(CONTROL!$C$21, $C$9, 100%, $E$9)</f>
        <v>27.092099999999999</v>
      </c>
      <c r="C551" s="14">
        <f>CHOOSE(CONTROL!$C$42, 27.0972, 27.0972) * CHOOSE(CONTROL!$C$21, $C$9, 100%, $E$9)</f>
        <v>27.097200000000001</v>
      </c>
      <c r="D551" s="14">
        <f>CHOOSE(CONTROL!$C$42, 27.161, 27.161) * CHOOSE(CONTROL!$C$21, $C$9, 100%, $E$9)</f>
        <v>27.161000000000001</v>
      </c>
      <c r="E551" s="14">
        <f>CHOOSE(CONTROL!$C$42, 27.1951, 27.1951) * CHOOSE(CONTROL!$C$21, $C$9, 100%, $E$9)</f>
        <v>27.1951</v>
      </c>
      <c r="F551" s="14">
        <f>CHOOSE(CONTROL!$C$42, 27.0945, 27.0945)*CHOOSE(CONTROL!$C$21, $C$9, 100%, $E$9)</f>
        <v>27.0945</v>
      </c>
      <c r="G551" s="14">
        <f>CHOOSE(CONTROL!$C$42, 27.1105, 27.1105)*CHOOSE(CONTROL!$C$21, $C$9, 100%, $E$9)</f>
        <v>27.110499999999998</v>
      </c>
      <c r="H551" s="14">
        <f>CHOOSE(CONTROL!$C$42, 27.1843, 27.1843) * CHOOSE(CONTROL!$C$21, $C$9, 100%, $E$9)</f>
        <v>27.1843</v>
      </c>
      <c r="I551" s="14">
        <f>CHOOSE(CONTROL!$C$42, 27.1898, 27.1898)* CHOOSE(CONTROL!$C$21, $C$9, 100%, $E$9)</f>
        <v>27.189800000000002</v>
      </c>
      <c r="J551" s="14">
        <f>CHOOSE(CONTROL!$C$42, 27.0875, 27.0875)* CHOOSE(CONTROL!$C$21, $C$9, 100%, $E$9)</f>
        <v>27.087499999999999</v>
      </c>
      <c r="K551" s="53">
        <f>CHOOSE(CONTROL!$C$42, 27.1859, 27.1859) * CHOOSE(CONTROL!$C$21, $C$9, 100%, $E$9)</f>
        <v>27.1859</v>
      </c>
      <c r="L551" s="14">
        <f>CHOOSE(CONTROL!$C$42, 27.7713, 27.7713) * CHOOSE(CONTROL!$C$21, $C$9, 100%, $E$9)</f>
        <v>27.7713</v>
      </c>
      <c r="M551" s="14">
        <f>CHOOSE(CONTROL!$C$42, 26.5402, 26.5402) * CHOOSE(CONTROL!$C$21, $C$9, 100%, $E$9)</f>
        <v>26.540199999999999</v>
      </c>
      <c r="N551" s="14">
        <f>CHOOSE(CONTROL!$C$42, 26.5559, 26.5559) * CHOOSE(CONTROL!$C$21, $C$9, 100%, $E$9)</f>
        <v>26.555900000000001</v>
      </c>
      <c r="O551" s="14">
        <f>CHOOSE(CONTROL!$C$42, 26.635, 26.635) * CHOOSE(CONTROL!$C$21, $C$9, 100%, $E$9)</f>
        <v>26.635000000000002</v>
      </c>
      <c r="P551" s="14">
        <f>CHOOSE(CONTROL!$C$42, 26.6388, 26.6388) * CHOOSE(CONTROL!$C$21, $C$9, 100%, $E$9)</f>
        <v>26.6388</v>
      </c>
      <c r="Q551" s="14">
        <f>CHOOSE(CONTROL!$C$42, 27.2297, 27.2297) * CHOOSE(CONTROL!$C$21, $C$9, 100%, $E$9)</f>
        <v>27.229700000000001</v>
      </c>
      <c r="R551" s="14">
        <f>CHOOSE(CONTROL!$C$42, 27.8848, 27.8848) * CHOOSE(CONTROL!$C$21, $C$9, 100%, $E$9)</f>
        <v>27.884799999999998</v>
      </c>
      <c r="S551" s="14">
        <f>CHOOSE(CONTROL!$C$42, 26.0243, 26.0243) * CHOOSE(CONTROL!$C$21, $C$9, 100%, $E$9)</f>
        <v>26.0243</v>
      </c>
      <c r="T55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51" s="57">
        <f>(1000*CHOOSE(CONTROL!$C$42, 695, 695)*CHOOSE(CONTROL!$C$42, 0.5599, 0.5599)*CHOOSE(CONTROL!$C$42, 30, 30))/1000000</f>
        <v>11.673914999999997</v>
      </c>
      <c r="V551" s="57">
        <f>(1000*CHOOSE(CONTROL!$C$42, 500, 500)*CHOOSE(CONTROL!$C$42, 0.275, 0.275)*CHOOSE(CONTROL!$C$42, 30, 30))/1000000</f>
        <v>4.125</v>
      </c>
      <c r="W551" s="57">
        <f>(1000*CHOOSE(CONTROL!$C$42, 0.1146, 0.1146)*CHOOSE(CONTROL!$C$42, 121.5, 121.5)*CHOOSE(CONTROL!$C$42, 30, 30))/1000000</f>
        <v>0.417717</v>
      </c>
      <c r="X551" s="57">
        <f>(30*0.1790888*100000/1000000)+(30*0.2374*100000/1000000)</f>
        <v>1.2494664</v>
      </c>
      <c r="Y551" s="57"/>
      <c r="Z551" s="14"/>
      <c r="AA551" s="56"/>
      <c r="AB551" s="50">
        <f>(B551*122.58+C551*297.941+D551*89.177+E551*40.302+F551*40+G551*160+H551*0+I551*100+J551*300)/(122.58+297.941+89.177+40.302+0+40+160+100+300)</f>
        <v>27.112312956869562</v>
      </c>
      <c r="AC551" s="45">
        <f>(M551*'RAP TEMPLATE-GAS AVAILABILITY'!O550+N551*'RAP TEMPLATE-GAS AVAILABILITY'!P550+O551*'RAP TEMPLATE-GAS AVAILABILITY'!Q550+P551*'RAP TEMPLATE-GAS AVAILABILITY'!R550)/('RAP TEMPLATE-GAS AVAILABILITY'!O550+'RAP TEMPLATE-GAS AVAILABILITY'!P550+'RAP TEMPLATE-GAS AVAILABILITY'!Q550+'RAP TEMPLATE-GAS AVAILABILITY'!R550)</f>
        <v>26.598257553956834</v>
      </c>
    </row>
    <row r="552" spans="1:29" ht="15.75" x14ac:dyDescent="0.25">
      <c r="A552" s="32">
        <v>57710</v>
      </c>
      <c r="B552" s="14">
        <f>CHOOSE(CONTROL!$C$42, 28.9386, 28.9386) * CHOOSE(CONTROL!$C$21, $C$9, 100%, $E$9)</f>
        <v>28.938600000000001</v>
      </c>
      <c r="C552" s="14">
        <f>CHOOSE(CONTROL!$C$42, 28.9436, 28.9436) * CHOOSE(CONTROL!$C$21, $C$9, 100%, $E$9)</f>
        <v>28.9436</v>
      </c>
      <c r="D552" s="14">
        <f>CHOOSE(CONTROL!$C$42, 29.0074, 29.0074) * CHOOSE(CONTROL!$C$21, $C$9, 100%, $E$9)</f>
        <v>29.007400000000001</v>
      </c>
      <c r="E552" s="14">
        <f>CHOOSE(CONTROL!$C$42, 29.0415, 29.0415) * CHOOSE(CONTROL!$C$21, $C$9, 100%, $E$9)</f>
        <v>29.041499999999999</v>
      </c>
      <c r="F552" s="14">
        <f>CHOOSE(CONTROL!$C$42, 28.9432, 28.9432)*CHOOSE(CONTROL!$C$21, $C$9, 100%, $E$9)</f>
        <v>28.943200000000001</v>
      </c>
      <c r="G552" s="14">
        <f>CHOOSE(CONTROL!$C$42, 28.9598, 28.9598)*CHOOSE(CONTROL!$C$21, $C$9, 100%, $E$9)</f>
        <v>28.959800000000001</v>
      </c>
      <c r="H552" s="14">
        <f>CHOOSE(CONTROL!$C$42, 29.0307, 29.0307) * CHOOSE(CONTROL!$C$21, $C$9, 100%, $E$9)</f>
        <v>29.0307</v>
      </c>
      <c r="I552" s="14">
        <f>CHOOSE(CONTROL!$C$42, 29.042, 29.042)* CHOOSE(CONTROL!$C$21, $C$9, 100%, $E$9)</f>
        <v>29.042000000000002</v>
      </c>
      <c r="J552" s="14">
        <f>CHOOSE(CONTROL!$C$42, 28.9362, 28.9362)* CHOOSE(CONTROL!$C$21, $C$9, 100%, $E$9)</f>
        <v>28.936199999999999</v>
      </c>
      <c r="K552" s="53">
        <f>CHOOSE(CONTROL!$C$42, 29.0381, 29.0381) * CHOOSE(CONTROL!$C$21, $C$9, 100%, $E$9)</f>
        <v>29.0381</v>
      </c>
      <c r="L552" s="14">
        <f>CHOOSE(CONTROL!$C$42, 29.6177, 29.6177) * CHOOSE(CONTROL!$C$21, $C$9, 100%, $E$9)</f>
        <v>29.617699999999999</v>
      </c>
      <c r="M552" s="14">
        <f>CHOOSE(CONTROL!$C$42, 28.351, 28.351) * CHOOSE(CONTROL!$C$21, $C$9, 100%, $E$9)</f>
        <v>28.350999999999999</v>
      </c>
      <c r="N552" s="14">
        <f>CHOOSE(CONTROL!$C$42, 28.3673, 28.3673) * CHOOSE(CONTROL!$C$21, $C$9, 100%, $E$9)</f>
        <v>28.3673</v>
      </c>
      <c r="O552" s="14">
        <f>CHOOSE(CONTROL!$C$42, 28.4436, 28.4436) * CHOOSE(CONTROL!$C$21, $C$9, 100%, $E$9)</f>
        <v>28.4436</v>
      </c>
      <c r="P552" s="14">
        <f>CHOOSE(CONTROL!$C$42, 28.4529, 28.4529) * CHOOSE(CONTROL!$C$21, $C$9, 100%, $E$9)</f>
        <v>28.4529</v>
      </c>
      <c r="Q552" s="14">
        <f>CHOOSE(CONTROL!$C$42, 29.0383, 29.0383) * CHOOSE(CONTROL!$C$21, $C$9, 100%, $E$9)</f>
        <v>29.0383</v>
      </c>
      <c r="R552" s="14">
        <f>CHOOSE(CONTROL!$C$42, 29.6979, 29.6979) * CHOOSE(CONTROL!$C$21, $C$9, 100%, $E$9)</f>
        <v>29.697900000000001</v>
      </c>
      <c r="S552" s="14">
        <f>CHOOSE(CONTROL!$C$42, 27.7985, 27.7985) * CHOOSE(CONTROL!$C$21, $C$9, 100%, $E$9)</f>
        <v>27.798500000000001</v>
      </c>
      <c r="T55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52" s="57">
        <f>(1000*CHOOSE(CONTROL!$C$42, 695, 695)*CHOOSE(CONTROL!$C$42, 0.5599, 0.5599)*CHOOSE(CONTROL!$C$42, 31, 31))/1000000</f>
        <v>12.063045499999998</v>
      </c>
      <c r="V552" s="57">
        <f>(1000*CHOOSE(CONTROL!$C$42, 500, 500)*CHOOSE(CONTROL!$C$42, 0.275, 0.275)*CHOOSE(CONTROL!$C$42, 31, 31))/1000000</f>
        <v>4.2625000000000002</v>
      </c>
      <c r="W552" s="57">
        <f>(1000*CHOOSE(CONTROL!$C$42, 0.1146, 0.1146)*CHOOSE(CONTROL!$C$42, 121.5, 121.5)*CHOOSE(CONTROL!$C$42, 31, 31))/1000000</f>
        <v>0.43164089999999994</v>
      </c>
      <c r="X552" s="57">
        <f>(31*0.1790888*100000/1000000)+(31*0.2374*100000/1000000)</f>
        <v>1.2911152800000001</v>
      </c>
      <c r="Y552" s="57"/>
      <c r="Z552" s="14"/>
      <c r="AA552" s="56"/>
      <c r="AB552" s="50">
        <f>(B552*122.58+C552*297.941+D552*89.177+E552*40.302+F552*40+G552*160+H552*0+I552*100+J552*300)/(122.58+297.941+89.177+40.302+0+40+160+100+300)</f>
        <v>28.960311442086962</v>
      </c>
      <c r="AC552" s="45">
        <f>(M552*'RAP TEMPLATE-GAS AVAILABILITY'!O551+N552*'RAP TEMPLATE-GAS AVAILABILITY'!P551+O552*'RAP TEMPLATE-GAS AVAILABILITY'!Q551+P552*'RAP TEMPLATE-GAS AVAILABILITY'!R551)/('RAP TEMPLATE-GAS AVAILABILITY'!O551+'RAP TEMPLATE-GAS AVAILABILITY'!P551+'RAP TEMPLATE-GAS AVAILABILITY'!Q551+'RAP TEMPLATE-GAS AVAILABILITY'!R551)</f>
        <v>28.408569784172666</v>
      </c>
    </row>
    <row r="553" spans="1:29" ht="15.75" x14ac:dyDescent="0.25">
      <c r="A553" s="32">
        <v>57741</v>
      </c>
      <c r="B553" s="14">
        <f>CHOOSE(CONTROL!$C$42, 31.3082, 31.3082) * CHOOSE(CONTROL!$C$21, $C$9, 100%, $E$9)</f>
        <v>31.308199999999999</v>
      </c>
      <c r="C553" s="14">
        <f>CHOOSE(CONTROL!$C$42, 31.3133, 31.3133) * CHOOSE(CONTROL!$C$21, $C$9, 100%, $E$9)</f>
        <v>31.313300000000002</v>
      </c>
      <c r="D553" s="14">
        <f>CHOOSE(CONTROL!$C$42, 31.3797, 31.3797) * CHOOSE(CONTROL!$C$21, $C$9, 100%, $E$9)</f>
        <v>31.3797</v>
      </c>
      <c r="E553" s="14">
        <f>CHOOSE(CONTROL!$C$42, 31.4138, 31.4138) * CHOOSE(CONTROL!$C$21, $C$9, 100%, $E$9)</f>
        <v>31.413799999999998</v>
      </c>
      <c r="F553" s="14">
        <f>CHOOSE(CONTROL!$C$42, 31.2956, 31.2956)*CHOOSE(CONTROL!$C$21, $C$9, 100%, $E$9)</f>
        <v>31.2956</v>
      </c>
      <c r="G553" s="14">
        <f>CHOOSE(CONTROL!$C$42, 31.311, 31.311)*CHOOSE(CONTROL!$C$21, $C$9, 100%, $E$9)</f>
        <v>31.311</v>
      </c>
      <c r="H553" s="14">
        <f>CHOOSE(CONTROL!$C$42, 31.403, 31.403) * CHOOSE(CONTROL!$C$21, $C$9, 100%, $E$9)</f>
        <v>31.402999999999999</v>
      </c>
      <c r="I553" s="14">
        <f>CHOOSE(CONTROL!$C$42, 31.4139, 31.4139)* CHOOSE(CONTROL!$C$21, $C$9, 100%, $E$9)</f>
        <v>31.413900000000002</v>
      </c>
      <c r="J553" s="14">
        <f>CHOOSE(CONTROL!$C$42, 31.2886, 31.2886)* CHOOSE(CONTROL!$C$21, $C$9, 100%, $E$9)</f>
        <v>31.288599999999999</v>
      </c>
      <c r="K553" s="53">
        <f>CHOOSE(CONTROL!$C$42, 31.41, 31.41) * CHOOSE(CONTROL!$C$21, $C$9, 100%, $E$9)</f>
        <v>31.41</v>
      </c>
      <c r="L553" s="14">
        <f>CHOOSE(CONTROL!$C$42, 31.99, 31.99) * CHOOSE(CONTROL!$C$21, $C$9, 100%, $E$9)</f>
        <v>31.99</v>
      </c>
      <c r="M553" s="14">
        <f>CHOOSE(CONTROL!$C$42, 30.6552, 30.6552) * CHOOSE(CONTROL!$C$21, $C$9, 100%, $E$9)</f>
        <v>30.655200000000001</v>
      </c>
      <c r="N553" s="14">
        <f>CHOOSE(CONTROL!$C$42, 30.6703, 30.6703) * CHOOSE(CONTROL!$C$21, $C$9, 100%, $E$9)</f>
        <v>30.670300000000001</v>
      </c>
      <c r="O553" s="14">
        <f>CHOOSE(CONTROL!$C$42, 30.7673, 30.7673) * CHOOSE(CONTROL!$C$21, $C$9, 100%, $E$9)</f>
        <v>30.767299999999999</v>
      </c>
      <c r="P553" s="14">
        <f>CHOOSE(CONTROL!$C$42, 30.7761, 30.7761) * CHOOSE(CONTROL!$C$21, $C$9, 100%, $E$9)</f>
        <v>30.7761</v>
      </c>
      <c r="Q553" s="14">
        <f>CHOOSE(CONTROL!$C$42, 31.362, 31.362) * CHOOSE(CONTROL!$C$21, $C$9, 100%, $E$9)</f>
        <v>31.361999999999998</v>
      </c>
      <c r="R553" s="14">
        <f>CHOOSE(CONTROL!$C$42, 32.0274, 32.0274) * CHOOSE(CONTROL!$C$21, $C$9, 100%, $E$9)</f>
        <v>32.0274</v>
      </c>
      <c r="S553" s="14">
        <f>CHOOSE(CONTROL!$C$42, 30.0756, 30.0756) * CHOOSE(CONTROL!$C$21, $C$9, 100%, $E$9)</f>
        <v>30.075600000000001</v>
      </c>
      <c r="T55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53" s="57">
        <f>(1000*CHOOSE(CONTROL!$C$42, 695, 695)*CHOOSE(CONTROL!$C$42, 0.5599, 0.5599)*CHOOSE(CONTROL!$C$42, 31, 31))/1000000</f>
        <v>12.063045499999998</v>
      </c>
      <c r="V553" s="57">
        <f>(1000*CHOOSE(CONTROL!$C$42, 500, 500)*CHOOSE(CONTROL!$C$42, 0.275, 0.275)*CHOOSE(CONTROL!$C$42, 31, 31))/1000000</f>
        <v>4.2625000000000002</v>
      </c>
      <c r="W553" s="57">
        <f>(1000*CHOOSE(CONTROL!$C$42, 0.1146, 0.1146)*CHOOSE(CONTROL!$C$42, 121.5, 121.5)*CHOOSE(CONTROL!$C$42, 31, 31))/1000000</f>
        <v>0.43164089999999994</v>
      </c>
      <c r="X553" s="57">
        <f>(31*0.1790888*100000/1000000)+(31*0.2374*100000/1000000)</f>
        <v>1.2911152800000001</v>
      </c>
      <c r="Y553" s="57"/>
      <c r="Z553" s="14"/>
      <c r="AA553" s="56"/>
      <c r="AB553" s="50">
        <f>(B553*122.58+C553*297.941+D553*89.177+E553*40.302+F553*40+G553*160+H553*0+I553*100+J553*300)/(122.58+297.941+89.177+40.302+0+40+160+100+300)</f>
        <v>31.322796126782613</v>
      </c>
      <c r="AC553" s="45">
        <f>(M553*'RAP TEMPLATE-GAS AVAILABILITY'!O552+N553*'RAP TEMPLATE-GAS AVAILABILITY'!P552+O553*'RAP TEMPLATE-GAS AVAILABILITY'!Q552+P553*'RAP TEMPLATE-GAS AVAILABILITY'!R552)/('RAP TEMPLATE-GAS AVAILABILITY'!O552+'RAP TEMPLATE-GAS AVAILABILITY'!P552+'RAP TEMPLATE-GAS AVAILABILITY'!Q552+'RAP TEMPLATE-GAS AVAILABILITY'!R552)</f>
        <v>30.724272661870504</v>
      </c>
    </row>
    <row r="554" spans="1:29" ht="15.75" x14ac:dyDescent="0.25">
      <c r="A554" s="32">
        <v>57769</v>
      </c>
      <c r="B554" s="14">
        <f>CHOOSE(CONTROL!$C$42, 31.8654, 31.8654) * CHOOSE(CONTROL!$C$21, $C$9, 100%, $E$9)</f>
        <v>31.865400000000001</v>
      </c>
      <c r="C554" s="14">
        <f>CHOOSE(CONTROL!$C$42, 31.8705, 31.8705) * CHOOSE(CONTROL!$C$21, $C$9, 100%, $E$9)</f>
        <v>31.8705</v>
      </c>
      <c r="D554" s="14">
        <f>CHOOSE(CONTROL!$C$42, 31.9369, 31.9369) * CHOOSE(CONTROL!$C$21, $C$9, 100%, $E$9)</f>
        <v>31.936900000000001</v>
      </c>
      <c r="E554" s="14">
        <f>CHOOSE(CONTROL!$C$42, 31.971, 31.971) * CHOOSE(CONTROL!$C$21, $C$9, 100%, $E$9)</f>
        <v>31.971</v>
      </c>
      <c r="F554" s="14">
        <f>CHOOSE(CONTROL!$C$42, 31.8528, 31.8528)*CHOOSE(CONTROL!$C$21, $C$9, 100%, $E$9)</f>
        <v>31.852799999999998</v>
      </c>
      <c r="G554" s="14">
        <f>CHOOSE(CONTROL!$C$42, 31.8683, 31.8683)*CHOOSE(CONTROL!$C$21, $C$9, 100%, $E$9)</f>
        <v>31.868300000000001</v>
      </c>
      <c r="H554" s="14">
        <f>CHOOSE(CONTROL!$C$42, 31.9602, 31.9602) * CHOOSE(CONTROL!$C$21, $C$9, 100%, $E$9)</f>
        <v>31.9602</v>
      </c>
      <c r="I554" s="14">
        <f>CHOOSE(CONTROL!$C$42, 31.9728, 31.9728)* CHOOSE(CONTROL!$C$21, $C$9, 100%, $E$9)</f>
        <v>31.972799999999999</v>
      </c>
      <c r="J554" s="14">
        <f>CHOOSE(CONTROL!$C$42, 31.8458, 31.8458)* CHOOSE(CONTROL!$C$21, $C$9, 100%, $E$9)</f>
        <v>31.845800000000001</v>
      </c>
      <c r="K554" s="53">
        <f>CHOOSE(CONTROL!$C$42, 31.9689, 31.9689) * CHOOSE(CONTROL!$C$21, $C$9, 100%, $E$9)</f>
        <v>31.968900000000001</v>
      </c>
      <c r="L554" s="14">
        <f>CHOOSE(CONTROL!$C$42, 32.5472, 32.5472) * CHOOSE(CONTROL!$C$21, $C$9, 100%, $E$9)</f>
        <v>32.547199999999997</v>
      </c>
      <c r="M554" s="14">
        <f>CHOOSE(CONTROL!$C$42, 31.201, 31.201) * CHOOSE(CONTROL!$C$21, $C$9, 100%, $E$9)</f>
        <v>31.201000000000001</v>
      </c>
      <c r="N554" s="14">
        <f>CHOOSE(CONTROL!$C$42, 31.2162, 31.2162) * CHOOSE(CONTROL!$C$21, $C$9, 100%, $E$9)</f>
        <v>31.216200000000001</v>
      </c>
      <c r="O554" s="14">
        <f>CHOOSE(CONTROL!$C$42, 31.313, 31.313) * CHOOSE(CONTROL!$C$21, $C$9, 100%, $E$9)</f>
        <v>31.312999999999999</v>
      </c>
      <c r="P554" s="14">
        <f>CHOOSE(CONTROL!$C$42, 31.3235, 31.3235) * CHOOSE(CONTROL!$C$21, $C$9, 100%, $E$9)</f>
        <v>31.323499999999999</v>
      </c>
      <c r="Q554" s="14">
        <f>CHOOSE(CONTROL!$C$42, 31.9077, 31.9077) * CHOOSE(CONTROL!$C$21, $C$9, 100%, $E$9)</f>
        <v>31.907699999999998</v>
      </c>
      <c r="R554" s="14">
        <f>CHOOSE(CONTROL!$C$42, 32.5745, 32.5745) * CHOOSE(CONTROL!$C$21, $C$9, 100%, $E$9)</f>
        <v>32.5745</v>
      </c>
      <c r="S554" s="14">
        <f>CHOOSE(CONTROL!$C$42, 30.6109, 30.6109) * CHOOSE(CONTROL!$C$21, $C$9, 100%, $E$9)</f>
        <v>30.610900000000001</v>
      </c>
      <c r="T55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54" s="57">
        <f>(1000*CHOOSE(CONTROL!$C$42, 695, 695)*CHOOSE(CONTROL!$C$42, 0.5599, 0.5599)*CHOOSE(CONTROL!$C$42, 28, 28))/1000000</f>
        <v>10.895653999999999</v>
      </c>
      <c r="V554" s="57">
        <f>(1000*CHOOSE(CONTROL!$C$42, 500, 500)*CHOOSE(CONTROL!$C$42, 0.275, 0.275)*CHOOSE(CONTROL!$C$42, 28, 28))/1000000</f>
        <v>3.85</v>
      </c>
      <c r="W554" s="57">
        <f>(1000*CHOOSE(CONTROL!$C$42, 0.1146, 0.1146)*CHOOSE(CONTROL!$C$42, 121.5, 121.5)*CHOOSE(CONTROL!$C$42, 28, 28))/1000000</f>
        <v>0.38986920000000003</v>
      </c>
      <c r="X554" s="57">
        <f>(28*0.1790888*100000/1000000)+(28*0.2374*100000/1000000)</f>
        <v>1.16616864</v>
      </c>
      <c r="Y554" s="57"/>
      <c r="Z554" s="14"/>
      <c r="AA554" s="56"/>
      <c r="AB554" s="50">
        <f>(B554*122.58+C554*297.941+D554*89.177+E554*40.302+F554*40+G554*160+H554*0+I554*100+J554*300)/(122.58+297.941+89.177+40.302+0+40+160+100+300)</f>
        <v>31.880157865913041</v>
      </c>
      <c r="AC554" s="45">
        <f>(M554*'RAP TEMPLATE-GAS AVAILABILITY'!O553+N554*'RAP TEMPLATE-GAS AVAILABILITY'!P553+O554*'RAP TEMPLATE-GAS AVAILABILITY'!Q553+P554*'RAP TEMPLATE-GAS AVAILABILITY'!R553)/('RAP TEMPLATE-GAS AVAILABILITY'!O553+'RAP TEMPLATE-GAS AVAILABILITY'!P553+'RAP TEMPLATE-GAS AVAILABILITY'!Q553+'RAP TEMPLATE-GAS AVAILABILITY'!R553)</f>
        <v>31.270263309352515</v>
      </c>
    </row>
    <row r="555" spans="1:29" ht="15.75" x14ac:dyDescent="0.25">
      <c r="A555" s="32">
        <v>57800</v>
      </c>
      <c r="B555" s="14">
        <f>CHOOSE(CONTROL!$C$42, 30.961, 30.961) * CHOOSE(CONTROL!$C$21, $C$9, 100%, $E$9)</f>
        <v>30.960999999999999</v>
      </c>
      <c r="C555" s="14">
        <f>CHOOSE(CONTROL!$C$42, 30.9661, 30.9661) * CHOOSE(CONTROL!$C$21, $C$9, 100%, $E$9)</f>
        <v>30.966100000000001</v>
      </c>
      <c r="D555" s="14">
        <f>CHOOSE(CONTROL!$C$42, 31.0325, 31.0325) * CHOOSE(CONTROL!$C$21, $C$9, 100%, $E$9)</f>
        <v>31.032499999999999</v>
      </c>
      <c r="E555" s="14">
        <f>CHOOSE(CONTROL!$C$42, 31.0666, 31.0666) * CHOOSE(CONTROL!$C$21, $C$9, 100%, $E$9)</f>
        <v>31.066600000000001</v>
      </c>
      <c r="F555" s="14">
        <f>CHOOSE(CONTROL!$C$42, 30.948, 30.948)*CHOOSE(CONTROL!$C$21, $C$9, 100%, $E$9)</f>
        <v>30.948</v>
      </c>
      <c r="G555" s="14">
        <f>CHOOSE(CONTROL!$C$42, 30.9634, 30.9634)*CHOOSE(CONTROL!$C$21, $C$9, 100%, $E$9)</f>
        <v>30.9634</v>
      </c>
      <c r="H555" s="14">
        <f>CHOOSE(CONTROL!$C$42, 31.0558, 31.0558) * CHOOSE(CONTROL!$C$21, $C$9, 100%, $E$9)</f>
        <v>31.055800000000001</v>
      </c>
      <c r="I555" s="14">
        <f>CHOOSE(CONTROL!$C$42, 31.0656, 31.0656)* CHOOSE(CONTROL!$C$21, $C$9, 100%, $E$9)</f>
        <v>31.0656</v>
      </c>
      <c r="J555" s="14">
        <f>CHOOSE(CONTROL!$C$42, 30.941, 30.941)* CHOOSE(CONTROL!$C$21, $C$9, 100%, $E$9)</f>
        <v>30.940999999999999</v>
      </c>
      <c r="K555" s="53">
        <f>CHOOSE(CONTROL!$C$42, 31.0617, 31.0617) * CHOOSE(CONTROL!$C$21, $C$9, 100%, $E$9)</f>
        <v>31.061699999999998</v>
      </c>
      <c r="L555" s="14">
        <f>CHOOSE(CONTROL!$C$42, 31.6428, 31.6428) * CHOOSE(CONTROL!$C$21, $C$9, 100%, $E$9)</f>
        <v>31.642800000000001</v>
      </c>
      <c r="M555" s="14">
        <f>CHOOSE(CONTROL!$C$42, 30.3147, 30.3147) * CHOOSE(CONTROL!$C$21, $C$9, 100%, $E$9)</f>
        <v>30.314699999999998</v>
      </c>
      <c r="N555" s="14">
        <f>CHOOSE(CONTROL!$C$42, 30.3298, 30.3298) * CHOOSE(CONTROL!$C$21, $C$9, 100%, $E$9)</f>
        <v>30.329799999999999</v>
      </c>
      <c r="O555" s="14">
        <f>CHOOSE(CONTROL!$C$42, 30.4272, 30.4272) * CHOOSE(CONTROL!$C$21, $C$9, 100%, $E$9)</f>
        <v>30.427199999999999</v>
      </c>
      <c r="P555" s="14">
        <f>CHOOSE(CONTROL!$C$42, 30.4349, 30.4349) * CHOOSE(CONTROL!$C$21, $C$9, 100%, $E$9)</f>
        <v>30.434899999999999</v>
      </c>
      <c r="Q555" s="14">
        <f>CHOOSE(CONTROL!$C$42, 31.0219, 31.0219) * CHOOSE(CONTROL!$C$21, $C$9, 100%, $E$9)</f>
        <v>31.021899999999999</v>
      </c>
      <c r="R555" s="14">
        <f>CHOOSE(CONTROL!$C$42, 31.6864, 31.6864) * CHOOSE(CONTROL!$C$21, $C$9, 100%, $E$9)</f>
        <v>31.686399999999999</v>
      </c>
      <c r="S555" s="14">
        <f>CHOOSE(CONTROL!$C$42, 29.7419, 29.7419) * CHOOSE(CONTROL!$C$21, $C$9, 100%, $E$9)</f>
        <v>29.741900000000001</v>
      </c>
      <c r="T55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55" s="57">
        <f>(1000*CHOOSE(CONTROL!$C$42, 695, 695)*CHOOSE(CONTROL!$C$42, 0.5599, 0.5599)*CHOOSE(CONTROL!$C$42, 31, 31))/1000000</f>
        <v>12.063045499999998</v>
      </c>
      <c r="V555" s="57">
        <f>(1000*CHOOSE(CONTROL!$C$42, 500, 500)*CHOOSE(CONTROL!$C$42, 0.275, 0.275)*CHOOSE(CONTROL!$C$42, 31, 31))/1000000</f>
        <v>4.2625000000000002</v>
      </c>
      <c r="W555" s="57">
        <f>(1000*CHOOSE(CONTROL!$C$42, 0.1146, 0.1146)*CHOOSE(CONTROL!$C$42, 121.5, 121.5)*CHOOSE(CONTROL!$C$42, 31, 31))/1000000</f>
        <v>0.43164089999999994</v>
      </c>
      <c r="X555" s="57">
        <f>(31*0.1790888*100000/1000000)+(31*0.2374*100000/1000000)</f>
        <v>1.2911152800000001</v>
      </c>
      <c r="Y555" s="57"/>
      <c r="Z555" s="14"/>
      <c r="AA555" s="56"/>
      <c r="AB555" s="50">
        <f>(B555*122.58+C555*297.941+D555*89.177+E555*40.302+F555*40+G555*160+H555*0+I555*100+J555*300)/(122.58+297.941+89.177+40.302+0+40+160+100+300)</f>
        <v>30.975326561565218</v>
      </c>
      <c r="AC555" s="45">
        <f>(M555*'RAP TEMPLATE-GAS AVAILABILITY'!O554+N555*'RAP TEMPLATE-GAS AVAILABILITY'!P554+O555*'RAP TEMPLATE-GAS AVAILABILITY'!Q554+P555*'RAP TEMPLATE-GAS AVAILABILITY'!R554)/('RAP TEMPLATE-GAS AVAILABILITY'!O554+'RAP TEMPLATE-GAS AVAILABILITY'!P554+'RAP TEMPLATE-GAS AVAILABILITY'!Q554+'RAP TEMPLATE-GAS AVAILABILITY'!R554)</f>
        <v>30.383853237410069</v>
      </c>
    </row>
    <row r="556" spans="1:29" ht="15.75" x14ac:dyDescent="0.25">
      <c r="A556" s="32">
        <v>57830</v>
      </c>
      <c r="B556" s="14">
        <f>CHOOSE(CONTROL!$C$42, 30.8695, 30.8695) * CHOOSE(CONTROL!$C$21, $C$9, 100%, $E$9)</f>
        <v>30.869499999999999</v>
      </c>
      <c r="C556" s="14">
        <f>CHOOSE(CONTROL!$C$42, 30.874, 30.874) * CHOOSE(CONTROL!$C$21, $C$9, 100%, $E$9)</f>
        <v>30.873999999999999</v>
      </c>
      <c r="D556" s="14">
        <f>CHOOSE(CONTROL!$C$42, 31.0811, 31.0811) * CHOOSE(CONTROL!$C$21, $C$9, 100%, $E$9)</f>
        <v>31.081099999999999</v>
      </c>
      <c r="E556" s="14">
        <f>CHOOSE(CONTROL!$C$42, 31.1132, 31.1132) * CHOOSE(CONTROL!$C$21, $C$9, 100%, $E$9)</f>
        <v>31.113199999999999</v>
      </c>
      <c r="F556" s="14">
        <f>CHOOSE(CONTROL!$C$42, 30.8514, 30.8514)*CHOOSE(CONTROL!$C$21, $C$9, 100%, $E$9)</f>
        <v>30.851400000000002</v>
      </c>
      <c r="G556" s="14">
        <f>CHOOSE(CONTROL!$C$42, 30.8666, 30.8666)*CHOOSE(CONTROL!$C$21, $C$9, 100%, $E$9)</f>
        <v>30.866599999999998</v>
      </c>
      <c r="H556" s="14">
        <f>CHOOSE(CONTROL!$C$42, 31.103, 31.103) * CHOOSE(CONTROL!$C$21, $C$9, 100%, $E$9)</f>
        <v>31.103000000000002</v>
      </c>
      <c r="I556" s="14">
        <f>CHOOSE(CONTROL!$C$42, 30.973, 30.973)* CHOOSE(CONTROL!$C$21, $C$9, 100%, $E$9)</f>
        <v>30.972999999999999</v>
      </c>
      <c r="J556" s="14">
        <f>CHOOSE(CONTROL!$C$42, 30.8444, 30.8444)* CHOOSE(CONTROL!$C$21, $C$9, 100%, $E$9)</f>
        <v>30.8444</v>
      </c>
      <c r="K556" s="53">
        <f>CHOOSE(CONTROL!$C$42, 30.9691, 30.9691) * CHOOSE(CONTROL!$C$21, $C$9, 100%, $E$9)</f>
        <v>30.969100000000001</v>
      </c>
      <c r="L556" s="14">
        <f>CHOOSE(CONTROL!$C$42, 31.69, 31.69) * CHOOSE(CONTROL!$C$21, $C$9, 100%, $E$9)</f>
        <v>31.69</v>
      </c>
      <c r="M556" s="14">
        <f>CHOOSE(CONTROL!$C$42, 30.2201, 30.2201) * CHOOSE(CONTROL!$C$21, $C$9, 100%, $E$9)</f>
        <v>30.220099999999999</v>
      </c>
      <c r="N556" s="14">
        <f>CHOOSE(CONTROL!$C$42, 30.235, 30.235) * CHOOSE(CONTROL!$C$21, $C$9, 100%, $E$9)</f>
        <v>30.234999999999999</v>
      </c>
      <c r="O556" s="14">
        <f>CHOOSE(CONTROL!$C$42, 30.4734, 30.4734) * CHOOSE(CONTROL!$C$21, $C$9, 100%, $E$9)</f>
        <v>30.473400000000002</v>
      </c>
      <c r="P556" s="14">
        <f>CHOOSE(CONTROL!$C$42, 30.3442, 30.3442) * CHOOSE(CONTROL!$C$21, $C$9, 100%, $E$9)</f>
        <v>30.344200000000001</v>
      </c>
      <c r="Q556" s="14">
        <f>CHOOSE(CONTROL!$C$42, 31.0681, 31.0681) * CHOOSE(CONTROL!$C$21, $C$9, 100%, $E$9)</f>
        <v>31.068100000000001</v>
      </c>
      <c r="R556" s="14">
        <f>CHOOSE(CONTROL!$C$42, 31.7327, 31.7327) * CHOOSE(CONTROL!$C$21, $C$9, 100%, $E$9)</f>
        <v>31.732700000000001</v>
      </c>
      <c r="S556" s="14">
        <f>CHOOSE(CONTROL!$C$42, 29.6532, 29.6532) * CHOOSE(CONTROL!$C$21, $C$9, 100%, $E$9)</f>
        <v>29.653199999999998</v>
      </c>
      <c r="T55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56" s="57">
        <f>(1000*CHOOSE(CONTROL!$C$42, 695, 695)*CHOOSE(CONTROL!$C$42, 0.5599, 0.5599)*CHOOSE(CONTROL!$C$42, 30, 30))/1000000</f>
        <v>11.673914999999997</v>
      </c>
      <c r="V556" s="57">
        <f>(1000*CHOOSE(CONTROL!$C$42, 500, 500)*CHOOSE(CONTROL!$C$42, 0.275, 0.275)*CHOOSE(CONTROL!$C$42, 30, 30))/1000000</f>
        <v>4.125</v>
      </c>
      <c r="W556" s="57">
        <f>(1000*CHOOSE(CONTROL!$C$42, 0.1146, 0.1146)*CHOOSE(CONTROL!$C$42, 121.5, 121.5)*CHOOSE(CONTROL!$C$42, 30, 30))/1000000</f>
        <v>0.417717</v>
      </c>
      <c r="X556" s="57">
        <f>(30*0.1790888*245000/1000000)+(30*0.2374*100000/1000000)</f>
        <v>2.0285026799999999</v>
      </c>
      <c r="Y556" s="57"/>
      <c r="Z556" s="14"/>
      <c r="AA556" s="56"/>
      <c r="AB556" s="50">
        <f>(B556*141.293+C556*267.993+D556*115.016+E556*89.698+F556*40+G556*185+H556*0+I556*100+J556*300)/(141.293+267.993+115.016+89.698+0+40+185+100+300)</f>
        <v>30.909017559887001</v>
      </c>
      <c r="AC556" s="45">
        <f>(M556*'RAP TEMPLATE-GAS AVAILABILITY'!O555+N556*'RAP TEMPLATE-GAS AVAILABILITY'!P555+O556*'RAP TEMPLATE-GAS AVAILABILITY'!Q555+P556*'RAP TEMPLATE-GAS AVAILABILITY'!R555)/('RAP TEMPLATE-GAS AVAILABILITY'!O555+'RAP TEMPLATE-GAS AVAILABILITY'!P555+'RAP TEMPLATE-GAS AVAILABILITY'!Q555+'RAP TEMPLATE-GAS AVAILABILITY'!R555)</f>
        <v>30.312456115107913</v>
      </c>
    </row>
    <row r="557" spans="1:29" ht="15.75" x14ac:dyDescent="0.25">
      <c r="A557" s="32">
        <v>57861</v>
      </c>
      <c r="B557" s="14">
        <f>CHOOSE(CONTROL!$C$42, 31.1433, 31.1433) * CHOOSE(CONTROL!$C$21, $C$9, 100%, $E$9)</f>
        <v>31.1433</v>
      </c>
      <c r="C557" s="14">
        <f>CHOOSE(CONTROL!$C$42, 31.1513, 31.1513) * CHOOSE(CONTROL!$C$21, $C$9, 100%, $E$9)</f>
        <v>31.151299999999999</v>
      </c>
      <c r="D557" s="14">
        <f>CHOOSE(CONTROL!$C$42, 31.3552, 31.3552) * CHOOSE(CONTROL!$C$21, $C$9, 100%, $E$9)</f>
        <v>31.3552</v>
      </c>
      <c r="E557" s="14">
        <f>CHOOSE(CONTROL!$C$42, 31.3867, 31.3867) * CHOOSE(CONTROL!$C$21, $C$9, 100%, $E$9)</f>
        <v>31.386700000000001</v>
      </c>
      <c r="F557" s="14">
        <f>CHOOSE(CONTROL!$C$42, 31.124, 31.124)*CHOOSE(CONTROL!$C$21, $C$9, 100%, $E$9)</f>
        <v>31.123999999999999</v>
      </c>
      <c r="G557" s="14">
        <f>CHOOSE(CONTROL!$C$42, 31.1397, 31.1397)*CHOOSE(CONTROL!$C$21, $C$9, 100%, $E$9)</f>
        <v>31.139700000000001</v>
      </c>
      <c r="H557" s="14">
        <f>CHOOSE(CONTROL!$C$42, 31.3753, 31.3753) * CHOOSE(CONTROL!$C$21, $C$9, 100%, $E$9)</f>
        <v>31.375299999999999</v>
      </c>
      <c r="I557" s="14">
        <f>CHOOSE(CONTROL!$C$42, 31.2462, 31.2462)* CHOOSE(CONTROL!$C$21, $C$9, 100%, $E$9)</f>
        <v>31.246200000000002</v>
      </c>
      <c r="J557" s="14">
        <f>CHOOSE(CONTROL!$C$42, 31.117, 31.117)* CHOOSE(CONTROL!$C$21, $C$9, 100%, $E$9)</f>
        <v>31.117000000000001</v>
      </c>
      <c r="K557" s="53">
        <f>CHOOSE(CONTROL!$C$42, 31.2423, 31.2423) * CHOOSE(CONTROL!$C$21, $C$9, 100%, $E$9)</f>
        <v>31.2423</v>
      </c>
      <c r="L557" s="14">
        <f>CHOOSE(CONTROL!$C$42, 31.9623, 31.9623) * CHOOSE(CONTROL!$C$21, $C$9, 100%, $E$9)</f>
        <v>31.962299999999999</v>
      </c>
      <c r="M557" s="14">
        <f>CHOOSE(CONTROL!$C$42, 30.4871, 30.4871) * CHOOSE(CONTROL!$C$21, $C$9, 100%, $E$9)</f>
        <v>30.487100000000002</v>
      </c>
      <c r="N557" s="14">
        <f>CHOOSE(CONTROL!$C$42, 30.5025, 30.5025) * CHOOSE(CONTROL!$C$21, $C$9, 100%, $E$9)</f>
        <v>30.502500000000001</v>
      </c>
      <c r="O557" s="14">
        <f>CHOOSE(CONTROL!$C$42, 30.7401, 30.7401) * CHOOSE(CONTROL!$C$21, $C$9, 100%, $E$9)</f>
        <v>30.740100000000002</v>
      </c>
      <c r="P557" s="14">
        <f>CHOOSE(CONTROL!$C$42, 30.6118, 30.6118) * CHOOSE(CONTROL!$C$21, $C$9, 100%, $E$9)</f>
        <v>30.611799999999999</v>
      </c>
      <c r="Q557" s="14">
        <f>CHOOSE(CONTROL!$C$42, 31.3348, 31.3348) * CHOOSE(CONTROL!$C$21, $C$9, 100%, $E$9)</f>
        <v>31.334800000000001</v>
      </c>
      <c r="R557" s="14">
        <f>CHOOSE(CONTROL!$C$42, 32.0002, 32.0002) * CHOOSE(CONTROL!$C$21, $C$9, 100%, $E$9)</f>
        <v>32.0002</v>
      </c>
      <c r="S557" s="14">
        <f>CHOOSE(CONTROL!$C$42, 29.9149, 29.9149) * CHOOSE(CONTROL!$C$21, $C$9, 100%, $E$9)</f>
        <v>29.914899999999999</v>
      </c>
      <c r="T55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57" s="57">
        <f>(1000*CHOOSE(CONTROL!$C$42, 695, 695)*CHOOSE(CONTROL!$C$42, 0.5599, 0.5599)*CHOOSE(CONTROL!$C$42, 31, 31))/1000000</f>
        <v>12.063045499999998</v>
      </c>
      <c r="V557" s="57">
        <f>(1000*CHOOSE(CONTROL!$C$42, 500, 500)*CHOOSE(CONTROL!$C$42, 0.275, 0.275)*CHOOSE(CONTROL!$C$42, 31, 31))/1000000</f>
        <v>4.2625000000000002</v>
      </c>
      <c r="W557" s="57">
        <f>(1000*CHOOSE(CONTROL!$C$42, 0.1146, 0.1146)*CHOOSE(CONTROL!$C$42, 121.5, 121.5)*CHOOSE(CONTROL!$C$42, 31, 31))/1000000</f>
        <v>0.43164089999999994</v>
      </c>
      <c r="X557" s="57">
        <f>(31*0.1790888*245000/1000000)+(31*0.2374*100000/1000000)</f>
        <v>2.0961194359999999</v>
      </c>
      <c r="Y557" s="57"/>
      <c r="Z557" s="14"/>
      <c r="AA557" s="56"/>
      <c r="AB557" s="50">
        <f>(B557*194.205+C557*267.466+D557*133.845+E557*53.484+F557*40+G557*185+H557*0+I557*100+J557*300)/(194.205+267.466+133.845+53.484+0+40+185+100+300)</f>
        <v>31.178214826609103</v>
      </c>
      <c r="AC557" s="45">
        <f>(M557*'RAP TEMPLATE-GAS AVAILABILITY'!O556+N557*'RAP TEMPLATE-GAS AVAILABILITY'!P556+O557*'RAP TEMPLATE-GAS AVAILABILITY'!Q556+P557*'RAP TEMPLATE-GAS AVAILABILITY'!R556)/('RAP TEMPLATE-GAS AVAILABILITY'!O556+'RAP TEMPLATE-GAS AVAILABILITY'!P556+'RAP TEMPLATE-GAS AVAILABILITY'!Q556+'RAP TEMPLATE-GAS AVAILABILITY'!R556)</f>
        <v>30.579573381294967</v>
      </c>
    </row>
    <row r="558" spans="1:29" ht="15.75" x14ac:dyDescent="0.25">
      <c r="A558" s="32">
        <v>57891</v>
      </c>
      <c r="B558" s="14">
        <f>CHOOSE(CONTROL!$C$42, 32.0263, 32.0263) * CHOOSE(CONTROL!$C$21, $C$9, 100%, $E$9)</f>
        <v>32.026299999999999</v>
      </c>
      <c r="C558" s="14">
        <f>CHOOSE(CONTROL!$C$42, 32.0344, 32.0344) * CHOOSE(CONTROL!$C$21, $C$9, 100%, $E$9)</f>
        <v>32.034399999999998</v>
      </c>
      <c r="D558" s="14">
        <f>CHOOSE(CONTROL!$C$42, 32.2383, 32.2383) * CHOOSE(CONTROL!$C$21, $C$9, 100%, $E$9)</f>
        <v>32.238300000000002</v>
      </c>
      <c r="E558" s="14">
        <f>CHOOSE(CONTROL!$C$42, 32.2698, 32.2698) * CHOOSE(CONTROL!$C$21, $C$9, 100%, $E$9)</f>
        <v>32.269799999999996</v>
      </c>
      <c r="F558" s="14">
        <f>CHOOSE(CONTROL!$C$42, 32.0075, 32.0075)*CHOOSE(CONTROL!$C$21, $C$9, 100%, $E$9)</f>
        <v>32.0075</v>
      </c>
      <c r="G558" s="14">
        <f>CHOOSE(CONTROL!$C$42, 32.0233, 32.0233)*CHOOSE(CONTROL!$C$21, $C$9, 100%, $E$9)</f>
        <v>32.023299999999999</v>
      </c>
      <c r="H558" s="14">
        <f>CHOOSE(CONTROL!$C$42, 32.2584, 32.2584) * CHOOSE(CONTROL!$C$21, $C$9, 100%, $E$9)</f>
        <v>32.258400000000002</v>
      </c>
      <c r="I558" s="14">
        <f>CHOOSE(CONTROL!$C$42, 32.1321, 32.1321)* CHOOSE(CONTROL!$C$21, $C$9, 100%, $E$9)</f>
        <v>32.132100000000001</v>
      </c>
      <c r="J558" s="14">
        <f>CHOOSE(CONTROL!$C$42, 32.0005, 32.0005)* CHOOSE(CONTROL!$C$21, $C$9, 100%, $E$9)</f>
        <v>32.000500000000002</v>
      </c>
      <c r="K558" s="53">
        <f>CHOOSE(CONTROL!$C$42, 32.1282, 32.1282) * CHOOSE(CONTROL!$C$21, $C$9, 100%, $E$9)</f>
        <v>32.1282</v>
      </c>
      <c r="L558" s="14">
        <f>CHOOSE(CONTROL!$C$42, 32.8454, 32.8454) * CHOOSE(CONTROL!$C$21, $C$9, 100%, $E$9)</f>
        <v>32.845399999999998</v>
      </c>
      <c r="M558" s="14">
        <f>CHOOSE(CONTROL!$C$42, 31.3525, 31.3525) * CHOOSE(CONTROL!$C$21, $C$9, 100%, $E$9)</f>
        <v>31.352499999999999</v>
      </c>
      <c r="N558" s="14">
        <f>CHOOSE(CONTROL!$C$42, 31.368, 31.368) * CHOOSE(CONTROL!$C$21, $C$9, 100%, $E$9)</f>
        <v>31.367999999999999</v>
      </c>
      <c r="O558" s="14">
        <f>CHOOSE(CONTROL!$C$42, 31.6051, 31.6051) * CHOOSE(CONTROL!$C$21, $C$9, 100%, $E$9)</f>
        <v>31.6051</v>
      </c>
      <c r="P558" s="14">
        <f>CHOOSE(CONTROL!$C$42, 31.4795, 31.4795) * CHOOSE(CONTROL!$C$21, $C$9, 100%, $E$9)</f>
        <v>31.479500000000002</v>
      </c>
      <c r="Q558" s="14">
        <f>CHOOSE(CONTROL!$C$42, 32.1998, 32.1998) * CHOOSE(CONTROL!$C$21, $C$9, 100%, $E$9)</f>
        <v>32.199800000000003</v>
      </c>
      <c r="R558" s="14">
        <f>CHOOSE(CONTROL!$C$42, 32.8673, 32.8673) * CHOOSE(CONTROL!$C$21, $C$9, 100%, $E$9)</f>
        <v>32.8673</v>
      </c>
      <c r="S558" s="14">
        <f>CHOOSE(CONTROL!$C$42, 30.7635, 30.7635) * CHOOSE(CONTROL!$C$21, $C$9, 100%, $E$9)</f>
        <v>30.763500000000001</v>
      </c>
      <c r="T55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58" s="57">
        <f>(1000*CHOOSE(CONTROL!$C$42, 695, 695)*CHOOSE(CONTROL!$C$42, 0.5599, 0.5599)*CHOOSE(CONTROL!$C$42, 30, 30))/1000000</f>
        <v>11.673914999999997</v>
      </c>
      <c r="V558" s="57">
        <f>(1000*CHOOSE(CONTROL!$C$42, 500, 500)*CHOOSE(CONTROL!$C$42, 0.275, 0.275)*CHOOSE(CONTROL!$C$42, 30, 30))/1000000</f>
        <v>4.125</v>
      </c>
      <c r="W558" s="57">
        <f>(1000*CHOOSE(CONTROL!$C$42, 0.1146, 0.1146)*CHOOSE(CONTROL!$C$42, 121.5, 121.5)*CHOOSE(CONTROL!$C$42, 30, 30))/1000000</f>
        <v>0.417717</v>
      </c>
      <c r="X558" s="57">
        <f>(30*0.1790888*245000/1000000)+(30*0.2374*100000/1000000)</f>
        <v>2.0285026799999999</v>
      </c>
      <c r="Y558" s="57"/>
      <c r="Z558" s="14"/>
      <c r="AA558" s="56"/>
      <c r="AB558" s="50">
        <f>(B558*194.205+C558*267.466+D558*133.845+E558*53.484+F558*40+G558*185+H558*0+I558*100+J558*300)/(194.205+267.466+133.845+53.484+0+40+185+100+300)</f>
        <v>32.061698719466243</v>
      </c>
      <c r="AC558" s="45">
        <f>(M558*'RAP TEMPLATE-GAS AVAILABILITY'!O557+N558*'RAP TEMPLATE-GAS AVAILABILITY'!P557+O558*'RAP TEMPLATE-GAS AVAILABILITY'!Q557+P558*'RAP TEMPLATE-GAS AVAILABILITY'!R557)/('RAP TEMPLATE-GAS AVAILABILITY'!O557+'RAP TEMPLATE-GAS AVAILABILITY'!P557+'RAP TEMPLATE-GAS AVAILABILITY'!Q557+'RAP TEMPLATE-GAS AVAILABILITY'!R557)</f>
        <v>31.445215107913672</v>
      </c>
    </row>
    <row r="559" spans="1:29" ht="15.75" x14ac:dyDescent="0.25">
      <c r="A559" s="32">
        <v>57922</v>
      </c>
      <c r="B559" s="14">
        <f>CHOOSE(CONTROL!$C$42, 31.4122, 31.4122) * CHOOSE(CONTROL!$C$21, $C$9, 100%, $E$9)</f>
        <v>31.412199999999999</v>
      </c>
      <c r="C559" s="14">
        <f>CHOOSE(CONTROL!$C$42, 31.4202, 31.4202) * CHOOSE(CONTROL!$C$21, $C$9, 100%, $E$9)</f>
        <v>31.420200000000001</v>
      </c>
      <c r="D559" s="14">
        <f>CHOOSE(CONTROL!$C$42, 31.6241, 31.6241) * CHOOSE(CONTROL!$C$21, $C$9, 100%, $E$9)</f>
        <v>31.624099999999999</v>
      </c>
      <c r="E559" s="14">
        <f>CHOOSE(CONTROL!$C$42, 31.6556, 31.6556) * CHOOSE(CONTROL!$C$21, $C$9, 100%, $E$9)</f>
        <v>31.6556</v>
      </c>
      <c r="F559" s="14">
        <f>CHOOSE(CONTROL!$C$42, 31.3938, 31.3938)*CHOOSE(CONTROL!$C$21, $C$9, 100%, $E$9)</f>
        <v>31.393799999999999</v>
      </c>
      <c r="G559" s="14">
        <f>CHOOSE(CONTROL!$C$42, 31.4097, 31.4097)*CHOOSE(CONTROL!$C$21, $C$9, 100%, $E$9)</f>
        <v>31.409700000000001</v>
      </c>
      <c r="H559" s="14">
        <f>CHOOSE(CONTROL!$C$42, 31.6442, 31.6442) * CHOOSE(CONTROL!$C$21, $C$9, 100%, $E$9)</f>
        <v>31.644200000000001</v>
      </c>
      <c r="I559" s="14">
        <f>CHOOSE(CONTROL!$C$42, 31.516, 31.516)* CHOOSE(CONTROL!$C$21, $C$9, 100%, $E$9)</f>
        <v>31.515999999999998</v>
      </c>
      <c r="J559" s="14">
        <f>CHOOSE(CONTROL!$C$42, 31.3868, 31.3868)* CHOOSE(CONTROL!$C$21, $C$9, 100%, $E$9)</f>
        <v>31.386800000000001</v>
      </c>
      <c r="K559" s="53">
        <f>CHOOSE(CONTROL!$C$42, 31.5121, 31.5121) * CHOOSE(CONTROL!$C$21, $C$9, 100%, $E$9)</f>
        <v>31.5121</v>
      </c>
      <c r="L559" s="14">
        <f>CHOOSE(CONTROL!$C$42, 32.2312, 32.2312) * CHOOSE(CONTROL!$C$21, $C$9, 100%, $E$9)</f>
        <v>32.231200000000001</v>
      </c>
      <c r="M559" s="14">
        <f>CHOOSE(CONTROL!$C$42, 30.7514, 30.7514) * CHOOSE(CONTROL!$C$21, $C$9, 100%, $E$9)</f>
        <v>30.7514</v>
      </c>
      <c r="N559" s="14">
        <f>CHOOSE(CONTROL!$C$42, 30.7669, 30.7669) * CHOOSE(CONTROL!$C$21, $C$9, 100%, $E$9)</f>
        <v>30.7669</v>
      </c>
      <c r="O559" s="14">
        <f>CHOOSE(CONTROL!$C$42, 31.0035, 31.0035) * CHOOSE(CONTROL!$C$21, $C$9, 100%, $E$9)</f>
        <v>31.003499999999999</v>
      </c>
      <c r="P559" s="14">
        <f>CHOOSE(CONTROL!$C$42, 30.876, 30.876) * CHOOSE(CONTROL!$C$21, $C$9, 100%, $E$9)</f>
        <v>30.876000000000001</v>
      </c>
      <c r="Q559" s="14">
        <f>CHOOSE(CONTROL!$C$42, 31.5982, 31.5982) * CHOOSE(CONTROL!$C$21, $C$9, 100%, $E$9)</f>
        <v>31.598199999999999</v>
      </c>
      <c r="R559" s="14">
        <f>CHOOSE(CONTROL!$C$42, 32.2642, 32.2642) * CHOOSE(CONTROL!$C$21, $C$9, 100%, $E$9)</f>
        <v>32.264200000000002</v>
      </c>
      <c r="S559" s="14">
        <f>CHOOSE(CONTROL!$C$42, 30.1733, 30.1733) * CHOOSE(CONTROL!$C$21, $C$9, 100%, $E$9)</f>
        <v>30.173300000000001</v>
      </c>
      <c r="T55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59" s="57">
        <f>(1000*CHOOSE(CONTROL!$C$42, 695, 695)*CHOOSE(CONTROL!$C$42, 0.5599, 0.5599)*CHOOSE(CONTROL!$C$42, 31, 31))/1000000</f>
        <v>12.063045499999998</v>
      </c>
      <c r="V559" s="57">
        <f>(1000*CHOOSE(CONTROL!$C$42, 500, 500)*CHOOSE(CONTROL!$C$42, 0.275, 0.275)*CHOOSE(CONTROL!$C$42, 31, 31))/1000000</f>
        <v>4.2625000000000002</v>
      </c>
      <c r="W559" s="57">
        <f>(1000*CHOOSE(CONTROL!$C$42, 0.1146, 0.1146)*CHOOSE(CONTROL!$C$42, 121.5, 121.5)*CHOOSE(CONTROL!$C$42, 31, 31))/1000000</f>
        <v>0.43164089999999994</v>
      </c>
      <c r="X559" s="57">
        <f>(31*0.1790888*245000/1000000)+(31*0.2374*100000/1000000)</f>
        <v>2.0961194359999999</v>
      </c>
      <c r="Y559" s="57"/>
      <c r="Z559" s="14"/>
      <c r="AA559" s="56"/>
      <c r="AB559" s="50">
        <f>(B559*194.205+C559*267.466+D559*133.845+E559*53.484+F559*40+G559*185+H559*0+I559*100+J559*300)/(194.205+267.466+133.845+53.484+0+40+185+100+300)</f>
        <v>31.447585391758238</v>
      </c>
      <c r="AC559" s="45">
        <f>(M559*'RAP TEMPLATE-GAS AVAILABILITY'!O558+N559*'RAP TEMPLATE-GAS AVAILABILITY'!P558+O559*'RAP TEMPLATE-GAS AVAILABILITY'!Q558+P559*'RAP TEMPLATE-GAS AVAILABILITY'!R558)/('RAP TEMPLATE-GAS AVAILABILITY'!O558+'RAP TEMPLATE-GAS AVAILABILITY'!P558+'RAP TEMPLATE-GAS AVAILABILITY'!Q558+'RAP TEMPLATE-GAS AVAILABILITY'!R558)</f>
        <v>30.843629496402876</v>
      </c>
    </row>
    <row r="560" spans="1:29" ht="15.75" x14ac:dyDescent="0.25">
      <c r="A560" s="32">
        <v>57953</v>
      </c>
      <c r="B560" s="14">
        <f>CHOOSE(CONTROL!$C$42, 29.8611, 29.8611) * CHOOSE(CONTROL!$C$21, $C$9, 100%, $E$9)</f>
        <v>29.8611</v>
      </c>
      <c r="C560" s="14">
        <f>CHOOSE(CONTROL!$C$42, 29.8692, 29.8692) * CHOOSE(CONTROL!$C$21, $C$9, 100%, $E$9)</f>
        <v>29.869199999999999</v>
      </c>
      <c r="D560" s="14">
        <f>CHOOSE(CONTROL!$C$42, 30.0731, 30.0731) * CHOOSE(CONTROL!$C$21, $C$9, 100%, $E$9)</f>
        <v>30.0731</v>
      </c>
      <c r="E560" s="14">
        <f>CHOOSE(CONTROL!$C$42, 30.1046, 30.1046) * CHOOSE(CONTROL!$C$21, $C$9, 100%, $E$9)</f>
        <v>30.104600000000001</v>
      </c>
      <c r="F560" s="14">
        <f>CHOOSE(CONTROL!$C$42, 29.843, 29.843)*CHOOSE(CONTROL!$C$21, $C$9, 100%, $E$9)</f>
        <v>29.843</v>
      </c>
      <c r="G560" s="14">
        <f>CHOOSE(CONTROL!$C$42, 29.8589, 29.8589)*CHOOSE(CONTROL!$C$21, $C$9, 100%, $E$9)</f>
        <v>29.858899999999998</v>
      </c>
      <c r="H560" s="14">
        <f>CHOOSE(CONTROL!$C$42, 30.0932, 30.0932) * CHOOSE(CONTROL!$C$21, $C$9, 100%, $E$9)</f>
        <v>30.0932</v>
      </c>
      <c r="I560" s="14">
        <f>CHOOSE(CONTROL!$C$42, 29.9601, 29.9601)* CHOOSE(CONTROL!$C$21, $C$9, 100%, $E$9)</f>
        <v>29.960100000000001</v>
      </c>
      <c r="J560" s="14">
        <f>CHOOSE(CONTROL!$C$42, 29.836, 29.836)* CHOOSE(CONTROL!$C$21, $C$9, 100%, $E$9)</f>
        <v>29.835999999999999</v>
      </c>
      <c r="K560" s="53">
        <f>CHOOSE(CONTROL!$C$42, 29.9562, 29.9562) * CHOOSE(CONTROL!$C$21, $C$9, 100%, $E$9)</f>
        <v>29.956199999999999</v>
      </c>
      <c r="L560" s="14">
        <f>CHOOSE(CONTROL!$C$42, 30.6802, 30.6802) * CHOOSE(CONTROL!$C$21, $C$9, 100%, $E$9)</f>
        <v>30.680199999999999</v>
      </c>
      <c r="M560" s="14">
        <f>CHOOSE(CONTROL!$C$42, 29.2324, 29.2324) * CHOOSE(CONTROL!$C$21, $C$9, 100%, $E$9)</f>
        <v>29.232399999999998</v>
      </c>
      <c r="N560" s="14">
        <f>CHOOSE(CONTROL!$C$42, 29.248, 29.248) * CHOOSE(CONTROL!$C$21, $C$9, 100%, $E$9)</f>
        <v>29.248000000000001</v>
      </c>
      <c r="O560" s="14">
        <f>CHOOSE(CONTROL!$C$42, 29.4843, 29.4843) * CHOOSE(CONTROL!$C$21, $C$9, 100%, $E$9)</f>
        <v>29.484300000000001</v>
      </c>
      <c r="P560" s="14">
        <f>CHOOSE(CONTROL!$C$42, 29.3521, 29.3521) * CHOOSE(CONTROL!$C$21, $C$9, 100%, $E$9)</f>
        <v>29.3521</v>
      </c>
      <c r="Q560" s="14">
        <f>CHOOSE(CONTROL!$C$42, 30.079, 30.079) * CHOOSE(CONTROL!$C$21, $C$9, 100%, $E$9)</f>
        <v>30.079000000000001</v>
      </c>
      <c r="R560" s="14">
        <f>CHOOSE(CONTROL!$C$42, 30.7412, 30.7412) * CHOOSE(CONTROL!$C$21, $C$9, 100%, $E$9)</f>
        <v>30.741199999999999</v>
      </c>
      <c r="S560" s="14">
        <f>CHOOSE(CONTROL!$C$42, 28.6829, 28.6829) * CHOOSE(CONTROL!$C$21, $C$9, 100%, $E$9)</f>
        <v>28.6829</v>
      </c>
      <c r="T56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60" s="57">
        <f>(1000*CHOOSE(CONTROL!$C$42, 695, 695)*CHOOSE(CONTROL!$C$42, 0.5599, 0.5599)*CHOOSE(CONTROL!$C$42, 31, 31))/1000000</f>
        <v>12.063045499999998</v>
      </c>
      <c r="V560" s="57">
        <f>(1000*CHOOSE(CONTROL!$C$42, 500, 500)*CHOOSE(CONTROL!$C$42, 0.275, 0.275)*CHOOSE(CONTROL!$C$42, 31, 31))/1000000</f>
        <v>4.2625000000000002</v>
      </c>
      <c r="W560" s="57">
        <f>(1000*CHOOSE(CONTROL!$C$42, 0.1146, 0.1146)*CHOOSE(CONTROL!$C$42, 121.5, 121.5)*CHOOSE(CONTROL!$C$42, 31, 31))/1000000</f>
        <v>0.43164089999999994</v>
      </c>
      <c r="X560" s="57">
        <f>(31*0.1790888*245000/1000000)+(31*0.2374*100000/1000000)</f>
        <v>2.0961194359999999</v>
      </c>
      <c r="Y560" s="57"/>
      <c r="Z560" s="14"/>
      <c r="AA560" s="56"/>
      <c r="AB560" s="50">
        <f>(B560*194.205+C560*267.466+D560*133.845+E560*53.484+F560*40+G560*185+H560*0+I560*100+J560*300)/(194.205+267.466+133.845+53.484+0+40+185+100+300)</f>
        <v>29.89626795023548</v>
      </c>
      <c r="AC560" s="45">
        <f>(M560*'RAP TEMPLATE-GAS AVAILABILITY'!O559+N560*'RAP TEMPLATE-GAS AVAILABILITY'!P559+O560*'RAP TEMPLATE-GAS AVAILABILITY'!Q559+P560*'RAP TEMPLATE-GAS AVAILABILITY'!R559)/('RAP TEMPLATE-GAS AVAILABILITY'!O559+'RAP TEMPLATE-GAS AVAILABILITY'!P559+'RAP TEMPLATE-GAS AVAILABILITY'!Q559+'RAP TEMPLATE-GAS AVAILABILITY'!R559)</f>
        <v>29.323891366906476</v>
      </c>
    </row>
    <row r="561" spans="1:29" ht="15.75" x14ac:dyDescent="0.25">
      <c r="A561" s="32">
        <v>57983</v>
      </c>
      <c r="B561" s="14">
        <f>CHOOSE(CONTROL!$C$42, 27.9657, 27.9657) * CHOOSE(CONTROL!$C$21, $C$9, 100%, $E$9)</f>
        <v>27.965699999999998</v>
      </c>
      <c r="C561" s="14">
        <f>CHOOSE(CONTROL!$C$42, 27.9737, 27.9737) * CHOOSE(CONTROL!$C$21, $C$9, 100%, $E$9)</f>
        <v>27.973700000000001</v>
      </c>
      <c r="D561" s="14">
        <f>CHOOSE(CONTROL!$C$42, 28.1777, 28.1777) * CHOOSE(CONTROL!$C$21, $C$9, 100%, $E$9)</f>
        <v>28.177700000000002</v>
      </c>
      <c r="E561" s="14">
        <f>CHOOSE(CONTROL!$C$42, 28.2091, 28.2091) * CHOOSE(CONTROL!$C$21, $C$9, 100%, $E$9)</f>
        <v>28.209099999999999</v>
      </c>
      <c r="F561" s="14">
        <f>CHOOSE(CONTROL!$C$42, 27.9476, 27.9476)*CHOOSE(CONTROL!$C$21, $C$9, 100%, $E$9)</f>
        <v>27.947600000000001</v>
      </c>
      <c r="G561" s="14">
        <f>CHOOSE(CONTROL!$C$42, 27.9636, 27.9636)*CHOOSE(CONTROL!$C$21, $C$9, 100%, $E$9)</f>
        <v>27.9636</v>
      </c>
      <c r="H561" s="14">
        <f>CHOOSE(CONTROL!$C$42, 28.1978, 28.1978) * CHOOSE(CONTROL!$C$21, $C$9, 100%, $E$9)</f>
        <v>28.197800000000001</v>
      </c>
      <c r="I561" s="14">
        <f>CHOOSE(CONTROL!$C$42, 28.0587, 28.0587)* CHOOSE(CONTROL!$C$21, $C$9, 100%, $E$9)</f>
        <v>28.058700000000002</v>
      </c>
      <c r="J561" s="14">
        <f>CHOOSE(CONTROL!$C$42, 27.9406, 27.9406)* CHOOSE(CONTROL!$C$21, $C$9, 100%, $E$9)</f>
        <v>27.9406</v>
      </c>
      <c r="K561" s="53">
        <f>CHOOSE(CONTROL!$C$42, 28.0548, 28.0548) * CHOOSE(CONTROL!$C$21, $C$9, 100%, $E$9)</f>
        <v>28.0548</v>
      </c>
      <c r="L561" s="14">
        <f>CHOOSE(CONTROL!$C$42, 28.7848, 28.7848) * CHOOSE(CONTROL!$C$21, $C$9, 100%, $E$9)</f>
        <v>28.784800000000001</v>
      </c>
      <c r="M561" s="14">
        <f>CHOOSE(CONTROL!$C$42, 27.3758, 27.3758) * CHOOSE(CONTROL!$C$21, $C$9, 100%, $E$9)</f>
        <v>27.375800000000002</v>
      </c>
      <c r="N561" s="14">
        <f>CHOOSE(CONTROL!$C$42, 27.3915, 27.3915) * CHOOSE(CONTROL!$C$21, $C$9, 100%, $E$9)</f>
        <v>27.391500000000001</v>
      </c>
      <c r="O561" s="14">
        <f>CHOOSE(CONTROL!$C$42, 27.6277, 27.6277) * CHOOSE(CONTROL!$C$21, $C$9, 100%, $E$9)</f>
        <v>27.627700000000001</v>
      </c>
      <c r="P561" s="14">
        <f>CHOOSE(CONTROL!$C$42, 27.4898, 27.4898) * CHOOSE(CONTROL!$C$21, $C$9, 100%, $E$9)</f>
        <v>27.489799999999999</v>
      </c>
      <c r="Q561" s="14">
        <f>CHOOSE(CONTROL!$C$42, 28.2224, 28.2224) * CHOOSE(CONTROL!$C$21, $C$9, 100%, $E$9)</f>
        <v>28.2224</v>
      </c>
      <c r="R561" s="14">
        <f>CHOOSE(CONTROL!$C$42, 28.88, 28.88) * CHOOSE(CONTROL!$C$21, $C$9, 100%, $E$9)</f>
        <v>28.88</v>
      </c>
      <c r="S561" s="14">
        <f>CHOOSE(CONTROL!$C$42, 26.8616, 26.8616) * CHOOSE(CONTROL!$C$21, $C$9, 100%, $E$9)</f>
        <v>26.861599999999999</v>
      </c>
      <c r="T56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61" s="57">
        <f>(1000*CHOOSE(CONTROL!$C$42, 695, 695)*CHOOSE(CONTROL!$C$42, 0.5599, 0.5599)*CHOOSE(CONTROL!$C$42, 30, 30))/1000000</f>
        <v>11.673914999999997</v>
      </c>
      <c r="V561" s="57">
        <f>(1000*CHOOSE(CONTROL!$C$42, 500, 500)*CHOOSE(CONTROL!$C$42, 0.275, 0.275)*CHOOSE(CONTROL!$C$42, 30, 30))/1000000</f>
        <v>4.125</v>
      </c>
      <c r="W561" s="57">
        <f>(1000*CHOOSE(CONTROL!$C$42, 0.1146, 0.1146)*CHOOSE(CONTROL!$C$42, 121.5, 121.5)*CHOOSE(CONTROL!$C$42, 30, 30))/1000000</f>
        <v>0.417717</v>
      </c>
      <c r="X561" s="57">
        <f>(30*0.1790888*245000/1000000)+(30*0.2374*100000/1000000)</f>
        <v>2.0285026799999999</v>
      </c>
      <c r="Y561" s="57"/>
      <c r="Z561" s="14"/>
      <c r="AA561" s="56"/>
      <c r="AB561" s="50">
        <f>(B561*194.205+C561*267.466+D561*133.845+E561*53.484+F561*40+G561*185+H561*0+I561*100+J561*300)/(194.205+267.466+133.845+53.484+0+40+185+100+300)</f>
        <v>28.000386321507062</v>
      </c>
      <c r="AC561" s="45">
        <f>(M561*'RAP TEMPLATE-GAS AVAILABILITY'!O560+N561*'RAP TEMPLATE-GAS AVAILABILITY'!P560+O561*'RAP TEMPLATE-GAS AVAILABILITY'!Q560+P561*'RAP TEMPLATE-GAS AVAILABILITY'!R560)/('RAP TEMPLATE-GAS AVAILABILITY'!O560+'RAP TEMPLATE-GAS AVAILABILITY'!P560+'RAP TEMPLATE-GAS AVAILABILITY'!Q560+'RAP TEMPLATE-GAS AVAILABILITY'!R560)</f>
        <v>27.46649424460432</v>
      </c>
    </row>
    <row r="562" spans="1:29" ht="15.75" x14ac:dyDescent="0.25">
      <c r="A562" s="32">
        <v>58014</v>
      </c>
      <c r="B562" s="14">
        <f>CHOOSE(CONTROL!$C$42, 27.3964, 27.3964) * CHOOSE(CONTROL!$C$21, $C$9, 100%, $E$9)</f>
        <v>27.3964</v>
      </c>
      <c r="C562" s="14">
        <f>CHOOSE(CONTROL!$C$42, 27.4017, 27.4017) * CHOOSE(CONTROL!$C$21, $C$9, 100%, $E$9)</f>
        <v>27.401700000000002</v>
      </c>
      <c r="D562" s="14">
        <f>CHOOSE(CONTROL!$C$42, 27.6106, 27.6106) * CHOOSE(CONTROL!$C$21, $C$9, 100%, $E$9)</f>
        <v>27.610600000000002</v>
      </c>
      <c r="E562" s="14">
        <f>CHOOSE(CONTROL!$C$42, 27.6397, 27.6397) * CHOOSE(CONTROL!$C$21, $C$9, 100%, $E$9)</f>
        <v>27.639700000000001</v>
      </c>
      <c r="F562" s="14">
        <f>CHOOSE(CONTROL!$C$42, 27.3804, 27.3804)*CHOOSE(CONTROL!$C$21, $C$9, 100%, $E$9)</f>
        <v>27.380400000000002</v>
      </c>
      <c r="G562" s="14">
        <f>CHOOSE(CONTROL!$C$42, 27.396, 27.396)*CHOOSE(CONTROL!$C$21, $C$9, 100%, $E$9)</f>
        <v>27.396000000000001</v>
      </c>
      <c r="H562" s="14">
        <f>CHOOSE(CONTROL!$C$42, 27.6302, 27.6302) * CHOOSE(CONTROL!$C$21, $C$9, 100%, $E$9)</f>
        <v>27.630199999999999</v>
      </c>
      <c r="I562" s="14">
        <f>CHOOSE(CONTROL!$C$42, 27.4894, 27.4894)* CHOOSE(CONTROL!$C$21, $C$9, 100%, $E$9)</f>
        <v>27.4894</v>
      </c>
      <c r="J562" s="14">
        <f>CHOOSE(CONTROL!$C$42, 27.3734, 27.3734)* CHOOSE(CONTROL!$C$21, $C$9, 100%, $E$9)</f>
        <v>27.3734</v>
      </c>
      <c r="K562" s="53">
        <f>CHOOSE(CONTROL!$C$42, 27.4855, 27.4855) * CHOOSE(CONTROL!$C$21, $C$9, 100%, $E$9)</f>
        <v>27.485499999999998</v>
      </c>
      <c r="L562" s="14">
        <f>CHOOSE(CONTROL!$C$42, 28.2172, 28.2172) * CHOOSE(CONTROL!$C$21, $C$9, 100%, $E$9)</f>
        <v>28.217199999999998</v>
      </c>
      <c r="M562" s="14">
        <f>CHOOSE(CONTROL!$C$42, 26.8202, 26.8202) * CHOOSE(CONTROL!$C$21, $C$9, 100%, $E$9)</f>
        <v>26.8202</v>
      </c>
      <c r="N562" s="14">
        <f>CHOOSE(CONTROL!$C$42, 26.8355, 26.8355) * CHOOSE(CONTROL!$C$21, $C$9, 100%, $E$9)</f>
        <v>26.8355</v>
      </c>
      <c r="O562" s="14">
        <f>CHOOSE(CONTROL!$C$42, 27.0718, 27.0718) * CHOOSE(CONTROL!$C$21, $C$9, 100%, $E$9)</f>
        <v>27.0718</v>
      </c>
      <c r="P562" s="14">
        <f>CHOOSE(CONTROL!$C$42, 26.9322, 26.9322) * CHOOSE(CONTROL!$C$21, $C$9, 100%, $E$9)</f>
        <v>26.932200000000002</v>
      </c>
      <c r="Q562" s="14">
        <f>CHOOSE(CONTROL!$C$42, 27.6665, 27.6665) * CHOOSE(CONTROL!$C$21, $C$9, 100%, $E$9)</f>
        <v>27.666499999999999</v>
      </c>
      <c r="R562" s="14">
        <f>CHOOSE(CONTROL!$C$42, 28.3226, 28.3226) * CHOOSE(CONTROL!$C$21, $C$9, 100%, $E$9)</f>
        <v>28.322600000000001</v>
      </c>
      <c r="S562" s="14">
        <f>CHOOSE(CONTROL!$C$42, 26.3162, 26.3162) * CHOOSE(CONTROL!$C$21, $C$9, 100%, $E$9)</f>
        <v>26.316199999999998</v>
      </c>
      <c r="T56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62" s="57">
        <f>(1000*CHOOSE(CONTROL!$C$42, 695, 695)*CHOOSE(CONTROL!$C$42, 0.5599, 0.5599)*CHOOSE(CONTROL!$C$42, 31, 31))/1000000</f>
        <v>12.063045499999998</v>
      </c>
      <c r="V562" s="57">
        <f>(1000*CHOOSE(CONTROL!$C$42, 500, 500)*CHOOSE(CONTROL!$C$42, 0.275, 0.275)*CHOOSE(CONTROL!$C$42, 31, 31))/1000000</f>
        <v>4.2625000000000002</v>
      </c>
      <c r="W562" s="57">
        <f>(1000*CHOOSE(CONTROL!$C$42, 0.1146, 0.1146)*CHOOSE(CONTROL!$C$42, 121.5, 121.5)*CHOOSE(CONTROL!$C$42, 31, 31))/1000000</f>
        <v>0.43164089999999994</v>
      </c>
      <c r="X562" s="57">
        <f>(31*0.1790888*245000/1000000)+(31*0.2374*100000/1000000)</f>
        <v>2.0961194359999999</v>
      </c>
      <c r="Y562" s="57"/>
      <c r="Z562" s="14"/>
      <c r="AA562" s="56"/>
      <c r="AB562" s="50">
        <f>(B562*131.881+C562*277.167+D562*79.08+E562*125.872+F562*40+G562*185+H562*0+I562*100+J562*300)/(131.881+277.167+79.08+125.872+0+40+185+100+300)</f>
        <v>27.437335091767554</v>
      </c>
      <c r="AC562" s="45">
        <f>(M562*'RAP TEMPLATE-GAS AVAILABILITY'!O561+N562*'RAP TEMPLATE-GAS AVAILABILITY'!P561+O562*'RAP TEMPLATE-GAS AVAILABILITY'!Q561+P562*'RAP TEMPLATE-GAS AVAILABILITY'!R561)/('RAP TEMPLATE-GAS AVAILABILITY'!O561+'RAP TEMPLATE-GAS AVAILABILITY'!P561+'RAP TEMPLATE-GAS AVAILABILITY'!Q561+'RAP TEMPLATE-GAS AVAILABILITY'!R561)</f>
        <v>26.910430215827336</v>
      </c>
    </row>
    <row r="563" spans="1:29" ht="15.75" x14ac:dyDescent="0.25">
      <c r="A563" s="32">
        <v>58044</v>
      </c>
      <c r="B563" s="14">
        <f>CHOOSE(CONTROL!$C$42, 28.1174, 28.1174) * CHOOSE(CONTROL!$C$21, $C$9, 100%, $E$9)</f>
        <v>28.1174</v>
      </c>
      <c r="C563" s="14">
        <f>CHOOSE(CONTROL!$C$42, 28.1225, 28.1225) * CHOOSE(CONTROL!$C$21, $C$9, 100%, $E$9)</f>
        <v>28.122499999999999</v>
      </c>
      <c r="D563" s="14">
        <f>CHOOSE(CONTROL!$C$42, 28.1863, 28.1863) * CHOOSE(CONTROL!$C$21, $C$9, 100%, $E$9)</f>
        <v>28.186299999999999</v>
      </c>
      <c r="E563" s="14">
        <f>CHOOSE(CONTROL!$C$42, 28.2204, 28.2204) * CHOOSE(CONTROL!$C$21, $C$9, 100%, $E$9)</f>
        <v>28.220400000000001</v>
      </c>
      <c r="F563" s="14">
        <f>CHOOSE(CONTROL!$C$42, 28.1198, 28.1198)*CHOOSE(CONTROL!$C$21, $C$9, 100%, $E$9)</f>
        <v>28.119800000000001</v>
      </c>
      <c r="G563" s="14">
        <f>CHOOSE(CONTROL!$C$42, 28.1358, 28.1358)*CHOOSE(CONTROL!$C$21, $C$9, 100%, $E$9)</f>
        <v>28.1358</v>
      </c>
      <c r="H563" s="14">
        <f>CHOOSE(CONTROL!$C$42, 28.2096, 28.2096) * CHOOSE(CONTROL!$C$21, $C$9, 100%, $E$9)</f>
        <v>28.209599999999998</v>
      </c>
      <c r="I563" s="14">
        <f>CHOOSE(CONTROL!$C$42, 28.2183, 28.2183)* CHOOSE(CONTROL!$C$21, $C$9, 100%, $E$9)</f>
        <v>28.218299999999999</v>
      </c>
      <c r="J563" s="14">
        <f>CHOOSE(CONTROL!$C$42, 28.1128, 28.1128)* CHOOSE(CONTROL!$C$21, $C$9, 100%, $E$9)</f>
        <v>28.1128</v>
      </c>
      <c r="K563" s="53">
        <f>CHOOSE(CONTROL!$C$42, 28.2144, 28.2144) * CHOOSE(CONTROL!$C$21, $C$9, 100%, $E$9)</f>
        <v>28.214400000000001</v>
      </c>
      <c r="L563" s="14">
        <f>CHOOSE(CONTROL!$C$42, 28.7966, 28.7966) * CHOOSE(CONTROL!$C$21, $C$9, 100%, $E$9)</f>
        <v>28.796600000000002</v>
      </c>
      <c r="M563" s="14">
        <f>CHOOSE(CONTROL!$C$42, 27.5445, 27.5445) * CHOOSE(CONTROL!$C$21, $C$9, 100%, $E$9)</f>
        <v>27.544499999999999</v>
      </c>
      <c r="N563" s="14">
        <f>CHOOSE(CONTROL!$C$42, 27.5602, 27.5602) * CHOOSE(CONTROL!$C$21, $C$9, 100%, $E$9)</f>
        <v>27.560199999999998</v>
      </c>
      <c r="O563" s="14">
        <f>CHOOSE(CONTROL!$C$42, 27.6393, 27.6393) * CHOOSE(CONTROL!$C$21, $C$9, 100%, $E$9)</f>
        <v>27.639299999999999</v>
      </c>
      <c r="P563" s="14">
        <f>CHOOSE(CONTROL!$C$42, 27.6462, 27.6462) * CHOOSE(CONTROL!$C$21, $C$9, 100%, $E$9)</f>
        <v>27.6462</v>
      </c>
      <c r="Q563" s="14">
        <f>CHOOSE(CONTROL!$C$42, 28.234, 28.234) * CHOOSE(CONTROL!$C$21, $C$9, 100%, $E$9)</f>
        <v>28.234000000000002</v>
      </c>
      <c r="R563" s="14">
        <f>CHOOSE(CONTROL!$C$42, 28.8916, 28.8916) * CHOOSE(CONTROL!$C$21, $C$9, 100%, $E$9)</f>
        <v>28.8916</v>
      </c>
      <c r="S563" s="14">
        <f>CHOOSE(CONTROL!$C$42, 27.0095, 27.0095) * CHOOSE(CONTROL!$C$21, $C$9, 100%, $E$9)</f>
        <v>27.009499999999999</v>
      </c>
      <c r="T56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63" s="57">
        <f>(1000*CHOOSE(CONTROL!$C$42, 695, 695)*CHOOSE(CONTROL!$C$42, 0.5599, 0.5599)*CHOOSE(CONTROL!$C$42, 30, 30))/1000000</f>
        <v>11.673914999999997</v>
      </c>
      <c r="V563" s="57">
        <f>(1000*CHOOSE(CONTROL!$C$42, 500, 500)*CHOOSE(CONTROL!$C$42, 0.275, 0.275)*CHOOSE(CONTROL!$C$42, 30, 30))/1000000</f>
        <v>4.125</v>
      </c>
      <c r="W563" s="57">
        <f>(1000*CHOOSE(CONTROL!$C$42, 0.1146, 0.1146)*CHOOSE(CONTROL!$C$42, 121.5, 121.5)*CHOOSE(CONTROL!$C$42, 30, 30))/1000000</f>
        <v>0.417717</v>
      </c>
      <c r="X563" s="57">
        <f>(30*0.1790888*100000/1000000)+(30*0.2374*100000/1000000)</f>
        <v>1.2494664</v>
      </c>
      <c r="Y563" s="57"/>
      <c r="Z563" s="14"/>
      <c r="AA563" s="56"/>
      <c r="AB563" s="50">
        <f>(B563*122.58+C563*297.941+D563*89.177+E563*40.302+F563*40+G563*160+H563*0+I563*100+J563*300)/(122.58+297.941+89.177+40.302+0+40+160+100+300)</f>
        <v>28.137891217739128</v>
      </c>
      <c r="AC563" s="45">
        <f>(M563*'RAP TEMPLATE-GAS AVAILABILITY'!O562+N563*'RAP TEMPLATE-GAS AVAILABILITY'!P562+O563*'RAP TEMPLATE-GAS AVAILABILITY'!Q562+P563*'RAP TEMPLATE-GAS AVAILABILITY'!R562)/('RAP TEMPLATE-GAS AVAILABILITY'!O562+'RAP TEMPLATE-GAS AVAILABILITY'!P562+'RAP TEMPLATE-GAS AVAILABILITY'!Q562+'RAP TEMPLATE-GAS AVAILABILITY'!R562)</f>
        <v>27.603003597122299</v>
      </c>
    </row>
    <row r="564" spans="1:29" ht="15.75" x14ac:dyDescent="0.25">
      <c r="A564" s="32">
        <v>58075</v>
      </c>
      <c r="B564" s="14">
        <f>CHOOSE(CONTROL!$C$42, 30.0338, 30.0338) * CHOOSE(CONTROL!$C$21, $C$9, 100%, $E$9)</f>
        <v>30.033799999999999</v>
      </c>
      <c r="C564" s="14">
        <f>CHOOSE(CONTROL!$C$42, 30.0389, 30.0389) * CHOOSE(CONTROL!$C$21, $C$9, 100%, $E$9)</f>
        <v>30.038900000000002</v>
      </c>
      <c r="D564" s="14">
        <f>CHOOSE(CONTROL!$C$42, 30.1027, 30.1027) * CHOOSE(CONTROL!$C$21, $C$9, 100%, $E$9)</f>
        <v>30.102699999999999</v>
      </c>
      <c r="E564" s="14">
        <f>CHOOSE(CONTROL!$C$42, 30.1368, 30.1368) * CHOOSE(CONTROL!$C$21, $C$9, 100%, $E$9)</f>
        <v>30.136800000000001</v>
      </c>
      <c r="F564" s="14">
        <f>CHOOSE(CONTROL!$C$42, 30.0384, 30.0384)*CHOOSE(CONTROL!$C$21, $C$9, 100%, $E$9)</f>
        <v>30.038399999999999</v>
      </c>
      <c r="G564" s="14">
        <f>CHOOSE(CONTROL!$C$42, 30.0551, 30.0551)*CHOOSE(CONTROL!$C$21, $C$9, 100%, $E$9)</f>
        <v>30.055099999999999</v>
      </c>
      <c r="H564" s="14">
        <f>CHOOSE(CONTROL!$C$42, 30.126, 30.126) * CHOOSE(CONTROL!$C$21, $C$9, 100%, $E$9)</f>
        <v>30.126000000000001</v>
      </c>
      <c r="I564" s="14">
        <f>CHOOSE(CONTROL!$C$42, 30.1407, 30.1407)* CHOOSE(CONTROL!$C$21, $C$9, 100%, $E$9)</f>
        <v>30.140699999999999</v>
      </c>
      <c r="J564" s="14">
        <f>CHOOSE(CONTROL!$C$42, 30.0314, 30.0314)* CHOOSE(CONTROL!$C$21, $C$9, 100%, $E$9)</f>
        <v>30.031400000000001</v>
      </c>
      <c r="K564" s="53">
        <f>CHOOSE(CONTROL!$C$42, 30.1368, 30.1368) * CHOOSE(CONTROL!$C$21, $C$9, 100%, $E$9)</f>
        <v>30.136800000000001</v>
      </c>
      <c r="L564" s="14">
        <f>CHOOSE(CONTROL!$C$42, 30.713, 30.713) * CHOOSE(CONTROL!$C$21, $C$9, 100%, $E$9)</f>
        <v>30.713000000000001</v>
      </c>
      <c r="M564" s="14">
        <f>CHOOSE(CONTROL!$C$42, 29.4238, 29.4238) * CHOOSE(CONTROL!$C$21, $C$9, 100%, $E$9)</f>
        <v>29.4238</v>
      </c>
      <c r="N564" s="14">
        <f>CHOOSE(CONTROL!$C$42, 29.4401, 29.4401) * CHOOSE(CONTROL!$C$21, $C$9, 100%, $E$9)</f>
        <v>29.440100000000001</v>
      </c>
      <c r="O564" s="14">
        <f>CHOOSE(CONTROL!$C$42, 29.5164, 29.5164) * CHOOSE(CONTROL!$C$21, $C$9, 100%, $E$9)</f>
        <v>29.516400000000001</v>
      </c>
      <c r="P564" s="14">
        <f>CHOOSE(CONTROL!$C$42, 29.529, 29.529) * CHOOSE(CONTROL!$C$21, $C$9, 100%, $E$9)</f>
        <v>29.529</v>
      </c>
      <c r="Q564" s="14">
        <f>CHOOSE(CONTROL!$C$42, 30.1111, 30.1111) * CHOOSE(CONTROL!$C$21, $C$9, 100%, $E$9)</f>
        <v>30.1111</v>
      </c>
      <c r="R564" s="14">
        <f>CHOOSE(CONTROL!$C$42, 30.7734, 30.7734) * CHOOSE(CONTROL!$C$21, $C$9, 100%, $E$9)</f>
        <v>30.773399999999999</v>
      </c>
      <c r="S564" s="14">
        <f>CHOOSE(CONTROL!$C$42, 28.8509, 28.8509) * CHOOSE(CONTROL!$C$21, $C$9, 100%, $E$9)</f>
        <v>28.850899999999999</v>
      </c>
      <c r="T56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64" s="57">
        <f>(1000*CHOOSE(CONTROL!$C$42, 695, 695)*CHOOSE(CONTROL!$C$42, 0.5599, 0.5599)*CHOOSE(CONTROL!$C$42, 31, 31))/1000000</f>
        <v>12.063045499999998</v>
      </c>
      <c r="V564" s="57">
        <f>(1000*CHOOSE(CONTROL!$C$42, 500, 500)*CHOOSE(CONTROL!$C$42, 0.275, 0.275)*CHOOSE(CONTROL!$C$42, 31, 31))/1000000</f>
        <v>4.2625000000000002</v>
      </c>
      <c r="W564" s="57">
        <f>(1000*CHOOSE(CONTROL!$C$42, 0.1146, 0.1146)*CHOOSE(CONTROL!$C$42, 121.5, 121.5)*CHOOSE(CONTROL!$C$42, 31, 31))/1000000</f>
        <v>0.43164089999999994</v>
      </c>
      <c r="X564" s="57">
        <f>(31*0.1790888*100000/1000000)+(31*0.2374*100000/1000000)</f>
        <v>1.2911152800000001</v>
      </c>
      <c r="Y564" s="57"/>
      <c r="Z564" s="14"/>
      <c r="AA564" s="56"/>
      <c r="AB564" s="50">
        <f>(B564*122.58+C564*297.941+D564*89.177+E564*40.302+F564*40+G564*160+H564*0+I564*100+J564*300)/(122.58+297.941+89.177+40.302+0+40+160+100+300)</f>
        <v>30.055866869913043</v>
      </c>
      <c r="AC564" s="45">
        <f>(M564*'RAP TEMPLATE-GAS AVAILABILITY'!O563+N564*'RAP TEMPLATE-GAS AVAILABILITY'!P563+O564*'RAP TEMPLATE-GAS AVAILABILITY'!Q563+P564*'RAP TEMPLATE-GAS AVAILABILITY'!R563)/('RAP TEMPLATE-GAS AVAILABILITY'!O563+'RAP TEMPLATE-GAS AVAILABILITY'!P563+'RAP TEMPLATE-GAS AVAILABILITY'!Q563+'RAP TEMPLATE-GAS AVAILABILITY'!R563)</f>
        <v>29.481844604316549</v>
      </c>
    </row>
    <row r="565" spans="1:29" ht="15.75" x14ac:dyDescent="0.25">
      <c r="A565" s="32">
        <v>58106</v>
      </c>
      <c r="B565" s="14">
        <f>CHOOSE(CONTROL!$C$42, 32.4932, 32.4932) * CHOOSE(CONTROL!$C$21, $C$9, 100%, $E$9)</f>
        <v>32.493200000000002</v>
      </c>
      <c r="C565" s="14">
        <f>CHOOSE(CONTROL!$C$42, 32.4983, 32.4983) * CHOOSE(CONTROL!$C$21, $C$9, 100%, $E$9)</f>
        <v>32.4983</v>
      </c>
      <c r="D565" s="14">
        <f>CHOOSE(CONTROL!$C$42, 32.5647, 32.5647) * CHOOSE(CONTROL!$C$21, $C$9, 100%, $E$9)</f>
        <v>32.564700000000002</v>
      </c>
      <c r="E565" s="14">
        <f>CHOOSE(CONTROL!$C$42, 32.5988, 32.5988) * CHOOSE(CONTROL!$C$21, $C$9, 100%, $E$9)</f>
        <v>32.598799999999997</v>
      </c>
      <c r="F565" s="14">
        <f>CHOOSE(CONTROL!$C$42, 32.4805, 32.4805)*CHOOSE(CONTROL!$C$21, $C$9, 100%, $E$9)</f>
        <v>32.480499999999999</v>
      </c>
      <c r="G565" s="14">
        <f>CHOOSE(CONTROL!$C$42, 32.496, 32.496)*CHOOSE(CONTROL!$C$21, $C$9, 100%, $E$9)</f>
        <v>32.496000000000002</v>
      </c>
      <c r="H565" s="14">
        <f>CHOOSE(CONTROL!$C$42, 32.588, 32.588) * CHOOSE(CONTROL!$C$21, $C$9, 100%, $E$9)</f>
        <v>32.588000000000001</v>
      </c>
      <c r="I565" s="14">
        <f>CHOOSE(CONTROL!$C$42, 32.6026, 32.6026)* CHOOSE(CONTROL!$C$21, $C$9, 100%, $E$9)</f>
        <v>32.602600000000002</v>
      </c>
      <c r="J565" s="14">
        <f>CHOOSE(CONTROL!$C$42, 32.4735, 32.4735)* CHOOSE(CONTROL!$C$21, $C$9, 100%, $E$9)</f>
        <v>32.473500000000001</v>
      </c>
      <c r="K565" s="53">
        <f>CHOOSE(CONTROL!$C$42, 32.5987, 32.5987) * CHOOSE(CONTROL!$C$21, $C$9, 100%, $E$9)</f>
        <v>32.598700000000001</v>
      </c>
      <c r="L565" s="14">
        <f>CHOOSE(CONTROL!$C$42, 33.175, 33.175) * CHOOSE(CONTROL!$C$21, $C$9, 100%, $E$9)</f>
        <v>33.174999999999997</v>
      </c>
      <c r="M565" s="14">
        <f>CHOOSE(CONTROL!$C$42, 31.8159, 31.8159) * CHOOSE(CONTROL!$C$21, $C$9, 100%, $E$9)</f>
        <v>31.815899999999999</v>
      </c>
      <c r="N565" s="14">
        <f>CHOOSE(CONTROL!$C$42, 31.831, 31.831) * CHOOSE(CONTROL!$C$21, $C$9, 100%, $E$9)</f>
        <v>31.831</v>
      </c>
      <c r="O565" s="14">
        <f>CHOOSE(CONTROL!$C$42, 31.928, 31.928) * CHOOSE(CONTROL!$C$21, $C$9, 100%, $E$9)</f>
        <v>31.928000000000001</v>
      </c>
      <c r="P565" s="14">
        <f>CHOOSE(CONTROL!$C$42, 31.9403, 31.9403) * CHOOSE(CONTROL!$C$21, $C$9, 100%, $E$9)</f>
        <v>31.940300000000001</v>
      </c>
      <c r="Q565" s="14">
        <f>CHOOSE(CONTROL!$C$42, 32.5227, 32.5227) * CHOOSE(CONTROL!$C$21, $C$9, 100%, $E$9)</f>
        <v>32.5227</v>
      </c>
      <c r="R565" s="14">
        <f>CHOOSE(CONTROL!$C$42, 33.191, 33.191) * CHOOSE(CONTROL!$C$21, $C$9, 100%, $E$9)</f>
        <v>33.191000000000003</v>
      </c>
      <c r="S565" s="14">
        <f>CHOOSE(CONTROL!$C$42, 31.2142, 31.2142) * CHOOSE(CONTROL!$C$21, $C$9, 100%, $E$9)</f>
        <v>31.214200000000002</v>
      </c>
      <c r="T56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65" s="57">
        <f>(1000*CHOOSE(CONTROL!$C$42, 695, 695)*CHOOSE(CONTROL!$C$42, 0.5599, 0.5599)*CHOOSE(CONTROL!$C$42, 31, 31))/1000000</f>
        <v>12.063045499999998</v>
      </c>
      <c r="V565" s="57">
        <f>(1000*CHOOSE(CONTROL!$C$42, 500, 500)*CHOOSE(CONTROL!$C$42, 0.275, 0.275)*CHOOSE(CONTROL!$C$42, 31, 31))/1000000</f>
        <v>4.2625000000000002</v>
      </c>
      <c r="W565" s="57">
        <f>(1000*CHOOSE(CONTROL!$C$42, 0.1146, 0.1146)*CHOOSE(CONTROL!$C$42, 121.5, 121.5)*CHOOSE(CONTROL!$C$42, 31, 31))/1000000</f>
        <v>0.43164089999999994</v>
      </c>
      <c r="X565" s="57">
        <f>(31*0.1790888*100000/1000000)+(31*0.2374*100000/1000000)</f>
        <v>1.2911152800000001</v>
      </c>
      <c r="Y565" s="57"/>
      <c r="Z565" s="14"/>
      <c r="AA565" s="56"/>
      <c r="AB565" s="50">
        <f>(B565*122.58+C565*297.941+D565*89.177+E565*40.302+F565*40+G565*160+H565*0+I565*100+J565*300)/(122.58+297.941+89.177+40.302+0+40+160+100+300)</f>
        <v>32.508088300695661</v>
      </c>
      <c r="AC565" s="45">
        <f>(M565*'RAP TEMPLATE-GAS AVAILABILITY'!O564+N565*'RAP TEMPLATE-GAS AVAILABILITY'!P564+O565*'RAP TEMPLATE-GAS AVAILABILITY'!Q564+P565*'RAP TEMPLATE-GAS AVAILABILITY'!R564)/('RAP TEMPLATE-GAS AVAILABILITY'!O564+'RAP TEMPLATE-GAS AVAILABILITY'!P564+'RAP TEMPLATE-GAS AVAILABILITY'!Q564+'RAP TEMPLATE-GAS AVAILABILITY'!R564)</f>
        <v>31.885476258992803</v>
      </c>
    </row>
    <row r="566" spans="1:29" ht="15.75" x14ac:dyDescent="0.25">
      <c r="A566" s="32">
        <v>58134</v>
      </c>
      <c r="B566" s="14">
        <f>CHOOSE(CONTROL!$C$42, 33.0715, 33.0715) * CHOOSE(CONTROL!$C$21, $C$9, 100%, $E$9)</f>
        <v>33.0715</v>
      </c>
      <c r="C566" s="14">
        <f>CHOOSE(CONTROL!$C$42, 33.0765, 33.0765) * CHOOSE(CONTROL!$C$21, $C$9, 100%, $E$9)</f>
        <v>33.076500000000003</v>
      </c>
      <c r="D566" s="14">
        <f>CHOOSE(CONTROL!$C$42, 33.1429, 33.1429) * CHOOSE(CONTROL!$C$21, $C$9, 100%, $E$9)</f>
        <v>33.142899999999997</v>
      </c>
      <c r="E566" s="14">
        <f>CHOOSE(CONTROL!$C$42, 33.177, 33.177) * CHOOSE(CONTROL!$C$21, $C$9, 100%, $E$9)</f>
        <v>33.177</v>
      </c>
      <c r="F566" s="14">
        <f>CHOOSE(CONTROL!$C$42, 33.0589, 33.0589)*CHOOSE(CONTROL!$C$21, $C$9, 100%, $E$9)</f>
        <v>33.058900000000001</v>
      </c>
      <c r="G566" s="14">
        <f>CHOOSE(CONTROL!$C$42, 33.0744, 33.0744)*CHOOSE(CONTROL!$C$21, $C$9, 100%, $E$9)</f>
        <v>33.074399999999997</v>
      </c>
      <c r="H566" s="14">
        <f>CHOOSE(CONTROL!$C$42, 33.1662, 33.1662) * CHOOSE(CONTROL!$C$21, $C$9, 100%, $E$9)</f>
        <v>33.166200000000003</v>
      </c>
      <c r="I566" s="14">
        <f>CHOOSE(CONTROL!$C$42, 33.1827, 33.1827)* CHOOSE(CONTROL!$C$21, $C$9, 100%, $E$9)</f>
        <v>33.182699999999997</v>
      </c>
      <c r="J566" s="14">
        <f>CHOOSE(CONTROL!$C$42, 33.0519, 33.0519)* CHOOSE(CONTROL!$C$21, $C$9, 100%, $E$9)</f>
        <v>33.051900000000003</v>
      </c>
      <c r="K566" s="53">
        <f>CHOOSE(CONTROL!$C$42, 33.1788, 33.1788) * CHOOSE(CONTROL!$C$21, $C$9, 100%, $E$9)</f>
        <v>33.178800000000003</v>
      </c>
      <c r="L566" s="14">
        <f>CHOOSE(CONTROL!$C$42, 33.7532, 33.7532) * CHOOSE(CONTROL!$C$21, $C$9, 100%, $E$9)</f>
        <v>33.7532</v>
      </c>
      <c r="M566" s="14">
        <f>CHOOSE(CONTROL!$C$42, 32.3823, 32.3823) * CHOOSE(CONTROL!$C$21, $C$9, 100%, $E$9)</f>
        <v>32.382300000000001</v>
      </c>
      <c r="N566" s="14">
        <f>CHOOSE(CONTROL!$C$42, 32.3975, 32.3975) * CHOOSE(CONTROL!$C$21, $C$9, 100%, $E$9)</f>
        <v>32.397500000000001</v>
      </c>
      <c r="O566" s="14">
        <f>CHOOSE(CONTROL!$C$42, 32.4944, 32.4944) * CHOOSE(CONTROL!$C$21, $C$9, 100%, $E$9)</f>
        <v>32.494399999999999</v>
      </c>
      <c r="P566" s="14">
        <f>CHOOSE(CONTROL!$C$42, 32.5085, 32.5085) * CHOOSE(CONTROL!$C$21, $C$9, 100%, $E$9)</f>
        <v>32.508499999999998</v>
      </c>
      <c r="Q566" s="14">
        <f>CHOOSE(CONTROL!$C$42, 33.0891, 33.0891) * CHOOSE(CONTROL!$C$21, $C$9, 100%, $E$9)</f>
        <v>33.089100000000002</v>
      </c>
      <c r="R566" s="14">
        <f>CHOOSE(CONTROL!$C$42, 33.7588, 33.7588) * CHOOSE(CONTROL!$C$21, $C$9, 100%, $E$9)</f>
        <v>33.758800000000001</v>
      </c>
      <c r="S566" s="14">
        <f>CHOOSE(CONTROL!$C$42, 31.7698, 31.7698) * CHOOSE(CONTROL!$C$21, $C$9, 100%, $E$9)</f>
        <v>31.7698</v>
      </c>
      <c r="T56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66" s="57">
        <f>(1000*CHOOSE(CONTROL!$C$42, 695, 695)*CHOOSE(CONTROL!$C$42, 0.5599, 0.5599)*CHOOSE(CONTROL!$C$42, 28, 28))/1000000</f>
        <v>10.895653999999999</v>
      </c>
      <c r="V566" s="57">
        <f>(1000*CHOOSE(CONTROL!$C$42, 500, 500)*CHOOSE(CONTROL!$C$42, 0.275, 0.275)*CHOOSE(CONTROL!$C$42, 28, 28))/1000000</f>
        <v>3.85</v>
      </c>
      <c r="W566" s="57">
        <f>(1000*CHOOSE(CONTROL!$C$42, 0.1146, 0.1146)*CHOOSE(CONTROL!$C$42, 121.5, 121.5)*CHOOSE(CONTROL!$C$42, 28, 28))/1000000</f>
        <v>0.38986920000000003</v>
      </c>
      <c r="X566" s="57">
        <f>(28*0.1790888*100000/1000000)+(28*0.2374*100000/1000000)</f>
        <v>1.16616864</v>
      </c>
      <c r="Y566" s="57"/>
      <c r="Z566" s="14"/>
      <c r="AA566" s="56"/>
      <c r="AB566" s="50">
        <f>(B566*122.58+C566*297.941+D566*89.177+E566*40.302+F566*40+G566*160+H566*0+I566*100+J566*300)/(122.58+297.941+89.177+40.302+0+40+160+100+300)</f>
        <v>33.086551133739128</v>
      </c>
      <c r="AC566" s="45">
        <f>(M566*'RAP TEMPLATE-GAS AVAILABILITY'!O565+N566*'RAP TEMPLATE-GAS AVAILABILITY'!P565+O566*'RAP TEMPLATE-GAS AVAILABILITY'!Q565+P566*'RAP TEMPLATE-GAS AVAILABILITY'!R565)/('RAP TEMPLATE-GAS AVAILABILITY'!O565+'RAP TEMPLATE-GAS AVAILABILITY'!P565+'RAP TEMPLATE-GAS AVAILABILITY'!Q565+'RAP TEMPLATE-GAS AVAILABILITY'!R565)</f>
        <v>32.452141007194243</v>
      </c>
    </row>
    <row r="567" spans="1:29" ht="15.75" x14ac:dyDescent="0.25">
      <c r="A567" s="32">
        <v>58165</v>
      </c>
      <c r="B567" s="14">
        <f>CHOOSE(CONTROL!$C$42, 32.1328, 32.1328) * CHOOSE(CONTROL!$C$21, $C$9, 100%, $E$9)</f>
        <v>32.132800000000003</v>
      </c>
      <c r="C567" s="14">
        <f>CHOOSE(CONTROL!$C$42, 32.1379, 32.1379) * CHOOSE(CONTROL!$C$21, $C$9, 100%, $E$9)</f>
        <v>32.137900000000002</v>
      </c>
      <c r="D567" s="14">
        <f>CHOOSE(CONTROL!$C$42, 32.2043, 32.2043) * CHOOSE(CONTROL!$C$21, $C$9, 100%, $E$9)</f>
        <v>32.204300000000003</v>
      </c>
      <c r="E567" s="14">
        <f>CHOOSE(CONTROL!$C$42, 32.2384, 32.2384) * CHOOSE(CONTROL!$C$21, $C$9, 100%, $E$9)</f>
        <v>32.238399999999999</v>
      </c>
      <c r="F567" s="14">
        <f>CHOOSE(CONTROL!$C$42, 32.1198, 32.1198)*CHOOSE(CONTROL!$C$21, $C$9, 100%, $E$9)</f>
        <v>32.119799999999998</v>
      </c>
      <c r="G567" s="14">
        <f>CHOOSE(CONTROL!$C$42, 32.1352, 32.1352)*CHOOSE(CONTROL!$C$21, $C$9, 100%, $E$9)</f>
        <v>32.135199999999998</v>
      </c>
      <c r="H567" s="14">
        <f>CHOOSE(CONTROL!$C$42, 32.2276, 32.2276) * CHOOSE(CONTROL!$C$21, $C$9, 100%, $E$9)</f>
        <v>32.227600000000002</v>
      </c>
      <c r="I567" s="14">
        <f>CHOOSE(CONTROL!$C$42, 32.2411, 32.2411)* CHOOSE(CONTROL!$C$21, $C$9, 100%, $E$9)</f>
        <v>32.241100000000003</v>
      </c>
      <c r="J567" s="14">
        <f>CHOOSE(CONTROL!$C$42, 32.1128, 32.1128)* CHOOSE(CONTROL!$C$21, $C$9, 100%, $E$9)</f>
        <v>32.1128</v>
      </c>
      <c r="K567" s="53">
        <f>CHOOSE(CONTROL!$C$42, 32.2372, 32.2372) * CHOOSE(CONTROL!$C$21, $C$9, 100%, $E$9)</f>
        <v>32.237200000000001</v>
      </c>
      <c r="L567" s="14">
        <f>CHOOSE(CONTROL!$C$42, 32.8146, 32.8146) * CHOOSE(CONTROL!$C$21, $C$9, 100%, $E$9)</f>
        <v>32.814599999999999</v>
      </c>
      <c r="M567" s="14">
        <f>CHOOSE(CONTROL!$C$42, 31.4625, 31.4625) * CHOOSE(CONTROL!$C$21, $C$9, 100%, $E$9)</f>
        <v>31.462499999999999</v>
      </c>
      <c r="N567" s="14">
        <f>CHOOSE(CONTROL!$C$42, 31.4776, 31.4776) * CHOOSE(CONTROL!$C$21, $C$9, 100%, $E$9)</f>
        <v>31.477599999999999</v>
      </c>
      <c r="O567" s="14">
        <f>CHOOSE(CONTROL!$C$42, 31.575, 31.575) * CHOOSE(CONTROL!$C$21, $C$9, 100%, $E$9)</f>
        <v>31.574999999999999</v>
      </c>
      <c r="P567" s="14">
        <f>CHOOSE(CONTROL!$C$42, 31.5862, 31.5862) * CHOOSE(CONTROL!$C$21, $C$9, 100%, $E$9)</f>
        <v>31.586200000000002</v>
      </c>
      <c r="Q567" s="14">
        <f>CHOOSE(CONTROL!$C$42, 32.1697, 32.1697) * CHOOSE(CONTROL!$C$21, $C$9, 100%, $E$9)</f>
        <v>32.169699999999999</v>
      </c>
      <c r="R567" s="14">
        <f>CHOOSE(CONTROL!$C$42, 32.8371, 32.8371) * CHOOSE(CONTROL!$C$21, $C$9, 100%, $E$9)</f>
        <v>32.8371</v>
      </c>
      <c r="S567" s="14">
        <f>CHOOSE(CONTROL!$C$42, 30.8679, 30.8679) * CHOOSE(CONTROL!$C$21, $C$9, 100%, $E$9)</f>
        <v>30.867899999999999</v>
      </c>
      <c r="T56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67" s="57">
        <f>(1000*CHOOSE(CONTROL!$C$42, 695, 695)*CHOOSE(CONTROL!$C$42, 0.5599, 0.5599)*CHOOSE(CONTROL!$C$42, 31, 31))/1000000</f>
        <v>12.063045499999998</v>
      </c>
      <c r="V567" s="57">
        <f>(1000*CHOOSE(CONTROL!$C$42, 500, 500)*CHOOSE(CONTROL!$C$42, 0.275, 0.275)*CHOOSE(CONTROL!$C$42, 31, 31))/1000000</f>
        <v>4.2625000000000002</v>
      </c>
      <c r="W567" s="57">
        <f>(1000*CHOOSE(CONTROL!$C$42, 0.1146, 0.1146)*CHOOSE(CONTROL!$C$42, 121.5, 121.5)*CHOOSE(CONTROL!$C$42, 31, 31))/1000000</f>
        <v>0.43164089999999994</v>
      </c>
      <c r="X567" s="57">
        <f>(31*0.1790888*100000/1000000)+(31*0.2374*100000/1000000)</f>
        <v>1.2911152800000001</v>
      </c>
      <c r="Y567" s="57"/>
      <c r="Z567" s="14"/>
      <c r="AA567" s="56"/>
      <c r="AB567" s="50">
        <f>(B567*122.58+C567*297.941+D567*89.177+E567*40.302+F567*40+G567*160+H567*0+I567*100+J567*300)/(122.58+297.941+89.177+40.302+0+40+160+100+300)</f>
        <v>32.14744830069565</v>
      </c>
      <c r="AC567" s="45">
        <f>(M567*'RAP TEMPLATE-GAS AVAILABILITY'!O566+N567*'RAP TEMPLATE-GAS AVAILABILITY'!P566+O567*'RAP TEMPLATE-GAS AVAILABILITY'!Q566+P567*'RAP TEMPLATE-GAS AVAILABILITY'!R566)/('RAP TEMPLATE-GAS AVAILABILITY'!O566+'RAP TEMPLATE-GAS AVAILABILITY'!P566+'RAP TEMPLATE-GAS AVAILABILITY'!Q566+'RAP TEMPLATE-GAS AVAILABILITY'!R566)</f>
        <v>31.532156834532373</v>
      </c>
    </row>
    <row r="568" spans="1:29" ht="15.75" x14ac:dyDescent="0.25">
      <c r="A568" s="32">
        <v>58195</v>
      </c>
      <c r="B568" s="14">
        <f>CHOOSE(CONTROL!$C$42, 32.0378, 32.0378) * CHOOSE(CONTROL!$C$21, $C$9, 100%, $E$9)</f>
        <v>32.037799999999997</v>
      </c>
      <c r="C568" s="14">
        <f>CHOOSE(CONTROL!$C$42, 32.0423, 32.0423) * CHOOSE(CONTROL!$C$21, $C$9, 100%, $E$9)</f>
        <v>32.042299999999997</v>
      </c>
      <c r="D568" s="14">
        <f>CHOOSE(CONTROL!$C$42, 32.2494, 32.2494) * CHOOSE(CONTROL!$C$21, $C$9, 100%, $E$9)</f>
        <v>32.249400000000001</v>
      </c>
      <c r="E568" s="14">
        <f>CHOOSE(CONTROL!$C$42, 32.2815, 32.2815) * CHOOSE(CONTROL!$C$21, $C$9, 100%, $E$9)</f>
        <v>32.281500000000001</v>
      </c>
      <c r="F568" s="14">
        <f>CHOOSE(CONTROL!$C$42, 32.0197, 32.0197)*CHOOSE(CONTROL!$C$21, $C$9, 100%, $E$9)</f>
        <v>32.0197</v>
      </c>
      <c r="G568" s="14">
        <f>CHOOSE(CONTROL!$C$42, 32.0349, 32.0349)*CHOOSE(CONTROL!$C$21, $C$9, 100%, $E$9)</f>
        <v>32.0349</v>
      </c>
      <c r="H568" s="14">
        <f>CHOOSE(CONTROL!$C$42, 32.2713, 32.2713) * CHOOSE(CONTROL!$C$21, $C$9, 100%, $E$9)</f>
        <v>32.271299999999997</v>
      </c>
      <c r="I568" s="14">
        <f>CHOOSE(CONTROL!$C$42, 32.145, 32.145)* CHOOSE(CONTROL!$C$21, $C$9, 100%, $E$9)</f>
        <v>32.145000000000003</v>
      </c>
      <c r="J568" s="14">
        <f>CHOOSE(CONTROL!$C$42, 32.0127, 32.0127)* CHOOSE(CONTROL!$C$21, $C$9, 100%, $E$9)</f>
        <v>32.012700000000002</v>
      </c>
      <c r="K568" s="53">
        <f>CHOOSE(CONTROL!$C$42, 32.1411, 32.1411) * CHOOSE(CONTROL!$C$21, $C$9, 100%, $E$9)</f>
        <v>32.141100000000002</v>
      </c>
      <c r="L568" s="14">
        <f>CHOOSE(CONTROL!$C$42, 32.8583, 32.8583) * CHOOSE(CONTROL!$C$21, $C$9, 100%, $E$9)</f>
        <v>32.8583</v>
      </c>
      <c r="M568" s="14">
        <f>CHOOSE(CONTROL!$C$42, 31.3645, 31.3645) * CHOOSE(CONTROL!$C$21, $C$9, 100%, $E$9)</f>
        <v>31.3645</v>
      </c>
      <c r="N568" s="14">
        <f>CHOOSE(CONTROL!$C$42, 31.3793, 31.3793) * CHOOSE(CONTROL!$C$21, $C$9, 100%, $E$9)</f>
        <v>31.379300000000001</v>
      </c>
      <c r="O568" s="14">
        <f>CHOOSE(CONTROL!$C$42, 31.6177, 31.6177) * CHOOSE(CONTROL!$C$21, $C$9, 100%, $E$9)</f>
        <v>31.617699999999999</v>
      </c>
      <c r="P568" s="14">
        <f>CHOOSE(CONTROL!$C$42, 31.4921, 31.4921) * CHOOSE(CONTROL!$C$21, $C$9, 100%, $E$9)</f>
        <v>31.492100000000001</v>
      </c>
      <c r="Q568" s="14">
        <f>CHOOSE(CONTROL!$C$42, 32.2124, 32.2124) * CHOOSE(CONTROL!$C$21, $C$9, 100%, $E$9)</f>
        <v>32.212400000000002</v>
      </c>
      <c r="R568" s="14">
        <f>CHOOSE(CONTROL!$C$42, 32.88, 32.88) * CHOOSE(CONTROL!$C$21, $C$9, 100%, $E$9)</f>
        <v>32.880000000000003</v>
      </c>
      <c r="S568" s="14">
        <f>CHOOSE(CONTROL!$C$42, 30.7758, 30.7758) * CHOOSE(CONTROL!$C$21, $C$9, 100%, $E$9)</f>
        <v>30.7758</v>
      </c>
      <c r="T56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68" s="57">
        <f>(1000*CHOOSE(CONTROL!$C$42, 695, 695)*CHOOSE(CONTROL!$C$42, 0.5599, 0.5599)*CHOOSE(CONTROL!$C$42, 30, 30))/1000000</f>
        <v>11.673914999999997</v>
      </c>
      <c r="V568" s="57">
        <f>(1000*CHOOSE(CONTROL!$C$42, 500, 500)*CHOOSE(CONTROL!$C$42, 0.275, 0.275)*CHOOSE(CONTROL!$C$42, 30, 30))/1000000</f>
        <v>4.125</v>
      </c>
      <c r="W568" s="57">
        <f>(1000*CHOOSE(CONTROL!$C$42, 0.1146, 0.1146)*CHOOSE(CONTROL!$C$42, 121.5, 121.5)*CHOOSE(CONTROL!$C$42, 30, 30))/1000000</f>
        <v>0.417717</v>
      </c>
      <c r="X568" s="57">
        <f>(30*0.1790888*245000/1000000)+(30*0.2374*100000/1000000)</f>
        <v>2.0285026799999999</v>
      </c>
      <c r="Y568" s="57"/>
      <c r="Z568" s="14"/>
      <c r="AA568" s="56"/>
      <c r="AB568" s="50">
        <f>(B568*141.293+C568*267.993+D568*115.016+E568*89.698+F568*40+G568*185+H568*0+I568*100+J568*300)/(141.293+267.993+115.016+89.698+0+40+185+100+300)</f>
        <v>32.077616187812751</v>
      </c>
      <c r="AC568" s="45">
        <f>(M568*'RAP TEMPLATE-GAS AVAILABILITY'!O567+N568*'RAP TEMPLATE-GAS AVAILABILITY'!P567+O568*'RAP TEMPLATE-GAS AVAILABILITY'!Q567+P568*'RAP TEMPLATE-GAS AVAILABILITY'!R567)/('RAP TEMPLATE-GAS AVAILABILITY'!O567+'RAP TEMPLATE-GAS AVAILABILITY'!P567+'RAP TEMPLATE-GAS AVAILABILITY'!Q567+'RAP TEMPLATE-GAS AVAILABILITY'!R567)</f>
        <v>31.457308633093525</v>
      </c>
    </row>
    <row r="569" spans="1:29" ht="15.75" x14ac:dyDescent="0.25">
      <c r="A569" s="32">
        <v>58226</v>
      </c>
      <c r="B569" s="14">
        <f>CHOOSE(CONTROL!$C$42, 32.3219, 32.3219) * CHOOSE(CONTROL!$C$21, $C$9, 100%, $E$9)</f>
        <v>32.321899999999999</v>
      </c>
      <c r="C569" s="14">
        <f>CHOOSE(CONTROL!$C$42, 32.3299, 32.3299) * CHOOSE(CONTROL!$C$21, $C$9, 100%, $E$9)</f>
        <v>32.329900000000002</v>
      </c>
      <c r="D569" s="14">
        <f>CHOOSE(CONTROL!$C$42, 32.5338, 32.5338) * CHOOSE(CONTROL!$C$21, $C$9, 100%, $E$9)</f>
        <v>32.533799999999999</v>
      </c>
      <c r="E569" s="14">
        <f>CHOOSE(CONTROL!$C$42, 32.5653, 32.5653) * CHOOSE(CONTROL!$C$21, $C$9, 100%, $E$9)</f>
        <v>32.565300000000001</v>
      </c>
      <c r="F569" s="14">
        <f>CHOOSE(CONTROL!$C$42, 32.3026, 32.3026)*CHOOSE(CONTROL!$C$21, $C$9, 100%, $E$9)</f>
        <v>32.302599999999998</v>
      </c>
      <c r="G569" s="14">
        <f>CHOOSE(CONTROL!$C$42, 32.3183, 32.3183)*CHOOSE(CONTROL!$C$21, $C$9, 100%, $E$9)</f>
        <v>32.318300000000001</v>
      </c>
      <c r="H569" s="14">
        <f>CHOOSE(CONTROL!$C$42, 32.5539, 32.5539) * CHOOSE(CONTROL!$C$21, $C$9, 100%, $E$9)</f>
        <v>32.553899999999999</v>
      </c>
      <c r="I569" s="14">
        <f>CHOOSE(CONTROL!$C$42, 32.4285, 32.4285)* CHOOSE(CONTROL!$C$21, $C$9, 100%, $E$9)</f>
        <v>32.4285</v>
      </c>
      <c r="J569" s="14">
        <f>CHOOSE(CONTROL!$C$42, 32.2956, 32.2956)* CHOOSE(CONTROL!$C$21, $C$9, 100%, $E$9)</f>
        <v>32.2956</v>
      </c>
      <c r="K569" s="53">
        <f>CHOOSE(CONTROL!$C$42, 32.4247, 32.4247) * CHOOSE(CONTROL!$C$21, $C$9, 100%, $E$9)</f>
        <v>32.424700000000001</v>
      </c>
      <c r="L569" s="14">
        <f>CHOOSE(CONTROL!$C$42, 33.1409, 33.1409) * CHOOSE(CONTROL!$C$21, $C$9, 100%, $E$9)</f>
        <v>33.140900000000002</v>
      </c>
      <c r="M569" s="14">
        <f>CHOOSE(CONTROL!$C$42, 31.6416, 31.6416) * CHOOSE(CONTROL!$C$21, $C$9, 100%, $E$9)</f>
        <v>31.6416</v>
      </c>
      <c r="N569" s="14">
        <f>CHOOSE(CONTROL!$C$42, 31.6569, 31.6569) * CHOOSE(CONTROL!$C$21, $C$9, 100%, $E$9)</f>
        <v>31.6569</v>
      </c>
      <c r="O569" s="14">
        <f>CHOOSE(CONTROL!$C$42, 31.8946, 31.8946) * CHOOSE(CONTROL!$C$21, $C$9, 100%, $E$9)</f>
        <v>31.894600000000001</v>
      </c>
      <c r="P569" s="14">
        <f>CHOOSE(CONTROL!$C$42, 31.7698, 31.7698) * CHOOSE(CONTROL!$C$21, $C$9, 100%, $E$9)</f>
        <v>31.7698</v>
      </c>
      <c r="Q569" s="14">
        <f>CHOOSE(CONTROL!$C$42, 32.4893, 32.4893) * CHOOSE(CONTROL!$C$21, $C$9, 100%, $E$9)</f>
        <v>32.4893</v>
      </c>
      <c r="R569" s="14">
        <f>CHOOSE(CONTROL!$C$42, 33.1575, 33.1575) * CHOOSE(CONTROL!$C$21, $C$9, 100%, $E$9)</f>
        <v>33.157499999999999</v>
      </c>
      <c r="S569" s="14">
        <f>CHOOSE(CONTROL!$C$42, 31.0475, 31.0475) * CHOOSE(CONTROL!$C$21, $C$9, 100%, $E$9)</f>
        <v>31.047499999999999</v>
      </c>
      <c r="T56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69" s="57">
        <f>(1000*CHOOSE(CONTROL!$C$42, 695, 695)*CHOOSE(CONTROL!$C$42, 0.5599, 0.5599)*CHOOSE(CONTROL!$C$42, 31, 31))/1000000</f>
        <v>12.063045499999998</v>
      </c>
      <c r="V569" s="57">
        <f>(1000*CHOOSE(CONTROL!$C$42, 500, 500)*CHOOSE(CONTROL!$C$42, 0.275, 0.275)*CHOOSE(CONTROL!$C$42, 31, 31))/1000000</f>
        <v>4.2625000000000002</v>
      </c>
      <c r="W569" s="57">
        <f>(1000*CHOOSE(CONTROL!$C$42, 0.1146, 0.1146)*CHOOSE(CONTROL!$C$42, 121.5, 121.5)*CHOOSE(CONTROL!$C$42, 31, 31))/1000000</f>
        <v>0.43164089999999994</v>
      </c>
      <c r="X569" s="57">
        <f>(31*0.1790888*245000/1000000)+(31*0.2374*100000/1000000)</f>
        <v>2.0961194359999999</v>
      </c>
      <c r="Y569" s="57"/>
      <c r="Z569" s="14"/>
      <c r="AA569" s="56"/>
      <c r="AB569" s="50">
        <f>(B569*194.205+C569*267.466+D569*133.845+E569*53.484+F569*40+G569*185+H569*0+I569*100+J569*300)/(194.205+267.466+133.845+53.484+0+40+185+100+300)</f>
        <v>32.357105250470958</v>
      </c>
      <c r="AC569" s="45">
        <f>(M569*'RAP TEMPLATE-GAS AVAILABILITY'!O568+N569*'RAP TEMPLATE-GAS AVAILABILITY'!P568+O569*'RAP TEMPLATE-GAS AVAILABILITY'!Q568+P569*'RAP TEMPLATE-GAS AVAILABILITY'!R568)/('RAP TEMPLATE-GAS AVAILABILITY'!O568+'RAP TEMPLATE-GAS AVAILABILITY'!P568+'RAP TEMPLATE-GAS AVAILABILITY'!Q568+'RAP TEMPLATE-GAS AVAILABILITY'!R568)</f>
        <v>31.734553956834532</v>
      </c>
    </row>
    <row r="570" spans="1:29" ht="15.75" x14ac:dyDescent="0.25">
      <c r="A570" s="32">
        <v>58256</v>
      </c>
      <c r="B570" s="14">
        <f>CHOOSE(CONTROL!$C$42, 33.2384, 33.2384) * CHOOSE(CONTROL!$C$21, $C$9, 100%, $E$9)</f>
        <v>33.238399999999999</v>
      </c>
      <c r="C570" s="14">
        <f>CHOOSE(CONTROL!$C$42, 33.2464, 33.2464) * CHOOSE(CONTROL!$C$21, $C$9, 100%, $E$9)</f>
        <v>33.246400000000001</v>
      </c>
      <c r="D570" s="14">
        <f>CHOOSE(CONTROL!$C$42, 33.4503, 33.4503) * CHOOSE(CONTROL!$C$21, $C$9, 100%, $E$9)</f>
        <v>33.450299999999999</v>
      </c>
      <c r="E570" s="14">
        <f>CHOOSE(CONTROL!$C$42, 33.4818, 33.4818) * CHOOSE(CONTROL!$C$21, $C$9, 100%, $E$9)</f>
        <v>33.4818</v>
      </c>
      <c r="F570" s="14">
        <f>CHOOSE(CONTROL!$C$42, 33.2196, 33.2196)*CHOOSE(CONTROL!$C$21, $C$9, 100%, $E$9)</f>
        <v>33.2196</v>
      </c>
      <c r="G570" s="14">
        <f>CHOOSE(CONTROL!$C$42, 33.2353, 33.2353)*CHOOSE(CONTROL!$C$21, $C$9, 100%, $E$9)</f>
        <v>33.235300000000002</v>
      </c>
      <c r="H570" s="14">
        <f>CHOOSE(CONTROL!$C$42, 33.4704, 33.4704) * CHOOSE(CONTROL!$C$21, $C$9, 100%, $E$9)</f>
        <v>33.470399999999998</v>
      </c>
      <c r="I570" s="14">
        <f>CHOOSE(CONTROL!$C$42, 33.3479, 33.3479)* CHOOSE(CONTROL!$C$21, $C$9, 100%, $E$9)</f>
        <v>33.347900000000003</v>
      </c>
      <c r="J570" s="14">
        <f>CHOOSE(CONTROL!$C$42, 33.2126, 33.2126)* CHOOSE(CONTROL!$C$21, $C$9, 100%, $E$9)</f>
        <v>33.212600000000002</v>
      </c>
      <c r="K570" s="53">
        <f>CHOOSE(CONTROL!$C$42, 33.344, 33.344) * CHOOSE(CONTROL!$C$21, $C$9, 100%, $E$9)</f>
        <v>33.344000000000001</v>
      </c>
      <c r="L570" s="14">
        <f>CHOOSE(CONTROL!$C$42, 34.0574, 34.0574) * CHOOSE(CONTROL!$C$21, $C$9, 100%, $E$9)</f>
        <v>34.057400000000001</v>
      </c>
      <c r="M570" s="14">
        <f>CHOOSE(CONTROL!$C$42, 32.5397, 32.5397) * CHOOSE(CONTROL!$C$21, $C$9, 100%, $E$9)</f>
        <v>32.539700000000003</v>
      </c>
      <c r="N570" s="14">
        <f>CHOOSE(CONTROL!$C$42, 32.5552, 32.5552) * CHOOSE(CONTROL!$C$21, $C$9, 100%, $E$9)</f>
        <v>32.555199999999999</v>
      </c>
      <c r="O570" s="14">
        <f>CHOOSE(CONTROL!$C$42, 32.7923, 32.7923) * CHOOSE(CONTROL!$C$21, $C$9, 100%, $E$9)</f>
        <v>32.792299999999997</v>
      </c>
      <c r="P570" s="14">
        <f>CHOOSE(CONTROL!$C$42, 32.6703, 32.6703) * CHOOSE(CONTROL!$C$21, $C$9, 100%, $E$9)</f>
        <v>32.670299999999997</v>
      </c>
      <c r="Q570" s="14">
        <f>CHOOSE(CONTROL!$C$42, 33.387, 33.387) * CHOOSE(CONTROL!$C$21, $C$9, 100%, $E$9)</f>
        <v>33.387</v>
      </c>
      <c r="R570" s="14">
        <f>CHOOSE(CONTROL!$C$42, 34.0575, 34.0575) * CHOOSE(CONTROL!$C$21, $C$9, 100%, $E$9)</f>
        <v>34.057499999999997</v>
      </c>
      <c r="S570" s="14">
        <f>CHOOSE(CONTROL!$C$42, 31.9281, 31.9281) * CHOOSE(CONTROL!$C$21, $C$9, 100%, $E$9)</f>
        <v>31.928100000000001</v>
      </c>
      <c r="T57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70" s="57">
        <f>(1000*CHOOSE(CONTROL!$C$42, 695, 695)*CHOOSE(CONTROL!$C$42, 0.5599, 0.5599)*CHOOSE(CONTROL!$C$42, 30, 30))/1000000</f>
        <v>11.673914999999997</v>
      </c>
      <c r="V570" s="57">
        <f>(1000*CHOOSE(CONTROL!$C$42, 500, 500)*CHOOSE(CONTROL!$C$42, 0.275, 0.275)*CHOOSE(CONTROL!$C$42, 30, 30))/1000000</f>
        <v>4.125</v>
      </c>
      <c r="W570" s="57">
        <f>(1000*CHOOSE(CONTROL!$C$42, 0.1146, 0.1146)*CHOOSE(CONTROL!$C$42, 121.5, 121.5)*CHOOSE(CONTROL!$C$42, 30, 30))/1000000</f>
        <v>0.417717</v>
      </c>
      <c r="X570" s="57">
        <f>(30*0.1790888*245000/1000000)+(30*0.2374*100000/1000000)</f>
        <v>2.0285026799999999</v>
      </c>
      <c r="Y570" s="57"/>
      <c r="Z570" s="14"/>
      <c r="AA570" s="56"/>
      <c r="AB570" s="50">
        <f>(B570*194.205+C570*267.466+D570*133.845+E570*53.484+F570*40+G570*185+H570*0+I570*100+J570*300)/(194.205+267.466+133.845+53.484+0+40+185+100+300)</f>
        <v>33.274038923940346</v>
      </c>
      <c r="AC570" s="45">
        <f>(M570*'RAP TEMPLATE-GAS AVAILABILITY'!O569+N570*'RAP TEMPLATE-GAS AVAILABILITY'!P569+O570*'RAP TEMPLATE-GAS AVAILABILITY'!Q569+P570*'RAP TEMPLATE-GAS AVAILABILITY'!R569)/('RAP TEMPLATE-GAS AVAILABILITY'!O569+'RAP TEMPLATE-GAS AVAILABILITY'!P569+'RAP TEMPLATE-GAS AVAILABILITY'!Q569+'RAP TEMPLATE-GAS AVAILABILITY'!R569)</f>
        <v>32.632933093525182</v>
      </c>
    </row>
    <row r="571" spans="1:29" ht="15.75" x14ac:dyDescent="0.25">
      <c r="A571" s="32">
        <v>58287</v>
      </c>
      <c r="B571" s="14">
        <f>CHOOSE(CONTROL!$C$42, 32.6009, 32.6009) * CHOOSE(CONTROL!$C$21, $C$9, 100%, $E$9)</f>
        <v>32.600900000000003</v>
      </c>
      <c r="C571" s="14">
        <f>CHOOSE(CONTROL!$C$42, 32.609, 32.609) * CHOOSE(CONTROL!$C$21, $C$9, 100%, $E$9)</f>
        <v>32.609000000000002</v>
      </c>
      <c r="D571" s="14">
        <f>CHOOSE(CONTROL!$C$42, 32.8129, 32.8129) * CHOOSE(CONTROL!$C$21, $C$9, 100%, $E$9)</f>
        <v>32.812899999999999</v>
      </c>
      <c r="E571" s="14">
        <f>CHOOSE(CONTROL!$C$42, 32.8444, 32.8444) * CHOOSE(CONTROL!$C$21, $C$9, 100%, $E$9)</f>
        <v>32.8444</v>
      </c>
      <c r="F571" s="14">
        <f>CHOOSE(CONTROL!$C$42, 32.5826, 32.5826)*CHOOSE(CONTROL!$C$21, $C$9, 100%, $E$9)</f>
        <v>32.582599999999999</v>
      </c>
      <c r="G571" s="14">
        <f>CHOOSE(CONTROL!$C$42, 32.5985, 32.5985)*CHOOSE(CONTROL!$C$21, $C$9, 100%, $E$9)</f>
        <v>32.598500000000001</v>
      </c>
      <c r="H571" s="14">
        <f>CHOOSE(CONTROL!$C$42, 32.833, 32.833) * CHOOSE(CONTROL!$C$21, $C$9, 100%, $E$9)</f>
        <v>32.832999999999998</v>
      </c>
      <c r="I571" s="14">
        <f>CHOOSE(CONTROL!$C$42, 32.7085, 32.7085)* CHOOSE(CONTROL!$C$21, $C$9, 100%, $E$9)</f>
        <v>32.708500000000001</v>
      </c>
      <c r="J571" s="14">
        <f>CHOOSE(CONTROL!$C$42, 32.5756, 32.5756)* CHOOSE(CONTROL!$C$21, $C$9, 100%, $E$9)</f>
        <v>32.575600000000001</v>
      </c>
      <c r="K571" s="53">
        <f>CHOOSE(CONTROL!$C$42, 32.7046, 32.7046) * CHOOSE(CONTROL!$C$21, $C$9, 100%, $E$9)</f>
        <v>32.704599999999999</v>
      </c>
      <c r="L571" s="14">
        <f>CHOOSE(CONTROL!$C$42, 33.42, 33.42) * CHOOSE(CONTROL!$C$21, $C$9, 100%, $E$9)</f>
        <v>33.42</v>
      </c>
      <c r="M571" s="14">
        <f>CHOOSE(CONTROL!$C$42, 31.9158, 31.9158) * CHOOSE(CONTROL!$C$21, $C$9, 100%, $E$9)</f>
        <v>31.915800000000001</v>
      </c>
      <c r="N571" s="14">
        <f>CHOOSE(CONTROL!$C$42, 31.9314, 31.9314) * CHOOSE(CONTROL!$C$21, $C$9, 100%, $E$9)</f>
        <v>31.9314</v>
      </c>
      <c r="O571" s="14">
        <f>CHOOSE(CONTROL!$C$42, 32.168, 32.168) * CHOOSE(CONTROL!$C$21, $C$9, 100%, $E$9)</f>
        <v>32.167999999999999</v>
      </c>
      <c r="P571" s="14">
        <f>CHOOSE(CONTROL!$C$42, 32.044, 32.044) * CHOOSE(CONTROL!$C$21, $C$9, 100%, $E$9)</f>
        <v>32.043999999999997</v>
      </c>
      <c r="Q571" s="14">
        <f>CHOOSE(CONTROL!$C$42, 32.7627, 32.7627) * CHOOSE(CONTROL!$C$21, $C$9, 100%, $E$9)</f>
        <v>32.762700000000002</v>
      </c>
      <c r="R571" s="14">
        <f>CHOOSE(CONTROL!$C$42, 33.4316, 33.4316) * CHOOSE(CONTROL!$C$21, $C$9, 100%, $E$9)</f>
        <v>33.431600000000003</v>
      </c>
      <c r="S571" s="14">
        <f>CHOOSE(CONTROL!$C$42, 31.3156, 31.3156) * CHOOSE(CONTROL!$C$21, $C$9, 100%, $E$9)</f>
        <v>31.3156</v>
      </c>
      <c r="T57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71" s="57">
        <f>(1000*CHOOSE(CONTROL!$C$42, 695, 695)*CHOOSE(CONTROL!$C$42, 0.5599, 0.5599)*CHOOSE(CONTROL!$C$42, 31, 31))/1000000</f>
        <v>12.063045499999998</v>
      </c>
      <c r="V571" s="57">
        <f>(1000*CHOOSE(CONTROL!$C$42, 500, 500)*CHOOSE(CONTROL!$C$42, 0.275, 0.275)*CHOOSE(CONTROL!$C$42, 31, 31))/1000000</f>
        <v>4.2625000000000002</v>
      </c>
      <c r="W571" s="57">
        <f>(1000*CHOOSE(CONTROL!$C$42, 0.1146, 0.1146)*CHOOSE(CONTROL!$C$42, 121.5, 121.5)*CHOOSE(CONTROL!$C$42, 31, 31))/1000000</f>
        <v>0.43164089999999994</v>
      </c>
      <c r="X571" s="57">
        <f>(31*0.1790888*245000/1000000)+(31*0.2374*100000/1000000)</f>
        <v>2.0961194359999999</v>
      </c>
      <c r="Y571" s="57"/>
      <c r="Z571" s="14"/>
      <c r="AA571" s="56"/>
      <c r="AB571" s="50">
        <f>(B571*194.205+C571*267.466+D571*133.845+E571*53.484+F571*40+G571*185+H571*0+I571*100+J571*300)/(194.205+267.466+133.845+53.484+0+40+185+100+300)</f>
        <v>32.636660571899533</v>
      </c>
      <c r="AC571" s="45">
        <f>(M571*'RAP TEMPLATE-GAS AVAILABILITY'!O570+N571*'RAP TEMPLATE-GAS AVAILABILITY'!P570+O571*'RAP TEMPLATE-GAS AVAILABILITY'!Q570+P571*'RAP TEMPLATE-GAS AVAILABILITY'!R570)/('RAP TEMPLATE-GAS AVAILABILITY'!O570+'RAP TEMPLATE-GAS AVAILABILITY'!P570+'RAP TEMPLATE-GAS AVAILABILITY'!Q570+'RAP TEMPLATE-GAS AVAILABILITY'!R570)</f>
        <v>32.008598561151082</v>
      </c>
    </row>
    <row r="572" spans="1:29" ht="15.75" x14ac:dyDescent="0.25">
      <c r="A572" s="32">
        <v>58318</v>
      </c>
      <c r="B572" s="14">
        <f>CHOOSE(CONTROL!$C$42, 30.9912, 30.9912) * CHOOSE(CONTROL!$C$21, $C$9, 100%, $E$9)</f>
        <v>30.991199999999999</v>
      </c>
      <c r="C572" s="14">
        <f>CHOOSE(CONTROL!$C$42, 30.9992, 30.9992) * CHOOSE(CONTROL!$C$21, $C$9, 100%, $E$9)</f>
        <v>30.999199999999998</v>
      </c>
      <c r="D572" s="14">
        <f>CHOOSE(CONTROL!$C$42, 31.2032, 31.2032) * CHOOSE(CONTROL!$C$21, $C$9, 100%, $E$9)</f>
        <v>31.203199999999999</v>
      </c>
      <c r="E572" s="14">
        <f>CHOOSE(CONTROL!$C$42, 31.2346, 31.2346) * CHOOSE(CONTROL!$C$21, $C$9, 100%, $E$9)</f>
        <v>31.2346</v>
      </c>
      <c r="F572" s="14">
        <f>CHOOSE(CONTROL!$C$42, 30.9731, 30.9731)*CHOOSE(CONTROL!$C$21, $C$9, 100%, $E$9)</f>
        <v>30.973099999999999</v>
      </c>
      <c r="G572" s="14">
        <f>CHOOSE(CONTROL!$C$42, 30.989, 30.989)*CHOOSE(CONTROL!$C$21, $C$9, 100%, $E$9)</f>
        <v>30.989000000000001</v>
      </c>
      <c r="H572" s="14">
        <f>CHOOSE(CONTROL!$C$42, 31.2233, 31.2233) * CHOOSE(CONTROL!$C$21, $C$9, 100%, $E$9)</f>
        <v>31.223299999999998</v>
      </c>
      <c r="I572" s="14">
        <f>CHOOSE(CONTROL!$C$42, 31.0937, 31.0937)* CHOOSE(CONTROL!$C$21, $C$9, 100%, $E$9)</f>
        <v>31.093699999999998</v>
      </c>
      <c r="J572" s="14">
        <f>CHOOSE(CONTROL!$C$42, 30.9661, 30.9661)* CHOOSE(CONTROL!$C$21, $C$9, 100%, $E$9)</f>
        <v>30.966100000000001</v>
      </c>
      <c r="K572" s="53">
        <f>CHOOSE(CONTROL!$C$42, 31.0898, 31.0898) * CHOOSE(CONTROL!$C$21, $C$9, 100%, $E$9)</f>
        <v>31.0898</v>
      </c>
      <c r="L572" s="14">
        <f>CHOOSE(CONTROL!$C$42, 31.8103, 31.8103) * CHOOSE(CONTROL!$C$21, $C$9, 100%, $E$9)</f>
        <v>31.810300000000002</v>
      </c>
      <c r="M572" s="14">
        <f>CHOOSE(CONTROL!$C$42, 30.3393, 30.3393) * CHOOSE(CONTROL!$C$21, $C$9, 100%, $E$9)</f>
        <v>30.339300000000001</v>
      </c>
      <c r="N572" s="14">
        <f>CHOOSE(CONTROL!$C$42, 30.3549, 30.3549) * CHOOSE(CONTROL!$C$21, $C$9, 100%, $E$9)</f>
        <v>30.354900000000001</v>
      </c>
      <c r="O572" s="14">
        <f>CHOOSE(CONTROL!$C$42, 30.5912, 30.5912) * CHOOSE(CONTROL!$C$21, $C$9, 100%, $E$9)</f>
        <v>30.591200000000001</v>
      </c>
      <c r="P572" s="14">
        <f>CHOOSE(CONTROL!$C$42, 30.4624, 30.4624) * CHOOSE(CONTROL!$C$21, $C$9, 100%, $E$9)</f>
        <v>30.462399999999999</v>
      </c>
      <c r="Q572" s="14">
        <f>CHOOSE(CONTROL!$C$42, 31.1859, 31.1859) * CHOOSE(CONTROL!$C$21, $C$9, 100%, $E$9)</f>
        <v>31.1859</v>
      </c>
      <c r="R572" s="14">
        <f>CHOOSE(CONTROL!$C$42, 31.8509, 31.8509) * CHOOSE(CONTROL!$C$21, $C$9, 100%, $E$9)</f>
        <v>31.850899999999999</v>
      </c>
      <c r="S572" s="14">
        <f>CHOOSE(CONTROL!$C$42, 29.7688, 29.7688) * CHOOSE(CONTROL!$C$21, $C$9, 100%, $E$9)</f>
        <v>29.768799999999999</v>
      </c>
      <c r="T57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72" s="57">
        <f>(1000*CHOOSE(CONTROL!$C$42, 695, 695)*CHOOSE(CONTROL!$C$42, 0.5599, 0.5599)*CHOOSE(CONTROL!$C$42, 31, 31))/1000000</f>
        <v>12.063045499999998</v>
      </c>
      <c r="V572" s="57">
        <f>(1000*CHOOSE(CONTROL!$C$42, 500, 500)*CHOOSE(CONTROL!$C$42, 0.275, 0.275)*CHOOSE(CONTROL!$C$42, 31, 31))/1000000</f>
        <v>4.2625000000000002</v>
      </c>
      <c r="W572" s="57">
        <f>(1000*CHOOSE(CONTROL!$C$42, 0.1146, 0.1146)*CHOOSE(CONTROL!$C$42, 121.5, 121.5)*CHOOSE(CONTROL!$C$42, 31, 31))/1000000</f>
        <v>0.43164089999999994</v>
      </c>
      <c r="X572" s="57">
        <f>(31*0.1790888*245000/1000000)+(31*0.2374*100000/1000000)</f>
        <v>2.0961194359999999</v>
      </c>
      <c r="Y572" s="57"/>
      <c r="Z572" s="14"/>
      <c r="AA572" s="56"/>
      <c r="AB572" s="50">
        <f>(B572*194.205+C572*267.466+D572*133.845+E572*53.484+F572*40+G572*185+H572*0+I572*100+J572*300)/(194.205+267.466+133.845+53.484+0+40+185+100+300)</f>
        <v>31.026617483202507</v>
      </c>
      <c r="AC572" s="45">
        <f>(M572*'RAP TEMPLATE-GAS AVAILABILITY'!O571+N572*'RAP TEMPLATE-GAS AVAILABILITY'!P571+O572*'RAP TEMPLATE-GAS AVAILABILITY'!Q571+P572*'RAP TEMPLATE-GAS AVAILABILITY'!R571)/('RAP TEMPLATE-GAS AVAILABILITY'!O571+'RAP TEMPLATE-GAS AVAILABILITY'!P571+'RAP TEMPLATE-GAS AVAILABILITY'!Q571+'RAP TEMPLATE-GAS AVAILABILITY'!R571)</f>
        <v>30.431280575539564</v>
      </c>
    </row>
    <row r="573" spans="1:29" ht="15.75" x14ac:dyDescent="0.25">
      <c r="A573" s="32">
        <v>58348</v>
      </c>
      <c r="B573" s="14">
        <f>CHOOSE(CONTROL!$C$42, 29.024, 29.024) * CHOOSE(CONTROL!$C$21, $C$9, 100%, $E$9)</f>
        <v>29.024000000000001</v>
      </c>
      <c r="C573" s="14">
        <f>CHOOSE(CONTROL!$C$42, 29.0321, 29.0321) * CHOOSE(CONTROL!$C$21, $C$9, 100%, $E$9)</f>
        <v>29.0321</v>
      </c>
      <c r="D573" s="14">
        <f>CHOOSE(CONTROL!$C$42, 29.236, 29.236) * CHOOSE(CONTROL!$C$21, $C$9, 100%, $E$9)</f>
        <v>29.236000000000001</v>
      </c>
      <c r="E573" s="14">
        <f>CHOOSE(CONTROL!$C$42, 29.2675, 29.2675) * CHOOSE(CONTROL!$C$21, $C$9, 100%, $E$9)</f>
        <v>29.267499999999998</v>
      </c>
      <c r="F573" s="14">
        <f>CHOOSE(CONTROL!$C$42, 29.0059, 29.0059)*CHOOSE(CONTROL!$C$21, $C$9, 100%, $E$9)</f>
        <v>29.0059</v>
      </c>
      <c r="G573" s="14">
        <f>CHOOSE(CONTROL!$C$42, 29.0219, 29.0219)*CHOOSE(CONTROL!$C$21, $C$9, 100%, $E$9)</f>
        <v>29.021899999999999</v>
      </c>
      <c r="H573" s="14">
        <f>CHOOSE(CONTROL!$C$42, 29.2561, 29.2561) * CHOOSE(CONTROL!$C$21, $C$9, 100%, $E$9)</f>
        <v>29.2561</v>
      </c>
      <c r="I573" s="14">
        <f>CHOOSE(CONTROL!$C$42, 29.1204, 29.1204)* CHOOSE(CONTROL!$C$21, $C$9, 100%, $E$9)</f>
        <v>29.1204</v>
      </c>
      <c r="J573" s="14">
        <f>CHOOSE(CONTROL!$C$42, 28.9989, 28.9989)* CHOOSE(CONTROL!$C$21, $C$9, 100%, $E$9)</f>
        <v>28.998899999999999</v>
      </c>
      <c r="K573" s="53">
        <f>CHOOSE(CONTROL!$C$42, 29.1165, 29.1165) * CHOOSE(CONTROL!$C$21, $C$9, 100%, $E$9)</f>
        <v>29.116499999999998</v>
      </c>
      <c r="L573" s="14">
        <f>CHOOSE(CONTROL!$C$42, 29.8431, 29.8431) * CHOOSE(CONTROL!$C$21, $C$9, 100%, $E$9)</f>
        <v>29.8431</v>
      </c>
      <c r="M573" s="14">
        <f>CHOOSE(CONTROL!$C$42, 28.4125, 28.4125) * CHOOSE(CONTROL!$C$21, $C$9, 100%, $E$9)</f>
        <v>28.412500000000001</v>
      </c>
      <c r="N573" s="14">
        <f>CHOOSE(CONTROL!$C$42, 28.4281, 28.4281) * CHOOSE(CONTROL!$C$21, $C$9, 100%, $E$9)</f>
        <v>28.428100000000001</v>
      </c>
      <c r="O573" s="14">
        <f>CHOOSE(CONTROL!$C$42, 28.6643, 28.6643) * CHOOSE(CONTROL!$C$21, $C$9, 100%, $E$9)</f>
        <v>28.664300000000001</v>
      </c>
      <c r="P573" s="14">
        <f>CHOOSE(CONTROL!$C$42, 28.5297, 28.5297) * CHOOSE(CONTROL!$C$21, $C$9, 100%, $E$9)</f>
        <v>28.529699999999998</v>
      </c>
      <c r="Q573" s="14">
        <f>CHOOSE(CONTROL!$C$42, 29.259, 29.259) * CHOOSE(CONTROL!$C$21, $C$9, 100%, $E$9)</f>
        <v>29.259</v>
      </c>
      <c r="R573" s="14">
        <f>CHOOSE(CONTROL!$C$42, 29.9192, 29.9192) * CHOOSE(CONTROL!$C$21, $C$9, 100%, $E$9)</f>
        <v>29.9192</v>
      </c>
      <c r="S573" s="14">
        <f>CHOOSE(CONTROL!$C$42, 27.8786, 27.8786) * CHOOSE(CONTROL!$C$21, $C$9, 100%, $E$9)</f>
        <v>27.878599999999999</v>
      </c>
      <c r="T57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73" s="57">
        <f>(1000*CHOOSE(CONTROL!$C$42, 695, 695)*CHOOSE(CONTROL!$C$42, 0.5599, 0.5599)*CHOOSE(CONTROL!$C$42, 30, 30))/1000000</f>
        <v>11.673914999999997</v>
      </c>
      <c r="V573" s="57">
        <f>(1000*CHOOSE(CONTROL!$C$42, 500, 500)*CHOOSE(CONTROL!$C$42, 0.275, 0.275)*CHOOSE(CONTROL!$C$42, 30, 30))/1000000</f>
        <v>4.125</v>
      </c>
      <c r="W573" s="57">
        <f>(1000*CHOOSE(CONTROL!$C$42, 0.1146, 0.1146)*CHOOSE(CONTROL!$C$42, 121.5, 121.5)*CHOOSE(CONTROL!$C$42, 30, 30))/1000000</f>
        <v>0.417717</v>
      </c>
      <c r="X573" s="57">
        <f>(30*0.1790888*245000/1000000)+(30*0.2374*100000/1000000)</f>
        <v>2.0285026799999999</v>
      </c>
      <c r="Y573" s="57"/>
      <c r="Z573" s="14"/>
      <c r="AA573" s="56"/>
      <c r="AB573" s="50">
        <f>(B573*194.205+C573*267.466+D573*133.845+E573*53.484+F573*40+G573*185+H573*0+I573*100+J573*300)/(194.205+267.466+133.845+53.484+0+40+185+100+300)</f>
        <v>29.058978389795922</v>
      </c>
      <c r="AC573" s="45">
        <f>(M573*'RAP TEMPLATE-GAS AVAILABILITY'!O572+N573*'RAP TEMPLATE-GAS AVAILABILITY'!P572+O573*'RAP TEMPLATE-GAS AVAILABILITY'!Q572+P573*'RAP TEMPLATE-GAS AVAILABILITY'!R572)/('RAP TEMPLATE-GAS AVAILABILITY'!O572+'RAP TEMPLATE-GAS AVAILABILITY'!P572+'RAP TEMPLATE-GAS AVAILABILITY'!Q572+'RAP TEMPLATE-GAS AVAILABILITY'!R572)</f>
        <v>28.503603597122307</v>
      </c>
    </row>
    <row r="574" spans="1:29" ht="15.75" x14ac:dyDescent="0.25">
      <c r="A574" s="32">
        <v>58379</v>
      </c>
      <c r="B574" s="14">
        <f>CHOOSE(CONTROL!$C$42, 28.4332, 28.4332) * CHOOSE(CONTROL!$C$21, $C$9, 100%, $E$9)</f>
        <v>28.433199999999999</v>
      </c>
      <c r="C574" s="14">
        <f>CHOOSE(CONTROL!$C$42, 28.4385, 28.4385) * CHOOSE(CONTROL!$C$21, $C$9, 100%, $E$9)</f>
        <v>28.438500000000001</v>
      </c>
      <c r="D574" s="14">
        <f>CHOOSE(CONTROL!$C$42, 28.6474, 28.6474) * CHOOSE(CONTROL!$C$21, $C$9, 100%, $E$9)</f>
        <v>28.647400000000001</v>
      </c>
      <c r="E574" s="14">
        <f>CHOOSE(CONTROL!$C$42, 28.6766, 28.6766) * CHOOSE(CONTROL!$C$21, $C$9, 100%, $E$9)</f>
        <v>28.676600000000001</v>
      </c>
      <c r="F574" s="14">
        <f>CHOOSE(CONTROL!$C$42, 28.4172, 28.4172)*CHOOSE(CONTROL!$C$21, $C$9, 100%, $E$9)</f>
        <v>28.417200000000001</v>
      </c>
      <c r="G574" s="14">
        <f>CHOOSE(CONTROL!$C$42, 28.4329, 28.4329)*CHOOSE(CONTROL!$C$21, $C$9, 100%, $E$9)</f>
        <v>28.4329</v>
      </c>
      <c r="H574" s="14">
        <f>CHOOSE(CONTROL!$C$42, 28.667, 28.667) * CHOOSE(CONTROL!$C$21, $C$9, 100%, $E$9)</f>
        <v>28.667000000000002</v>
      </c>
      <c r="I574" s="14">
        <f>CHOOSE(CONTROL!$C$42, 28.5295, 28.5295)* CHOOSE(CONTROL!$C$21, $C$9, 100%, $E$9)</f>
        <v>28.529499999999999</v>
      </c>
      <c r="J574" s="14">
        <f>CHOOSE(CONTROL!$C$42, 28.4102, 28.4102)* CHOOSE(CONTROL!$C$21, $C$9, 100%, $E$9)</f>
        <v>28.4102</v>
      </c>
      <c r="K574" s="53">
        <f>CHOOSE(CONTROL!$C$42, 28.5256, 28.5256) * CHOOSE(CONTROL!$C$21, $C$9, 100%, $E$9)</f>
        <v>28.525600000000001</v>
      </c>
      <c r="L574" s="14">
        <f>CHOOSE(CONTROL!$C$42, 29.254, 29.254) * CHOOSE(CONTROL!$C$21, $C$9, 100%, $E$9)</f>
        <v>29.254000000000001</v>
      </c>
      <c r="M574" s="14">
        <f>CHOOSE(CONTROL!$C$42, 27.8358, 27.8358) * CHOOSE(CONTROL!$C$21, $C$9, 100%, $E$9)</f>
        <v>27.835799999999999</v>
      </c>
      <c r="N574" s="14">
        <f>CHOOSE(CONTROL!$C$42, 27.8511, 27.8511) * CHOOSE(CONTROL!$C$21, $C$9, 100%, $E$9)</f>
        <v>27.851099999999999</v>
      </c>
      <c r="O574" s="14">
        <f>CHOOSE(CONTROL!$C$42, 28.0874, 28.0874) * CHOOSE(CONTROL!$C$21, $C$9, 100%, $E$9)</f>
        <v>28.087399999999999</v>
      </c>
      <c r="P574" s="14">
        <f>CHOOSE(CONTROL!$C$42, 27.9509, 27.9509) * CHOOSE(CONTROL!$C$21, $C$9, 100%, $E$9)</f>
        <v>27.950900000000001</v>
      </c>
      <c r="Q574" s="14">
        <f>CHOOSE(CONTROL!$C$42, 28.6821, 28.6821) * CHOOSE(CONTROL!$C$21, $C$9, 100%, $E$9)</f>
        <v>28.682099999999998</v>
      </c>
      <c r="R574" s="14">
        <f>CHOOSE(CONTROL!$C$42, 29.3408, 29.3408) * CHOOSE(CONTROL!$C$21, $C$9, 100%, $E$9)</f>
        <v>29.340800000000002</v>
      </c>
      <c r="S574" s="14">
        <f>CHOOSE(CONTROL!$C$42, 27.3125, 27.3125) * CHOOSE(CONTROL!$C$21, $C$9, 100%, $E$9)</f>
        <v>27.3125</v>
      </c>
      <c r="T57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74" s="57">
        <f>(1000*CHOOSE(CONTROL!$C$42, 695, 695)*CHOOSE(CONTROL!$C$42, 0.5599, 0.5599)*CHOOSE(CONTROL!$C$42, 31, 31))/1000000</f>
        <v>12.063045499999998</v>
      </c>
      <c r="V574" s="57">
        <f>(1000*CHOOSE(CONTROL!$C$42, 500, 500)*CHOOSE(CONTROL!$C$42, 0.275, 0.275)*CHOOSE(CONTROL!$C$42, 31, 31))/1000000</f>
        <v>4.2625000000000002</v>
      </c>
      <c r="W574" s="57">
        <f>(1000*CHOOSE(CONTROL!$C$42, 0.1146, 0.1146)*CHOOSE(CONTROL!$C$42, 121.5, 121.5)*CHOOSE(CONTROL!$C$42, 31, 31))/1000000</f>
        <v>0.43164089999999994</v>
      </c>
      <c r="X574" s="57">
        <f>(31*0.1790888*245000/1000000)+(31*0.2374*100000/1000000)</f>
        <v>2.0961194359999999</v>
      </c>
      <c r="Y574" s="57"/>
      <c r="Z574" s="14"/>
      <c r="AA574" s="56"/>
      <c r="AB574" s="50">
        <f>(B574*131.881+C574*277.167+D574*79.08+E574*125.872+F574*40+G574*185+H574*0+I574*100+J574*300)/(131.881+277.167+79.08+125.872+0+40+185+100+300)</f>
        <v>28.474426526150122</v>
      </c>
      <c r="AC574" s="45">
        <f>(M574*'RAP TEMPLATE-GAS AVAILABILITY'!O573+N574*'RAP TEMPLATE-GAS AVAILABILITY'!P573+O574*'RAP TEMPLATE-GAS AVAILABILITY'!Q573+P574*'RAP TEMPLATE-GAS AVAILABILITY'!R573)/('RAP TEMPLATE-GAS AVAILABILITY'!O573+'RAP TEMPLATE-GAS AVAILABILITY'!P573+'RAP TEMPLATE-GAS AVAILABILITY'!Q573+'RAP TEMPLATE-GAS AVAILABILITY'!R573)</f>
        <v>27.926476258992807</v>
      </c>
    </row>
    <row r="575" spans="1:29" ht="15.75" x14ac:dyDescent="0.25">
      <c r="A575" s="32">
        <v>58409</v>
      </c>
      <c r="B575" s="14">
        <f>CHOOSE(CONTROL!$C$42, 29.1816, 29.1816) * CHOOSE(CONTROL!$C$21, $C$9, 100%, $E$9)</f>
        <v>29.1816</v>
      </c>
      <c r="C575" s="14">
        <f>CHOOSE(CONTROL!$C$42, 29.1867, 29.1867) * CHOOSE(CONTROL!$C$21, $C$9, 100%, $E$9)</f>
        <v>29.186699999999998</v>
      </c>
      <c r="D575" s="14">
        <f>CHOOSE(CONTROL!$C$42, 29.2505, 29.2505) * CHOOSE(CONTROL!$C$21, $C$9, 100%, $E$9)</f>
        <v>29.250499999999999</v>
      </c>
      <c r="E575" s="14">
        <f>CHOOSE(CONTROL!$C$42, 29.2846, 29.2846) * CHOOSE(CONTROL!$C$21, $C$9, 100%, $E$9)</f>
        <v>29.284600000000001</v>
      </c>
      <c r="F575" s="14">
        <f>CHOOSE(CONTROL!$C$42, 29.184, 29.184)*CHOOSE(CONTROL!$C$21, $C$9, 100%, $E$9)</f>
        <v>29.184000000000001</v>
      </c>
      <c r="G575" s="14">
        <f>CHOOSE(CONTROL!$C$42, 29.2, 29.2)*CHOOSE(CONTROL!$C$21, $C$9, 100%, $E$9)</f>
        <v>29.2</v>
      </c>
      <c r="H575" s="14">
        <f>CHOOSE(CONTROL!$C$42, 29.2738, 29.2738) * CHOOSE(CONTROL!$C$21, $C$9, 100%, $E$9)</f>
        <v>29.273800000000001</v>
      </c>
      <c r="I575" s="14">
        <f>CHOOSE(CONTROL!$C$42, 29.2858, 29.2858)* CHOOSE(CONTROL!$C$21, $C$9, 100%, $E$9)</f>
        <v>29.285799999999998</v>
      </c>
      <c r="J575" s="14">
        <f>CHOOSE(CONTROL!$C$42, 29.177, 29.177)* CHOOSE(CONTROL!$C$21, $C$9, 100%, $E$9)</f>
        <v>29.177</v>
      </c>
      <c r="K575" s="53">
        <f>CHOOSE(CONTROL!$C$42, 29.2819, 29.2819) * CHOOSE(CONTROL!$C$21, $C$9, 100%, $E$9)</f>
        <v>29.2819</v>
      </c>
      <c r="L575" s="14">
        <f>CHOOSE(CONTROL!$C$42, 29.8608, 29.8608) * CHOOSE(CONTROL!$C$21, $C$9, 100%, $E$9)</f>
        <v>29.860800000000001</v>
      </c>
      <c r="M575" s="14">
        <f>CHOOSE(CONTROL!$C$42, 28.5869, 28.5869) * CHOOSE(CONTROL!$C$21, $C$9, 100%, $E$9)</f>
        <v>28.5869</v>
      </c>
      <c r="N575" s="14">
        <f>CHOOSE(CONTROL!$C$42, 28.6025, 28.6025) * CHOOSE(CONTROL!$C$21, $C$9, 100%, $E$9)</f>
        <v>28.602499999999999</v>
      </c>
      <c r="O575" s="14">
        <f>CHOOSE(CONTROL!$C$42, 28.6817, 28.6817) * CHOOSE(CONTROL!$C$21, $C$9, 100%, $E$9)</f>
        <v>28.681699999999999</v>
      </c>
      <c r="P575" s="14">
        <f>CHOOSE(CONTROL!$C$42, 28.6917, 28.6917) * CHOOSE(CONTROL!$C$21, $C$9, 100%, $E$9)</f>
        <v>28.691700000000001</v>
      </c>
      <c r="Q575" s="14">
        <f>CHOOSE(CONTROL!$C$42, 29.2764, 29.2764) * CHOOSE(CONTROL!$C$21, $C$9, 100%, $E$9)</f>
        <v>29.276399999999999</v>
      </c>
      <c r="R575" s="14">
        <f>CHOOSE(CONTROL!$C$42, 29.9366, 29.9366) * CHOOSE(CONTROL!$C$21, $C$9, 100%, $E$9)</f>
        <v>29.936599999999999</v>
      </c>
      <c r="S575" s="14">
        <f>CHOOSE(CONTROL!$C$42, 28.0321, 28.0321) * CHOOSE(CONTROL!$C$21, $C$9, 100%, $E$9)</f>
        <v>28.0321</v>
      </c>
      <c r="T57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75" s="57">
        <f>(1000*CHOOSE(CONTROL!$C$42, 695, 695)*CHOOSE(CONTROL!$C$42, 0.5599, 0.5599)*CHOOSE(CONTROL!$C$42, 30, 30))/1000000</f>
        <v>11.673914999999997</v>
      </c>
      <c r="V575" s="57">
        <f>(1000*CHOOSE(CONTROL!$C$42, 500, 500)*CHOOSE(CONTROL!$C$42, 0.275, 0.275)*CHOOSE(CONTROL!$C$42, 30, 30))/1000000</f>
        <v>4.125</v>
      </c>
      <c r="W575" s="57">
        <f>(1000*CHOOSE(CONTROL!$C$42, 0.1146, 0.1146)*CHOOSE(CONTROL!$C$42, 121.5, 121.5)*CHOOSE(CONTROL!$C$42, 30, 30))/1000000</f>
        <v>0.417717</v>
      </c>
      <c r="X575" s="57">
        <f>(30*0.1790888*100000/1000000)+(30*0.2374*100000/1000000)</f>
        <v>1.2494664</v>
      </c>
      <c r="Y575" s="57"/>
      <c r="Z575" s="14"/>
      <c r="AA575" s="56"/>
      <c r="AB575" s="50">
        <f>(B575*122.58+C575*297.941+D575*89.177+E575*40.302+F575*40+G575*160+H575*0+I575*100+J575*300)/(122.58+297.941+89.177+40.302+0+40+160+100+300)</f>
        <v>29.202378174260868</v>
      </c>
      <c r="AC575" s="45">
        <f>(M575*'RAP TEMPLATE-GAS AVAILABILITY'!O574+N575*'RAP TEMPLATE-GAS AVAILABILITY'!P574+O575*'RAP TEMPLATE-GAS AVAILABILITY'!Q574+P575*'RAP TEMPLATE-GAS AVAILABILITY'!R574)/('RAP TEMPLATE-GAS AVAILABILITY'!O574+'RAP TEMPLATE-GAS AVAILABILITY'!P574+'RAP TEMPLATE-GAS AVAILABILITY'!Q574+'RAP TEMPLATE-GAS AVAILABILITY'!R574)</f>
        <v>28.645843884892084</v>
      </c>
    </row>
    <row r="576" spans="1:29" ht="15.75" x14ac:dyDescent="0.25">
      <c r="A576" s="32">
        <v>58440</v>
      </c>
      <c r="B576" s="14">
        <f>CHOOSE(CONTROL!$C$42, 31.1705, 31.1705) * CHOOSE(CONTROL!$C$21, $C$9, 100%, $E$9)</f>
        <v>31.170500000000001</v>
      </c>
      <c r="C576" s="14">
        <f>CHOOSE(CONTROL!$C$42, 31.1756, 31.1756) * CHOOSE(CONTROL!$C$21, $C$9, 100%, $E$9)</f>
        <v>31.175599999999999</v>
      </c>
      <c r="D576" s="14">
        <f>CHOOSE(CONTROL!$C$42, 31.2394, 31.2394) * CHOOSE(CONTROL!$C$21, $C$9, 100%, $E$9)</f>
        <v>31.2394</v>
      </c>
      <c r="E576" s="14">
        <f>CHOOSE(CONTROL!$C$42, 31.2735, 31.2735) * CHOOSE(CONTROL!$C$21, $C$9, 100%, $E$9)</f>
        <v>31.273499999999999</v>
      </c>
      <c r="F576" s="14">
        <f>CHOOSE(CONTROL!$C$42, 31.1752, 31.1752)*CHOOSE(CONTROL!$C$21, $C$9, 100%, $E$9)</f>
        <v>31.1752</v>
      </c>
      <c r="G576" s="14">
        <f>CHOOSE(CONTROL!$C$42, 31.1918, 31.1918)*CHOOSE(CONTROL!$C$21, $C$9, 100%, $E$9)</f>
        <v>31.191800000000001</v>
      </c>
      <c r="H576" s="14">
        <f>CHOOSE(CONTROL!$C$42, 31.2627, 31.2627) * CHOOSE(CONTROL!$C$21, $C$9, 100%, $E$9)</f>
        <v>31.262699999999999</v>
      </c>
      <c r="I576" s="14">
        <f>CHOOSE(CONTROL!$C$42, 31.281, 31.281)* CHOOSE(CONTROL!$C$21, $C$9, 100%, $E$9)</f>
        <v>31.280999999999999</v>
      </c>
      <c r="J576" s="14">
        <f>CHOOSE(CONTROL!$C$42, 31.1682, 31.1682)* CHOOSE(CONTROL!$C$21, $C$9, 100%, $E$9)</f>
        <v>31.168199999999999</v>
      </c>
      <c r="K576" s="53">
        <f>CHOOSE(CONTROL!$C$42, 31.2771, 31.2771) * CHOOSE(CONTROL!$C$21, $C$9, 100%, $E$9)</f>
        <v>31.277100000000001</v>
      </c>
      <c r="L576" s="14">
        <f>CHOOSE(CONTROL!$C$42, 31.8497, 31.8497) * CHOOSE(CONTROL!$C$21, $C$9, 100%, $E$9)</f>
        <v>31.849699999999999</v>
      </c>
      <c r="M576" s="14">
        <f>CHOOSE(CONTROL!$C$42, 30.5372, 30.5372) * CHOOSE(CONTROL!$C$21, $C$9, 100%, $E$9)</f>
        <v>30.537199999999999</v>
      </c>
      <c r="N576" s="14">
        <f>CHOOSE(CONTROL!$C$42, 30.5535, 30.5535) * CHOOSE(CONTROL!$C$21, $C$9, 100%, $E$9)</f>
        <v>30.5535</v>
      </c>
      <c r="O576" s="14">
        <f>CHOOSE(CONTROL!$C$42, 30.6298, 30.6298) * CHOOSE(CONTROL!$C$21, $C$9, 100%, $E$9)</f>
        <v>30.629799999999999</v>
      </c>
      <c r="P576" s="14">
        <f>CHOOSE(CONTROL!$C$42, 30.6459, 30.6459) * CHOOSE(CONTROL!$C$21, $C$9, 100%, $E$9)</f>
        <v>30.645900000000001</v>
      </c>
      <c r="Q576" s="14">
        <f>CHOOSE(CONTROL!$C$42, 31.2245, 31.2245) * CHOOSE(CONTROL!$C$21, $C$9, 100%, $E$9)</f>
        <v>31.224499999999999</v>
      </c>
      <c r="R576" s="14">
        <f>CHOOSE(CONTROL!$C$42, 31.8896, 31.8896) * CHOOSE(CONTROL!$C$21, $C$9, 100%, $E$9)</f>
        <v>31.889600000000002</v>
      </c>
      <c r="S576" s="14">
        <f>CHOOSE(CONTROL!$C$42, 29.9432, 29.9432) * CHOOSE(CONTROL!$C$21, $C$9, 100%, $E$9)</f>
        <v>29.943200000000001</v>
      </c>
      <c r="T57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76" s="57">
        <f>(1000*CHOOSE(CONTROL!$C$42, 695, 695)*CHOOSE(CONTROL!$C$42, 0.5599, 0.5599)*CHOOSE(CONTROL!$C$42, 31, 31))/1000000</f>
        <v>12.063045499999998</v>
      </c>
      <c r="V576" s="57">
        <f>(1000*CHOOSE(CONTROL!$C$42, 500, 500)*CHOOSE(CONTROL!$C$42, 0.275, 0.275)*CHOOSE(CONTROL!$C$42, 31, 31))/1000000</f>
        <v>4.2625000000000002</v>
      </c>
      <c r="W576" s="57">
        <f>(1000*CHOOSE(CONTROL!$C$42, 0.1146, 0.1146)*CHOOSE(CONTROL!$C$42, 121.5, 121.5)*CHOOSE(CONTROL!$C$42, 31, 31))/1000000</f>
        <v>0.43164089999999994</v>
      </c>
      <c r="X576" s="57">
        <f>(31*0.1790888*100000/1000000)+(31*0.2374*100000/1000000)</f>
        <v>1.2911152800000001</v>
      </c>
      <c r="Y576" s="57"/>
      <c r="Z576" s="14"/>
      <c r="AA576" s="56"/>
      <c r="AB576" s="50">
        <f>(B576*122.58+C576*297.941+D576*89.177+E576*40.302+F576*40+G576*160+H576*0+I576*100+J576*300)/(122.58+297.941+89.177+40.302+0+40+160+100+300)</f>
        <v>31.192909478608691</v>
      </c>
      <c r="AC576" s="45">
        <f>(M576*'RAP TEMPLATE-GAS AVAILABILITY'!O575+N576*'RAP TEMPLATE-GAS AVAILABILITY'!P575+O576*'RAP TEMPLATE-GAS AVAILABILITY'!Q575+P576*'RAP TEMPLATE-GAS AVAILABILITY'!R575)/('RAP TEMPLATE-GAS AVAILABILITY'!O575+'RAP TEMPLATE-GAS AVAILABILITY'!P575+'RAP TEMPLATE-GAS AVAILABILITY'!Q575+'RAP TEMPLATE-GAS AVAILABILITY'!R575)</f>
        <v>30.595748201438852</v>
      </c>
    </row>
    <row r="577" spans="1:29" ht="15.75" x14ac:dyDescent="0.25">
      <c r="A577" s="32">
        <v>58471</v>
      </c>
      <c r="B577" s="14">
        <f>CHOOSE(CONTROL!$C$42, 33.723, 33.723) * CHOOSE(CONTROL!$C$21, $C$9, 100%, $E$9)</f>
        <v>33.722999999999999</v>
      </c>
      <c r="C577" s="14">
        <f>CHOOSE(CONTROL!$C$42, 33.7281, 33.7281) * CHOOSE(CONTROL!$C$21, $C$9, 100%, $E$9)</f>
        <v>33.728099999999998</v>
      </c>
      <c r="D577" s="14">
        <f>CHOOSE(CONTROL!$C$42, 33.7945, 33.7945) * CHOOSE(CONTROL!$C$21, $C$9, 100%, $E$9)</f>
        <v>33.794499999999999</v>
      </c>
      <c r="E577" s="14">
        <f>CHOOSE(CONTROL!$C$42, 33.8286, 33.8286) * CHOOSE(CONTROL!$C$21, $C$9, 100%, $E$9)</f>
        <v>33.828600000000002</v>
      </c>
      <c r="F577" s="14">
        <f>CHOOSE(CONTROL!$C$42, 33.7104, 33.7104)*CHOOSE(CONTROL!$C$21, $C$9, 100%, $E$9)</f>
        <v>33.7104</v>
      </c>
      <c r="G577" s="14">
        <f>CHOOSE(CONTROL!$C$42, 33.7258, 33.7258)*CHOOSE(CONTROL!$C$21, $C$9, 100%, $E$9)</f>
        <v>33.7258</v>
      </c>
      <c r="H577" s="14">
        <f>CHOOSE(CONTROL!$C$42, 33.8178, 33.8178) * CHOOSE(CONTROL!$C$21, $C$9, 100%, $E$9)</f>
        <v>33.817799999999998</v>
      </c>
      <c r="I577" s="14">
        <f>CHOOSE(CONTROL!$C$42, 33.8363, 33.8363)* CHOOSE(CONTROL!$C$21, $C$9, 100%, $E$9)</f>
        <v>33.836300000000001</v>
      </c>
      <c r="J577" s="14">
        <f>CHOOSE(CONTROL!$C$42, 33.7034, 33.7034)* CHOOSE(CONTROL!$C$21, $C$9, 100%, $E$9)</f>
        <v>33.703400000000002</v>
      </c>
      <c r="K577" s="53">
        <f>CHOOSE(CONTROL!$C$42, 33.8324, 33.8324) * CHOOSE(CONTROL!$C$21, $C$9, 100%, $E$9)</f>
        <v>33.8324</v>
      </c>
      <c r="L577" s="14">
        <f>CHOOSE(CONTROL!$C$42, 34.4048, 34.4048) * CHOOSE(CONTROL!$C$21, $C$9, 100%, $E$9)</f>
        <v>34.404800000000002</v>
      </c>
      <c r="M577" s="14">
        <f>CHOOSE(CONTROL!$C$42, 33.0205, 33.0205) * CHOOSE(CONTROL!$C$21, $C$9, 100%, $E$9)</f>
        <v>33.020499999999998</v>
      </c>
      <c r="N577" s="14">
        <f>CHOOSE(CONTROL!$C$42, 33.0356, 33.0356) * CHOOSE(CONTROL!$C$21, $C$9, 100%, $E$9)</f>
        <v>33.035600000000002</v>
      </c>
      <c r="O577" s="14">
        <f>CHOOSE(CONTROL!$C$42, 33.1326, 33.1326) * CHOOSE(CONTROL!$C$21, $C$9, 100%, $E$9)</f>
        <v>33.132599999999996</v>
      </c>
      <c r="P577" s="14">
        <f>CHOOSE(CONTROL!$C$42, 33.1486, 33.1486) * CHOOSE(CONTROL!$C$21, $C$9, 100%, $E$9)</f>
        <v>33.148600000000002</v>
      </c>
      <c r="Q577" s="14">
        <f>CHOOSE(CONTROL!$C$42, 33.7273, 33.7273) * CHOOSE(CONTROL!$C$21, $C$9, 100%, $E$9)</f>
        <v>33.7273</v>
      </c>
      <c r="R577" s="14">
        <f>CHOOSE(CONTROL!$C$42, 34.3986, 34.3986) * CHOOSE(CONTROL!$C$21, $C$9, 100%, $E$9)</f>
        <v>34.398600000000002</v>
      </c>
      <c r="S577" s="14">
        <f>CHOOSE(CONTROL!$C$42, 32.3959, 32.3959) * CHOOSE(CONTROL!$C$21, $C$9, 100%, $E$9)</f>
        <v>32.395899999999997</v>
      </c>
      <c r="T57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77" s="57">
        <f>(1000*CHOOSE(CONTROL!$C$42, 695, 695)*CHOOSE(CONTROL!$C$42, 0.5599, 0.5599)*CHOOSE(CONTROL!$C$42, 31, 31))/1000000</f>
        <v>12.063045499999998</v>
      </c>
      <c r="V577" s="57">
        <f>(1000*CHOOSE(CONTROL!$C$42, 500, 500)*CHOOSE(CONTROL!$C$42, 0.275, 0.275)*CHOOSE(CONTROL!$C$42, 31, 31))/1000000</f>
        <v>4.2625000000000002</v>
      </c>
      <c r="W577" s="57">
        <f>(1000*CHOOSE(CONTROL!$C$42, 0.1146, 0.1146)*CHOOSE(CONTROL!$C$42, 121.5, 121.5)*CHOOSE(CONTROL!$C$42, 31, 31))/1000000</f>
        <v>0.43164089999999994</v>
      </c>
      <c r="X577" s="57">
        <f>(31*0.1790888*100000/1000000)+(31*0.2374*100000/1000000)</f>
        <v>1.2911152800000001</v>
      </c>
      <c r="Y577" s="57"/>
      <c r="Z577" s="14"/>
      <c r="AA577" s="56"/>
      <c r="AB577" s="50">
        <f>(B577*122.58+C577*297.941+D577*89.177+E577*40.302+F577*40+G577*160+H577*0+I577*100+J577*300)/(122.58+297.941+89.177+40.302+0+40+160+100+300)</f>
        <v>33.738256996347829</v>
      </c>
      <c r="AC577" s="45">
        <f>(M577*'RAP TEMPLATE-GAS AVAILABILITY'!O576+N577*'RAP TEMPLATE-GAS AVAILABILITY'!P576+O577*'RAP TEMPLATE-GAS AVAILABILITY'!Q576+P577*'RAP TEMPLATE-GAS AVAILABILITY'!R576)/('RAP TEMPLATE-GAS AVAILABILITY'!O576+'RAP TEMPLATE-GAS AVAILABILITY'!P576+'RAP TEMPLATE-GAS AVAILABILITY'!Q576+'RAP TEMPLATE-GAS AVAILABILITY'!R576)</f>
        <v>33.090608633093524</v>
      </c>
    </row>
    <row r="578" spans="1:29" ht="15.75" x14ac:dyDescent="0.25">
      <c r="A578" s="32">
        <v>58499</v>
      </c>
      <c r="B578" s="14">
        <f>CHOOSE(CONTROL!$C$42, 34.3232, 34.3232) * CHOOSE(CONTROL!$C$21, $C$9, 100%, $E$9)</f>
        <v>34.3232</v>
      </c>
      <c r="C578" s="14">
        <f>CHOOSE(CONTROL!$C$42, 34.3282, 34.3282) * CHOOSE(CONTROL!$C$21, $C$9, 100%, $E$9)</f>
        <v>34.328200000000002</v>
      </c>
      <c r="D578" s="14">
        <f>CHOOSE(CONTROL!$C$42, 34.3947, 34.3947) * CHOOSE(CONTROL!$C$21, $C$9, 100%, $E$9)</f>
        <v>34.3947</v>
      </c>
      <c r="E578" s="14">
        <f>CHOOSE(CONTROL!$C$42, 34.4288, 34.4288) * CHOOSE(CONTROL!$C$21, $C$9, 100%, $E$9)</f>
        <v>34.428800000000003</v>
      </c>
      <c r="F578" s="14">
        <f>CHOOSE(CONTROL!$C$42, 34.3106, 34.3106)*CHOOSE(CONTROL!$C$21, $C$9, 100%, $E$9)</f>
        <v>34.310600000000001</v>
      </c>
      <c r="G578" s="14">
        <f>CHOOSE(CONTROL!$C$42, 34.3261, 34.3261)*CHOOSE(CONTROL!$C$21, $C$9, 100%, $E$9)</f>
        <v>34.326099999999997</v>
      </c>
      <c r="H578" s="14">
        <f>CHOOSE(CONTROL!$C$42, 34.418, 34.418) * CHOOSE(CONTROL!$C$21, $C$9, 100%, $E$9)</f>
        <v>34.417999999999999</v>
      </c>
      <c r="I578" s="14">
        <f>CHOOSE(CONTROL!$C$42, 34.4383, 34.4383)* CHOOSE(CONTROL!$C$21, $C$9, 100%, $E$9)</f>
        <v>34.438299999999998</v>
      </c>
      <c r="J578" s="14">
        <f>CHOOSE(CONTROL!$C$42, 34.3036, 34.3036)* CHOOSE(CONTROL!$C$21, $C$9, 100%, $E$9)</f>
        <v>34.303600000000003</v>
      </c>
      <c r="K578" s="53">
        <f>CHOOSE(CONTROL!$C$42, 34.4344, 34.4344) * CHOOSE(CONTROL!$C$21, $C$9, 100%, $E$9)</f>
        <v>34.434399999999997</v>
      </c>
      <c r="L578" s="14">
        <f>CHOOSE(CONTROL!$C$42, 35.005, 35.005) * CHOOSE(CONTROL!$C$21, $C$9, 100%, $E$9)</f>
        <v>35.005000000000003</v>
      </c>
      <c r="M578" s="14">
        <f>CHOOSE(CONTROL!$C$42, 33.6084, 33.6084) * CHOOSE(CONTROL!$C$21, $C$9, 100%, $E$9)</f>
        <v>33.608400000000003</v>
      </c>
      <c r="N578" s="14">
        <f>CHOOSE(CONTROL!$C$42, 33.6236, 33.6236) * CHOOSE(CONTROL!$C$21, $C$9, 100%, $E$9)</f>
        <v>33.623600000000003</v>
      </c>
      <c r="O578" s="14">
        <f>CHOOSE(CONTROL!$C$42, 33.7205, 33.7205) * CHOOSE(CONTROL!$C$21, $C$9, 100%, $E$9)</f>
        <v>33.720500000000001</v>
      </c>
      <c r="P578" s="14">
        <f>CHOOSE(CONTROL!$C$42, 33.7383, 33.7383) * CHOOSE(CONTROL!$C$21, $C$9, 100%, $E$9)</f>
        <v>33.738300000000002</v>
      </c>
      <c r="Q578" s="14">
        <f>CHOOSE(CONTROL!$C$42, 34.3152, 34.3152) * CHOOSE(CONTROL!$C$21, $C$9, 100%, $E$9)</f>
        <v>34.315199999999997</v>
      </c>
      <c r="R578" s="14">
        <f>CHOOSE(CONTROL!$C$42, 34.9879, 34.9879) * CHOOSE(CONTROL!$C$21, $C$9, 100%, $E$9)</f>
        <v>34.987900000000003</v>
      </c>
      <c r="S578" s="14">
        <f>CHOOSE(CONTROL!$C$42, 32.9726, 32.9726) * CHOOSE(CONTROL!$C$21, $C$9, 100%, $E$9)</f>
        <v>32.9726</v>
      </c>
      <c r="T578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578" s="57">
        <f>(1000*CHOOSE(CONTROL!$C$42, 695, 695)*CHOOSE(CONTROL!$C$42, 0.5599, 0.5599)*CHOOSE(CONTROL!$C$42, 29, 29))/1000000</f>
        <v>11.284784499999999</v>
      </c>
      <c r="V578" s="57">
        <f>(1000*CHOOSE(CONTROL!$C$42, 500, 500)*CHOOSE(CONTROL!$C$42, 0.275, 0.275)*CHOOSE(CONTROL!$C$42, 29, 29))/1000000</f>
        <v>3.9874999999999998</v>
      </c>
      <c r="W578" s="57">
        <f>(1000*CHOOSE(CONTROL!$C$42, 0.1146, 0.1146)*CHOOSE(CONTROL!$C$42, 121.5, 121.5)*CHOOSE(CONTROL!$C$42, 29, 29))/1000000</f>
        <v>0.40379309999999996</v>
      </c>
      <c r="X578" s="57">
        <f>(29*0.1790888*100000/1000000)+(29*0.2374*100000/1000000)</f>
        <v>1.2078175199999999</v>
      </c>
      <c r="Y578" s="57"/>
      <c r="Z578" s="14"/>
      <c r="AA578" s="56"/>
      <c r="AB578" s="50">
        <f>(B578*122.58+C578*297.941+D578*89.177+E578*40.302+F578*40+G578*160+H578*0+I578*100+J578*300)/(122.58+297.941+89.177+40.302+0+40+160+100+300)</f>
        <v>34.338601523217392</v>
      </c>
      <c r="AC578" s="45">
        <f>(M578*'RAP TEMPLATE-GAS AVAILABILITY'!O577+N578*'RAP TEMPLATE-GAS AVAILABILITY'!P577+O578*'RAP TEMPLATE-GAS AVAILABILITY'!Q577+P578*'RAP TEMPLATE-GAS AVAILABILITY'!R577)/('RAP TEMPLATE-GAS AVAILABILITY'!O577+'RAP TEMPLATE-GAS AVAILABILITY'!P577+'RAP TEMPLATE-GAS AVAILABILITY'!Q577+'RAP TEMPLATE-GAS AVAILABILITY'!R577)</f>
        <v>33.678773381294974</v>
      </c>
    </row>
    <row r="579" spans="1:29" ht="15.75" x14ac:dyDescent="0.25">
      <c r="A579" s="32">
        <v>58531</v>
      </c>
      <c r="B579" s="14">
        <f>CHOOSE(CONTROL!$C$42, 33.349, 33.349) * CHOOSE(CONTROL!$C$21, $C$9, 100%, $E$9)</f>
        <v>33.348999999999997</v>
      </c>
      <c r="C579" s="14">
        <f>CHOOSE(CONTROL!$C$42, 33.3541, 33.3541) * CHOOSE(CONTROL!$C$21, $C$9, 100%, $E$9)</f>
        <v>33.354100000000003</v>
      </c>
      <c r="D579" s="14">
        <f>CHOOSE(CONTROL!$C$42, 33.4205, 33.4205) * CHOOSE(CONTROL!$C$21, $C$9, 100%, $E$9)</f>
        <v>33.420499999999997</v>
      </c>
      <c r="E579" s="14">
        <f>CHOOSE(CONTROL!$C$42, 33.4546, 33.4546) * CHOOSE(CONTROL!$C$21, $C$9, 100%, $E$9)</f>
        <v>33.454599999999999</v>
      </c>
      <c r="F579" s="14">
        <f>CHOOSE(CONTROL!$C$42, 33.336, 33.336)*CHOOSE(CONTROL!$C$21, $C$9, 100%, $E$9)</f>
        <v>33.335999999999999</v>
      </c>
      <c r="G579" s="14">
        <f>CHOOSE(CONTROL!$C$42, 33.3514, 33.3514)*CHOOSE(CONTROL!$C$21, $C$9, 100%, $E$9)</f>
        <v>33.351399999999998</v>
      </c>
      <c r="H579" s="14">
        <f>CHOOSE(CONTROL!$C$42, 33.4438, 33.4438) * CHOOSE(CONTROL!$C$21, $C$9, 100%, $E$9)</f>
        <v>33.443800000000003</v>
      </c>
      <c r="I579" s="14">
        <f>CHOOSE(CONTROL!$C$42, 33.4611, 33.4611)* CHOOSE(CONTROL!$C$21, $C$9, 100%, $E$9)</f>
        <v>33.461100000000002</v>
      </c>
      <c r="J579" s="14">
        <f>CHOOSE(CONTROL!$C$42, 33.329, 33.329)* CHOOSE(CONTROL!$C$21, $C$9, 100%, $E$9)</f>
        <v>33.329000000000001</v>
      </c>
      <c r="K579" s="53">
        <f>CHOOSE(CONTROL!$C$42, 33.4572, 33.4572) * CHOOSE(CONTROL!$C$21, $C$9, 100%, $E$9)</f>
        <v>33.4572</v>
      </c>
      <c r="L579" s="14">
        <f>CHOOSE(CONTROL!$C$42, 34.0308, 34.0308) * CHOOSE(CONTROL!$C$21, $C$9, 100%, $E$9)</f>
        <v>34.030799999999999</v>
      </c>
      <c r="M579" s="14">
        <f>CHOOSE(CONTROL!$C$42, 32.6538, 32.6538) * CHOOSE(CONTROL!$C$21, $C$9, 100%, $E$9)</f>
        <v>32.653799999999997</v>
      </c>
      <c r="N579" s="14">
        <f>CHOOSE(CONTROL!$C$42, 32.6689, 32.6689) * CHOOSE(CONTROL!$C$21, $C$9, 100%, $E$9)</f>
        <v>32.668900000000001</v>
      </c>
      <c r="O579" s="14">
        <f>CHOOSE(CONTROL!$C$42, 32.7662, 32.7662) * CHOOSE(CONTROL!$C$21, $C$9, 100%, $E$9)</f>
        <v>32.766199999999998</v>
      </c>
      <c r="P579" s="14">
        <f>CHOOSE(CONTROL!$C$42, 32.7811, 32.7811) * CHOOSE(CONTROL!$C$21, $C$9, 100%, $E$9)</f>
        <v>32.781100000000002</v>
      </c>
      <c r="Q579" s="14">
        <f>CHOOSE(CONTROL!$C$42, 33.3609, 33.3609) * CHOOSE(CONTROL!$C$21, $C$9, 100%, $E$9)</f>
        <v>33.360900000000001</v>
      </c>
      <c r="R579" s="14">
        <f>CHOOSE(CONTROL!$C$42, 34.0313, 34.0313) * CHOOSE(CONTROL!$C$21, $C$9, 100%, $E$9)</f>
        <v>34.031300000000002</v>
      </c>
      <c r="S579" s="14">
        <f>CHOOSE(CONTROL!$C$42, 32.0365, 32.0365) * CHOOSE(CONTROL!$C$21, $C$9, 100%, $E$9)</f>
        <v>32.036499999999997</v>
      </c>
      <c r="T57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79" s="57">
        <f>(1000*CHOOSE(CONTROL!$C$42, 695, 695)*CHOOSE(CONTROL!$C$42, 0.5599, 0.5599)*CHOOSE(CONTROL!$C$42, 31, 31))/1000000</f>
        <v>12.063045499999998</v>
      </c>
      <c r="V579" s="57">
        <f>(1000*CHOOSE(CONTROL!$C$42, 500, 500)*CHOOSE(CONTROL!$C$42, 0.275, 0.275)*CHOOSE(CONTROL!$C$42, 31, 31))/1000000</f>
        <v>4.2625000000000002</v>
      </c>
      <c r="W579" s="57">
        <f>(1000*CHOOSE(CONTROL!$C$42, 0.1146, 0.1146)*CHOOSE(CONTROL!$C$42, 121.5, 121.5)*CHOOSE(CONTROL!$C$42, 31, 31))/1000000</f>
        <v>0.43164089999999994</v>
      </c>
      <c r="X579" s="57">
        <f>(31*0.1790888*100000/1000000)+(31*0.2374*100000/1000000)</f>
        <v>1.2911152800000001</v>
      </c>
      <c r="Y579" s="57"/>
      <c r="Z579" s="14"/>
      <c r="AA579" s="56"/>
      <c r="AB579" s="50">
        <f>(B579*122.58+C579*297.941+D579*89.177+E579*40.302+F579*40+G579*160+H579*0+I579*100+J579*300)/(122.58+297.941+89.177+40.302+0+40+160+100+300)</f>
        <v>33.363978735478263</v>
      </c>
      <c r="AC579" s="45">
        <f>(M579*'RAP TEMPLATE-GAS AVAILABILITY'!O578+N579*'RAP TEMPLATE-GAS AVAILABILITY'!P578+O579*'RAP TEMPLATE-GAS AVAILABILITY'!Q578+P579*'RAP TEMPLATE-GAS AVAILABILITY'!R578)/('RAP TEMPLATE-GAS AVAILABILITY'!O578+'RAP TEMPLATE-GAS AVAILABILITY'!P578+'RAP TEMPLATE-GAS AVAILABILITY'!Q578+'RAP TEMPLATE-GAS AVAILABILITY'!R578)</f>
        <v>32.723929496402882</v>
      </c>
    </row>
    <row r="580" spans="1:29" ht="15.75" x14ac:dyDescent="0.25">
      <c r="A580" s="32">
        <v>58561</v>
      </c>
      <c r="B580" s="14">
        <f>CHOOSE(CONTROL!$C$42, 33.2503, 33.2503) * CHOOSE(CONTROL!$C$21, $C$9, 100%, $E$9)</f>
        <v>33.250300000000003</v>
      </c>
      <c r="C580" s="14">
        <f>CHOOSE(CONTROL!$C$42, 33.2548, 33.2548) * CHOOSE(CONTROL!$C$21, $C$9, 100%, $E$9)</f>
        <v>33.254800000000003</v>
      </c>
      <c r="D580" s="14">
        <f>CHOOSE(CONTROL!$C$42, 33.4619, 33.4619) * CHOOSE(CONTROL!$C$21, $C$9, 100%, $E$9)</f>
        <v>33.4619</v>
      </c>
      <c r="E580" s="14">
        <f>CHOOSE(CONTROL!$C$42, 33.494, 33.494) * CHOOSE(CONTROL!$C$21, $C$9, 100%, $E$9)</f>
        <v>33.494</v>
      </c>
      <c r="F580" s="14">
        <f>CHOOSE(CONTROL!$C$42, 33.2322, 33.2322)*CHOOSE(CONTROL!$C$21, $C$9, 100%, $E$9)</f>
        <v>33.232199999999999</v>
      </c>
      <c r="G580" s="14">
        <f>CHOOSE(CONTROL!$C$42, 33.2474, 33.2474)*CHOOSE(CONTROL!$C$21, $C$9, 100%, $E$9)</f>
        <v>33.247399999999999</v>
      </c>
      <c r="H580" s="14">
        <f>CHOOSE(CONTROL!$C$42, 33.4838, 33.4838) * CHOOSE(CONTROL!$C$21, $C$9, 100%, $E$9)</f>
        <v>33.483800000000002</v>
      </c>
      <c r="I580" s="14">
        <f>CHOOSE(CONTROL!$C$42, 33.3613, 33.3613)* CHOOSE(CONTROL!$C$21, $C$9, 100%, $E$9)</f>
        <v>33.3613</v>
      </c>
      <c r="J580" s="14">
        <f>CHOOSE(CONTROL!$C$42, 33.2252, 33.2252)* CHOOSE(CONTROL!$C$21, $C$9, 100%, $E$9)</f>
        <v>33.225200000000001</v>
      </c>
      <c r="K580" s="53">
        <f>CHOOSE(CONTROL!$C$42, 33.3574, 33.3574) * CHOOSE(CONTROL!$C$21, $C$9, 100%, $E$9)</f>
        <v>33.357399999999998</v>
      </c>
      <c r="L580" s="14">
        <f>CHOOSE(CONTROL!$C$42, 34.0708, 34.0708) * CHOOSE(CONTROL!$C$21, $C$9, 100%, $E$9)</f>
        <v>34.070799999999998</v>
      </c>
      <c r="M580" s="14">
        <f>CHOOSE(CONTROL!$C$42, 32.5522, 32.5522) * CHOOSE(CONTROL!$C$21, $C$9, 100%, $E$9)</f>
        <v>32.552199999999999</v>
      </c>
      <c r="N580" s="14">
        <f>CHOOSE(CONTROL!$C$42, 32.567, 32.567) * CHOOSE(CONTROL!$C$21, $C$9, 100%, $E$9)</f>
        <v>32.567</v>
      </c>
      <c r="O580" s="14">
        <f>CHOOSE(CONTROL!$C$42, 32.8054, 32.8054) * CHOOSE(CONTROL!$C$21, $C$9, 100%, $E$9)</f>
        <v>32.805399999999999</v>
      </c>
      <c r="P580" s="14">
        <f>CHOOSE(CONTROL!$C$42, 32.6834, 32.6834) * CHOOSE(CONTROL!$C$21, $C$9, 100%, $E$9)</f>
        <v>32.683399999999999</v>
      </c>
      <c r="Q580" s="14">
        <f>CHOOSE(CONTROL!$C$42, 33.4001, 33.4001) * CHOOSE(CONTROL!$C$21, $C$9, 100%, $E$9)</f>
        <v>33.400100000000002</v>
      </c>
      <c r="R580" s="14">
        <f>CHOOSE(CONTROL!$C$42, 34.0706, 34.0706) * CHOOSE(CONTROL!$C$21, $C$9, 100%, $E$9)</f>
        <v>34.070599999999999</v>
      </c>
      <c r="S580" s="14">
        <f>CHOOSE(CONTROL!$C$42, 31.941, 31.941) * CHOOSE(CONTROL!$C$21, $C$9, 100%, $E$9)</f>
        <v>31.940999999999999</v>
      </c>
      <c r="T58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80" s="57">
        <f>(1000*CHOOSE(CONTROL!$C$42, 695, 695)*CHOOSE(CONTROL!$C$42, 0.5599, 0.5599)*CHOOSE(CONTROL!$C$42, 30, 30))/1000000</f>
        <v>11.673914999999997</v>
      </c>
      <c r="V580" s="57">
        <f>(1000*CHOOSE(CONTROL!$C$42, 500, 500)*CHOOSE(CONTROL!$C$42, 0.275, 0.275)*CHOOSE(CONTROL!$C$42, 30, 30))/1000000</f>
        <v>4.125</v>
      </c>
      <c r="W580" s="57">
        <f>(1000*CHOOSE(CONTROL!$C$42, 0.1146, 0.1146)*CHOOSE(CONTROL!$C$42, 121.5, 121.5)*CHOOSE(CONTROL!$C$42, 30, 30))/1000000</f>
        <v>0.417717</v>
      </c>
      <c r="X580" s="57">
        <f>(30*0.1790888*245000/1000000)+(30*0.2374*100000/1000000)</f>
        <v>2.0285026799999999</v>
      </c>
      <c r="Y580" s="57"/>
      <c r="Z580" s="14"/>
      <c r="AA580" s="56"/>
      <c r="AB580" s="50">
        <f>(B580*141.293+C580*267.993+D580*115.016+E580*89.698+F580*40+G580*185+H580*0+I580*100+J580*300)/(141.293+267.993+115.016+89.698+0+40+185+100+300)</f>
        <v>33.290422886763523</v>
      </c>
      <c r="AC580" s="45">
        <f>(M580*'RAP TEMPLATE-GAS AVAILABILITY'!O579+N580*'RAP TEMPLATE-GAS AVAILABILITY'!P579+O580*'RAP TEMPLATE-GAS AVAILABILITY'!Q579+P580*'RAP TEMPLATE-GAS AVAILABILITY'!R579)/('RAP TEMPLATE-GAS AVAILABILITY'!O579+'RAP TEMPLATE-GAS AVAILABILITY'!P579+'RAP TEMPLATE-GAS AVAILABILITY'!Q579+'RAP TEMPLATE-GAS AVAILABILITY'!R579)</f>
        <v>32.645526618705034</v>
      </c>
    </row>
    <row r="581" spans="1:29" ht="15.75" x14ac:dyDescent="0.25">
      <c r="A581" s="32">
        <v>58592</v>
      </c>
      <c r="B581" s="14">
        <f>CHOOSE(CONTROL!$C$42, 33.5451, 33.5451) * CHOOSE(CONTROL!$C$21, $C$9, 100%, $E$9)</f>
        <v>33.545099999999998</v>
      </c>
      <c r="C581" s="14">
        <f>CHOOSE(CONTROL!$C$42, 33.5531, 33.5531) * CHOOSE(CONTROL!$C$21, $C$9, 100%, $E$9)</f>
        <v>33.553100000000001</v>
      </c>
      <c r="D581" s="14">
        <f>CHOOSE(CONTROL!$C$42, 33.7571, 33.7571) * CHOOSE(CONTROL!$C$21, $C$9, 100%, $E$9)</f>
        <v>33.757100000000001</v>
      </c>
      <c r="E581" s="14">
        <f>CHOOSE(CONTROL!$C$42, 33.7885, 33.7885) * CHOOSE(CONTROL!$C$21, $C$9, 100%, $E$9)</f>
        <v>33.788499999999999</v>
      </c>
      <c r="F581" s="14">
        <f>CHOOSE(CONTROL!$C$42, 33.5259, 33.5259)*CHOOSE(CONTROL!$C$21, $C$9, 100%, $E$9)</f>
        <v>33.5259</v>
      </c>
      <c r="G581" s="14">
        <f>CHOOSE(CONTROL!$C$42, 33.5415, 33.5415)*CHOOSE(CONTROL!$C$21, $C$9, 100%, $E$9)</f>
        <v>33.541499999999999</v>
      </c>
      <c r="H581" s="14">
        <f>CHOOSE(CONTROL!$C$42, 33.7772, 33.7772) * CHOOSE(CONTROL!$C$21, $C$9, 100%, $E$9)</f>
        <v>33.777200000000001</v>
      </c>
      <c r="I581" s="14">
        <f>CHOOSE(CONTROL!$C$42, 33.6556, 33.6556)* CHOOSE(CONTROL!$C$21, $C$9, 100%, $E$9)</f>
        <v>33.6556</v>
      </c>
      <c r="J581" s="14">
        <f>CHOOSE(CONTROL!$C$42, 33.5189, 33.5189)* CHOOSE(CONTROL!$C$21, $C$9, 100%, $E$9)</f>
        <v>33.518900000000002</v>
      </c>
      <c r="K581" s="53">
        <f>CHOOSE(CONTROL!$C$42, 33.6517, 33.6517) * CHOOSE(CONTROL!$C$21, $C$9, 100%, $E$9)</f>
        <v>33.651699999999998</v>
      </c>
      <c r="L581" s="14">
        <f>CHOOSE(CONTROL!$C$42, 34.3642, 34.3642) * CHOOSE(CONTROL!$C$21, $C$9, 100%, $E$9)</f>
        <v>34.364199999999997</v>
      </c>
      <c r="M581" s="14">
        <f>CHOOSE(CONTROL!$C$42, 32.8398, 32.8398) * CHOOSE(CONTROL!$C$21, $C$9, 100%, $E$9)</f>
        <v>32.839799999999997</v>
      </c>
      <c r="N581" s="14">
        <f>CHOOSE(CONTROL!$C$42, 32.8551, 32.8551) * CHOOSE(CONTROL!$C$21, $C$9, 100%, $E$9)</f>
        <v>32.8551</v>
      </c>
      <c r="O581" s="14">
        <f>CHOOSE(CONTROL!$C$42, 33.0928, 33.0928) * CHOOSE(CONTROL!$C$21, $C$9, 100%, $E$9)</f>
        <v>33.092799999999997</v>
      </c>
      <c r="P581" s="14">
        <f>CHOOSE(CONTROL!$C$42, 32.9717, 32.9717) * CHOOSE(CONTROL!$C$21, $C$9, 100%, $E$9)</f>
        <v>32.971699999999998</v>
      </c>
      <c r="Q581" s="14">
        <f>CHOOSE(CONTROL!$C$42, 33.6875, 33.6875) * CHOOSE(CONTROL!$C$21, $C$9, 100%, $E$9)</f>
        <v>33.6875</v>
      </c>
      <c r="R581" s="14">
        <f>CHOOSE(CONTROL!$C$42, 34.3587, 34.3587) * CHOOSE(CONTROL!$C$21, $C$9, 100%, $E$9)</f>
        <v>34.358699999999999</v>
      </c>
      <c r="S581" s="14">
        <f>CHOOSE(CONTROL!$C$42, 32.2229, 32.2229) * CHOOSE(CONTROL!$C$21, $C$9, 100%, $E$9)</f>
        <v>32.222900000000003</v>
      </c>
      <c r="T58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81" s="57">
        <f>(1000*CHOOSE(CONTROL!$C$42, 695, 695)*CHOOSE(CONTROL!$C$42, 0.5599, 0.5599)*CHOOSE(CONTROL!$C$42, 31, 31))/1000000</f>
        <v>12.063045499999998</v>
      </c>
      <c r="V581" s="57">
        <f>(1000*CHOOSE(CONTROL!$C$42, 500, 500)*CHOOSE(CONTROL!$C$42, 0.275, 0.275)*CHOOSE(CONTROL!$C$42, 31, 31))/1000000</f>
        <v>4.2625000000000002</v>
      </c>
      <c r="W581" s="57">
        <f>(1000*CHOOSE(CONTROL!$C$42, 0.1146, 0.1146)*CHOOSE(CONTROL!$C$42, 121.5, 121.5)*CHOOSE(CONTROL!$C$42, 31, 31))/1000000</f>
        <v>0.43164089999999994</v>
      </c>
      <c r="X581" s="57">
        <f>(31*0.1790888*245000/1000000)+(31*0.2374*100000/1000000)</f>
        <v>2.0961194359999999</v>
      </c>
      <c r="Y581" s="57"/>
      <c r="Z581" s="14"/>
      <c r="AA581" s="56"/>
      <c r="AB581" s="50">
        <f>(B581*194.205+C581*267.466+D581*133.845+E581*53.484+F581*40+G581*185+H581*0+I581*100+J581*300)/(194.205+267.466+133.845+53.484+0+40+185+100+300)</f>
        <v>33.580648566405024</v>
      </c>
      <c r="AC581" s="45">
        <f>(M581*'RAP TEMPLATE-GAS AVAILABILITY'!O580+N581*'RAP TEMPLATE-GAS AVAILABILITY'!P580+O581*'RAP TEMPLATE-GAS AVAILABILITY'!Q580+P581*'RAP TEMPLATE-GAS AVAILABILITY'!R580)/('RAP TEMPLATE-GAS AVAILABILITY'!O580+'RAP TEMPLATE-GAS AVAILABILITY'!P580+'RAP TEMPLATE-GAS AVAILABILITY'!Q580+'RAP TEMPLATE-GAS AVAILABILITY'!R580)</f>
        <v>32.933286330935246</v>
      </c>
    </row>
    <row r="582" spans="1:29" ht="15.75" x14ac:dyDescent="0.25">
      <c r="A582" s="32">
        <v>58622</v>
      </c>
      <c r="B582" s="14">
        <f>CHOOSE(CONTROL!$C$42, 34.4963, 34.4963) * CHOOSE(CONTROL!$C$21, $C$9, 100%, $E$9)</f>
        <v>34.496299999999998</v>
      </c>
      <c r="C582" s="14">
        <f>CHOOSE(CONTROL!$C$42, 34.5044, 34.5044) * CHOOSE(CONTROL!$C$21, $C$9, 100%, $E$9)</f>
        <v>34.504399999999997</v>
      </c>
      <c r="D582" s="14">
        <f>CHOOSE(CONTROL!$C$42, 34.7083, 34.7083) * CHOOSE(CONTROL!$C$21, $C$9, 100%, $E$9)</f>
        <v>34.708300000000001</v>
      </c>
      <c r="E582" s="14">
        <f>CHOOSE(CONTROL!$C$42, 34.7397, 34.7397) * CHOOSE(CONTROL!$C$21, $C$9, 100%, $E$9)</f>
        <v>34.739699999999999</v>
      </c>
      <c r="F582" s="14">
        <f>CHOOSE(CONTROL!$C$42, 34.4775, 34.4775)*CHOOSE(CONTROL!$C$21, $C$9, 100%, $E$9)</f>
        <v>34.477499999999999</v>
      </c>
      <c r="G582" s="14">
        <f>CHOOSE(CONTROL!$C$42, 34.4933, 34.4933)*CHOOSE(CONTROL!$C$21, $C$9, 100%, $E$9)</f>
        <v>34.493299999999998</v>
      </c>
      <c r="H582" s="14">
        <f>CHOOSE(CONTROL!$C$42, 34.7284, 34.7284) * CHOOSE(CONTROL!$C$21, $C$9, 100%, $E$9)</f>
        <v>34.728400000000001</v>
      </c>
      <c r="I582" s="14">
        <f>CHOOSE(CONTROL!$C$42, 34.6098, 34.6098)* CHOOSE(CONTROL!$C$21, $C$9, 100%, $E$9)</f>
        <v>34.6098</v>
      </c>
      <c r="J582" s="14">
        <f>CHOOSE(CONTROL!$C$42, 34.4705, 34.4705)* CHOOSE(CONTROL!$C$21, $C$9, 100%, $E$9)</f>
        <v>34.470500000000001</v>
      </c>
      <c r="K582" s="53">
        <f>CHOOSE(CONTROL!$C$42, 34.6059, 34.6059) * CHOOSE(CONTROL!$C$21, $C$9, 100%, $E$9)</f>
        <v>34.605899999999998</v>
      </c>
      <c r="L582" s="14">
        <f>CHOOSE(CONTROL!$C$42, 35.3154, 35.3154) * CHOOSE(CONTROL!$C$21, $C$9, 100%, $E$9)</f>
        <v>35.315399999999997</v>
      </c>
      <c r="M582" s="14">
        <f>CHOOSE(CONTROL!$C$42, 33.7719, 33.7719) * CHOOSE(CONTROL!$C$21, $C$9, 100%, $E$9)</f>
        <v>33.771900000000002</v>
      </c>
      <c r="N582" s="14">
        <f>CHOOSE(CONTROL!$C$42, 33.7874, 33.7874) * CHOOSE(CONTROL!$C$21, $C$9, 100%, $E$9)</f>
        <v>33.787399999999998</v>
      </c>
      <c r="O582" s="14">
        <f>CHOOSE(CONTROL!$C$42, 34.0245, 34.0245) * CHOOSE(CONTROL!$C$21, $C$9, 100%, $E$9)</f>
        <v>34.024500000000003</v>
      </c>
      <c r="P582" s="14">
        <f>CHOOSE(CONTROL!$C$42, 33.9063, 33.9063) * CHOOSE(CONTROL!$C$21, $C$9, 100%, $E$9)</f>
        <v>33.906300000000002</v>
      </c>
      <c r="Q582" s="14">
        <f>CHOOSE(CONTROL!$C$42, 34.6192, 34.6192) * CHOOSE(CONTROL!$C$21, $C$9, 100%, $E$9)</f>
        <v>34.619199999999999</v>
      </c>
      <c r="R582" s="14">
        <f>CHOOSE(CONTROL!$C$42, 35.2928, 35.2928) * CHOOSE(CONTROL!$C$21, $C$9, 100%, $E$9)</f>
        <v>35.2928</v>
      </c>
      <c r="S582" s="14">
        <f>CHOOSE(CONTROL!$C$42, 33.1369, 33.1369) * CHOOSE(CONTROL!$C$21, $C$9, 100%, $E$9)</f>
        <v>33.136899999999997</v>
      </c>
      <c r="T58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82" s="57">
        <f>(1000*CHOOSE(CONTROL!$C$42, 695, 695)*CHOOSE(CONTROL!$C$42, 0.5599, 0.5599)*CHOOSE(CONTROL!$C$42, 30, 30))/1000000</f>
        <v>11.673914999999997</v>
      </c>
      <c r="V582" s="57">
        <f>(1000*CHOOSE(CONTROL!$C$42, 500, 500)*CHOOSE(CONTROL!$C$42, 0.275, 0.275)*CHOOSE(CONTROL!$C$42, 30, 30))/1000000</f>
        <v>4.125</v>
      </c>
      <c r="W582" s="57">
        <f>(1000*CHOOSE(CONTROL!$C$42, 0.1146, 0.1146)*CHOOSE(CONTROL!$C$42, 121.5, 121.5)*CHOOSE(CONTROL!$C$42, 30, 30))/1000000</f>
        <v>0.417717</v>
      </c>
      <c r="X582" s="57">
        <f>(30*0.1790888*245000/1000000)+(30*0.2374*100000/1000000)</f>
        <v>2.0285026799999999</v>
      </c>
      <c r="Y582" s="57"/>
      <c r="Z582" s="14"/>
      <c r="AA582" s="56"/>
      <c r="AB582" s="50">
        <f>(B582*194.205+C582*267.466+D582*133.845+E582*53.484+F582*40+G582*185+H582*0+I582*100+J582*300)/(194.205+267.466+133.845+53.484+0+40+185+100+300)</f>
        <v>34.532298916954474</v>
      </c>
      <c r="AC582" s="45">
        <f>(M582*'RAP TEMPLATE-GAS AVAILABILITY'!O581+N582*'RAP TEMPLATE-GAS AVAILABILITY'!P581+O582*'RAP TEMPLATE-GAS AVAILABILITY'!Q581+P582*'RAP TEMPLATE-GAS AVAILABILITY'!R581)/('RAP TEMPLATE-GAS AVAILABILITY'!O581+'RAP TEMPLATE-GAS AVAILABILITY'!P581+'RAP TEMPLATE-GAS AVAILABILITY'!Q581+'RAP TEMPLATE-GAS AVAILABILITY'!R581)</f>
        <v>33.865679856115115</v>
      </c>
    </row>
    <row r="583" spans="1:29" ht="15.75" x14ac:dyDescent="0.25">
      <c r="A583" s="32">
        <v>58653</v>
      </c>
      <c r="B583" s="14">
        <f>CHOOSE(CONTROL!$C$42, 33.8348, 33.8348) * CHOOSE(CONTROL!$C$21, $C$9, 100%, $E$9)</f>
        <v>33.834800000000001</v>
      </c>
      <c r="C583" s="14">
        <f>CHOOSE(CONTROL!$C$42, 33.8428, 33.8428) * CHOOSE(CONTROL!$C$21, $C$9, 100%, $E$9)</f>
        <v>33.842799999999997</v>
      </c>
      <c r="D583" s="14">
        <f>CHOOSE(CONTROL!$C$42, 34.0467, 34.0467) * CHOOSE(CONTROL!$C$21, $C$9, 100%, $E$9)</f>
        <v>34.046700000000001</v>
      </c>
      <c r="E583" s="14">
        <f>CHOOSE(CONTROL!$C$42, 34.0782, 34.0782) * CHOOSE(CONTROL!$C$21, $C$9, 100%, $E$9)</f>
        <v>34.078200000000002</v>
      </c>
      <c r="F583" s="14">
        <f>CHOOSE(CONTROL!$C$42, 33.8164, 33.8164)*CHOOSE(CONTROL!$C$21, $C$9, 100%, $E$9)</f>
        <v>33.816400000000002</v>
      </c>
      <c r="G583" s="14">
        <f>CHOOSE(CONTROL!$C$42, 33.8323, 33.8323)*CHOOSE(CONTROL!$C$21, $C$9, 100%, $E$9)</f>
        <v>33.832299999999996</v>
      </c>
      <c r="H583" s="14">
        <f>CHOOSE(CONTROL!$C$42, 34.0668, 34.0668) * CHOOSE(CONTROL!$C$21, $C$9, 100%, $E$9)</f>
        <v>34.066800000000001</v>
      </c>
      <c r="I583" s="14">
        <f>CHOOSE(CONTROL!$C$42, 33.9462, 33.9462)* CHOOSE(CONTROL!$C$21, $C$9, 100%, $E$9)</f>
        <v>33.946199999999997</v>
      </c>
      <c r="J583" s="14">
        <f>CHOOSE(CONTROL!$C$42, 33.8094, 33.8094)* CHOOSE(CONTROL!$C$21, $C$9, 100%, $E$9)</f>
        <v>33.809399999999997</v>
      </c>
      <c r="K583" s="53">
        <f>CHOOSE(CONTROL!$C$42, 33.9423, 33.9423) * CHOOSE(CONTROL!$C$21, $C$9, 100%, $E$9)</f>
        <v>33.942300000000003</v>
      </c>
      <c r="L583" s="14">
        <f>CHOOSE(CONTROL!$C$42, 34.6538, 34.6538) * CHOOSE(CONTROL!$C$21, $C$9, 100%, $E$9)</f>
        <v>34.653799999999997</v>
      </c>
      <c r="M583" s="14">
        <f>CHOOSE(CONTROL!$C$42, 33.1243, 33.1243) * CHOOSE(CONTROL!$C$21, $C$9, 100%, $E$9)</f>
        <v>33.124299999999998</v>
      </c>
      <c r="N583" s="14">
        <f>CHOOSE(CONTROL!$C$42, 33.1399, 33.1399) * CHOOSE(CONTROL!$C$21, $C$9, 100%, $E$9)</f>
        <v>33.139899999999997</v>
      </c>
      <c r="O583" s="14">
        <f>CHOOSE(CONTROL!$C$42, 33.3765, 33.3765) * CHOOSE(CONTROL!$C$21, $C$9, 100%, $E$9)</f>
        <v>33.3765</v>
      </c>
      <c r="P583" s="14">
        <f>CHOOSE(CONTROL!$C$42, 33.2563, 33.2563) * CHOOSE(CONTROL!$C$21, $C$9, 100%, $E$9)</f>
        <v>33.256300000000003</v>
      </c>
      <c r="Q583" s="14">
        <f>CHOOSE(CONTROL!$C$42, 33.9712, 33.9712) * CHOOSE(CONTROL!$C$21, $C$9, 100%, $E$9)</f>
        <v>33.971200000000003</v>
      </c>
      <c r="R583" s="14">
        <f>CHOOSE(CONTROL!$C$42, 34.6431, 34.6431) * CHOOSE(CONTROL!$C$21, $C$9, 100%, $E$9)</f>
        <v>34.643099999999997</v>
      </c>
      <c r="S583" s="14">
        <f>CHOOSE(CONTROL!$C$42, 32.5012, 32.5012) * CHOOSE(CONTROL!$C$21, $C$9, 100%, $E$9)</f>
        <v>32.501199999999997</v>
      </c>
      <c r="T58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83" s="57">
        <f>(1000*CHOOSE(CONTROL!$C$42, 695, 695)*CHOOSE(CONTROL!$C$42, 0.5599, 0.5599)*CHOOSE(CONTROL!$C$42, 31, 31))/1000000</f>
        <v>12.063045499999998</v>
      </c>
      <c r="V583" s="57">
        <f>(1000*CHOOSE(CONTROL!$C$42, 500, 500)*CHOOSE(CONTROL!$C$42, 0.275, 0.275)*CHOOSE(CONTROL!$C$42, 31, 31))/1000000</f>
        <v>4.2625000000000002</v>
      </c>
      <c r="W583" s="57">
        <f>(1000*CHOOSE(CONTROL!$C$42, 0.1146, 0.1146)*CHOOSE(CONTROL!$C$42, 121.5, 121.5)*CHOOSE(CONTROL!$C$42, 31, 31))/1000000</f>
        <v>0.43164089999999994</v>
      </c>
      <c r="X583" s="57">
        <f>(31*0.1790888*245000/1000000)+(31*0.2374*100000/1000000)</f>
        <v>2.0961194359999999</v>
      </c>
      <c r="Y583" s="57"/>
      <c r="Z583" s="14"/>
      <c r="AA583" s="56"/>
      <c r="AB583" s="50">
        <f>(B583*194.205+C583*267.466+D583*133.845+E583*53.484+F583*40+G583*185+H583*0+I583*100+J583*300)/(194.205+267.466+133.845+53.484+0+40+185+100+300)</f>
        <v>33.870781938069079</v>
      </c>
      <c r="AC583" s="45">
        <f>(M583*'RAP TEMPLATE-GAS AVAILABILITY'!O582+N583*'RAP TEMPLATE-GAS AVAILABILITY'!P582+O583*'RAP TEMPLATE-GAS AVAILABILITY'!Q582+P583*'RAP TEMPLATE-GAS AVAILABILITY'!R582)/('RAP TEMPLATE-GAS AVAILABILITY'!O582+'RAP TEMPLATE-GAS AVAILABILITY'!P582+'RAP TEMPLATE-GAS AVAILABILITY'!Q582+'RAP TEMPLATE-GAS AVAILABILITY'!R582)</f>
        <v>33.21764532374101</v>
      </c>
    </row>
    <row r="584" spans="1:29" ht="15.75" x14ac:dyDescent="0.25">
      <c r="A584" s="32">
        <v>58684</v>
      </c>
      <c r="B584" s="14">
        <f>CHOOSE(CONTROL!$C$42, 32.1641, 32.1641) * CHOOSE(CONTROL!$C$21, $C$9, 100%, $E$9)</f>
        <v>32.164099999999998</v>
      </c>
      <c r="C584" s="14">
        <f>CHOOSE(CONTROL!$C$42, 32.1721, 32.1721) * CHOOSE(CONTROL!$C$21, $C$9, 100%, $E$9)</f>
        <v>32.1721</v>
      </c>
      <c r="D584" s="14">
        <f>CHOOSE(CONTROL!$C$42, 32.376, 32.376) * CHOOSE(CONTROL!$C$21, $C$9, 100%, $E$9)</f>
        <v>32.375999999999998</v>
      </c>
      <c r="E584" s="14">
        <f>CHOOSE(CONTROL!$C$42, 32.4075, 32.4075) * CHOOSE(CONTROL!$C$21, $C$9, 100%, $E$9)</f>
        <v>32.407499999999999</v>
      </c>
      <c r="F584" s="14">
        <f>CHOOSE(CONTROL!$C$42, 32.1459, 32.1459)*CHOOSE(CONTROL!$C$21, $C$9, 100%, $E$9)</f>
        <v>32.145899999999997</v>
      </c>
      <c r="G584" s="14">
        <f>CHOOSE(CONTROL!$C$42, 32.1619, 32.1619)*CHOOSE(CONTROL!$C$21, $C$9, 100%, $E$9)</f>
        <v>32.161900000000003</v>
      </c>
      <c r="H584" s="14">
        <f>CHOOSE(CONTROL!$C$42, 32.3961, 32.3961) * CHOOSE(CONTROL!$C$21, $C$9, 100%, $E$9)</f>
        <v>32.396099999999997</v>
      </c>
      <c r="I584" s="14">
        <f>CHOOSE(CONTROL!$C$42, 32.2703, 32.2703)* CHOOSE(CONTROL!$C$21, $C$9, 100%, $E$9)</f>
        <v>32.270299999999999</v>
      </c>
      <c r="J584" s="14">
        <f>CHOOSE(CONTROL!$C$42, 32.1389, 32.1389)* CHOOSE(CONTROL!$C$21, $C$9, 100%, $E$9)</f>
        <v>32.1389</v>
      </c>
      <c r="K584" s="53">
        <f>CHOOSE(CONTROL!$C$42, 32.2664, 32.2664) * CHOOSE(CONTROL!$C$21, $C$9, 100%, $E$9)</f>
        <v>32.266399999999997</v>
      </c>
      <c r="L584" s="14">
        <f>CHOOSE(CONTROL!$C$42, 32.9831, 32.9831) * CHOOSE(CONTROL!$C$21, $C$9, 100%, $E$9)</f>
        <v>32.9831</v>
      </c>
      <c r="M584" s="14">
        <f>CHOOSE(CONTROL!$C$42, 31.4881, 31.4881) * CHOOSE(CONTROL!$C$21, $C$9, 100%, $E$9)</f>
        <v>31.488099999999999</v>
      </c>
      <c r="N584" s="14">
        <f>CHOOSE(CONTROL!$C$42, 31.5037, 31.5037) * CHOOSE(CONTROL!$C$21, $C$9, 100%, $E$9)</f>
        <v>31.503699999999998</v>
      </c>
      <c r="O584" s="14">
        <f>CHOOSE(CONTROL!$C$42, 31.7401, 31.7401) * CHOOSE(CONTROL!$C$21, $C$9, 100%, $E$9)</f>
        <v>31.740100000000002</v>
      </c>
      <c r="P584" s="14">
        <f>CHOOSE(CONTROL!$C$42, 31.6148, 31.6148) * CHOOSE(CONTROL!$C$21, $C$9, 100%, $E$9)</f>
        <v>31.614799999999999</v>
      </c>
      <c r="Q584" s="14">
        <f>CHOOSE(CONTROL!$C$42, 32.3348, 32.3348) * CHOOSE(CONTROL!$C$21, $C$9, 100%, $E$9)</f>
        <v>32.334800000000001</v>
      </c>
      <c r="R584" s="14">
        <f>CHOOSE(CONTROL!$C$42, 33.0026, 33.0026) * CHOOSE(CONTROL!$C$21, $C$9, 100%, $E$9)</f>
        <v>33.002600000000001</v>
      </c>
      <c r="S584" s="14">
        <f>CHOOSE(CONTROL!$C$42, 30.8958, 30.8958) * CHOOSE(CONTROL!$C$21, $C$9, 100%, $E$9)</f>
        <v>30.895800000000001</v>
      </c>
      <c r="T58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84" s="57">
        <f>(1000*CHOOSE(CONTROL!$C$42, 695, 695)*CHOOSE(CONTROL!$C$42, 0.5599, 0.5599)*CHOOSE(CONTROL!$C$42, 31, 31))/1000000</f>
        <v>12.063045499999998</v>
      </c>
      <c r="V584" s="57">
        <f>(1000*CHOOSE(CONTROL!$C$42, 500, 500)*CHOOSE(CONTROL!$C$42, 0.275, 0.275)*CHOOSE(CONTROL!$C$42, 31, 31))/1000000</f>
        <v>4.2625000000000002</v>
      </c>
      <c r="W584" s="57">
        <f>(1000*CHOOSE(CONTROL!$C$42, 0.1146, 0.1146)*CHOOSE(CONTROL!$C$42, 121.5, 121.5)*CHOOSE(CONTROL!$C$42, 31, 31))/1000000</f>
        <v>0.43164089999999994</v>
      </c>
      <c r="X584" s="57">
        <f>(31*0.1790888*245000/1000000)+(31*0.2374*100000/1000000)</f>
        <v>2.0961194359999999</v>
      </c>
      <c r="Y584" s="57"/>
      <c r="Z584" s="14"/>
      <c r="AA584" s="56"/>
      <c r="AB584" s="50">
        <f>(B584*194.205+C584*267.466+D584*133.845+E584*53.484+F584*40+G584*185+H584*0+I584*100+J584*300)/(194.205+267.466+133.845+53.484+0+40+185+100+300)</f>
        <v>32.199770713579277</v>
      </c>
      <c r="AC584" s="45">
        <f>(M584*'RAP TEMPLATE-GAS AVAILABILITY'!O583+N584*'RAP TEMPLATE-GAS AVAILABILITY'!P583+O584*'RAP TEMPLATE-GAS AVAILABILITY'!Q583+P584*'RAP TEMPLATE-GAS AVAILABILITY'!R583)/('RAP TEMPLATE-GAS AVAILABILITY'!O583+'RAP TEMPLATE-GAS AVAILABILITY'!P583+'RAP TEMPLATE-GAS AVAILABILITY'!Q583+'RAP TEMPLATE-GAS AVAILABILITY'!R583)</f>
        <v>31.58062661870504</v>
      </c>
    </row>
    <row r="585" spans="1:29" ht="15.75" x14ac:dyDescent="0.25">
      <c r="A585" s="32">
        <v>58714</v>
      </c>
      <c r="B585" s="14">
        <f>CHOOSE(CONTROL!$C$42, 30.1224, 30.1224) * CHOOSE(CONTROL!$C$21, $C$9, 100%, $E$9)</f>
        <v>30.122399999999999</v>
      </c>
      <c r="C585" s="14">
        <f>CHOOSE(CONTROL!$C$42, 30.1305, 30.1305) * CHOOSE(CONTROL!$C$21, $C$9, 100%, $E$9)</f>
        <v>30.130500000000001</v>
      </c>
      <c r="D585" s="14">
        <f>CHOOSE(CONTROL!$C$42, 30.3344, 30.3344) * CHOOSE(CONTROL!$C$21, $C$9, 100%, $E$9)</f>
        <v>30.334399999999999</v>
      </c>
      <c r="E585" s="14">
        <f>CHOOSE(CONTROL!$C$42, 30.3659, 30.3659) * CHOOSE(CONTROL!$C$21, $C$9, 100%, $E$9)</f>
        <v>30.3659</v>
      </c>
      <c r="F585" s="14">
        <f>CHOOSE(CONTROL!$C$42, 30.1043, 30.1043)*CHOOSE(CONTROL!$C$21, $C$9, 100%, $E$9)</f>
        <v>30.104299999999999</v>
      </c>
      <c r="G585" s="14">
        <f>CHOOSE(CONTROL!$C$42, 30.1203, 30.1203)*CHOOSE(CONTROL!$C$21, $C$9, 100%, $E$9)</f>
        <v>30.1203</v>
      </c>
      <c r="H585" s="14">
        <f>CHOOSE(CONTROL!$C$42, 30.3545, 30.3545) * CHOOSE(CONTROL!$C$21, $C$9, 100%, $E$9)</f>
        <v>30.354500000000002</v>
      </c>
      <c r="I585" s="14">
        <f>CHOOSE(CONTROL!$C$42, 30.2222, 30.2222)* CHOOSE(CONTROL!$C$21, $C$9, 100%, $E$9)</f>
        <v>30.222200000000001</v>
      </c>
      <c r="J585" s="14">
        <f>CHOOSE(CONTROL!$C$42, 30.0973, 30.0973)* CHOOSE(CONTROL!$C$21, $C$9, 100%, $E$9)</f>
        <v>30.097300000000001</v>
      </c>
      <c r="K585" s="53">
        <f>CHOOSE(CONTROL!$C$42, 30.2183, 30.2183) * CHOOSE(CONTROL!$C$21, $C$9, 100%, $E$9)</f>
        <v>30.218299999999999</v>
      </c>
      <c r="L585" s="14">
        <f>CHOOSE(CONTROL!$C$42, 30.9415, 30.9415) * CHOOSE(CONTROL!$C$21, $C$9, 100%, $E$9)</f>
        <v>30.941500000000001</v>
      </c>
      <c r="M585" s="14">
        <f>CHOOSE(CONTROL!$C$42, 29.4884, 29.4884) * CHOOSE(CONTROL!$C$21, $C$9, 100%, $E$9)</f>
        <v>29.488399999999999</v>
      </c>
      <c r="N585" s="14">
        <f>CHOOSE(CONTROL!$C$42, 29.504, 29.504) * CHOOSE(CONTROL!$C$21, $C$9, 100%, $E$9)</f>
        <v>29.504000000000001</v>
      </c>
      <c r="O585" s="14">
        <f>CHOOSE(CONTROL!$C$42, 29.7402, 29.7402) * CHOOSE(CONTROL!$C$21, $C$9, 100%, $E$9)</f>
        <v>29.740200000000002</v>
      </c>
      <c r="P585" s="14">
        <f>CHOOSE(CONTROL!$C$42, 29.6089, 29.6089) * CHOOSE(CONTROL!$C$21, $C$9, 100%, $E$9)</f>
        <v>29.608899999999998</v>
      </c>
      <c r="Q585" s="14">
        <f>CHOOSE(CONTROL!$C$42, 30.3349, 30.3349) * CHOOSE(CONTROL!$C$21, $C$9, 100%, $E$9)</f>
        <v>30.334900000000001</v>
      </c>
      <c r="R585" s="14">
        <f>CHOOSE(CONTROL!$C$42, 30.9978, 30.9978) * CHOOSE(CONTROL!$C$21, $C$9, 100%, $E$9)</f>
        <v>30.997800000000002</v>
      </c>
      <c r="S585" s="14">
        <f>CHOOSE(CONTROL!$C$42, 28.934, 28.934) * CHOOSE(CONTROL!$C$21, $C$9, 100%, $E$9)</f>
        <v>28.934000000000001</v>
      </c>
      <c r="T58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85" s="57">
        <f>(1000*CHOOSE(CONTROL!$C$42, 695, 695)*CHOOSE(CONTROL!$C$42, 0.5599, 0.5599)*CHOOSE(CONTROL!$C$42, 30, 30))/1000000</f>
        <v>11.673914999999997</v>
      </c>
      <c r="V585" s="57">
        <f>(1000*CHOOSE(CONTROL!$C$42, 500, 500)*CHOOSE(CONTROL!$C$42, 0.275, 0.275)*CHOOSE(CONTROL!$C$42, 30, 30))/1000000</f>
        <v>4.125</v>
      </c>
      <c r="W585" s="57">
        <f>(1000*CHOOSE(CONTROL!$C$42, 0.1146, 0.1146)*CHOOSE(CONTROL!$C$42, 121.5, 121.5)*CHOOSE(CONTROL!$C$42, 30, 30))/1000000</f>
        <v>0.417717</v>
      </c>
      <c r="X585" s="57">
        <f>(30*0.1790888*245000/1000000)+(30*0.2374*100000/1000000)</f>
        <v>2.0285026799999999</v>
      </c>
      <c r="Y585" s="57"/>
      <c r="Z585" s="14"/>
      <c r="AA585" s="56"/>
      <c r="AB585" s="50">
        <f>(B585*194.205+C585*267.466+D585*133.845+E585*53.484+F585*40+G585*185+H585*0+I585*100+J585*300)/(194.205+267.466+133.845+53.484+0+40+185+100+300)</f>
        <v>30.157645265777081</v>
      </c>
      <c r="AC585" s="45">
        <f>(M585*'RAP TEMPLATE-GAS AVAILABILITY'!O584+N585*'RAP TEMPLATE-GAS AVAILABILITY'!P584+O585*'RAP TEMPLATE-GAS AVAILABILITY'!Q584+P585*'RAP TEMPLATE-GAS AVAILABILITY'!R584)/('RAP TEMPLATE-GAS AVAILABILITY'!O584+'RAP TEMPLATE-GAS AVAILABILITY'!P584+'RAP TEMPLATE-GAS AVAILABILITY'!Q584+'RAP TEMPLATE-GAS AVAILABILITY'!R584)</f>
        <v>29.579978417266187</v>
      </c>
    </row>
    <row r="586" spans="1:29" ht="15.75" x14ac:dyDescent="0.25">
      <c r="A586" s="32">
        <v>58745</v>
      </c>
      <c r="B586" s="14">
        <f>CHOOSE(CONTROL!$C$42, 29.5093, 29.5093) * CHOOSE(CONTROL!$C$21, $C$9, 100%, $E$9)</f>
        <v>29.5093</v>
      </c>
      <c r="C586" s="14">
        <f>CHOOSE(CONTROL!$C$42, 29.5146, 29.5146) * CHOOSE(CONTROL!$C$21, $C$9, 100%, $E$9)</f>
        <v>29.514600000000002</v>
      </c>
      <c r="D586" s="14">
        <f>CHOOSE(CONTROL!$C$42, 29.7235, 29.7235) * CHOOSE(CONTROL!$C$21, $C$9, 100%, $E$9)</f>
        <v>29.723500000000001</v>
      </c>
      <c r="E586" s="14">
        <f>CHOOSE(CONTROL!$C$42, 29.7527, 29.7527) * CHOOSE(CONTROL!$C$21, $C$9, 100%, $E$9)</f>
        <v>29.752700000000001</v>
      </c>
      <c r="F586" s="14">
        <f>CHOOSE(CONTROL!$C$42, 29.4933, 29.4933)*CHOOSE(CONTROL!$C$21, $C$9, 100%, $E$9)</f>
        <v>29.493300000000001</v>
      </c>
      <c r="G586" s="14">
        <f>CHOOSE(CONTROL!$C$42, 29.5089, 29.5089)*CHOOSE(CONTROL!$C$21, $C$9, 100%, $E$9)</f>
        <v>29.508900000000001</v>
      </c>
      <c r="H586" s="14">
        <f>CHOOSE(CONTROL!$C$42, 29.7431, 29.7431) * CHOOSE(CONTROL!$C$21, $C$9, 100%, $E$9)</f>
        <v>29.743099999999998</v>
      </c>
      <c r="I586" s="14">
        <f>CHOOSE(CONTROL!$C$42, 29.6089, 29.6089)* CHOOSE(CONTROL!$C$21, $C$9, 100%, $E$9)</f>
        <v>29.608899999999998</v>
      </c>
      <c r="J586" s="14">
        <f>CHOOSE(CONTROL!$C$42, 29.4863, 29.4863)* CHOOSE(CONTROL!$C$21, $C$9, 100%, $E$9)</f>
        <v>29.4863</v>
      </c>
      <c r="K586" s="53">
        <f>CHOOSE(CONTROL!$C$42, 29.605, 29.605) * CHOOSE(CONTROL!$C$21, $C$9, 100%, $E$9)</f>
        <v>29.605</v>
      </c>
      <c r="L586" s="14">
        <f>CHOOSE(CONTROL!$C$42, 30.3301, 30.3301) * CHOOSE(CONTROL!$C$21, $C$9, 100%, $E$9)</f>
        <v>30.330100000000002</v>
      </c>
      <c r="M586" s="14">
        <f>CHOOSE(CONTROL!$C$42, 28.8898, 28.8898) * CHOOSE(CONTROL!$C$21, $C$9, 100%, $E$9)</f>
        <v>28.889800000000001</v>
      </c>
      <c r="N586" s="14">
        <f>CHOOSE(CONTROL!$C$42, 28.9052, 28.9052) * CHOOSE(CONTROL!$C$21, $C$9, 100%, $E$9)</f>
        <v>28.905200000000001</v>
      </c>
      <c r="O586" s="14">
        <f>CHOOSE(CONTROL!$C$42, 29.1414, 29.1414) * CHOOSE(CONTROL!$C$21, $C$9, 100%, $E$9)</f>
        <v>29.141400000000001</v>
      </c>
      <c r="P586" s="14">
        <f>CHOOSE(CONTROL!$C$42, 29.0082, 29.0082) * CHOOSE(CONTROL!$C$21, $C$9, 100%, $E$9)</f>
        <v>29.008199999999999</v>
      </c>
      <c r="Q586" s="14">
        <f>CHOOSE(CONTROL!$C$42, 29.7361, 29.7361) * CHOOSE(CONTROL!$C$21, $C$9, 100%, $E$9)</f>
        <v>29.7361</v>
      </c>
      <c r="R586" s="14">
        <f>CHOOSE(CONTROL!$C$42, 30.3974, 30.3974) * CHOOSE(CONTROL!$C$21, $C$9, 100%, $E$9)</f>
        <v>30.397400000000001</v>
      </c>
      <c r="S586" s="14">
        <f>CHOOSE(CONTROL!$C$42, 28.3466, 28.3466) * CHOOSE(CONTROL!$C$21, $C$9, 100%, $E$9)</f>
        <v>28.346599999999999</v>
      </c>
      <c r="T58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86" s="57">
        <f>(1000*CHOOSE(CONTROL!$C$42, 695, 695)*CHOOSE(CONTROL!$C$42, 0.5599, 0.5599)*CHOOSE(CONTROL!$C$42, 31, 31))/1000000</f>
        <v>12.063045499999998</v>
      </c>
      <c r="V586" s="57">
        <f>(1000*CHOOSE(CONTROL!$C$42, 500, 500)*CHOOSE(CONTROL!$C$42, 0.275, 0.275)*CHOOSE(CONTROL!$C$42, 31, 31))/1000000</f>
        <v>4.2625000000000002</v>
      </c>
      <c r="W586" s="57">
        <f>(1000*CHOOSE(CONTROL!$C$42, 0.1146, 0.1146)*CHOOSE(CONTROL!$C$42, 121.5, 121.5)*CHOOSE(CONTROL!$C$42, 31, 31))/1000000</f>
        <v>0.43164089999999994</v>
      </c>
      <c r="X586" s="57">
        <f>(31*0.1790888*245000/1000000)+(31*0.2374*100000/1000000)</f>
        <v>2.0961194359999999</v>
      </c>
      <c r="Y586" s="57"/>
      <c r="Z586" s="14"/>
      <c r="AA586" s="56"/>
      <c r="AB586" s="50">
        <f>(B586*131.881+C586*277.167+D586*79.08+E586*125.872+F586*40+G586*185+H586*0+I586*100+J586*300)/(131.881+277.167+79.08+125.872+0+40+185+100+300)</f>
        <v>29.5507779385795</v>
      </c>
      <c r="AC586" s="45">
        <f>(M586*'RAP TEMPLATE-GAS AVAILABILITY'!O585+N586*'RAP TEMPLATE-GAS AVAILABILITY'!P585+O586*'RAP TEMPLATE-GAS AVAILABILITY'!Q585+P586*'RAP TEMPLATE-GAS AVAILABILITY'!R585)/('RAP TEMPLATE-GAS AVAILABILITY'!O585+'RAP TEMPLATE-GAS AVAILABILITY'!P585+'RAP TEMPLATE-GAS AVAILABILITY'!Q585+'RAP TEMPLATE-GAS AVAILABILITY'!R585)</f>
        <v>28.980974100719425</v>
      </c>
    </row>
    <row r="587" spans="1:29" ht="15.75" x14ac:dyDescent="0.25">
      <c r="A587" s="32">
        <v>58775</v>
      </c>
      <c r="B587" s="14">
        <f>CHOOSE(CONTROL!$C$42, 30.286, 30.286) * CHOOSE(CONTROL!$C$21, $C$9, 100%, $E$9)</f>
        <v>30.286000000000001</v>
      </c>
      <c r="C587" s="14">
        <f>CHOOSE(CONTROL!$C$42, 30.2911, 30.2911) * CHOOSE(CONTROL!$C$21, $C$9, 100%, $E$9)</f>
        <v>30.2911</v>
      </c>
      <c r="D587" s="14">
        <f>CHOOSE(CONTROL!$C$42, 30.3549, 30.3549) * CHOOSE(CONTROL!$C$21, $C$9, 100%, $E$9)</f>
        <v>30.354900000000001</v>
      </c>
      <c r="E587" s="14">
        <f>CHOOSE(CONTROL!$C$42, 30.389, 30.389) * CHOOSE(CONTROL!$C$21, $C$9, 100%, $E$9)</f>
        <v>30.388999999999999</v>
      </c>
      <c r="F587" s="14">
        <f>CHOOSE(CONTROL!$C$42, 30.2884, 30.2884)*CHOOSE(CONTROL!$C$21, $C$9, 100%, $E$9)</f>
        <v>30.288399999999999</v>
      </c>
      <c r="G587" s="14">
        <f>CHOOSE(CONTROL!$C$42, 30.3044, 30.3044)*CHOOSE(CONTROL!$C$21, $C$9, 100%, $E$9)</f>
        <v>30.304400000000001</v>
      </c>
      <c r="H587" s="14">
        <f>CHOOSE(CONTROL!$C$42, 30.3782, 30.3782) * CHOOSE(CONTROL!$C$21, $C$9, 100%, $E$9)</f>
        <v>30.3782</v>
      </c>
      <c r="I587" s="14">
        <f>CHOOSE(CONTROL!$C$42, 30.3937, 30.3937)* CHOOSE(CONTROL!$C$21, $C$9, 100%, $E$9)</f>
        <v>30.393699999999999</v>
      </c>
      <c r="J587" s="14">
        <f>CHOOSE(CONTROL!$C$42, 30.2814, 30.2814)* CHOOSE(CONTROL!$C$21, $C$9, 100%, $E$9)</f>
        <v>30.281400000000001</v>
      </c>
      <c r="K587" s="53">
        <f>CHOOSE(CONTROL!$C$42, 30.3898, 30.3898) * CHOOSE(CONTROL!$C$21, $C$9, 100%, $E$9)</f>
        <v>30.389800000000001</v>
      </c>
      <c r="L587" s="14">
        <f>CHOOSE(CONTROL!$C$42, 30.9652, 30.9652) * CHOOSE(CONTROL!$C$21, $C$9, 100%, $E$9)</f>
        <v>30.965199999999999</v>
      </c>
      <c r="M587" s="14">
        <f>CHOOSE(CONTROL!$C$42, 29.6687, 29.6687) * CHOOSE(CONTROL!$C$21, $C$9, 100%, $E$9)</f>
        <v>29.668700000000001</v>
      </c>
      <c r="N587" s="14">
        <f>CHOOSE(CONTROL!$C$42, 29.6844, 29.6844) * CHOOSE(CONTROL!$C$21, $C$9, 100%, $E$9)</f>
        <v>29.6844</v>
      </c>
      <c r="O587" s="14">
        <f>CHOOSE(CONTROL!$C$42, 29.7635, 29.7635) * CHOOSE(CONTROL!$C$21, $C$9, 100%, $E$9)</f>
        <v>29.763500000000001</v>
      </c>
      <c r="P587" s="14">
        <f>CHOOSE(CONTROL!$C$42, 29.7768, 29.7768) * CHOOSE(CONTROL!$C$21, $C$9, 100%, $E$9)</f>
        <v>29.776800000000001</v>
      </c>
      <c r="Q587" s="14">
        <f>CHOOSE(CONTROL!$C$42, 30.3582, 30.3582) * CHOOSE(CONTROL!$C$21, $C$9, 100%, $E$9)</f>
        <v>30.3582</v>
      </c>
      <c r="R587" s="14">
        <f>CHOOSE(CONTROL!$C$42, 31.0211, 31.0211) * CHOOSE(CONTROL!$C$21, $C$9, 100%, $E$9)</f>
        <v>31.021100000000001</v>
      </c>
      <c r="S587" s="14">
        <f>CHOOSE(CONTROL!$C$42, 29.0933, 29.0933) * CHOOSE(CONTROL!$C$21, $C$9, 100%, $E$9)</f>
        <v>29.093299999999999</v>
      </c>
      <c r="T58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87" s="57">
        <f>(1000*CHOOSE(CONTROL!$C$42, 695, 695)*CHOOSE(CONTROL!$C$42, 0.5599, 0.5599)*CHOOSE(CONTROL!$C$42, 30, 30))/1000000</f>
        <v>11.673914999999997</v>
      </c>
      <c r="V587" s="57">
        <f>(1000*CHOOSE(CONTROL!$C$42, 500, 500)*CHOOSE(CONTROL!$C$42, 0.275, 0.275)*CHOOSE(CONTROL!$C$42, 30, 30))/1000000</f>
        <v>4.125</v>
      </c>
      <c r="W587" s="57">
        <f>(1000*CHOOSE(CONTROL!$C$42, 0.1146, 0.1146)*CHOOSE(CONTROL!$C$42, 121.5, 121.5)*CHOOSE(CONTROL!$C$42, 30, 30))/1000000</f>
        <v>0.417717</v>
      </c>
      <c r="X587" s="57">
        <f>(30*0.1790888*100000/1000000)+(30*0.2374*100000/1000000)</f>
        <v>1.2494664</v>
      </c>
      <c r="Y587" s="57"/>
      <c r="Z587" s="14"/>
      <c r="AA587" s="56"/>
      <c r="AB587" s="50">
        <f>(B587*122.58+C587*297.941+D587*89.177+E587*40.302+F587*40+G587*160+H587*0+I587*100+J587*300)/(122.58+297.941+89.177+40.302+0+40+160+100+300)</f>
        <v>30.307082522086958</v>
      </c>
      <c r="AC587" s="45">
        <f>(M587*'RAP TEMPLATE-GAS AVAILABILITY'!O586+N587*'RAP TEMPLATE-GAS AVAILABILITY'!P586+O587*'RAP TEMPLATE-GAS AVAILABILITY'!Q586+P587*'RAP TEMPLATE-GAS AVAILABILITY'!R586)/('RAP TEMPLATE-GAS AVAILABILITY'!O586+'RAP TEMPLATE-GAS AVAILABILITY'!P586+'RAP TEMPLATE-GAS AVAILABILITY'!Q586+'RAP TEMPLATE-GAS AVAILABILITY'!R586)</f>
        <v>29.728124460431655</v>
      </c>
    </row>
    <row r="588" spans="1:29" ht="15.75" x14ac:dyDescent="0.25">
      <c r="A588" s="32">
        <v>58806</v>
      </c>
      <c r="B588" s="14">
        <f>CHOOSE(CONTROL!$C$42, 32.3503, 32.3503) * CHOOSE(CONTROL!$C$21, $C$9, 100%, $E$9)</f>
        <v>32.350299999999997</v>
      </c>
      <c r="C588" s="14">
        <f>CHOOSE(CONTROL!$C$42, 32.3553, 32.3553) * CHOOSE(CONTROL!$C$21, $C$9, 100%, $E$9)</f>
        <v>32.3553</v>
      </c>
      <c r="D588" s="14">
        <f>CHOOSE(CONTROL!$C$42, 32.4191, 32.4191) * CHOOSE(CONTROL!$C$21, $C$9, 100%, $E$9)</f>
        <v>32.4191</v>
      </c>
      <c r="E588" s="14">
        <f>CHOOSE(CONTROL!$C$42, 32.4533, 32.4533) * CHOOSE(CONTROL!$C$21, $C$9, 100%, $E$9)</f>
        <v>32.453299999999999</v>
      </c>
      <c r="F588" s="14">
        <f>CHOOSE(CONTROL!$C$42, 32.3549, 32.3549)*CHOOSE(CONTROL!$C$21, $C$9, 100%, $E$9)</f>
        <v>32.354900000000001</v>
      </c>
      <c r="G588" s="14">
        <f>CHOOSE(CONTROL!$C$42, 32.3715, 32.3715)*CHOOSE(CONTROL!$C$21, $C$9, 100%, $E$9)</f>
        <v>32.371499999999997</v>
      </c>
      <c r="H588" s="14">
        <f>CHOOSE(CONTROL!$C$42, 32.4424, 32.4424) * CHOOSE(CONTROL!$C$21, $C$9, 100%, $E$9)</f>
        <v>32.442399999999999</v>
      </c>
      <c r="I588" s="14">
        <f>CHOOSE(CONTROL!$C$42, 32.4644, 32.4644)* CHOOSE(CONTROL!$C$21, $C$9, 100%, $E$9)</f>
        <v>32.464399999999998</v>
      </c>
      <c r="J588" s="14">
        <f>CHOOSE(CONTROL!$C$42, 32.3479, 32.3479)* CHOOSE(CONTROL!$C$21, $C$9, 100%, $E$9)</f>
        <v>32.347900000000003</v>
      </c>
      <c r="K588" s="53">
        <f>CHOOSE(CONTROL!$C$42, 32.4605, 32.4605) * CHOOSE(CONTROL!$C$21, $C$9, 100%, $E$9)</f>
        <v>32.460500000000003</v>
      </c>
      <c r="L588" s="14">
        <f>CHOOSE(CONTROL!$C$42, 33.0294, 33.0294) * CHOOSE(CONTROL!$C$21, $C$9, 100%, $E$9)</f>
        <v>33.029400000000003</v>
      </c>
      <c r="M588" s="14">
        <f>CHOOSE(CONTROL!$C$42, 31.6928, 31.6928) * CHOOSE(CONTROL!$C$21, $C$9, 100%, $E$9)</f>
        <v>31.692799999999998</v>
      </c>
      <c r="N588" s="14">
        <f>CHOOSE(CONTROL!$C$42, 31.7091, 31.7091) * CHOOSE(CONTROL!$C$21, $C$9, 100%, $E$9)</f>
        <v>31.709099999999999</v>
      </c>
      <c r="O588" s="14">
        <f>CHOOSE(CONTROL!$C$42, 31.7854, 31.7854) * CHOOSE(CONTROL!$C$21, $C$9, 100%, $E$9)</f>
        <v>31.785399999999999</v>
      </c>
      <c r="P588" s="14">
        <f>CHOOSE(CONTROL!$C$42, 31.805, 31.805) * CHOOSE(CONTROL!$C$21, $C$9, 100%, $E$9)</f>
        <v>31.805</v>
      </c>
      <c r="Q588" s="14">
        <f>CHOOSE(CONTROL!$C$42, 32.3801, 32.3801) * CHOOSE(CONTROL!$C$21, $C$9, 100%, $E$9)</f>
        <v>32.380099999999999</v>
      </c>
      <c r="R588" s="14">
        <f>CHOOSE(CONTROL!$C$42, 33.0481, 33.0481) * CHOOSE(CONTROL!$C$21, $C$9, 100%, $E$9)</f>
        <v>33.048099999999998</v>
      </c>
      <c r="S588" s="14">
        <f>CHOOSE(CONTROL!$C$42, 31.0768, 31.0768) * CHOOSE(CONTROL!$C$21, $C$9, 100%, $E$9)</f>
        <v>31.076799999999999</v>
      </c>
      <c r="T58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88" s="57">
        <f>(1000*CHOOSE(CONTROL!$C$42, 695, 695)*CHOOSE(CONTROL!$C$42, 0.5599, 0.5599)*CHOOSE(CONTROL!$C$42, 31, 31))/1000000</f>
        <v>12.063045499999998</v>
      </c>
      <c r="V588" s="57">
        <f>(1000*CHOOSE(CONTROL!$C$42, 500, 500)*CHOOSE(CONTROL!$C$42, 0.275, 0.275)*CHOOSE(CONTROL!$C$42, 31, 31))/1000000</f>
        <v>4.2625000000000002</v>
      </c>
      <c r="W588" s="57">
        <f>(1000*CHOOSE(CONTROL!$C$42, 0.1146, 0.1146)*CHOOSE(CONTROL!$C$42, 121.5, 121.5)*CHOOSE(CONTROL!$C$42, 31, 31))/1000000</f>
        <v>0.43164089999999994</v>
      </c>
      <c r="X588" s="57">
        <f>(31*0.1790888*100000/1000000)+(31*0.2374*100000/1000000)</f>
        <v>1.2911152800000001</v>
      </c>
      <c r="Y588" s="57"/>
      <c r="Z588" s="14"/>
      <c r="AA588" s="56"/>
      <c r="AB588" s="50">
        <f>(B588*122.58+C588*297.941+D588*89.177+E588*40.302+F588*40+G588*160+H588*0+I588*100+J588*300)/(122.58+297.941+89.177+40.302+0+40+160+100+300)</f>
        <v>32.372945381391304</v>
      </c>
      <c r="AC588" s="45">
        <f>(M588*'RAP TEMPLATE-GAS AVAILABILITY'!O587+N588*'RAP TEMPLATE-GAS AVAILABILITY'!P587+O588*'RAP TEMPLATE-GAS AVAILABILITY'!Q587+P588*'RAP TEMPLATE-GAS AVAILABILITY'!R587)/('RAP TEMPLATE-GAS AVAILABILITY'!O587+'RAP TEMPLATE-GAS AVAILABILITY'!P587+'RAP TEMPLATE-GAS AVAILABILITY'!Q587+'RAP TEMPLATE-GAS AVAILABILITY'!R587)</f>
        <v>31.751851798561152</v>
      </c>
    </row>
    <row r="589" spans="1:29" ht="15.75" x14ac:dyDescent="0.25">
      <c r="A589" s="32">
        <v>58837</v>
      </c>
      <c r="B589" s="14">
        <f>CHOOSE(CONTROL!$C$42, 34.9994, 34.9994) * CHOOSE(CONTROL!$C$21, $C$9, 100%, $E$9)</f>
        <v>34.999400000000001</v>
      </c>
      <c r="C589" s="14">
        <f>CHOOSE(CONTROL!$C$42, 35.0045, 35.0045) * CHOOSE(CONTROL!$C$21, $C$9, 100%, $E$9)</f>
        <v>35.0045</v>
      </c>
      <c r="D589" s="14">
        <f>CHOOSE(CONTROL!$C$42, 35.0709, 35.0709) * CHOOSE(CONTROL!$C$21, $C$9, 100%, $E$9)</f>
        <v>35.070900000000002</v>
      </c>
      <c r="E589" s="14">
        <f>CHOOSE(CONTROL!$C$42, 35.105, 35.105) * CHOOSE(CONTROL!$C$21, $C$9, 100%, $E$9)</f>
        <v>35.104999999999997</v>
      </c>
      <c r="F589" s="14">
        <f>CHOOSE(CONTROL!$C$42, 34.9867, 34.9867)*CHOOSE(CONTROL!$C$21, $C$9, 100%, $E$9)</f>
        <v>34.986699999999999</v>
      </c>
      <c r="G589" s="14">
        <f>CHOOSE(CONTROL!$C$42, 35.0022, 35.0022)*CHOOSE(CONTROL!$C$21, $C$9, 100%, $E$9)</f>
        <v>35.002200000000002</v>
      </c>
      <c r="H589" s="14">
        <f>CHOOSE(CONTROL!$C$42, 35.0942, 35.0942) * CHOOSE(CONTROL!$C$21, $C$9, 100%, $E$9)</f>
        <v>35.094200000000001</v>
      </c>
      <c r="I589" s="14">
        <f>CHOOSE(CONTROL!$C$42, 35.1167, 35.1167)* CHOOSE(CONTROL!$C$21, $C$9, 100%, $E$9)</f>
        <v>35.116700000000002</v>
      </c>
      <c r="J589" s="14">
        <f>CHOOSE(CONTROL!$C$42, 34.9797, 34.9797)* CHOOSE(CONTROL!$C$21, $C$9, 100%, $E$9)</f>
        <v>34.979700000000001</v>
      </c>
      <c r="K589" s="53">
        <f>CHOOSE(CONTROL!$C$42, 35.1128, 35.1128) * CHOOSE(CONTROL!$C$21, $C$9, 100%, $E$9)</f>
        <v>35.1128</v>
      </c>
      <c r="L589" s="14">
        <f>CHOOSE(CONTROL!$C$42, 35.6812, 35.6812) * CHOOSE(CONTROL!$C$21, $C$9, 100%, $E$9)</f>
        <v>35.681199999999997</v>
      </c>
      <c r="M589" s="14">
        <f>CHOOSE(CONTROL!$C$42, 34.2707, 34.2707) * CHOOSE(CONTROL!$C$21, $C$9, 100%, $E$9)</f>
        <v>34.270699999999998</v>
      </c>
      <c r="N589" s="14">
        <f>CHOOSE(CONTROL!$C$42, 34.2859, 34.2859) * CHOOSE(CONTROL!$C$21, $C$9, 100%, $E$9)</f>
        <v>34.285899999999998</v>
      </c>
      <c r="O589" s="14">
        <f>CHOOSE(CONTROL!$C$42, 34.3828, 34.3828) * CHOOSE(CONTROL!$C$21, $C$9, 100%, $E$9)</f>
        <v>34.382800000000003</v>
      </c>
      <c r="P589" s="14">
        <f>CHOOSE(CONTROL!$C$42, 34.4027, 34.4027) * CHOOSE(CONTROL!$C$21, $C$9, 100%, $E$9)</f>
        <v>34.402700000000003</v>
      </c>
      <c r="Q589" s="14">
        <f>CHOOSE(CONTROL!$C$42, 34.9775, 34.9775) * CHOOSE(CONTROL!$C$21, $C$9, 100%, $E$9)</f>
        <v>34.977499999999999</v>
      </c>
      <c r="R589" s="14">
        <f>CHOOSE(CONTROL!$C$42, 35.652, 35.652) * CHOOSE(CONTROL!$C$21, $C$9, 100%, $E$9)</f>
        <v>35.652000000000001</v>
      </c>
      <c r="S589" s="14">
        <f>CHOOSE(CONTROL!$C$42, 33.6224, 33.6224) * CHOOSE(CONTROL!$C$21, $C$9, 100%, $E$9)</f>
        <v>33.622399999999999</v>
      </c>
      <c r="T58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89" s="57">
        <f>(1000*CHOOSE(CONTROL!$C$42, 695, 695)*CHOOSE(CONTROL!$C$42, 0.5599, 0.5599)*CHOOSE(CONTROL!$C$42, 31, 31))/1000000</f>
        <v>12.063045499999998</v>
      </c>
      <c r="V589" s="57">
        <f>(1000*CHOOSE(CONTROL!$C$42, 500, 500)*CHOOSE(CONTROL!$C$42, 0.275, 0.275)*CHOOSE(CONTROL!$C$42, 31, 31))/1000000</f>
        <v>4.2625000000000002</v>
      </c>
      <c r="W589" s="57">
        <f>(1000*CHOOSE(CONTROL!$C$42, 0.1146, 0.1146)*CHOOSE(CONTROL!$C$42, 121.5, 121.5)*CHOOSE(CONTROL!$C$42, 31, 31))/1000000</f>
        <v>0.43164089999999994</v>
      </c>
      <c r="X589" s="57">
        <f>(31*0.1790888*100000/1000000)+(31*0.2374*100000/1000000)</f>
        <v>1.2911152800000001</v>
      </c>
      <c r="Y589" s="57"/>
      <c r="Z589" s="14"/>
      <c r="AA589" s="56"/>
      <c r="AB589" s="50">
        <f>(B589*122.58+C589*297.941+D589*89.177+E589*40.302+F589*40+G589*160+H589*0+I589*100+J589*300)/(122.58+297.941+89.177+40.302+0+40+160+100+300)</f>
        <v>35.014975257217394</v>
      </c>
      <c r="AC589" s="45">
        <f>(M589*'RAP TEMPLATE-GAS AVAILABILITY'!O588+N589*'RAP TEMPLATE-GAS AVAILABILITY'!P588+O589*'RAP TEMPLATE-GAS AVAILABILITY'!Q588+P589*'RAP TEMPLATE-GAS AVAILABILITY'!R588)/('RAP TEMPLATE-GAS AVAILABILITY'!O588+'RAP TEMPLATE-GAS AVAILABILITY'!P588+'RAP TEMPLATE-GAS AVAILABILITY'!Q588+'RAP TEMPLATE-GAS AVAILABILITY'!R588)</f>
        <v>34.34137553956834</v>
      </c>
    </row>
    <row r="590" spans="1:29" ht="15.75" x14ac:dyDescent="0.25">
      <c r="A590" s="32">
        <v>58865</v>
      </c>
      <c r="B590" s="14">
        <f>CHOOSE(CONTROL!$C$42, 35.6223, 35.6223) * CHOOSE(CONTROL!$C$21, $C$9, 100%, $E$9)</f>
        <v>35.622300000000003</v>
      </c>
      <c r="C590" s="14">
        <f>CHOOSE(CONTROL!$C$42, 35.6273, 35.6273) * CHOOSE(CONTROL!$C$21, $C$9, 100%, $E$9)</f>
        <v>35.627299999999998</v>
      </c>
      <c r="D590" s="14">
        <f>CHOOSE(CONTROL!$C$42, 35.6938, 35.6938) * CHOOSE(CONTROL!$C$21, $C$9, 100%, $E$9)</f>
        <v>35.693800000000003</v>
      </c>
      <c r="E590" s="14">
        <f>CHOOSE(CONTROL!$C$42, 35.7279, 35.7279) * CHOOSE(CONTROL!$C$21, $C$9, 100%, $E$9)</f>
        <v>35.727899999999998</v>
      </c>
      <c r="F590" s="14">
        <f>CHOOSE(CONTROL!$C$42, 35.6097, 35.6097)*CHOOSE(CONTROL!$C$21, $C$9, 100%, $E$9)</f>
        <v>35.609699999999997</v>
      </c>
      <c r="G590" s="14">
        <f>CHOOSE(CONTROL!$C$42, 35.6252, 35.6252)*CHOOSE(CONTROL!$C$21, $C$9, 100%, $E$9)</f>
        <v>35.6252</v>
      </c>
      <c r="H590" s="14">
        <f>CHOOSE(CONTROL!$C$42, 35.7171, 35.7171) * CHOOSE(CONTROL!$C$21, $C$9, 100%, $E$9)</f>
        <v>35.717100000000002</v>
      </c>
      <c r="I590" s="14">
        <f>CHOOSE(CONTROL!$C$42, 35.7415, 35.7415)* CHOOSE(CONTROL!$C$21, $C$9, 100%, $E$9)</f>
        <v>35.741500000000002</v>
      </c>
      <c r="J590" s="14">
        <f>CHOOSE(CONTROL!$C$42, 35.6027, 35.6027)* CHOOSE(CONTROL!$C$21, $C$9, 100%, $E$9)</f>
        <v>35.602699999999999</v>
      </c>
      <c r="K590" s="53">
        <f>CHOOSE(CONTROL!$C$42, 35.7376, 35.7376) * CHOOSE(CONTROL!$C$21, $C$9, 100%, $E$9)</f>
        <v>35.7376</v>
      </c>
      <c r="L590" s="14">
        <f>CHOOSE(CONTROL!$C$42, 36.3041, 36.3041) * CHOOSE(CONTROL!$C$21, $C$9, 100%, $E$9)</f>
        <v>36.304099999999998</v>
      </c>
      <c r="M590" s="14">
        <f>CHOOSE(CONTROL!$C$42, 34.8809, 34.8809) * CHOOSE(CONTROL!$C$21, $C$9, 100%, $E$9)</f>
        <v>34.880899999999997</v>
      </c>
      <c r="N590" s="14">
        <f>CHOOSE(CONTROL!$C$42, 34.8961, 34.8961) * CHOOSE(CONTROL!$C$21, $C$9, 100%, $E$9)</f>
        <v>34.896099999999997</v>
      </c>
      <c r="O590" s="14">
        <f>CHOOSE(CONTROL!$C$42, 34.9929, 34.9929) * CHOOSE(CONTROL!$C$21, $C$9, 100%, $E$9)</f>
        <v>34.992899999999999</v>
      </c>
      <c r="P590" s="14">
        <f>CHOOSE(CONTROL!$C$42, 35.0147, 35.0147) * CHOOSE(CONTROL!$C$21, $C$9, 100%, $E$9)</f>
        <v>35.014699999999998</v>
      </c>
      <c r="Q590" s="14">
        <f>CHOOSE(CONTROL!$C$42, 35.5876, 35.5876) * CHOOSE(CONTROL!$C$21, $C$9, 100%, $E$9)</f>
        <v>35.587600000000002</v>
      </c>
      <c r="R590" s="14">
        <f>CHOOSE(CONTROL!$C$42, 36.2636, 36.2636) * CHOOSE(CONTROL!$C$21, $C$9, 100%, $E$9)</f>
        <v>36.263599999999997</v>
      </c>
      <c r="S590" s="14">
        <f>CHOOSE(CONTROL!$C$42, 34.2209, 34.2209) * CHOOSE(CONTROL!$C$21, $C$9, 100%, $E$9)</f>
        <v>34.2209</v>
      </c>
      <c r="T59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90" s="57">
        <f>(1000*CHOOSE(CONTROL!$C$42, 695, 695)*CHOOSE(CONTROL!$C$42, 0.5599, 0.5599)*CHOOSE(CONTROL!$C$42, 28, 28))/1000000</f>
        <v>10.895653999999999</v>
      </c>
      <c r="V590" s="57">
        <f>(1000*CHOOSE(CONTROL!$C$42, 500, 500)*CHOOSE(CONTROL!$C$42, 0.275, 0.275)*CHOOSE(CONTROL!$C$42, 28, 28))/1000000</f>
        <v>3.85</v>
      </c>
      <c r="W590" s="57">
        <f>(1000*CHOOSE(CONTROL!$C$42, 0.1146, 0.1146)*CHOOSE(CONTROL!$C$42, 121.5, 121.5)*CHOOSE(CONTROL!$C$42, 28, 28))/1000000</f>
        <v>0.38986920000000003</v>
      </c>
      <c r="X590" s="57">
        <f>(28*0.1790888*100000/1000000)+(28*0.2374*100000/1000000)</f>
        <v>1.16616864</v>
      </c>
      <c r="Y590" s="57"/>
      <c r="Z590" s="14"/>
      <c r="AA590" s="56"/>
      <c r="AB590" s="50">
        <f>(B590*122.58+C590*297.941+D590*89.177+E590*40.302+F590*40+G590*160+H590*0+I590*100+J590*300)/(122.58+297.941+89.177+40.302+0+40+160+100+300)</f>
        <v>35.638058044956523</v>
      </c>
      <c r="AC590" s="45">
        <f>(M590*'RAP TEMPLATE-GAS AVAILABILITY'!O589+N590*'RAP TEMPLATE-GAS AVAILABILITY'!P589+O590*'RAP TEMPLATE-GAS AVAILABILITY'!Q589+P590*'RAP TEMPLATE-GAS AVAILABILITY'!R589)/('RAP TEMPLATE-GAS AVAILABILITY'!O589+'RAP TEMPLATE-GAS AVAILABILITY'!P589+'RAP TEMPLATE-GAS AVAILABILITY'!Q589+'RAP TEMPLATE-GAS AVAILABILITY'!R589)</f>
        <v>34.951789208633087</v>
      </c>
    </row>
    <row r="591" spans="1:29" ht="15.75" x14ac:dyDescent="0.25">
      <c r="A591" s="32">
        <v>58893</v>
      </c>
      <c r="B591" s="14">
        <f>CHOOSE(CONTROL!$C$42, 34.6112, 34.6112) * CHOOSE(CONTROL!$C$21, $C$9, 100%, $E$9)</f>
        <v>34.611199999999997</v>
      </c>
      <c r="C591" s="14">
        <f>CHOOSE(CONTROL!$C$42, 34.6163, 34.6163) * CHOOSE(CONTROL!$C$21, $C$9, 100%, $E$9)</f>
        <v>34.616300000000003</v>
      </c>
      <c r="D591" s="14">
        <f>CHOOSE(CONTROL!$C$42, 34.6827, 34.6827) * CHOOSE(CONTROL!$C$21, $C$9, 100%, $E$9)</f>
        <v>34.682699999999997</v>
      </c>
      <c r="E591" s="14">
        <f>CHOOSE(CONTROL!$C$42, 34.7168, 34.7168) * CHOOSE(CONTROL!$C$21, $C$9, 100%, $E$9)</f>
        <v>34.716799999999999</v>
      </c>
      <c r="F591" s="14">
        <f>CHOOSE(CONTROL!$C$42, 34.5982, 34.5982)*CHOOSE(CONTROL!$C$21, $C$9, 100%, $E$9)</f>
        <v>34.598199999999999</v>
      </c>
      <c r="G591" s="14">
        <f>CHOOSE(CONTROL!$C$42, 34.6136, 34.6136)*CHOOSE(CONTROL!$C$21, $C$9, 100%, $E$9)</f>
        <v>34.613599999999998</v>
      </c>
      <c r="H591" s="14">
        <f>CHOOSE(CONTROL!$C$42, 34.706, 34.706) * CHOOSE(CONTROL!$C$21, $C$9, 100%, $E$9)</f>
        <v>34.706000000000003</v>
      </c>
      <c r="I591" s="14">
        <f>CHOOSE(CONTROL!$C$42, 34.7272, 34.7272)* CHOOSE(CONTROL!$C$21, $C$9, 100%, $E$9)</f>
        <v>34.727200000000003</v>
      </c>
      <c r="J591" s="14">
        <f>CHOOSE(CONTROL!$C$42, 34.5912, 34.5912)* CHOOSE(CONTROL!$C$21, $C$9, 100%, $E$9)</f>
        <v>34.591200000000001</v>
      </c>
      <c r="K591" s="53">
        <f>CHOOSE(CONTROL!$C$42, 34.7233, 34.7233) * CHOOSE(CONTROL!$C$21, $C$9, 100%, $E$9)</f>
        <v>34.723300000000002</v>
      </c>
      <c r="L591" s="14">
        <f>CHOOSE(CONTROL!$C$42, 35.293, 35.293) * CHOOSE(CONTROL!$C$21, $C$9, 100%, $E$9)</f>
        <v>35.292999999999999</v>
      </c>
      <c r="M591" s="14">
        <f>CHOOSE(CONTROL!$C$42, 33.8902, 33.8902) * CHOOSE(CONTROL!$C$21, $C$9, 100%, $E$9)</f>
        <v>33.8902</v>
      </c>
      <c r="N591" s="14">
        <f>CHOOSE(CONTROL!$C$42, 33.9052, 33.9052) * CHOOSE(CONTROL!$C$21, $C$9, 100%, $E$9)</f>
        <v>33.905200000000001</v>
      </c>
      <c r="O591" s="14">
        <f>CHOOSE(CONTROL!$C$42, 34.0026, 34.0026) * CHOOSE(CONTROL!$C$21, $C$9, 100%, $E$9)</f>
        <v>34.002600000000001</v>
      </c>
      <c r="P591" s="14">
        <f>CHOOSE(CONTROL!$C$42, 34.0213, 34.0213) * CHOOSE(CONTROL!$C$21, $C$9, 100%, $E$9)</f>
        <v>34.021299999999997</v>
      </c>
      <c r="Q591" s="14">
        <f>CHOOSE(CONTROL!$C$42, 34.5973, 34.5973) * CHOOSE(CONTROL!$C$21, $C$9, 100%, $E$9)</f>
        <v>34.597299999999997</v>
      </c>
      <c r="R591" s="14">
        <f>CHOOSE(CONTROL!$C$42, 35.2708, 35.2708) * CHOOSE(CONTROL!$C$21, $C$9, 100%, $E$9)</f>
        <v>35.270800000000001</v>
      </c>
      <c r="S591" s="14">
        <f>CHOOSE(CONTROL!$C$42, 33.2494, 33.2494) * CHOOSE(CONTROL!$C$21, $C$9, 100%, $E$9)</f>
        <v>33.249400000000001</v>
      </c>
      <c r="T59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91" s="57">
        <f>(1000*CHOOSE(CONTROL!$C$42, 695, 695)*CHOOSE(CONTROL!$C$42, 0.5599, 0.5599)*CHOOSE(CONTROL!$C$42, 31, 31))/1000000</f>
        <v>12.063045499999998</v>
      </c>
      <c r="V591" s="57">
        <f>(1000*CHOOSE(CONTROL!$C$42, 500, 500)*CHOOSE(CONTROL!$C$42, 0.275, 0.275)*CHOOSE(CONTROL!$C$42, 31, 31))/1000000</f>
        <v>4.2625000000000002</v>
      </c>
      <c r="W591" s="57">
        <f>(1000*CHOOSE(CONTROL!$C$42, 0.1146, 0.1146)*CHOOSE(CONTROL!$C$42, 121.5, 121.5)*CHOOSE(CONTROL!$C$42, 31, 31))/1000000</f>
        <v>0.43164089999999994</v>
      </c>
      <c r="X591" s="57">
        <f>(31*0.1790888*100000/1000000)+(31*0.2374*100000/1000000)</f>
        <v>1.2911152800000001</v>
      </c>
      <c r="Y591" s="57"/>
      <c r="Z591" s="14"/>
      <c r="AA591" s="56"/>
      <c r="AB591" s="50">
        <f>(B591*122.58+C591*297.941+D591*89.177+E591*40.302+F591*40+G591*160+H591*0+I591*100+J591*300)/(122.58+297.941+89.177+40.302+0+40+160+100+300)</f>
        <v>34.626517865913044</v>
      </c>
      <c r="AC591" s="45">
        <f>(M591*'RAP TEMPLATE-GAS AVAILABILITY'!O590+N591*'RAP TEMPLATE-GAS AVAILABILITY'!P590+O591*'RAP TEMPLATE-GAS AVAILABILITY'!Q590+P591*'RAP TEMPLATE-GAS AVAILABILITY'!R590)/('RAP TEMPLATE-GAS AVAILABILITY'!O590+'RAP TEMPLATE-GAS AVAILABILITY'!P590+'RAP TEMPLATE-GAS AVAILABILITY'!Q590+'RAP TEMPLATE-GAS AVAILABILITY'!R590)</f>
        <v>33.960870503597121</v>
      </c>
    </row>
    <row r="592" spans="1:29" ht="15.75" x14ac:dyDescent="0.25">
      <c r="A592" s="32">
        <v>58926</v>
      </c>
      <c r="B592" s="14">
        <f>CHOOSE(CONTROL!$C$42, 34.5088, 34.5088) * CHOOSE(CONTROL!$C$21, $C$9, 100%, $E$9)</f>
        <v>34.508800000000001</v>
      </c>
      <c r="C592" s="14">
        <f>CHOOSE(CONTROL!$C$42, 34.5133, 34.5133) * CHOOSE(CONTROL!$C$21, $C$9, 100%, $E$9)</f>
        <v>34.513300000000001</v>
      </c>
      <c r="D592" s="14">
        <f>CHOOSE(CONTROL!$C$42, 34.7204, 34.7204) * CHOOSE(CONTROL!$C$21, $C$9, 100%, $E$9)</f>
        <v>34.720399999999998</v>
      </c>
      <c r="E592" s="14">
        <f>CHOOSE(CONTROL!$C$42, 34.7525, 34.7525) * CHOOSE(CONTROL!$C$21, $C$9, 100%, $E$9)</f>
        <v>34.752499999999998</v>
      </c>
      <c r="F592" s="14">
        <f>CHOOSE(CONTROL!$C$42, 34.4907, 34.4907)*CHOOSE(CONTROL!$C$21, $C$9, 100%, $E$9)</f>
        <v>34.490699999999997</v>
      </c>
      <c r="G592" s="14">
        <f>CHOOSE(CONTROL!$C$42, 34.5059, 34.5059)*CHOOSE(CONTROL!$C$21, $C$9, 100%, $E$9)</f>
        <v>34.505899999999997</v>
      </c>
      <c r="H592" s="14">
        <f>CHOOSE(CONTROL!$C$42, 34.7422, 34.7422) * CHOOSE(CONTROL!$C$21, $C$9, 100%, $E$9)</f>
        <v>34.742199999999997</v>
      </c>
      <c r="I592" s="14">
        <f>CHOOSE(CONTROL!$C$42, 34.6237, 34.6237)* CHOOSE(CONTROL!$C$21, $C$9, 100%, $E$9)</f>
        <v>34.623699999999999</v>
      </c>
      <c r="J592" s="14">
        <f>CHOOSE(CONTROL!$C$42, 34.4837, 34.4837)* CHOOSE(CONTROL!$C$21, $C$9, 100%, $E$9)</f>
        <v>34.483699999999999</v>
      </c>
      <c r="K592" s="53">
        <f>CHOOSE(CONTROL!$C$42, 34.6198, 34.6198) * CHOOSE(CONTROL!$C$21, $C$9, 100%, $E$9)</f>
        <v>34.619799999999998</v>
      </c>
      <c r="L592" s="14">
        <f>CHOOSE(CONTROL!$C$42, 35.3292, 35.3292) * CHOOSE(CONTROL!$C$21, $C$9, 100%, $E$9)</f>
        <v>35.3292</v>
      </c>
      <c r="M592" s="14">
        <f>CHOOSE(CONTROL!$C$42, 33.7848, 33.7848) * CHOOSE(CONTROL!$C$21, $C$9, 100%, $E$9)</f>
        <v>33.784799999999997</v>
      </c>
      <c r="N592" s="14">
        <f>CHOOSE(CONTROL!$C$42, 33.7997, 33.7997) * CHOOSE(CONTROL!$C$21, $C$9, 100%, $E$9)</f>
        <v>33.799700000000001</v>
      </c>
      <c r="O592" s="14">
        <f>CHOOSE(CONTROL!$C$42, 34.0381, 34.0381) * CHOOSE(CONTROL!$C$21, $C$9, 100%, $E$9)</f>
        <v>34.0381</v>
      </c>
      <c r="P592" s="14">
        <f>CHOOSE(CONTROL!$C$42, 33.9199, 33.9199) * CHOOSE(CONTROL!$C$21, $C$9, 100%, $E$9)</f>
        <v>33.919899999999998</v>
      </c>
      <c r="Q592" s="14">
        <f>CHOOSE(CONTROL!$C$42, 34.6328, 34.6328) * CHOOSE(CONTROL!$C$21, $C$9, 100%, $E$9)</f>
        <v>34.632800000000003</v>
      </c>
      <c r="R592" s="14">
        <f>CHOOSE(CONTROL!$C$42, 35.3064, 35.3064) * CHOOSE(CONTROL!$C$21, $C$9, 100%, $E$9)</f>
        <v>35.306399999999996</v>
      </c>
      <c r="S592" s="14">
        <f>CHOOSE(CONTROL!$C$42, 33.1502, 33.1502) * CHOOSE(CONTROL!$C$21, $C$9, 100%, $E$9)</f>
        <v>33.150199999999998</v>
      </c>
      <c r="T59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92" s="57">
        <f>(1000*CHOOSE(CONTROL!$C$42, 695, 695)*CHOOSE(CONTROL!$C$42, 0.5599, 0.5599)*CHOOSE(CONTROL!$C$42, 30, 30))/1000000</f>
        <v>11.673914999999997</v>
      </c>
      <c r="V592" s="57">
        <f>(1000*CHOOSE(CONTROL!$C$42, 500, 500)*CHOOSE(CONTROL!$C$42, 0.275, 0.275)*CHOOSE(CONTROL!$C$42, 30, 30))/1000000</f>
        <v>4.125</v>
      </c>
      <c r="W592" s="57">
        <f>(1000*CHOOSE(CONTROL!$C$42, 0.1146, 0.1146)*CHOOSE(CONTROL!$C$42, 121.5, 121.5)*CHOOSE(CONTROL!$C$42, 30, 30))/1000000</f>
        <v>0.417717</v>
      </c>
      <c r="X592" s="57">
        <f>(30*0.1790888*245000/1000000)+(30*0.2374*100000/1000000)</f>
        <v>2.0285026799999999</v>
      </c>
      <c r="Y592" s="57"/>
      <c r="Z592" s="14"/>
      <c r="AA592" s="56"/>
      <c r="AB592" s="50">
        <f>(B592*141.293+C592*267.993+D592*115.016+E592*89.698+F592*40+G592*185+H592*0+I592*100+J592*300)/(141.293+267.993+115.016+89.698+0+40+185+100+300)</f>
        <v>34.549237656739308</v>
      </c>
      <c r="AC592" s="45">
        <f>(M592*'RAP TEMPLATE-GAS AVAILABILITY'!O591+N592*'RAP TEMPLATE-GAS AVAILABILITY'!P591+O592*'RAP TEMPLATE-GAS AVAILABILITY'!Q591+P592*'RAP TEMPLATE-GAS AVAILABILITY'!R591)/('RAP TEMPLATE-GAS AVAILABILITY'!O591+'RAP TEMPLATE-GAS AVAILABILITY'!P591+'RAP TEMPLATE-GAS AVAILABILITY'!Q591+'RAP TEMPLATE-GAS AVAILABILITY'!R591)</f>
        <v>33.878738848920861</v>
      </c>
    </row>
    <row r="593" spans="1:29" ht="15.75" x14ac:dyDescent="0.25">
      <c r="A593" s="32">
        <v>58957</v>
      </c>
      <c r="B593" s="14">
        <f>CHOOSE(CONTROL!$C$42, 34.8147, 34.8147) * CHOOSE(CONTROL!$C$21, $C$9, 100%, $E$9)</f>
        <v>34.814700000000002</v>
      </c>
      <c r="C593" s="14">
        <f>CHOOSE(CONTROL!$C$42, 34.8227, 34.8227) * CHOOSE(CONTROL!$C$21, $C$9, 100%, $E$9)</f>
        <v>34.822699999999998</v>
      </c>
      <c r="D593" s="14">
        <f>CHOOSE(CONTROL!$C$42, 35.0266, 35.0266) * CHOOSE(CONTROL!$C$21, $C$9, 100%, $E$9)</f>
        <v>35.026600000000002</v>
      </c>
      <c r="E593" s="14">
        <f>CHOOSE(CONTROL!$C$42, 35.0581, 35.0581) * CHOOSE(CONTROL!$C$21, $C$9, 100%, $E$9)</f>
        <v>35.058100000000003</v>
      </c>
      <c r="F593" s="14">
        <f>CHOOSE(CONTROL!$C$42, 34.7954, 34.7954)*CHOOSE(CONTROL!$C$21, $C$9, 100%, $E$9)</f>
        <v>34.795400000000001</v>
      </c>
      <c r="G593" s="14">
        <f>CHOOSE(CONTROL!$C$42, 34.8111, 34.8111)*CHOOSE(CONTROL!$C$21, $C$9, 100%, $E$9)</f>
        <v>34.811100000000003</v>
      </c>
      <c r="H593" s="14">
        <f>CHOOSE(CONTROL!$C$42, 35.0467, 35.0467) * CHOOSE(CONTROL!$C$21, $C$9, 100%, $E$9)</f>
        <v>35.046700000000001</v>
      </c>
      <c r="I593" s="14">
        <f>CHOOSE(CONTROL!$C$42, 34.9291, 34.9291)* CHOOSE(CONTROL!$C$21, $C$9, 100%, $E$9)</f>
        <v>34.929099999999998</v>
      </c>
      <c r="J593" s="14">
        <f>CHOOSE(CONTROL!$C$42, 34.7884, 34.7884)* CHOOSE(CONTROL!$C$21, $C$9, 100%, $E$9)</f>
        <v>34.788400000000003</v>
      </c>
      <c r="K593" s="53">
        <f>CHOOSE(CONTROL!$C$42, 34.9253, 34.9253) * CHOOSE(CONTROL!$C$21, $C$9, 100%, $E$9)</f>
        <v>34.9253</v>
      </c>
      <c r="L593" s="14">
        <f>CHOOSE(CONTROL!$C$42, 35.6337, 35.6337) * CHOOSE(CONTROL!$C$21, $C$9, 100%, $E$9)</f>
        <v>35.633699999999997</v>
      </c>
      <c r="M593" s="14">
        <f>CHOOSE(CONTROL!$C$42, 34.0833, 34.0833) * CHOOSE(CONTROL!$C$21, $C$9, 100%, $E$9)</f>
        <v>34.083300000000001</v>
      </c>
      <c r="N593" s="14">
        <f>CHOOSE(CONTROL!$C$42, 34.0987, 34.0987) * CHOOSE(CONTROL!$C$21, $C$9, 100%, $E$9)</f>
        <v>34.098700000000001</v>
      </c>
      <c r="O593" s="14">
        <f>CHOOSE(CONTROL!$C$42, 34.3363, 34.3363) * CHOOSE(CONTROL!$C$21, $C$9, 100%, $E$9)</f>
        <v>34.336300000000001</v>
      </c>
      <c r="P593" s="14">
        <f>CHOOSE(CONTROL!$C$42, 34.219, 34.219) * CHOOSE(CONTROL!$C$21, $C$9, 100%, $E$9)</f>
        <v>34.219000000000001</v>
      </c>
      <c r="Q593" s="14">
        <f>CHOOSE(CONTROL!$C$42, 34.931, 34.931) * CHOOSE(CONTROL!$C$21, $C$9, 100%, $E$9)</f>
        <v>34.930999999999997</v>
      </c>
      <c r="R593" s="14">
        <f>CHOOSE(CONTROL!$C$42, 35.6054, 35.6054) * CHOOSE(CONTROL!$C$21, $C$9, 100%, $E$9)</f>
        <v>35.605400000000003</v>
      </c>
      <c r="S593" s="14">
        <f>CHOOSE(CONTROL!$C$42, 33.4428, 33.4428) * CHOOSE(CONTROL!$C$21, $C$9, 100%, $E$9)</f>
        <v>33.442799999999998</v>
      </c>
      <c r="T59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93" s="57">
        <f>(1000*CHOOSE(CONTROL!$C$42, 695, 695)*CHOOSE(CONTROL!$C$42, 0.5599, 0.5599)*CHOOSE(CONTROL!$C$42, 31, 31))/1000000</f>
        <v>12.063045499999998</v>
      </c>
      <c r="V593" s="57">
        <f>(1000*CHOOSE(CONTROL!$C$42, 500, 500)*CHOOSE(CONTROL!$C$42, 0.275, 0.275)*CHOOSE(CONTROL!$C$42, 31, 31))/1000000</f>
        <v>4.2625000000000002</v>
      </c>
      <c r="W593" s="57">
        <f>(1000*CHOOSE(CONTROL!$C$42, 0.1146, 0.1146)*CHOOSE(CONTROL!$C$42, 121.5, 121.5)*CHOOSE(CONTROL!$C$42, 31, 31))/1000000</f>
        <v>0.43164089999999994</v>
      </c>
      <c r="X593" s="57">
        <f>(31*0.1790888*245000/1000000)+(31*0.2374*100000/1000000)</f>
        <v>2.0961194359999999</v>
      </c>
      <c r="Y593" s="57"/>
      <c r="Z593" s="14"/>
      <c r="AA593" s="56"/>
      <c r="AB593" s="50">
        <f>(B593*194.205+C593*267.466+D593*133.845+E593*53.484+F593*40+G593*185+H593*0+I593*100+J593*300)/(194.205+267.466+133.845+53.484+0+40+185+100+300)</f>
        <v>34.850517495368926</v>
      </c>
      <c r="AC593" s="45">
        <f>(M593*'RAP TEMPLATE-GAS AVAILABILITY'!O592+N593*'RAP TEMPLATE-GAS AVAILABILITY'!P592+O593*'RAP TEMPLATE-GAS AVAILABILITY'!Q592+P593*'RAP TEMPLATE-GAS AVAILABILITY'!R592)/('RAP TEMPLATE-GAS AVAILABILITY'!O592+'RAP TEMPLATE-GAS AVAILABILITY'!P592+'RAP TEMPLATE-GAS AVAILABILITY'!Q592+'RAP TEMPLATE-GAS AVAILABILITY'!R592)</f>
        <v>34.177356115107912</v>
      </c>
    </row>
    <row r="594" spans="1:29" ht="15.75" x14ac:dyDescent="0.25">
      <c r="A594" s="32">
        <v>58987</v>
      </c>
      <c r="B594" s="14">
        <f>CHOOSE(CONTROL!$C$42, 35.8019, 35.8019) * CHOOSE(CONTROL!$C$21, $C$9, 100%, $E$9)</f>
        <v>35.801900000000003</v>
      </c>
      <c r="C594" s="14">
        <f>CHOOSE(CONTROL!$C$42, 35.8099, 35.8099) * CHOOSE(CONTROL!$C$21, $C$9, 100%, $E$9)</f>
        <v>35.809899999999999</v>
      </c>
      <c r="D594" s="14">
        <f>CHOOSE(CONTROL!$C$42, 36.0139, 36.0139) * CHOOSE(CONTROL!$C$21, $C$9, 100%, $E$9)</f>
        <v>36.0139</v>
      </c>
      <c r="E594" s="14">
        <f>CHOOSE(CONTROL!$C$42, 36.0453, 36.0453) * CHOOSE(CONTROL!$C$21, $C$9, 100%, $E$9)</f>
        <v>36.045299999999997</v>
      </c>
      <c r="F594" s="14">
        <f>CHOOSE(CONTROL!$C$42, 35.7831, 35.7831)*CHOOSE(CONTROL!$C$21, $C$9, 100%, $E$9)</f>
        <v>35.783099999999997</v>
      </c>
      <c r="G594" s="14">
        <f>CHOOSE(CONTROL!$C$42, 35.7988, 35.7988)*CHOOSE(CONTROL!$C$21, $C$9, 100%, $E$9)</f>
        <v>35.7988</v>
      </c>
      <c r="H594" s="14">
        <f>CHOOSE(CONTROL!$C$42, 36.0339, 36.0339) * CHOOSE(CONTROL!$C$21, $C$9, 100%, $E$9)</f>
        <v>36.033900000000003</v>
      </c>
      <c r="I594" s="14">
        <f>CHOOSE(CONTROL!$C$42, 35.9195, 35.9195)* CHOOSE(CONTROL!$C$21, $C$9, 100%, $E$9)</f>
        <v>35.919499999999999</v>
      </c>
      <c r="J594" s="14">
        <f>CHOOSE(CONTROL!$C$42, 35.7761, 35.7761)* CHOOSE(CONTROL!$C$21, $C$9, 100%, $E$9)</f>
        <v>35.7761</v>
      </c>
      <c r="K594" s="53">
        <f>CHOOSE(CONTROL!$C$42, 35.9156, 35.9156) * CHOOSE(CONTROL!$C$21, $C$9, 100%, $E$9)</f>
        <v>35.915599999999998</v>
      </c>
      <c r="L594" s="14">
        <f>CHOOSE(CONTROL!$C$42, 36.6209, 36.6209) * CHOOSE(CONTROL!$C$21, $C$9, 100%, $E$9)</f>
        <v>36.620899999999999</v>
      </c>
      <c r="M594" s="14">
        <f>CHOOSE(CONTROL!$C$42, 35.0507, 35.0507) * CHOOSE(CONTROL!$C$21, $C$9, 100%, $E$9)</f>
        <v>35.050699999999999</v>
      </c>
      <c r="N594" s="14">
        <f>CHOOSE(CONTROL!$C$42, 35.0662, 35.0662) * CHOOSE(CONTROL!$C$21, $C$9, 100%, $E$9)</f>
        <v>35.066200000000002</v>
      </c>
      <c r="O594" s="14">
        <f>CHOOSE(CONTROL!$C$42, 35.3033, 35.3033) * CHOOSE(CONTROL!$C$21, $C$9, 100%, $E$9)</f>
        <v>35.3033</v>
      </c>
      <c r="P594" s="14">
        <f>CHOOSE(CONTROL!$C$42, 35.189, 35.189) * CHOOSE(CONTROL!$C$21, $C$9, 100%, $E$9)</f>
        <v>35.189</v>
      </c>
      <c r="Q594" s="14">
        <f>CHOOSE(CONTROL!$C$42, 35.898, 35.898) * CHOOSE(CONTROL!$C$21, $C$9, 100%, $E$9)</f>
        <v>35.898000000000003</v>
      </c>
      <c r="R594" s="14">
        <f>CHOOSE(CONTROL!$C$42, 36.5748, 36.5748) * CHOOSE(CONTROL!$C$21, $C$9, 100%, $E$9)</f>
        <v>36.574800000000003</v>
      </c>
      <c r="S594" s="14">
        <f>CHOOSE(CONTROL!$C$42, 34.3914, 34.3914) * CHOOSE(CONTROL!$C$21, $C$9, 100%, $E$9)</f>
        <v>34.391399999999997</v>
      </c>
      <c r="T59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94" s="57">
        <f>(1000*CHOOSE(CONTROL!$C$42, 695, 695)*CHOOSE(CONTROL!$C$42, 0.5599, 0.5599)*CHOOSE(CONTROL!$C$42, 30, 30))/1000000</f>
        <v>11.673914999999997</v>
      </c>
      <c r="V594" s="57">
        <f>(1000*CHOOSE(CONTROL!$C$42, 500, 500)*CHOOSE(CONTROL!$C$42, 0.275, 0.275)*CHOOSE(CONTROL!$C$42, 30, 30))/1000000</f>
        <v>4.125</v>
      </c>
      <c r="W594" s="57">
        <f>(1000*CHOOSE(CONTROL!$C$42, 0.1146, 0.1146)*CHOOSE(CONTROL!$C$42, 121.5, 121.5)*CHOOSE(CONTROL!$C$42, 30, 30))/1000000</f>
        <v>0.417717</v>
      </c>
      <c r="X594" s="57">
        <f>(30*0.1790888*245000/1000000)+(30*0.2374*100000/1000000)</f>
        <v>2.0285026799999999</v>
      </c>
      <c r="Y594" s="57"/>
      <c r="Z594" s="14"/>
      <c r="AA594" s="56"/>
      <c r="AB594" s="50">
        <f>(B594*194.205+C594*267.466+D594*133.845+E594*53.484+F594*40+G594*185+H594*0+I594*100+J594*300)/(194.205+267.466+133.845+53.484+0+40+185+100+300)</f>
        <v>35.838185222605965</v>
      </c>
      <c r="AC594" s="45">
        <f>(M594*'RAP TEMPLATE-GAS AVAILABILITY'!O593+N594*'RAP TEMPLATE-GAS AVAILABILITY'!P593+O594*'RAP TEMPLATE-GAS AVAILABILITY'!Q593+P594*'RAP TEMPLATE-GAS AVAILABILITY'!R593)/('RAP TEMPLATE-GAS AVAILABILITY'!O593+'RAP TEMPLATE-GAS AVAILABILITY'!P593+'RAP TEMPLATE-GAS AVAILABILITY'!Q593+'RAP TEMPLATE-GAS AVAILABILITY'!R593)</f>
        <v>35.145041007194244</v>
      </c>
    </row>
    <row r="595" spans="1:29" ht="15.75" x14ac:dyDescent="0.25">
      <c r="A595" s="32">
        <v>59018</v>
      </c>
      <c r="B595" s="14">
        <f>CHOOSE(CONTROL!$C$42, 35.1153, 35.1153) * CHOOSE(CONTROL!$C$21, $C$9, 100%, $E$9)</f>
        <v>35.115299999999998</v>
      </c>
      <c r="C595" s="14">
        <f>CHOOSE(CONTROL!$C$42, 35.1233, 35.1233) * CHOOSE(CONTROL!$C$21, $C$9, 100%, $E$9)</f>
        <v>35.1233</v>
      </c>
      <c r="D595" s="14">
        <f>CHOOSE(CONTROL!$C$42, 35.3272, 35.3272) * CHOOSE(CONTROL!$C$21, $C$9, 100%, $E$9)</f>
        <v>35.327199999999998</v>
      </c>
      <c r="E595" s="14">
        <f>CHOOSE(CONTROL!$C$42, 35.3587, 35.3587) * CHOOSE(CONTROL!$C$21, $C$9, 100%, $E$9)</f>
        <v>35.358699999999999</v>
      </c>
      <c r="F595" s="14">
        <f>CHOOSE(CONTROL!$C$42, 35.0969, 35.0969)*CHOOSE(CONTROL!$C$21, $C$9, 100%, $E$9)</f>
        <v>35.096899999999998</v>
      </c>
      <c r="G595" s="14">
        <f>CHOOSE(CONTROL!$C$42, 35.1128, 35.1128)*CHOOSE(CONTROL!$C$21, $C$9, 100%, $E$9)</f>
        <v>35.1128</v>
      </c>
      <c r="H595" s="14">
        <f>CHOOSE(CONTROL!$C$42, 35.3473, 35.3473) * CHOOSE(CONTROL!$C$21, $C$9, 100%, $E$9)</f>
        <v>35.347299999999997</v>
      </c>
      <c r="I595" s="14">
        <f>CHOOSE(CONTROL!$C$42, 35.2307, 35.2307)* CHOOSE(CONTROL!$C$21, $C$9, 100%, $E$9)</f>
        <v>35.230699999999999</v>
      </c>
      <c r="J595" s="14">
        <f>CHOOSE(CONTROL!$C$42, 35.0899, 35.0899)* CHOOSE(CONTROL!$C$21, $C$9, 100%, $E$9)</f>
        <v>35.0899</v>
      </c>
      <c r="K595" s="53">
        <f>CHOOSE(CONTROL!$C$42, 35.2268, 35.2268) * CHOOSE(CONTROL!$C$21, $C$9, 100%, $E$9)</f>
        <v>35.226799999999997</v>
      </c>
      <c r="L595" s="14">
        <f>CHOOSE(CONTROL!$C$42, 35.9343, 35.9343) * CHOOSE(CONTROL!$C$21, $C$9, 100%, $E$9)</f>
        <v>35.9343</v>
      </c>
      <c r="M595" s="14">
        <f>CHOOSE(CONTROL!$C$42, 34.3786, 34.3786) * CHOOSE(CONTROL!$C$21, $C$9, 100%, $E$9)</f>
        <v>34.378599999999999</v>
      </c>
      <c r="N595" s="14">
        <f>CHOOSE(CONTROL!$C$42, 34.3942, 34.3942) * CHOOSE(CONTROL!$C$21, $C$9, 100%, $E$9)</f>
        <v>34.394199999999998</v>
      </c>
      <c r="O595" s="14">
        <f>CHOOSE(CONTROL!$C$42, 34.6308, 34.6308) * CHOOSE(CONTROL!$C$21, $C$9, 100%, $E$9)</f>
        <v>34.630800000000001</v>
      </c>
      <c r="P595" s="14">
        <f>CHOOSE(CONTROL!$C$42, 34.5144, 34.5144) * CHOOSE(CONTROL!$C$21, $C$9, 100%, $E$9)</f>
        <v>34.514400000000002</v>
      </c>
      <c r="Q595" s="14">
        <f>CHOOSE(CONTROL!$C$42, 35.2255, 35.2255) * CHOOSE(CONTROL!$C$21, $C$9, 100%, $E$9)</f>
        <v>35.225499999999997</v>
      </c>
      <c r="R595" s="14">
        <f>CHOOSE(CONTROL!$C$42, 35.9005, 35.9005) * CHOOSE(CONTROL!$C$21, $C$9, 100%, $E$9)</f>
        <v>35.900500000000001</v>
      </c>
      <c r="S595" s="14">
        <f>CHOOSE(CONTROL!$C$42, 33.7316, 33.7316) * CHOOSE(CONTROL!$C$21, $C$9, 100%, $E$9)</f>
        <v>33.7316</v>
      </c>
      <c r="T59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95" s="57">
        <f>(1000*CHOOSE(CONTROL!$C$42, 695, 695)*CHOOSE(CONTROL!$C$42, 0.5599, 0.5599)*CHOOSE(CONTROL!$C$42, 31, 31))/1000000</f>
        <v>12.063045499999998</v>
      </c>
      <c r="V595" s="57">
        <f>(1000*CHOOSE(CONTROL!$C$42, 500, 500)*CHOOSE(CONTROL!$C$42, 0.275, 0.275)*CHOOSE(CONTROL!$C$42, 31, 31))/1000000</f>
        <v>4.2625000000000002</v>
      </c>
      <c r="W595" s="57">
        <f>(1000*CHOOSE(CONTROL!$C$42, 0.1146, 0.1146)*CHOOSE(CONTROL!$C$42, 121.5, 121.5)*CHOOSE(CONTROL!$C$42, 31, 31))/1000000</f>
        <v>0.43164089999999994</v>
      </c>
      <c r="X595" s="57">
        <f>(31*0.1790888*245000/1000000)+(31*0.2374*100000/1000000)</f>
        <v>2.0961194359999999</v>
      </c>
      <c r="Y595" s="57"/>
      <c r="Z595" s="14"/>
      <c r="AA595" s="56"/>
      <c r="AB595" s="50">
        <f>(B595*194.205+C595*267.466+D595*133.845+E595*53.484+F595*40+G595*185+H595*0+I595*100+J595*300)/(194.205+267.466+133.845+53.484+0+40+185+100+300)</f>
        <v>35.151595909811618</v>
      </c>
      <c r="AC595" s="45">
        <f>(M595*'RAP TEMPLATE-GAS AVAILABILITY'!O594+N595*'RAP TEMPLATE-GAS AVAILABILITY'!P594+O595*'RAP TEMPLATE-GAS AVAILABILITY'!Q594+P595*'RAP TEMPLATE-GAS AVAILABILITY'!R594)/('RAP TEMPLATE-GAS AVAILABILITY'!O594+'RAP TEMPLATE-GAS AVAILABILITY'!P594+'RAP TEMPLATE-GAS AVAILABILITY'!Q594+'RAP TEMPLATE-GAS AVAILABILITY'!R594)</f>
        <v>34.472492086330931</v>
      </c>
    </row>
    <row r="596" spans="1:29" ht="15.75" x14ac:dyDescent="0.25">
      <c r="A596" s="32">
        <v>59049</v>
      </c>
      <c r="B596" s="14">
        <f>CHOOSE(CONTROL!$C$42, 33.3813, 33.3813) * CHOOSE(CONTROL!$C$21, $C$9, 100%, $E$9)</f>
        <v>33.381300000000003</v>
      </c>
      <c r="C596" s="14">
        <f>CHOOSE(CONTROL!$C$42, 33.3894, 33.3894) * CHOOSE(CONTROL!$C$21, $C$9, 100%, $E$9)</f>
        <v>33.389400000000002</v>
      </c>
      <c r="D596" s="14">
        <f>CHOOSE(CONTROL!$C$42, 33.5933, 33.5933) * CHOOSE(CONTROL!$C$21, $C$9, 100%, $E$9)</f>
        <v>33.593299999999999</v>
      </c>
      <c r="E596" s="14">
        <f>CHOOSE(CONTROL!$C$42, 33.6248, 33.6248) * CHOOSE(CONTROL!$C$21, $C$9, 100%, $E$9)</f>
        <v>33.6248</v>
      </c>
      <c r="F596" s="14">
        <f>CHOOSE(CONTROL!$C$42, 33.3632, 33.3632)*CHOOSE(CONTROL!$C$21, $C$9, 100%, $E$9)</f>
        <v>33.363199999999999</v>
      </c>
      <c r="G596" s="14">
        <f>CHOOSE(CONTROL!$C$42, 33.3792, 33.3792)*CHOOSE(CONTROL!$C$21, $C$9, 100%, $E$9)</f>
        <v>33.379199999999997</v>
      </c>
      <c r="H596" s="14">
        <f>CHOOSE(CONTROL!$C$42, 33.6134, 33.6134) * CHOOSE(CONTROL!$C$21, $C$9, 100%, $E$9)</f>
        <v>33.613399999999999</v>
      </c>
      <c r="I596" s="14">
        <f>CHOOSE(CONTROL!$C$42, 33.4913, 33.4913)* CHOOSE(CONTROL!$C$21, $C$9, 100%, $E$9)</f>
        <v>33.491300000000003</v>
      </c>
      <c r="J596" s="14">
        <f>CHOOSE(CONTROL!$C$42, 33.3562, 33.3562)* CHOOSE(CONTROL!$C$21, $C$9, 100%, $E$9)</f>
        <v>33.356200000000001</v>
      </c>
      <c r="K596" s="53">
        <f>CHOOSE(CONTROL!$C$42, 33.4874, 33.4874) * CHOOSE(CONTROL!$C$21, $C$9, 100%, $E$9)</f>
        <v>33.487400000000001</v>
      </c>
      <c r="L596" s="14">
        <f>CHOOSE(CONTROL!$C$42, 34.2004, 34.2004) * CHOOSE(CONTROL!$C$21, $C$9, 100%, $E$9)</f>
        <v>34.200400000000002</v>
      </c>
      <c r="M596" s="14">
        <f>CHOOSE(CONTROL!$C$42, 32.6804, 32.6804) * CHOOSE(CONTROL!$C$21, $C$9, 100%, $E$9)</f>
        <v>32.680399999999999</v>
      </c>
      <c r="N596" s="14">
        <f>CHOOSE(CONTROL!$C$42, 32.6961, 32.6961) * CHOOSE(CONTROL!$C$21, $C$9, 100%, $E$9)</f>
        <v>32.696100000000001</v>
      </c>
      <c r="O596" s="14">
        <f>CHOOSE(CONTROL!$C$42, 32.9324, 32.9324) * CHOOSE(CONTROL!$C$21, $C$9, 100%, $E$9)</f>
        <v>32.932400000000001</v>
      </c>
      <c r="P596" s="14">
        <f>CHOOSE(CONTROL!$C$42, 32.8108, 32.8108) * CHOOSE(CONTROL!$C$21, $C$9, 100%, $E$9)</f>
        <v>32.8108</v>
      </c>
      <c r="Q596" s="14">
        <f>CHOOSE(CONTROL!$C$42, 33.5271, 33.5271) * CHOOSE(CONTROL!$C$21, $C$9, 100%, $E$9)</f>
        <v>33.527099999999997</v>
      </c>
      <c r="R596" s="14">
        <f>CHOOSE(CONTROL!$C$42, 34.1979, 34.1979) * CHOOSE(CONTROL!$C$21, $C$9, 100%, $E$9)</f>
        <v>34.197899999999997</v>
      </c>
      <c r="S596" s="14">
        <f>CHOOSE(CONTROL!$C$42, 32.0655, 32.0655) * CHOOSE(CONTROL!$C$21, $C$9, 100%, $E$9)</f>
        <v>32.0655</v>
      </c>
      <c r="T59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96" s="57">
        <f>(1000*CHOOSE(CONTROL!$C$42, 695, 695)*CHOOSE(CONTROL!$C$42, 0.5599, 0.5599)*CHOOSE(CONTROL!$C$42, 31, 31))/1000000</f>
        <v>12.063045499999998</v>
      </c>
      <c r="V596" s="57">
        <f>(1000*CHOOSE(CONTROL!$C$42, 500, 500)*CHOOSE(CONTROL!$C$42, 0.275, 0.275)*CHOOSE(CONTROL!$C$42, 31, 31))/1000000</f>
        <v>4.2625000000000002</v>
      </c>
      <c r="W596" s="57">
        <f>(1000*CHOOSE(CONTROL!$C$42, 0.1146, 0.1146)*CHOOSE(CONTROL!$C$42, 121.5, 121.5)*CHOOSE(CONTROL!$C$42, 31, 31))/1000000</f>
        <v>0.43164089999999994</v>
      </c>
      <c r="X596" s="57">
        <f>(31*0.1790888*245000/1000000)+(31*0.2374*100000/1000000)</f>
        <v>2.0961194359999999</v>
      </c>
      <c r="Y596" s="57"/>
      <c r="Z596" s="14"/>
      <c r="AA596" s="56"/>
      <c r="AB596" s="50">
        <f>(B596*194.205+C596*267.466+D596*133.845+E596*53.484+F596*40+G596*185+H596*0+I596*100+J596*300)/(194.205+267.466+133.845+53.484+0+40+185+100+300)</f>
        <v>33.417345893720565</v>
      </c>
      <c r="AC596" s="45">
        <f>(M596*'RAP TEMPLATE-GAS AVAILABILITY'!O595+N596*'RAP TEMPLATE-GAS AVAILABILITY'!P595+O596*'RAP TEMPLATE-GAS AVAILABILITY'!Q595+P596*'RAP TEMPLATE-GAS AVAILABILITY'!R595)/('RAP TEMPLATE-GAS AVAILABILITY'!O595+'RAP TEMPLATE-GAS AVAILABILITY'!P595+'RAP TEMPLATE-GAS AVAILABILITY'!Q595+'RAP TEMPLATE-GAS AVAILABILITY'!R595)</f>
        <v>32.773482014388492</v>
      </c>
    </row>
    <row r="597" spans="1:29" ht="15.75" x14ac:dyDescent="0.25">
      <c r="A597" s="32">
        <v>59079</v>
      </c>
      <c r="B597" s="14">
        <f>CHOOSE(CONTROL!$C$42, 31.2624, 31.2624) * CHOOSE(CONTROL!$C$21, $C$9, 100%, $E$9)</f>
        <v>31.2624</v>
      </c>
      <c r="C597" s="14">
        <f>CHOOSE(CONTROL!$C$42, 31.2704, 31.2704) * CHOOSE(CONTROL!$C$21, $C$9, 100%, $E$9)</f>
        <v>31.270399999999999</v>
      </c>
      <c r="D597" s="14">
        <f>CHOOSE(CONTROL!$C$42, 31.4744, 31.4744) * CHOOSE(CONTROL!$C$21, $C$9, 100%, $E$9)</f>
        <v>31.474399999999999</v>
      </c>
      <c r="E597" s="14">
        <f>CHOOSE(CONTROL!$C$42, 31.5058, 31.5058) * CHOOSE(CONTROL!$C$21, $C$9, 100%, $E$9)</f>
        <v>31.505800000000001</v>
      </c>
      <c r="F597" s="14">
        <f>CHOOSE(CONTROL!$C$42, 31.2443, 31.2443)*CHOOSE(CONTROL!$C$21, $C$9, 100%, $E$9)</f>
        <v>31.244299999999999</v>
      </c>
      <c r="G597" s="14">
        <f>CHOOSE(CONTROL!$C$42, 31.2603, 31.2603)*CHOOSE(CONTROL!$C$21, $C$9, 100%, $E$9)</f>
        <v>31.260300000000001</v>
      </c>
      <c r="H597" s="14">
        <f>CHOOSE(CONTROL!$C$42, 31.4945, 31.4945) * CHOOSE(CONTROL!$C$21, $C$9, 100%, $E$9)</f>
        <v>31.494499999999999</v>
      </c>
      <c r="I597" s="14">
        <f>CHOOSE(CONTROL!$C$42, 31.3658, 31.3658)* CHOOSE(CONTROL!$C$21, $C$9, 100%, $E$9)</f>
        <v>31.3658</v>
      </c>
      <c r="J597" s="14">
        <f>CHOOSE(CONTROL!$C$42, 31.2373, 31.2373)* CHOOSE(CONTROL!$C$21, $C$9, 100%, $E$9)</f>
        <v>31.237300000000001</v>
      </c>
      <c r="K597" s="53">
        <f>CHOOSE(CONTROL!$C$42, 31.3619, 31.3619) * CHOOSE(CONTROL!$C$21, $C$9, 100%, $E$9)</f>
        <v>31.361899999999999</v>
      </c>
      <c r="L597" s="14">
        <f>CHOOSE(CONTROL!$C$42, 32.0815, 32.0815) * CHOOSE(CONTROL!$C$21, $C$9, 100%, $E$9)</f>
        <v>32.081499999999998</v>
      </c>
      <c r="M597" s="14">
        <f>CHOOSE(CONTROL!$C$42, 30.605, 30.605) * CHOOSE(CONTROL!$C$21, $C$9, 100%, $E$9)</f>
        <v>30.605</v>
      </c>
      <c r="N597" s="14">
        <f>CHOOSE(CONTROL!$C$42, 30.6206, 30.6206) * CHOOSE(CONTROL!$C$21, $C$9, 100%, $E$9)</f>
        <v>30.6206</v>
      </c>
      <c r="O597" s="14">
        <f>CHOOSE(CONTROL!$C$42, 30.8569, 30.8569) * CHOOSE(CONTROL!$C$21, $C$9, 100%, $E$9)</f>
        <v>30.8569</v>
      </c>
      <c r="P597" s="14">
        <f>CHOOSE(CONTROL!$C$42, 30.7289, 30.7289) * CHOOSE(CONTROL!$C$21, $C$9, 100%, $E$9)</f>
        <v>30.728899999999999</v>
      </c>
      <c r="Q597" s="14">
        <f>CHOOSE(CONTROL!$C$42, 31.4516, 31.4516) * CHOOSE(CONTROL!$C$21, $C$9, 100%, $E$9)</f>
        <v>31.451599999999999</v>
      </c>
      <c r="R597" s="14">
        <f>CHOOSE(CONTROL!$C$42, 32.1172, 32.1172) * CHOOSE(CONTROL!$C$21, $C$9, 100%, $E$9)</f>
        <v>32.117199999999997</v>
      </c>
      <c r="S597" s="14">
        <f>CHOOSE(CONTROL!$C$42, 30.0294, 30.0294) * CHOOSE(CONTROL!$C$21, $C$9, 100%, $E$9)</f>
        <v>30.029399999999999</v>
      </c>
      <c r="T59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97" s="57">
        <f>(1000*CHOOSE(CONTROL!$C$42, 695, 695)*CHOOSE(CONTROL!$C$42, 0.5599, 0.5599)*CHOOSE(CONTROL!$C$42, 30, 30))/1000000</f>
        <v>11.673914999999997</v>
      </c>
      <c r="V597" s="57">
        <f>(1000*CHOOSE(CONTROL!$C$42, 500, 500)*CHOOSE(CONTROL!$C$42, 0.275, 0.275)*CHOOSE(CONTROL!$C$42, 30, 30))/1000000</f>
        <v>4.125</v>
      </c>
      <c r="W597" s="57">
        <f>(1000*CHOOSE(CONTROL!$C$42, 0.1146, 0.1146)*CHOOSE(CONTROL!$C$42, 121.5, 121.5)*CHOOSE(CONTROL!$C$42, 30, 30))/1000000</f>
        <v>0.417717</v>
      </c>
      <c r="X597" s="57">
        <f>(30*0.1790888*245000/1000000)+(30*0.2374*100000/1000000)</f>
        <v>2.0285026799999999</v>
      </c>
      <c r="Y597" s="57"/>
      <c r="Z597" s="14"/>
      <c r="AA597" s="56"/>
      <c r="AB597" s="50">
        <f>(B597*194.205+C597*267.466+D597*133.845+E597*53.484+F597*40+G597*185+H597*0+I597*100+J597*300)/(194.205+267.466+133.845+53.484+0+40+185+100+300)</f>
        <v>31.297902648037677</v>
      </c>
      <c r="AC597" s="45">
        <f>(M597*'RAP TEMPLATE-GAS AVAILABILITY'!O596+N597*'RAP TEMPLATE-GAS AVAILABILITY'!P596+O597*'RAP TEMPLATE-GAS AVAILABILITY'!Q596+P597*'RAP TEMPLATE-GAS AVAILABILITY'!R596)/('RAP TEMPLATE-GAS AVAILABILITY'!O596+'RAP TEMPLATE-GAS AVAILABILITY'!P596+'RAP TEMPLATE-GAS AVAILABILITY'!Q596+'RAP TEMPLATE-GAS AVAILABILITY'!R596)</f>
        <v>30.697095683453234</v>
      </c>
    </row>
    <row r="598" spans="1:29" ht="15.75" x14ac:dyDescent="0.25">
      <c r="A598" s="32">
        <v>59110</v>
      </c>
      <c r="B598" s="14">
        <f>CHOOSE(CONTROL!$C$42, 30.6261, 30.6261) * CHOOSE(CONTROL!$C$21, $C$9, 100%, $E$9)</f>
        <v>30.626100000000001</v>
      </c>
      <c r="C598" s="14">
        <f>CHOOSE(CONTROL!$C$42, 30.6315, 30.6315) * CHOOSE(CONTROL!$C$21, $C$9, 100%, $E$9)</f>
        <v>30.631499999999999</v>
      </c>
      <c r="D598" s="14">
        <f>CHOOSE(CONTROL!$C$42, 30.8404, 30.8404) * CHOOSE(CONTROL!$C$21, $C$9, 100%, $E$9)</f>
        <v>30.840399999999999</v>
      </c>
      <c r="E598" s="14">
        <f>CHOOSE(CONTROL!$C$42, 30.8695, 30.8695) * CHOOSE(CONTROL!$C$21, $C$9, 100%, $E$9)</f>
        <v>30.869499999999999</v>
      </c>
      <c r="F598" s="14">
        <f>CHOOSE(CONTROL!$C$42, 30.6101, 30.6101)*CHOOSE(CONTROL!$C$21, $C$9, 100%, $E$9)</f>
        <v>30.610099999999999</v>
      </c>
      <c r="G598" s="14">
        <f>CHOOSE(CONTROL!$C$42, 30.6258, 30.6258)*CHOOSE(CONTROL!$C$21, $C$9, 100%, $E$9)</f>
        <v>30.625800000000002</v>
      </c>
      <c r="H598" s="14">
        <f>CHOOSE(CONTROL!$C$42, 30.86, 30.86) * CHOOSE(CONTROL!$C$21, $C$9, 100%, $E$9)</f>
        <v>30.86</v>
      </c>
      <c r="I598" s="14">
        <f>CHOOSE(CONTROL!$C$42, 30.7293, 30.7293)* CHOOSE(CONTROL!$C$21, $C$9, 100%, $E$9)</f>
        <v>30.729299999999999</v>
      </c>
      <c r="J598" s="14">
        <f>CHOOSE(CONTROL!$C$42, 30.6031, 30.6031)* CHOOSE(CONTROL!$C$21, $C$9, 100%, $E$9)</f>
        <v>30.603100000000001</v>
      </c>
      <c r="K598" s="53">
        <f>CHOOSE(CONTROL!$C$42, 30.7254, 30.7254) * CHOOSE(CONTROL!$C$21, $C$9, 100%, $E$9)</f>
        <v>30.7254</v>
      </c>
      <c r="L598" s="14">
        <f>CHOOSE(CONTROL!$C$42, 31.447, 31.447) * CHOOSE(CONTROL!$C$21, $C$9, 100%, $E$9)</f>
        <v>31.446999999999999</v>
      </c>
      <c r="M598" s="14">
        <f>CHOOSE(CONTROL!$C$42, 29.9838, 29.9838) * CHOOSE(CONTROL!$C$21, $C$9, 100%, $E$9)</f>
        <v>29.983799999999999</v>
      </c>
      <c r="N598" s="14">
        <f>CHOOSE(CONTROL!$C$42, 29.9991, 29.9991) * CHOOSE(CONTROL!$C$21, $C$9, 100%, $E$9)</f>
        <v>29.999099999999999</v>
      </c>
      <c r="O598" s="14">
        <f>CHOOSE(CONTROL!$C$42, 30.2354, 30.2354) * CHOOSE(CONTROL!$C$21, $C$9, 100%, $E$9)</f>
        <v>30.235399999999998</v>
      </c>
      <c r="P598" s="14">
        <f>CHOOSE(CONTROL!$C$42, 30.1055, 30.1055) * CHOOSE(CONTROL!$C$21, $C$9, 100%, $E$9)</f>
        <v>30.105499999999999</v>
      </c>
      <c r="Q598" s="14">
        <f>CHOOSE(CONTROL!$C$42, 30.8301, 30.8301) * CHOOSE(CONTROL!$C$21, $C$9, 100%, $E$9)</f>
        <v>30.830100000000002</v>
      </c>
      <c r="R598" s="14">
        <f>CHOOSE(CONTROL!$C$42, 31.4941, 31.4941) * CHOOSE(CONTROL!$C$21, $C$9, 100%, $E$9)</f>
        <v>31.4941</v>
      </c>
      <c r="S598" s="14">
        <f>CHOOSE(CONTROL!$C$42, 29.4197, 29.4197) * CHOOSE(CONTROL!$C$21, $C$9, 100%, $E$9)</f>
        <v>29.419699999999999</v>
      </c>
      <c r="T59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98" s="57">
        <f>(1000*CHOOSE(CONTROL!$C$42, 695, 695)*CHOOSE(CONTROL!$C$42, 0.5599, 0.5599)*CHOOSE(CONTROL!$C$42, 31, 31))/1000000</f>
        <v>12.063045499999998</v>
      </c>
      <c r="V598" s="57">
        <f>(1000*CHOOSE(CONTROL!$C$42, 500, 500)*CHOOSE(CONTROL!$C$42, 0.275, 0.275)*CHOOSE(CONTROL!$C$42, 31, 31))/1000000</f>
        <v>4.2625000000000002</v>
      </c>
      <c r="W598" s="57">
        <f>(1000*CHOOSE(CONTROL!$C$42, 0.1146, 0.1146)*CHOOSE(CONTROL!$C$42, 121.5, 121.5)*CHOOSE(CONTROL!$C$42, 31, 31))/1000000</f>
        <v>0.43164089999999994</v>
      </c>
      <c r="X598" s="57">
        <f>(31*0.1790888*245000/1000000)+(31*0.2374*100000/1000000)</f>
        <v>2.0961194359999999</v>
      </c>
      <c r="Y598" s="57"/>
      <c r="Z598" s="14"/>
      <c r="AA598" s="56"/>
      <c r="AB598" s="50">
        <f>(B598*131.881+C598*277.167+D598*79.08+E598*125.872+F598*40+G598*185+H598*0+I598*100+J598*300)/(131.881+277.167+79.08+125.872+0+40+185+100+300)</f>
        <v>30.66791217966102</v>
      </c>
      <c r="AC598" s="45">
        <f>(M598*'RAP TEMPLATE-GAS AVAILABILITY'!O597+N598*'RAP TEMPLATE-GAS AVAILABILITY'!P597+O598*'RAP TEMPLATE-GAS AVAILABILITY'!Q597+P598*'RAP TEMPLATE-GAS AVAILABILITY'!R597)/('RAP TEMPLATE-GAS AVAILABILITY'!O597+'RAP TEMPLATE-GAS AVAILABILITY'!P597+'RAP TEMPLATE-GAS AVAILABILITY'!Q597+'RAP TEMPLATE-GAS AVAILABILITY'!R597)</f>
        <v>30.075425899280575</v>
      </c>
    </row>
    <row r="599" spans="1:29" ht="15.75" x14ac:dyDescent="0.25">
      <c r="A599" s="32">
        <v>59140</v>
      </c>
      <c r="B599" s="14">
        <f>CHOOSE(CONTROL!$C$42, 31.4323, 31.4323) * CHOOSE(CONTROL!$C$21, $C$9, 100%, $E$9)</f>
        <v>31.432300000000001</v>
      </c>
      <c r="C599" s="14">
        <f>CHOOSE(CONTROL!$C$42, 31.4374, 31.4374) * CHOOSE(CONTROL!$C$21, $C$9, 100%, $E$9)</f>
        <v>31.4374</v>
      </c>
      <c r="D599" s="14">
        <f>CHOOSE(CONTROL!$C$42, 31.5012, 31.5012) * CHOOSE(CONTROL!$C$21, $C$9, 100%, $E$9)</f>
        <v>31.501200000000001</v>
      </c>
      <c r="E599" s="14">
        <f>CHOOSE(CONTROL!$C$42, 31.5353, 31.5353) * CHOOSE(CONTROL!$C$21, $C$9, 100%, $E$9)</f>
        <v>31.535299999999999</v>
      </c>
      <c r="F599" s="14">
        <f>CHOOSE(CONTROL!$C$42, 31.4347, 31.4347)*CHOOSE(CONTROL!$C$21, $C$9, 100%, $E$9)</f>
        <v>31.434699999999999</v>
      </c>
      <c r="G599" s="14">
        <f>CHOOSE(CONTROL!$C$42, 31.4507, 31.4507)*CHOOSE(CONTROL!$C$21, $C$9, 100%, $E$9)</f>
        <v>31.450700000000001</v>
      </c>
      <c r="H599" s="14">
        <f>CHOOSE(CONTROL!$C$42, 31.5245, 31.5245) * CHOOSE(CONTROL!$C$21, $C$9, 100%, $E$9)</f>
        <v>31.5245</v>
      </c>
      <c r="I599" s="14">
        <f>CHOOSE(CONTROL!$C$42, 31.5436, 31.5436)* CHOOSE(CONTROL!$C$21, $C$9, 100%, $E$9)</f>
        <v>31.543600000000001</v>
      </c>
      <c r="J599" s="14">
        <f>CHOOSE(CONTROL!$C$42, 31.4277, 31.4277)* CHOOSE(CONTROL!$C$21, $C$9, 100%, $E$9)</f>
        <v>31.427700000000002</v>
      </c>
      <c r="K599" s="53">
        <f>CHOOSE(CONTROL!$C$42, 31.5397, 31.5397) * CHOOSE(CONTROL!$C$21, $C$9, 100%, $E$9)</f>
        <v>31.5397</v>
      </c>
      <c r="L599" s="14">
        <f>CHOOSE(CONTROL!$C$42, 32.1115, 32.1115) * CHOOSE(CONTROL!$C$21, $C$9, 100%, $E$9)</f>
        <v>32.111499999999999</v>
      </c>
      <c r="M599" s="14">
        <f>CHOOSE(CONTROL!$C$42, 30.7915, 30.7915) * CHOOSE(CONTROL!$C$21, $C$9, 100%, $E$9)</f>
        <v>30.791499999999999</v>
      </c>
      <c r="N599" s="14">
        <f>CHOOSE(CONTROL!$C$42, 30.8071, 30.8071) * CHOOSE(CONTROL!$C$21, $C$9, 100%, $E$9)</f>
        <v>30.807099999999998</v>
      </c>
      <c r="O599" s="14">
        <f>CHOOSE(CONTROL!$C$42, 30.8863, 30.8863) * CHOOSE(CONTROL!$C$21, $C$9, 100%, $E$9)</f>
        <v>30.886299999999999</v>
      </c>
      <c r="P599" s="14">
        <f>CHOOSE(CONTROL!$C$42, 30.9031, 30.9031) * CHOOSE(CONTROL!$C$21, $C$9, 100%, $E$9)</f>
        <v>30.903099999999998</v>
      </c>
      <c r="Q599" s="14">
        <f>CHOOSE(CONTROL!$C$42, 31.481, 31.481) * CHOOSE(CONTROL!$C$21, $C$9, 100%, $E$9)</f>
        <v>31.481000000000002</v>
      </c>
      <c r="R599" s="14">
        <f>CHOOSE(CONTROL!$C$42, 32.1467, 32.1467) * CHOOSE(CONTROL!$C$21, $C$9, 100%, $E$9)</f>
        <v>32.146700000000003</v>
      </c>
      <c r="S599" s="14">
        <f>CHOOSE(CONTROL!$C$42, 30.1948, 30.1948) * CHOOSE(CONTROL!$C$21, $C$9, 100%, $E$9)</f>
        <v>30.194800000000001</v>
      </c>
      <c r="T59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99" s="57">
        <f>(1000*CHOOSE(CONTROL!$C$42, 695, 695)*CHOOSE(CONTROL!$C$42, 0.5599, 0.5599)*CHOOSE(CONTROL!$C$42, 30, 30))/1000000</f>
        <v>11.673914999999997</v>
      </c>
      <c r="V599" s="57">
        <f>(1000*CHOOSE(CONTROL!$C$42, 500, 500)*CHOOSE(CONTROL!$C$42, 0.275, 0.275)*CHOOSE(CONTROL!$C$42, 30, 30))/1000000</f>
        <v>4.125</v>
      </c>
      <c r="W599" s="57">
        <f>(1000*CHOOSE(CONTROL!$C$42, 0.1146, 0.1146)*CHOOSE(CONTROL!$C$42, 121.5, 121.5)*CHOOSE(CONTROL!$C$42, 30, 30))/1000000</f>
        <v>0.417717</v>
      </c>
      <c r="X599" s="57">
        <f>(30*0.1790888*100000/1000000)+(30*0.2374*100000/1000000)</f>
        <v>1.2494664</v>
      </c>
      <c r="Y599" s="57"/>
      <c r="Z599" s="14"/>
      <c r="AA599" s="56"/>
      <c r="AB599" s="50">
        <f>(B599*122.58+C599*297.941+D599*89.177+E599*40.302+F599*40+G599*160+H599*0+I599*100+J599*300)/(122.58+297.941+89.177+40.302+0+40+160+100+300)</f>
        <v>31.453695565565216</v>
      </c>
      <c r="AC599" s="45">
        <f>(M599*'RAP TEMPLATE-GAS AVAILABILITY'!O598+N599*'RAP TEMPLATE-GAS AVAILABILITY'!P598+O599*'RAP TEMPLATE-GAS AVAILABILITY'!Q598+P599*'RAP TEMPLATE-GAS AVAILABILITY'!R598)/('RAP TEMPLATE-GAS AVAILABILITY'!O598+'RAP TEMPLATE-GAS AVAILABILITY'!P598+'RAP TEMPLATE-GAS AVAILABILITY'!Q598+'RAP TEMPLATE-GAS AVAILABILITY'!R598)</f>
        <v>30.851422302158277</v>
      </c>
    </row>
    <row r="600" spans="1:29" ht="15.75" x14ac:dyDescent="0.25">
      <c r="A600" s="32">
        <v>59171</v>
      </c>
      <c r="B600" s="14">
        <f>CHOOSE(CONTROL!$C$42, 33.5747, 33.5747) * CHOOSE(CONTROL!$C$21, $C$9, 100%, $E$9)</f>
        <v>33.5747</v>
      </c>
      <c r="C600" s="14">
        <f>CHOOSE(CONTROL!$C$42, 33.5797, 33.5797) * CHOOSE(CONTROL!$C$21, $C$9, 100%, $E$9)</f>
        <v>33.579700000000003</v>
      </c>
      <c r="D600" s="14">
        <f>CHOOSE(CONTROL!$C$42, 33.6436, 33.6436) * CHOOSE(CONTROL!$C$21, $C$9, 100%, $E$9)</f>
        <v>33.643599999999999</v>
      </c>
      <c r="E600" s="14">
        <f>CHOOSE(CONTROL!$C$42, 33.6777, 33.6777) * CHOOSE(CONTROL!$C$21, $C$9, 100%, $E$9)</f>
        <v>33.677700000000002</v>
      </c>
      <c r="F600" s="14">
        <f>CHOOSE(CONTROL!$C$42, 33.5793, 33.5793)*CHOOSE(CONTROL!$C$21, $C$9, 100%, $E$9)</f>
        <v>33.579300000000003</v>
      </c>
      <c r="G600" s="14">
        <f>CHOOSE(CONTROL!$C$42, 33.5959, 33.5959)*CHOOSE(CONTROL!$C$21, $C$9, 100%, $E$9)</f>
        <v>33.5959</v>
      </c>
      <c r="H600" s="14">
        <f>CHOOSE(CONTROL!$C$42, 33.6669, 33.6669) * CHOOSE(CONTROL!$C$21, $C$9, 100%, $E$9)</f>
        <v>33.666899999999998</v>
      </c>
      <c r="I600" s="14">
        <f>CHOOSE(CONTROL!$C$42, 33.6927, 33.6927)* CHOOSE(CONTROL!$C$21, $C$9, 100%, $E$9)</f>
        <v>33.692700000000002</v>
      </c>
      <c r="J600" s="14">
        <f>CHOOSE(CONTROL!$C$42, 33.5723, 33.5723)* CHOOSE(CONTROL!$C$21, $C$9, 100%, $E$9)</f>
        <v>33.572299999999998</v>
      </c>
      <c r="K600" s="53">
        <f>CHOOSE(CONTROL!$C$42, 33.6888, 33.6888) * CHOOSE(CONTROL!$C$21, $C$9, 100%, $E$9)</f>
        <v>33.688800000000001</v>
      </c>
      <c r="L600" s="14">
        <f>CHOOSE(CONTROL!$C$42, 34.2539, 34.2539) * CHOOSE(CONTROL!$C$21, $C$9, 100%, $E$9)</f>
        <v>34.253900000000002</v>
      </c>
      <c r="M600" s="14">
        <f>CHOOSE(CONTROL!$C$42, 32.8921, 32.8921) * CHOOSE(CONTROL!$C$21, $C$9, 100%, $E$9)</f>
        <v>32.892099999999999</v>
      </c>
      <c r="N600" s="14">
        <f>CHOOSE(CONTROL!$C$42, 32.9084, 32.9084) * CHOOSE(CONTROL!$C$21, $C$9, 100%, $E$9)</f>
        <v>32.9084</v>
      </c>
      <c r="O600" s="14">
        <f>CHOOSE(CONTROL!$C$42, 32.9847, 32.9847) * CHOOSE(CONTROL!$C$21, $C$9, 100%, $E$9)</f>
        <v>32.984699999999997</v>
      </c>
      <c r="P600" s="14">
        <f>CHOOSE(CONTROL!$C$42, 33.008, 33.008) * CHOOSE(CONTROL!$C$21, $C$9, 100%, $E$9)</f>
        <v>33.008000000000003</v>
      </c>
      <c r="Q600" s="14">
        <f>CHOOSE(CONTROL!$C$42, 33.5794, 33.5794) * CHOOSE(CONTROL!$C$21, $C$9, 100%, $E$9)</f>
        <v>33.5794</v>
      </c>
      <c r="R600" s="14">
        <f>CHOOSE(CONTROL!$C$42, 34.2504, 34.2504) * CHOOSE(CONTROL!$C$21, $C$9, 100%, $E$9)</f>
        <v>34.250399999999999</v>
      </c>
      <c r="S600" s="14">
        <f>CHOOSE(CONTROL!$C$42, 32.2534, 32.2534) * CHOOSE(CONTROL!$C$21, $C$9, 100%, $E$9)</f>
        <v>32.253399999999999</v>
      </c>
      <c r="T60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00" s="57">
        <f>(1000*CHOOSE(CONTROL!$C$42, 695, 695)*CHOOSE(CONTROL!$C$42, 0.5599, 0.5599)*CHOOSE(CONTROL!$C$42, 31, 31))/1000000</f>
        <v>12.063045499999998</v>
      </c>
      <c r="V600" s="57">
        <f>(1000*CHOOSE(CONTROL!$C$42, 500, 500)*CHOOSE(CONTROL!$C$42, 0.275, 0.275)*CHOOSE(CONTROL!$C$42, 31, 31))/1000000</f>
        <v>4.2625000000000002</v>
      </c>
      <c r="W600" s="57">
        <f>(1000*CHOOSE(CONTROL!$C$42, 0.1146, 0.1146)*CHOOSE(CONTROL!$C$42, 121.5, 121.5)*CHOOSE(CONTROL!$C$42, 31, 31))/1000000</f>
        <v>0.43164089999999994</v>
      </c>
      <c r="X600" s="57">
        <f>(31*0.1790888*100000/1000000)+(31*0.2374*100000/1000000)</f>
        <v>1.2911152800000001</v>
      </c>
      <c r="Y600" s="57"/>
      <c r="Z600" s="14"/>
      <c r="AA600" s="56"/>
      <c r="AB600" s="50">
        <f>(B600*122.58+C600*297.941+D600*89.177+E600*40.302+F600*40+G600*160+H600*0+I600*100+J600*300)/(122.58+297.941+89.177+40.302+0+40+160+100+300)</f>
        <v>33.597692266347828</v>
      </c>
      <c r="AC600" s="45">
        <f>(M600*'RAP TEMPLATE-GAS AVAILABILITY'!O599+N600*'RAP TEMPLATE-GAS AVAILABILITY'!P599+O600*'RAP TEMPLATE-GAS AVAILABILITY'!Q599+P600*'RAP TEMPLATE-GAS AVAILABILITY'!R599)/('RAP TEMPLATE-GAS AVAILABILITY'!O599+'RAP TEMPLATE-GAS AVAILABILITY'!P599+'RAP TEMPLATE-GAS AVAILABILITY'!Q599+'RAP TEMPLATE-GAS AVAILABILITY'!R599)</f>
        <v>32.951684172661864</v>
      </c>
    </row>
    <row r="601" spans="1:29" ht="15.75" x14ac:dyDescent="0.25">
      <c r="A601" s="32">
        <v>59202</v>
      </c>
      <c r="B601" s="14">
        <f>CHOOSE(CONTROL!$C$42, 36.3241, 36.3241) * CHOOSE(CONTROL!$C$21, $C$9, 100%, $E$9)</f>
        <v>36.324100000000001</v>
      </c>
      <c r="C601" s="14">
        <f>CHOOSE(CONTROL!$C$42, 36.3292, 36.3292) * CHOOSE(CONTROL!$C$21, $C$9, 100%, $E$9)</f>
        <v>36.3292</v>
      </c>
      <c r="D601" s="14">
        <f>CHOOSE(CONTROL!$C$42, 36.3956, 36.3956) * CHOOSE(CONTROL!$C$21, $C$9, 100%, $E$9)</f>
        <v>36.395600000000002</v>
      </c>
      <c r="E601" s="14">
        <f>CHOOSE(CONTROL!$C$42, 36.4297, 36.4297) * CHOOSE(CONTROL!$C$21, $C$9, 100%, $E$9)</f>
        <v>36.429699999999997</v>
      </c>
      <c r="F601" s="14">
        <f>CHOOSE(CONTROL!$C$42, 36.3115, 36.3115)*CHOOSE(CONTROL!$C$21, $C$9, 100%, $E$9)</f>
        <v>36.311500000000002</v>
      </c>
      <c r="G601" s="14">
        <f>CHOOSE(CONTROL!$C$42, 36.3269, 36.3269)*CHOOSE(CONTROL!$C$21, $C$9, 100%, $E$9)</f>
        <v>36.326900000000002</v>
      </c>
      <c r="H601" s="14">
        <f>CHOOSE(CONTROL!$C$42, 36.4189, 36.4189) * CHOOSE(CONTROL!$C$21, $C$9, 100%, $E$9)</f>
        <v>36.418900000000001</v>
      </c>
      <c r="I601" s="14">
        <f>CHOOSE(CONTROL!$C$42, 36.4455, 36.4455)* CHOOSE(CONTROL!$C$21, $C$9, 100%, $E$9)</f>
        <v>36.445500000000003</v>
      </c>
      <c r="J601" s="14">
        <f>CHOOSE(CONTROL!$C$42, 36.3045, 36.3045)* CHOOSE(CONTROL!$C$21, $C$9, 100%, $E$9)</f>
        <v>36.304499999999997</v>
      </c>
      <c r="K601" s="53">
        <f>CHOOSE(CONTROL!$C$42, 36.4416, 36.4416) * CHOOSE(CONTROL!$C$21, $C$9, 100%, $E$9)</f>
        <v>36.441600000000001</v>
      </c>
      <c r="L601" s="14">
        <f>CHOOSE(CONTROL!$C$42, 37.0059, 37.0059) * CHOOSE(CONTROL!$C$21, $C$9, 100%, $E$9)</f>
        <v>37.005899999999997</v>
      </c>
      <c r="M601" s="14">
        <f>CHOOSE(CONTROL!$C$42, 35.5683, 35.5683) * CHOOSE(CONTROL!$C$21, $C$9, 100%, $E$9)</f>
        <v>35.568300000000001</v>
      </c>
      <c r="N601" s="14">
        <f>CHOOSE(CONTROL!$C$42, 35.5834, 35.5834) * CHOOSE(CONTROL!$C$21, $C$9, 100%, $E$9)</f>
        <v>35.583399999999997</v>
      </c>
      <c r="O601" s="14">
        <f>CHOOSE(CONTROL!$C$42, 35.6804, 35.6804) * CHOOSE(CONTROL!$C$21, $C$9, 100%, $E$9)</f>
        <v>35.680399999999999</v>
      </c>
      <c r="P601" s="14">
        <f>CHOOSE(CONTROL!$C$42, 35.7043, 35.7043) * CHOOSE(CONTROL!$C$21, $C$9, 100%, $E$9)</f>
        <v>35.704300000000003</v>
      </c>
      <c r="Q601" s="14">
        <f>CHOOSE(CONTROL!$C$42, 36.2751, 36.2751) * CHOOSE(CONTROL!$C$21, $C$9, 100%, $E$9)</f>
        <v>36.275100000000002</v>
      </c>
      <c r="R601" s="14">
        <f>CHOOSE(CONTROL!$C$42, 36.9528, 36.9528) * CHOOSE(CONTROL!$C$21, $C$9, 100%, $E$9)</f>
        <v>36.952800000000003</v>
      </c>
      <c r="S601" s="14">
        <f>CHOOSE(CONTROL!$C$42, 34.8953, 34.8953) * CHOOSE(CONTROL!$C$21, $C$9, 100%, $E$9)</f>
        <v>34.895299999999999</v>
      </c>
      <c r="T60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01" s="57">
        <f>(1000*CHOOSE(CONTROL!$C$42, 695, 695)*CHOOSE(CONTROL!$C$42, 0.5599, 0.5599)*CHOOSE(CONTROL!$C$42, 31, 31))/1000000</f>
        <v>12.063045499999998</v>
      </c>
      <c r="V601" s="57">
        <f>(1000*CHOOSE(CONTROL!$C$42, 500, 500)*CHOOSE(CONTROL!$C$42, 0.275, 0.275)*CHOOSE(CONTROL!$C$42, 31, 31))/1000000</f>
        <v>4.2625000000000002</v>
      </c>
      <c r="W601" s="57">
        <f>(1000*CHOOSE(CONTROL!$C$42, 0.1146, 0.1146)*CHOOSE(CONTROL!$C$42, 121.5, 121.5)*CHOOSE(CONTROL!$C$42, 31, 31))/1000000</f>
        <v>0.43164089999999994</v>
      </c>
      <c r="X601" s="57">
        <f>(31*0.1790888*100000/1000000)+(31*0.2374*100000/1000000)</f>
        <v>1.2911152800000001</v>
      </c>
      <c r="Y601" s="57"/>
      <c r="Z601" s="14"/>
      <c r="AA601" s="56"/>
      <c r="AB601" s="50">
        <f>(B601*122.58+C601*297.941+D601*89.177+E601*40.302+F601*40+G601*160+H601*0+I601*100+J601*300)/(122.58+297.941+89.177+40.302+0+40+160+100+300)</f>
        <v>36.340061344173911</v>
      </c>
      <c r="AC601" s="45">
        <f>(M601*'RAP TEMPLATE-GAS AVAILABILITY'!O600+N601*'RAP TEMPLATE-GAS AVAILABILITY'!P600+O601*'RAP TEMPLATE-GAS AVAILABILITY'!Q600+P601*'RAP TEMPLATE-GAS AVAILABILITY'!R600)/('RAP TEMPLATE-GAS AVAILABILITY'!O600+'RAP TEMPLATE-GAS AVAILABILITY'!P600+'RAP TEMPLATE-GAS AVAILABILITY'!Q600+'RAP TEMPLATE-GAS AVAILABILITY'!R600)</f>
        <v>35.639545323741004</v>
      </c>
    </row>
    <row r="602" spans="1:29" ht="15.75" x14ac:dyDescent="0.25">
      <c r="A602" s="32">
        <v>59230</v>
      </c>
      <c r="B602" s="14">
        <f>CHOOSE(CONTROL!$C$42, 36.9706, 36.9706) * CHOOSE(CONTROL!$C$21, $C$9, 100%, $E$9)</f>
        <v>36.970599999999997</v>
      </c>
      <c r="C602" s="14">
        <f>CHOOSE(CONTROL!$C$42, 36.9756, 36.9756) * CHOOSE(CONTROL!$C$21, $C$9, 100%, $E$9)</f>
        <v>36.9756</v>
      </c>
      <c r="D602" s="14">
        <f>CHOOSE(CONTROL!$C$42, 37.0421, 37.0421) * CHOOSE(CONTROL!$C$21, $C$9, 100%, $E$9)</f>
        <v>37.042099999999998</v>
      </c>
      <c r="E602" s="14">
        <f>CHOOSE(CONTROL!$C$42, 37.0762, 37.0762) * CHOOSE(CONTROL!$C$21, $C$9, 100%, $E$9)</f>
        <v>37.0762</v>
      </c>
      <c r="F602" s="14">
        <f>CHOOSE(CONTROL!$C$42, 36.958, 36.958)*CHOOSE(CONTROL!$C$21, $C$9, 100%, $E$9)</f>
        <v>36.957999999999998</v>
      </c>
      <c r="G602" s="14">
        <f>CHOOSE(CONTROL!$C$42, 36.9735, 36.9735)*CHOOSE(CONTROL!$C$21, $C$9, 100%, $E$9)</f>
        <v>36.973500000000001</v>
      </c>
      <c r="H602" s="14">
        <f>CHOOSE(CONTROL!$C$42, 37.0654, 37.0654) * CHOOSE(CONTROL!$C$21, $C$9, 100%, $E$9)</f>
        <v>37.065399999999997</v>
      </c>
      <c r="I602" s="14">
        <f>CHOOSE(CONTROL!$C$42, 37.094, 37.094)* CHOOSE(CONTROL!$C$21, $C$9, 100%, $E$9)</f>
        <v>37.094000000000001</v>
      </c>
      <c r="J602" s="14">
        <f>CHOOSE(CONTROL!$C$42, 36.951, 36.951)* CHOOSE(CONTROL!$C$21, $C$9, 100%, $E$9)</f>
        <v>36.951000000000001</v>
      </c>
      <c r="K602" s="53">
        <f>CHOOSE(CONTROL!$C$42, 37.0901, 37.0901) * CHOOSE(CONTROL!$C$21, $C$9, 100%, $E$9)</f>
        <v>37.0901</v>
      </c>
      <c r="L602" s="14">
        <f>CHOOSE(CONTROL!$C$42, 37.6524, 37.6524) * CHOOSE(CONTROL!$C$21, $C$9, 100%, $E$9)</f>
        <v>37.6524</v>
      </c>
      <c r="M602" s="14">
        <f>CHOOSE(CONTROL!$C$42, 36.2016, 36.2016) * CHOOSE(CONTROL!$C$21, $C$9, 100%, $E$9)</f>
        <v>36.201599999999999</v>
      </c>
      <c r="N602" s="14">
        <f>CHOOSE(CONTROL!$C$42, 36.2168, 36.2168) * CHOOSE(CONTROL!$C$21, $C$9, 100%, $E$9)</f>
        <v>36.216799999999999</v>
      </c>
      <c r="O602" s="14">
        <f>CHOOSE(CONTROL!$C$42, 36.3136, 36.3136) * CHOOSE(CONTROL!$C$21, $C$9, 100%, $E$9)</f>
        <v>36.313600000000001</v>
      </c>
      <c r="P602" s="14">
        <f>CHOOSE(CONTROL!$C$42, 36.3394, 36.3394) * CHOOSE(CONTROL!$C$21, $C$9, 100%, $E$9)</f>
        <v>36.339399999999998</v>
      </c>
      <c r="Q602" s="14">
        <f>CHOOSE(CONTROL!$C$42, 36.9083, 36.9083) * CHOOSE(CONTROL!$C$21, $C$9, 100%, $E$9)</f>
        <v>36.908299999999997</v>
      </c>
      <c r="R602" s="14">
        <f>CHOOSE(CONTROL!$C$42, 37.5876, 37.5876) * CHOOSE(CONTROL!$C$21, $C$9, 100%, $E$9)</f>
        <v>37.587600000000002</v>
      </c>
      <c r="S602" s="14">
        <f>CHOOSE(CONTROL!$C$42, 35.5165, 35.5165) * CHOOSE(CONTROL!$C$21, $C$9, 100%, $E$9)</f>
        <v>35.516500000000001</v>
      </c>
      <c r="T60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02" s="57">
        <f>(1000*CHOOSE(CONTROL!$C$42, 695, 695)*CHOOSE(CONTROL!$C$42, 0.5599, 0.5599)*CHOOSE(CONTROL!$C$42, 28, 28))/1000000</f>
        <v>10.895653999999999</v>
      </c>
      <c r="V602" s="57">
        <f>(1000*CHOOSE(CONTROL!$C$42, 500, 500)*CHOOSE(CONTROL!$C$42, 0.275, 0.275)*CHOOSE(CONTROL!$C$42, 28, 28))/1000000</f>
        <v>3.85</v>
      </c>
      <c r="W602" s="57">
        <f>(1000*CHOOSE(CONTROL!$C$42, 0.1146, 0.1146)*CHOOSE(CONTROL!$C$42, 121.5, 121.5)*CHOOSE(CONTROL!$C$42, 28, 28))/1000000</f>
        <v>0.38986920000000003</v>
      </c>
      <c r="X602" s="57">
        <f>(28*0.1790888*100000/1000000)+(28*0.2374*100000/1000000)</f>
        <v>1.16616864</v>
      </c>
      <c r="Y602" s="57"/>
      <c r="Z602" s="14"/>
      <c r="AA602" s="56"/>
      <c r="AB602" s="50">
        <f>(B602*122.58+C602*297.941+D602*89.177+E602*40.302+F602*40+G602*160+H602*0+I602*100+J602*300)/(122.58+297.941+89.177+40.302+0+40+160+100+300)</f>
        <v>36.98672326234783</v>
      </c>
      <c r="AC602" s="45">
        <f>(M602*'RAP TEMPLATE-GAS AVAILABILITY'!O601+N602*'RAP TEMPLATE-GAS AVAILABILITY'!P601+O602*'RAP TEMPLATE-GAS AVAILABILITY'!Q601+P602*'RAP TEMPLATE-GAS AVAILABILITY'!R601)/('RAP TEMPLATE-GAS AVAILABILITY'!O601+'RAP TEMPLATE-GAS AVAILABILITY'!P601+'RAP TEMPLATE-GAS AVAILABILITY'!Q601+'RAP TEMPLATE-GAS AVAILABILITY'!R601)</f>
        <v>36.273064748201435</v>
      </c>
    </row>
    <row r="603" spans="1:29" ht="15.75" x14ac:dyDescent="0.25">
      <c r="A603" s="32">
        <v>59261</v>
      </c>
      <c r="B603" s="14">
        <f>CHOOSE(CONTROL!$C$42, 35.9212, 35.9212) * CHOOSE(CONTROL!$C$21, $C$9, 100%, $E$9)</f>
        <v>35.921199999999999</v>
      </c>
      <c r="C603" s="14">
        <f>CHOOSE(CONTROL!$C$42, 35.9263, 35.9263) * CHOOSE(CONTROL!$C$21, $C$9, 100%, $E$9)</f>
        <v>35.926299999999998</v>
      </c>
      <c r="D603" s="14">
        <f>CHOOSE(CONTROL!$C$42, 35.9927, 35.9927) * CHOOSE(CONTROL!$C$21, $C$9, 100%, $E$9)</f>
        <v>35.992699999999999</v>
      </c>
      <c r="E603" s="14">
        <f>CHOOSE(CONTROL!$C$42, 36.0268, 36.0268) * CHOOSE(CONTROL!$C$21, $C$9, 100%, $E$9)</f>
        <v>36.026800000000001</v>
      </c>
      <c r="F603" s="14">
        <f>CHOOSE(CONTROL!$C$42, 35.9082, 35.9082)*CHOOSE(CONTROL!$C$21, $C$9, 100%, $E$9)</f>
        <v>35.908200000000001</v>
      </c>
      <c r="G603" s="14">
        <f>CHOOSE(CONTROL!$C$42, 35.9236, 35.9236)*CHOOSE(CONTROL!$C$21, $C$9, 100%, $E$9)</f>
        <v>35.9236</v>
      </c>
      <c r="H603" s="14">
        <f>CHOOSE(CONTROL!$C$42, 36.016, 36.016) * CHOOSE(CONTROL!$C$21, $C$9, 100%, $E$9)</f>
        <v>36.015999999999998</v>
      </c>
      <c r="I603" s="14">
        <f>CHOOSE(CONTROL!$C$42, 36.0414, 36.0414)* CHOOSE(CONTROL!$C$21, $C$9, 100%, $E$9)</f>
        <v>36.041400000000003</v>
      </c>
      <c r="J603" s="14">
        <f>CHOOSE(CONTROL!$C$42, 35.9012, 35.9012)* CHOOSE(CONTROL!$C$21, $C$9, 100%, $E$9)</f>
        <v>35.901200000000003</v>
      </c>
      <c r="K603" s="53">
        <f>CHOOSE(CONTROL!$C$42, 36.0375, 36.0375) * CHOOSE(CONTROL!$C$21, $C$9, 100%, $E$9)</f>
        <v>36.037500000000001</v>
      </c>
      <c r="L603" s="14">
        <f>CHOOSE(CONTROL!$C$42, 36.603, 36.603) * CHOOSE(CONTROL!$C$21, $C$9, 100%, $E$9)</f>
        <v>36.603000000000002</v>
      </c>
      <c r="M603" s="14">
        <f>CHOOSE(CONTROL!$C$42, 35.1733, 35.1733) * CHOOSE(CONTROL!$C$21, $C$9, 100%, $E$9)</f>
        <v>35.173299999999998</v>
      </c>
      <c r="N603" s="14">
        <f>CHOOSE(CONTROL!$C$42, 35.1884, 35.1884) * CHOOSE(CONTROL!$C$21, $C$9, 100%, $E$9)</f>
        <v>35.188400000000001</v>
      </c>
      <c r="O603" s="14">
        <f>CHOOSE(CONTROL!$C$42, 35.2858, 35.2858) * CHOOSE(CONTROL!$C$21, $C$9, 100%, $E$9)</f>
        <v>35.285800000000002</v>
      </c>
      <c r="P603" s="14">
        <f>CHOOSE(CONTROL!$C$42, 35.3084, 35.3084) * CHOOSE(CONTROL!$C$21, $C$9, 100%, $E$9)</f>
        <v>35.308399999999999</v>
      </c>
      <c r="Q603" s="14">
        <f>CHOOSE(CONTROL!$C$42, 35.8805, 35.8805) * CHOOSE(CONTROL!$C$21, $C$9, 100%, $E$9)</f>
        <v>35.880499999999998</v>
      </c>
      <c r="R603" s="14">
        <f>CHOOSE(CONTROL!$C$42, 36.5572, 36.5572) * CHOOSE(CONTROL!$C$21, $C$9, 100%, $E$9)</f>
        <v>36.557200000000002</v>
      </c>
      <c r="S603" s="14">
        <f>CHOOSE(CONTROL!$C$42, 34.5082, 34.5082) * CHOOSE(CONTROL!$C$21, $C$9, 100%, $E$9)</f>
        <v>34.508200000000002</v>
      </c>
      <c r="T60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03" s="57">
        <f>(1000*CHOOSE(CONTROL!$C$42, 695, 695)*CHOOSE(CONTROL!$C$42, 0.5599, 0.5599)*CHOOSE(CONTROL!$C$42, 31, 31))/1000000</f>
        <v>12.063045499999998</v>
      </c>
      <c r="V603" s="57">
        <f>(1000*CHOOSE(CONTROL!$C$42, 500, 500)*CHOOSE(CONTROL!$C$42, 0.275, 0.275)*CHOOSE(CONTROL!$C$42, 31, 31))/1000000</f>
        <v>4.2625000000000002</v>
      </c>
      <c r="W603" s="57">
        <f>(1000*CHOOSE(CONTROL!$C$42, 0.1146, 0.1146)*CHOOSE(CONTROL!$C$42, 121.5, 121.5)*CHOOSE(CONTROL!$C$42, 31, 31))/1000000</f>
        <v>0.43164089999999994</v>
      </c>
      <c r="X603" s="57">
        <f>(31*0.1790888*100000/1000000)+(31*0.2374*100000/1000000)</f>
        <v>1.2911152800000001</v>
      </c>
      <c r="Y603" s="57"/>
      <c r="Z603" s="14"/>
      <c r="AA603" s="56"/>
      <c r="AB603" s="50">
        <f>(B603*122.58+C603*297.941+D603*89.177+E603*40.302+F603*40+G603*160+H603*0+I603*100+J603*300)/(122.58+297.941+89.177+40.302+0+40+160+100+300)</f>
        <v>35.936883083304352</v>
      </c>
      <c r="AC603" s="45">
        <f>(M603*'RAP TEMPLATE-GAS AVAILABILITY'!O602+N603*'RAP TEMPLATE-GAS AVAILABILITY'!P602+O603*'RAP TEMPLATE-GAS AVAILABILITY'!Q602+P603*'RAP TEMPLATE-GAS AVAILABILITY'!R602)/('RAP TEMPLATE-GAS AVAILABILITY'!O602+'RAP TEMPLATE-GAS AVAILABILITY'!P602+'RAP TEMPLATE-GAS AVAILABILITY'!Q602+'RAP TEMPLATE-GAS AVAILABILITY'!R602)</f>
        <v>35.24459712230216</v>
      </c>
    </row>
    <row r="604" spans="1:29" ht="15.75" x14ac:dyDescent="0.25">
      <c r="A604" s="32">
        <v>59291</v>
      </c>
      <c r="B604" s="14">
        <f>CHOOSE(CONTROL!$C$42, 35.8149, 35.8149) * CHOOSE(CONTROL!$C$21, $C$9, 100%, $E$9)</f>
        <v>35.814900000000002</v>
      </c>
      <c r="C604" s="14">
        <f>CHOOSE(CONTROL!$C$42, 35.8194, 35.8194) * CHOOSE(CONTROL!$C$21, $C$9, 100%, $E$9)</f>
        <v>35.819400000000002</v>
      </c>
      <c r="D604" s="14">
        <f>CHOOSE(CONTROL!$C$42, 36.0264, 36.0264) * CHOOSE(CONTROL!$C$21, $C$9, 100%, $E$9)</f>
        <v>36.026400000000002</v>
      </c>
      <c r="E604" s="14">
        <f>CHOOSE(CONTROL!$C$42, 36.0585, 36.0585) * CHOOSE(CONTROL!$C$21, $C$9, 100%, $E$9)</f>
        <v>36.058500000000002</v>
      </c>
      <c r="F604" s="14">
        <f>CHOOSE(CONTROL!$C$42, 35.7968, 35.7968)*CHOOSE(CONTROL!$C$21, $C$9, 100%, $E$9)</f>
        <v>35.796799999999998</v>
      </c>
      <c r="G604" s="14">
        <f>CHOOSE(CONTROL!$C$42, 35.812, 35.812)*CHOOSE(CONTROL!$C$21, $C$9, 100%, $E$9)</f>
        <v>35.811999999999998</v>
      </c>
      <c r="H604" s="14">
        <f>CHOOSE(CONTROL!$C$42, 36.0483, 36.0483) * CHOOSE(CONTROL!$C$21, $C$9, 100%, $E$9)</f>
        <v>36.048299999999998</v>
      </c>
      <c r="I604" s="14">
        <f>CHOOSE(CONTROL!$C$42, 35.9339, 35.9339)* CHOOSE(CONTROL!$C$21, $C$9, 100%, $E$9)</f>
        <v>35.933900000000001</v>
      </c>
      <c r="J604" s="14">
        <f>CHOOSE(CONTROL!$C$42, 35.7898, 35.7898)* CHOOSE(CONTROL!$C$21, $C$9, 100%, $E$9)</f>
        <v>35.7898</v>
      </c>
      <c r="K604" s="53">
        <f>CHOOSE(CONTROL!$C$42, 35.93, 35.93) * CHOOSE(CONTROL!$C$21, $C$9, 100%, $E$9)</f>
        <v>35.93</v>
      </c>
      <c r="L604" s="14">
        <f>CHOOSE(CONTROL!$C$42, 36.6353, 36.6353) * CHOOSE(CONTROL!$C$21, $C$9, 100%, $E$9)</f>
        <v>36.635300000000001</v>
      </c>
      <c r="M604" s="14">
        <f>CHOOSE(CONTROL!$C$42, 35.0641, 35.0641) * CHOOSE(CONTROL!$C$21, $C$9, 100%, $E$9)</f>
        <v>35.064100000000003</v>
      </c>
      <c r="N604" s="14">
        <f>CHOOSE(CONTROL!$C$42, 35.079, 35.079) * CHOOSE(CONTROL!$C$21, $C$9, 100%, $E$9)</f>
        <v>35.079000000000001</v>
      </c>
      <c r="O604" s="14">
        <f>CHOOSE(CONTROL!$C$42, 35.3174, 35.3174) * CHOOSE(CONTROL!$C$21, $C$9, 100%, $E$9)</f>
        <v>35.317399999999999</v>
      </c>
      <c r="P604" s="14">
        <f>CHOOSE(CONTROL!$C$42, 35.2031, 35.2031) * CHOOSE(CONTROL!$C$21, $C$9, 100%, $E$9)</f>
        <v>35.203099999999999</v>
      </c>
      <c r="Q604" s="14">
        <f>CHOOSE(CONTROL!$C$42, 35.9121, 35.9121) * CHOOSE(CONTROL!$C$21, $C$9, 100%, $E$9)</f>
        <v>35.912100000000002</v>
      </c>
      <c r="R604" s="14">
        <f>CHOOSE(CONTROL!$C$42, 36.5889, 36.5889) * CHOOSE(CONTROL!$C$21, $C$9, 100%, $E$9)</f>
        <v>36.588900000000002</v>
      </c>
      <c r="S604" s="14">
        <f>CHOOSE(CONTROL!$C$42, 34.4052, 34.4052) * CHOOSE(CONTROL!$C$21, $C$9, 100%, $E$9)</f>
        <v>34.405200000000001</v>
      </c>
      <c r="T60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04" s="57">
        <f>(1000*CHOOSE(CONTROL!$C$42, 695, 695)*CHOOSE(CONTROL!$C$42, 0.5599, 0.5599)*CHOOSE(CONTROL!$C$42, 30, 30))/1000000</f>
        <v>11.673914999999997</v>
      </c>
      <c r="V604" s="57">
        <f>(1000*CHOOSE(CONTROL!$C$42, 500, 500)*CHOOSE(CONTROL!$C$42, 0.275, 0.275)*CHOOSE(CONTROL!$C$42, 30, 30))/1000000</f>
        <v>4.125</v>
      </c>
      <c r="W604" s="57">
        <f>(1000*CHOOSE(CONTROL!$C$42, 0.1146, 0.1146)*CHOOSE(CONTROL!$C$42, 121.5, 121.5)*CHOOSE(CONTROL!$C$42, 30, 30))/1000000</f>
        <v>0.417717</v>
      </c>
      <c r="X604" s="57">
        <f>(30*0.1790888*245000/1000000)+(30*0.2374*100000/1000000)</f>
        <v>2.0285026799999999</v>
      </c>
      <c r="Y604" s="57"/>
      <c r="Z604" s="14"/>
      <c r="AA604" s="56"/>
      <c r="AB604" s="50">
        <f>(B604*141.293+C604*267.993+D604*115.016+E604*89.698+F604*40+G604*185+H604*0+I604*100+J604*300)/(141.293+267.993+115.016+89.698+0+40+185+100+300)</f>
        <v>35.855652046246981</v>
      </c>
      <c r="AC604" s="45">
        <f>(M604*'RAP TEMPLATE-GAS AVAILABILITY'!O603+N604*'RAP TEMPLATE-GAS AVAILABILITY'!P603+O604*'RAP TEMPLATE-GAS AVAILABILITY'!Q603+P604*'RAP TEMPLATE-GAS AVAILABILITY'!R603)/('RAP TEMPLATE-GAS AVAILABILITY'!O603+'RAP TEMPLATE-GAS AVAILABILITY'!P603+'RAP TEMPLATE-GAS AVAILABILITY'!Q603+'RAP TEMPLATE-GAS AVAILABILITY'!R603)</f>
        <v>35.199762589928064</v>
      </c>
    </row>
    <row r="605" spans="1:29" ht="15.75" x14ac:dyDescent="0.25">
      <c r="A605" s="32">
        <v>59322</v>
      </c>
      <c r="B605" s="14">
        <f>CHOOSE(CONTROL!$C$42, 36.1323, 36.1323) * CHOOSE(CONTROL!$C$21, $C$9, 100%, $E$9)</f>
        <v>36.132300000000001</v>
      </c>
      <c r="C605" s="14">
        <f>CHOOSE(CONTROL!$C$42, 36.1403, 36.1403) * CHOOSE(CONTROL!$C$21, $C$9, 100%, $E$9)</f>
        <v>36.140300000000003</v>
      </c>
      <c r="D605" s="14">
        <f>CHOOSE(CONTROL!$C$42, 36.3442, 36.3442) * CHOOSE(CONTROL!$C$21, $C$9, 100%, $E$9)</f>
        <v>36.344200000000001</v>
      </c>
      <c r="E605" s="14">
        <f>CHOOSE(CONTROL!$C$42, 36.3757, 36.3757) * CHOOSE(CONTROL!$C$21, $C$9, 100%, $E$9)</f>
        <v>36.375700000000002</v>
      </c>
      <c r="F605" s="14">
        <f>CHOOSE(CONTROL!$C$42, 36.113, 36.113)*CHOOSE(CONTROL!$C$21, $C$9, 100%, $E$9)</f>
        <v>36.113</v>
      </c>
      <c r="G605" s="14">
        <f>CHOOSE(CONTROL!$C$42, 36.1287, 36.1287)*CHOOSE(CONTROL!$C$21, $C$9, 100%, $E$9)</f>
        <v>36.128700000000002</v>
      </c>
      <c r="H605" s="14">
        <f>CHOOSE(CONTROL!$C$42, 36.3643, 36.3643) * CHOOSE(CONTROL!$C$21, $C$9, 100%, $E$9)</f>
        <v>36.3643</v>
      </c>
      <c r="I605" s="14">
        <f>CHOOSE(CONTROL!$C$42, 36.2509, 36.2509)* CHOOSE(CONTROL!$C$21, $C$9, 100%, $E$9)</f>
        <v>36.250900000000001</v>
      </c>
      <c r="J605" s="14">
        <f>CHOOSE(CONTROL!$C$42, 36.106, 36.106)* CHOOSE(CONTROL!$C$21, $C$9, 100%, $E$9)</f>
        <v>36.106000000000002</v>
      </c>
      <c r="K605" s="53">
        <f>CHOOSE(CONTROL!$C$42, 36.247, 36.247) * CHOOSE(CONTROL!$C$21, $C$9, 100%, $E$9)</f>
        <v>36.247</v>
      </c>
      <c r="L605" s="14">
        <f>CHOOSE(CONTROL!$C$42, 36.9513, 36.9513) * CHOOSE(CONTROL!$C$21, $C$9, 100%, $E$9)</f>
        <v>36.951300000000003</v>
      </c>
      <c r="M605" s="14">
        <f>CHOOSE(CONTROL!$C$42, 35.3739, 35.3739) * CHOOSE(CONTROL!$C$21, $C$9, 100%, $E$9)</f>
        <v>35.373899999999999</v>
      </c>
      <c r="N605" s="14">
        <f>CHOOSE(CONTROL!$C$42, 35.3893, 35.3893) * CHOOSE(CONTROL!$C$21, $C$9, 100%, $E$9)</f>
        <v>35.389299999999999</v>
      </c>
      <c r="O605" s="14">
        <f>CHOOSE(CONTROL!$C$42, 35.627, 35.627) * CHOOSE(CONTROL!$C$21, $C$9, 100%, $E$9)</f>
        <v>35.627000000000002</v>
      </c>
      <c r="P605" s="14">
        <f>CHOOSE(CONTROL!$C$42, 35.5136, 35.5136) * CHOOSE(CONTROL!$C$21, $C$9, 100%, $E$9)</f>
        <v>35.513599999999997</v>
      </c>
      <c r="Q605" s="14">
        <f>CHOOSE(CONTROL!$C$42, 36.2217, 36.2217) * CHOOSE(CONTROL!$C$21, $C$9, 100%, $E$9)</f>
        <v>36.221699999999998</v>
      </c>
      <c r="R605" s="14">
        <f>CHOOSE(CONTROL!$C$42, 36.8992, 36.8992) * CHOOSE(CONTROL!$C$21, $C$9, 100%, $E$9)</f>
        <v>36.8992</v>
      </c>
      <c r="S605" s="14">
        <f>CHOOSE(CONTROL!$C$42, 34.7089, 34.7089) * CHOOSE(CONTROL!$C$21, $C$9, 100%, $E$9)</f>
        <v>34.7089</v>
      </c>
      <c r="T60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05" s="57">
        <f>(1000*CHOOSE(CONTROL!$C$42, 695, 695)*CHOOSE(CONTROL!$C$42, 0.5599, 0.5599)*CHOOSE(CONTROL!$C$42, 31, 31))/1000000</f>
        <v>12.063045499999998</v>
      </c>
      <c r="V605" s="57">
        <f>(1000*CHOOSE(CONTROL!$C$42, 500, 500)*CHOOSE(CONTROL!$C$42, 0.275, 0.275)*CHOOSE(CONTROL!$C$42, 31, 31))/1000000</f>
        <v>4.2625000000000002</v>
      </c>
      <c r="W605" s="57">
        <f>(1000*CHOOSE(CONTROL!$C$42, 0.1146, 0.1146)*CHOOSE(CONTROL!$C$42, 121.5, 121.5)*CHOOSE(CONTROL!$C$42, 31, 31))/1000000</f>
        <v>0.43164089999999994</v>
      </c>
      <c r="X605" s="57">
        <f>(31*0.1790888*245000/1000000)+(31*0.2374*100000/1000000)</f>
        <v>2.0961194359999999</v>
      </c>
      <c r="Y605" s="57"/>
      <c r="Z605" s="14"/>
      <c r="AA605" s="56"/>
      <c r="AB605" s="50">
        <f>(B605*194.205+C605*267.466+D605*133.845+E605*53.484+F605*40+G605*185+H605*0+I605*100+J605*300)/(194.205+267.466+133.845+53.484+0+40+185+100+300)</f>
        <v>36.168447165698588</v>
      </c>
      <c r="AC605" s="45">
        <f>(M605*'RAP TEMPLATE-GAS AVAILABILITY'!O604+N605*'RAP TEMPLATE-GAS AVAILABILITY'!P604+O605*'RAP TEMPLATE-GAS AVAILABILITY'!Q604+P605*'RAP TEMPLATE-GAS AVAILABILITY'!R604)/('RAP TEMPLATE-GAS AVAILABILITY'!O604+'RAP TEMPLATE-GAS AVAILABILITY'!P604+'RAP TEMPLATE-GAS AVAILABILITY'!Q604+'RAP TEMPLATE-GAS AVAILABILITY'!R604)</f>
        <v>35.509601438848925</v>
      </c>
    </row>
    <row r="606" spans="1:29" ht="15.75" x14ac:dyDescent="0.25">
      <c r="A606" s="32">
        <v>59352</v>
      </c>
      <c r="B606" s="14">
        <f>CHOOSE(CONTROL!$C$42, 37.1569, 37.1569) * CHOOSE(CONTROL!$C$21, $C$9, 100%, $E$9)</f>
        <v>37.1569</v>
      </c>
      <c r="C606" s="14">
        <f>CHOOSE(CONTROL!$C$42, 37.1649, 37.1649) * CHOOSE(CONTROL!$C$21, $C$9, 100%, $E$9)</f>
        <v>37.164900000000003</v>
      </c>
      <c r="D606" s="14">
        <f>CHOOSE(CONTROL!$C$42, 37.3688, 37.3688) * CHOOSE(CONTROL!$C$21, $C$9, 100%, $E$9)</f>
        <v>37.3688</v>
      </c>
      <c r="E606" s="14">
        <f>CHOOSE(CONTROL!$C$42, 37.4003, 37.4003) * CHOOSE(CONTROL!$C$21, $C$9, 100%, $E$9)</f>
        <v>37.400300000000001</v>
      </c>
      <c r="F606" s="14">
        <f>CHOOSE(CONTROL!$C$42, 37.1381, 37.1381)*CHOOSE(CONTROL!$C$21, $C$9, 100%, $E$9)</f>
        <v>37.138100000000001</v>
      </c>
      <c r="G606" s="14">
        <f>CHOOSE(CONTROL!$C$42, 37.1538, 37.1538)*CHOOSE(CONTROL!$C$21, $C$9, 100%, $E$9)</f>
        <v>37.153799999999997</v>
      </c>
      <c r="H606" s="14">
        <f>CHOOSE(CONTROL!$C$42, 37.3889, 37.3889) * CHOOSE(CONTROL!$C$21, $C$9, 100%, $E$9)</f>
        <v>37.3889</v>
      </c>
      <c r="I606" s="14">
        <f>CHOOSE(CONTROL!$C$42, 37.2787, 37.2787)* CHOOSE(CONTROL!$C$21, $C$9, 100%, $E$9)</f>
        <v>37.278700000000001</v>
      </c>
      <c r="J606" s="14">
        <f>CHOOSE(CONTROL!$C$42, 37.1311, 37.1311)* CHOOSE(CONTROL!$C$21, $C$9, 100%, $E$9)</f>
        <v>37.131100000000004</v>
      </c>
      <c r="K606" s="53">
        <f>CHOOSE(CONTROL!$C$42, 37.2748, 37.2748) * CHOOSE(CONTROL!$C$21, $C$9, 100%, $E$9)</f>
        <v>37.274799999999999</v>
      </c>
      <c r="L606" s="14">
        <f>CHOOSE(CONTROL!$C$42, 37.9759, 37.9759) * CHOOSE(CONTROL!$C$21, $C$9, 100%, $E$9)</f>
        <v>37.975900000000003</v>
      </c>
      <c r="M606" s="14">
        <f>CHOOSE(CONTROL!$C$42, 36.378, 36.378) * CHOOSE(CONTROL!$C$21, $C$9, 100%, $E$9)</f>
        <v>36.378</v>
      </c>
      <c r="N606" s="14">
        <f>CHOOSE(CONTROL!$C$42, 36.3934, 36.3934) * CHOOSE(CONTROL!$C$21, $C$9, 100%, $E$9)</f>
        <v>36.3934</v>
      </c>
      <c r="O606" s="14">
        <f>CHOOSE(CONTROL!$C$42, 36.6306, 36.6306) * CHOOSE(CONTROL!$C$21, $C$9, 100%, $E$9)</f>
        <v>36.630600000000001</v>
      </c>
      <c r="P606" s="14">
        <f>CHOOSE(CONTROL!$C$42, 36.5203, 36.5203) * CHOOSE(CONTROL!$C$21, $C$9, 100%, $E$9)</f>
        <v>36.520299999999999</v>
      </c>
      <c r="Q606" s="14">
        <f>CHOOSE(CONTROL!$C$42, 37.2253, 37.2253) * CHOOSE(CONTROL!$C$21, $C$9, 100%, $E$9)</f>
        <v>37.225299999999997</v>
      </c>
      <c r="R606" s="14">
        <f>CHOOSE(CONTROL!$C$42, 37.9053, 37.9053) * CHOOSE(CONTROL!$C$21, $C$9, 100%, $E$9)</f>
        <v>37.905299999999997</v>
      </c>
      <c r="S606" s="14">
        <f>CHOOSE(CONTROL!$C$42, 35.6934, 35.6934) * CHOOSE(CONTROL!$C$21, $C$9, 100%, $E$9)</f>
        <v>35.693399999999997</v>
      </c>
      <c r="T60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06" s="57">
        <f>(1000*CHOOSE(CONTROL!$C$42, 695, 695)*CHOOSE(CONTROL!$C$42, 0.5599, 0.5599)*CHOOSE(CONTROL!$C$42, 30, 30))/1000000</f>
        <v>11.673914999999997</v>
      </c>
      <c r="V606" s="57">
        <f>(1000*CHOOSE(CONTROL!$C$42, 500, 500)*CHOOSE(CONTROL!$C$42, 0.275, 0.275)*CHOOSE(CONTROL!$C$42, 30, 30))/1000000</f>
        <v>4.125</v>
      </c>
      <c r="W606" s="57">
        <f>(1000*CHOOSE(CONTROL!$C$42, 0.1146, 0.1146)*CHOOSE(CONTROL!$C$42, 121.5, 121.5)*CHOOSE(CONTROL!$C$42, 30, 30))/1000000</f>
        <v>0.417717</v>
      </c>
      <c r="X606" s="57">
        <f>(30*0.1790888*245000/1000000)+(30*0.2374*100000/1000000)</f>
        <v>2.0285026799999999</v>
      </c>
      <c r="Y606" s="57"/>
      <c r="Z606" s="14"/>
      <c r="AA606" s="56"/>
      <c r="AB606" s="50">
        <f>(B606*194.205+C606*267.466+D606*133.845+E606*53.484+F606*40+G606*185+H606*0+I606*100+J606*300)/(194.205+267.466+133.845+53.484+0+40+185+100+300)</f>
        <v>37.193504387048669</v>
      </c>
      <c r="AC606" s="45">
        <f>(M606*'RAP TEMPLATE-GAS AVAILABILITY'!O605+N606*'RAP TEMPLATE-GAS AVAILABILITY'!P605+O606*'RAP TEMPLATE-GAS AVAILABILITY'!Q605+P606*'RAP TEMPLATE-GAS AVAILABILITY'!R605)/('RAP TEMPLATE-GAS AVAILABILITY'!O605+'RAP TEMPLATE-GAS AVAILABILITY'!P605+'RAP TEMPLATE-GAS AVAILABILITY'!Q605+'RAP TEMPLATE-GAS AVAILABILITY'!R605)</f>
        <v>36.51384892086331</v>
      </c>
    </row>
    <row r="607" spans="1:29" ht="15.75" x14ac:dyDescent="0.25">
      <c r="A607" s="32">
        <v>59383</v>
      </c>
      <c r="B607" s="14">
        <f>CHOOSE(CONTROL!$C$42, 36.4443, 36.4443) * CHOOSE(CONTROL!$C$21, $C$9, 100%, $E$9)</f>
        <v>36.444299999999998</v>
      </c>
      <c r="C607" s="14">
        <f>CHOOSE(CONTROL!$C$42, 36.4523, 36.4523) * CHOOSE(CONTROL!$C$21, $C$9, 100%, $E$9)</f>
        <v>36.452300000000001</v>
      </c>
      <c r="D607" s="14">
        <f>CHOOSE(CONTROL!$C$42, 36.6562, 36.6562) * CHOOSE(CONTROL!$C$21, $C$9, 100%, $E$9)</f>
        <v>36.656199999999998</v>
      </c>
      <c r="E607" s="14">
        <f>CHOOSE(CONTROL!$C$42, 36.6877, 36.6877) * CHOOSE(CONTROL!$C$21, $C$9, 100%, $E$9)</f>
        <v>36.6877</v>
      </c>
      <c r="F607" s="14">
        <f>CHOOSE(CONTROL!$C$42, 36.4259, 36.4259)*CHOOSE(CONTROL!$C$21, $C$9, 100%, $E$9)</f>
        <v>36.425899999999999</v>
      </c>
      <c r="G607" s="14">
        <f>CHOOSE(CONTROL!$C$42, 36.4418, 36.4418)*CHOOSE(CONTROL!$C$21, $C$9, 100%, $E$9)</f>
        <v>36.441800000000001</v>
      </c>
      <c r="H607" s="14">
        <f>CHOOSE(CONTROL!$C$42, 36.6763, 36.6763) * CHOOSE(CONTROL!$C$21, $C$9, 100%, $E$9)</f>
        <v>36.676299999999998</v>
      </c>
      <c r="I607" s="14">
        <f>CHOOSE(CONTROL!$C$42, 36.5638, 36.5638)* CHOOSE(CONTROL!$C$21, $C$9, 100%, $E$9)</f>
        <v>36.563800000000001</v>
      </c>
      <c r="J607" s="14">
        <f>CHOOSE(CONTROL!$C$42, 36.4189, 36.4189)* CHOOSE(CONTROL!$C$21, $C$9, 100%, $E$9)</f>
        <v>36.418900000000001</v>
      </c>
      <c r="K607" s="53">
        <f>CHOOSE(CONTROL!$C$42, 36.56, 36.56) * CHOOSE(CONTROL!$C$21, $C$9, 100%, $E$9)</f>
        <v>36.56</v>
      </c>
      <c r="L607" s="14">
        <f>CHOOSE(CONTROL!$C$42, 37.2633, 37.2633) * CHOOSE(CONTROL!$C$21, $C$9, 100%, $E$9)</f>
        <v>37.263300000000001</v>
      </c>
      <c r="M607" s="14">
        <f>CHOOSE(CONTROL!$C$42, 35.6804, 35.6804) * CHOOSE(CONTROL!$C$21, $C$9, 100%, $E$9)</f>
        <v>35.680399999999999</v>
      </c>
      <c r="N607" s="14">
        <f>CHOOSE(CONTROL!$C$42, 35.696, 35.696) * CHOOSE(CONTROL!$C$21, $C$9, 100%, $E$9)</f>
        <v>35.695999999999998</v>
      </c>
      <c r="O607" s="14">
        <f>CHOOSE(CONTROL!$C$42, 35.9325, 35.9325) * CHOOSE(CONTROL!$C$21, $C$9, 100%, $E$9)</f>
        <v>35.932499999999997</v>
      </c>
      <c r="P607" s="14">
        <f>CHOOSE(CONTROL!$C$42, 35.8202, 35.8202) * CHOOSE(CONTROL!$C$21, $C$9, 100%, $E$9)</f>
        <v>35.8202</v>
      </c>
      <c r="Q607" s="14">
        <f>CHOOSE(CONTROL!$C$42, 36.5272, 36.5272) * CHOOSE(CONTROL!$C$21, $C$9, 100%, $E$9)</f>
        <v>36.527200000000001</v>
      </c>
      <c r="R607" s="14">
        <f>CHOOSE(CONTROL!$C$42, 37.2056, 37.2056) * CHOOSE(CONTROL!$C$21, $C$9, 100%, $E$9)</f>
        <v>37.205599999999997</v>
      </c>
      <c r="S607" s="14">
        <f>CHOOSE(CONTROL!$C$42, 35.0087, 35.0087) * CHOOSE(CONTROL!$C$21, $C$9, 100%, $E$9)</f>
        <v>35.008699999999997</v>
      </c>
      <c r="T60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07" s="57">
        <f>(1000*CHOOSE(CONTROL!$C$42, 695, 695)*CHOOSE(CONTROL!$C$42, 0.5599, 0.5599)*CHOOSE(CONTROL!$C$42, 31, 31))/1000000</f>
        <v>12.063045499999998</v>
      </c>
      <c r="V607" s="57">
        <f>(1000*CHOOSE(CONTROL!$C$42, 500, 500)*CHOOSE(CONTROL!$C$42, 0.275, 0.275)*CHOOSE(CONTROL!$C$42, 31, 31))/1000000</f>
        <v>4.2625000000000002</v>
      </c>
      <c r="W607" s="57">
        <f>(1000*CHOOSE(CONTROL!$C$42, 0.1146, 0.1146)*CHOOSE(CONTROL!$C$42, 121.5, 121.5)*CHOOSE(CONTROL!$C$42, 31, 31))/1000000</f>
        <v>0.43164089999999994</v>
      </c>
      <c r="X607" s="57">
        <f>(31*0.1790888*245000/1000000)+(31*0.2374*100000/1000000)</f>
        <v>2.0961194359999999</v>
      </c>
      <c r="Y607" s="57"/>
      <c r="Z607" s="14"/>
      <c r="AA607" s="56"/>
      <c r="AB607" s="50">
        <f>(B607*194.205+C607*267.466+D607*133.845+E607*53.484+F607*40+G607*185+H607*0+I607*100+J607*300)/(194.205+267.466+133.845+53.484+0+40+185+100+300)</f>
        <v>36.480917730847722</v>
      </c>
      <c r="AC607" s="45">
        <f>(M607*'RAP TEMPLATE-GAS AVAILABILITY'!O606+N607*'RAP TEMPLATE-GAS AVAILABILITY'!P606+O607*'RAP TEMPLATE-GAS AVAILABILITY'!Q606+P607*'RAP TEMPLATE-GAS AVAILABILITY'!R606)/('RAP TEMPLATE-GAS AVAILABILITY'!O606+'RAP TEMPLATE-GAS AVAILABILITY'!P606+'RAP TEMPLATE-GAS AVAILABILITY'!Q606+'RAP TEMPLATE-GAS AVAILABILITY'!R606)</f>
        <v>35.815674100719427</v>
      </c>
    </row>
    <row r="608" spans="1:29" ht="15.75" x14ac:dyDescent="0.25">
      <c r="A608" s="32">
        <v>59414</v>
      </c>
      <c r="B608" s="14">
        <f>CHOOSE(CONTROL!$C$42, 34.6447, 34.6447) * CHOOSE(CONTROL!$C$21, $C$9, 100%, $E$9)</f>
        <v>34.6447</v>
      </c>
      <c r="C608" s="14">
        <f>CHOOSE(CONTROL!$C$42, 34.6527, 34.6527) * CHOOSE(CONTROL!$C$21, $C$9, 100%, $E$9)</f>
        <v>34.652700000000003</v>
      </c>
      <c r="D608" s="14">
        <f>CHOOSE(CONTROL!$C$42, 34.8567, 34.8567) * CHOOSE(CONTROL!$C$21, $C$9, 100%, $E$9)</f>
        <v>34.856699999999996</v>
      </c>
      <c r="E608" s="14">
        <f>CHOOSE(CONTROL!$C$42, 34.8881, 34.8881) * CHOOSE(CONTROL!$C$21, $C$9, 100%, $E$9)</f>
        <v>34.888100000000001</v>
      </c>
      <c r="F608" s="14">
        <f>CHOOSE(CONTROL!$C$42, 34.6265, 34.6265)*CHOOSE(CONTROL!$C$21, $C$9, 100%, $E$9)</f>
        <v>34.6265</v>
      </c>
      <c r="G608" s="14">
        <f>CHOOSE(CONTROL!$C$42, 34.6425, 34.6425)*CHOOSE(CONTROL!$C$21, $C$9, 100%, $E$9)</f>
        <v>34.642499999999998</v>
      </c>
      <c r="H608" s="14">
        <f>CHOOSE(CONTROL!$C$42, 34.8768, 34.8768) * CHOOSE(CONTROL!$C$21, $C$9, 100%, $E$9)</f>
        <v>34.876800000000003</v>
      </c>
      <c r="I608" s="14">
        <f>CHOOSE(CONTROL!$C$42, 34.7586, 34.7586)* CHOOSE(CONTROL!$C$21, $C$9, 100%, $E$9)</f>
        <v>34.758600000000001</v>
      </c>
      <c r="J608" s="14">
        <f>CHOOSE(CONTROL!$C$42, 34.6195, 34.6195)* CHOOSE(CONTROL!$C$21, $C$9, 100%, $E$9)</f>
        <v>34.619500000000002</v>
      </c>
      <c r="K608" s="53">
        <f>CHOOSE(CONTROL!$C$42, 34.7548, 34.7548) * CHOOSE(CONTROL!$C$21, $C$9, 100%, $E$9)</f>
        <v>34.754800000000003</v>
      </c>
      <c r="L608" s="14">
        <f>CHOOSE(CONTROL!$C$42, 35.4638, 35.4638) * CHOOSE(CONTROL!$C$21, $C$9, 100%, $E$9)</f>
        <v>35.463799999999999</v>
      </c>
      <c r="M608" s="14">
        <f>CHOOSE(CONTROL!$C$42, 33.9179, 33.9179) * CHOOSE(CONTROL!$C$21, $C$9, 100%, $E$9)</f>
        <v>33.917900000000003</v>
      </c>
      <c r="N608" s="14">
        <f>CHOOSE(CONTROL!$C$42, 33.9335, 33.9335) * CHOOSE(CONTROL!$C$21, $C$9, 100%, $E$9)</f>
        <v>33.933500000000002</v>
      </c>
      <c r="O608" s="14">
        <f>CHOOSE(CONTROL!$C$42, 34.1698, 34.1698) * CHOOSE(CONTROL!$C$21, $C$9, 100%, $E$9)</f>
        <v>34.169800000000002</v>
      </c>
      <c r="P608" s="14">
        <f>CHOOSE(CONTROL!$C$42, 34.052, 34.052) * CHOOSE(CONTROL!$C$21, $C$9, 100%, $E$9)</f>
        <v>34.052</v>
      </c>
      <c r="Q608" s="14">
        <f>CHOOSE(CONTROL!$C$42, 34.7645, 34.7645) * CHOOSE(CONTROL!$C$21, $C$9, 100%, $E$9)</f>
        <v>34.764499999999998</v>
      </c>
      <c r="R608" s="14">
        <f>CHOOSE(CONTROL!$C$42, 35.4385, 35.4385) * CHOOSE(CONTROL!$C$21, $C$9, 100%, $E$9)</f>
        <v>35.438499999999998</v>
      </c>
      <c r="S608" s="14">
        <f>CHOOSE(CONTROL!$C$42, 33.2795, 33.2795) * CHOOSE(CONTROL!$C$21, $C$9, 100%, $E$9)</f>
        <v>33.279499999999999</v>
      </c>
      <c r="T60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08" s="57">
        <f>(1000*CHOOSE(CONTROL!$C$42, 695, 695)*CHOOSE(CONTROL!$C$42, 0.5599, 0.5599)*CHOOSE(CONTROL!$C$42, 31, 31))/1000000</f>
        <v>12.063045499999998</v>
      </c>
      <c r="V608" s="57">
        <f>(1000*CHOOSE(CONTROL!$C$42, 500, 500)*CHOOSE(CONTROL!$C$42, 0.275, 0.275)*CHOOSE(CONTROL!$C$42, 31, 31))/1000000</f>
        <v>4.2625000000000002</v>
      </c>
      <c r="W608" s="57">
        <f>(1000*CHOOSE(CONTROL!$C$42, 0.1146, 0.1146)*CHOOSE(CONTROL!$C$42, 121.5, 121.5)*CHOOSE(CONTROL!$C$42, 31, 31))/1000000</f>
        <v>0.43164089999999994</v>
      </c>
      <c r="X608" s="57">
        <f>(31*0.1790888*245000/1000000)+(31*0.2374*100000/1000000)</f>
        <v>2.0961194359999999</v>
      </c>
      <c r="Y608" s="57"/>
      <c r="Z608" s="14"/>
      <c r="AA608" s="56"/>
      <c r="AB608" s="50">
        <f>(B608*194.205+C608*267.466+D608*133.845+E608*53.484+F608*40+G608*185+H608*0+I608*100+J608*300)/(194.205+267.466+133.845+53.484+0+40+185+100+300)</f>
        <v>34.680985615070647</v>
      </c>
      <c r="AC608" s="45">
        <f>(M608*'RAP TEMPLATE-GAS AVAILABILITY'!O607+N608*'RAP TEMPLATE-GAS AVAILABILITY'!P607+O608*'RAP TEMPLATE-GAS AVAILABILITY'!Q607+P608*'RAP TEMPLATE-GAS AVAILABILITY'!R607)/('RAP TEMPLATE-GAS AVAILABILITY'!O607+'RAP TEMPLATE-GAS AVAILABILITY'!P607+'RAP TEMPLATE-GAS AVAILABILITY'!Q607+'RAP TEMPLATE-GAS AVAILABILITY'!R607)</f>
        <v>34.052263309352519</v>
      </c>
    </row>
    <row r="609" spans="1:29" ht="15.75" x14ac:dyDescent="0.25">
      <c r="A609" s="32">
        <v>59444</v>
      </c>
      <c r="B609" s="14">
        <f>CHOOSE(CONTROL!$C$42, 32.4456, 32.4456) * CHOOSE(CONTROL!$C$21, $C$9, 100%, $E$9)</f>
        <v>32.445599999999999</v>
      </c>
      <c r="C609" s="14">
        <f>CHOOSE(CONTROL!$C$42, 32.4536, 32.4536) * CHOOSE(CONTROL!$C$21, $C$9, 100%, $E$9)</f>
        <v>32.453600000000002</v>
      </c>
      <c r="D609" s="14">
        <f>CHOOSE(CONTROL!$C$42, 32.6575, 32.6575) * CHOOSE(CONTROL!$C$21, $C$9, 100%, $E$9)</f>
        <v>32.657499999999999</v>
      </c>
      <c r="E609" s="14">
        <f>CHOOSE(CONTROL!$C$42, 32.689, 32.689) * CHOOSE(CONTROL!$C$21, $C$9, 100%, $E$9)</f>
        <v>32.689</v>
      </c>
      <c r="F609" s="14">
        <f>CHOOSE(CONTROL!$C$42, 32.4275, 32.4275)*CHOOSE(CONTROL!$C$21, $C$9, 100%, $E$9)</f>
        <v>32.427500000000002</v>
      </c>
      <c r="G609" s="14">
        <f>CHOOSE(CONTROL!$C$42, 32.4434, 32.4434)*CHOOSE(CONTROL!$C$21, $C$9, 100%, $E$9)</f>
        <v>32.443399999999997</v>
      </c>
      <c r="H609" s="14">
        <f>CHOOSE(CONTROL!$C$42, 32.6776, 32.6776) * CHOOSE(CONTROL!$C$21, $C$9, 100%, $E$9)</f>
        <v>32.677599999999998</v>
      </c>
      <c r="I609" s="14">
        <f>CHOOSE(CONTROL!$C$42, 32.5526, 32.5526)* CHOOSE(CONTROL!$C$21, $C$9, 100%, $E$9)</f>
        <v>32.552599999999998</v>
      </c>
      <c r="J609" s="14">
        <f>CHOOSE(CONTROL!$C$42, 32.4205, 32.4205)* CHOOSE(CONTROL!$C$21, $C$9, 100%, $E$9)</f>
        <v>32.420499999999997</v>
      </c>
      <c r="K609" s="53">
        <f>CHOOSE(CONTROL!$C$42, 32.5487, 32.5487) * CHOOSE(CONTROL!$C$21, $C$9, 100%, $E$9)</f>
        <v>32.548699999999997</v>
      </c>
      <c r="L609" s="14">
        <f>CHOOSE(CONTROL!$C$42, 33.2646, 33.2646) * CHOOSE(CONTROL!$C$21, $C$9, 100%, $E$9)</f>
        <v>33.264600000000002</v>
      </c>
      <c r="M609" s="14">
        <f>CHOOSE(CONTROL!$C$42, 31.7639, 31.7639) * CHOOSE(CONTROL!$C$21, $C$9, 100%, $E$9)</f>
        <v>31.7639</v>
      </c>
      <c r="N609" s="14">
        <f>CHOOSE(CONTROL!$C$42, 31.7795, 31.7795) * CHOOSE(CONTROL!$C$21, $C$9, 100%, $E$9)</f>
        <v>31.779499999999999</v>
      </c>
      <c r="O609" s="14">
        <f>CHOOSE(CONTROL!$C$42, 32.0158, 32.0158) * CHOOSE(CONTROL!$C$21, $C$9, 100%, $E$9)</f>
        <v>32.015799999999999</v>
      </c>
      <c r="P609" s="14">
        <f>CHOOSE(CONTROL!$C$42, 31.8914, 31.8914) * CHOOSE(CONTROL!$C$21, $C$9, 100%, $E$9)</f>
        <v>31.891400000000001</v>
      </c>
      <c r="Q609" s="14">
        <f>CHOOSE(CONTROL!$C$42, 32.6105, 32.6105) * CHOOSE(CONTROL!$C$21, $C$9, 100%, $E$9)</f>
        <v>32.610500000000002</v>
      </c>
      <c r="R609" s="14">
        <f>CHOOSE(CONTROL!$C$42, 33.279, 33.279) * CHOOSE(CONTROL!$C$21, $C$9, 100%, $E$9)</f>
        <v>33.279000000000003</v>
      </c>
      <c r="S609" s="14">
        <f>CHOOSE(CONTROL!$C$42, 31.1663, 31.1663) * CHOOSE(CONTROL!$C$21, $C$9, 100%, $E$9)</f>
        <v>31.1663</v>
      </c>
      <c r="T60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09" s="57">
        <f>(1000*CHOOSE(CONTROL!$C$42, 695, 695)*CHOOSE(CONTROL!$C$42, 0.5599, 0.5599)*CHOOSE(CONTROL!$C$42, 30, 30))/1000000</f>
        <v>11.673914999999997</v>
      </c>
      <c r="V609" s="57">
        <f>(1000*CHOOSE(CONTROL!$C$42, 500, 500)*CHOOSE(CONTROL!$C$42, 0.275, 0.275)*CHOOSE(CONTROL!$C$42, 30, 30))/1000000</f>
        <v>4.125</v>
      </c>
      <c r="W609" s="57">
        <f>(1000*CHOOSE(CONTROL!$C$42, 0.1146, 0.1146)*CHOOSE(CONTROL!$C$42, 121.5, 121.5)*CHOOSE(CONTROL!$C$42, 30, 30))/1000000</f>
        <v>0.417717</v>
      </c>
      <c r="X609" s="57">
        <f>(30*0.1790888*245000/1000000)+(30*0.2374*100000/1000000)</f>
        <v>2.0285026799999999</v>
      </c>
      <c r="Y609" s="57"/>
      <c r="Z609" s="14"/>
      <c r="AA609" s="56"/>
      <c r="AB609" s="50">
        <f>(B609*194.205+C609*267.466+D609*133.845+E609*53.484+F609*40+G609*185+H609*0+I609*100+J609*300)/(194.205+267.466+133.845+53.484+0+40+185+100+300)</f>
        <v>32.481360195525902</v>
      </c>
      <c r="AC609" s="45">
        <f>(M609*'RAP TEMPLATE-GAS AVAILABILITY'!O608+N609*'RAP TEMPLATE-GAS AVAILABILITY'!P608+O609*'RAP TEMPLATE-GAS AVAILABILITY'!Q608+P609*'RAP TEMPLATE-GAS AVAILABILITY'!R608)/('RAP TEMPLATE-GAS AVAILABILITY'!O608+'RAP TEMPLATE-GAS AVAILABILITY'!P608+'RAP TEMPLATE-GAS AVAILABILITY'!Q608+'RAP TEMPLATE-GAS AVAILABILITY'!R608)</f>
        <v>31.897313669064744</v>
      </c>
    </row>
    <row r="610" spans="1:29" ht="15.75" x14ac:dyDescent="0.25">
      <c r="A610" s="32">
        <v>59475</v>
      </c>
      <c r="B610" s="14">
        <f>CHOOSE(CONTROL!$C$42, 31.7853, 31.7853) * CHOOSE(CONTROL!$C$21, $C$9, 100%, $E$9)</f>
        <v>31.785299999999999</v>
      </c>
      <c r="C610" s="14">
        <f>CHOOSE(CONTROL!$C$42, 31.7906, 31.7906) * CHOOSE(CONTROL!$C$21, $C$9, 100%, $E$9)</f>
        <v>31.790600000000001</v>
      </c>
      <c r="D610" s="14">
        <f>CHOOSE(CONTROL!$C$42, 31.9995, 31.9995) * CHOOSE(CONTROL!$C$21, $C$9, 100%, $E$9)</f>
        <v>31.999500000000001</v>
      </c>
      <c r="E610" s="14">
        <f>CHOOSE(CONTROL!$C$42, 32.0286, 32.0286) * CHOOSE(CONTROL!$C$21, $C$9, 100%, $E$9)</f>
        <v>32.028599999999997</v>
      </c>
      <c r="F610" s="14">
        <f>CHOOSE(CONTROL!$C$42, 31.7693, 31.7693)*CHOOSE(CONTROL!$C$21, $C$9, 100%, $E$9)</f>
        <v>31.769300000000001</v>
      </c>
      <c r="G610" s="14">
        <f>CHOOSE(CONTROL!$C$42, 31.7849, 31.7849)*CHOOSE(CONTROL!$C$21, $C$9, 100%, $E$9)</f>
        <v>31.7849</v>
      </c>
      <c r="H610" s="14">
        <f>CHOOSE(CONTROL!$C$42, 32.0191, 32.0191) * CHOOSE(CONTROL!$C$21, $C$9, 100%, $E$9)</f>
        <v>32.019100000000002</v>
      </c>
      <c r="I610" s="14">
        <f>CHOOSE(CONTROL!$C$42, 31.892, 31.892)* CHOOSE(CONTROL!$C$21, $C$9, 100%, $E$9)</f>
        <v>31.891999999999999</v>
      </c>
      <c r="J610" s="14">
        <f>CHOOSE(CONTROL!$C$42, 31.7623, 31.7623)* CHOOSE(CONTROL!$C$21, $C$9, 100%, $E$9)</f>
        <v>31.7623</v>
      </c>
      <c r="K610" s="53">
        <f>CHOOSE(CONTROL!$C$42, 31.8881, 31.8881) * CHOOSE(CONTROL!$C$21, $C$9, 100%, $E$9)</f>
        <v>31.888100000000001</v>
      </c>
      <c r="L610" s="14">
        <f>CHOOSE(CONTROL!$C$42, 32.6061, 32.6061) * CHOOSE(CONTROL!$C$21, $C$9, 100%, $E$9)</f>
        <v>32.606099999999998</v>
      </c>
      <c r="M610" s="14">
        <f>CHOOSE(CONTROL!$C$42, 31.1192, 31.1192) * CHOOSE(CONTROL!$C$21, $C$9, 100%, $E$9)</f>
        <v>31.119199999999999</v>
      </c>
      <c r="N610" s="14">
        <f>CHOOSE(CONTROL!$C$42, 31.1345, 31.1345) * CHOOSE(CONTROL!$C$21, $C$9, 100%, $E$9)</f>
        <v>31.134499999999999</v>
      </c>
      <c r="O610" s="14">
        <f>CHOOSE(CONTROL!$C$42, 31.3707, 31.3707) * CHOOSE(CONTROL!$C$21, $C$9, 100%, $E$9)</f>
        <v>31.370699999999999</v>
      </c>
      <c r="P610" s="14">
        <f>CHOOSE(CONTROL!$C$42, 31.2443, 31.2443) * CHOOSE(CONTROL!$C$21, $C$9, 100%, $E$9)</f>
        <v>31.244299999999999</v>
      </c>
      <c r="Q610" s="14">
        <f>CHOOSE(CONTROL!$C$42, 31.9654, 31.9654) * CHOOSE(CONTROL!$C$21, $C$9, 100%, $E$9)</f>
        <v>31.965399999999999</v>
      </c>
      <c r="R610" s="14">
        <f>CHOOSE(CONTROL!$C$42, 32.6323, 32.6323) * CHOOSE(CONTROL!$C$21, $C$9, 100%, $E$9)</f>
        <v>32.632300000000001</v>
      </c>
      <c r="S610" s="14">
        <f>CHOOSE(CONTROL!$C$42, 30.5335, 30.5335) * CHOOSE(CONTROL!$C$21, $C$9, 100%, $E$9)</f>
        <v>30.5335</v>
      </c>
      <c r="T61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10" s="57">
        <f>(1000*CHOOSE(CONTROL!$C$42, 695, 695)*CHOOSE(CONTROL!$C$42, 0.5599, 0.5599)*CHOOSE(CONTROL!$C$42, 31, 31))/1000000</f>
        <v>12.063045499999998</v>
      </c>
      <c r="V610" s="57">
        <f>(1000*CHOOSE(CONTROL!$C$42, 500, 500)*CHOOSE(CONTROL!$C$42, 0.275, 0.275)*CHOOSE(CONTROL!$C$42, 31, 31))/1000000</f>
        <v>4.2625000000000002</v>
      </c>
      <c r="W610" s="57">
        <f>(1000*CHOOSE(CONTROL!$C$42, 0.1146, 0.1146)*CHOOSE(CONTROL!$C$42, 121.5, 121.5)*CHOOSE(CONTROL!$C$42, 31, 31))/1000000</f>
        <v>0.43164089999999994</v>
      </c>
      <c r="X610" s="57">
        <f>(31*0.1790888*245000/1000000)+(31*0.2374*100000/1000000)</f>
        <v>2.0961194359999999</v>
      </c>
      <c r="Y610" s="57"/>
      <c r="Z610" s="14"/>
      <c r="AA610" s="56"/>
      <c r="AB610" s="50">
        <f>(B610*131.881+C610*277.167+D610*79.08+E610*125.872+F610*40+G610*185+H610*0+I610*100+J610*300)/(131.881+277.167+79.08+125.872+0+40+185+100+300)</f>
        <v>31.827340822195321</v>
      </c>
      <c r="AC610" s="45">
        <f>(M610*'RAP TEMPLATE-GAS AVAILABILITY'!O609+N610*'RAP TEMPLATE-GAS AVAILABILITY'!P609+O610*'RAP TEMPLATE-GAS AVAILABILITY'!Q609+P610*'RAP TEMPLATE-GAS AVAILABILITY'!R609)/('RAP TEMPLATE-GAS AVAILABILITY'!O609+'RAP TEMPLATE-GAS AVAILABILITY'!P609+'RAP TEMPLATE-GAS AVAILABILITY'!Q609+'RAP TEMPLATE-GAS AVAILABILITY'!R609)</f>
        <v>31.252069784172662</v>
      </c>
    </row>
    <row r="611" spans="1:29" ht="15.75" x14ac:dyDescent="0.25">
      <c r="A611" s="32">
        <v>59505</v>
      </c>
      <c r="B611" s="14">
        <f>CHOOSE(CONTROL!$C$42, 32.622, 32.622) * CHOOSE(CONTROL!$C$21, $C$9, 100%, $E$9)</f>
        <v>32.622</v>
      </c>
      <c r="C611" s="14">
        <f>CHOOSE(CONTROL!$C$42, 32.627, 32.627) * CHOOSE(CONTROL!$C$21, $C$9, 100%, $E$9)</f>
        <v>32.627000000000002</v>
      </c>
      <c r="D611" s="14">
        <f>CHOOSE(CONTROL!$C$42, 32.6908, 32.6908) * CHOOSE(CONTROL!$C$21, $C$9, 100%, $E$9)</f>
        <v>32.690800000000003</v>
      </c>
      <c r="E611" s="14">
        <f>CHOOSE(CONTROL!$C$42, 32.7249, 32.7249) * CHOOSE(CONTROL!$C$21, $C$9, 100%, $E$9)</f>
        <v>32.724899999999998</v>
      </c>
      <c r="F611" s="14">
        <f>CHOOSE(CONTROL!$C$42, 32.6244, 32.6244)*CHOOSE(CONTROL!$C$21, $C$9, 100%, $E$9)</f>
        <v>32.624400000000001</v>
      </c>
      <c r="G611" s="14">
        <f>CHOOSE(CONTROL!$C$42, 32.6404, 32.6404)*CHOOSE(CONTROL!$C$21, $C$9, 100%, $E$9)</f>
        <v>32.6404</v>
      </c>
      <c r="H611" s="14">
        <f>CHOOSE(CONTROL!$C$42, 32.7141, 32.7141) * CHOOSE(CONTROL!$C$21, $C$9, 100%, $E$9)</f>
        <v>32.714100000000002</v>
      </c>
      <c r="I611" s="14">
        <f>CHOOSE(CONTROL!$C$42, 32.737, 32.737)* CHOOSE(CONTROL!$C$21, $C$9, 100%, $E$9)</f>
        <v>32.737000000000002</v>
      </c>
      <c r="J611" s="14">
        <f>CHOOSE(CONTROL!$C$42, 32.6174, 32.6174)* CHOOSE(CONTROL!$C$21, $C$9, 100%, $E$9)</f>
        <v>32.617400000000004</v>
      </c>
      <c r="K611" s="53">
        <f>CHOOSE(CONTROL!$C$42, 32.7331, 32.7331) * CHOOSE(CONTROL!$C$21, $C$9, 100%, $E$9)</f>
        <v>32.7331</v>
      </c>
      <c r="L611" s="14">
        <f>CHOOSE(CONTROL!$C$42, 33.3011, 33.3011) * CHOOSE(CONTROL!$C$21, $C$9, 100%, $E$9)</f>
        <v>33.301099999999998</v>
      </c>
      <c r="M611" s="14">
        <f>CHOOSE(CONTROL!$C$42, 31.9567, 31.9567) * CHOOSE(CONTROL!$C$21, $C$9, 100%, $E$9)</f>
        <v>31.956700000000001</v>
      </c>
      <c r="N611" s="14">
        <f>CHOOSE(CONTROL!$C$42, 31.9724, 31.9724) * CHOOSE(CONTROL!$C$21, $C$9, 100%, $E$9)</f>
        <v>31.9724</v>
      </c>
      <c r="O611" s="14">
        <f>CHOOSE(CONTROL!$C$42, 32.0515, 32.0515) * CHOOSE(CONTROL!$C$21, $C$9, 100%, $E$9)</f>
        <v>32.051499999999997</v>
      </c>
      <c r="P611" s="14">
        <f>CHOOSE(CONTROL!$C$42, 32.0719, 32.0719) * CHOOSE(CONTROL!$C$21, $C$9, 100%, $E$9)</f>
        <v>32.071899999999999</v>
      </c>
      <c r="Q611" s="14">
        <f>CHOOSE(CONTROL!$C$42, 32.6462, 32.6462) * CHOOSE(CONTROL!$C$21, $C$9, 100%, $E$9)</f>
        <v>32.6462</v>
      </c>
      <c r="R611" s="14">
        <f>CHOOSE(CONTROL!$C$42, 33.3149, 33.3149) * CHOOSE(CONTROL!$C$21, $C$9, 100%, $E$9)</f>
        <v>33.314900000000002</v>
      </c>
      <c r="S611" s="14">
        <f>CHOOSE(CONTROL!$C$42, 31.3379, 31.3379) * CHOOSE(CONTROL!$C$21, $C$9, 100%, $E$9)</f>
        <v>31.337900000000001</v>
      </c>
      <c r="T61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11" s="57">
        <f>(1000*CHOOSE(CONTROL!$C$42, 695, 695)*CHOOSE(CONTROL!$C$42, 0.5599, 0.5599)*CHOOSE(CONTROL!$C$42, 30, 30))/1000000</f>
        <v>11.673914999999997</v>
      </c>
      <c r="V611" s="57">
        <f>(1000*CHOOSE(CONTROL!$C$42, 500, 500)*CHOOSE(CONTROL!$C$42, 0.275, 0.275)*CHOOSE(CONTROL!$C$42, 30, 30))/1000000</f>
        <v>4.125</v>
      </c>
      <c r="W611" s="57">
        <f>(1000*CHOOSE(CONTROL!$C$42, 0.1146, 0.1146)*CHOOSE(CONTROL!$C$42, 121.5, 121.5)*CHOOSE(CONTROL!$C$42, 30, 30))/1000000</f>
        <v>0.417717</v>
      </c>
      <c r="X611" s="57">
        <f>(30*0.1790888*100000/1000000)+(30*0.2374*100000/1000000)</f>
        <v>1.2494664</v>
      </c>
      <c r="Y611" s="57"/>
      <c r="Z611" s="14"/>
      <c r="AA611" s="56"/>
      <c r="AB611" s="50">
        <f>(B611*122.58+C611*297.941+D611*89.177+E611*40.302+F611*40+G611*160+H611*0+I611*100+J611*300)/(122.58+297.941+89.177+40.302+0+40+160+100+300)</f>
        <v>32.643680137739132</v>
      </c>
      <c r="AC611" s="45">
        <f>(M611*'RAP TEMPLATE-GAS AVAILABILITY'!O610+N611*'RAP TEMPLATE-GAS AVAILABILITY'!P610+O611*'RAP TEMPLATE-GAS AVAILABILITY'!Q610+P611*'RAP TEMPLATE-GAS AVAILABILITY'!R610)/('RAP TEMPLATE-GAS AVAILABILITY'!O610+'RAP TEMPLATE-GAS AVAILABILITY'!P610+'RAP TEMPLATE-GAS AVAILABILITY'!Q610+'RAP TEMPLATE-GAS AVAILABILITY'!R610)</f>
        <v>32.017146043165468</v>
      </c>
    </row>
    <row r="612" spans="1:29" ht="15.75" x14ac:dyDescent="0.25">
      <c r="A612" s="32">
        <v>59536</v>
      </c>
      <c r="B612" s="14">
        <f>CHOOSE(CONTROL!$C$42, 34.8455, 34.8455) * CHOOSE(CONTROL!$C$21, $C$9, 100%, $E$9)</f>
        <v>34.845500000000001</v>
      </c>
      <c r="C612" s="14">
        <f>CHOOSE(CONTROL!$C$42, 34.8505, 34.8505) * CHOOSE(CONTROL!$C$21, $C$9, 100%, $E$9)</f>
        <v>34.850499999999997</v>
      </c>
      <c r="D612" s="14">
        <f>CHOOSE(CONTROL!$C$42, 34.9143, 34.9143) * CHOOSE(CONTROL!$C$21, $C$9, 100%, $E$9)</f>
        <v>34.914299999999997</v>
      </c>
      <c r="E612" s="14">
        <f>CHOOSE(CONTROL!$C$42, 34.9484, 34.9484) * CHOOSE(CONTROL!$C$21, $C$9, 100%, $E$9)</f>
        <v>34.948399999999999</v>
      </c>
      <c r="F612" s="14">
        <f>CHOOSE(CONTROL!$C$42, 34.8501, 34.8501)*CHOOSE(CONTROL!$C$21, $C$9, 100%, $E$9)</f>
        <v>34.850099999999998</v>
      </c>
      <c r="G612" s="14">
        <f>CHOOSE(CONTROL!$C$42, 34.8667, 34.8667)*CHOOSE(CONTROL!$C$21, $C$9, 100%, $E$9)</f>
        <v>34.866700000000002</v>
      </c>
      <c r="H612" s="14">
        <f>CHOOSE(CONTROL!$C$42, 34.9376, 34.9376) * CHOOSE(CONTROL!$C$21, $C$9, 100%, $E$9)</f>
        <v>34.937600000000003</v>
      </c>
      <c r="I612" s="14">
        <f>CHOOSE(CONTROL!$C$42, 34.9674, 34.9674)* CHOOSE(CONTROL!$C$21, $C$9, 100%, $E$9)</f>
        <v>34.967399999999998</v>
      </c>
      <c r="J612" s="14">
        <f>CHOOSE(CONTROL!$C$42, 34.8431, 34.8431)* CHOOSE(CONTROL!$C$21, $C$9, 100%, $E$9)</f>
        <v>34.8431</v>
      </c>
      <c r="K612" s="53">
        <f>CHOOSE(CONTROL!$C$42, 34.9635, 34.9635) * CHOOSE(CONTROL!$C$21, $C$9, 100%, $E$9)</f>
        <v>34.963500000000003</v>
      </c>
      <c r="L612" s="14">
        <f>CHOOSE(CONTROL!$C$42, 35.5246, 35.5246) * CHOOSE(CONTROL!$C$21, $C$9, 100%, $E$9)</f>
        <v>35.5246</v>
      </c>
      <c r="M612" s="14">
        <f>CHOOSE(CONTROL!$C$42, 34.1369, 34.1369) * CHOOSE(CONTROL!$C$21, $C$9, 100%, $E$9)</f>
        <v>34.136899999999997</v>
      </c>
      <c r="N612" s="14">
        <f>CHOOSE(CONTROL!$C$42, 34.1531, 34.1531) * CHOOSE(CONTROL!$C$21, $C$9, 100%, $E$9)</f>
        <v>34.153100000000002</v>
      </c>
      <c r="O612" s="14">
        <f>CHOOSE(CONTROL!$C$42, 34.2295, 34.2295) * CHOOSE(CONTROL!$C$21, $C$9, 100%, $E$9)</f>
        <v>34.229500000000002</v>
      </c>
      <c r="P612" s="14">
        <f>CHOOSE(CONTROL!$C$42, 34.2565, 34.2565) * CHOOSE(CONTROL!$C$21, $C$9, 100%, $E$9)</f>
        <v>34.256500000000003</v>
      </c>
      <c r="Q612" s="14">
        <f>CHOOSE(CONTROL!$C$42, 34.8242, 34.8242) * CHOOSE(CONTROL!$C$21, $C$9, 100%, $E$9)</f>
        <v>34.824199999999998</v>
      </c>
      <c r="R612" s="14">
        <f>CHOOSE(CONTROL!$C$42, 35.4982, 35.4982) * CHOOSE(CONTROL!$C$21, $C$9, 100%, $E$9)</f>
        <v>35.498199999999997</v>
      </c>
      <c r="S612" s="14">
        <f>CHOOSE(CONTROL!$C$42, 33.4745, 33.4745) * CHOOSE(CONTROL!$C$21, $C$9, 100%, $E$9)</f>
        <v>33.474499999999999</v>
      </c>
      <c r="T61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12" s="57">
        <f>(1000*CHOOSE(CONTROL!$C$42, 695, 695)*CHOOSE(CONTROL!$C$42, 0.5599, 0.5599)*CHOOSE(CONTROL!$C$42, 31, 31))/1000000</f>
        <v>12.063045499999998</v>
      </c>
      <c r="V612" s="57">
        <f>(1000*CHOOSE(CONTROL!$C$42, 500, 500)*CHOOSE(CONTROL!$C$42, 0.275, 0.275)*CHOOSE(CONTROL!$C$42, 31, 31))/1000000</f>
        <v>4.2625000000000002</v>
      </c>
      <c r="W612" s="57">
        <f>(1000*CHOOSE(CONTROL!$C$42, 0.1146, 0.1146)*CHOOSE(CONTROL!$C$42, 121.5, 121.5)*CHOOSE(CONTROL!$C$42, 31, 31))/1000000</f>
        <v>0.43164089999999994</v>
      </c>
      <c r="X612" s="57">
        <f>(31*0.1790888*100000/1000000)+(31*0.2374*100000/1000000)</f>
        <v>1.2911152800000001</v>
      </c>
      <c r="Y612" s="57"/>
      <c r="Z612" s="14"/>
      <c r="AA612" s="56"/>
      <c r="AB612" s="50">
        <f>(B612*122.58+C612*297.941+D612*89.177+E612*40.302+F612*40+G612*160+H612*0+I612*100+J612*300)/(122.58+297.941+89.177+40.302+0+40+160+100+300)</f>
        <v>34.868820137739128</v>
      </c>
      <c r="AC612" s="45">
        <f>(M612*'RAP TEMPLATE-GAS AVAILABILITY'!O611+N612*'RAP TEMPLATE-GAS AVAILABILITY'!P611+O612*'RAP TEMPLATE-GAS AVAILABILITY'!Q611+P612*'RAP TEMPLATE-GAS AVAILABILITY'!R611)/('RAP TEMPLATE-GAS AVAILABILITY'!O611+'RAP TEMPLATE-GAS AVAILABILITY'!P611+'RAP TEMPLATE-GAS AVAILABILITY'!Q611+'RAP TEMPLATE-GAS AVAILABILITY'!R611)</f>
        <v>34.197010791366907</v>
      </c>
    </row>
    <row r="613" spans="1:29" ht="15.75" x14ac:dyDescent="0.25">
      <c r="A613" s="32">
        <v>59567</v>
      </c>
      <c r="B613" s="14">
        <f>CHOOSE(CONTROL!$C$42, 37.699, 37.699) * CHOOSE(CONTROL!$C$21, $C$9, 100%, $E$9)</f>
        <v>37.698999999999998</v>
      </c>
      <c r="C613" s="14">
        <f>CHOOSE(CONTROL!$C$42, 37.7041, 37.7041) * CHOOSE(CONTROL!$C$21, $C$9, 100%, $E$9)</f>
        <v>37.704099999999997</v>
      </c>
      <c r="D613" s="14">
        <f>CHOOSE(CONTROL!$C$42, 37.7705, 37.7705) * CHOOSE(CONTROL!$C$21, $C$9, 100%, $E$9)</f>
        <v>37.770499999999998</v>
      </c>
      <c r="E613" s="14">
        <f>CHOOSE(CONTROL!$C$42, 37.8046, 37.8046) * CHOOSE(CONTROL!$C$21, $C$9, 100%, $E$9)</f>
        <v>37.804600000000001</v>
      </c>
      <c r="F613" s="14">
        <f>CHOOSE(CONTROL!$C$42, 37.6863, 37.6863)*CHOOSE(CONTROL!$C$21, $C$9, 100%, $E$9)</f>
        <v>37.686300000000003</v>
      </c>
      <c r="G613" s="14">
        <f>CHOOSE(CONTROL!$C$42, 37.7018, 37.7018)*CHOOSE(CONTROL!$C$21, $C$9, 100%, $E$9)</f>
        <v>37.701799999999999</v>
      </c>
      <c r="H613" s="14">
        <f>CHOOSE(CONTROL!$C$42, 37.7938, 37.7938) * CHOOSE(CONTROL!$C$21, $C$9, 100%, $E$9)</f>
        <v>37.793799999999997</v>
      </c>
      <c r="I613" s="14">
        <f>CHOOSE(CONTROL!$C$42, 37.8247, 37.8247)* CHOOSE(CONTROL!$C$21, $C$9, 100%, $E$9)</f>
        <v>37.8247</v>
      </c>
      <c r="J613" s="14">
        <f>CHOOSE(CONTROL!$C$42, 37.6793, 37.6793)* CHOOSE(CONTROL!$C$21, $C$9, 100%, $E$9)</f>
        <v>37.679299999999998</v>
      </c>
      <c r="K613" s="53">
        <f>CHOOSE(CONTROL!$C$42, 37.8208, 37.8208) * CHOOSE(CONTROL!$C$21, $C$9, 100%, $E$9)</f>
        <v>37.820799999999998</v>
      </c>
      <c r="L613" s="14">
        <f>CHOOSE(CONTROL!$C$42, 38.3808, 38.3808) * CHOOSE(CONTROL!$C$21, $C$9, 100%, $E$9)</f>
        <v>38.380800000000001</v>
      </c>
      <c r="M613" s="14">
        <f>CHOOSE(CONTROL!$C$42, 36.915, 36.915) * CHOOSE(CONTROL!$C$21, $C$9, 100%, $E$9)</f>
        <v>36.914999999999999</v>
      </c>
      <c r="N613" s="14">
        <f>CHOOSE(CONTROL!$C$42, 36.9301, 36.9301) * CHOOSE(CONTROL!$C$21, $C$9, 100%, $E$9)</f>
        <v>36.930100000000003</v>
      </c>
      <c r="O613" s="14">
        <f>CHOOSE(CONTROL!$C$42, 37.0271, 37.0271) * CHOOSE(CONTROL!$C$21, $C$9, 100%, $E$9)</f>
        <v>37.027099999999997</v>
      </c>
      <c r="P613" s="14">
        <f>CHOOSE(CONTROL!$C$42, 37.0551, 37.0551) * CHOOSE(CONTROL!$C$21, $C$9, 100%, $E$9)</f>
        <v>37.055100000000003</v>
      </c>
      <c r="Q613" s="14">
        <f>CHOOSE(CONTROL!$C$42, 37.6218, 37.6218) * CHOOSE(CONTROL!$C$21, $C$9, 100%, $E$9)</f>
        <v>37.6218</v>
      </c>
      <c r="R613" s="14">
        <f>CHOOSE(CONTROL!$C$42, 38.3028, 38.3028) * CHOOSE(CONTROL!$C$21, $C$9, 100%, $E$9)</f>
        <v>38.302799999999998</v>
      </c>
      <c r="S613" s="14">
        <f>CHOOSE(CONTROL!$C$42, 36.2164, 36.2164) * CHOOSE(CONTROL!$C$21, $C$9, 100%, $E$9)</f>
        <v>36.2164</v>
      </c>
      <c r="T61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13" s="57">
        <f>(1000*CHOOSE(CONTROL!$C$42, 695, 695)*CHOOSE(CONTROL!$C$42, 0.5599, 0.5599)*CHOOSE(CONTROL!$C$42, 31, 31))/1000000</f>
        <v>12.063045499999998</v>
      </c>
      <c r="V613" s="57">
        <f>(1000*CHOOSE(CONTROL!$C$42, 500, 500)*CHOOSE(CONTROL!$C$42, 0.275, 0.275)*CHOOSE(CONTROL!$C$42, 31, 31))/1000000</f>
        <v>4.2625000000000002</v>
      </c>
      <c r="W613" s="57">
        <f>(1000*CHOOSE(CONTROL!$C$42, 0.1146, 0.1146)*CHOOSE(CONTROL!$C$42, 121.5, 121.5)*CHOOSE(CONTROL!$C$42, 31, 31))/1000000</f>
        <v>0.43164089999999994</v>
      </c>
      <c r="X613" s="57">
        <f>(31*0.1790888*100000/1000000)+(31*0.2374*100000/1000000)</f>
        <v>1.2911152800000001</v>
      </c>
      <c r="Y613" s="57"/>
      <c r="Z613" s="14"/>
      <c r="AA613" s="56"/>
      <c r="AB613" s="50">
        <f>(B613*122.58+C613*297.941+D613*89.177+E613*40.302+F613*40+G613*160+H613*0+I613*100+J613*300)/(122.58+297.941+89.177+40.302+0+40+160+100+300)</f>
        <v>37.715305692000001</v>
      </c>
      <c r="AC613" s="45">
        <f>(M613*'RAP TEMPLATE-GAS AVAILABILITY'!O612+N613*'RAP TEMPLATE-GAS AVAILABILITY'!P612+O613*'RAP TEMPLATE-GAS AVAILABILITY'!Q612+P613*'RAP TEMPLATE-GAS AVAILABILITY'!R612)/('RAP TEMPLATE-GAS AVAILABILITY'!O612+'RAP TEMPLATE-GAS AVAILABILITY'!P612+'RAP TEMPLATE-GAS AVAILABILITY'!Q612+'RAP TEMPLATE-GAS AVAILABILITY'!R612)</f>
        <v>36.98683525179856</v>
      </c>
    </row>
    <row r="614" spans="1:29" ht="15.75" x14ac:dyDescent="0.25">
      <c r="A614" s="32">
        <v>59595</v>
      </c>
      <c r="B614" s="14">
        <f>CHOOSE(CONTROL!$C$42, 38.3699, 38.3699) * CHOOSE(CONTROL!$C$21, $C$9, 100%, $E$9)</f>
        <v>38.369900000000001</v>
      </c>
      <c r="C614" s="14">
        <f>CHOOSE(CONTROL!$C$42, 38.375, 38.375) * CHOOSE(CONTROL!$C$21, $C$9, 100%, $E$9)</f>
        <v>38.375</v>
      </c>
      <c r="D614" s="14">
        <f>CHOOSE(CONTROL!$C$42, 38.4414, 38.4414) * CHOOSE(CONTROL!$C$21, $C$9, 100%, $E$9)</f>
        <v>38.441400000000002</v>
      </c>
      <c r="E614" s="14">
        <f>CHOOSE(CONTROL!$C$42, 38.4755, 38.4755) * CHOOSE(CONTROL!$C$21, $C$9, 100%, $E$9)</f>
        <v>38.475499999999997</v>
      </c>
      <c r="F614" s="14">
        <f>CHOOSE(CONTROL!$C$42, 38.3573, 38.3573)*CHOOSE(CONTROL!$C$21, $C$9, 100%, $E$9)</f>
        <v>38.357300000000002</v>
      </c>
      <c r="G614" s="14">
        <f>CHOOSE(CONTROL!$C$42, 38.3728, 38.3728)*CHOOSE(CONTROL!$C$21, $C$9, 100%, $E$9)</f>
        <v>38.372799999999998</v>
      </c>
      <c r="H614" s="14">
        <f>CHOOSE(CONTROL!$C$42, 38.4647, 38.4647) * CHOOSE(CONTROL!$C$21, $C$9, 100%, $E$9)</f>
        <v>38.464700000000001</v>
      </c>
      <c r="I614" s="14">
        <f>CHOOSE(CONTROL!$C$42, 38.4977, 38.4977)* CHOOSE(CONTROL!$C$21, $C$9, 100%, $E$9)</f>
        <v>38.497700000000002</v>
      </c>
      <c r="J614" s="14">
        <f>CHOOSE(CONTROL!$C$42, 38.3503, 38.3503)* CHOOSE(CONTROL!$C$21, $C$9, 100%, $E$9)</f>
        <v>38.350299999999997</v>
      </c>
      <c r="K614" s="53">
        <f>CHOOSE(CONTROL!$C$42, 38.4938, 38.4938) * CHOOSE(CONTROL!$C$21, $C$9, 100%, $E$9)</f>
        <v>38.4938</v>
      </c>
      <c r="L614" s="14">
        <f>CHOOSE(CONTROL!$C$42, 39.0517, 39.0517) * CHOOSE(CONTROL!$C$21, $C$9, 100%, $E$9)</f>
        <v>39.051699999999997</v>
      </c>
      <c r="M614" s="14">
        <f>CHOOSE(CONTROL!$C$42, 37.5722, 37.5722) * CHOOSE(CONTROL!$C$21, $C$9, 100%, $E$9)</f>
        <v>37.572200000000002</v>
      </c>
      <c r="N614" s="14">
        <f>CHOOSE(CONTROL!$C$42, 37.5874, 37.5874) * CHOOSE(CONTROL!$C$21, $C$9, 100%, $E$9)</f>
        <v>37.587400000000002</v>
      </c>
      <c r="O614" s="14">
        <f>CHOOSE(CONTROL!$C$42, 37.6843, 37.6843) * CHOOSE(CONTROL!$C$21, $C$9, 100%, $E$9)</f>
        <v>37.6843</v>
      </c>
      <c r="P614" s="14">
        <f>CHOOSE(CONTROL!$C$42, 37.7143, 37.7143) * CHOOSE(CONTROL!$C$21, $C$9, 100%, $E$9)</f>
        <v>37.714300000000001</v>
      </c>
      <c r="Q614" s="14">
        <f>CHOOSE(CONTROL!$C$42, 38.279, 38.279) * CHOOSE(CONTROL!$C$21, $C$9, 100%, $E$9)</f>
        <v>38.279000000000003</v>
      </c>
      <c r="R614" s="14">
        <f>CHOOSE(CONTROL!$C$42, 38.9617, 38.9617) * CHOOSE(CONTROL!$C$21, $C$9, 100%, $E$9)</f>
        <v>38.9617</v>
      </c>
      <c r="S614" s="14">
        <f>CHOOSE(CONTROL!$C$42, 36.8611, 36.8611) * CHOOSE(CONTROL!$C$21, $C$9, 100%, $E$9)</f>
        <v>36.8611</v>
      </c>
      <c r="T61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14" s="57">
        <f>(1000*CHOOSE(CONTROL!$C$42, 695, 695)*CHOOSE(CONTROL!$C$42, 0.5599, 0.5599)*CHOOSE(CONTROL!$C$42, 28, 28))/1000000</f>
        <v>10.895653999999999</v>
      </c>
      <c r="V614" s="57">
        <f>(1000*CHOOSE(CONTROL!$C$42, 500, 500)*CHOOSE(CONTROL!$C$42, 0.275, 0.275)*CHOOSE(CONTROL!$C$42, 28, 28))/1000000</f>
        <v>3.85</v>
      </c>
      <c r="W614" s="57">
        <f>(1000*CHOOSE(CONTROL!$C$42, 0.1146, 0.1146)*CHOOSE(CONTROL!$C$42, 121.5, 121.5)*CHOOSE(CONTROL!$C$42, 28, 28))/1000000</f>
        <v>0.38986920000000003</v>
      </c>
      <c r="X614" s="57">
        <f>(28*0.1790888*100000/1000000)+(28*0.2374*100000/1000000)</f>
        <v>1.16616864</v>
      </c>
      <c r="Y614" s="57"/>
      <c r="Z614" s="14"/>
      <c r="AA614" s="56"/>
      <c r="AB614" s="50">
        <f>(B614*122.58+C614*297.941+D614*89.177+E614*40.302+F614*40+G614*160+H614*0+I614*100+J614*300)/(122.58+297.941+89.177+40.302+0+40+160+100+300)</f>
        <v>38.386431778956521</v>
      </c>
      <c r="AC614" s="45">
        <f>(M614*'RAP TEMPLATE-GAS AVAILABILITY'!O613+N614*'RAP TEMPLATE-GAS AVAILABILITY'!P613+O614*'RAP TEMPLATE-GAS AVAILABILITY'!Q613+P614*'RAP TEMPLATE-GAS AVAILABILITY'!R613)/('RAP TEMPLATE-GAS AVAILABILITY'!O613+'RAP TEMPLATE-GAS AVAILABILITY'!P613+'RAP TEMPLATE-GAS AVAILABILITY'!Q613+'RAP TEMPLATE-GAS AVAILABILITY'!R613)</f>
        <v>37.644328776978419</v>
      </c>
    </row>
    <row r="615" spans="1:29" ht="15.75" x14ac:dyDescent="0.25">
      <c r="A615" s="32">
        <v>59626</v>
      </c>
      <c r="B615" s="14">
        <f>CHOOSE(CONTROL!$C$42, 37.2808, 37.2808) * CHOOSE(CONTROL!$C$21, $C$9, 100%, $E$9)</f>
        <v>37.280799999999999</v>
      </c>
      <c r="C615" s="14">
        <f>CHOOSE(CONTROL!$C$42, 37.2859, 37.2859) * CHOOSE(CONTROL!$C$21, $C$9, 100%, $E$9)</f>
        <v>37.285899999999998</v>
      </c>
      <c r="D615" s="14">
        <f>CHOOSE(CONTROL!$C$42, 37.3523, 37.3523) * CHOOSE(CONTROL!$C$21, $C$9, 100%, $E$9)</f>
        <v>37.3523</v>
      </c>
      <c r="E615" s="14">
        <f>CHOOSE(CONTROL!$C$42, 37.3864, 37.3864) * CHOOSE(CONTROL!$C$21, $C$9, 100%, $E$9)</f>
        <v>37.386400000000002</v>
      </c>
      <c r="F615" s="14">
        <f>CHOOSE(CONTROL!$C$42, 37.2678, 37.2678)*CHOOSE(CONTROL!$C$21, $C$9, 100%, $E$9)</f>
        <v>37.267800000000001</v>
      </c>
      <c r="G615" s="14">
        <f>CHOOSE(CONTROL!$C$42, 37.2832, 37.2832)*CHOOSE(CONTROL!$C$21, $C$9, 100%, $E$9)</f>
        <v>37.283200000000001</v>
      </c>
      <c r="H615" s="14">
        <f>CHOOSE(CONTROL!$C$42, 37.3756, 37.3756) * CHOOSE(CONTROL!$C$21, $C$9, 100%, $E$9)</f>
        <v>37.375599999999999</v>
      </c>
      <c r="I615" s="14">
        <f>CHOOSE(CONTROL!$C$42, 37.4052, 37.4052)* CHOOSE(CONTROL!$C$21, $C$9, 100%, $E$9)</f>
        <v>37.405200000000001</v>
      </c>
      <c r="J615" s="14">
        <f>CHOOSE(CONTROL!$C$42, 37.2608, 37.2608)* CHOOSE(CONTROL!$C$21, $C$9, 100%, $E$9)</f>
        <v>37.260800000000003</v>
      </c>
      <c r="K615" s="53">
        <f>CHOOSE(CONTROL!$C$42, 37.4013, 37.4013) * CHOOSE(CONTROL!$C$21, $C$9, 100%, $E$9)</f>
        <v>37.401299999999999</v>
      </c>
      <c r="L615" s="14">
        <f>CHOOSE(CONTROL!$C$42, 37.9626, 37.9626) * CHOOSE(CONTROL!$C$21, $C$9, 100%, $E$9)</f>
        <v>37.962600000000002</v>
      </c>
      <c r="M615" s="14">
        <f>CHOOSE(CONTROL!$C$42, 36.5051, 36.5051) * CHOOSE(CONTROL!$C$21, $C$9, 100%, $E$9)</f>
        <v>36.505099999999999</v>
      </c>
      <c r="N615" s="14">
        <f>CHOOSE(CONTROL!$C$42, 36.5202, 36.5202) * CHOOSE(CONTROL!$C$21, $C$9, 100%, $E$9)</f>
        <v>36.520200000000003</v>
      </c>
      <c r="O615" s="14">
        <f>CHOOSE(CONTROL!$C$42, 36.6175, 36.6175) * CHOOSE(CONTROL!$C$21, $C$9, 100%, $E$9)</f>
        <v>36.6175</v>
      </c>
      <c r="P615" s="14">
        <f>CHOOSE(CONTROL!$C$42, 36.6442, 36.6442) * CHOOSE(CONTROL!$C$21, $C$9, 100%, $E$9)</f>
        <v>36.644199999999998</v>
      </c>
      <c r="Q615" s="14">
        <f>CHOOSE(CONTROL!$C$42, 37.2122, 37.2122) * CHOOSE(CONTROL!$C$21, $C$9, 100%, $E$9)</f>
        <v>37.212200000000003</v>
      </c>
      <c r="R615" s="14">
        <f>CHOOSE(CONTROL!$C$42, 37.8922, 37.8922) * CHOOSE(CONTROL!$C$21, $C$9, 100%, $E$9)</f>
        <v>37.892200000000003</v>
      </c>
      <c r="S615" s="14">
        <f>CHOOSE(CONTROL!$C$42, 35.8146, 35.8146) * CHOOSE(CONTROL!$C$21, $C$9, 100%, $E$9)</f>
        <v>35.814599999999999</v>
      </c>
      <c r="T61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15" s="57">
        <f>(1000*CHOOSE(CONTROL!$C$42, 695, 695)*CHOOSE(CONTROL!$C$42, 0.5599, 0.5599)*CHOOSE(CONTROL!$C$42, 31, 31))/1000000</f>
        <v>12.063045499999998</v>
      </c>
      <c r="V615" s="57">
        <f>(1000*CHOOSE(CONTROL!$C$42, 500, 500)*CHOOSE(CONTROL!$C$42, 0.275, 0.275)*CHOOSE(CONTROL!$C$42, 31, 31))/1000000</f>
        <v>4.2625000000000002</v>
      </c>
      <c r="W615" s="57">
        <f>(1000*CHOOSE(CONTROL!$C$42, 0.1146, 0.1146)*CHOOSE(CONTROL!$C$42, 121.5, 121.5)*CHOOSE(CONTROL!$C$42, 31, 31))/1000000</f>
        <v>0.43164089999999994</v>
      </c>
      <c r="X615" s="57">
        <f>(31*0.1790888*100000/1000000)+(31*0.2374*100000/1000000)</f>
        <v>1.2911152800000001</v>
      </c>
      <c r="Y615" s="57"/>
      <c r="Z615" s="14"/>
      <c r="AA615" s="56"/>
      <c r="AB615" s="50">
        <f>(B615*122.58+C615*297.941+D615*89.177+E615*40.302+F615*40+G615*160+H615*0+I615*100+J615*300)/(122.58+297.941+89.177+40.302+0+40+160+100+300)</f>
        <v>37.29684830069565</v>
      </c>
      <c r="AC615" s="45">
        <f>(M615*'RAP TEMPLATE-GAS AVAILABILITY'!O614+N615*'RAP TEMPLATE-GAS AVAILABILITY'!P614+O615*'RAP TEMPLATE-GAS AVAILABILITY'!Q614+P615*'RAP TEMPLATE-GAS AVAILABILITY'!R614)/('RAP TEMPLATE-GAS AVAILABILITY'!O614+'RAP TEMPLATE-GAS AVAILABILITY'!P614+'RAP TEMPLATE-GAS AVAILABILITY'!Q614+'RAP TEMPLATE-GAS AVAILABILITY'!R614)</f>
        <v>36.576927338129494</v>
      </c>
    </row>
    <row r="616" spans="1:29" ht="15.75" x14ac:dyDescent="0.25">
      <c r="A616" s="32">
        <v>59656</v>
      </c>
      <c r="B616" s="14">
        <f>CHOOSE(CONTROL!$C$42, 37.1704, 37.1704) * CHOOSE(CONTROL!$C$21, $C$9, 100%, $E$9)</f>
        <v>37.170400000000001</v>
      </c>
      <c r="C616" s="14">
        <f>CHOOSE(CONTROL!$C$42, 37.1749, 37.1749) * CHOOSE(CONTROL!$C$21, $C$9, 100%, $E$9)</f>
        <v>37.174900000000001</v>
      </c>
      <c r="D616" s="14">
        <f>CHOOSE(CONTROL!$C$42, 37.382, 37.382) * CHOOSE(CONTROL!$C$21, $C$9, 100%, $E$9)</f>
        <v>37.381999999999998</v>
      </c>
      <c r="E616" s="14">
        <f>CHOOSE(CONTROL!$C$42, 37.4141, 37.4141) * CHOOSE(CONTROL!$C$21, $C$9, 100%, $E$9)</f>
        <v>37.414099999999998</v>
      </c>
      <c r="F616" s="14">
        <f>CHOOSE(CONTROL!$C$42, 37.1523, 37.1523)*CHOOSE(CONTROL!$C$21, $C$9, 100%, $E$9)</f>
        <v>37.152299999999997</v>
      </c>
      <c r="G616" s="14">
        <f>CHOOSE(CONTROL!$C$42, 37.1675, 37.1675)*CHOOSE(CONTROL!$C$21, $C$9, 100%, $E$9)</f>
        <v>37.167499999999997</v>
      </c>
      <c r="H616" s="14">
        <f>CHOOSE(CONTROL!$C$42, 37.4039, 37.4039) * CHOOSE(CONTROL!$C$21, $C$9, 100%, $E$9)</f>
        <v>37.4039</v>
      </c>
      <c r="I616" s="14">
        <f>CHOOSE(CONTROL!$C$42, 37.2937, 37.2937)* CHOOSE(CONTROL!$C$21, $C$9, 100%, $E$9)</f>
        <v>37.293700000000001</v>
      </c>
      <c r="J616" s="14">
        <f>CHOOSE(CONTROL!$C$42, 37.1453, 37.1453)* CHOOSE(CONTROL!$C$21, $C$9, 100%, $E$9)</f>
        <v>37.145299999999999</v>
      </c>
      <c r="K616" s="53">
        <f>CHOOSE(CONTROL!$C$42, 37.2898, 37.2898) * CHOOSE(CONTROL!$C$21, $C$9, 100%, $E$9)</f>
        <v>37.2898</v>
      </c>
      <c r="L616" s="14">
        <f>CHOOSE(CONTROL!$C$42, 37.9909, 37.9909) * CHOOSE(CONTROL!$C$21, $C$9, 100%, $E$9)</f>
        <v>37.990900000000003</v>
      </c>
      <c r="M616" s="14">
        <f>CHOOSE(CONTROL!$C$42, 36.3919, 36.3919) * CHOOSE(CONTROL!$C$21, $C$9, 100%, $E$9)</f>
        <v>36.3919</v>
      </c>
      <c r="N616" s="14">
        <f>CHOOSE(CONTROL!$C$42, 36.4068, 36.4068) * CHOOSE(CONTROL!$C$21, $C$9, 100%, $E$9)</f>
        <v>36.406799999999997</v>
      </c>
      <c r="O616" s="14">
        <f>CHOOSE(CONTROL!$C$42, 36.6452, 36.6452) * CHOOSE(CONTROL!$C$21, $C$9, 100%, $E$9)</f>
        <v>36.645200000000003</v>
      </c>
      <c r="P616" s="14">
        <f>CHOOSE(CONTROL!$C$42, 36.535, 36.535) * CHOOSE(CONTROL!$C$21, $C$9, 100%, $E$9)</f>
        <v>36.534999999999997</v>
      </c>
      <c r="Q616" s="14">
        <f>CHOOSE(CONTROL!$C$42, 37.2399, 37.2399) * CHOOSE(CONTROL!$C$21, $C$9, 100%, $E$9)</f>
        <v>37.239899999999999</v>
      </c>
      <c r="R616" s="14">
        <f>CHOOSE(CONTROL!$C$42, 37.92, 37.92) * CHOOSE(CONTROL!$C$21, $C$9, 100%, $E$9)</f>
        <v>37.92</v>
      </c>
      <c r="S616" s="14">
        <f>CHOOSE(CONTROL!$C$42, 35.7078, 35.7078) * CHOOSE(CONTROL!$C$21, $C$9, 100%, $E$9)</f>
        <v>35.707799999999999</v>
      </c>
      <c r="T61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16" s="57">
        <f>(1000*CHOOSE(CONTROL!$C$42, 695, 695)*CHOOSE(CONTROL!$C$42, 0.5599, 0.5599)*CHOOSE(CONTROL!$C$42, 30, 30))/1000000</f>
        <v>11.673914999999997</v>
      </c>
      <c r="V616" s="57">
        <f>(1000*CHOOSE(CONTROL!$C$42, 500, 500)*CHOOSE(CONTROL!$C$42, 0.275, 0.275)*CHOOSE(CONTROL!$C$42, 30, 30))/1000000</f>
        <v>4.125</v>
      </c>
      <c r="W616" s="57">
        <f>(1000*CHOOSE(CONTROL!$C$42, 0.1146, 0.1146)*CHOOSE(CONTROL!$C$42, 121.5, 121.5)*CHOOSE(CONTROL!$C$42, 30, 30))/1000000</f>
        <v>0.417717</v>
      </c>
      <c r="X616" s="57">
        <f>(30*0.1790888*245000/1000000)+(30*0.2374*100000/1000000)</f>
        <v>2.0285026799999999</v>
      </c>
      <c r="Y616" s="57"/>
      <c r="Z616" s="14"/>
      <c r="AA616" s="56"/>
      <c r="AB616" s="50">
        <f>(B616*141.293+C616*267.993+D616*115.016+E616*89.698+F616*40+G616*185+H616*0+I616*100+J616*300)/(141.293+267.993+115.016+89.698+0+40+185+100+300)</f>
        <v>37.211515622840999</v>
      </c>
      <c r="AC616" s="45">
        <f>(M616*'RAP TEMPLATE-GAS AVAILABILITY'!O615+N616*'RAP TEMPLATE-GAS AVAILABILITY'!P615+O616*'RAP TEMPLATE-GAS AVAILABILITY'!Q615+P616*'RAP TEMPLATE-GAS AVAILABILITY'!R615)/('RAP TEMPLATE-GAS AVAILABILITY'!O615+'RAP TEMPLATE-GAS AVAILABILITY'!P615+'RAP TEMPLATE-GAS AVAILABILITY'!Q615+'RAP TEMPLATE-GAS AVAILABILITY'!R615)</f>
        <v>36.528152517985617</v>
      </c>
    </row>
    <row r="617" spans="1:29" ht="15.75" x14ac:dyDescent="0.25">
      <c r="A617" s="32">
        <v>59687</v>
      </c>
      <c r="B617" s="14">
        <f>CHOOSE(CONTROL!$C$42, 37.4998, 37.4998) * CHOOSE(CONTROL!$C$21, $C$9, 100%, $E$9)</f>
        <v>37.4998</v>
      </c>
      <c r="C617" s="14">
        <f>CHOOSE(CONTROL!$C$42, 37.5078, 37.5078) * CHOOSE(CONTROL!$C$21, $C$9, 100%, $E$9)</f>
        <v>37.507800000000003</v>
      </c>
      <c r="D617" s="14">
        <f>CHOOSE(CONTROL!$C$42, 37.7118, 37.7118) * CHOOSE(CONTROL!$C$21, $C$9, 100%, $E$9)</f>
        <v>37.711799999999997</v>
      </c>
      <c r="E617" s="14">
        <f>CHOOSE(CONTROL!$C$42, 37.7432, 37.7432) * CHOOSE(CONTROL!$C$21, $C$9, 100%, $E$9)</f>
        <v>37.743200000000002</v>
      </c>
      <c r="F617" s="14">
        <f>CHOOSE(CONTROL!$C$42, 37.4805, 37.4805)*CHOOSE(CONTROL!$C$21, $C$9, 100%, $E$9)</f>
        <v>37.480499999999999</v>
      </c>
      <c r="G617" s="14">
        <f>CHOOSE(CONTROL!$C$42, 37.4962, 37.4962)*CHOOSE(CONTROL!$C$21, $C$9, 100%, $E$9)</f>
        <v>37.496200000000002</v>
      </c>
      <c r="H617" s="14">
        <f>CHOOSE(CONTROL!$C$42, 37.7318, 37.7318) * CHOOSE(CONTROL!$C$21, $C$9, 100%, $E$9)</f>
        <v>37.7318</v>
      </c>
      <c r="I617" s="14">
        <f>CHOOSE(CONTROL!$C$42, 37.6227, 37.6227)* CHOOSE(CONTROL!$C$21, $C$9, 100%, $E$9)</f>
        <v>37.622700000000002</v>
      </c>
      <c r="J617" s="14">
        <f>CHOOSE(CONTROL!$C$42, 37.4735, 37.4735)* CHOOSE(CONTROL!$C$21, $C$9, 100%, $E$9)</f>
        <v>37.473500000000001</v>
      </c>
      <c r="K617" s="53">
        <f>CHOOSE(CONTROL!$C$42, 37.6188, 37.6188) * CHOOSE(CONTROL!$C$21, $C$9, 100%, $E$9)</f>
        <v>37.6188</v>
      </c>
      <c r="L617" s="14">
        <f>CHOOSE(CONTROL!$C$42, 38.3188, 38.3188) * CHOOSE(CONTROL!$C$21, $C$9, 100%, $E$9)</f>
        <v>38.318800000000003</v>
      </c>
      <c r="M617" s="14">
        <f>CHOOSE(CONTROL!$C$42, 36.7134, 36.7134) * CHOOSE(CONTROL!$C$21, $C$9, 100%, $E$9)</f>
        <v>36.7134</v>
      </c>
      <c r="N617" s="14">
        <f>CHOOSE(CONTROL!$C$42, 36.7288, 36.7288) * CHOOSE(CONTROL!$C$21, $C$9, 100%, $E$9)</f>
        <v>36.7288</v>
      </c>
      <c r="O617" s="14">
        <f>CHOOSE(CONTROL!$C$42, 36.9664, 36.9664) * CHOOSE(CONTROL!$C$21, $C$9, 100%, $E$9)</f>
        <v>36.9664</v>
      </c>
      <c r="P617" s="14">
        <f>CHOOSE(CONTROL!$C$42, 36.8572, 36.8572) * CHOOSE(CONTROL!$C$21, $C$9, 100%, $E$9)</f>
        <v>36.857199999999999</v>
      </c>
      <c r="Q617" s="14">
        <f>CHOOSE(CONTROL!$C$42, 37.5611, 37.5611) * CHOOSE(CONTROL!$C$21, $C$9, 100%, $E$9)</f>
        <v>37.561100000000003</v>
      </c>
      <c r="R617" s="14">
        <f>CHOOSE(CONTROL!$C$42, 38.242, 38.242) * CHOOSE(CONTROL!$C$21, $C$9, 100%, $E$9)</f>
        <v>38.241999999999997</v>
      </c>
      <c r="S617" s="14">
        <f>CHOOSE(CONTROL!$C$42, 36.0229, 36.0229) * CHOOSE(CONTROL!$C$21, $C$9, 100%, $E$9)</f>
        <v>36.0229</v>
      </c>
      <c r="T61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17" s="57">
        <f>(1000*CHOOSE(CONTROL!$C$42, 695, 695)*CHOOSE(CONTROL!$C$42, 0.5599, 0.5599)*CHOOSE(CONTROL!$C$42, 31, 31))/1000000</f>
        <v>12.063045499999998</v>
      </c>
      <c r="V617" s="57">
        <f>(1000*CHOOSE(CONTROL!$C$42, 500, 500)*CHOOSE(CONTROL!$C$42, 0.275, 0.275)*CHOOSE(CONTROL!$C$42, 31, 31))/1000000</f>
        <v>4.2625000000000002</v>
      </c>
      <c r="W617" s="57">
        <f>(1000*CHOOSE(CONTROL!$C$42, 0.1146, 0.1146)*CHOOSE(CONTROL!$C$42, 121.5, 121.5)*CHOOSE(CONTROL!$C$42, 31, 31))/1000000</f>
        <v>0.43164089999999994</v>
      </c>
      <c r="X617" s="57">
        <f>(31*0.1790888*245000/1000000)+(31*0.2374*100000/1000000)</f>
        <v>2.0961194359999999</v>
      </c>
      <c r="Y617" s="57"/>
      <c r="Z617" s="14"/>
      <c r="AA617" s="56"/>
      <c r="AB617" s="50">
        <f>(B617*194.205+C617*267.466+D617*133.845+E617*53.484+F617*40+G617*185+H617*0+I617*100+J617*300)/(194.205+267.466+133.845+53.484+0+40+185+100+300)</f>
        <v>37.536295191208794</v>
      </c>
      <c r="AC617" s="45">
        <f>(M617*'RAP TEMPLATE-GAS AVAILABILITY'!O616+N617*'RAP TEMPLATE-GAS AVAILABILITY'!P616+O617*'RAP TEMPLATE-GAS AVAILABILITY'!Q616+P617*'RAP TEMPLATE-GAS AVAILABILITY'!R616)/('RAP TEMPLATE-GAS AVAILABILITY'!O616+'RAP TEMPLATE-GAS AVAILABILITY'!P616+'RAP TEMPLATE-GAS AVAILABILITY'!Q616+'RAP TEMPLATE-GAS AVAILABILITY'!R616)</f>
        <v>36.849646043165471</v>
      </c>
    </row>
    <row r="618" spans="1:29" ht="15.75" x14ac:dyDescent="0.25">
      <c r="A618" s="32">
        <v>59717</v>
      </c>
      <c r="B618" s="14">
        <f>CHOOSE(CONTROL!$C$42, 38.5632, 38.5632) * CHOOSE(CONTROL!$C$21, $C$9, 100%, $E$9)</f>
        <v>38.563200000000002</v>
      </c>
      <c r="C618" s="14">
        <f>CHOOSE(CONTROL!$C$42, 38.5712, 38.5712) * CHOOSE(CONTROL!$C$21, $C$9, 100%, $E$9)</f>
        <v>38.571199999999997</v>
      </c>
      <c r="D618" s="14">
        <f>CHOOSE(CONTROL!$C$42, 38.7751, 38.7751) * CHOOSE(CONTROL!$C$21, $C$9, 100%, $E$9)</f>
        <v>38.775100000000002</v>
      </c>
      <c r="E618" s="14">
        <f>CHOOSE(CONTROL!$C$42, 38.8066, 38.8066) * CHOOSE(CONTROL!$C$21, $C$9, 100%, $E$9)</f>
        <v>38.806600000000003</v>
      </c>
      <c r="F618" s="14">
        <f>CHOOSE(CONTROL!$C$42, 38.5443, 38.5443)*CHOOSE(CONTROL!$C$21, $C$9, 100%, $E$9)</f>
        <v>38.5443</v>
      </c>
      <c r="G618" s="14">
        <f>CHOOSE(CONTROL!$C$42, 38.5601, 38.5601)*CHOOSE(CONTROL!$C$21, $C$9, 100%, $E$9)</f>
        <v>38.560099999999998</v>
      </c>
      <c r="H618" s="14">
        <f>CHOOSE(CONTROL!$C$42, 38.7952, 38.7952) * CHOOSE(CONTROL!$C$21, $C$9, 100%, $E$9)</f>
        <v>38.795200000000001</v>
      </c>
      <c r="I618" s="14">
        <f>CHOOSE(CONTROL!$C$42, 38.6894, 38.6894)* CHOOSE(CONTROL!$C$21, $C$9, 100%, $E$9)</f>
        <v>38.689399999999999</v>
      </c>
      <c r="J618" s="14">
        <f>CHOOSE(CONTROL!$C$42, 38.5373, 38.5373)* CHOOSE(CONTROL!$C$21, $C$9, 100%, $E$9)</f>
        <v>38.537300000000002</v>
      </c>
      <c r="K618" s="53">
        <f>CHOOSE(CONTROL!$C$42, 38.6855, 38.6855) * CHOOSE(CONTROL!$C$21, $C$9, 100%, $E$9)</f>
        <v>38.685499999999998</v>
      </c>
      <c r="L618" s="14">
        <f>CHOOSE(CONTROL!$C$42, 39.3822, 39.3822) * CHOOSE(CONTROL!$C$21, $C$9, 100%, $E$9)</f>
        <v>39.382199999999997</v>
      </c>
      <c r="M618" s="14">
        <f>CHOOSE(CONTROL!$C$42, 37.7554, 37.7554) * CHOOSE(CONTROL!$C$21, $C$9, 100%, $E$9)</f>
        <v>37.755400000000002</v>
      </c>
      <c r="N618" s="14">
        <f>CHOOSE(CONTROL!$C$42, 37.7709, 37.7709) * CHOOSE(CONTROL!$C$21, $C$9, 100%, $E$9)</f>
        <v>37.770899999999997</v>
      </c>
      <c r="O618" s="14">
        <f>CHOOSE(CONTROL!$C$42, 38.008, 38.008) * CHOOSE(CONTROL!$C$21, $C$9, 100%, $E$9)</f>
        <v>38.008000000000003</v>
      </c>
      <c r="P618" s="14">
        <f>CHOOSE(CONTROL!$C$42, 37.902, 37.902) * CHOOSE(CONTROL!$C$21, $C$9, 100%, $E$9)</f>
        <v>37.902000000000001</v>
      </c>
      <c r="Q618" s="14">
        <f>CHOOSE(CONTROL!$C$42, 38.6027, 38.6027) * CHOOSE(CONTROL!$C$21, $C$9, 100%, $E$9)</f>
        <v>38.602699999999999</v>
      </c>
      <c r="R618" s="14">
        <f>CHOOSE(CONTROL!$C$42, 39.2862, 39.2862) * CHOOSE(CONTROL!$C$21, $C$9, 100%, $E$9)</f>
        <v>39.286200000000001</v>
      </c>
      <c r="S618" s="14">
        <f>CHOOSE(CONTROL!$C$42, 37.0447, 37.0447) * CHOOSE(CONTROL!$C$21, $C$9, 100%, $E$9)</f>
        <v>37.044699999999999</v>
      </c>
      <c r="T61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18" s="57">
        <f>(1000*CHOOSE(CONTROL!$C$42, 695, 695)*CHOOSE(CONTROL!$C$42, 0.5599, 0.5599)*CHOOSE(CONTROL!$C$42, 30, 30))/1000000</f>
        <v>11.673914999999997</v>
      </c>
      <c r="V618" s="57">
        <f>(1000*CHOOSE(CONTROL!$C$42, 500, 500)*CHOOSE(CONTROL!$C$42, 0.275, 0.275)*CHOOSE(CONTROL!$C$42, 30, 30))/1000000</f>
        <v>4.125</v>
      </c>
      <c r="W618" s="57">
        <f>(1000*CHOOSE(CONTROL!$C$42, 0.1146, 0.1146)*CHOOSE(CONTROL!$C$42, 121.5, 121.5)*CHOOSE(CONTROL!$C$42, 30, 30))/1000000</f>
        <v>0.417717</v>
      </c>
      <c r="X618" s="57">
        <f>(30*0.1790888*245000/1000000)+(30*0.2374*100000/1000000)</f>
        <v>2.0285026799999999</v>
      </c>
      <c r="Y618" s="57"/>
      <c r="Z618" s="14"/>
      <c r="AA618" s="56"/>
      <c r="AB618" s="50">
        <f>(B618*194.205+C618*267.466+D618*133.845+E618*53.484+F618*40+G618*185+H618*0+I618*100+J618*300)/(194.205+267.466+133.845+53.484+0+40+185+100+300)</f>
        <v>38.600123068367353</v>
      </c>
      <c r="AC618" s="45">
        <f>(M618*'RAP TEMPLATE-GAS AVAILABILITY'!O617+N618*'RAP TEMPLATE-GAS AVAILABILITY'!P617+O618*'RAP TEMPLATE-GAS AVAILABILITY'!Q617+P618*'RAP TEMPLATE-GAS AVAILABILITY'!R617)/('RAP TEMPLATE-GAS AVAILABILITY'!O617+'RAP TEMPLATE-GAS AVAILABILITY'!P617+'RAP TEMPLATE-GAS AVAILABILITY'!Q617+'RAP TEMPLATE-GAS AVAILABILITY'!R617)</f>
        <v>37.891873381294971</v>
      </c>
    </row>
    <row r="619" spans="1:29" ht="15.75" x14ac:dyDescent="0.25">
      <c r="A619" s="32">
        <v>59748</v>
      </c>
      <c r="B619" s="14">
        <f>CHOOSE(CONTROL!$C$42, 37.8236, 37.8236) * CHOOSE(CONTROL!$C$21, $C$9, 100%, $E$9)</f>
        <v>37.823599999999999</v>
      </c>
      <c r="C619" s="14">
        <f>CHOOSE(CONTROL!$C$42, 37.8316, 37.8316) * CHOOSE(CONTROL!$C$21, $C$9, 100%, $E$9)</f>
        <v>37.831600000000002</v>
      </c>
      <c r="D619" s="14">
        <f>CHOOSE(CONTROL!$C$42, 38.0355, 38.0355) * CHOOSE(CONTROL!$C$21, $C$9, 100%, $E$9)</f>
        <v>38.035499999999999</v>
      </c>
      <c r="E619" s="14">
        <f>CHOOSE(CONTROL!$C$42, 38.067, 38.067) * CHOOSE(CONTROL!$C$21, $C$9, 100%, $E$9)</f>
        <v>38.067</v>
      </c>
      <c r="F619" s="14">
        <f>CHOOSE(CONTROL!$C$42, 37.8052, 37.8052)*CHOOSE(CONTROL!$C$21, $C$9, 100%, $E$9)</f>
        <v>37.805199999999999</v>
      </c>
      <c r="G619" s="14">
        <f>CHOOSE(CONTROL!$C$42, 37.8211, 37.8211)*CHOOSE(CONTROL!$C$21, $C$9, 100%, $E$9)</f>
        <v>37.821100000000001</v>
      </c>
      <c r="H619" s="14">
        <f>CHOOSE(CONTROL!$C$42, 38.0556, 38.0556) * CHOOSE(CONTROL!$C$21, $C$9, 100%, $E$9)</f>
        <v>38.055599999999998</v>
      </c>
      <c r="I619" s="14">
        <f>CHOOSE(CONTROL!$C$42, 37.9475, 37.9475)* CHOOSE(CONTROL!$C$21, $C$9, 100%, $E$9)</f>
        <v>37.947499999999998</v>
      </c>
      <c r="J619" s="14">
        <f>CHOOSE(CONTROL!$C$42, 37.7982, 37.7982)* CHOOSE(CONTROL!$C$21, $C$9, 100%, $E$9)</f>
        <v>37.798200000000001</v>
      </c>
      <c r="K619" s="53">
        <f>CHOOSE(CONTROL!$C$42, 37.9436, 37.9436) * CHOOSE(CONTROL!$C$21, $C$9, 100%, $E$9)</f>
        <v>37.943600000000004</v>
      </c>
      <c r="L619" s="14">
        <f>CHOOSE(CONTROL!$C$42, 38.6426, 38.6426) * CHOOSE(CONTROL!$C$21, $C$9, 100%, $E$9)</f>
        <v>38.642600000000002</v>
      </c>
      <c r="M619" s="14">
        <f>CHOOSE(CONTROL!$C$42, 37.0314, 37.0314) * CHOOSE(CONTROL!$C$21, $C$9, 100%, $E$9)</f>
        <v>37.031399999999998</v>
      </c>
      <c r="N619" s="14">
        <f>CHOOSE(CONTROL!$C$42, 37.047, 37.047) * CHOOSE(CONTROL!$C$21, $C$9, 100%, $E$9)</f>
        <v>37.046999999999997</v>
      </c>
      <c r="O619" s="14">
        <f>CHOOSE(CONTROL!$C$42, 37.2836, 37.2836) * CHOOSE(CONTROL!$C$21, $C$9, 100%, $E$9)</f>
        <v>37.2836</v>
      </c>
      <c r="P619" s="14">
        <f>CHOOSE(CONTROL!$C$42, 37.1754, 37.1754) * CHOOSE(CONTROL!$C$21, $C$9, 100%, $E$9)</f>
        <v>37.175400000000003</v>
      </c>
      <c r="Q619" s="14">
        <f>CHOOSE(CONTROL!$C$42, 37.8783, 37.8783) * CHOOSE(CONTROL!$C$21, $C$9, 100%, $E$9)</f>
        <v>37.878300000000003</v>
      </c>
      <c r="R619" s="14">
        <f>CHOOSE(CONTROL!$C$42, 38.56, 38.56) * CHOOSE(CONTROL!$C$21, $C$9, 100%, $E$9)</f>
        <v>38.56</v>
      </c>
      <c r="S619" s="14">
        <f>CHOOSE(CONTROL!$C$42, 36.3341, 36.3341) * CHOOSE(CONTROL!$C$21, $C$9, 100%, $E$9)</f>
        <v>36.334099999999999</v>
      </c>
      <c r="T61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19" s="57">
        <f>(1000*CHOOSE(CONTROL!$C$42, 695, 695)*CHOOSE(CONTROL!$C$42, 0.5599, 0.5599)*CHOOSE(CONTROL!$C$42, 31, 31))/1000000</f>
        <v>12.063045499999998</v>
      </c>
      <c r="V619" s="57">
        <f>(1000*CHOOSE(CONTROL!$C$42, 500, 500)*CHOOSE(CONTROL!$C$42, 0.275, 0.275)*CHOOSE(CONTROL!$C$42, 31, 31))/1000000</f>
        <v>4.2625000000000002</v>
      </c>
      <c r="W619" s="57">
        <f>(1000*CHOOSE(CONTROL!$C$42, 0.1146, 0.1146)*CHOOSE(CONTROL!$C$42, 121.5, 121.5)*CHOOSE(CONTROL!$C$42, 31, 31))/1000000</f>
        <v>0.43164089999999994</v>
      </c>
      <c r="X619" s="57">
        <f>(31*0.1790888*245000/1000000)+(31*0.2374*100000/1000000)</f>
        <v>2.0961194359999999</v>
      </c>
      <c r="Y619" s="57"/>
      <c r="Z619" s="14"/>
      <c r="AA619" s="56"/>
      <c r="AB619" s="50">
        <f>(B619*194.205+C619*267.466+D619*133.845+E619*53.484+F619*40+G619*185+H619*0+I619*100+J619*300)/(194.205+267.466+133.845+53.484+0+40+185+100+300)</f>
        <v>37.860563099764526</v>
      </c>
      <c r="AC619" s="45">
        <f>(M619*'RAP TEMPLATE-GAS AVAILABILITY'!O618+N619*'RAP TEMPLATE-GAS AVAILABILITY'!P618+O619*'RAP TEMPLATE-GAS AVAILABILITY'!Q618+P619*'RAP TEMPLATE-GAS AVAILABILITY'!R618)/('RAP TEMPLATE-GAS AVAILABILITY'!O618+'RAP TEMPLATE-GAS AVAILABILITY'!P618+'RAP TEMPLATE-GAS AVAILABILITY'!Q618+'RAP TEMPLATE-GAS AVAILABILITY'!R618)</f>
        <v>37.167323741007195</v>
      </c>
    </row>
    <row r="620" spans="1:29" ht="15.75" x14ac:dyDescent="0.25">
      <c r="A620" s="32">
        <v>59779</v>
      </c>
      <c r="B620" s="14">
        <f>CHOOSE(CONTROL!$C$42, 35.9559, 35.9559) * CHOOSE(CONTROL!$C$21, $C$9, 100%, $E$9)</f>
        <v>35.9559</v>
      </c>
      <c r="C620" s="14">
        <f>CHOOSE(CONTROL!$C$42, 35.9639, 35.9639) * CHOOSE(CONTROL!$C$21, $C$9, 100%, $E$9)</f>
        <v>35.963900000000002</v>
      </c>
      <c r="D620" s="14">
        <f>CHOOSE(CONTROL!$C$42, 36.1678, 36.1678) * CHOOSE(CONTROL!$C$21, $C$9, 100%, $E$9)</f>
        <v>36.1678</v>
      </c>
      <c r="E620" s="14">
        <f>CHOOSE(CONTROL!$C$42, 36.1993, 36.1993) * CHOOSE(CONTROL!$C$21, $C$9, 100%, $E$9)</f>
        <v>36.199300000000001</v>
      </c>
      <c r="F620" s="14">
        <f>CHOOSE(CONTROL!$C$42, 35.9377, 35.9377)*CHOOSE(CONTROL!$C$21, $C$9, 100%, $E$9)</f>
        <v>35.9377</v>
      </c>
      <c r="G620" s="14">
        <f>CHOOSE(CONTROL!$C$42, 35.9537, 35.9537)*CHOOSE(CONTROL!$C$21, $C$9, 100%, $E$9)</f>
        <v>35.953699999999998</v>
      </c>
      <c r="H620" s="14">
        <f>CHOOSE(CONTROL!$C$42, 36.1879, 36.1879) * CHOOSE(CONTROL!$C$21, $C$9, 100%, $E$9)</f>
        <v>36.187899999999999</v>
      </c>
      <c r="I620" s="14">
        <f>CHOOSE(CONTROL!$C$42, 36.0739, 36.0739)* CHOOSE(CONTROL!$C$21, $C$9, 100%, $E$9)</f>
        <v>36.073900000000002</v>
      </c>
      <c r="J620" s="14">
        <f>CHOOSE(CONTROL!$C$42, 35.9307, 35.9307)* CHOOSE(CONTROL!$C$21, $C$9, 100%, $E$9)</f>
        <v>35.930700000000002</v>
      </c>
      <c r="K620" s="53">
        <f>CHOOSE(CONTROL!$C$42, 36.07, 36.07) * CHOOSE(CONTROL!$C$21, $C$9, 100%, $E$9)</f>
        <v>36.07</v>
      </c>
      <c r="L620" s="14">
        <f>CHOOSE(CONTROL!$C$42, 36.7749, 36.7749) * CHOOSE(CONTROL!$C$21, $C$9, 100%, $E$9)</f>
        <v>36.774900000000002</v>
      </c>
      <c r="M620" s="14">
        <f>CHOOSE(CONTROL!$C$42, 35.2022, 35.2022) * CHOOSE(CONTROL!$C$21, $C$9, 100%, $E$9)</f>
        <v>35.202199999999998</v>
      </c>
      <c r="N620" s="14">
        <f>CHOOSE(CONTROL!$C$42, 35.2179, 35.2179) * CHOOSE(CONTROL!$C$21, $C$9, 100%, $E$9)</f>
        <v>35.2179</v>
      </c>
      <c r="O620" s="14">
        <f>CHOOSE(CONTROL!$C$42, 35.4542, 35.4542) * CHOOSE(CONTROL!$C$21, $C$9, 100%, $E$9)</f>
        <v>35.4542</v>
      </c>
      <c r="P620" s="14">
        <f>CHOOSE(CONTROL!$C$42, 35.3403, 35.3403) * CHOOSE(CONTROL!$C$21, $C$9, 100%, $E$9)</f>
        <v>35.340299999999999</v>
      </c>
      <c r="Q620" s="14">
        <f>CHOOSE(CONTROL!$C$42, 36.0489, 36.0489) * CHOOSE(CONTROL!$C$21, $C$9, 100%, $E$9)</f>
        <v>36.048900000000003</v>
      </c>
      <c r="R620" s="14">
        <f>CHOOSE(CONTROL!$C$42, 36.726, 36.726) * CHOOSE(CONTROL!$C$21, $C$9, 100%, $E$9)</f>
        <v>36.725999999999999</v>
      </c>
      <c r="S620" s="14">
        <f>CHOOSE(CONTROL!$C$42, 34.5394, 34.5394) * CHOOSE(CONTROL!$C$21, $C$9, 100%, $E$9)</f>
        <v>34.539400000000001</v>
      </c>
      <c r="T62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20" s="57">
        <f>(1000*CHOOSE(CONTROL!$C$42, 695, 695)*CHOOSE(CONTROL!$C$42, 0.5599, 0.5599)*CHOOSE(CONTROL!$C$42, 31, 31))/1000000</f>
        <v>12.063045499999998</v>
      </c>
      <c r="V620" s="57">
        <f>(1000*CHOOSE(CONTROL!$C$42, 500, 500)*CHOOSE(CONTROL!$C$42, 0.275, 0.275)*CHOOSE(CONTROL!$C$42, 31, 31))/1000000</f>
        <v>4.2625000000000002</v>
      </c>
      <c r="W620" s="57">
        <f>(1000*CHOOSE(CONTROL!$C$42, 0.1146, 0.1146)*CHOOSE(CONTROL!$C$42, 121.5, 121.5)*CHOOSE(CONTROL!$C$42, 31, 31))/1000000</f>
        <v>0.43164089999999994</v>
      </c>
      <c r="X620" s="57">
        <f>(31*0.1790888*245000/1000000)+(31*0.2374*100000/1000000)</f>
        <v>2.0961194359999999</v>
      </c>
      <c r="Y620" s="57"/>
      <c r="Z620" s="14"/>
      <c r="AA620" s="56"/>
      <c r="AB620" s="50">
        <f>(B620*194.205+C620*267.466+D620*133.845+E620*53.484+F620*40+G620*185+H620*0+I620*100+J620*300)/(194.205+267.466+133.845+53.484+0+40+185+100+300)</f>
        <v>35.992496930219779</v>
      </c>
      <c r="AC620" s="45">
        <f>(M620*'RAP TEMPLATE-GAS AVAILABILITY'!O619+N620*'RAP TEMPLATE-GAS AVAILABILITY'!P619+O620*'RAP TEMPLATE-GAS AVAILABILITY'!Q619+P620*'RAP TEMPLATE-GAS AVAILABILITY'!R619)/('RAP TEMPLATE-GAS AVAILABILITY'!O619+'RAP TEMPLATE-GAS AVAILABILITY'!P619+'RAP TEMPLATE-GAS AVAILABILITY'!Q619+'RAP TEMPLATE-GAS AVAILABILITY'!R619)</f>
        <v>35.337189928057555</v>
      </c>
    </row>
    <row r="621" spans="1:29" ht="15.75" x14ac:dyDescent="0.25">
      <c r="A621" s="32">
        <v>59809</v>
      </c>
      <c r="B621" s="14">
        <f>CHOOSE(CONTROL!$C$42, 33.6735, 33.6735) * CHOOSE(CONTROL!$C$21, $C$9, 100%, $E$9)</f>
        <v>33.673499999999997</v>
      </c>
      <c r="C621" s="14">
        <f>CHOOSE(CONTROL!$C$42, 33.6815, 33.6815) * CHOOSE(CONTROL!$C$21, $C$9, 100%, $E$9)</f>
        <v>33.6815</v>
      </c>
      <c r="D621" s="14">
        <f>CHOOSE(CONTROL!$C$42, 33.8855, 33.8855) * CHOOSE(CONTROL!$C$21, $C$9, 100%, $E$9)</f>
        <v>33.8855</v>
      </c>
      <c r="E621" s="14">
        <f>CHOOSE(CONTROL!$C$42, 33.9169, 33.9169) * CHOOSE(CONTROL!$C$21, $C$9, 100%, $E$9)</f>
        <v>33.916899999999998</v>
      </c>
      <c r="F621" s="14">
        <f>CHOOSE(CONTROL!$C$42, 33.6554, 33.6554)*CHOOSE(CONTROL!$C$21, $C$9, 100%, $E$9)</f>
        <v>33.6554</v>
      </c>
      <c r="G621" s="14">
        <f>CHOOSE(CONTROL!$C$42, 33.6714, 33.6714)*CHOOSE(CONTROL!$C$21, $C$9, 100%, $E$9)</f>
        <v>33.671399999999998</v>
      </c>
      <c r="H621" s="14">
        <f>CHOOSE(CONTROL!$C$42, 33.9056, 33.9056) * CHOOSE(CONTROL!$C$21, $C$9, 100%, $E$9)</f>
        <v>33.9056</v>
      </c>
      <c r="I621" s="14">
        <f>CHOOSE(CONTROL!$C$42, 33.7844, 33.7844)* CHOOSE(CONTROL!$C$21, $C$9, 100%, $E$9)</f>
        <v>33.784399999999998</v>
      </c>
      <c r="J621" s="14">
        <f>CHOOSE(CONTROL!$C$42, 33.6484, 33.6484)* CHOOSE(CONTROL!$C$21, $C$9, 100%, $E$9)</f>
        <v>33.648400000000002</v>
      </c>
      <c r="K621" s="53">
        <f>CHOOSE(CONTROL!$C$42, 33.7805, 33.7805) * CHOOSE(CONTROL!$C$21, $C$9, 100%, $E$9)</f>
        <v>33.780500000000004</v>
      </c>
      <c r="L621" s="14">
        <f>CHOOSE(CONTROL!$C$42, 34.4926, 34.4926) * CHOOSE(CONTROL!$C$21, $C$9, 100%, $E$9)</f>
        <v>34.492600000000003</v>
      </c>
      <c r="M621" s="14">
        <f>CHOOSE(CONTROL!$C$42, 32.9667, 32.9667) * CHOOSE(CONTROL!$C$21, $C$9, 100%, $E$9)</f>
        <v>32.966700000000003</v>
      </c>
      <c r="N621" s="14">
        <f>CHOOSE(CONTROL!$C$42, 32.9823, 32.9823) * CHOOSE(CONTROL!$C$21, $C$9, 100%, $E$9)</f>
        <v>32.982300000000002</v>
      </c>
      <c r="O621" s="14">
        <f>CHOOSE(CONTROL!$C$42, 33.2185, 33.2185) * CHOOSE(CONTROL!$C$21, $C$9, 100%, $E$9)</f>
        <v>33.218499999999999</v>
      </c>
      <c r="P621" s="14">
        <f>CHOOSE(CONTROL!$C$42, 33.0978, 33.0978) * CHOOSE(CONTROL!$C$21, $C$9, 100%, $E$9)</f>
        <v>33.097799999999999</v>
      </c>
      <c r="Q621" s="14">
        <f>CHOOSE(CONTROL!$C$42, 33.8132, 33.8132) * CHOOSE(CONTROL!$C$21, $C$9, 100%, $E$9)</f>
        <v>33.813200000000002</v>
      </c>
      <c r="R621" s="14">
        <f>CHOOSE(CONTROL!$C$42, 34.4848, 34.4848) * CHOOSE(CONTROL!$C$21, $C$9, 100%, $E$9)</f>
        <v>34.4848</v>
      </c>
      <c r="S621" s="14">
        <f>CHOOSE(CONTROL!$C$42, 32.3462, 32.3462) * CHOOSE(CONTROL!$C$21, $C$9, 100%, $E$9)</f>
        <v>32.346200000000003</v>
      </c>
      <c r="T62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21" s="57">
        <f>(1000*CHOOSE(CONTROL!$C$42, 695, 695)*CHOOSE(CONTROL!$C$42, 0.5599, 0.5599)*CHOOSE(CONTROL!$C$42, 30, 30))/1000000</f>
        <v>11.673914999999997</v>
      </c>
      <c r="V621" s="57">
        <f>(1000*CHOOSE(CONTROL!$C$42, 500, 500)*CHOOSE(CONTROL!$C$42, 0.275, 0.275)*CHOOSE(CONTROL!$C$42, 30, 30))/1000000</f>
        <v>4.125</v>
      </c>
      <c r="W621" s="57">
        <f>(1000*CHOOSE(CONTROL!$C$42, 0.1146, 0.1146)*CHOOSE(CONTROL!$C$42, 121.5, 121.5)*CHOOSE(CONTROL!$C$42, 30, 30))/1000000</f>
        <v>0.417717</v>
      </c>
      <c r="X621" s="57">
        <f>(30*0.1790888*245000/1000000)+(30*0.2374*100000/1000000)</f>
        <v>2.0285026799999999</v>
      </c>
      <c r="Y621" s="57"/>
      <c r="Z621" s="14"/>
      <c r="AA621" s="56"/>
      <c r="AB621" s="50">
        <f>(B621*194.205+C621*267.466+D621*133.845+E621*53.484+F621*40+G621*185+H621*0+I621*100+J621*300)/(194.205+267.466+133.845+53.484+0+40+185+100+300)</f>
        <v>33.709591345054953</v>
      </c>
      <c r="AC621" s="45">
        <f>(M621*'RAP TEMPLATE-GAS AVAILABILITY'!O620+N621*'RAP TEMPLATE-GAS AVAILABILITY'!P620+O621*'RAP TEMPLATE-GAS AVAILABILITY'!Q620+P621*'RAP TEMPLATE-GAS AVAILABILITY'!R620)/('RAP TEMPLATE-GAS AVAILABILITY'!O620+'RAP TEMPLATE-GAS AVAILABILITY'!P620+'RAP TEMPLATE-GAS AVAILABILITY'!Q620+'RAP TEMPLATE-GAS AVAILABILITY'!R620)</f>
        <v>33.100586330935251</v>
      </c>
    </row>
    <row r="622" spans="1:29" ht="15.75" x14ac:dyDescent="0.25">
      <c r="A622" s="32">
        <v>59840</v>
      </c>
      <c r="B622" s="14">
        <f>CHOOSE(CONTROL!$C$42, 32.9883, 32.9883) * CHOOSE(CONTROL!$C$21, $C$9, 100%, $E$9)</f>
        <v>32.988300000000002</v>
      </c>
      <c r="C622" s="14">
        <f>CHOOSE(CONTROL!$C$42, 32.9936, 32.9936) * CHOOSE(CONTROL!$C$21, $C$9, 100%, $E$9)</f>
        <v>32.993600000000001</v>
      </c>
      <c r="D622" s="14">
        <f>CHOOSE(CONTROL!$C$42, 33.2025, 33.2025) * CHOOSE(CONTROL!$C$21, $C$9, 100%, $E$9)</f>
        <v>33.202500000000001</v>
      </c>
      <c r="E622" s="14">
        <f>CHOOSE(CONTROL!$C$42, 33.2316, 33.2316) * CHOOSE(CONTROL!$C$21, $C$9, 100%, $E$9)</f>
        <v>33.2316</v>
      </c>
      <c r="F622" s="14">
        <f>CHOOSE(CONTROL!$C$42, 32.9723, 32.9723)*CHOOSE(CONTROL!$C$21, $C$9, 100%, $E$9)</f>
        <v>32.972299999999997</v>
      </c>
      <c r="G622" s="14">
        <f>CHOOSE(CONTROL!$C$42, 32.9879, 32.9879)*CHOOSE(CONTROL!$C$21, $C$9, 100%, $E$9)</f>
        <v>32.987900000000003</v>
      </c>
      <c r="H622" s="14">
        <f>CHOOSE(CONTROL!$C$42, 33.2221, 33.2221) * CHOOSE(CONTROL!$C$21, $C$9, 100%, $E$9)</f>
        <v>33.222099999999998</v>
      </c>
      <c r="I622" s="14">
        <f>CHOOSE(CONTROL!$C$42, 33.0988, 33.0988)* CHOOSE(CONTROL!$C$21, $C$9, 100%, $E$9)</f>
        <v>33.098799999999997</v>
      </c>
      <c r="J622" s="14">
        <f>CHOOSE(CONTROL!$C$42, 32.9653, 32.9653)* CHOOSE(CONTROL!$C$21, $C$9, 100%, $E$9)</f>
        <v>32.965299999999999</v>
      </c>
      <c r="K622" s="53">
        <f>CHOOSE(CONTROL!$C$42, 33.0949, 33.0949) * CHOOSE(CONTROL!$C$21, $C$9, 100%, $E$9)</f>
        <v>33.094900000000003</v>
      </c>
      <c r="L622" s="14">
        <f>CHOOSE(CONTROL!$C$42, 33.8091, 33.8091) * CHOOSE(CONTROL!$C$21, $C$9, 100%, $E$9)</f>
        <v>33.809100000000001</v>
      </c>
      <c r="M622" s="14">
        <f>CHOOSE(CONTROL!$C$42, 32.2975, 32.2975) * CHOOSE(CONTROL!$C$21, $C$9, 100%, $E$9)</f>
        <v>32.297499999999999</v>
      </c>
      <c r="N622" s="14">
        <f>CHOOSE(CONTROL!$C$42, 32.3129, 32.3129) * CHOOSE(CONTROL!$C$21, $C$9, 100%, $E$9)</f>
        <v>32.312899999999999</v>
      </c>
      <c r="O622" s="14">
        <f>CHOOSE(CONTROL!$C$42, 32.5491, 32.5491) * CHOOSE(CONTROL!$C$21, $C$9, 100%, $E$9)</f>
        <v>32.549100000000003</v>
      </c>
      <c r="P622" s="14">
        <f>CHOOSE(CONTROL!$C$42, 32.4263, 32.4263) * CHOOSE(CONTROL!$C$21, $C$9, 100%, $E$9)</f>
        <v>32.426299999999998</v>
      </c>
      <c r="Q622" s="14">
        <f>CHOOSE(CONTROL!$C$42, 33.1438, 33.1438) * CHOOSE(CONTROL!$C$21, $C$9, 100%, $E$9)</f>
        <v>33.143799999999999</v>
      </c>
      <c r="R622" s="14">
        <f>CHOOSE(CONTROL!$C$42, 33.8136, 33.8136) * CHOOSE(CONTROL!$C$21, $C$9, 100%, $E$9)</f>
        <v>33.813600000000001</v>
      </c>
      <c r="S622" s="14">
        <f>CHOOSE(CONTROL!$C$42, 31.6895, 31.6895) * CHOOSE(CONTROL!$C$21, $C$9, 100%, $E$9)</f>
        <v>31.689499999999999</v>
      </c>
      <c r="T62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22" s="57">
        <f>(1000*CHOOSE(CONTROL!$C$42, 695, 695)*CHOOSE(CONTROL!$C$42, 0.5599, 0.5599)*CHOOSE(CONTROL!$C$42, 31, 31))/1000000</f>
        <v>12.063045499999998</v>
      </c>
      <c r="V622" s="57">
        <f>(1000*CHOOSE(CONTROL!$C$42, 500, 500)*CHOOSE(CONTROL!$C$42, 0.275, 0.275)*CHOOSE(CONTROL!$C$42, 31, 31))/1000000</f>
        <v>4.2625000000000002</v>
      </c>
      <c r="W622" s="57">
        <f>(1000*CHOOSE(CONTROL!$C$42, 0.1146, 0.1146)*CHOOSE(CONTROL!$C$42, 121.5, 121.5)*CHOOSE(CONTROL!$C$42, 31, 31))/1000000</f>
        <v>0.43164089999999994</v>
      </c>
      <c r="X622" s="57">
        <f>(31*0.1790888*245000/1000000)+(31*0.2374*100000/1000000)</f>
        <v>2.0961194359999999</v>
      </c>
      <c r="Y622" s="57"/>
      <c r="Z622" s="14"/>
      <c r="AA622" s="56"/>
      <c r="AB622" s="50">
        <f>(B622*131.881+C622*277.167+D622*79.08+E622*125.872+F622*40+G622*185+H622*0+I622*100+J622*300)/(131.881+277.167+79.08+125.872+0+40+185+100+300)</f>
        <v>33.030647521146093</v>
      </c>
      <c r="AC622" s="45">
        <f>(M622*'RAP TEMPLATE-GAS AVAILABILITY'!O621+N622*'RAP TEMPLATE-GAS AVAILABILITY'!P621+O622*'RAP TEMPLATE-GAS AVAILABILITY'!Q621+P622*'RAP TEMPLATE-GAS AVAILABILITY'!R621)/('RAP TEMPLATE-GAS AVAILABILITY'!O621+'RAP TEMPLATE-GAS AVAILABILITY'!P621+'RAP TEMPLATE-GAS AVAILABILITY'!Q621+'RAP TEMPLATE-GAS AVAILABILITY'!R621)</f>
        <v>32.430953237410073</v>
      </c>
    </row>
    <row r="623" spans="1:29" ht="15.75" x14ac:dyDescent="0.25">
      <c r="A623" s="32">
        <v>59870</v>
      </c>
      <c r="B623" s="14">
        <f>CHOOSE(CONTROL!$C$42, 33.8567, 33.8567) * CHOOSE(CONTROL!$C$21, $C$9, 100%, $E$9)</f>
        <v>33.856699999999996</v>
      </c>
      <c r="C623" s="14">
        <f>CHOOSE(CONTROL!$C$42, 33.8617, 33.8617) * CHOOSE(CONTROL!$C$21, $C$9, 100%, $E$9)</f>
        <v>33.861699999999999</v>
      </c>
      <c r="D623" s="14">
        <f>CHOOSE(CONTROL!$C$42, 33.9255, 33.9255) * CHOOSE(CONTROL!$C$21, $C$9, 100%, $E$9)</f>
        <v>33.9255</v>
      </c>
      <c r="E623" s="14">
        <f>CHOOSE(CONTROL!$C$42, 33.9596, 33.9596) * CHOOSE(CONTROL!$C$21, $C$9, 100%, $E$9)</f>
        <v>33.959600000000002</v>
      </c>
      <c r="F623" s="14">
        <f>CHOOSE(CONTROL!$C$42, 33.8591, 33.8591)*CHOOSE(CONTROL!$C$21, $C$9, 100%, $E$9)</f>
        <v>33.859099999999998</v>
      </c>
      <c r="G623" s="14">
        <f>CHOOSE(CONTROL!$C$42, 33.8751, 33.8751)*CHOOSE(CONTROL!$C$21, $C$9, 100%, $E$9)</f>
        <v>33.875100000000003</v>
      </c>
      <c r="H623" s="14">
        <f>CHOOSE(CONTROL!$C$42, 33.9488, 33.9488) * CHOOSE(CONTROL!$C$21, $C$9, 100%, $E$9)</f>
        <v>33.948799999999999</v>
      </c>
      <c r="I623" s="14">
        <f>CHOOSE(CONTROL!$C$42, 33.9755, 33.9755)* CHOOSE(CONTROL!$C$21, $C$9, 100%, $E$9)</f>
        <v>33.975499999999997</v>
      </c>
      <c r="J623" s="14">
        <f>CHOOSE(CONTROL!$C$42, 33.8521, 33.8521)* CHOOSE(CONTROL!$C$21, $C$9, 100%, $E$9)</f>
        <v>33.8521</v>
      </c>
      <c r="K623" s="53">
        <f>CHOOSE(CONTROL!$C$42, 33.9716, 33.9716) * CHOOSE(CONTROL!$C$21, $C$9, 100%, $E$9)</f>
        <v>33.971600000000002</v>
      </c>
      <c r="L623" s="14">
        <f>CHOOSE(CONTROL!$C$42, 34.5358, 34.5358) * CHOOSE(CONTROL!$C$21, $C$9, 100%, $E$9)</f>
        <v>34.535800000000002</v>
      </c>
      <c r="M623" s="14">
        <f>CHOOSE(CONTROL!$C$42, 33.1661, 33.1661) * CHOOSE(CONTROL!$C$21, $C$9, 100%, $E$9)</f>
        <v>33.1661</v>
      </c>
      <c r="N623" s="14">
        <f>CHOOSE(CONTROL!$C$42, 33.1818, 33.1818) * CHOOSE(CONTROL!$C$21, $C$9, 100%, $E$9)</f>
        <v>33.181800000000003</v>
      </c>
      <c r="O623" s="14">
        <f>CHOOSE(CONTROL!$C$42, 33.2609, 33.2609) * CHOOSE(CONTROL!$C$21, $C$9, 100%, $E$9)</f>
        <v>33.260899999999999</v>
      </c>
      <c r="P623" s="14">
        <f>CHOOSE(CONTROL!$C$42, 33.285, 33.285) * CHOOSE(CONTROL!$C$21, $C$9, 100%, $E$9)</f>
        <v>33.284999999999997</v>
      </c>
      <c r="Q623" s="14">
        <f>CHOOSE(CONTROL!$C$42, 33.8556, 33.8556) * CHOOSE(CONTROL!$C$21, $C$9, 100%, $E$9)</f>
        <v>33.855600000000003</v>
      </c>
      <c r="R623" s="14">
        <f>CHOOSE(CONTROL!$C$42, 34.5273, 34.5273) * CHOOSE(CONTROL!$C$21, $C$9, 100%, $E$9)</f>
        <v>34.527299999999997</v>
      </c>
      <c r="S623" s="14">
        <f>CHOOSE(CONTROL!$C$42, 32.5243, 32.5243) * CHOOSE(CONTROL!$C$21, $C$9, 100%, $E$9)</f>
        <v>32.524299999999997</v>
      </c>
      <c r="T62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23" s="57">
        <f>(1000*CHOOSE(CONTROL!$C$42, 695, 695)*CHOOSE(CONTROL!$C$42, 0.5599, 0.5599)*CHOOSE(CONTROL!$C$42, 30, 30))/1000000</f>
        <v>11.673914999999997</v>
      </c>
      <c r="V623" s="57">
        <f>(1000*CHOOSE(CONTROL!$C$42, 500, 500)*CHOOSE(CONTROL!$C$42, 0.275, 0.275)*CHOOSE(CONTROL!$C$42, 30, 30))/1000000</f>
        <v>4.125</v>
      </c>
      <c r="W623" s="57">
        <f>(1000*CHOOSE(CONTROL!$C$42, 0.1146, 0.1146)*CHOOSE(CONTROL!$C$42, 121.5, 121.5)*CHOOSE(CONTROL!$C$42, 30, 30))/1000000</f>
        <v>0.417717</v>
      </c>
      <c r="X623" s="57">
        <f>(30*0.1790888*100000/1000000)+(30*0.2374*100000/1000000)</f>
        <v>1.2494664</v>
      </c>
      <c r="Y623" s="57"/>
      <c r="Z623" s="14"/>
      <c r="AA623" s="56"/>
      <c r="AB623" s="50">
        <f>(B623*122.58+C623*297.941+D623*89.177+E623*40.302+F623*40+G623*160+H623*0+I623*100+J623*300)/(122.58+297.941+89.177+40.302+0+40+160+100+300)</f>
        <v>33.87871057252174</v>
      </c>
      <c r="AC623" s="45">
        <f>(M623*'RAP TEMPLATE-GAS AVAILABILITY'!O622+N623*'RAP TEMPLATE-GAS AVAILABILITY'!P622+O623*'RAP TEMPLATE-GAS AVAILABILITY'!Q622+P623*'RAP TEMPLATE-GAS AVAILABILITY'!R622)/('RAP TEMPLATE-GAS AVAILABILITY'!O622+'RAP TEMPLATE-GAS AVAILABILITY'!P622+'RAP TEMPLATE-GAS AVAILABILITY'!Q622+'RAP TEMPLATE-GAS AVAILABILITY'!R622)</f>
        <v>33.227078417266185</v>
      </c>
    </row>
    <row r="624" spans="1:29" ht="15.75" x14ac:dyDescent="0.25">
      <c r="A624" s="32">
        <v>59901</v>
      </c>
      <c r="B624" s="14">
        <f>CHOOSE(CONTROL!$C$42, 36.1643, 36.1643) * CHOOSE(CONTROL!$C$21, $C$9, 100%, $E$9)</f>
        <v>36.164299999999997</v>
      </c>
      <c r="C624" s="14">
        <f>CHOOSE(CONTROL!$C$42, 36.1694, 36.1694) * CHOOSE(CONTROL!$C$21, $C$9, 100%, $E$9)</f>
        <v>36.169400000000003</v>
      </c>
      <c r="D624" s="14">
        <f>CHOOSE(CONTROL!$C$42, 36.2332, 36.2332) * CHOOSE(CONTROL!$C$21, $C$9, 100%, $E$9)</f>
        <v>36.233199999999997</v>
      </c>
      <c r="E624" s="14">
        <f>CHOOSE(CONTROL!$C$42, 36.2673, 36.2673) * CHOOSE(CONTROL!$C$21, $C$9, 100%, $E$9)</f>
        <v>36.267299999999999</v>
      </c>
      <c r="F624" s="14">
        <f>CHOOSE(CONTROL!$C$42, 36.169, 36.169)*CHOOSE(CONTROL!$C$21, $C$9, 100%, $E$9)</f>
        <v>36.168999999999997</v>
      </c>
      <c r="G624" s="14">
        <f>CHOOSE(CONTROL!$C$42, 36.1856, 36.1856)*CHOOSE(CONTROL!$C$21, $C$9, 100%, $E$9)</f>
        <v>36.185600000000001</v>
      </c>
      <c r="H624" s="14">
        <f>CHOOSE(CONTROL!$C$42, 36.2565, 36.2565) * CHOOSE(CONTROL!$C$21, $C$9, 100%, $E$9)</f>
        <v>36.256500000000003</v>
      </c>
      <c r="I624" s="14">
        <f>CHOOSE(CONTROL!$C$42, 36.2904, 36.2904)* CHOOSE(CONTROL!$C$21, $C$9, 100%, $E$9)</f>
        <v>36.290399999999998</v>
      </c>
      <c r="J624" s="14">
        <f>CHOOSE(CONTROL!$C$42, 36.162, 36.162)* CHOOSE(CONTROL!$C$21, $C$9, 100%, $E$9)</f>
        <v>36.161999999999999</v>
      </c>
      <c r="K624" s="53">
        <f>CHOOSE(CONTROL!$C$42, 36.2865, 36.2865) * CHOOSE(CONTROL!$C$21, $C$9, 100%, $E$9)</f>
        <v>36.286499999999997</v>
      </c>
      <c r="L624" s="14">
        <f>CHOOSE(CONTROL!$C$42, 36.8435, 36.8435) * CHOOSE(CONTROL!$C$21, $C$9, 100%, $E$9)</f>
        <v>36.843499999999999</v>
      </c>
      <c r="M624" s="14">
        <f>CHOOSE(CONTROL!$C$42, 35.4287, 35.4287) * CHOOSE(CONTROL!$C$21, $C$9, 100%, $E$9)</f>
        <v>35.428699999999999</v>
      </c>
      <c r="N624" s="14">
        <f>CHOOSE(CONTROL!$C$42, 35.445, 35.445) * CHOOSE(CONTROL!$C$21, $C$9, 100%, $E$9)</f>
        <v>35.445</v>
      </c>
      <c r="O624" s="14">
        <f>CHOOSE(CONTROL!$C$42, 35.5213, 35.5213) * CHOOSE(CONTROL!$C$21, $C$9, 100%, $E$9)</f>
        <v>35.521299999999997</v>
      </c>
      <c r="P624" s="14">
        <f>CHOOSE(CONTROL!$C$42, 35.5524, 35.5524) * CHOOSE(CONTROL!$C$21, $C$9, 100%, $E$9)</f>
        <v>35.552399999999999</v>
      </c>
      <c r="Q624" s="14">
        <f>CHOOSE(CONTROL!$C$42, 36.116, 36.116) * CHOOSE(CONTROL!$C$21, $C$9, 100%, $E$9)</f>
        <v>36.116</v>
      </c>
      <c r="R624" s="14">
        <f>CHOOSE(CONTROL!$C$42, 36.7933, 36.7933) * CHOOSE(CONTROL!$C$21, $C$9, 100%, $E$9)</f>
        <v>36.793300000000002</v>
      </c>
      <c r="S624" s="14">
        <f>CHOOSE(CONTROL!$C$42, 34.7418, 34.7418) * CHOOSE(CONTROL!$C$21, $C$9, 100%, $E$9)</f>
        <v>34.741799999999998</v>
      </c>
      <c r="T62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24" s="57">
        <f>(1000*CHOOSE(CONTROL!$C$42, 695, 695)*CHOOSE(CONTROL!$C$42, 0.5599, 0.5599)*CHOOSE(CONTROL!$C$42, 31, 31))/1000000</f>
        <v>12.063045499999998</v>
      </c>
      <c r="V624" s="57">
        <f>(1000*CHOOSE(CONTROL!$C$42, 500, 500)*CHOOSE(CONTROL!$C$42, 0.275, 0.275)*CHOOSE(CONTROL!$C$42, 31, 31))/1000000</f>
        <v>4.2625000000000002</v>
      </c>
      <c r="W624" s="57">
        <f>(1000*CHOOSE(CONTROL!$C$42, 0.1146, 0.1146)*CHOOSE(CONTROL!$C$42, 121.5, 121.5)*CHOOSE(CONTROL!$C$42, 31, 31))/1000000</f>
        <v>0.43164089999999994</v>
      </c>
      <c r="X624" s="57">
        <f>(31*0.1790888*100000/1000000)+(31*0.2374*100000/1000000)</f>
        <v>1.2911152800000001</v>
      </c>
      <c r="Y624" s="57"/>
      <c r="Z624" s="14"/>
      <c r="AA624" s="56"/>
      <c r="AB624" s="50">
        <f>(B624*122.58+C624*297.941+D624*89.177+E624*40.302+F624*40+G624*160+H624*0+I624*100+J624*300)/(122.58+297.941+89.177+40.302+0+40+160+100+300)</f>
        <v>36.188066000347824</v>
      </c>
      <c r="AC624" s="45">
        <f>(M624*'RAP TEMPLATE-GAS AVAILABILITY'!O623+N624*'RAP TEMPLATE-GAS AVAILABILITY'!P623+O624*'RAP TEMPLATE-GAS AVAILABILITY'!Q623+P624*'RAP TEMPLATE-GAS AVAILABILITY'!R623)/('RAP TEMPLATE-GAS AVAILABILITY'!O623+'RAP TEMPLATE-GAS AVAILABILITY'!P623+'RAP TEMPLATE-GAS AVAILABILITY'!Q623+'RAP TEMPLATE-GAS AVAILABILITY'!R623)</f>
        <v>35.489406474820143</v>
      </c>
    </row>
    <row r="625" spans="1:29" ht="15.75" x14ac:dyDescent="0.25">
      <c r="A625" s="32">
        <v>59932</v>
      </c>
      <c r="B625" s="14">
        <f>CHOOSE(CONTROL!$C$42, 39.1259, 39.1259) * CHOOSE(CONTROL!$C$21, $C$9, 100%, $E$9)</f>
        <v>39.125900000000001</v>
      </c>
      <c r="C625" s="14">
        <f>CHOOSE(CONTROL!$C$42, 39.131, 39.131) * CHOOSE(CONTROL!$C$21, $C$9, 100%, $E$9)</f>
        <v>39.131</v>
      </c>
      <c r="D625" s="14">
        <f>CHOOSE(CONTROL!$C$42, 39.1974, 39.1974) * CHOOSE(CONTROL!$C$21, $C$9, 100%, $E$9)</f>
        <v>39.197400000000002</v>
      </c>
      <c r="E625" s="14">
        <f>CHOOSE(CONTROL!$C$42, 39.2315, 39.2315) * CHOOSE(CONTROL!$C$21, $C$9, 100%, $E$9)</f>
        <v>39.231499999999997</v>
      </c>
      <c r="F625" s="14">
        <f>CHOOSE(CONTROL!$C$42, 39.1132, 39.1132)*CHOOSE(CONTROL!$C$21, $C$9, 100%, $E$9)</f>
        <v>39.113199999999999</v>
      </c>
      <c r="G625" s="14">
        <f>CHOOSE(CONTROL!$C$42, 39.1287, 39.1287)*CHOOSE(CONTROL!$C$21, $C$9, 100%, $E$9)</f>
        <v>39.128700000000002</v>
      </c>
      <c r="H625" s="14">
        <f>CHOOSE(CONTROL!$C$42, 39.2207, 39.2207) * CHOOSE(CONTROL!$C$21, $C$9, 100%, $E$9)</f>
        <v>39.220700000000001</v>
      </c>
      <c r="I625" s="14">
        <f>CHOOSE(CONTROL!$C$42, 39.2561, 39.2561)* CHOOSE(CONTROL!$C$21, $C$9, 100%, $E$9)</f>
        <v>39.256100000000004</v>
      </c>
      <c r="J625" s="14">
        <f>CHOOSE(CONTROL!$C$42, 39.1062, 39.1062)* CHOOSE(CONTROL!$C$21, $C$9, 100%, $E$9)</f>
        <v>39.106200000000001</v>
      </c>
      <c r="K625" s="53">
        <f>CHOOSE(CONTROL!$C$42, 39.2522, 39.2522) * CHOOSE(CONTROL!$C$21, $C$9, 100%, $E$9)</f>
        <v>39.252200000000002</v>
      </c>
      <c r="L625" s="14">
        <f>CHOOSE(CONTROL!$C$42, 39.8077, 39.8077) * CHOOSE(CONTROL!$C$21, $C$9, 100%, $E$9)</f>
        <v>39.807699999999997</v>
      </c>
      <c r="M625" s="14">
        <f>CHOOSE(CONTROL!$C$42, 38.3127, 38.3127) * CHOOSE(CONTROL!$C$21, $C$9, 100%, $E$9)</f>
        <v>38.3127</v>
      </c>
      <c r="N625" s="14">
        <f>CHOOSE(CONTROL!$C$42, 38.3278, 38.3278) * CHOOSE(CONTROL!$C$21, $C$9, 100%, $E$9)</f>
        <v>38.327800000000003</v>
      </c>
      <c r="O625" s="14">
        <f>CHOOSE(CONTROL!$C$42, 38.4248, 38.4248) * CHOOSE(CONTROL!$C$21, $C$9, 100%, $E$9)</f>
        <v>38.424799999999998</v>
      </c>
      <c r="P625" s="14">
        <f>CHOOSE(CONTROL!$C$42, 38.457, 38.457) * CHOOSE(CONTROL!$C$21, $C$9, 100%, $E$9)</f>
        <v>38.457000000000001</v>
      </c>
      <c r="Q625" s="14">
        <f>CHOOSE(CONTROL!$C$42, 39.0195, 39.0195) * CHOOSE(CONTROL!$C$21, $C$9, 100%, $E$9)</f>
        <v>39.019500000000001</v>
      </c>
      <c r="R625" s="14">
        <f>CHOOSE(CONTROL!$C$42, 39.704, 39.704) * CHOOSE(CONTROL!$C$21, $C$9, 100%, $E$9)</f>
        <v>39.704000000000001</v>
      </c>
      <c r="S625" s="14">
        <f>CHOOSE(CONTROL!$C$42, 37.5875, 37.5875) * CHOOSE(CONTROL!$C$21, $C$9, 100%, $E$9)</f>
        <v>37.587499999999999</v>
      </c>
      <c r="T62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25" s="57">
        <f>(1000*CHOOSE(CONTROL!$C$42, 695, 695)*CHOOSE(CONTROL!$C$42, 0.5599, 0.5599)*CHOOSE(CONTROL!$C$42, 31, 31))/1000000</f>
        <v>12.063045499999998</v>
      </c>
      <c r="V625" s="57">
        <f>(1000*CHOOSE(CONTROL!$C$42, 500, 500)*CHOOSE(CONTROL!$C$42, 0.275, 0.275)*CHOOSE(CONTROL!$C$42, 31, 31))/1000000</f>
        <v>4.2625000000000002</v>
      </c>
      <c r="W625" s="57">
        <f>(1000*CHOOSE(CONTROL!$C$42, 0.1146, 0.1146)*CHOOSE(CONTROL!$C$42, 121.5, 121.5)*CHOOSE(CONTROL!$C$42, 31, 31))/1000000</f>
        <v>0.43164089999999994</v>
      </c>
      <c r="X625" s="57">
        <f>(31*0.1790888*100000/1000000)+(31*0.2374*100000/1000000)</f>
        <v>1.2911152800000001</v>
      </c>
      <c r="Y625" s="57"/>
      <c r="Z625" s="14"/>
      <c r="AA625" s="56"/>
      <c r="AB625" s="50">
        <f>(B625*122.58+C625*297.941+D625*89.177+E625*40.302+F625*40+G625*160+H625*0+I625*100+J625*300)/(122.58+297.941+89.177+40.302+0+40+160+100+300)</f>
        <v>39.142596996347827</v>
      </c>
      <c r="AC625" s="45">
        <f>(M625*'RAP TEMPLATE-GAS AVAILABILITY'!O624+N625*'RAP TEMPLATE-GAS AVAILABILITY'!P624+O625*'RAP TEMPLATE-GAS AVAILABILITY'!Q624+P625*'RAP TEMPLATE-GAS AVAILABILITY'!R624)/('RAP TEMPLATE-GAS AVAILABILITY'!O624+'RAP TEMPLATE-GAS AVAILABILITY'!P624+'RAP TEMPLATE-GAS AVAILABILITY'!Q624+'RAP TEMPLATE-GAS AVAILABILITY'!R624)</f>
        <v>38.38513956834533</v>
      </c>
    </row>
    <row r="626" spans="1:29" ht="15.75" x14ac:dyDescent="0.25">
      <c r="A626" s="32">
        <v>59961</v>
      </c>
      <c r="B626" s="14">
        <f>CHOOSE(CONTROL!$C$42, 39.8222, 39.8222) * CHOOSE(CONTROL!$C$21, $C$9, 100%, $E$9)</f>
        <v>39.822200000000002</v>
      </c>
      <c r="C626" s="14">
        <f>CHOOSE(CONTROL!$C$42, 39.8273, 39.8273) * CHOOSE(CONTROL!$C$21, $C$9, 100%, $E$9)</f>
        <v>39.827300000000001</v>
      </c>
      <c r="D626" s="14">
        <f>CHOOSE(CONTROL!$C$42, 39.8937, 39.8937) * CHOOSE(CONTROL!$C$21, $C$9, 100%, $E$9)</f>
        <v>39.893700000000003</v>
      </c>
      <c r="E626" s="14">
        <f>CHOOSE(CONTROL!$C$42, 39.9278, 39.9278) * CHOOSE(CONTROL!$C$21, $C$9, 100%, $E$9)</f>
        <v>39.927799999999998</v>
      </c>
      <c r="F626" s="14">
        <f>CHOOSE(CONTROL!$C$42, 39.8096, 39.8096)*CHOOSE(CONTROL!$C$21, $C$9, 100%, $E$9)</f>
        <v>39.809600000000003</v>
      </c>
      <c r="G626" s="14">
        <f>CHOOSE(CONTROL!$C$42, 39.8251, 39.8251)*CHOOSE(CONTROL!$C$21, $C$9, 100%, $E$9)</f>
        <v>39.825099999999999</v>
      </c>
      <c r="H626" s="14">
        <f>CHOOSE(CONTROL!$C$42, 39.917, 39.917) * CHOOSE(CONTROL!$C$21, $C$9, 100%, $E$9)</f>
        <v>39.917000000000002</v>
      </c>
      <c r="I626" s="14">
        <f>CHOOSE(CONTROL!$C$42, 39.9546, 39.9546)* CHOOSE(CONTROL!$C$21, $C$9, 100%, $E$9)</f>
        <v>39.954599999999999</v>
      </c>
      <c r="J626" s="14">
        <f>CHOOSE(CONTROL!$C$42, 39.8026, 39.8026)* CHOOSE(CONTROL!$C$21, $C$9, 100%, $E$9)</f>
        <v>39.802599999999998</v>
      </c>
      <c r="K626" s="53">
        <f>CHOOSE(CONTROL!$C$42, 39.9507, 39.9507) * CHOOSE(CONTROL!$C$21, $C$9, 100%, $E$9)</f>
        <v>39.950699999999998</v>
      </c>
      <c r="L626" s="14">
        <f>CHOOSE(CONTROL!$C$42, 40.504, 40.504) * CHOOSE(CONTROL!$C$21, $C$9, 100%, $E$9)</f>
        <v>40.503999999999998</v>
      </c>
      <c r="M626" s="14">
        <f>CHOOSE(CONTROL!$C$42, 38.9948, 38.9948) * CHOOSE(CONTROL!$C$21, $C$9, 100%, $E$9)</f>
        <v>38.994799999999998</v>
      </c>
      <c r="N626" s="14">
        <f>CHOOSE(CONTROL!$C$42, 39.01, 39.01) * CHOOSE(CONTROL!$C$21, $C$9, 100%, $E$9)</f>
        <v>39.01</v>
      </c>
      <c r="O626" s="14">
        <f>CHOOSE(CONTROL!$C$42, 39.1068, 39.1068) * CHOOSE(CONTROL!$C$21, $C$9, 100%, $E$9)</f>
        <v>39.1068</v>
      </c>
      <c r="P626" s="14">
        <f>CHOOSE(CONTROL!$C$42, 39.1412, 39.1412) * CHOOSE(CONTROL!$C$21, $C$9, 100%, $E$9)</f>
        <v>39.141199999999998</v>
      </c>
      <c r="Q626" s="14">
        <f>CHOOSE(CONTROL!$C$42, 39.7015, 39.7015) * CHOOSE(CONTROL!$C$21, $C$9, 100%, $E$9)</f>
        <v>39.701500000000003</v>
      </c>
      <c r="R626" s="14">
        <f>CHOOSE(CONTROL!$C$42, 40.3878, 40.3878) * CHOOSE(CONTROL!$C$21, $C$9, 100%, $E$9)</f>
        <v>40.387799999999999</v>
      </c>
      <c r="S626" s="14">
        <f>CHOOSE(CONTROL!$C$42, 38.2566, 38.2566) * CHOOSE(CONTROL!$C$21, $C$9, 100%, $E$9)</f>
        <v>38.256599999999999</v>
      </c>
      <c r="T626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626" s="57">
        <f>(1000*CHOOSE(CONTROL!$C$42, 695, 695)*CHOOSE(CONTROL!$C$42, 0.5599, 0.5599)*CHOOSE(CONTROL!$C$42, 29, 29))/1000000</f>
        <v>11.284784499999999</v>
      </c>
      <c r="V626" s="57">
        <f>(1000*CHOOSE(CONTROL!$C$42, 500, 500)*CHOOSE(CONTROL!$C$42, 0.275, 0.275)*CHOOSE(CONTROL!$C$42, 29, 29))/1000000</f>
        <v>3.9874999999999998</v>
      </c>
      <c r="W626" s="57">
        <f>(1000*CHOOSE(CONTROL!$C$42, 0.1146, 0.1146)*CHOOSE(CONTROL!$C$42, 121.5, 121.5)*CHOOSE(CONTROL!$C$42, 29, 29))/1000000</f>
        <v>0.40379309999999996</v>
      </c>
      <c r="X626" s="57">
        <f>(29*0.1790888*100000/1000000)+(29*0.2374*100000/1000000)</f>
        <v>1.2078175199999999</v>
      </c>
      <c r="Y626" s="57"/>
      <c r="Z626" s="14"/>
      <c r="AA626" s="56"/>
      <c r="AB626" s="50">
        <f>(B626*122.58+C626*297.941+D626*89.177+E626*40.302+F626*40+G626*160+H626*0+I626*100+J626*300)/(122.58+297.941+89.177+40.302+0+40+160+100+300)</f>
        <v>39.839131778956528</v>
      </c>
      <c r="AC626" s="45">
        <f>(M626*'RAP TEMPLATE-GAS AVAILABILITY'!O625+N626*'RAP TEMPLATE-GAS AVAILABILITY'!P625+O626*'RAP TEMPLATE-GAS AVAILABILITY'!Q625+P626*'RAP TEMPLATE-GAS AVAILABILITY'!R625)/('RAP TEMPLATE-GAS AVAILABILITY'!O625+'RAP TEMPLATE-GAS AVAILABILITY'!P625+'RAP TEMPLATE-GAS AVAILABILITY'!Q625+'RAP TEMPLATE-GAS AVAILABILITY'!R625)</f>
        <v>39.067502158273385</v>
      </c>
    </row>
    <row r="627" spans="1:29" ht="15.75" x14ac:dyDescent="0.25">
      <c r="A627" s="32">
        <v>59992</v>
      </c>
      <c r="B627" s="14">
        <f>CHOOSE(CONTROL!$C$42, 38.6919, 38.6919) * CHOOSE(CONTROL!$C$21, $C$9, 100%, $E$9)</f>
        <v>38.691899999999997</v>
      </c>
      <c r="C627" s="14">
        <f>CHOOSE(CONTROL!$C$42, 38.697, 38.697) * CHOOSE(CONTROL!$C$21, $C$9, 100%, $E$9)</f>
        <v>38.697000000000003</v>
      </c>
      <c r="D627" s="14">
        <f>CHOOSE(CONTROL!$C$42, 38.7634, 38.7634) * CHOOSE(CONTROL!$C$21, $C$9, 100%, $E$9)</f>
        <v>38.763399999999997</v>
      </c>
      <c r="E627" s="14">
        <f>CHOOSE(CONTROL!$C$42, 38.7975, 38.7975) * CHOOSE(CONTROL!$C$21, $C$9, 100%, $E$9)</f>
        <v>38.797499999999999</v>
      </c>
      <c r="F627" s="14">
        <f>CHOOSE(CONTROL!$C$42, 38.6789, 38.6789)*CHOOSE(CONTROL!$C$21, $C$9, 100%, $E$9)</f>
        <v>38.678899999999999</v>
      </c>
      <c r="G627" s="14">
        <f>CHOOSE(CONTROL!$C$42, 38.6943, 38.6943)*CHOOSE(CONTROL!$C$21, $C$9, 100%, $E$9)</f>
        <v>38.694299999999998</v>
      </c>
      <c r="H627" s="14">
        <f>CHOOSE(CONTROL!$C$42, 38.7867, 38.7867) * CHOOSE(CONTROL!$C$21, $C$9, 100%, $E$9)</f>
        <v>38.786700000000003</v>
      </c>
      <c r="I627" s="14">
        <f>CHOOSE(CONTROL!$C$42, 38.8207, 38.8207)* CHOOSE(CONTROL!$C$21, $C$9, 100%, $E$9)</f>
        <v>38.820700000000002</v>
      </c>
      <c r="J627" s="14">
        <f>CHOOSE(CONTROL!$C$42, 38.6719, 38.6719)* CHOOSE(CONTROL!$C$21, $C$9, 100%, $E$9)</f>
        <v>38.671900000000001</v>
      </c>
      <c r="K627" s="53">
        <f>CHOOSE(CONTROL!$C$42, 38.8168, 38.8168) * CHOOSE(CONTROL!$C$21, $C$9, 100%, $E$9)</f>
        <v>38.816800000000001</v>
      </c>
      <c r="L627" s="14">
        <f>CHOOSE(CONTROL!$C$42, 39.3737, 39.3737) * CHOOSE(CONTROL!$C$21, $C$9, 100%, $E$9)</f>
        <v>39.373699999999999</v>
      </c>
      <c r="M627" s="14">
        <f>CHOOSE(CONTROL!$C$42, 37.8873, 37.8873) * CHOOSE(CONTROL!$C$21, $C$9, 100%, $E$9)</f>
        <v>37.887300000000003</v>
      </c>
      <c r="N627" s="14">
        <f>CHOOSE(CONTROL!$C$42, 37.9023, 37.9023) * CHOOSE(CONTROL!$C$21, $C$9, 100%, $E$9)</f>
        <v>37.902299999999997</v>
      </c>
      <c r="O627" s="14">
        <f>CHOOSE(CONTROL!$C$42, 37.9997, 37.9997) * CHOOSE(CONTROL!$C$21, $C$9, 100%, $E$9)</f>
        <v>37.999699999999997</v>
      </c>
      <c r="P627" s="14">
        <f>CHOOSE(CONTROL!$C$42, 38.0306, 38.0306) * CHOOSE(CONTROL!$C$21, $C$9, 100%, $E$9)</f>
        <v>38.0306</v>
      </c>
      <c r="Q627" s="14">
        <f>CHOOSE(CONTROL!$C$42, 38.5944, 38.5944) * CHOOSE(CONTROL!$C$21, $C$9, 100%, $E$9)</f>
        <v>38.5944</v>
      </c>
      <c r="R627" s="14">
        <f>CHOOSE(CONTROL!$C$42, 39.2779, 39.2779) * CHOOSE(CONTROL!$C$21, $C$9, 100%, $E$9)</f>
        <v>39.277900000000002</v>
      </c>
      <c r="S627" s="14">
        <f>CHOOSE(CONTROL!$C$42, 37.1705, 37.1705) * CHOOSE(CONTROL!$C$21, $C$9, 100%, $E$9)</f>
        <v>37.170499999999997</v>
      </c>
      <c r="T62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27" s="57">
        <f>(1000*CHOOSE(CONTROL!$C$42, 695, 695)*CHOOSE(CONTROL!$C$42, 0.5599, 0.5599)*CHOOSE(CONTROL!$C$42, 31, 31))/1000000</f>
        <v>12.063045499999998</v>
      </c>
      <c r="V627" s="57">
        <f>(1000*CHOOSE(CONTROL!$C$42, 500, 500)*CHOOSE(CONTROL!$C$42, 0.275, 0.275)*CHOOSE(CONTROL!$C$42, 31, 31))/1000000</f>
        <v>4.2625000000000002</v>
      </c>
      <c r="W627" s="57">
        <f>(1000*CHOOSE(CONTROL!$C$42, 0.1146, 0.1146)*CHOOSE(CONTROL!$C$42, 121.5, 121.5)*CHOOSE(CONTROL!$C$42, 31, 31))/1000000</f>
        <v>0.43164089999999994</v>
      </c>
      <c r="X627" s="57">
        <f>(31*0.1790888*100000/1000000)+(31*0.2374*100000/1000000)</f>
        <v>1.2911152800000001</v>
      </c>
      <c r="Y627" s="57"/>
      <c r="Z627" s="14"/>
      <c r="AA627" s="56"/>
      <c r="AB627" s="50">
        <f>(B627*122.58+C627*297.941+D627*89.177+E627*40.302+F627*40+G627*160+H627*0+I627*100+J627*300)/(122.58+297.941+89.177+40.302+0+40+160+100+300)</f>
        <v>38.7083309093913</v>
      </c>
      <c r="AC627" s="45">
        <f>(M627*'RAP TEMPLATE-GAS AVAILABILITY'!O626+N627*'RAP TEMPLATE-GAS AVAILABILITY'!P626+O627*'RAP TEMPLATE-GAS AVAILABILITY'!Q626+P627*'RAP TEMPLATE-GAS AVAILABILITY'!R626)/('RAP TEMPLATE-GAS AVAILABILITY'!O626+'RAP TEMPLATE-GAS AVAILABILITY'!P626+'RAP TEMPLATE-GAS AVAILABILITY'!Q626+'RAP TEMPLATE-GAS AVAILABILITY'!R626)</f>
        <v>37.959725899280578</v>
      </c>
    </row>
    <row r="628" spans="1:29" ht="15.75" x14ac:dyDescent="0.25">
      <c r="A628" s="32">
        <v>60022</v>
      </c>
      <c r="B628" s="14">
        <f>CHOOSE(CONTROL!$C$42, 38.5773, 38.5773) * CHOOSE(CONTROL!$C$21, $C$9, 100%, $E$9)</f>
        <v>38.577300000000001</v>
      </c>
      <c r="C628" s="14">
        <f>CHOOSE(CONTROL!$C$42, 38.5818, 38.5818) * CHOOSE(CONTROL!$C$21, $C$9, 100%, $E$9)</f>
        <v>38.581800000000001</v>
      </c>
      <c r="D628" s="14">
        <f>CHOOSE(CONTROL!$C$42, 38.7888, 38.7888) * CHOOSE(CONTROL!$C$21, $C$9, 100%, $E$9)</f>
        <v>38.788800000000002</v>
      </c>
      <c r="E628" s="14">
        <f>CHOOSE(CONTROL!$C$42, 38.8209, 38.8209) * CHOOSE(CONTROL!$C$21, $C$9, 100%, $E$9)</f>
        <v>38.820900000000002</v>
      </c>
      <c r="F628" s="14">
        <f>CHOOSE(CONTROL!$C$42, 38.5592, 38.5592)*CHOOSE(CONTROL!$C$21, $C$9, 100%, $E$9)</f>
        <v>38.559199999999997</v>
      </c>
      <c r="G628" s="14">
        <f>CHOOSE(CONTROL!$C$42, 38.5744, 38.5744)*CHOOSE(CONTROL!$C$21, $C$9, 100%, $E$9)</f>
        <v>38.574399999999997</v>
      </c>
      <c r="H628" s="14">
        <f>CHOOSE(CONTROL!$C$42, 38.8107, 38.8107) * CHOOSE(CONTROL!$C$21, $C$9, 100%, $E$9)</f>
        <v>38.810699999999997</v>
      </c>
      <c r="I628" s="14">
        <f>CHOOSE(CONTROL!$C$42, 38.7049, 38.7049)* CHOOSE(CONTROL!$C$21, $C$9, 100%, $E$9)</f>
        <v>38.704900000000002</v>
      </c>
      <c r="J628" s="14">
        <f>CHOOSE(CONTROL!$C$42, 38.5522, 38.5522)* CHOOSE(CONTROL!$C$21, $C$9, 100%, $E$9)</f>
        <v>38.552199999999999</v>
      </c>
      <c r="K628" s="53">
        <f>CHOOSE(CONTROL!$C$42, 38.701, 38.701) * CHOOSE(CONTROL!$C$21, $C$9, 100%, $E$9)</f>
        <v>38.701000000000001</v>
      </c>
      <c r="L628" s="14">
        <f>CHOOSE(CONTROL!$C$42, 39.3977, 39.3977) * CHOOSE(CONTROL!$C$21, $C$9, 100%, $E$9)</f>
        <v>39.3977</v>
      </c>
      <c r="M628" s="14">
        <f>CHOOSE(CONTROL!$C$42, 37.7699, 37.7699) * CHOOSE(CONTROL!$C$21, $C$9, 100%, $E$9)</f>
        <v>37.7699</v>
      </c>
      <c r="N628" s="14">
        <f>CHOOSE(CONTROL!$C$42, 37.7848, 37.7848) * CHOOSE(CONTROL!$C$21, $C$9, 100%, $E$9)</f>
        <v>37.784799999999997</v>
      </c>
      <c r="O628" s="14">
        <f>CHOOSE(CONTROL!$C$42, 38.0232, 38.0232) * CHOOSE(CONTROL!$C$21, $C$9, 100%, $E$9)</f>
        <v>38.023200000000003</v>
      </c>
      <c r="P628" s="14">
        <f>CHOOSE(CONTROL!$C$42, 37.9172, 37.9172) * CHOOSE(CONTROL!$C$21, $C$9, 100%, $E$9)</f>
        <v>37.917200000000001</v>
      </c>
      <c r="Q628" s="14">
        <f>CHOOSE(CONTROL!$C$42, 38.6179, 38.6179) * CHOOSE(CONTROL!$C$21, $C$9, 100%, $E$9)</f>
        <v>38.617899999999999</v>
      </c>
      <c r="R628" s="14">
        <f>CHOOSE(CONTROL!$C$42, 39.3015, 39.3015) * CHOOSE(CONTROL!$C$21, $C$9, 100%, $E$9)</f>
        <v>39.301499999999997</v>
      </c>
      <c r="S628" s="14">
        <f>CHOOSE(CONTROL!$C$42, 37.0596, 37.0596) * CHOOSE(CONTROL!$C$21, $C$9, 100%, $E$9)</f>
        <v>37.059600000000003</v>
      </c>
      <c r="T62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28" s="57">
        <f>(1000*CHOOSE(CONTROL!$C$42, 695, 695)*CHOOSE(CONTROL!$C$42, 0.5599, 0.5599)*CHOOSE(CONTROL!$C$42, 30, 30))/1000000</f>
        <v>11.673914999999997</v>
      </c>
      <c r="V628" s="57">
        <f>(1000*CHOOSE(CONTROL!$C$42, 500, 500)*CHOOSE(CONTROL!$C$42, 0.275, 0.275)*CHOOSE(CONTROL!$C$42, 30, 30))/1000000</f>
        <v>4.125</v>
      </c>
      <c r="W628" s="57">
        <f>(1000*CHOOSE(CONTROL!$C$42, 0.1146, 0.1146)*CHOOSE(CONTROL!$C$42, 121.5, 121.5)*CHOOSE(CONTROL!$C$42, 30, 30))/1000000</f>
        <v>0.417717</v>
      </c>
      <c r="X628" s="57">
        <f>(30*0.1790888*245000/1000000)+(30*0.2374*100000/1000000)</f>
        <v>2.0285026799999999</v>
      </c>
      <c r="Y628" s="57"/>
      <c r="Z628" s="14"/>
      <c r="AA628" s="56"/>
      <c r="AB628" s="50">
        <f>(B628*141.293+C628*267.993+D628*115.016+E628*89.698+F628*40+G628*185+H628*0+I628*100+J628*300)/(141.293+267.993+115.016+89.698+0+40+185+100+300)</f>
        <v>38.618746154398714</v>
      </c>
      <c r="AC628" s="45">
        <f>(M628*'RAP TEMPLATE-GAS AVAILABILITY'!O627+N628*'RAP TEMPLATE-GAS AVAILABILITY'!P627+O628*'RAP TEMPLATE-GAS AVAILABILITY'!Q627+P628*'RAP TEMPLATE-GAS AVAILABILITY'!R627)/('RAP TEMPLATE-GAS AVAILABILITY'!O627+'RAP TEMPLATE-GAS AVAILABILITY'!P627+'RAP TEMPLATE-GAS AVAILABILITY'!Q627+'RAP TEMPLATE-GAS AVAILABILITY'!R627)</f>
        <v>37.906756834532381</v>
      </c>
    </row>
    <row r="629" spans="1:29" ht="15.75" x14ac:dyDescent="0.25">
      <c r="A629" s="32">
        <v>60053</v>
      </c>
      <c r="B629" s="14">
        <f>CHOOSE(CONTROL!$C$42, 38.9191, 38.9191) * CHOOSE(CONTROL!$C$21, $C$9, 100%, $E$9)</f>
        <v>38.9191</v>
      </c>
      <c r="C629" s="14">
        <f>CHOOSE(CONTROL!$C$42, 38.9271, 38.9271) * CHOOSE(CONTROL!$C$21, $C$9, 100%, $E$9)</f>
        <v>38.927100000000003</v>
      </c>
      <c r="D629" s="14">
        <f>CHOOSE(CONTROL!$C$42, 39.131, 39.131) * CHOOSE(CONTROL!$C$21, $C$9, 100%, $E$9)</f>
        <v>39.131</v>
      </c>
      <c r="E629" s="14">
        <f>CHOOSE(CONTROL!$C$42, 39.1625, 39.1625) * CHOOSE(CONTROL!$C$21, $C$9, 100%, $E$9)</f>
        <v>39.162500000000001</v>
      </c>
      <c r="F629" s="14">
        <f>CHOOSE(CONTROL!$C$42, 38.8998, 38.8998)*CHOOSE(CONTROL!$C$21, $C$9, 100%, $E$9)</f>
        <v>38.899799999999999</v>
      </c>
      <c r="G629" s="14">
        <f>CHOOSE(CONTROL!$C$42, 38.9155, 38.9155)*CHOOSE(CONTROL!$C$21, $C$9, 100%, $E$9)</f>
        <v>38.915500000000002</v>
      </c>
      <c r="H629" s="14">
        <f>CHOOSE(CONTROL!$C$42, 39.1511, 39.1511) * CHOOSE(CONTROL!$C$21, $C$9, 100%, $E$9)</f>
        <v>39.1511</v>
      </c>
      <c r="I629" s="14">
        <f>CHOOSE(CONTROL!$C$42, 39.0464, 39.0464)* CHOOSE(CONTROL!$C$21, $C$9, 100%, $E$9)</f>
        <v>39.046399999999998</v>
      </c>
      <c r="J629" s="14">
        <f>CHOOSE(CONTROL!$C$42, 38.8928, 38.8928)* CHOOSE(CONTROL!$C$21, $C$9, 100%, $E$9)</f>
        <v>38.892800000000001</v>
      </c>
      <c r="K629" s="53">
        <f>CHOOSE(CONTROL!$C$42, 39.0425, 39.0425) * CHOOSE(CONTROL!$C$21, $C$9, 100%, $E$9)</f>
        <v>39.042499999999997</v>
      </c>
      <c r="L629" s="14">
        <f>CHOOSE(CONTROL!$C$42, 39.7381, 39.7381) * CHOOSE(CONTROL!$C$21, $C$9, 100%, $E$9)</f>
        <v>39.738100000000003</v>
      </c>
      <c r="M629" s="14">
        <f>CHOOSE(CONTROL!$C$42, 38.1036, 38.1036) * CHOOSE(CONTROL!$C$21, $C$9, 100%, $E$9)</f>
        <v>38.1036</v>
      </c>
      <c r="N629" s="14">
        <f>CHOOSE(CONTROL!$C$42, 38.119, 38.119) * CHOOSE(CONTROL!$C$21, $C$9, 100%, $E$9)</f>
        <v>38.119</v>
      </c>
      <c r="O629" s="14">
        <f>CHOOSE(CONTROL!$C$42, 38.3566, 38.3566) * CHOOSE(CONTROL!$C$21, $C$9, 100%, $E$9)</f>
        <v>38.3566</v>
      </c>
      <c r="P629" s="14">
        <f>CHOOSE(CONTROL!$C$42, 38.2517, 38.2517) * CHOOSE(CONTROL!$C$21, $C$9, 100%, $E$9)</f>
        <v>38.2517</v>
      </c>
      <c r="Q629" s="14">
        <f>CHOOSE(CONTROL!$C$42, 38.9513, 38.9513) * CHOOSE(CONTROL!$C$21, $C$9, 100%, $E$9)</f>
        <v>38.951300000000003</v>
      </c>
      <c r="R629" s="14">
        <f>CHOOSE(CONTROL!$C$42, 39.6357, 39.6357) * CHOOSE(CONTROL!$C$21, $C$9, 100%, $E$9)</f>
        <v>39.6357</v>
      </c>
      <c r="S629" s="14">
        <f>CHOOSE(CONTROL!$C$42, 37.3867, 37.3867) * CHOOSE(CONTROL!$C$21, $C$9, 100%, $E$9)</f>
        <v>37.386699999999998</v>
      </c>
      <c r="T62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29" s="57">
        <f>(1000*CHOOSE(CONTROL!$C$42, 695, 695)*CHOOSE(CONTROL!$C$42, 0.5599, 0.5599)*CHOOSE(CONTROL!$C$42, 31, 31))/1000000</f>
        <v>12.063045499999998</v>
      </c>
      <c r="V629" s="57">
        <f>(1000*CHOOSE(CONTROL!$C$42, 500, 500)*CHOOSE(CONTROL!$C$42, 0.275, 0.275)*CHOOSE(CONTROL!$C$42, 31, 31))/1000000</f>
        <v>4.2625000000000002</v>
      </c>
      <c r="W629" s="57">
        <f>(1000*CHOOSE(CONTROL!$C$42, 0.1146, 0.1146)*CHOOSE(CONTROL!$C$42, 121.5, 121.5)*CHOOSE(CONTROL!$C$42, 31, 31))/1000000</f>
        <v>0.43164089999999994</v>
      </c>
      <c r="X629" s="57">
        <f>(31*0.1790888*245000/1000000)+(31*0.2374*100000/1000000)</f>
        <v>2.0961194359999999</v>
      </c>
      <c r="Y629" s="57"/>
      <c r="Z629" s="14"/>
      <c r="AA629" s="56"/>
      <c r="AB629" s="50">
        <f>(B629*194.205+C629*267.466+D629*133.845+E629*53.484+F629*40+G629*185+H629*0+I629*100+J629*300)/(194.205+267.466+133.845+53.484+0+40+185+100+300)</f>
        <v>38.955930054238614</v>
      </c>
      <c r="AC629" s="45">
        <f>(M629*'RAP TEMPLATE-GAS AVAILABILITY'!O628+N629*'RAP TEMPLATE-GAS AVAILABILITY'!P628+O629*'RAP TEMPLATE-GAS AVAILABILITY'!Q628+P629*'RAP TEMPLATE-GAS AVAILABILITY'!R628)/('RAP TEMPLATE-GAS AVAILABILITY'!O628+'RAP TEMPLATE-GAS AVAILABILITY'!P628+'RAP TEMPLATE-GAS AVAILABILITY'!Q628+'RAP TEMPLATE-GAS AVAILABILITY'!R628)</f>
        <v>38.24046474820144</v>
      </c>
    </row>
    <row r="630" spans="1:29" ht="15.75" x14ac:dyDescent="0.25">
      <c r="A630" s="32">
        <v>60083</v>
      </c>
      <c r="B630" s="14">
        <f>CHOOSE(CONTROL!$C$42, 40.0227, 40.0227) * CHOOSE(CONTROL!$C$21, $C$9, 100%, $E$9)</f>
        <v>40.0227</v>
      </c>
      <c r="C630" s="14">
        <f>CHOOSE(CONTROL!$C$42, 40.0307, 40.0307) * CHOOSE(CONTROL!$C$21, $C$9, 100%, $E$9)</f>
        <v>40.030700000000003</v>
      </c>
      <c r="D630" s="14">
        <f>CHOOSE(CONTROL!$C$42, 40.2347, 40.2347) * CHOOSE(CONTROL!$C$21, $C$9, 100%, $E$9)</f>
        <v>40.234699999999997</v>
      </c>
      <c r="E630" s="14">
        <f>CHOOSE(CONTROL!$C$42, 40.2661, 40.2661) * CHOOSE(CONTROL!$C$21, $C$9, 100%, $E$9)</f>
        <v>40.266100000000002</v>
      </c>
      <c r="F630" s="14">
        <f>CHOOSE(CONTROL!$C$42, 40.0039, 40.0039)*CHOOSE(CONTROL!$C$21, $C$9, 100%, $E$9)</f>
        <v>40.003900000000002</v>
      </c>
      <c r="G630" s="14">
        <f>CHOOSE(CONTROL!$C$42, 40.0197, 40.0197)*CHOOSE(CONTROL!$C$21, $C$9, 100%, $E$9)</f>
        <v>40.0197</v>
      </c>
      <c r="H630" s="14">
        <f>CHOOSE(CONTROL!$C$42, 40.2548, 40.2548) * CHOOSE(CONTROL!$C$21, $C$9, 100%, $E$9)</f>
        <v>40.254800000000003</v>
      </c>
      <c r="I630" s="14">
        <f>CHOOSE(CONTROL!$C$42, 40.1535, 40.1535)* CHOOSE(CONTROL!$C$21, $C$9, 100%, $E$9)</f>
        <v>40.153500000000001</v>
      </c>
      <c r="J630" s="14">
        <f>CHOOSE(CONTROL!$C$42, 39.9969, 39.9969)* CHOOSE(CONTROL!$C$21, $C$9, 100%, $E$9)</f>
        <v>39.996899999999997</v>
      </c>
      <c r="K630" s="53">
        <f>CHOOSE(CONTROL!$C$42, 40.1496, 40.1496) * CHOOSE(CONTROL!$C$21, $C$9, 100%, $E$9)</f>
        <v>40.1496</v>
      </c>
      <c r="L630" s="14">
        <f>CHOOSE(CONTROL!$C$42, 40.8418, 40.8418) * CHOOSE(CONTROL!$C$21, $C$9, 100%, $E$9)</f>
        <v>40.841799999999999</v>
      </c>
      <c r="M630" s="14">
        <f>CHOOSE(CONTROL!$C$42, 39.1851, 39.1851) * CHOOSE(CONTROL!$C$21, $C$9, 100%, $E$9)</f>
        <v>39.185099999999998</v>
      </c>
      <c r="N630" s="14">
        <f>CHOOSE(CONTROL!$C$42, 39.2005, 39.2005) * CHOOSE(CONTROL!$C$21, $C$9, 100%, $E$9)</f>
        <v>39.200499999999998</v>
      </c>
      <c r="O630" s="14">
        <f>CHOOSE(CONTROL!$C$42, 39.4377, 39.4377) * CHOOSE(CONTROL!$C$21, $C$9, 100%, $E$9)</f>
        <v>39.4377</v>
      </c>
      <c r="P630" s="14">
        <f>CHOOSE(CONTROL!$C$42, 39.336, 39.336) * CHOOSE(CONTROL!$C$21, $C$9, 100%, $E$9)</f>
        <v>39.335999999999999</v>
      </c>
      <c r="Q630" s="14">
        <f>CHOOSE(CONTROL!$C$42, 40.0324, 40.0324) * CHOOSE(CONTROL!$C$21, $C$9, 100%, $E$9)</f>
        <v>40.032400000000003</v>
      </c>
      <c r="R630" s="14">
        <f>CHOOSE(CONTROL!$C$42, 40.7195, 40.7195) * CHOOSE(CONTROL!$C$21, $C$9, 100%, $E$9)</f>
        <v>40.719499999999996</v>
      </c>
      <c r="S630" s="14">
        <f>CHOOSE(CONTROL!$C$42, 38.4472, 38.4472) * CHOOSE(CONTROL!$C$21, $C$9, 100%, $E$9)</f>
        <v>38.447200000000002</v>
      </c>
      <c r="T63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30" s="57">
        <f>(1000*CHOOSE(CONTROL!$C$42, 695, 695)*CHOOSE(CONTROL!$C$42, 0.5599, 0.5599)*CHOOSE(CONTROL!$C$42, 30, 30))/1000000</f>
        <v>11.673914999999997</v>
      </c>
      <c r="V630" s="57">
        <f>(1000*CHOOSE(CONTROL!$C$42, 500, 500)*CHOOSE(CONTROL!$C$42, 0.275, 0.275)*CHOOSE(CONTROL!$C$42, 30, 30))/1000000</f>
        <v>4.125</v>
      </c>
      <c r="W630" s="57">
        <f>(1000*CHOOSE(CONTROL!$C$42, 0.1146, 0.1146)*CHOOSE(CONTROL!$C$42, 121.5, 121.5)*CHOOSE(CONTROL!$C$42, 30, 30))/1000000</f>
        <v>0.417717</v>
      </c>
      <c r="X630" s="57">
        <f>(30*0.1790888*245000/1000000)+(30*0.2374*100000/1000000)</f>
        <v>2.0285026799999999</v>
      </c>
      <c r="Y630" s="57"/>
      <c r="Z630" s="14"/>
      <c r="AA630" s="56"/>
      <c r="AB630" s="50">
        <f>(B630*194.205+C630*267.466+D630*133.845+E630*53.484+F630*40+G630*185+H630*0+I630*100+J630*300)/(194.205+267.466+133.845+53.484+0+40+185+100+300)</f>
        <v>40.060035850549454</v>
      </c>
      <c r="AC630" s="45">
        <f>(M630*'RAP TEMPLATE-GAS AVAILABILITY'!O629+N630*'RAP TEMPLATE-GAS AVAILABILITY'!P629+O630*'RAP TEMPLATE-GAS AVAILABILITY'!Q629+P630*'RAP TEMPLATE-GAS AVAILABILITY'!R629)/('RAP TEMPLATE-GAS AVAILABILITY'!O629+'RAP TEMPLATE-GAS AVAILABILITY'!P629+'RAP TEMPLATE-GAS AVAILABILITY'!Q629+'RAP TEMPLATE-GAS AVAILABILITY'!R629)</f>
        <v>39.322186330935246</v>
      </c>
    </row>
    <row r="631" spans="1:29" ht="15.75" x14ac:dyDescent="0.25">
      <c r="A631" s="32">
        <v>60114</v>
      </c>
      <c r="B631" s="14">
        <f>CHOOSE(CONTROL!$C$42, 39.2551, 39.2551) * CHOOSE(CONTROL!$C$21, $C$9, 100%, $E$9)</f>
        <v>39.255099999999999</v>
      </c>
      <c r="C631" s="14">
        <f>CHOOSE(CONTROL!$C$42, 39.2632, 39.2632) * CHOOSE(CONTROL!$C$21, $C$9, 100%, $E$9)</f>
        <v>39.263199999999998</v>
      </c>
      <c r="D631" s="14">
        <f>CHOOSE(CONTROL!$C$42, 39.4671, 39.4671) * CHOOSE(CONTROL!$C$21, $C$9, 100%, $E$9)</f>
        <v>39.467100000000002</v>
      </c>
      <c r="E631" s="14">
        <f>CHOOSE(CONTROL!$C$42, 39.4985, 39.4985) * CHOOSE(CONTROL!$C$21, $C$9, 100%, $E$9)</f>
        <v>39.4985</v>
      </c>
      <c r="F631" s="14">
        <f>CHOOSE(CONTROL!$C$42, 39.2367, 39.2367)*CHOOSE(CONTROL!$C$21, $C$9, 100%, $E$9)</f>
        <v>39.236699999999999</v>
      </c>
      <c r="G631" s="14">
        <f>CHOOSE(CONTROL!$C$42, 39.2526, 39.2526)*CHOOSE(CONTROL!$C$21, $C$9, 100%, $E$9)</f>
        <v>39.252600000000001</v>
      </c>
      <c r="H631" s="14">
        <f>CHOOSE(CONTROL!$C$42, 39.4872, 39.4872) * CHOOSE(CONTROL!$C$21, $C$9, 100%, $E$9)</f>
        <v>39.487200000000001</v>
      </c>
      <c r="I631" s="14">
        <f>CHOOSE(CONTROL!$C$42, 39.3835, 39.3835)* CHOOSE(CONTROL!$C$21, $C$9, 100%, $E$9)</f>
        <v>39.383499999999998</v>
      </c>
      <c r="J631" s="14">
        <f>CHOOSE(CONTROL!$C$42, 39.2297, 39.2297)* CHOOSE(CONTROL!$C$21, $C$9, 100%, $E$9)</f>
        <v>39.229700000000001</v>
      </c>
      <c r="K631" s="53">
        <f>CHOOSE(CONTROL!$C$42, 39.3796, 39.3796) * CHOOSE(CONTROL!$C$21, $C$9, 100%, $E$9)</f>
        <v>39.379600000000003</v>
      </c>
      <c r="L631" s="14">
        <f>CHOOSE(CONTROL!$C$42, 40.0742, 40.0742) * CHOOSE(CONTROL!$C$21, $C$9, 100%, $E$9)</f>
        <v>40.074199999999998</v>
      </c>
      <c r="M631" s="14">
        <f>CHOOSE(CONTROL!$C$42, 38.4336, 38.4336) * CHOOSE(CONTROL!$C$21, $C$9, 100%, $E$9)</f>
        <v>38.433599999999998</v>
      </c>
      <c r="N631" s="14">
        <f>CHOOSE(CONTROL!$C$42, 38.4492, 38.4492) * CHOOSE(CONTROL!$C$21, $C$9, 100%, $E$9)</f>
        <v>38.449199999999998</v>
      </c>
      <c r="O631" s="14">
        <f>CHOOSE(CONTROL!$C$42, 38.6858, 38.6858) * CHOOSE(CONTROL!$C$21, $C$9, 100%, $E$9)</f>
        <v>38.6858</v>
      </c>
      <c r="P631" s="14">
        <f>CHOOSE(CONTROL!$C$42, 38.5819, 38.5819) * CHOOSE(CONTROL!$C$21, $C$9, 100%, $E$9)</f>
        <v>38.581899999999997</v>
      </c>
      <c r="Q631" s="14">
        <f>CHOOSE(CONTROL!$C$42, 39.2805, 39.2805) * CHOOSE(CONTROL!$C$21, $C$9, 100%, $E$9)</f>
        <v>39.280500000000004</v>
      </c>
      <c r="R631" s="14">
        <f>CHOOSE(CONTROL!$C$42, 39.9657, 39.9657) * CHOOSE(CONTROL!$C$21, $C$9, 100%, $E$9)</f>
        <v>39.965699999999998</v>
      </c>
      <c r="S631" s="14">
        <f>CHOOSE(CONTROL!$C$42, 37.7096, 37.7096) * CHOOSE(CONTROL!$C$21, $C$9, 100%, $E$9)</f>
        <v>37.709600000000002</v>
      </c>
      <c r="T63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31" s="57">
        <f>(1000*CHOOSE(CONTROL!$C$42, 695, 695)*CHOOSE(CONTROL!$C$42, 0.5599, 0.5599)*CHOOSE(CONTROL!$C$42, 31, 31))/1000000</f>
        <v>12.063045499999998</v>
      </c>
      <c r="V631" s="57">
        <f>(1000*CHOOSE(CONTROL!$C$42, 500, 500)*CHOOSE(CONTROL!$C$42, 0.275, 0.275)*CHOOSE(CONTROL!$C$42, 31, 31))/1000000</f>
        <v>4.2625000000000002</v>
      </c>
      <c r="W631" s="57">
        <f>(1000*CHOOSE(CONTROL!$C$42, 0.1146, 0.1146)*CHOOSE(CONTROL!$C$42, 121.5, 121.5)*CHOOSE(CONTROL!$C$42, 31, 31))/1000000</f>
        <v>0.43164089999999994</v>
      </c>
      <c r="X631" s="57">
        <f>(31*0.1790888*245000/1000000)+(31*0.2374*100000/1000000)</f>
        <v>2.0961194359999999</v>
      </c>
      <c r="Y631" s="57"/>
      <c r="Z631" s="14"/>
      <c r="AA631" s="56"/>
      <c r="AB631" s="50">
        <f>(B631*194.205+C631*267.466+D631*133.845+E631*53.484+F631*40+G631*185+H631*0+I631*100+J631*300)/(194.205+267.466+133.845+53.484+0+40+185+100+300)</f>
        <v>39.292447818053375</v>
      </c>
      <c r="AC631" s="45">
        <f>(M631*'RAP TEMPLATE-GAS AVAILABILITY'!O630+N631*'RAP TEMPLATE-GAS AVAILABILITY'!P630+O631*'RAP TEMPLATE-GAS AVAILABILITY'!Q630+P631*'RAP TEMPLATE-GAS AVAILABILITY'!R630)/('RAP TEMPLATE-GAS AVAILABILITY'!O630+'RAP TEMPLATE-GAS AVAILABILITY'!P630+'RAP TEMPLATE-GAS AVAILABILITY'!Q630+'RAP TEMPLATE-GAS AVAILABILITY'!R630)</f>
        <v>38.570142446043164</v>
      </c>
    </row>
    <row r="632" spans="1:29" ht="15.75" x14ac:dyDescent="0.25">
      <c r="A632" s="32">
        <v>60145</v>
      </c>
      <c r="B632" s="14">
        <f>CHOOSE(CONTROL!$C$42, 37.3167, 37.3167) * CHOOSE(CONTROL!$C$21, $C$9, 100%, $E$9)</f>
        <v>37.316699999999997</v>
      </c>
      <c r="C632" s="14">
        <f>CHOOSE(CONTROL!$C$42, 37.3247, 37.3247) * CHOOSE(CONTROL!$C$21, $C$9, 100%, $E$9)</f>
        <v>37.3247</v>
      </c>
      <c r="D632" s="14">
        <f>CHOOSE(CONTROL!$C$42, 37.5287, 37.5287) * CHOOSE(CONTROL!$C$21, $C$9, 100%, $E$9)</f>
        <v>37.528700000000001</v>
      </c>
      <c r="E632" s="14">
        <f>CHOOSE(CONTROL!$C$42, 37.5601, 37.5601) * CHOOSE(CONTROL!$C$21, $C$9, 100%, $E$9)</f>
        <v>37.560099999999998</v>
      </c>
      <c r="F632" s="14">
        <f>CHOOSE(CONTROL!$C$42, 37.2986, 37.2986)*CHOOSE(CONTROL!$C$21, $C$9, 100%, $E$9)</f>
        <v>37.2986</v>
      </c>
      <c r="G632" s="14">
        <f>CHOOSE(CONTROL!$C$42, 37.3145, 37.3145)*CHOOSE(CONTROL!$C$21, $C$9, 100%, $E$9)</f>
        <v>37.314500000000002</v>
      </c>
      <c r="H632" s="14">
        <f>CHOOSE(CONTROL!$C$42, 37.5488, 37.5488) * CHOOSE(CONTROL!$C$21, $C$9, 100%, $E$9)</f>
        <v>37.5488</v>
      </c>
      <c r="I632" s="14">
        <f>CHOOSE(CONTROL!$C$42, 37.439, 37.439)* CHOOSE(CONTROL!$C$21, $C$9, 100%, $E$9)</f>
        <v>37.439</v>
      </c>
      <c r="J632" s="14">
        <f>CHOOSE(CONTROL!$C$42, 37.2916, 37.2916)* CHOOSE(CONTROL!$C$21, $C$9, 100%, $E$9)</f>
        <v>37.291600000000003</v>
      </c>
      <c r="K632" s="53">
        <f>CHOOSE(CONTROL!$C$42, 37.4351, 37.4351) * CHOOSE(CONTROL!$C$21, $C$9, 100%, $E$9)</f>
        <v>37.435099999999998</v>
      </c>
      <c r="L632" s="14">
        <f>CHOOSE(CONTROL!$C$42, 38.1358, 38.1358) * CHOOSE(CONTROL!$C$21, $C$9, 100%, $E$9)</f>
        <v>38.135800000000003</v>
      </c>
      <c r="M632" s="14">
        <f>CHOOSE(CONTROL!$C$42, 36.5352, 36.5352) * CHOOSE(CONTROL!$C$21, $C$9, 100%, $E$9)</f>
        <v>36.535200000000003</v>
      </c>
      <c r="N632" s="14">
        <f>CHOOSE(CONTROL!$C$42, 36.5508, 36.5508) * CHOOSE(CONTROL!$C$21, $C$9, 100%, $E$9)</f>
        <v>36.550800000000002</v>
      </c>
      <c r="O632" s="14">
        <f>CHOOSE(CONTROL!$C$42, 36.7871, 36.7871) * CHOOSE(CONTROL!$C$21, $C$9, 100%, $E$9)</f>
        <v>36.787100000000002</v>
      </c>
      <c r="P632" s="14">
        <f>CHOOSE(CONTROL!$C$42, 36.6773, 36.6773) * CHOOSE(CONTROL!$C$21, $C$9, 100%, $E$9)</f>
        <v>36.677300000000002</v>
      </c>
      <c r="Q632" s="14">
        <f>CHOOSE(CONTROL!$C$42, 37.3818, 37.3818) * CHOOSE(CONTROL!$C$21, $C$9, 100%, $E$9)</f>
        <v>37.381799999999998</v>
      </c>
      <c r="R632" s="14">
        <f>CHOOSE(CONTROL!$C$42, 38.0623, 38.0623) * CHOOSE(CONTROL!$C$21, $C$9, 100%, $E$9)</f>
        <v>38.0623</v>
      </c>
      <c r="S632" s="14">
        <f>CHOOSE(CONTROL!$C$42, 35.847, 35.847) * CHOOSE(CONTROL!$C$21, $C$9, 100%, $E$9)</f>
        <v>35.847000000000001</v>
      </c>
      <c r="T63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32" s="57">
        <f>(1000*CHOOSE(CONTROL!$C$42, 695, 695)*CHOOSE(CONTROL!$C$42, 0.5599, 0.5599)*CHOOSE(CONTROL!$C$42, 31, 31))/1000000</f>
        <v>12.063045499999998</v>
      </c>
      <c r="V632" s="57">
        <f>(1000*CHOOSE(CONTROL!$C$42, 500, 500)*CHOOSE(CONTROL!$C$42, 0.275, 0.275)*CHOOSE(CONTROL!$C$42, 31, 31))/1000000</f>
        <v>4.2625000000000002</v>
      </c>
      <c r="W632" s="57">
        <f>(1000*CHOOSE(CONTROL!$C$42, 0.1146, 0.1146)*CHOOSE(CONTROL!$C$42, 121.5, 121.5)*CHOOSE(CONTROL!$C$42, 31, 31))/1000000</f>
        <v>0.43164089999999994</v>
      </c>
      <c r="X632" s="57">
        <f>(31*0.1790888*245000/1000000)+(31*0.2374*100000/1000000)</f>
        <v>2.0961194359999999</v>
      </c>
      <c r="Y632" s="57"/>
      <c r="Z632" s="14"/>
      <c r="AA632" s="56"/>
      <c r="AB632" s="50">
        <f>(B632*194.205+C632*267.466+D632*133.845+E632*53.484+F632*40+G632*185+H632*0+I632*100+J632*300)/(194.205+267.466+133.845+53.484+0+40+185+100+300)</f>
        <v>37.353671643328106</v>
      </c>
      <c r="AC632" s="45">
        <f>(M632*'RAP TEMPLATE-GAS AVAILABILITY'!O631+N632*'RAP TEMPLATE-GAS AVAILABILITY'!P631+O632*'RAP TEMPLATE-GAS AVAILABILITY'!Q631+P632*'RAP TEMPLATE-GAS AVAILABILITY'!R631)/('RAP TEMPLATE-GAS AVAILABILITY'!O631+'RAP TEMPLATE-GAS AVAILABILITY'!P631+'RAP TEMPLATE-GAS AVAILABILITY'!Q631+'RAP TEMPLATE-GAS AVAILABILITY'!R631)</f>
        <v>36.670714388489209</v>
      </c>
    </row>
    <row r="633" spans="1:29" ht="15.75" x14ac:dyDescent="0.25">
      <c r="A633" s="32">
        <v>60175</v>
      </c>
      <c r="B633" s="14">
        <f>CHOOSE(CONTROL!$C$42, 34.9479, 34.9479) * CHOOSE(CONTROL!$C$21, $C$9, 100%, $E$9)</f>
        <v>34.947899999999997</v>
      </c>
      <c r="C633" s="14">
        <f>CHOOSE(CONTROL!$C$42, 34.956, 34.956) * CHOOSE(CONTROL!$C$21, $C$9, 100%, $E$9)</f>
        <v>34.956000000000003</v>
      </c>
      <c r="D633" s="14">
        <f>CHOOSE(CONTROL!$C$42, 35.1599, 35.1599) * CHOOSE(CONTROL!$C$21, $C$9, 100%, $E$9)</f>
        <v>35.1599</v>
      </c>
      <c r="E633" s="14">
        <f>CHOOSE(CONTROL!$C$42, 35.1914, 35.1914) * CHOOSE(CONTROL!$C$21, $C$9, 100%, $E$9)</f>
        <v>35.191400000000002</v>
      </c>
      <c r="F633" s="14">
        <f>CHOOSE(CONTROL!$C$42, 34.9298, 34.9298)*CHOOSE(CONTROL!$C$21, $C$9, 100%, $E$9)</f>
        <v>34.9298</v>
      </c>
      <c r="G633" s="14">
        <f>CHOOSE(CONTROL!$C$42, 34.9458, 34.9458)*CHOOSE(CONTROL!$C$21, $C$9, 100%, $E$9)</f>
        <v>34.945799999999998</v>
      </c>
      <c r="H633" s="14">
        <f>CHOOSE(CONTROL!$C$42, 35.18, 35.18) * CHOOSE(CONTROL!$C$21, $C$9, 100%, $E$9)</f>
        <v>35.18</v>
      </c>
      <c r="I633" s="14">
        <f>CHOOSE(CONTROL!$C$42, 35.0628, 35.0628)* CHOOSE(CONTROL!$C$21, $C$9, 100%, $E$9)</f>
        <v>35.062800000000003</v>
      </c>
      <c r="J633" s="14">
        <f>CHOOSE(CONTROL!$C$42, 34.9228, 34.9228)* CHOOSE(CONTROL!$C$21, $C$9, 100%, $E$9)</f>
        <v>34.922800000000002</v>
      </c>
      <c r="K633" s="53">
        <f>CHOOSE(CONTROL!$C$42, 35.0589, 35.0589) * CHOOSE(CONTROL!$C$21, $C$9, 100%, $E$9)</f>
        <v>35.058900000000001</v>
      </c>
      <c r="L633" s="14">
        <f>CHOOSE(CONTROL!$C$42, 35.767, 35.767) * CHOOSE(CONTROL!$C$21, $C$9, 100%, $E$9)</f>
        <v>35.767000000000003</v>
      </c>
      <c r="M633" s="14">
        <f>CHOOSE(CONTROL!$C$42, 34.215, 34.215) * CHOOSE(CONTROL!$C$21, $C$9, 100%, $E$9)</f>
        <v>34.215000000000003</v>
      </c>
      <c r="N633" s="14">
        <f>CHOOSE(CONTROL!$C$42, 34.2306, 34.2306) * CHOOSE(CONTROL!$C$21, $C$9, 100%, $E$9)</f>
        <v>34.230600000000003</v>
      </c>
      <c r="O633" s="14">
        <f>CHOOSE(CONTROL!$C$42, 34.4669, 34.4669) * CHOOSE(CONTROL!$C$21, $C$9, 100%, $E$9)</f>
        <v>34.466900000000003</v>
      </c>
      <c r="P633" s="14">
        <f>CHOOSE(CONTROL!$C$42, 34.35, 34.35) * CHOOSE(CONTROL!$C$21, $C$9, 100%, $E$9)</f>
        <v>34.35</v>
      </c>
      <c r="Q633" s="14">
        <f>CHOOSE(CONTROL!$C$42, 35.0616, 35.0616) * CHOOSE(CONTROL!$C$21, $C$9, 100%, $E$9)</f>
        <v>35.061599999999999</v>
      </c>
      <c r="R633" s="14">
        <f>CHOOSE(CONTROL!$C$42, 35.7362, 35.7362) * CHOOSE(CONTROL!$C$21, $C$9, 100%, $E$9)</f>
        <v>35.736199999999997</v>
      </c>
      <c r="S633" s="14">
        <f>CHOOSE(CONTROL!$C$42, 33.5708, 33.5708) * CHOOSE(CONTROL!$C$21, $C$9, 100%, $E$9)</f>
        <v>33.570799999999998</v>
      </c>
      <c r="T63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33" s="57">
        <f>(1000*CHOOSE(CONTROL!$C$42, 695, 695)*CHOOSE(CONTROL!$C$42, 0.5599, 0.5599)*CHOOSE(CONTROL!$C$42, 30, 30))/1000000</f>
        <v>11.673914999999997</v>
      </c>
      <c r="V633" s="57">
        <f>(1000*CHOOSE(CONTROL!$C$42, 500, 500)*CHOOSE(CONTROL!$C$42, 0.275, 0.275)*CHOOSE(CONTROL!$C$42, 30, 30))/1000000</f>
        <v>4.125</v>
      </c>
      <c r="W633" s="57">
        <f>(1000*CHOOSE(CONTROL!$C$42, 0.1146, 0.1146)*CHOOSE(CONTROL!$C$42, 121.5, 121.5)*CHOOSE(CONTROL!$C$42, 30, 30))/1000000</f>
        <v>0.417717</v>
      </c>
      <c r="X633" s="57">
        <f>(30*0.1790888*245000/1000000)+(30*0.2374*100000/1000000)</f>
        <v>2.0285026799999999</v>
      </c>
      <c r="Y633" s="57"/>
      <c r="Z633" s="14"/>
      <c r="AA633" s="56"/>
      <c r="AB633" s="50">
        <f>(B633*194.205+C633*267.466+D633*133.845+E633*53.484+F633*40+G633*185+H633*0+I633*100+J633*300)/(194.205+267.466+133.845+53.484+0+40+185+100+300)</f>
        <v>34.984330509105177</v>
      </c>
      <c r="AC633" s="45">
        <f>(M633*'RAP TEMPLATE-GAS AVAILABILITY'!O632+N633*'RAP TEMPLATE-GAS AVAILABILITY'!P632+O633*'RAP TEMPLATE-GAS AVAILABILITY'!Q632+P633*'RAP TEMPLATE-GAS AVAILABILITY'!R632)/('RAP TEMPLATE-GAS AVAILABILITY'!O632+'RAP TEMPLATE-GAS AVAILABILITY'!P632+'RAP TEMPLATE-GAS AVAILABILITY'!Q632+'RAP TEMPLATE-GAS AVAILABILITY'!R632)</f>
        <v>34.349492805755396</v>
      </c>
    </row>
    <row r="634" spans="1:29" ht="15.75" x14ac:dyDescent="0.25">
      <c r="A634" s="32">
        <v>60206</v>
      </c>
      <c r="B634" s="14">
        <f>CHOOSE(CONTROL!$C$42, 34.2368, 34.2368) * CHOOSE(CONTROL!$C$21, $C$9, 100%, $E$9)</f>
        <v>34.236800000000002</v>
      </c>
      <c r="C634" s="14">
        <f>CHOOSE(CONTROL!$C$42, 34.2421, 34.2421) * CHOOSE(CONTROL!$C$21, $C$9, 100%, $E$9)</f>
        <v>34.242100000000001</v>
      </c>
      <c r="D634" s="14">
        <f>CHOOSE(CONTROL!$C$42, 34.4511, 34.4511) * CHOOSE(CONTROL!$C$21, $C$9, 100%, $E$9)</f>
        <v>34.451099999999997</v>
      </c>
      <c r="E634" s="14">
        <f>CHOOSE(CONTROL!$C$42, 34.4802, 34.4802) * CHOOSE(CONTROL!$C$21, $C$9, 100%, $E$9)</f>
        <v>34.480200000000004</v>
      </c>
      <c r="F634" s="14">
        <f>CHOOSE(CONTROL!$C$42, 34.2208, 34.2208)*CHOOSE(CONTROL!$C$21, $C$9, 100%, $E$9)</f>
        <v>34.220799999999997</v>
      </c>
      <c r="G634" s="14">
        <f>CHOOSE(CONTROL!$C$42, 34.2365, 34.2365)*CHOOSE(CONTROL!$C$21, $C$9, 100%, $E$9)</f>
        <v>34.236499999999999</v>
      </c>
      <c r="H634" s="14">
        <f>CHOOSE(CONTROL!$C$42, 34.4706, 34.4706) * CHOOSE(CONTROL!$C$21, $C$9, 100%, $E$9)</f>
        <v>34.470599999999997</v>
      </c>
      <c r="I634" s="14">
        <f>CHOOSE(CONTROL!$C$42, 34.3513, 34.3513)* CHOOSE(CONTROL!$C$21, $C$9, 100%, $E$9)</f>
        <v>34.351300000000002</v>
      </c>
      <c r="J634" s="14">
        <f>CHOOSE(CONTROL!$C$42, 34.2138, 34.2138)* CHOOSE(CONTROL!$C$21, $C$9, 100%, $E$9)</f>
        <v>34.213799999999999</v>
      </c>
      <c r="K634" s="53">
        <f>CHOOSE(CONTROL!$C$42, 34.3474, 34.3474) * CHOOSE(CONTROL!$C$21, $C$9, 100%, $E$9)</f>
        <v>34.3474</v>
      </c>
      <c r="L634" s="14">
        <f>CHOOSE(CONTROL!$C$42, 35.0576, 35.0576) * CHOOSE(CONTROL!$C$21, $C$9, 100%, $E$9)</f>
        <v>35.057600000000001</v>
      </c>
      <c r="M634" s="14">
        <f>CHOOSE(CONTROL!$C$42, 33.5205, 33.5205) * CHOOSE(CONTROL!$C$21, $C$9, 100%, $E$9)</f>
        <v>33.520499999999998</v>
      </c>
      <c r="N634" s="14">
        <f>CHOOSE(CONTROL!$C$42, 33.5358, 33.5358) * CHOOSE(CONTROL!$C$21, $C$9, 100%, $E$9)</f>
        <v>33.535800000000002</v>
      </c>
      <c r="O634" s="14">
        <f>CHOOSE(CONTROL!$C$42, 33.7721, 33.7721) * CHOOSE(CONTROL!$C$21, $C$9, 100%, $E$9)</f>
        <v>33.772100000000002</v>
      </c>
      <c r="P634" s="14">
        <f>CHOOSE(CONTROL!$C$42, 33.653, 33.653) * CHOOSE(CONTROL!$C$21, $C$9, 100%, $E$9)</f>
        <v>33.652999999999999</v>
      </c>
      <c r="Q634" s="14">
        <f>CHOOSE(CONTROL!$C$42, 34.3668, 34.3668) * CHOOSE(CONTROL!$C$21, $C$9, 100%, $E$9)</f>
        <v>34.366799999999998</v>
      </c>
      <c r="R634" s="14">
        <f>CHOOSE(CONTROL!$C$42, 35.0397, 35.0397) * CHOOSE(CONTROL!$C$21, $C$9, 100%, $E$9)</f>
        <v>35.039700000000003</v>
      </c>
      <c r="S634" s="14">
        <f>CHOOSE(CONTROL!$C$42, 32.8892, 32.8892) * CHOOSE(CONTROL!$C$21, $C$9, 100%, $E$9)</f>
        <v>32.889200000000002</v>
      </c>
      <c r="T63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34" s="57">
        <f>(1000*CHOOSE(CONTROL!$C$42, 695, 695)*CHOOSE(CONTROL!$C$42, 0.5599, 0.5599)*CHOOSE(CONTROL!$C$42, 31, 31))/1000000</f>
        <v>12.063045499999998</v>
      </c>
      <c r="V634" s="57">
        <f>(1000*CHOOSE(CONTROL!$C$42, 500, 500)*CHOOSE(CONTROL!$C$42, 0.275, 0.275)*CHOOSE(CONTROL!$C$42, 31, 31))/1000000</f>
        <v>4.2625000000000002</v>
      </c>
      <c r="W634" s="57">
        <f>(1000*CHOOSE(CONTROL!$C$42, 0.1146, 0.1146)*CHOOSE(CONTROL!$C$42, 121.5, 121.5)*CHOOSE(CONTROL!$C$42, 31, 31))/1000000</f>
        <v>0.43164089999999994</v>
      </c>
      <c r="X634" s="57">
        <f>(31*0.1790888*245000/1000000)+(31*0.2374*100000/1000000)</f>
        <v>2.0961194359999999</v>
      </c>
      <c r="Y634" s="57"/>
      <c r="Z634" s="14"/>
      <c r="AA634" s="56"/>
      <c r="AB634" s="50">
        <f>(B634*131.881+C634*277.167+D634*79.08+E634*125.872+F634*40+G634*185+H634*0+I634*100+J634*300)/(131.881+277.167+79.08+125.872+0+40+185+100+300)</f>
        <v>34.279501835270374</v>
      </c>
      <c r="AC634" s="45">
        <f>(M634*'RAP TEMPLATE-GAS AVAILABILITY'!O633+N634*'RAP TEMPLATE-GAS AVAILABILITY'!P633+O634*'RAP TEMPLATE-GAS AVAILABILITY'!Q633+P634*'RAP TEMPLATE-GAS AVAILABILITY'!R633)/('RAP TEMPLATE-GAS AVAILABILITY'!O633+'RAP TEMPLATE-GAS AVAILABILITY'!P633+'RAP TEMPLATE-GAS AVAILABILITY'!Q633+'RAP TEMPLATE-GAS AVAILABILITY'!R633)</f>
        <v>33.65447985611511</v>
      </c>
    </row>
    <row r="635" spans="1:29" ht="15.75" x14ac:dyDescent="0.25">
      <c r="A635" s="32">
        <v>60236</v>
      </c>
      <c r="B635" s="14">
        <f>CHOOSE(CONTROL!$C$42, 35.1381, 35.1381) * CHOOSE(CONTROL!$C$21, $C$9, 100%, $E$9)</f>
        <v>35.138100000000001</v>
      </c>
      <c r="C635" s="14">
        <f>CHOOSE(CONTROL!$C$42, 35.1432, 35.1432) * CHOOSE(CONTROL!$C$21, $C$9, 100%, $E$9)</f>
        <v>35.1432</v>
      </c>
      <c r="D635" s="14">
        <f>CHOOSE(CONTROL!$C$42, 35.207, 35.207) * CHOOSE(CONTROL!$C$21, $C$9, 100%, $E$9)</f>
        <v>35.207000000000001</v>
      </c>
      <c r="E635" s="14">
        <f>CHOOSE(CONTROL!$C$42, 35.2411, 35.2411) * CHOOSE(CONTROL!$C$21, $C$9, 100%, $E$9)</f>
        <v>35.241100000000003</v>
      </c>
      <c r="F635" s="14">
        <f>CHOOSE(CONTROL!$C$42, 35.1405, 35.1405)*CHOOSE(CONTROL!$C$21, $C$9, 100%, $E$9)</f>
        <v>35.140500000000003</v>
      </c>
      <c r="G635" s="14">
        <f>CHOOSE(CONTROL!$C$42, 35.1565, 35.1565)*CHOOSE(CONTROL!$C$21, $C$9, 100%, $E$9)</f>
        <v>35.156500000000001</v>
      </c>
      <c r="H635" s="14">
        <f>CHOOSE(CONTROL!$C$42, 35.2303, 35.2303) * CHOOSE(CONTROL!$C$21, $C$9, 100%, $E$9)</f>
        <v>35.2303</v>
      </c>
      <c r="I635" s="14">
        <f>CHOOSE(CONTROL!$C$42, 35.261, 35.261)* CHOOSE(CONTROL!$C$21, $C$9, 100%, $E$9)</f>
        <v>35.261000000000003</v>
      </c>
      <c r="J635" s="14">
        <f>CHOOSE(CONTROL!$C$42, 35.1335, 35.1335)* CHOOSE(CONTROL!$C$21, $C$9, 100%, $E$9)</f>
        <v>35.133499999999998</v>
      </c>
      <c r="K635" s="53">
        <f>CHOOSE(CONTROL!$C$42, 35.2571, 35.2571) * CHOOSE(CONTROL!$C$21, $C$9, 100%, $E$9)</f>
        <v>35.257100000000001</v>
      </c>
      <c r="L635" s="14">
        <f>CHOOSE(CONTROL!$C$42, 35.8173, 35.8173) * CHOOSE(CONTROL!$C$21, $C$9, 100%, $E$9)</f>
        <v>35.817300000000003</v>
      </c>
      <c r="M635" s="14">
        <f>CHOOSE(CONTROL!$C$42, 34.4213, 34.4213) * CHOOSE(CONTROL!$C$21, $C$9, 100%, $E$9)</f>
        <v>34.421300000000002</v>
      </c>
      <c r="N635" s="14">
        <f>CHOOSE(CONTROL!$C$42, 34.437, 34.437) * CHOOSE(CONTROL!$C$21, $C$9, 100%, $E$9)</f>
        <v>34.436999999999998</v>
      </c>
      <c r="O635" s="14">
        <f>CHOOSE(CONTROL!$C$42, 34.5161, 34.5161) * CHOOSE(CONTROL!$C$21, $C$9, 100%, $E$9)</f>
        <v>34.516100000000002</v>
      </c>
      <c r="P635" s="14">
        <f>CHOOSE(CONTROL!$C$42, 34.5441, 34.5441) * CHOOSE(CONTROL!$C$21, $C$9, 100%, $E$9)</f>
        <v>34.5441</v>
      </c>
      <c r="Q635" s="14">
        <f>CHOOSE(CONTROL!$C$42, 35.1108, 35.1108) * CHOOSE(CONTROL!$C$21, $C$9, 100%, $E$9)</f>
        <v>35.110799999999998</v>
      </c>
      <c r="R635" s="14">
        <f>CHOOSE(CONTROL!$C$42, 35.7856, 35.7856) * CHOOSE(CONTROL!$C$21, $C$9, 100%, $E$9)</f>
        <v>35.785600000000002</v>
      </c>
      <c r="S635" s="14">
        <f>CHOOSE(CONTROL!$C$42, 33.7557, 33.7557) * CHOOSE(CONTROL!$C$21, $C$9, 100%, $E$9)</f>
        <v>33.755699999999997</v>
      </c>
      <c r="T63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35" s="57">
        <f>(1000*CHOOSE(CONTROL!$C$42, 695, 695)*CHOOSE(CONTROL!$C$42, 0.5599, 0.5599)*CHOOSE(CONTROL!$C$42, 30, 30))/1000000</f>
        <v>11.673914999999997</v>
      </c>
      <c r="V635" s="57">
        <f>(1000*CHOOSE(CONTROL!$C$42, 500, 500)*CHOOSE(CONTROL!$C$42, 0.275, 0.275)*CHOOSE(CONTROL!$C$42, 30, 30))/1000000</f>
        <v>4.125</v>
      </c>
      <c r="W635" s="57">
        <f>(1000*CHOOSE(CONTROL!$C$42, 0.1146, 0.1146)*CHOOSE(CONTROL!$C$42, 121.5, 121.5)*CHOOSE(CONTROL!$C$42, 30, 30))/1000000</f>
        <v>0.417717</v>
      </c>
      <c r="X635" s="57">
        <f>(30*0.1790888*100000/1000000)+(30*0.2374*100000/1000000)</f>
        <v>1.2494664</v>
      </c>
      <c r="Y635" s="57"/>
      <c r="Z635" s="14"/>
      <c r="AA635" s="56"/>
      <c r="AB635" s="50">
        <f>(B635*122.58+C635*297.941+D635*89.177+E635*40.302+F635*40+G635*160+H635*0+I635*100+J635*300)/(122.58+297.941+89.177+40.302+0+40+160+100+300)</f>
        <v>35.16050426121739</v>
      </c>
      <c r="AC635" s="45">
        <f>(M635*'RAP TEMPLATE-GAS AVAILABILITY'!O634+N635*'RAP TEMPLATE-GAS AVAILABILITY'!P634+O635*'RAP TEMPLATE-GAS AVAILABILITY'!Q634+P635*'RAP TEMPLATE-GAS AVAILABILITY'!R634)/('RAP TEMPLATE-GAS AVAILABILITY'!O634+'RAP TEMPLATE-GAS AVAILABILITY'!P634+'RAP TEMPLATE-GAS AVAILABILITY'!Q634+'RAP TEMPLATE-GAS AVAILABILITY'!R634)</f>
        <v>34.482839568345327</v>
      </c>
    </row>
    <row r="636" spans="1:29" ht="15.75" x14ac:dyDescent="0.25">
      <c r="A636" s="32">
        <v>60267</v>
      </c>
      <c r="B636" s="14">
        <f>CHOOSE(CONTROL!$C$42, 37.5331, 37.5331) * CHOOSE(CONTROL!$C$21, $C$9, 100%, $E$9)</f>
        <v>37.533099999999997</v>
      </c>
      <c r="C636" s="14">
        <f>CHOOSE(CONTROL!$C$42, 37.5382, 37.5382) * CHOOSE(CONTROL!$C$21, $C$9, 100%, $E$9)</f>
        <v>37.538200000000003</v>
      </c>
      <c r="D636" s="14">
        <f>CHOOSE(CONTROL!$C$42, 37.602, 37.602) * CHOOSE(CONTROL!$C$21, $C$9, 100%, $E$9)</f>
        <v>37.601999999999997</v>
      </c>
      <c r="E636" s="14">
        <f>CHOOSE(CONTROL!$C$42, 37.6361, 37.6361) * CHOOSE(CONTROL!$C$21, $C$9, 100%, $E$9)</f>
        <v>37.636099999999999</v>
      </c>
      <c r="F636" s="14">
        <f>CHOOSE(CONTROL!$C$42, 37.5378, 37.5378)*CHOOSE(CONTROL!$C$21, $C$9, 100%, $E$9)</f>
        <v>37.537799999999997</v>
      </c>
      <c r="G636" s="14">
        <f>CHOOSE(CONTROL!$C$42, 37.5544, 37.5544)*CHOOSE(CONTROL!$C$21, $C$9, 100%, $E$9)</f>
        <v>37.554400000000001</v>
      </c>
      <c r="H636" s="14">
        <f>CHOOSE(CONTROL!$C$42, 37.6253, 37.6253) * CHOOSE(CONTROL!$C$21, $C$9, 100%, $E$9)</f>
        <v>37.625300000000003</v>
      </c>
      <c r="I636" s="14">
        <f>CHOOSE(CONTROL!$C$42, 37.6635, 37.6635)* CHOOSE(CONTROL!$C$21, $C$9, 100%, $E$9)</f>
        <v>37.663499999999999</v>
      </c>
      <c r="J636" s="14">
        <f>CHOOSE(CONTROL!$C$42, 37.5308, 37.5308)* CHOOSE(CONTROL!$C$21, $C$9, 100%, $E$9)</f>
        <v>37.530799999999999</v>
      </c>
      <c r="K636" s="53">
        <f>CHOOSE(CONTROL!$C$42, 37.6596, 37.6596) * CHOOSE(CONTROL!$C$21, $C$9, 100%, $E$9)</f>
        <v>37.659599999999998</v>
      </c>
      <c r="L636" s="14">
        <f>CHOOSE(CONTROL!$C$42, 38.2123, 38.2123) * CHOOSE(CONTROL!$C$21, $C$9, 100%, $E$9)</f>
        <v>38.212299999999999</v>
      </c>
      <c r="M636" s="14">
        <f>CHOOSE(CONTROL!$C$42, 36.7695, 36.7695) * CHOOSE(CONTROL!$C$21, $C$9, 100%, $E$9)</f>
        <v>36.769500000000001</v>
      </c>
      <c r="N636" s="14">
        <f>CHOOSE(CONTROL!$C$42, 36.7858, 36.7858) * CHOOSE(CONTROL!$C$21, $C$9, 100%, $E$9)</f>
        <v>36.785800000000002</v>
      </c>
      <c r="O636" s="14">
        <f>CHOOSE(CONTROL!$C$42, 36.8621, 36.8621) * CHOOSE(CONTROL!$C$21, $C$9, 100%, $E$9)</f>
        <v>36.862099999999998</v>
      </c>
      <c r="P636" s="14">
        <f>CHOOSE(CONTROL!$C$42, 36.8972, 36.8972) * CHOOSE(CONTROL!$C$21, $C$9, 100%, $E$9)</f>
        <v>36.897199999999998</v>
      </c>
      <c r="Q636" s="14">
        <f>CHOOSE(CONTROL!$C$42, 37.4568, 37.4568) * CHOOSE(CONTROL!$C$21, $C$9, 100%, $E$9)</f>
        <v>37.456800000000001</v>
      </c>
      <c r="R636" s="14">
        <f>CHOOSE(CONTROL!$C$42, 38.1374, 38.1374) * CHOOSE(CONTROL!$C$21, $C$9, 100%, $E$9)</f>
        <v>38.1374</v>
      </c>
      <c r="S636" s="14">
        <f>CHOOSE(CONTROL!$C$42, 36.0571, 36.0571) * CHOOSE(CONTROL!$C$21, $C$9, 100%, $E$9)</f>
        <v>36.057099999999998</v>
      </c>
      <c r="T63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36" s="57">
        <f>(1000*CHOOSE(CONTROL!$C$42, 695, 695)*CHOOSE(CONTROL!$C$42, 0.5599, 0.5599)*CHOOSE(CONTROL!$C$42, 31, 31))/1000000</f>
        <v>12.063045499999998</v>
      </c>
      <c r="V636" s="57">
        <f>(1000*CHOOSE(CONTROL!$C$42, 500, 500)*CHOOSE(CONTROL!$C$42, 0.275, 0.275)*CHOOSE(CONTROL!$C$42, 31, 31))/1000000</f>
        <v>4.2625000000000002</v>
      </c>
      <c r="W636" s="57">
        <f>(1000*CHOOSE(CONTROL!$C$42, 0.1146, 0.1146)*CHOOSE(CONTROL!$C$42, 121.5, 121.5)*CHOOSE(CONTROL!$C$42, 31, 31))/1000000</f>
        <v>0.43164089999999994</v>
      </c>
      <c r="X636" s="57">
        <f>(31*0.1790888*100000/1000000)+(31*0.2374*100000/1000000)</f>
        <v>1.2911152800000001</v>
      </c>
      <c r="Y636" s="57"/>
      <c r="Z636" s="14"/>
      <c r="AA636" s="56"/>
      <c r="AB636" s="50">
        <f>(B636*122.58+C636*297.941+D636*89.177+E636*40.302+F636*40+G636*160+H636*0+I636*100+J636*300)/(122.58+297.941+89.177+40.302+0+40+160+100+300)</f>
        <v>37.5572399133913</v>
      </c>
      <c r="AC636" s="45">
        <f>(M636*'RAP TEMPLATE-GAS AVAILABILITY'!O635+N636*'RAP TEMPLATE-GAS AVAILABILITY'!P635+O636*'RAP TEMPLATE-GAS AVAILABILITY'!Q635+P636*'RAP TEMPLATE-GAS AVAILABILITY'!R635)/('RAP TEMPLATE-GAS AVAILABILITY'!O635+'RAP TEMPLATE-GAS AVAILABILITY'!P635+'RAP TEMPLATE-GAS AVAILABILITY'!Q635+'RAP TEMPLATE-GAS AVAILABILITY'!R635)</f>
        <v>36.83078201438849</v>
      </c>
    </row>
    <row r="637" spans="1:29" ht="15.75" x14ac:dyDescent="0.25">
      <c r="A637" s="32">
        <v>60298</v>
      </c>
      <c r="B637" s="14">
        <f>CHOOSE(CONTROL!$C$42, 40.6068, 40.6068) * CHOOSE(CONTROL!$C$21, $C$9, 100%, $E$9)</f>
        <v>40.6068</v>
      </c>
      <c r="C637" s="14">
        <f>CHOOSE(CONTROL!$C$42, 40.6119, 40.6119) * CHOOSE(CONTROL!$C$21, $C$9, 100%, $E$9)</f>
        <v>40.611899999999999</v>
      </c>
      <c r="D637" s="14">
        <f>CHOOSE(CONTROL!$C$42, 40.6783, 40.6783) * CHOOSE(CONTROL!$C$21, $C$9, 100%, $E$9)</f>
        <v>40.6783</v>
      </c>
      <c r="E637" s="14">
        <f>CHOOSE(CONTROL!$C$42, 40.7124, 40.7124) * CHOOSE(CONTROL!$C$21, $C$9, 100%, $E$9)</f>
        <v>40.712400000000002</v>
      </c>
      <c r="F637" s="14">
        <f>CHOOSE(CONTROL!$C$42, 40.5942, 40.5942)*CHOOSE(CONTROL!$C$21, $C$9, 100%, $E$9)</f>
        <v>40.594200000000001</v>
      </c>
      <c r="G637" s="14">
        <f>CHOOSE(CONTROL!$C$42, 40.6096, 40.6096)*CHOOSE(CONTROL!$C$21, $C$9, 100%, $E$9)</f>
        <v>40.6096</v>
      </c>
      <c r="H637" s="14">
        <f>CHOOSE(CONTROL!$C$42, 40.7016, 40.7016) * CHOOSE(CONTROL!$C$21, $C$9, 100%, $E$9)</f>
        <v>40.701599999999999</v>
      </c>
      <c r="I637" s="14">
        <f>CHOOSE(CONTROL!$C$42, 40.7416, 40.7416)* CHOOSE(CONTROL!$C$21, $C$9, 100%, $E$9)</f>
        <v>40.741599999999998</v>
      </c>
      <c r="J637" s="14">
        <f>CHOOSE(CONTROL!$C$42, 40.5872, 40.5872)* CHOOSE(CONTROL!$C$21, $C$9, 100%, $E$9)</f>
        <v>40.587200000000003</v>
      </c>
      <c r="K637" s="53">
        <f>CHOOSE(CONTROL!$C$42, 40.7378, 40.7378) * CHOOSE(CONTROL!$C$21, $C$9, 100%, $E$9)</f>
        <v>40.7378</v>
      </c>
      <c r="L637" s="14">
        <f>CHOOSE(CONTROL!$C$42, 41.2886, 41.2886) * CHOOSE(CONTROL!$C$21, $C$9, 100%, $E$9)</f>
        <v>41.288600000000002</v>
      </c>
      <c r="M637" s="14">
        <f>CHOOSE(CONTROL!$C$42, 39.7633, 39.7633) * CHOOSE(CONTROL!$C$21, $C$9, 100%, $E$9)</f>
        <v>39.763300000000001</v>
      </c>
      <c r="N637" s="14">
        <f>CHOOSE(CONTROL!$C$42, 39.7784, 39.7784) * CHOOSE(CONTROL!$C$21, $C$9, 100%, $E$9)</f>
        <v>39.778399999999998</v>
      </c>
      <c r="O637" s="14">
        <f>CHOOSE(CONTROL!$C$42, 39.8754, 39.8754) * CHOOSE(CONTROL!$C$21, $C$9, 100%, $E$9)</f>
        <v>39.875399999999999</v>
      </c>
      <c r="P637" s="14">
        <f>CHOOSE(CONTROL!$C$42, 39.9121, 39.9121) * CHOOSE(CONTROL!$C$21, $C$9, 100%, $E$9)</f>
        <v>39.912100000000002</v>
      </c>
      <c r="Q637" s="14">
        <f>CHOOSE(CONTROL!$C$42, 40.4701, 40.4701) * CHOOSE(CONTROL!$C$21, $C$9, 100%, $E$9)</f>
        <v>40.470100000000002</v>
      </c>
      <c r="R637" s="14">
        <f>CHOOSE(CONTROL!$C$42, 41.1582, 41.1582) * CHOOSE(CONTROL!$C$21, $C$9, 100%, $E$9)</f>
        <v>41.158200000000001</v>
      </c>
      <c r="S637" s="14">
        <f>CHOOSE(CONTROL!$C$42, 39.0106, 39.0106) * CHOOSE(CONTROL!$C$21, $C$9, 100%, $E$9)</f>
        <v>39.010599999999997</v>
      </c>
      <c r="T63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37" s="57">
        <f>(1000*CHOOSE(CONTROL!$C$42, 695, 695)*CHOOSE(CONTROL!$C$42, 0.5599, 0.5599)*CHOOSE(CONTROL!$C$42, 31, 31))/1000000</f>
        <v>12.063045499999998</v>
      </c>
      <c r="V637" s="57">
        <f>(1000*CHOOSE(CONTROL!$C$42, 500, 500)*CHOOSE(CONTROL!$C$42, 0.275, 0.275)*CHOOSE(CONTROL!$C$42, 31, 31))/1000000</f>
        <v>4.2625000000000002</v>
      </c>
      <c r="W637" s="57">
        <f>(1000*CHOOSE(CONTROL!$C$42, 0.1146, 0.1146)*CHOOSE(CONTROL!$C$42, 121.5, 121.5)*CHOOSE(CONTROL!$C$42, 31, 31))/1000000</f>
        <v>0.43164089999999994</v>
      </c>
      <c r="X637" s="57">
        <f>(31*0.1790888*100000/1000000)+(31*0.2374*100000/1000000)</f>
        <v>1.2911152800000001</v>
      </c>
      <c r="Y637" s="57"/>
      <c r="Z637" s="14"/>
      <c r="AA637" s="56"/>
      <c r="AB637" s="50">
        <f>(B637*122.58+C637*297.941+D637*89.177+E637*40.302+F637*40+G637*160+H637*0+I637*100+J637*300)/(122.58+297.941+89.177+40.302+0+40+160+100+300)</f>
        <v>40.62392656156522</v>
      </c>
      <c r="AC637" s="45">
        <f>(M637*'RAP TEMPLATE-GAS AVAILABILITY'!O636+N637*'RAP TEMPLATE-GAS AVAILABILITY'!P636+O637*'RAP TEMPLATE-GAS AVAILABILITY'!Q636+P637*'RAP TEMPLATE-GAS AVAILABILITY'!R636)/('RAP TEMPLATE-GAS AVAILABILITY'!O636+'RAP TEMPLATE-GAS AVAILABILITY'!P636+'RAP TEMPLATE-GAS AVAILABILITY'!Q636+'RAP TEMPLATE-GAS AVAILABILITY'!R636)</f>
        <v>39.836387050359711</v>
      </c>
    </row>
    <row r="638" spans="1:29" ht="15.75" x14ac:dyDescent="0.25">
      <c r="A638" s="32">
        <v>60326</v>
      </c>
      <c r="B638" s="14">
        <f>CHOOSE(CONTROL!$C$42, 41.3295, 41.3295) * CHOOSE(CONTROL!$C$21, $C$9, 100%, $E$9)</f>
        <v>41.329500000000003</v>
      </c>
      <c r="C638" s="14">
        <f>CHOOSE(CONTROL!$C$42, 41.3346, 41.3346) * CHOOSE(CONTROL!$C$21, $C$9, 100%, $E$9)</f>
        <v>41.334600000000002</v>
      </c>
      <c r="D638" s="14">
        <f>CHOOSE(CONTROL!$C$42, 41.401, 41.401) * CHOOSE(CONTROL!$C$21, $C$9, 100%, $E$9)</f>
        <v>41.401000000000003</v>
      </c>
      <c r="E638" s="14">
        <f>CHOOSE(CONTROL!$C$42, 41.4351, 41.4351) * CHOOSE(CONTROL!$C$21, $C$9, 100%, $E$9)</f>
        <v>41.435099999999998</v>
      </c>
      <c r="F638" s="14">
        <f>CHOOSE(CONTROL!$C$42, 41.3169, 41.3169)*CHOOSE(CONTROL!$C$21, $C$9, 100%, $E$9)</f>
        <v>41.316899999999997</v>
      </c>
      <c r="G638" s="14">
        <f>CHOOSE(CONTROL!$C$42, 41.3324, 41.3324)*CHOOSE(CONTROL!$C$21, $C$9, 100%, $E$9)</f>
        <v>41.3324</v>
      </c>
      <c r="H638" s="14">
        <f>CHOOSE(CONTROL!$C$42, 41.4243, 41.4243) * CHOOSE(CONTROL!$C$21, $C$9, 100%, $E$9)</f>
        <v>41.424300000000002</v>
      </c>
      <c r="I638" s="14">
        <f>CHOOSE(CONTROL!$C$42, 41.4666, 41.4666)* CHOOSE(CONTROL!$C$21, $C$9, 100%, $E$9)</f>
        <v>41.4666</v>
      </c>
      <c r="J638" s="14">
        <f>CHOOSE(CONTROL!$C$42, 41.3099, 41.3099)* CHOOSE(CONTROL!$C$21, $C$9, 100%, $E$9)</f>
        <v>41.309899999999999</v>
      </c>
      <c r="K638" s="53">
        <f>CHOOSE(CONTROL!$C$42, 41.4627, 41.4627) * CHOOSE(CONTROL!$C$21, $C$9, 100%, $E$9)</f>
        <v>41.462699999999998</v>
      </c>
      <c r="L638" s="14">
        <f>CHOOSE(CONTROL!$C$42, 42.0113, 42.0113) * CHOOSE(CONTROL!$C$21, $C$9, 100%, $E$9)</f>
        <v>42.011299999999999</v>
      </c>
      <c r="M638" s="14">
        <f>CHOOSE(CONTROL!$C$42, 40.4712, 40.4712) * CHOOSE(CONTROL!$C$21, $C$9, 100%, $E$9)</f>
        <v>40.471200000000003</v>
      </c>
      <c r="N638" s="14">
        <f>CHOOSE(CONTROL!$C$42, 40.4864, 40.4864) * CHOOSE(CONTROL!$C$21, $C$9, 100%, $E$9)</f>
        <v>40.486400000000003</v>
      </c>
      <c r="O638" s="14">
        <f>CHOOSE(CONTROL!$C$42, 40.5833, 40.5833) * CHOOSE(CONTROL!$C$21, $C$9, 100%, $E$9)</f>
        <v>40.583300000000001</v>
      </c>
      <c r="P638" s="14">
        <f>CHOOSE(CONTROL!$C$42, 40.6221, 40.6221) * CHOOSE(CONTROL!$C$21, $C$9, 100%, $E$9)</f>
        <v>40.622100000000003</v>
      </c>
      <c r="Q638" s="14">
        <f>CHOOSE(CONTROL!$C$42, 41.178, 41.178) * CHOOSE(CONTROL!$C$21, $C$9, 100%, $E$9)</f>
        <v>41.177999999999997</v>
      </c>
      <c r="R638" s="14">
        <f>CHOOSE(CONTROL!$C$42, 41.8679, 41.8679) * CHOOSE(CONTROL!$C$21, $C$9, 100%, $E$9)</f>
        <v>41.867899999999999</v>
      </c>
      <c r="S638" s="14">
        <f>CHOOSE(CONTROL!$C$42, 39.705, 39.705) * CHOOSE(CONTROL!$C$21, $C$9, 100%, $E$9)</f>
        <v>39.704999999999998</v>
      </c>
      <c r="T63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38" s="57">
        <f>(1000*CHOOSE(CONTROL!$C$42, 695, 695)*CHOOSE(CONTROL!$C$42, 0.5599, 0.5599)*CHOOSE(CONTROL!$C$42, 28, 28))/1000000</f>
        <v>10.895653999999999</v>
      </c>
      <c r="V638" s="57">
        <f>(1000*CHOOSE(CONTROL!$C$42, 500, 500)*CHOOSE(CONTROL!$C$42, 0.275, 0.275)*CHOOSE(CONTROL!$C$42, 28, 28))/1000000</f>
        <v>3.85</v>
      </c>
      <c r="W638" s="57">
        <f>(1000*CHOOSE(CONTROL!$C$42, 0.1146, 0.1146)*CHOOSE(CONTROL!$C$42, 121.5, 121.5)*CHOOSE(CONTROL!$C$42, 28, 28))/1000000</f>
        <v>0.38986920000000003</v>
      </c>
      <c r="X638" s="57">
        <f>(28*0.1790888*100000/1000000)+(28*0.2374*100000/1000000)</f>
        <v>1.16616864</v>
      </c>
      <c r="Y638" s="57"/>
      <c r="Z638" s="14"/>
      <c r="AA638" s="56"/>
      <c r="AB638" s="50">
        <f>(B638*122.58+C638*297.941+D638*89.177+E638*40.302+F638*40+G638*160+H638*0+I638*100+J638*300)/(122.58+297.941+89.177+40.302+0+40+160+100+300)</f>
        <v>41.346840474608697</v>
      </c>
      <c r="AC638" s="45">
        <f>(M638*'RAP TEMPLATE-GAS AVAILABILITY'!O637+N638*'RAP TEMPLATE-GAS AVAILABILITY'!P637+O638*'RAP TEMPLATE-GAS AVAILABILITY'!Q637+P638*'RAP TEMPLATE-GAS AVAILABILITY'!R637)/('RAP TEMPLATE-GAS AVAILABILITY'!O637+'RAP TEMPLATE-GAS AVAILABILITY'!P637+'RAP TEMPLATE-GAS AVAILABILITY'!Q637+'RAP TEMPLATE-GAS AVAILABILITY'!R637)</f>
        <v>40.544594964028775</v>
      </c>
    </row>
    <row r="639" spans="1:29" ht="15.75" x14ac:dyDescent="0.25">
      <c r="A639" s="32">
        <v>60357</v>
      </c>
      <c r="B639" s="14">
        <f>CHOOSE(CONTROL!$C$42, 40.1564, 40.1564) * CHOOSE(CONTROL!$C$21, $C$9, 100%, $E$9)</f>
        <v>40.156399999999998</v>
      </c>
      <c r="C639" s="14">
        <f>CHOOSE(CONTROL!$C$42, 40.1615, 40.1615) * CHOOSE(CONTROL!$C$21, $C$9, 100%, $E$9)</f>
        <v>40.161499999999997</v>
      </c>
      <c r="D639" s="14">
        <f>CHOOSE(CONTROL!$C$42, 40.2279, 40.2279) * CHOOSE(CONTROL!$C$21, $C$9, 100%, $E$9)</f>
        <v>40.227899999999998</v>
      </c>
      <c r="E639" s="14">
        <f>CHOOSE(CONTROL!$C$42, 40.262, 40.262) * CHOOSE(CONTROL!$C$21, $C$9, 100%, $E$9)</f>
        <v>40.262</v>
      </c>
      <c r="F639" s="14">
        <f>CHOOSE(CONTROL!$C$42, 40.1434, 40.1434)*CHOOSE(CONTROL!$C$21, $C$9, 100%, $E$9)</f>
        <v>40.1434</v>
      </c>
      <c r="G639" s="14">
        <f>CHOOSE(CONTROL!$C$42, 40.1588, 40.1588)*CHOOSE(CONTROL!$C$21, $C$9, 100%, $E$9)</f>
        <v>40.158799999999999</v>
      </c>
      <c r="H639" s="14">
        <f>CHOOSE(CONTROL!$C$42, 40.2512, 40.2512) * CHOOSE(CONTROL!$C$21, $C$9, 100%, $E$9)</f>
        <v>40.251199999999997</v>
      </c>
      <c r="I639" s="14">
        <f>CHOOSE(CONTROL!$C$42, 40.2898, 40.2898)* CHOOSE(CONTROL!$C$21, $C$9, 100%, $E$9)</f>
        <v>40.2898</v>
      </c>
      <c r="J639" s="14">
        <f>CHOOSE(CONTROL!$C$42, 40.1364, 40.1364)* CHOOSE(CONTROL!$C$21, $C$9, 100%, $E$9)</f>
        <v>40.136400000000002</v>
      </c>
      <c r="K639" s="53">
        <f>CHOOSE(CONTROL!$C$42, 40.2859, 40.2859) * CHOOSE(CONTROL!$C$21, $C$9, 100%, $E$9)</f>
        <v>40.285899999999998</v>
      </c>
      <c r="L639" s="14">
        <f>CHOOSE(CONTROL!$C$42, 40.8382, 40.8382) * CHOOSE(CONTROL!$C$21, $C$9, 100%, $E$9)</f>
        <v>40.838200000000001</v>
      </c>
      <c r="M639" s="14">
        <f>CHOOSE(CONTROL!$C$42, 39.3218, 39.3218) * CHOOSE(CONTROL!$C$21, $C$9, 100%, $E$9)</f>
        <v>39.321800000000003</v>
      </c>
      <c r="N639" s="14">
        <f>CHOOSE(CONTROL!$C$42, 39.3368, 39.3368) * CHOOSE(CONTROL!$C$21, $C$9, 100%, $E$9)</f>
        <v>39.336799999999997</v>
      </c>
      <c r="O639" s="14">
        <f>CHOOSE(CONTROL!$C$42, 39.4342, 39.4342) * CHOOSE(CONTROL!$C$21, $C$9, 100%, $E$9)</f>
        <v>39.434199999999997</v>
      </c>
      <c r="P639" s="14">
        <f>CHOOSE(CONTROL!$C$42, 39.4696, 39.4696) * CHOOSE(CONTROL!$C$21, $C$9, 100%, $E$9)</f>
        <v>39.4696</v>
      </c>
      <c r="Q639" s="14">
        <f>CHOOSE(CONTROL!$C$42, 40.0289, 40.0289) * CHOOSE(CONTROL!$C$21, $C$9, 100%, $E$9)</f>
        <v>40.0289</v>
      </c>
      <c r="R639" s="14">
        <f>CHOOSE(CONTROL!$C$42, 40.716, 40.716) * CHOOSE(CONTROL!$C$21, $C$9, 100%, $E$9)</f>
        <v>40.716000000000001</v>
      </c>
      <c r="S639" s="14">
        <f>CHOOSE(CONTROL!$C$42, 38.5778, 38.5778) * CHOOSE(CONTROL!$C$21, $C$9, 100%, $E$9)</f>
        <v>38.577800000000003</v>
      </c>
      <c r="T63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39" s="57">
        <f>(1000*CHOOSE(CONTROL!$C$42, 695, 695)*CHOOSE(CONTROL!$C$42, 0.5599, 0.5599)*CHOOSE(CONTROL!$C$42, 31, 31))/1000000</f>
        <v>12.063045499999998</v>
      </c>
      <c r="V639" s="57">
        <f>(1000*CHOOSE(CONTROL!$C$42, 500, 500)*CHOOSE(CONTROL!$C$42, 0.275, 0.275)*CHOOSE(CONTROL!$C$42, 31, 31))/1000000</f>
        <v>4.2625000000000002</v>
      </c>
      <c r="W639" s="57">
        <f>(1000*CHOOSE(CONTROL!$C$42, 0.1146, 0.1146)*CHOOSE(CONTROL!$C$42, 121.5, 121.5)*CHOOSE(CONTROL!$C$42, 31, 31))/1000000</f>
        <v>0.43164089999999994</v>
      </c>
      <c r="X639" s="57">
        <f>(31*0.1790888*100000/1000000)+(31*0.2374*100000/1000000)</f>
        <v>1.2911152800000001</v>
      </c>
      <c r="Y639" s="57"/>
      <c r="Z639" s="14"/>
      <c r="AA639" s="56"/>
      <c r="AB639" s="50">
        <f>(B639*122.58+C639*297.941+D639*89.177+E639*40.302+F639*40+G639*160+H639*0+I639*100+J639*300)/(122.58+297.941+89.177+40.302+0+40+160+100+300)</f>
        <v>40.1732309093913</v>
      </c>
      <c r="AC639" s="45">
        <f>(M639*'RAP TEMPLATE-GAS AVAILABILITY'!O638+N639*'RAP TEMPLATE-GAS AVAILABILITY'!P638+O639*'RAP TEMPLATE-GAS AVAILABILITY'!Q638+P639*'RAP TEMPLATE-GAS AVAILABILITY'!R638)/('RAP TEMPLATE-GAS AVAILABILITY'!O638+'RAP TEMPLATE-GAS AVAILABILITY'!P638+'RAP TEMPLATE-GAS AVAILABILITY'!Q638+'RAP TEMPLATE-GAS AVAILABILITY'!R638)</f>
        <v>39.394873381294964</v>
      </c>
    </row>
    <row r="640" spans="1:29" ht="15.75" x14ac:dyDescent="0.25">
      <c r="A640" s="32">
        <v>60387</v>
      </c>
      <c r="B640" s="14">
        <f>CHOOSE(CONTROL!$C$42, 40.0374, 40.0374) * CHOOSE(CONTROL!$C$21, $C$9, 100%, $E$9)</f>
        <v>40.037399999999998</v>
      </c>
      <c r="C640" s="14">
        <f>CHOOSE(CONTROL!$C$42, 40.0419, 40.0419) * CHOOSE(CONTROL!$C$21, $C$9, 100%, $E$9)</f>
        <v>40.041899999999998</v>
      </c>
      <c r="D640" s="14">
        <f>CHOOSE(CONTROL!$C$42, 40.249, 40.249) * CHOOSE(CONTROL!$C$21, $C$9, 100%, $E$9)</f>
        <v>40.249000000000002</v>
      </c>
      <c r="E640" s="14">
        <f>CHOOSE(CONTROL!$C$42, 40.2811, 40.2811) * CHOOSE(CONTROL!$C$21, $C$9, 100%, $E$9)</f>
        <v>40.281100000000002</v>
      </c>
      <c r="F640" s="14">
        <f>CHOOSE(CONTROL!$C$42, 40.0193, 40.0193)*CHOOSE(CONTROL!$C$21, $C$9, 100%, $E$9)</f>
        <v>40.019300000000001</v>
      </c>
      <c r="G640" s="14">
        <f>CHOOSE(CONTROL!$C$42, 40.0345, 40.0345)*CHOOSE(CONTROL!$C$21, $C$9, 100%, $E$9)</f>
        <v>40.034500000000001</v>
      </c>
      <c r="H640" s="14">
        <f>CHOOSE(CONTROL!$C$42, 40.2709, 40.2709) * CHOOSE(CONTROL!$C$21, $C$9, 100%, $E$9)</f>
        <v>40.270899999999997</v>
      </c>
      <c r="I640" s="14">
        <f>CHOOSE(CONTROL!$C$42, 40.1696, 40.1696)* CHOOSE(CONTROL!$C$21, $C$9, 100%, $E$9)</f>
        <v>40.169600000000003</v>
      </c>
      <c r="J640" s="14">
        <f>CHOOSE(CONTROL!$C$42, 40.0123, 40.0123)* CHOOSE(CONTROL!$C$21, $C$9, 100%, $E$9)</f>
        <v>40.012300000000003</v>
      </c>
      <c r="K640" s="53">
        <f>CHOOSE(CONTROL!$C$42, 40.1657, 40.1657) * CHOOSE(CONTROL!$C$21, $C$9, 100%, $E$9)</f>
        <v>40.165700000000001</v>
      </c>
      <c r="L640" s="14">
        <f>CHOOSE(CONTROL!$C$42, 40.8579, 40.8579) * CHOOSE(CONTROL!$C$21, $C$9, 100%, $E$9)</f>
        <v>40.857900000000001</v>
      </c>
      <c r="M640" s="14">
        <f>CHOOSE(CONTROL!$C$42, 39.2002, 39.2002) * CHOOSE(CONTROL!$C$21, $C$9, 100%, $E$9)</f>
        <v>39.200200000000002</v>
      </c>
      <c r="N640" s="14">
        <f>CHOOSE(CONTROL!$C$42, 39.215, 39.215) * CHOOSE(CONTROL!$C$21, $C$9, 100%, $E$9)</f>
        <v>39.215000000000003</v>
      </c>
      <c r="O640" s="14">
        <f>CHOOSE(CONTROL!$C$42, 39.4534, 39.4534) * CHOOSE(CONTROL!$C$21, $C$9, 100%, $E$9)</f>
        <v>39.453400000000002</v>
      </c>
      <c r="P640" s="14">
        <f>CHOOSE(CONTROL!$C$42, 39.3518, 39.3518) * CHOOSE(CONTROL!$C$21, $C$9, 100%, $E$9)</f>
        <v>39.351799999999997</v>
      </c>
      <c r="Q640" s="14">
        <f>CHOOSE(CONTROL!$C$42, 40.0481, 40.0481) * CHOOSE(CONTROL!$C$21, $C$9, 100%, $E$9)</f>
        <v>40.048099999999998</v>
      </c>
      <c r="R640" s="14">
        <f>CHOOSE(CONTROL!$C$42, 40.7352, 40.7352) * CHOOSE(CONTROL!$C$21, $C$9, 100%, $E$9)</f>
        <v>40.735199999999999</v>
      </c>
      <c r="S640" s="14">
        <f>CHOOSE(CONTROL!$C$42, 38.4626, 38.4626) * CHOOSE(CONTROL!$C$21, $C$9, 100%, $E$9)</f>
        <v>38.462600000000002</v>
      </c>
      <c r="T64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40" s="57">
        <f>(1000*CHOOSE(CONTROL!$C$42, 695, 695)*CHOOSE(CONTROL!$C$42, 0.5599, 0.5599)*CHOOSE(CONTROL!$C$42, 30, 30))/1000000</f>
        <v>11.673914999999997</v>
      </c>
      <c r="V640" s="57">
        <f>(1000*CHOOSE(CONTROL!$C$42, 500, 500)*CHOOSE(CONTROL!$C$42, 0.275, 0.275)*CHOOSE(CONTROL!$C$42, 30, 30))/1000000</f>
        <v>4.125</v>
      </c>
      <c r="W640" s="57">
        <f>(1000*CHOOSE(CONTROL!$C$42, 0.1146, 0.1146)*CHOOSE(CONTROL!$C$42, 121.5, 121.5)*CHOOSE(CONTROL!$C$42, 30, 30))/1000000</f>
        <v>0.417717</v>
      </c>
      <c r="X640" s="57">
        <f>(30*0.1790888*245000/1000000)+(30*0.2374*100000/1000000)</f>
        <v>2.0285026799999999</v>
      </c>
      <c r="Y640" s="57"/>
      <c r="Z640" s="14"/>
      <c r="AA640" s="56"/>
      <c r="AB640" s="50">
        <f>(B640*141.293+C640*267.993+D640*115.016+E640*89.698+F640*40+G640*185+H640*0+I640*100+J640*300)/(141.293+267.993+115.016+89.698+0+40+185+100+300)</f>
        <v>40.079233944067802</v>
      </c>
      <c r="AC640" s="45">
        <f>(M640*'RAP TEMPLATE-GAS AVAILABILITY'!O639+N640*'RAP TEMPLATE-GAS AVAILABILITY'!P639+O640*'RAP TEMPLATE-GAS AVAILABILITY'!Q639+P640*'RAP TEMPLATE-GAS AVAILABILITY'!R639)/('RAP TEMPLATE-GAS AVAILABILITY'!O639+'RAP TEMPLATE-GAS AVAILABILITY'!P639+'RAP TEMPLATE-GAS AVAILABILITY'!Q639+'RAP TEMPLATE-GAS AVAILABILITY'!R639)</f>
        <v>39.337624460431655</v>
      </c>
    </row>
    <row r="641" spans="1:29" ht="15.75" x14ac:dyDescent="0.25">
      <c r="A641" s="32">
        <v>60418</v>
      </c>
      <c r="B641" s="14">
        <f>CHOOSE(CONTROL!$C$42, 40.3921, 40.3921) * CHOOSE(CONTROL!$C$21, $C$9, 100%, $E$9)</f>
        <v>40.392099999999999</v>
      </c>
      <c r="C641" s="14">
        <f>CHOOSE(CONTROL!$C$42, 40.4001, 40.4001) * CHOOSE(CONTROL!$C$21, $C$9, 100%, $E$9)</f>
        <v>40.400100000000002</v>
      </c>
      <c r="D641" s="14">
        <f>CHOOSE(CONTROL!$C$42, 40.604, 40.604) * CHOOSE(CONTROL!$C$21, $C$9, 100%, $E$9)</f>
        <v>40.603999999999999</v>
      </c>
      <c r="E641" s="14">
        <f>CHOOSE(CONTROL!$C$42, 40.6355, 40.6355) * CHOOSE(CONTROL!$C$21, $C$9, 100%, $E$9)</f>
        <v>40.6355</v>
      </c>
      <c r="F641" s="14">
        <f>CHOOSE(CONTROL!$C$42, 40.3728, 40.3728)*CHOOSE(CONTROL!$C$21, $C$9, 100%, $E$9)</f>
        <v>40.372799999999998</v>
      </c>
      <c r="G641" s="14">
        <f>CHOOSE(CONTROL!$C$42, 40.3885, 40.3885)*CHOOSE(CONTROL!$C$21, $C$9, 100%, $E$9)</f>
        <v>40.388500000000001</v>
      </c>
      <c r="H641" s="14">
        <f>CHOOSE(CONTROL!$C$42, 40.6241, 40.6241) * CHOOSE(CONTROL!$C$21, $C$9, 100%, $E$9)</f>
        <v>40.624099999999999</v>
      </c>
      <c r="I641" s="14">
        <f>CHOOSE(CONTROL!$C$42, 40.524, 40.524)* CHOOSE(CONTROL!$C$21, $C$9, 100%, $E$9)</f>
        <v>40.524000000000001</v>
      </c>
      <c r="J641" s="14">
        <f>CHOOSE(CONTROL!$C$42, 40.3658, 40.3658)* CHOOSE(CONTROL!$C$21, $C$9, 100%, $E$9)</f>
        <v>40.3658</v>
      </c>
      <c r="K641" s="53">
        <f>CHOOSE(CONTROL!$C$42, 40.5201, 40.5201) * CHOOSE(CONTROL!$C$21, $C$9, 100%, $E$9)</f>
        <v>40.520099999999999</v>
      </c>
      <c r="L641" s="14">
        <f>CHOOSE(CONTROL!$C$42, 41.2111, 41.2111) * CHOOSE(CONTROL!$C$21, $C$9, 100%, $E$9)</f>
        <v>41.211100000000002</v>
      </c>
      <c r="M641" s="14">
        <f>CHOOSE(CONTROL!$C$42, 39.5464, 39.5464) * CHOOSE(CONTROL!$C$21, $C$9, 100%, $E$9)</f>
        <v>39.546399999999998</v>
      </c>
      <c r="N641" s="14">
        <f>CHOOSE(CONTROL!$C$42, 39.5618, 39.5618) * CHOOSE(CONTROL!$C$21, $C$9, 100%, $E$9)</f>
        <v>39.561799999999998</v>
      </c>
      <c r="O641" s="14">
        <f>CHOOSE(CONTROL!$C$42, 39.7995, 39.7995) * CHOOSE(CONTROL!$C$21, $C$9, 100%, $E$9)</f>
        <v>39.799500000000002</v>
      </c>
      <c r="P641" s="14">
        <f>CHOOSE(CONTROL!$C$42, 39.6989, 39.6989) * CHOOSE(CONTROL!$C$21, $C$9, 100%, $E$9)</f>
        <v>39.698900000000002</v>
      </c>
      <c r="Q641" s="14">
        <f>CHOOSE(CONTROL!$C$42, 40.3942, 40.3942) * CHOOSE(CONTROL!$C$21, $C$9, 100%, $E$9)</f>
        <v>40.394199999999998</v>
      </c>
      <c r="R641" s="14">
        <f>CHOOSE(CONTROL!$C$42, 41.0822, 41.0822) * CHOOSE(CONTROL!$C$21, $C$9, 100%, $E$9)</f>
        <v>41.0822</v>
      </c>
      <c r="S641" s="14">
        <f>CHOOSE(CONTROL!$C$42, 38.8021, 38.8021) * CHOOSE(CONTROL!$C$21, $C$9, 100%, $E$9)</f>
        <v>38.802100000000003</v>
      </c>
      <c r="T64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41" s="57">
        <f>(1000*CHOOSE(CONTROL!$C$42, 695, 695)*CHOOSE(CONTROL!$C$42, 0.5599, 0.5599)*CHOOSE(CONTROL!$C$42, 31, 31))/1000000</f>
        <v>12.063045499999998</v>
      </c>
      <c r="V641" s="57">
        <f>(1000*CHOOSE(CONTROL!$C$42, 500, 500)*CHOOSE(CONTROL!$C$42, 0.275, 0.275)*CHOOSE(CONTROL!$C$42, 31, 31))/1000000</f>
        <v>4.2625000000000002</v>
      </c>
      <c r="W641" s="57">
        <f>(1000*CHOOSE(CONTROL!$C$42, 0.1146, 0.1146)*CHOOSE(CONTROL!$C$42, 121.5, 121.5)*CHOOSE(CONTROL!$C$42, 31, 31))/1000000</f>
        <v>0.43164089999999994</v>
      </c>
      <c r="X641" s="57">
        <f>(31*0.1790888*245000/1000000)+(31*0.2374*100000/1000000)</f>
        <v>2.0961194359999999</v>
      </c>
      <c r="Y641" s="57"/>
      <c r="Z641" s="14"/>
      <c r="AA641" s="56"/>
      <c r="AB641" s="50">
        <f>(B641*194.205+C641*267.466+D641*133.845+E641*53.484+F641*40+G641*185+H641*0+I641*100+J641*300)/(194.205+267.466+133.845+53.484+0+40+185+100+300)</f>
        <v>40.429291121742544</v>
      </c>
      <c r="AC641" s="45">
        <f>(M641*'RAP TEMPLATE-GAS AVAILABILITY'!O640+N641*'RAP TEMPLATE-GAS AVAILABILITY'!P640+O641*'RAP TEMPLATE-GAS AVAILABILITY'!Q640+P641*'RAP TEMPLATE-GAS AVAILABILITY'!R640)/('RAP TEMPLATE-GAS AVAILABILITY'!O640+'RAP TEMPLATE-GAS AVAILABILITY'!P640+'RAP TEMPLATE-GAS AVAILABILITY'!Q640+'RAP TEMPLATE-GAS AVAILABILITY'!R640)</f>
        <v>39.683943165467625</v>
      </c>
    </row>
    <row r="642" spans="1:29" ht="15.75" x14ac:dyDescent="0.25">
      <c r="A642" s="32">
        <v>60448</v>
      </c>
      <c r="B642" s="14">
        <f>CHOOSE(CONTROL!$C$42, 41.5375, 41.5375) * CHOOSE(CONTROL!$C$21, $C$9, 100%, $E$9)</f>
        <v>41.537500000000001</v>
      </c>
      <c r="C642" s="14">
        <f>CHOOSE(CONTROL!$C$42, 41.5455, 41.5455) * CHOOSE(CONTROL!$C$21, $C$9, 100%, $E$9)</f>
        <v>41.545499999999997</v>
      </c>
      <c r="D642" s="14">
        <f>CHOOSE(CONTROL!$C$42, 41.7495, 41.7495) * CHOOSE(CONTROL!$C$21, $C$9, 100%, $E$9)</f>
        <v>41.749499999999998</v>
      </c>
      <c r="E642" s="14">
        <f>CHOOSE(CONTROL!$C$42, 41.7809, 41.7809) * CHOOSE(CONTROL!$C$21, $C$9, 100%, $E$9)</f>
        <v>41.780900000000003</v>
      </c>
      <c r="F642" s="14">
        <f>CHOOSE(CONTROL!$C$42, 41.5187, 41.5187)*CHOOSE(CONTROL!$C$21, $C$9, 100%, $E$9)</f>
        <v>41.518700000000003</v>
      </c>
      <c r="G642" s="14">
        <f>CHOOSE(CONTROL!$C$42, 41.5345, 41.5345)*CHOOSE(CONTROL!$C$21, $C$9, 100%, $E$9)</f>
        <v>41.534500000000001</v>
      </c>
      <c r="H642" s="14">
        <f>CHOOSE(CONTROL!$C$42, 41.7696, 41.7696) * CHOOSE(CONTROL!$C$21, $C$9, 100%, $E$9)</f>
        <v>41.769599999999997</v>
      </c>
      <c r="I642" s="14">
        <f>CHOOSE(CONTROL!$C$42, 41.673, 41.673)* CHOOSE(CONTROL!$C$21, $C$9, 100%, $E$9)</f>
        <v>41.673000000000002</v>
      </c>
      <c r="J642" s="14">
        <f>CHOOSE(CONTROL!$C$42, 41.5117, 41.5117)* CHOOSE(CONTROL!$C$21, $C$9, 100%, $E$9)</f>
        <v>41.511699999999998</v>
      </c>
      <c r="K642" s="53">
        <f>CHOOSE(CONTROL!$C$42, 41.6692, 41.6692) * CHOOSE(CONTROL!$C$21, $C$9, 100%, $E$9)</f>
        <v>41.669199999999996</v>
      </c>
      <c r="L642" s="14">
        <f>CHOOSE(CONTROL!$C$42, 42.3566, 42.3566) * CHOOSE(CONTROL!$C$21, $C$9, 100%, $E$9)</f>
        <v>42.3566</v>
      </c>
      <c r="M642" s="14">
        <f>CHOOSE(CONTROL!$C$42, 40.6688, 40.6688) * CHOOSE(CONTROL!$C$21, $C$9, 100%, $E$9)</f>
        <v>40.668799999999997</v>
      </c>
      <c r="N642" s="14">
        <f>CHOOSE(CONTROL!$C$42, 40.6843, 40.6843) * CHOOSE(CONTROL!$C$21, $C$9, 100%, $E$9)</f>
        <v>40.6843</v>
      </c>
      <c r="O642" s="14">
        <f>CHOOSE(CONTROL!$C$42, 40.9214, 40.9214) * CHOOSE(CONTROL!$C$21, $C$9, 100%, $E$9)</f>
        <v>40.921399999999998</v>
      </c>
      <c r="P642" s="14">
        <f>CHOOSE(CONTROL!$C$42, 40.8243, 40.8243) * CHOOSE(CONTROL!$C$21, $C$9, 100%, $E$9)</f>
        <v>40.824300000000001</v>
      </c>
      <c r="Q642" s="14">
        <f>CHOOSE(CONTROL!$C$42, 41.5161, 41.5161) * CHOOSE(CONTROL!$C$21, $C$9, 100%, $E$9)</f>
        <v>41.516100000000002</v>
      </c>
      <c r="R642" s="14">
        <f>CHOOSE(CONTROL!$C$42, 42.2069, 42.2069) * CHOOSE(CONTROL!$C$21, $C$9, 100%, $E$9)</f>
        <v>42.206899999999997</v>
      </c>
      <c r="S642" s="14">
        <f>CHOOSE(CONTROL!$C$42, 39.9028, 39.9028) * CHOOSE(CONTROL!$C$21, $C$9, 100%, $E$9)</f>
        <v>39.902799999999999</v>
      </c>
      <c r="T64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42" s="57">
        <f>(1000*CHOOSE(CONTROL!$C$42, 695, 695)*CHOOSE(CONTROL!$C$42, 0.5599, 0.5599)*CHOOSE(CONTROL!$C$42, 30, 30))/1000000</f>
        <v>11.673914999999997</v>
      </c>
      <c r="V642" s="57">
        <f>(1000*CHOOSE(CONTROL!$C$42, 500, 500)*CHOOSE(CONTROL!$C$42, 0.275, 0.275)*CHOOSE(CONTROL!$C$42, 30, 30))/1000000</f>
        <v>4.125</v>
      </c>
      <c r="W642" s="57">
        <f>(1000*CHOOSE(CONTROL!$C$42, 0.1146, 0.1146)*CHOOSE(CONTROL!$C$42, 121.5, 121.5)*CHOOSE(CONTROL!$C$42, 30, 30))/1000000</f>
        <v>0.417717</v>
      </c>
      <c r="X642" s="57">
        <f>(30*0.1790888*245000/1000000)+(30*0.2374*100000/1000000)</f>
        <v>2.0285026799999999</v>
      </c>
      <c r="Y642" s="57"/>
      <c r="Z642" s="14"/>
      <c r="AA642" s="56"/>
      <c r="AB642" s="50">
        <f>(B642*194.205+C642*267.466+D642*133.845+E642*53.484+F642*40+G642*185+H642*0+I642*100+J642*300)/(194.205+267.466+133.845+53.484+0+40+185+100+300)</f>
        <v>41.575204767346939</v>
      </c>
      <c r="AC642" s="45">
        <f>(M642*'RAP TEMPLATE-GAS AVAILABILITY'!O641+N642*'RAP TEMPLATE-GAS AVAILABILITY'!P641+O642*'RAP TEMPLATE-GAS AVAILABILITY'!Q641+P642*'RAP TEMPLATE-GAS AVAILABILITY'!R641)/('RAP TEMPLATE-GAS AVAILABILITY'!O641+'RAP TEMPLATE-GAS AVAILABILITY'!P641+'RAP TEMPLATE-GAS AVAILABILITY'!Q641+'RAP TEMPLATE-GAS AVAILABILITY'!R641)</f>
        <v>40.806553956834534</v>
      </c>
    </row>
    <row r="643" spans="1:29" ht="15.75" x14ac:dyDescent="0.25">
      <c r="A643" s="32">
        <v>60479</v>
      </c>
      <c r="B643" s="14">
        <f>CHOOSE(CONTROL!$C$42, 40.7409, 40.7409) * CHOOSE(CONTROL!$C$21, $C$9, 100%, $E$9)</f>
        <v>40.740900000000003</v>
      </c>
      <c r="C643" s="14">
        <f>CHOOSE(CONTROL!$C$42, 40.7489, 40.7489) * CHOOSE(CONTROL!$C$21, $C$9, 100%, $E$9)</f>
        <v>40.748899999999999</v>
      </c>
      <c r="D643" s="14">
        <f>CHOOSE(CONTROL!$C$42, 40.9528, 40.9528) * CHOOSE(CONTROL!$C$21, $C$9, 100%, $E$9)</f>
        <v>40.952800000000003</v>
      </c>
      <c r="E643" s="14">
        <f>CHOOSE(CONTROL!$C$42, 40.9843, 40.9843) * CHOOSE(CONTROL!$C$21, $C$9, 100%, $E$9)</f>
        <v>40.984299999999998</v>
      </c>
      <c r="F643" s="14">
        <f>CHOOSE(CONTROL!$C$42, 40.7225, 40.7225)*CHOOSE(CONTROL!$C$21, $C$9, 100%, $E$9)</f>
        <v>40.722499999999997</v>
      </c>
      <c r="G643" s="14">
        <f>CHOOSE(CONTROL!$C$42, 40.7384, 40.7384)*CHOOSE(CONTROL!$C$21, $C$9, 100%, $E$9)</f>
        <v>40.738399999999999</v>
      </c>
      <c r="H643" s="14">
        <f>CHOOSE(CONTROL!$C$42, 40.9729, 40.9729) * CHOOSE(CONTROL!$C$21, $C$9, 100%, $E$9)</f>
        <v>40.972900000000003</v>
      </c>
      <c r="I643" s="14">
        <f>CHOOSE(CONTROL!$C$42, 40.8739, 40.8739)* CHOOSE(CONTROL!$C$21, $C$9, 100%, $E$9)</f>
        <v>40.873899999999999</v>
      </c>
      <c r="J643" s="14">
        <f>CHOOSE(CONTROL!$C$42, 40.7155, 40.7155)* CHOOSE(CONTROL!$C$21, $C$9, 100%, $E$9)</f>
        <v>40.715499999999999</v>
      </c>
      <c r="K643" s="53">
        <f>CHOOSE(CONTROL!$C$42, 40.87, 40.87) * CHOOSE(CONTROL!$C$21, $C$9, 100%, $E$9)</f>
        <v>40.869999999999997</v>
      </c>
      <c r="L643" s="14">
        <f>CHOOSE(CONTROL!$C$42, 41.5599, 41.5599) * CHOOSE(CONTROL!$C$21, $C$9, 100%, $E$9)</f>
        <v>41.559899999999999</v>
      </c>
      <c r="M643" s="14">
        <f>CHOOSE(CONTROL!$C$42, 39.8889, 39.8889) * CHOOSE(CONTROL!$C$21, $C$9, 100%, $E$9)</f>
        <v>39.8889</v>
      </c>
      <c r="N643" s="14">
        <f>CHOOSE(CONTROL!$C$42, 39.9045, 39.9045) * CHOOSE(CONTROL!$C$21, $C$9, 100%, $E$9)</f>
        <v>39.904499999999999</v>
      </c>
      <c r="O643" s="14">
        <f>CHOOSE(CONTROL!$C$42, 40.1411, 40.1411) * CHOOSE(CONTROL!$C$21, $C$9, 100%, $E$9)</f>
        <v>40.141100000000002</v>
      </c>
      <c r="P643" s="14">
        <f>CHOOSE(CONTROL!$C$42, 40.0416, 40.0416) * CHOOSE(CONTROL!$C$21, $C$9, 100%, $E$9)</f>
        <v>40.041600000000003</v>
      </c>
      <c r="Q643" s="14">
        <f>CHOOSE(CONTROL!$C$42, 40.7358, 40.7358) * CHOOSE(CONTROL!$C$21, $C$9, 100%, $E$9)</f>
        <v>40.735799999999998</v>
      </c>
      <c r="R643" s="14">
        <f>CHOOSE(CONTROL!$C$42, 41.4246, 41.4246) * CHOOSE(CONTROL!$C$21, $C$9, 100%, $E$9)</f>
        <v>41.424599999999998</v>
      </c>
      <c r="S643" s="14">
        <f>CHOOSE(CONTROL!$C$42, 39.1373, 39.1373) * CHOOSE(CONTROL!$C$21, $C$9, 100%, $E$9)</f>
        <v>39.137300000000003</v>
      </c>
      <c r="T64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43" s="57">
        <f>(1000*CHOOSE(CONTROL!$C$42, 695, 695)*CHOOSE(CONTROL!$C$42, 0.5599, 0.5599)*CHOOSE(CONTROL!$C$42, 31, 31))/1000000</f>
        <v>12.063045499999998</v>
      </c>
      <c r="V643" s="57">
        <f>(1000*CHOOSE(CONTROL!$C$42, 500, 500)*CHOOSE(CONTROL!$C$42, 0.275, 0.275)*CHOOSE(CONTROL!$C$42, 31, 31))/1000000</f>
        <v>4.2625000000000002</v>
      </c>
      <c r="W643" s="57">
        <f>(1000*CHOOSE(CONTROL!$C$42, 0.1146, 0.1146)*CHOOSE(CONTROL!$C$42, 121.5, 121.5)*CHOOSE(CONTROL!$C$42, 31, 31))/1000000</f>
        <v>0.43164089999999994</v>
      </c>
      <c r="X643" s="57">
        <f>(31*0.1790888*245000/1000000)+(31*0.2374*100000/1000000)</f>
        <v>2.0961194359999999</v>
      </c>
      <c r="Y643" s="57"/>
      <c r="Z643" s="14"/>
      <c r="AA643" s="56"/>
      <c r="AB643" s="50">
        <f>(B643*194.205+C643*267.466+D643*133.845+E643*53.484+F643*40+G643*185+H643*0+I643*100+J643*300)/(194.205+267.466+133.845+53.484+0+40+185+100+300)</f>
        <v>40.778577385478812</v>
      </c>
      <c r="AC643" s="45">
        <f>(M643*'RAP TEMPLATE-GAS AVAILABILITY'!O642+N643*'RAP TEMPLATE-GAS AVAILABILITY'!P642+O643*'RAP TEMPLATE-GAS AVAILABILITY'!Q642+P643*'RAP TEMPLATE-GAS AVAILABILITY'!R642)/('RAP TEMPLATE-GAS AVAILABILITY'!O642+'RAP TEMPLATE-GAS AVAILABILITY'!P642+'RAP TEMPLATE-GAS AVAILABILITY'!Q642+'RAP TEMPLATE-GAS AVAILABILITY'!R642)</f>
        <v>40.026075539568346</v>
      </c>
    </row>
    <row r="644" spans="1:29" ht="15.75" x14ac:dyDescent="0.25">
      <c r="A644" s="32">
        <v>60510</v>
      </c>
      <c r="B644" s="14">
        <f>CHOOSE(CONTROL!$C$42, 38.7291, 38.7291) * CHOOSE(CONTROL!$C$21, $C$9, 100%, $E$9)</f>
        <v>38.729100000000003</v>
      </c>
      <c r="C644" s="14">
        <f>CHOOSE(CONTROL!$C$42, 38.7371, 38.7371) * CHOOSE(CONTROL!$C$21, $C$9, 100%, $E$9)</f>
        <v>38.737099999999998</v>
      </c>
      <c r="D644" s="14">
        <f>CHOOSE(CONTROL!$C$42, 38.941, 38.941) * CHOOSE(CONTROL!$C$21, $C$9, 100%, $E$9)</f>
        <v>38.941000000000003</v>
      </c>
      <c r="E644" s="14">
        <f>CHOOSE(CONTROL!$C$42, 38.9725, 38.9725) * CHOOSE(CONTROL!$C$21, $C$9, 100%, $E$9)</f>
        <v>38.972499999999997</v>
      </c>
      <c r="F644" s="14">
        <f>CHOOSE(CONTROL!$C$42, 38.7109, 38.7109)*CHOOSE(CONTROL!$C$21, $C$9, 100%, $E$9)</f>
        <v>38.710900000000002</v>
      </c>
      <c r="G644" s="14">
        <f>CHOOSE(CONTROL!$C$42, 38.7269, 38.7269)*CHOOSE(CONTROL!$C$21, $C$9, 100%, $E$9)</f>
        <v>38.726900000000001</v>
      </c>
      <c r="H644" s="14">
        <f>CHOOSE(CONTROL!$C$42, 38.9611, 38.9611) * CHOOSE(CONTROL!$C$21, $C$9, 100%, $E$9)</f>
        <v>38.961100000000002</v>
      </c>
      <c r="I644" s="14">
        <f>CHOOSE(CONTROL!$C$42, 38.8558, 38.8558)* CHOOSE(CONTROL!$C$21, $C$9, 100%, $E$9)</f>
        <v>38.855800000000002</v>
      </c>
      <c r="J644" s="14">
        <f>CHOOSE(CONTROL!$C$42, 38.7039, 38.7039)* CHOOSE(CONTROL!$C$21, $C$9, 100%, $E$9)</f>
        <v>38.703899999999997</v>
      </c>
      <c r="K644" s="53">
        <f>CHOOSE(CONTROL!$C$42, 38.8519, 38.8519) * CHOOSE(CONTROL!$C$21, $C$9, 100%, $E$9)</f>
        <v>38.851900000000001</v>
      </c>
      <c r="L644" s="14">
        <f>CHOOSE(CONTROL!$C$42, 39.5481, 39.5481) * CHOOSE(CONTROL!$C$21, $C$9, 100%, $E$9)</f>
        <v>39.548099999999998</v>
      </c>
      <c r="M644" s="14">
        <f>CHOOSE(CONTROL!$C$42, 37.9186, 37.9186) * CHOOSE(CONTROL!$C$21, $C$9, 100%, $E$9)</f>
        <v>37.918599999999998</v>
      </c>
      <c r="N644" s="14">
        <f>CHOOSE(CONTROL!$C$42, 37.9342, 37.9342) * CHOOSE(CONTROL!$C$21, $C$9, 100%, $E$9)</f>
        <v>37.934199999999997</v>
      </c>
      <c r="O644" s="14">
        <f>CHOOSE(CONTROL!$C$42, 38.1705, 38.1705) * CHOOSE(CONTROL!$C$21, $C$9, 100%, $E$9)</f>
        <v>38.170499999999997</v>
      </c>
      <c r="P644" s="14">
        <f>CHOOSE(CONTROL!$C$42, 38.065, 38.065) * CHOOSE(CONTROL!$C$21, $C$9, 100%, $E$9)</f>
        <v>38.064999999999998</v>
      </c>
      <c r="Q644" s="14">
        <f>CHOOSE(CONTROL!$C$42, 38.7652, 38.7652) * CHOOSE(CONTROL!$C$21, $C$9, 100%, $E$9)</f>
        <v>38.7652</v>
      </c>
      <c r="R644" s="14">
        <f>CHOOSE(CONTROL!$C$42, 39.4491, 39.4491) * CHOOSE(CONTROL!$C$21, $C$9, 100%, $E$9)</f>
        <v>39.449100000000001</v>
      </c>
      <c r="S644" s="14">
        <f>CHOOSE(CONTROL!$C$42, 37.2041, 37.2041) * CHOOSE(CONTROL!$C$21, $C$9, 100%, $E$9)</f>
        <v>37.204099999999997</v>
      </c>
      <c r="T64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44" s="57">
        <f>(1000*CHOOSE(CONTROL!$C$42, 695, 695)*CHOOSE(CONTROL!$C$42, 0.5599, 0.5599)*CHOOSE(CONTROL!$C$42, 31, 31))/1000000</f>
        <v>12.063045499999998</v>
      </c>
      <c r="V644" s="57">
        <f>(1000*CHOOSE(CONTROL!$C$42, 500, 500)*CHOOSE(CONTROL!$C$42, 0.275, 0.275)*CHOOSE(CONTROL!$C$42, 31, 31))/1000000</f>
        <v>4.2625000000000002</v>
      </c>
      <c r="W644" s="57">
        <f>(1000*CHOOSE(CONTROL!$C$42, 0.1146, 0.1146)*CHOOSE(CONTROL!$C$42, 121.5, 121.5)*CHOOSE(CONTROL!$C$42, 31, 31))/1000000</f>
        <v>0.43164089999999994</v>
      </c>
      <c r="X644" s="57">
        <f>(31*0.1790888*245000/1000000)+(31*0.2374*100000/1000000)</f>
        <v>2.0961194359999999</v>
      </c>
      <c r="Y644" s="57"/>
      <c r="Z644" s="14"/>
      <c r="AA644" s="56"/>
      <c r="AB644" s="50">
        <f>(B644*194.205+C644*267.466+D644*133.845+E644*53.484+F644*40+G644*185+H644*0+I644*100+J644*300)/(194.205+267.466+133.845+53.484+0+40+185+100+300)</f>
        <v>38.766379818759816</v>
      </c>
      <c r="AC644" s="45">
        <f>(M644*'RAP TEMPLATE-GAS AVAILABILITY'!O643+N644*'RAP TEMPLATE-GAS AVAILABILITY'!P643+O644*'RAP TEMPLATE-GAS AVAILABILITY'!Q643+P644*'RAP TEMPLATE-GAS AVAILABILITY'!R643)/('RAP TEMPLATE-GAS AVAILABILITY'!O643+'RAP TEMPLATE-GAS AVAILABILITY'!P643+'RAP TEMPLATE-GAS AVAILABILITY'!Q643+'RAP TEMPLATE-GAS AVAILABILITY'!R643)</f>
        <v>38.054733093525179</v>
      </c>
    </row>
    <row r="645" spans="1:29" ht="15.75" x14ac:dyDescent="0.25">
      <c r="A645" s="32">
        <v>60540</v>
      </c>
      <c r="B645" s="14">
        <f>CHOOSE(CONTROL!$C$42, 36.2706, 36.2706) * CHOOSE(CONTROL!$C$21, $C$9, 100%, $E$9)</f>
        <v>36.270600000000002</v>
      </c>
      <c r="C645" s="14">
        <f>CHOOSE(CONTROL!$C$42, 36.2786, 36.2786) * CHOOSE(CONTROL!$C$21, $C$9, 100%, $E$9)</f>
        <v>36.278599999999997</v>
      </c>
      <c r="D645" s="14">
        <f>CHOOSE(CONTROL!$C$42, 36.4826, 36.4826) * CHOOSE(CONTROL!$C$21, $C$9, 100%, $E$9)</f>
        <v>36.482599999999998</v>
      </c>
      <c r="E645" s="14">
        <f>CHOOSE(CONTROL!$C$42, 36.514, 36.514) * CHOOSE(CONTROL!$C$21, $C$9, 100%, $E$9)</f>
        <v>36.514000000000003</v>
      </c>
      <c r="F645" s="14">
        <f>CHOOSE(CONTROL!$C$42, 36.2525, 36.2525)*CHOOSE(CONTROL!$C$21, $C$9, 100%, $E$9)</f>
        <v>36.252499999999998</v>
      </c>
      <c r="G645" s="14">
        <f>CHOOSE(CONTROL!$C$42, 36.2685, 36.2685)*CHOOSE(CONTROL!$C$21, $C$9, 100%, $E$9)</f>
        <v>36.268500000000003</v>
      </c>
      <c r="H645" s="14">
        <f>CHOOSE(CONTROL!$C$42, 36.5027, 36.5027) * CHOOSE(CONTROL!$C$21, $C$9, 100%, $E$9)</f>
        <v>36.502699999999997</v>
      </c>
      <c r="I645" s="14">
        <f>CHOOSE(CONTROL!$C$42, 36.3896, 36.3896)* CHOOSE(CONTROL!$C$21, $C$9, 100%, $E$9)</f>
        <v>36.389600000000002</v>
      </c>
      <c r="J645" s="14">
        <f>CHOOSE(CONTROL!$C$42, 36.2455, 36.2455)* CHOOSE(CONTROL!$C$21, $C$9, 100%, $E$9)</f>
        <v>36.2455</v>
      </c>
      <c r="K645" s="53">
        <f>CHOOSE(CONTROL!$C$42, 36.3858, 36.3858) * CHOOSE(CONTROL!$C$21, $C$9, 100%, $E$9)</f>
        <v>36.385800000000003</v>
      </c>
      <c r="L645" s="14">
        <f>CHOOSE(CONTROL!$C$42, 37.0897, 37.0897) * CHOOSE(CONTROL!$C$21, $C$9, 100%, $E$9)</f>
        <v>37.089700000000001</v>
      </c>
      <c r="M645" s="14">
        <f>CHOOSE(CONTROL!$C$42, 35.5106, 35.5106) * CHOOSE(CONTROL!$C$21, $C$9, 100%, $E$9)</f>
        <v>35.510599999999997</v>
      </c>
      <c r="N645" s="14">
        <f>CHOOSE(CONTROL!$C$42, 35.5262, 35.5262) * CHOOSE(CONTROL!$C$21, $C$9, 100%, $E$9)</f>
        <v>35.526200000000003</v>
      </c>
      <c r="O645" s="14">
        <f>CHOOSE(CONTROL!$C$42, 35.7624, 35.7624) * CHOOSE(CONTROL!$C$21, $C$9, 100%, $E$9)</f>
        <v>35.7624</v>
      </c>
      <c r="P645" s="14">
        <f>CHOOSE(CONTROL!$C$42, 35.6495, 35.6495) * CHOOSE(CONTROL!$C$21, $C$9, 100%, $E$9)</f>
        <v>35.649500000000003</v>
      </c>
      <c r="Q645" s="14">
        <f>CHOOSE(CONTROL!$C$42, 36.3571, 36.3571) * CHOOSE(CONTROL!$C$21, $C$9, 100%, $E$9)</f>
        <v>36.357100000000003</v>
      </c>
      <c r="R645" s="14">
        <f>CHOOSE(CONTROL!$C$42, 37.035, 37.035) * CHOOSE(CONTROL!$C$21, $C$9, 100%, $E$9)</f>
        <v>37.034999999999997</v>
      </c>
      <c r="S645" s="14">
        <f>CHOOSE(CONTROL!$C$42, 34.8418, 34.8418) * CHOOSE(CONTROL!$C$21, $C$9, 100%, $E$9)</f>
        <v>34.841799999999999</v>
      </c>
      <c r="T64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45" s="57">
        <f>(1000*CHOOSE(CONTROL!$C$42, 695, 695)*CHOOSE(CONTROL!$C$42, 0.5599, 0.5599)*CHOOSE(CONTROL!$C$42, 30, 30))/1000000</f>
        <v>11.673914999999997</v>
      </c>
      <c r="V645" s="57">
        <f>(1000*CHOOSE(CONTROL!$C$42, 500, 500)*CHOOSE(CONTROL!$C$42, 0.275, 0.275)*CHOOSE(CONTROL!$C$42, 30, 30))/1000000</f>
        <v>4.125</v>
      </c>
      <c r="W645" s="57">
        <f>(1000*CHOOSE(CONTROL!$C$42, 0.1146, 0.1146)*CHOOSE(CONTROL!$C$42, 121.5, 121.5)*CHOOSE(CONTROL!$C$42, 30, 30))/1000000</f>
        <v>0.417717</v>
      </c>
      <c r="X645" s="57">
        <f>(30*0.1790888*245000/1000000)+(30*0.2374*100000/1000000)</f>
        <v>2.0285026799999999</v>
      </c>
      <c r="Y645" s="57"/>
      <c r="Z645" s="14"/>
      <c r="AA645" s="56"/>
      <c r="AB645" s="50">
        <f>(B645*194.205+C645*267.466+D645*133.845+E645*53.484+F645*40+G645*185+H645*0+I645*100+J645*300)/(194.205+267.466+133.845+53.484+0+40+185+100+300)</f>
        <v>36.307327137833596</v>
      </c>
      <c r="AC645" s="45">
        <f>(M645*'RAP TEMPLATE-GAS AVAILABILITY'!O644+N645*'RAP TEMPLATE-GAS AVAILABILITY'!P644+O645*'RAP TEMPLATE-GAS AVAILABILITY'!Q644+P645*'RAP TEMPLATE-GAS AVAILABILITY'!R644)/('RAP TEMPLATE-GAS AVAILABILITY'!O644+'RAP TEMPLATE-GAS AVAILABILITY'!P644+'RAP TEMPLATE-GAS AVAILABILITY'!Q644+'RAP TEMPLATE-GAS AVAILABILITY'!R644)</f>
        <v>35.645608633093524</v>
      </c>
    </row>
    <row r="646" spans="1:29" ht="15.75" x14ac:dyDescent="0.25">
      <c r="A646" s="32">
        <v>60571</v>
      </c>
      <c r="B646" s="14">
        <f>CHOOSE(CONTROL!$C$42, 35.5326, 35.5326) * CHOOSE(CONTROL!$C$21, $C$9, 100%, $E$9)</f>
        <v>35.532600000000002</v>
      </c>
      <c r="C646" s="14">
        <f>CHOOSE(CONTROL!$C$42, 35.538, 35.538) * CHOOSE(CONTROL!$C$21, $C$9, 100%, $E$9)</f>
        <v>35.537999999999997</v>
      </c>
      <c r="D646" s="14">
        <f>CHOOSE(CONTROL!$C$42, 35.7469, 35.7469) * CHOOSE(CONTROL!$C$21, $C$9, 100%, $E$9)</f>
        <v>35.746899999999997</v>
      </c>
      <c r="E646" s="14">
        <f>CHOOSE(CONTROL!$C$42, 35.776, 35.776) * CHOOSE(CONTROL!$C$21, $C$9, 100%, $E$9)</f>
        <v>35.776000000000003</v>
      </c>
      <c r="F646" s="14">
        <f>CHOOSE(CONTROL!$C$42, 35.5166, 35.5166)*CHOOSE(CONTROL!$C$21, $C$9, 100%, $E$9)</f>
        <v>35.516599999999997</v>
      </c>
      <c r="G646" s="14">
        <f>CHOOSE(CONTROL!$C$42, 35.5323, 35.5323)*CHOOSE(CONTROL!$C$21, $C$9, 100%, $E$9)</f>
        <v>35.532299999999999</v>
      </c>
      <c r="H646" s="14">
        <f>CHOOSE(CONTROL!$C$42, 35.7665, 35.7665) * CHOOSE(CONTROL!$C$21, $C$9, 100%, $E$9)</f>
        <v>35.766500000000001</v>
      </c>
      <c r="I646" s="14">
        <f>CHOOSE(CONTROL!$C$42, 35.6511, 35.6511)* CHOOSE(CONTROL!$C$21, $C$9, 100%, $E$9)</f>
        <v>35.6511</v>
      </c>
      <c r="J646" s="14">
        <f>CHOOSE(CONTROL!$C$42, 35.5096, 35.5096)* CHOOSE(CONTROL!$C$21, $C$9, 100%, $E$9)</f>
        <v>35.509599999999999</v>
      </c>
      <c r="K646" s="53">
        <f>CHOOSE(CONTROL!$C$42, 35.6472, 35.6472) * CHOOSE(CONTROL!$C$21, $C$9, 100%, $E$9)</f>
        <v>35.647199999999998</v>
      </c>
      <c r="L646" s="14">
        <f>CHOOSE(CONTROL!$C$42, 36.3535, 36.3535) * CHOOSE(CONTROL!$C$21, $C$9, 100%, $E$9)</f>
        <v>36.353499999999997</v>
      </c>
      <c r="M646" s="14">
        <f>CHOOSE(CONTROL!$C$42, 34.7898, 34.7898) * CHOOSE(CONTROL!$C$21, $C$9, 100%, $E$9)</f>
        <v>34.7898</v>
      </c>
      <c r="N646" s="14">
        <f>CHOOSE(CONTROL!$C$42, 34.8051, 34.8051) * CHOOSE(CONTROL!$C$21, $C$9, 100%, $E$9)</f>
        <v>34.805100000000003</v>
      </c>
      <c r="O646" s="14">
        <f>CHOOSE(CONTROL!$C$42, 35.0413, 35.0413) * CHOOSE(CONTROL!$C$21, $C$9, 100%, $E$9)</f>
        <v>35.0413</v>
      </c>
      <c r="P646" s="14">
        <f>CHOOSE(CONTROL!$C$42, 34.9262, 34.9262) * CHOOSE(CONTROL!$C$21, $C$9, 100%, $E$9)</f>
        <v>34.926200000000001</v>
      </c>
      <c r="Q646" s="14">
        <f>CHOOSE(CONTROL!$C$42, 35.636, 35.636) * CHOOSE(CONTROL!$C$21, $C$9, 100%, $E$9)</f>
        <v>35.636000000000003</v>
      </c>
      <c r="R646" s="14">
        <f>CHOOSE(CONTROL!$C$42, 36.3121, 36.3121) * CHOOSE(CONTROL!$C$21, $C$9, 100%, $E$9)</f>
        <v>36.312100000000001</v>
      </c>
      <c r="S646" s="14">
        <f>CHOOSE(CONTROL!$C$42, 34.1344, 34.1344) * CHOOSE(CONTROL!$C$21, $C$9, 100%, $E$9)</f>
        <v>34.134399999999999</v>
      </c>
      <c r="T64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46" s="57">
        <f>(1000*CHOOSE(CONTROL!$C$42, 695, 695)*CHOOSE(CONTROL!$C$42, 0.5599, 0.5599)*CHOOSE(CONTROL!$C$42, 31, 31))/1000000</f>
        <v>12.063045499999998</v>
      </c>
      <c r="V646" s="57">
        <f>(1000*CHOOSE(CONTROL!$C$42, 500, 500)*CHOOSE(CONTROL!$C$42, 0.275, 0.275)*CHOOSE(CONTROL!$C$42, 31, 31))/1000000</f>
        <v>4.2625000000000002</v>
      </c>
      <c r="W646" s="57">
        <f>(1000*CHOOSE(CONTROL!$C$42, 0.1146, 0.1146)*CHOOSE(CONTROL!$C$42, 121.5, 121.5)*CHOOSE(CONTROL!$C$42, 31, 31))/1000000</f>
        <v>0.43164089999999994</v>
      </c>
      <c r="X646" s="57">
        <f>(31*0.1790888*245000/1000000)+(31*0.2374*100000/1000000)</f>
        <v>2.0961194359999999</v>
      </c>
      <c r="Y646" s="57"/>
      <c r="Z646" s="14"/>
      <c r="AA646" s="56"/>
      <c r="AB646" s="50">
        <f>(B646*131.881+C646*277.167+D646*79.08+E646*125.872+F646*40+G646*185+H646*0+I646*100+J646*300)/(131.881+277.167+79.08+125.872+0+40+185+100+300)</f>
        <v>35.575647046489095</v>
      </c>
      <c r="AC646" s="45">
        <f>(M646*'RAP TEMPLATE-GAS AVAILABILITY'!O645+N646*'RAP TEMPLATE-GAS AVAILABILITY'!P645+O646*'RAP TEMPLATE-GAS AVAILABILITY'!Q645+P646*'RAP TEMPLATE-GAS AVAILABILITY'!R645)/('RAP TEMPLATE-GAS AVAILABILITY'!O645+'RAP TEMPLATE-GAS AVAILABILITY'!P645+'RAP TEMPLATE-GAS AVAILABILITY'!Q645+'RAP TEMPLATE-GAS AVAILABILITY'!R645)</f>
        <v>34.924295683453238</v>
      </c>
    </row>
    <row r="647" spans="1:29" ht="15.75" x14ac:dyDescent="0.25">
      <c r="A647" s="32">
        <v>60601</v>
      </c>
      <c r="B647" s="14">
        <f>CHOOSE(CONTROL!$C$42, 36.4681, 36.4681) * CHOOSE(CONTROL!$C$21, $C$9, 100%, $E$9)</f>
        <v>36.4681</v>
      </c>
      <c r="C647" s="14">
        <f>CHOOSE(CONTROL!$C$42, 36.4731, 36.4731) * CHOOSE(CONTROL!$C$21, $C$9, 100%, $E$9)</f>
        <v>36.473100000000002</v>
      </c>
      <c r="D647" s="14">
        <f>CHOOSE(CONTROL!$C$42, 36.5369, 36.5369) * CHOOSE(CONTROL!$C$21, $C$9, 100%, $E$9)</f>
        <v>36.536900000000003</v>
      </c>
      <c r="E647" s="14">
        <f>CHOOSE(CONTROL!$C$42, 36.571, 36.571) * CHOOSE(CONTROL!$C$21, $C$9, 100%, $E$9)</f>
        <v>36.570999999999998</v>
      </c>
      <c r="F647" s="14">
        <f>CHOOSE(CONTROL!$C$42, 36.4705, 36.4705)*CHOOSE(CONTROL!$C$21, $C$9, 100%, $E$9)</f>
        <v>36.470500000000001</v>
      </c>
      <c r="G647" s="14">
        <f>CHOOSE(CONTROL!$C$42, 36.4865, 36.4865)*CHOOSE(CONTROL!$C$21, $C$9, 100%, $E$9)</f>
        <v>36.486499999999999</v>
      </c>
      <c r="H647" s="14">
        <f>CHOOSE(CONTROL!$C$42, 36.5602, 36.5602) * CHOOSE(CONTROL!$C$21, $C$9, 100%, $E$9)</f>
        <v>36.560200000000002</v>
      </c>
      <c r="I647" s="14">
        <f>CHOOSE(CONTROL!$C$42, 36.5951, 36.5951)* CHOOSE(CONTROL!$C$21, $C$9, 100%, $E$9)</f>
        <v>36.595100000000002</v>
      </c>
      <c r="J647" s="14">
        <f>CHOOSE(CONTROL!$C$42, 36.4635, 36.4635)* CHOOSE(CONTROL!$C$21, $C$9, 100%, $E$9)</f>
        <v>36.463500000000003</v>
      </c>
      <c r="K647" s="53">
        <f>CHOOSE(CONTROL!$C$42, 36.5912, 36.5912) * CHOOSE(CONTROL!$C$21, $C$9, 100%, $E$9)</f>
        <v>36.591200000000001</v>
      </c>
      <c r="L647" s="14">
        <f>CHOOSE(CONTROL!$C$42, 37.1472, 37.1472) * CHOOSE(CONTROL!$C$21, $C$9, 100%, $E$9)</f>
        <v>37.147199999999998</v>
      </c>
      <c r="M647" s="14">
        <f>CHOOSE(CONTROL!$C$42, 35.724, 35.724) * CHOOSE(CONTROL!$C$21, $C$9, 100%, $E$9)</f>
        <v>35.723999999999997</v>
      </c>
      <c r="N647" s="14">
        <f>CHOOSE(CONTROL!$C$42, 35.7397, 35.7397) * CHOOSE(CONTROL!$C$21, $C$9, 100%, $E$9)</f>
        <v>35.739699999999999</v>
      </c>
      <c r="O647" s="14">
        <f>CHOOSE(CONTROL!$C$42, 35.8188, 35.8188) * CHOOSE(CONTROL!$C$21, $C$9, 100%, $E$9)</f>
        <v>35.818800000000003</v>
      </c>
      <c r="P647" s="14">
        <f>CHOOSE(CONTROL!$C$42, 35.8508, 35.8508) * CHOOSE(CONTROL!$C$21, $C$9, 100%, $E$9)</f>
        <v>35.8508</v>
      </c>
      <c r="Q647" s="14">
        <f>CHOOSE(CONTROL!$C$42, 36.4135, 36.4135) * CHOOSE(CONTROL!$C$21, $C$9, 100%, $E$9)</f>
        <v>36.413499999999999</v>
      </c>
      <c r="R647" s="14">
        <f>CHOOSE(CONTROL!$C$42, 37.0916, 37.0916) * CHOOSE(CONTROL!$C$21, $C$9, 100%, $E$9)</f>
        <v>37.0916</v>
      </c>
      <c r="S647" s="14">
        <f>CHOOSE(CONTROL!$C$42, 35.0336, 35.0336) * CHOOSE(CONTROL!$C$21, $C$9, 100%, $E$9)</f>
        <v>35.0336</v>
      </c>
      <c r="T64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47" s="57">
        <f>(1000*CHOOSE(CONTROL!$C$42, 695, 695)*CHOOSE(CONTROL!$C$42, 0.5599, 0.5599)*CHOOSE(CONTROL!$C$42, 30, 30))/1000000</f>
        <v>11.673914999999997</v>
      </c>
      <c r="V647" s="57">
        <f>(1000*CHOOSE(CONTROL!$C$42, 500, 500)*CHOOSE(CONTROL!$C$42, 0.275, 0.275)*CHOOSE(CONTROL!$C$42, 30, 30))/1000000</f>
        <v>4.125</v>
      </c>
      <c r="W647" s="57">
        <f>(1000*CHOOSE(CONTROL!$C$42, 0.1146, 0.1146)*CHOOSE(CONTROL!$C$42, 121.5, 121.5)*CHOOSE(CONTROL!$C$42, 30, 30))/1000000</f>
        <v>0.417717</v>
      </c>
      <c r="X647" s="57">
        <f>(30*0.1790888*100000/1000000)+(30*0.2374*100000/1000000)</f>
        <v>1.2494664</v>
      </c>
      <c r="Y647" s="57"/>
      <c r="Z647" s="14"/>
      <c r="AA647" s="56"/>
      <c r="AB647" s="50">
        <f>(B647*122.58+C647*297.941+D647*89.177+E647*40.302+F647*40+G647*160+H647*0+I647*100+J647*300)/(122.58+297.941+89.177+40.302+0+40+160+100+300)</f>
        <v>36.490823616</v>
      </c>
      <c r="AC647" s="45">
        <f>(M647*'RAP TEMPLATE-GAS AVAILABILITY'!O646+N647*'RAP TEMPLATE-GAS AVAILABILITY'!P646+O647*'RAP TEMPLATE-GAS AVAILABILITY'!Q646+P647*'RAP TEMPLATE-GAS AVAILABILITY'!R646)/('RAP TEMPLATE-GAS AVAILABILITY'!O646+'RAP TEMPLATE-GAS AVAILABILITY'!P646+'RAP TEMPLATE-GAS AVAILABILITY'!Q646+'RAP TEMPLATE-GAS AVAILABILITY'!R646)</f>
        <v>35.786115107913666</v>
      </c>
    </row>
    <row r="648" spans="1:29" ht="15.75" x14ac:dyDescent="0.25">
      <c r="A648" s="32">
        <v>60632</v>
      </c>
      <c r="B648" s="14">
        <f>CHOOSE(CONTROL!$C$42, 38.9538, 38.9538) * CHOOSE(CONTROL!$C$21, $C$9, 100%, $E$9)</f>
        <v>38.953800000000001</v>
      </c>
      <c r="C648" s="14">
        <f>CHOOSE(CONTROL!$C$42, 38.9588, 38.9588) * CHOOSE(CONTROL!$C$21, $C$9, 100%, $E$9)</f>
        <v>38.958799999999997</v>
      </c>
      <c r="D648" s="14">
        <f>CHOOSE(CONTROL!$C$42, 39.0227, 39.0227) * CHOOSE(CONTROL!$C$21, $C$9, 100%, $E$9)</f>
        <v>39.0227</v>
      </c>
      <c r="E648" s="14">
        <f>CHOOSE(CONTROL!$C$42, 39.0568, 39.0568) * CHOOSE(CONTROL!$C$21, $C$9, 100%, $E$9)</f>
        <v>39.056800000000003</v>
      </c>
      <c r="F648" s="14">
        <f>CHOOSE(CONTROL!$C$42, 38.9584, 38.9584)*CHOOSE(CONTROL!$C$21, $C$9, 100%, $E$9)</f>
        <v>38.958399999999997</v>
      </c>
      <c r="G648" s="14">
        <f>CHOOSE(CONTROL!$C$42, 38.975, 38.975)*CHOOSE(CONTROL!$C$21, $C$9, 100%, $E$9)</f>
        <v>38.975000000000001</v>
      </c>
      <c r="H648" s="14">
        <f>CHOOSE(CONTROL!$C$42, 39.046, 39.046) * CHOOSE(CONTROL!$C$21, $C$9, 100%, $E$9)</f>
        <v>39.045999999999999</v>
      </c>
      <c r="I648" s="14">
        <f>CHOOSE(CONTROL!$C$42, 39.0886, 39.0886)* CHOOSE(CONTROL!$C$21, $C$9, 100%, $E$9)</f>
        <v>39.0886</v>
      </c>
      <c r="J648" s="14">
        <f>CHOOSE(CONTROL!$C$42, 38.9514, 38.9514)* CHOOSE(CONTROL!$C$21, $C$9, 100%, $E$9)</f>
        <v>38.9514</v>
      </c>
      <c r="K648" s="53">
        <f>CHOOSE(CONTROL!$C$42, 39.0847, 39.0847) * CHOOSE(CONTROL!$C$21, $C$9, 100%, $E$9)</f>
        <v>39.084699999999998</v>
      </c>
      <c r="L648" s="14">
        <f>CHOOSE(CONTROL!$C$42, 39.633, 39.633) * CHOOSE(CONTROL!$C$21, $C$9, 100%, $E$9)</f>
        <v>39.633000000000003</v>
      </c>
      <c r="M648" s="14">
        <f>CHOOSE(CONTROL!$C$42, 38.161, 38.161) * CHOOSE(CONTROL!$C$21, $C$9, 100%, $E$9)</f>
        <v>38.161000000000001</v>
      </c>
      <c r="N648" s="14">
        <f>CHOOSE(CONTROL!$C$42, 38.1773, 38.1773) * CHOOSE(CONTROL!$C$21, $C$9, 100%, $E$9)</f>
        <v>38.177300000000002</v>
      </c>
      <c r="O648" s="14">
        <f>CHOOSE(CONTROL!$C$42, 38.2536, 38.2536) * CHOOSE(CONTROL!$C$21, $C$9, 100%, $E$9)</f>
        <v>38.253599999999999</v>
      </c>
      <c r="P648" s="14">
        <f>CHOOSE(CONTROL!$C$42, 38.293, 38.293) * CHOOSE(CONTROL!$C$21, $C$9, 100%, $E$9)</f>
        <v>38.292999999999999</v>
      </c>
      <c r="Q648" s="14">
        <f>CHOOSE(CONTROL!$C$42, 38.8483, 38.8483) * CHOOSE(CONTROL!$C$21, $C$9, 100%, $E$9)</f>
        <v>38.848300000000002</v>
      </c>
      <c r="R648" s="14">
        <f>CHOOSE(CONTROL!$C$42, 39.5324, 39.5324) * CHOOSE(CONTROL!$C$21, $C$9, 100%, $E$9)</f>
        <v>39.532400000000003</v>
      </c>
      <c r="S648" s="14">
        <f>CHOOSE(CONTROL!$C$42, 37.4221, 37.4221) * CHOOSE(CONTROL!$C$21, $C$9, 100%, $E$9)</f>
        <v>37.4221</v>
      </c>
      <c r="T64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48" s="57">
        <f>(1000*CHOOSE(CONTROL!$C$42, 695, 695)*CHOOSE(CONTROL!$C$42, 0.5599, 0.5599)*CHOOSE(CONTROL!$C$42, 31, 31))/1000000</f>
        <v>12.063045499999998</v>
      </c>
      <c r="V648" s="57">
        <f>(1000*CHOOSE(CONTROL!$C$42, 500, 500)*CHOOSE(CONTROL!$C$42, 0.275, 0.275)*CHOOSE(CONTROL!$C$42, 31, 31))/1000000</f>
        <v>4.2625000000000002</v>
      </c>
      <c r="W648" s="57">
        <f>(1000*CHOOSE(CONTROL!$C$42, 0.1146, 0.1146)*CHOOSE(CONTROL!$C$42, 121.5, 121.5)*CHOOSE(CONTROL!$C$42, 31, 31))/1000000</f>
        <v>0.43164089999999994</v>
      </c>
      <c r="X648" s="57">
        <f>(31*0.1790888*100000/1000000)+(31*0.2374*100000/1000000)</f>
        <v>1.2911152800000001</v>
      </c>
      <c r="Y648" s="57"/>
      <c r="Z648" s="14"/>
      <c r="AA648" s="56"/>
      <c r="AB648" s="50">
        <f>(B648*122.58+C648*297.941+D648*89.177+E648*40.302+F648*40+G648*160+H648*0+I648*100+J648*300)/(122.58+297.941+89.177+40.302+0+40+160+100+300)</f>
        <v>38.978253135913043</v>
      </c>
      <c r="AC648" s="45">
        <f>(M648*'RAP TEMPLATE-GAS AVAILABILITY'!O647+N648*'RAP TEMPLATE-GAS AVAILABILITY'!P647+O648*'RAP TEMPLATE-GAS AVAILABILITY'!Q647+P648*'RAP TEMPLATE-GAS AVAILABILITY'!R647)/('RAP TEMPLATE-GAS AVAILABILITY'!O647+'RAP TEMPLATE-GAS AVAILABILITY'!P647+'RAP TEMPLATE-GAS AVAILABILITY'!Q647+'RAP TEMPLATE-GAS AVAILABILITY'!R647)</f>
        <v>38.222900719424459</v>
      </c>
    </row>
    <row r="649" spans="1:29" ht="15.75" x14ac:dyDescent="0.25">
      <c r="A649" s="32">
        <v>60663</v>
      </c>
      <c r="B649" s="14">
        <f>CHOOSE(CONTROL!$C$42, 42.1439, 42.1439) * CHOOSE(CONTROL!$C$21, $C$9, 100%, $E$9)</f>
        <v>42.143900000000002</v>
      </c>
      <c r="C649" s="14">
        <f>CHOOSE(CONTROL!$C$42, 42.1489, 42.1489) * CHOOSE(CONTROL!$C$21, $C$9, 100%, $E$9)</f>
        <v>42.148899999999998</v>
      </c>
      <c r="D649" s="14">
        <f>CHOOSE(CONTROL!$C$42, 42.2153, 42.2153) * CHOOSE(CONTROL!$C$21, $C$9, 100%, $E$9)</f>
        <v>42.215299999999999</v>
      </c>
      <c r="E649" s="14">
        <f>CHOOSE(CONTROL!$C$42, 42.2494, 42.2494) * CHOOSE(CONTROL!$C$21, $C$9, 100%, $E$9)</f>
        <v>42.249400000000001</v>
      </c>
      <c r="F649" s="14">
        <f>CHOOSE(CONTROL!$C$42, 42.1312, 42.1312)*CHOOSE(CONTROL!$C$21, $C$9, 100%, $E$9)</f>
        <v>42.1312</v>
      </c>
      <c r="G649" s="14">
        <f>CHOOSE(CONTROL!$C$42, 42.1466, 42.1466)*CHOOSE(CONTROL!$C$21, $C$9, 100%, $E$9)</f>
        <v>42.146599999999999</v>
      </c>
      <c r="H649" s="14">
        <f>CHOOSE(CONTROL!$C$42, 42.2386, 42.2386) * CHOOSE(CONTROL!$C$21, $C$9, 100%, $E$9)</f>
        <v>42.238599999999998</v>
      </c>
      <c r="I649" s="14">
        <f>CHOOSE(CONTROL!$C$42, 42.2835, 42.2835)* CHOOSE(CONTROL!$C$21, $C$9, 100%, $E$9)</f>
        <v>42.283499999999997</v>
      </c>
      <c r="J649" s="14">
        <f>CHOOSE(CONTROL!$C$42, 42.1242, 42.1242)* CHOOSE(CONTROL!$C$21, $C$9, 100%, $E$9)</f>
        <v>42.124200000000002</v>
      </c>
      <c r="K649" s="53">
        <f>CHOOSE(CONTROL!$C$42, 42.2796, 42.2796) * CHOOSE(CONTROL!$C$21, $C$9, 100%, $E$9)</f>
        <v>42.279600000000002</v>
      </c>
      <c r="L649" s="14">
        <f>CHOOSE(CONTROL!$C$42, 42.8256, 42.8256) * CHOOSE(CONTROL!$C$21, $C$9, 100%, $E$9)</f>
        <v>42.825600000000001</v>
      </c>
      <c r="M649" s="14">
        <f>CHOOSE(CONTROL!$C$42, 41.2688, 41.2688) * CHOOSE(CONTROL!$C$21, $C$9, 100%, $E$9)</f>
        <v>41.268799999999999</v>
      </c>
      <c r="N649" s="14">
        <f>CHOOSE(CONTROL!$C$42, 41.2839, 41.2839) * CHOOSE(CONTROL!$C$21, $C$9, 100%, $E$9)</f>
        <v>41.283900000000003</v>
      </c>
      <c r="O649" s="14">
        <f>CHOOSE(CONTROL!$C$42, 41.3809, 41.3809) * CHOOSE(CONTROL!$C$21, $C$9, 100%, $E$9)</f>
        <v>41.380899999999997</v>
      </c>
      <c r="P649" s="14">
        <f>CHOOSE(CONTROL!$C$42, 41.4222, 41.4222) * CHOOSE(CONTROL!$C$21, $C$9, 100%, $E$9)</f>
        <v>41.422199999999997</v>
      </c>
      <c r="Q649" s="14">
        <f>CHOOSE(CONTROL!$C$42, 41.9756, 41.9756) * CHOOSE(CONTROL!$C$21, $C$9, 100%, $E$9)</f>
        <v>41.9756</v>
      </c>
      <c r="R649" s="14">
        <f>CHOOSE(CONTROL!$C$42, 42.6675, 42.6675) * CHOOSE(CONTROL!$C$21, $C$9, 100%, $E$9)</f>
        <v>42.667499999999997</v>
      </c>
      <c r="S649" s="14">
        <f>CHOOSE(CONTROL!$C$42, 40.4875, 40.4875) * CHOOSE(CONTROL!$C$21, $C$9, 100%, $E$9)</f>
        <v>40.487499999999997</v>
      </c>
      <c r="T64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49" s="57">
        <f>(1000*CHOOSE(CONTROL!$C$42, 695, 695)*CHOOSE(CONTROL!$C$42, 0.5599, 0.5599)*CHOOSE(CONTROL!$C$42, 31, 31))/1000000</f>
        <v>12.063045499999998</v>
      </c>
      <c r="V649" s="57">
        <f>(1000*CHOOSE(CONTROL!$C$42, 500, 500)*CHOOSE(CONTROL!$C$42, 0.275, 0.275)*CHOOSE(CONTROL!$C$42, 31, 31))/1000000</f>
        <v>4.2625000000000002</v>
      </c>
      <c r="W649" s="57">
        <f>(1000*CHOOSE(CONTROL!$C$42, 0.1146, 0.1146)*CHOOSE(CONTROL!$C$42, 121.5, 121.5)*CHOOSE(CONTROL!$C$42, 31, 31))/1000000</f>
        <v>0.43164089999999994</v>
      </c>
      <c r="X649" s="57">
        <f>(31*0.1790888*100000/1000000)+(31*0.2374*100000/1000000)</f>
        <v>1.2911152800000001</v>
      </c>
      <c r="Y649" s="57"/>
      <c r="Z649" s="14"/>
      <c r="AA649" s="56"/>
      <c r="AB649" s="50">
        <f>(B649*122.58+C649*297.941+D649*89.177+E649*40.302+F649*40+G649*160+H649*0+I649*100+J649*300)/(122.58+297.941+89.177+40.302+0+40+160+100+300)</f>
        <v>42.161363307652174</v>
      </c>
      <c r="AC649" s="45">
        <f>(M649*'RAP TEMPLATE-GAS AVAILABILITY'!O648+N649*'RAP TEMPLATE-GAS AVAILABILITY'!P648+O649*'RAP TEMPLATE-GAS AVAILABILITY'!Q648+P649*'RAP TEMPLATE-GAS AVAILABILITY'!R648)/('RAP TEMPLATE-GAS AVAILABILITY'!O648+'RAP TEMPLATE-GAS AVAILABILITY'!P648+'RAP TEMPLATE-GAS AVAILABILITY'!Q648+'RAP TEMPLATE-GAS AVAILABILITY'!R648)</f>
        <v>41.342548920863308</v>
      </c>
    </row>
    <row r="650" spans="1:29" ht="15.75" x14ac:dyDescent="0.25">
      <c r="A650" s="32">
        <v>60691</v>
      </c>
      <c r="B650" s="14">
        <f>CHOOSE(CONTROL!$C$42, 42.8939, 42.8939) * CHOOSE(CONTROL!$C$21, $C$9, 100%, $E$9)</f>
        <v>42.893900000000002</v>
      </c>
      <c r="C650" s="14">
        <f>CHOOSE(CONTROL!$C$42, 42.899, 42.899) * CHOOSE(CONTROL!$C$21, $C$9, 100%, $E$9)</f>
        <v>42.899000000000001</v>
      </c>
      <c r="D650" s="14">
        <f>CHOOSE(CONTROL!$C$42, 42.9654, 42.9654) * CHOOSE(CONTROL!$C$21, $C$9, 100%, $E$9)</f>
        <v>42.965400000000002</v>
      </c>
      <c r="E650" s="14">
        <f>CHOOSE(CONTROL!$C$42, 42.9995, 42.9995) * CHOOSE(CONTROL!$C$21, $C$9, 100%, $E$9)</f>
        <v>42.999499999999998</v>
      </c>
      <c r="F650" s="14">
        <f>CHOOSE(CONTROL!$C$42, 42.8813, 42.8813)*CHOOSE(CONTROL!$C$21, $C$9, 100%, $E$9)</f>
        <v>42.881300000000003</v>
      </c>
      <c r="G650" s="14">
        <f>CHOOSE(CONTROL!$C$42, 42.8968, 42.8968)*CHOOSE(CONTROL!$C$21, $C$9, 100%, $E$9)</f>
        <v>42.896799999999999</v>
      </c>
      <c r="H650" s="14">
        <f>CHOOSE(CONTROL!$C$42, 42.9887, 42.9887) * CHOOSE(CONTROL!$C$21, $C$9, 100%, $E$9)</f>
        <v>42.988700000000001</v>
      </c>
      <c r="I650" s="14">
        <f>CHOOSE(CONTROL!$C$42, 43.0359, 43.0359)* CHOOSE(CONTROL!$C$21, $C$9, 100%, $E$9)</f>
        <v>43.035899999999998</v>
      </c>
      <c r="J650" s="14">
        <f>CHOOSE(CONTROL!$C$42, 42.8743, 42.8743)* CHOOSE(CONTROL!$C$21, $C$9, 100%, $E$9)</f>
        <v>42.874299999999998</v>
      </c>
      <c r="K650" s="53">
        <f>CHOOSE(CONTROL!$C$42, 43.032, 43.032) * CHOOSE(CONTROL!$C$21, $C$9, 100%, $E$9)</f>
        <v>43.031999999999996</v>
      </c>
      <c r="L650" s="14">
        <f>CHOOSE(CONTROL!$C$42, 43.5757, 43.5757) * CHOOSE(CONTROL!$C$21, $C$9, 100%, $E$9)</f>
        <v>43.575699999999998</v>
      </c>
      <c r="M650" s="14">
        <f>CHOOSE(CONTROL!$C$42, 42.0035, 42.0035) * CHOOSE(CONTROL!$C$21, $C$9, 100%, $E$9)</f>
        <v>42.003500000000003</v>
      </c>
      <c r="N650" s="14">
        <f>CHOOSE(CONTROL!$C$42, 42.0187, 42.0187) * CHOOSE(CONTROL!$C$21, $C$9, 100%, $E$9)</f>
        <v>42.018700000000003</v>
      </c>
      <c r="O650" s="14">
        <f>CHOOSE(CONTROL!$C$42, 42.1156, 42.1156) * CHOOSE(CONTROL!$C$21, $C$9, 100%, $E$9)</f>
        <v>42.115600000000001</v>
      </c>
      <c r="P650" s="14">
        <f>CHOOSE(CONTROL!$C$42, 42.1592, 42.1592) * CHOOSE(CONTROL!$C$21, $C$9, 100%, $E$9)</f>
        <v>42.159199999999998</v>
      </c>
      <c r="Q650" s="14">
        <f>CHOOSE(CONTROL!$C$42, 42.7103, 42.7103) * CHOOSE(CONTROL!$C$21, $C$9, 100%, $E$9)</f>
        <v>42.710299999999997</v>
      </c>
      <c r="R650" s="14">
        <f>CHOOSE(CONTROL!$C$42, 43.404, 43.404) * CHOOSE(CONTROL!$C$21, $C$9, 100%, $E$9)</f>
        <v>43.404000000000003</v>
      </c>
      <c r="S650" s="14">
        <f>CHOOSE(CONTROL!$C$42, 41.2082, 41.2082) * CHOOSE(CONTROL!$C$21, $C$9, 100%, $E$9)</f>
        <v>41.208199999999998</v>
      </c>
      <c r="T65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50" s="57">
        <f>(1000*CHOOSE(CONTROL!$C$42, 695, 695)*CHOOSE(CONTROL!$C$42, 0.5599, 0.5599)*CHOOSE(CONTROL!$C$42, 28, 28))/1000000</f>
        <v>10.895653999999999</v>
      </c>
      <c r="V650" s="57">
        <f>(1000*CHOOSE(CONTROL!$C$42, 500, 500)*CHOOSE(CONTROL!$C$42, 0.275, 0.275)*CHOOSE(CONTROL!$C$42, 28, 28))/1000000</f>
        <v>3.85</v>
      </c>
      <c r="W650" s="57">
        <f>(1000*CHOOSE(CONTROL!$C$42, 0.1146, 0.1146)*CHOOSE(CONTROL!$C$42, 121.5, 121.5)*CHOOSE(CONTROL!$C$42, 28, 28))/1000000</f>
        <v>0.38986920000000003</v>
      </c>
      <c r="X650" s="57">
        <f>(28*0.1790888*100000/1000000)+(28*0.2374*100000/1000000)</f>
        <v>1.16616864</v>
      </c>
      <c r="Y650" s="57"/>
      <c r="Z650" s="14"/>
      <c r="AA650" s="56"/>
      <c r="AB650" s="50">
        <f>(B650*122.58+C650*297.941+D650*89.177+E650*40.302+F650*40+G650*160+H650*0+I650*100+J650*300)/(122.58+297.941+89.177+40.302+0+40+160+100+300)</f>
        <v>42.91166656156522</v>
      </c>
      <c r="AC650" s="45">
        <f>(M650*'RAP TEMPLATE-GAS AVAILABILITY'!O649+N650*'RAP TEMPLATE-GAS AVAILABILITY'!P649+O650*'RAP TEMPLATE-GAS AVAILABILITY'!Q649+P650*'RAP TEMPLATE-GAS AVAILABILITY'!R649)/('RAP TEMPLATE-GAS AVAILABILITY'!O649+'RAP TEMPLATE-GAS AVAILABILITY'!P649+'RAP TEMPLATE-GAS AVAILABILITY'!Q649+'RAP TEMPLATE-GAS AVAILABILITY'!R649)</f>
        <v>42.077585611510791</v>
      </c>
    </row>
    <row r="651" spans="1:29" ht="15.75" x14ac:dyDescent="0.25">
      <c r="A651" s="32">
        <v>60722</v>
      </c>
      <c r="B651" s="14">
        <f>CHOOSE(CONTROL!$C$42, 41.6764, 41.6764) * CHOOSE(CONTROL!$C$21, $C$9, 100%, $E$9)</f>
        <v>41.676400000000001</v>
      </c>
      <c r="C651" s="14">
        <f>CHOOSE(CONTROL!$C$42, 41.6815, 41.6815) * CHOOSE(CONTROL!$C$21, $C$9, 100%, $E$9)</f>
        <v>41.6815</v>
      </c>
      <c r="D651" s="14">
        <f>CHOOSE(CONTROL!$C$42, 41.7479, 41.7479) * CHOOSE(CONTROL!$C$21, $C$9, 100%, $E$9)</f>
        <v>41.747900000000001</v>
      </c>
      <c r="E651" s="14">
        <f>CHOOSE(CONTROL!$C$42, 41.782, 41.782) * CHOOSE(CONTROL!$C$21, $C$9, 100%, $E$9)</f>
        <v>41.781999999999996</v>
      </c>
      <c r="F651" s="14">
        <f>CHOOSE(CONTROL!$C$42, 41.6634, 41.6634)*CHOOSE(CONTROL!$C$21, $C$9, 100%, $E$9)</f>
        <v>41.663400000000003</v>
      </c>
      <c r="G651" s="14">
        <f>CHOOSE(CONTROL!$C$42, 41.6788, 41.6788)*CHOOSE(CONTROL!$C$21, $C$9, 100%, $E$9)</f>
        <v>41.678800000000003</v>
      </c>
      <c r="H651" s="14">
        <f>CHOOSE(CONTROL!$C$42, 41.7712, 41.7712) * CHOOSE(CONTROL!$C$21, $C$9, 100%, $E$9)</f>
        <v>41.7712</v>
      </c>
      <c r="I651" s="14">
        <f>CHOOSE(CONTROL!$C$42, 41.8145, 41.8145)* CHOOSE(CONTROL!$C$21, $C$9, 100%, $E$9)</f>
        <v>41.814500000000002</v>
      </c>
      <c r="J651" s="14">
        <f>CHOOSE(CONTROL!$C$42, 41.6564, 41.6564)* CHOOSE(CONTROL!$C$21, $C$9, 100%, $E$9)</f>
        <v>41.656399999999998</v>
      </c>
      <c r="K651" s="53">
        <f>CHOOSE(CONTROL!$C$42, 41.8106, 41.8106) * CHOOSE(CONTROL!$C$21, $C$9, 100%, $E$9)</f>
        <v>41.810600000000001</v>
      </c>
      <c r="L651" s="14">
        <f>CHOOSE(CONTROL!$C$42, 42.3582, 42.3582) * CHOOSE(CONTROL!$C$21, $C$9, 100%, $E$9)</f>
        <v>42.358199999999997</v>
      </c>
      <c r="M651" s="14">
        <f>CHOOSE(CONTROL!$C$42, 40.8106, 40.8106) * CHOOSE(CONTROL!$C$21, $C$9, 100%, $E$9)</f>
        <v>40.810600000000001</v>
      </c>
      <c r="N651" s="14">
        <f>CHOOSE(CONTROL!$C$42, 40.8256, 40.8256) * CHOOSE(CONTROL!$C$21, $C$9, 100%, $E$9)</f>
        <v>40.825600000000001</v>
      </c>
      <c r="O651" s="14">
        <f>CHOOSE(CONTROL!$C$42, 40.923, 40.923) * CHOOSE(CONTROL!$C$21, $C$9, 100%, $E$9)</f>
        <v>40.923000000000002</v>
      </c>
      <c r="P651" s="14">
        <f>CHOOSE(CONTROL!$C$42, 40.9629, 40.9629) * CHOOSE(CONTROL!$C$21, $C$9, 100%, $E$9)</f>
        <v>40.962899999999998</v>
      </c>
      <c r="Q651" s="14">
        <f>CHOOSE(CONTROL!$C$42, 41.5177, 41.5177) * CHOOSE(CONTROL!$C$21, $C$9, 100%, $E$9)</f>
        <v>41.517699999999998</v>
      </c>
      <c r="R651" s="14">
        <f>CHOOSE(CONTROL!$C$42, 42.2085, 42.2085) * CHOOSE(CONTROL!$C$21, $C$9, 100%, $E$9)</f>
        <v>42.208500000000001</v>
      </c>
      <c r="S651" s="14">
        <f>CHOOSE(CONTROL!$C$42, 40.0383, 40.0383) * CHOOSE(CONTROL!$C$21, $C$9, 100%, $E$9)</f>
        <v>40.0383</v>
      </c>
      <c r="T65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51" s="57">
        <f>(1000*CHOOSE(CONTROL!$C$42, 695, 695)*CHOOSE(CONTROL!$C$42, 0.5599, 0.5599)*CHOOSE(CONTROL!$C$42, 31, 31))/1000000</f>
        <v>12.063045499999998</v>
      </c>
      <c r="V651" s="57">
        <f>(1000*CHOOSE(CONTROL!$C$42, 500, 500)*CHOOSE(CONTROL!$C$42, 0.275, 0.275)*CHOOSE(CONTROL!$C$42, 31, 31))/1000000</f>
        <v>4.2625000000000002</v>
      </c>
      <c r="W651" s="57">
        <f>(1000*CHOOSE(CONTROL!$C$42, 0.1146, 0.1146)*CHOOSE(CONTROL!$C$42, 121.5, 121.5)*CHOOSE(CONTROL!$C$42, 31, 31))/1000000</f>
        <v>0.43164089999999994</v>
      </c>
      <c r="X651" s="57">
        <f>(31*0.1790888*100000/1000000)+(31*0.2374*100000/1000000)</f>
        <v>1.2911152800000001</v>
      </c>
      <c r="Y651" s="57"/>
      <c r="Z651" s="14"/>
      <c r="AA651" s="56"/>
      <c r="AB651" s="50">
        <f>(B651*122.58+C651*297.941+D651*89.177+E651*40.302+F651*40+G651*160+H651*0+I651*100+J651*300)/(122.58+297.941+89.177+40.302+0+40+160+100+300)</f>
        <v>41.693639605043479</v>
      </c>
      <c r="AC651" s="45">
        <f>(M651*'RAP TEMPLATE-GAS AVAILABILITY'!O650+N651*'RAP TEMPLATE-GAS AVAILABILITY'!P650+O651*'RAP TEMPLATE-GAS AVAILABILITY'!Q650+P651*'RAP TEMPLATE-GAS AVAILABILITY'!R650)/('RAP TEMPLATE-GAS AVAILABILITY'!O650+'RAP TEMPLATE-GAS AVAILABILITY'!P650+'RAP TEMPLATE-GAS AVAILABILITY'!Q650+'RAP TEMPLATE-GAS AVAILABILITY'!R650)</f>
        <v>40.884320863309355</v>
      </c>
    </row>
    <row r="652" spans="1:29" ht="15.75" x14ac:dyDescent="0.25">
      <c r="A652" s="32">
        <v>60752</v>
      </c>
      <c r="B652" s="14">
        <f>CHOOSE(CONTROL!$C$42, 41.5528, 41.5528) * CHOOSE(CONTROL!$C$21, $C$9, 100%, $E$9)</f>
        <v>41.552799999999998</v>
      </c>
      <c r="C652" s="14">
        <f>CHOOSE(CONTROL!$C$42, 41.5573, 41.5573) * CHOOSE(CONTROL!$C$21, $C$9, 100%, $E$9)</f>
        <v>41.557299999999998</v>
      </c>
      <c r="D652" s="14">
        <f>CHOOSE(CONTROL!$C$42, 41.7644, 41.7644) * CHOOSE(CONTROL!$C$21, $C$9, 100%, $E$9)</f>
        <v>41.764400000000002</v>
      </c>
      <c r="E652" s="14">
        <f>CHOOSE(CONTROL!$C$42, 41.7965, 41.7965) * CHOOSE(CONTROL!$C$21, $C$9, 100%, $E$9)</f>
        <v>41.796500000000002</v>
      </c>
      <c r="F652" s="14">
        <f>CHOOSE(CONTROL!$C$42, 41.5347, 41.5347)*CHOOSE(CONTROL!$C$21, $C$9, 100%, $E$9)</f>
        <v>41.534700000000001</v>
      </c>
      <c r="G652" s="14">
        <f>CHOOSE(CONTROL!$C$42, 41.5499, 41.5499)*CHOOSE(CONTROL!$C$21, $C$9, 100%, $E$9)</f>
        <v>41.549900000000001</v>
      </c>
      <c r="H652" s="14">
        <f>CHOOSE(CONTROL!$C$42, 41.7863, 41.7863) * CHOOSE(CONTROL!$C$21, $C$9, 100%, $E$9)</f>
        <v>41.786299999999997</v>
      </c>
      <c r="I652" s="14">
        <f>CHOOSE(CONTROL!$C$42, 41.6898, 41.6898)* CHOOSE(CONTROL!$C$21, $C$9, 100%, $E$9)</f>
        <v>41.689799999999998</v>
      </c>
      <c r="J652" s="14">
        <f>CHOOSE(CONTROL!$C$42, 41.5277, 41.5277)* CHOOSE(CONTROL!$C$21, $C$9, 100%, $E$9)</f>
        <v>41.527700000000003</v>
      </c>
      <c r="K652" s="53">
        <f>CHOOSE(CONTROL!$C$42, 41.6859, 41.6859) * CHOOSE(CONTROL!$C$21, $C$9, 100%, $E$9)</f>
        <v>41.685899999999997</v>
      </c>
      <c r="L652" s="14">
        <f>CHOOSE(CONTROL!$C$42, 42.3733, 42.3733) * CHOOSE(CONTROL!$C$21, $C$9, 100%, $E$9)</f>
        <v>42.3733</v>
      </c>
      <c r="M652" s="14">
        <f>CHOOSE(CONTROL!$C$42, 40.6845, 40.6845) * CHOOSE(CONTROL!$C$21, $C$9, 100%, $E$9)</f>
        <v>40.6845</v>
      </c>
      <c r="N652" s="14">
        <f>CHOOSE(CONTROL!$C$42, 40.6994, 40.6994) * CHOOSE(CONTROL!$C$21, $C$9, 100%, $E$9)</f>
        <v>40.699399999999997</v>
      </c>
      <c r="O652" s="14">
        <f>CHOOSE(CONTROL!$C$42, 40.9378, 40.9378) * CHOOSE(CONTROL!$C$21, $C$9, 100%, $E$9)</f>
        <v>40.937800000000003</v>
      </c>
      <c r="P652" s="14">
        <f>CHOOSE(CONTROL!$C$42, 40.8407, 40.8407) * CHOOSE(CONTROL!$C$21, $C$9, 100%, $E$9)</f>
        <v>40.840699999999998</v>
      </c>
      <c r="Q652" s="14">
        <f>CHOOSE(CONTROL!$C$42, 41.5325, 41.5325) * CHOOSE(CONTROL!$C$21, $C$9, 100%, $E$9)</f>
        <v>41.532499999999999</v>
      </c>
      <c r="R652" s="14">
        <f>CHOOSE(CONTROL!$C$42, 42.2233, 42.2233) * CHOOSE(CONTROL!$C$21, $C$9, 100%, $E$9)</f>
        <v>42.223300000000002</v>
      </c>
      <c r="S652" s="14">
        <f>CHOOSE(CONTROL!$C$42, 39.9188, 39.9188) * CHOOSE(CONTROL!$C$21, $C$9, 100%, $E$9)</f>
        <v>39.918799999999997</v>
      </c>
      <c r="T65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52" s="57">
        <f>(1000*CHOOSE(CONTROL!$C$42, 695, 695)*CHOOSE(CONTROL!$C$42, 0.5599, 0.5599)*CHOOSE(CONTROL!$C$42, 30, 30))/1000000</f>
        <v>11.673914999999997</v>
      </c>
      <c r="V652" s="57">
        <f>(1000*CHOOSE(CONTROL!$C$42, 500, 500)*CHOOSE(CONTROL!$C$42, 0.275, 0.275)*CHOOSE(CONTROL!$C$42, 30, 30))/1000000</f>
        <v>4.125</v>
      </c>
      <c r="W652" s="57">
        <f>(1000*CHOOSE(CONTROL!$C$42, 0.1146, 0.1146)*CHOOSE(CONTROL!$C$42, 121.5, 121.5)*CHOOSE(CONTROL!$C$42, 30, 30))/1000000</f>
        <v>0.417717</v>
      </c>
      <c r="X652" s="57">
        <f>(30*0.1790888*245000/1000000)+(30*0.2374*100000/1000000)</f>
        <v>2.0285026799999999</v>
      </c>
      <c r="Y652" s="57"/>
      <c r="Z652" s="14"/>
      <c r="AA652" s="56"/>
      <c r="AB652" s="50">
        <f>(B652*141.293+C652*267.993+D652*115.016+E652*89.698+F652*40+G652*185+H652*0+I652*100+J652*300)/(141.293+267.993+115.016+89.698+0+40+185+100+300)</f>
        <v>41.595021353268763</v>
      </c>
      <c r="AC652" s="45">
        <f>(M652*'RAP TEMPLATE-GAS AVAILABILITY'!O651+N652*'RAP TEMPLATE-GAS AVAILABILITY'!P651+O652*'RAP TEMPLATE-GAS AVAILABILITY'!Q651+P652*'RAP TEMPLATE-GAS AVAILABILITY'!R651)/('RAP TEMPLATE-GAS AVAILABILITY'!O651+'RAP TEMPLATE-GAS AVAILABILITY'!P651+'RAP TEMPLATE-GAS AVAILABILITY'!Q651+'RAP TEMPLATE-GAS AVAILABILITY'!R651)</f>
        <v>40.822637410071941</v>
      </c>
    </row>
    <row r="653" spans="1:29" ht="15.75" x14ac:dyDescent="0.25">
      <c r="A653" s="32">
        <v>60783</v>
      </c>
      <c r="B653" s="14">
        <f>CHOOSE(CONTROL!$C$42, 41.9209, 41.9209) * CHOOSE(CONTROL!$C$21, $C$9, 100%, $E$9)</f>
        <v>41.920900000000003</v>
      </c>
      <c r="C653" s="14">
        <f>CHOOSE(CONTROL!$C$42, 41.9289, 41.9289) * CHOOSE(CONTROL!$C$21, $C$9, 100%, $E$9)</f>
        <v>41.928899999999999</v>
      </c>
      <c r="D653" s="14">
        <f>CHOOSE(CONTROL!$C$42, 42.1328, 42.1328) * CHOOSE(CONTROL!$C$21, $C$9, 100%, $E$9)</f>
        <v>42.132800000000003</v>
      </c>
      <c r="E653" s="14">
        <f>CHOOSE(CONTROL!$C$42, 42.1643, 42.1643) * CHOOSE(CONTROL!$C$21, $C$9, 100%, $E$9)</f>
        <v>42.164299999999997</v>
      </c>
      <c r="F653" s="14">
        <f>CHOOSE(CONTROL!$C$42, 41.9016, 41.9016)*CHOOSE(CONTROL!$C$21, $C$9, 100%, $E$9)</f>
        <v>41.901600000000002</v>
      </c>
      <c r="G653" s="14">
        <f>CHOOSE(CONTROL!$C$42, 41.9173, 41.9173)*CHOOSE(CONTROL!$C$21, $C$9, 100%, $E$9)</f>
        <v>41.917299999999997</v>
      </c>
      <c r="H653" s="14">
        <f>CHOOSE(CONTROL!$C$42, 42.1529, 42.1529) * CHOOSE(CONTROL!$C$21, $C$9, 100%, $E$9)</f>
        <v>42.152900000000002</v>
      </c>
      <c r="I653" s="14">
        <f>CHOOSE(CONTROL!$C$42, 42.0576, 42.0576)* CHOOSE(CONTROL!$C$21, $C$9, 100%, $E$9)</f>
        <v>42.057600000000001</v>
      </c>
      <c r="J653" s="14">
        <f>CHOOSE(CONTROL!$C$42, 41.8946, 41.8946)* CHOOSE(CONTROL!$C$21, $C$9, 100%, $E$9)</f>
        <v>41.894599999999997</v>
      </c>
      <c r="K653" s="53">
        <f>CHOOSE(CONTROL!$C$42, 42.0537, 42.0537) * CHOOSE(CONTROL!$C$21, $C$9, 100%, $E$9)</f>
        <v>42.053699999999999</v>
      </c>
      <c r="L653" s="14">
        <f>CHOOSE(CONTROL!$C$42, 42.7399, 42.7399) * CHOOSE(CONTROL!$C$21, $C$9, 100%, $E$9)</f>
        <v>42.739899999999999</v>
      </c>
      <c r="M653" s="14">
        <f>CHOOSE(CONTROL!$C$42, 41.0439, 41.0439) * CHOOSE(CONTROL!$C$21, $C$9, 100%, $E$9)</f>
        <v>41.043900000000001</v>
      </c>
      <c r="N653" s="14">
        <f>CHOOSE(CONTROL!$C$42, 41.0592, 41.0592) * CHOOSE(CONTROL!$C$21, $C$9, 100%, $E$9)</f>
        <v>41.059199999999997</v>
      </c>
      <c r="O653" s="14">
        <f>CHOOSE(CONTROL!$C$42, 41.2969, 41.2969) * CHOOSE(CONTROL!$C$21, $C$9, 100%, $E$9)</f>
        <v>41.296900000000001</v>
      </c>
      <c r="P653" s="14">
        <f>CHOOSE(CONTROL!$C$42, 41.201, 41.201) * CHOOSE(CONTROL!$C$21, $C$9, 100%, $E$9)</f>
        <v>41.201000000000001</v>
      </c>
      <c r="Q653" s="14">
        <f>CHOOSE(CONTROL!$C$42, 41.8916, 41.8916) * CHOOSE(CONTROL!$C$21, $C$9, 100%, $E$9)</f>
        <v>41.891599999999997</v>
      </c>
      <c r="R653" s="14">
        <f>CHOOSE(CONTROL!$C$42, 42.5834, 42.5834) * CHOOSE(CONTROL!$C$21, $C$9, 100%, $E$9)</f>
        <v>42.583399999999997</v>
      </c>
      <c r="S653" s="14">
        <f>CHOOSE(CONTROL!$C$42, 40.2711, 40.2711) * CHOOSE(CONTROL!$C$21, $C$9, 100%, $E$9)</f>
        <v>40.271099999999997</v>
      </c>
      <c r="T65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53" s="57">
        <f>(1000*CHOOSE(CONTROL!$C$42, 695, 695)*CHOOSE(CONTROL!$C$42, 0.5599, 0.5599)*CHOOSE(CONTROL!$C$42, 31, 31))/1000000</f>
        <v>12.063045499999998</v>
      </c>
      <c r="V653" s="57">
        <f>(1000*CHOOSE(CONTROL!$C$42, 500, 500)*CHOOSE(CONTROL!$C$42, 0.275, 0.275)*CHOOSE(CONTROL!$C$42, 31, 31))/1000000</f>
        <v>4.2625000000000002</v>
      </c>
      <c r="W653" s="57">
        <f>(1000*CHOOSE(CONTROL!$C$42, 0.1146, 0.1146)*CHOOSE(CONTROL!$C$42, 121.5, 121.5)*CHOOSE(CONTROL!$C$42, 31, 31))/1000000</f>
        <v>0.43164089999999994</v>
      </c>
      <c r="X653" s="57">
        <f>(31*0.1790888*245000/1000000)+(31*0.2374*100000/1000000)</f>
        <v>2.0961194359999999</v>
      </c>
      <c r="Y653" s="57"/>
      <c r="Z653" s="14"/>
      <c r="AA653" s="56"/>
      <c r="AB653" s="50">
        <f>(B653*194.205+C653*267.466+D653*133.845+E653*53.484+F653*40+G653*185+H653*0+I653*100+J653*300)/(194.205+267.466+133.845+53.484+0+40+185+100+300)</f>
        <v>41.958467887833592</v>
      </c>
      <c r="AC653" s="45">
        <f>(M653*'RAP TEMPLATE-GAS AVAILABILITY'!O652+N653*'RAP TEMPLATE-GAS AVAILABILITY'!P652+O653*'RAP TEMPLATE-GAS AVAILABILITY'!Q652+P653*'RAP TEMPLATE-GAS AVAILABILITY'!R652)/('RAP TEMPLATE-GAS AVAILABILITY'!O652+'RAP TEMPLATE-GAS AVAILABILITY'!P652+'RAP TEMPLATE-GAS AVAILABILITY'!Q652+'RAP TEMPLATE-GAS AVAILABILITY'!R652)</f>
        <v>41.182053956834537</v>
      </c>
    </row>
    <row r="654" spans="1:29" ht="15.75" x14ac:dyDescent="0.25">
      <c r="A654" s="32">
        <v>60813</v>
      </c>
      <c r="B654" s="14">
        <f>CHOOSE(CONTROL!$C$42, 43.1097, 43.1097) * CHOOSE(CONTROL!$C$21, $C$9, 100%, $E$9)</f>
        <v>43.109699999999997</v>
      </c>
      <c r="C654" s="14">
        <f>CHOOSE(CONTROL!$C$42, 43.1177, 43.1177) * CHOOSE(CONTROL!$C$21, $C$9, 100%, $E$9)</f>
        <v>43.117699999999999</v>
      </c>
      <c r="D654" s="14">
        <f>CHOOSE(CONTROL!$C$42, 43.3216, 43.3216) * CHOOSE(CONTROL!$C$21, $C$9, 100%, $E$9)</f>
        <v>43.321599999999997</v>
      </c>
      <c r="E654" s="14">
        <f>CHOOSE(CONTROL!$C$42, 43.3531, 43.3531) * CHOOSE(CONTROL!$C$21, $C$9, 100%, $E$9)</f>
        <v>43.353099999999998</v>
      </c>
      <c r="F654" s="14">
        <f>CHOOSE(CONTROL!$C$42, 43.0908, 43.0908)*CHOOSE(CONTROL!$C$21, $C$9, 100%, $E$9)</f>
        <v>43.090800000000002</v>
      </c>
      <c r="G654" s="14">
        <f>CHOOSE(CONTROL!$C$42, 43.1066, 43.1066)*CHOOSE(CONTROL!$C$21, $C$9, 100%, $E$9)</f>
        <v>43.1066</v>
      </c>
      <c r="H654" s="14">
        <f>CHOOSE(CONTROL!$C$42, 43.3417, 43.3417) * CHOOSE(CONTROL!$C$21, $C$9, 100%, $E$9)</f>
        <v>43.341700000000003</v>
      </c>
      <c r="I654" s="14">
        <f>CHOOSE(CONTROL!$C$42, 43.2501, 43.2501)* CHOOSE(CONTROL!$C$21, $C$9, 100%, $E$9)</f>
        <v>43.250100000000003</v>
      </c>
      <c r="J654" s="14">
        <f>CHOOSE(CONTROL!$C$42, 43.0838, 43.0838)* CHOOSE(CONTROL!$C$21, $C$9, 100%, $E$9)</f>
        <v>43.083799999999997</v>
      </c>
      <c r="K654" s="53">
        <f>CHOOSE(CONTROL!$C$42, 43.2462, 43.2462) * CHOOSE(CONTROL!$C$21, $C$9, 100%, $E$9)</f>
        <v>43.246200000000002</v>
      </c>
      <c r="L654" s="14">
        <f>CHOOSE(CONTROL!$C$42, 43.9287, 43.9287) * CHOOSE(CONTROL!$C$21, $C$9, 100%, $E$9)</f>
        <v>43.928699999999999</v>
      </c>
      <c r="M654" s="14">
        <f>CHOOSE(CONTROL!$C$42, 42.2088, 42.2088) * CHOOSE(CONTROL!$C$21, $C$9, 100%, $E$9)</f>
        <v>42.208799999999997</v>
      </c>
      <c r="N654" s="14">
        <f>CHOOSE(CONTROL!$C$42, 42.2242, 42.2242) * CHOOSE(CONTROL!$C$21, $C$9, 100%, $E$9)</f>
        <v>42.224200000000003</v>
      </c>
      <c r="O654" s="14">
        <f>CHOOSE(CONTROL!$C$42, 42.4614, 42.4614) * CHOOSE(CONTROL!$C$21, $C$9, 100%, $E$9)</f>
        <v>42.461399999999998</v>
      </c>
      <c r="P654" s="14">
        <f>CHOOSE(CONTROL!$C$42, 42.369, 42.369) * CHOOSE(CONTROL!$C$21, $C$9, 100%, $E$9)</f>
        <v>42.369</v>
      </c>
      <c r="Q654" s="14">
        <f>CHOOSE(CONTROL!$C$42, 43.0561, 43.0561) * CHOOSE(CONTROL!$C$21, $C$9, 100%, $E$9)</f>
        <v>43.056100000000001</v>
      </c>
      <c r="R654" s="14">
        <f>CHOOSE(CONTROL!$C$42, 43.7507, 43.7507) * CHOOSE(CONTROL!$C$21, $C$9, 100%, $E$9)</f>
        <v>43.750700000000002</v>
      </c>
      <c r="S654" s="14">
        <f>CHOOSE(CONTROL!$C$42, 41.4134, 41.4134) * CHOOSE(CONTROL!$C$21, $C$9, 100%, $E$9)</f>
        <v>41.413400000000003</v>
      </c>
      <c r="T65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54" s="57">
        <f>(1000*CHOOSE(CONTROL!$C$42, 695, 695)*CHOOSE(CONTROL!$C$42, 0.5599, 0.5599)*CHOOSE(CONTROL!$C$42, 30, 30))/1000000</f>
        <v>11.673914999999997</v>
      </c>
      <c r="V654" s="57">
        <f>(1000*CHOOSE(CONTROL!$C$42, 500, 500)*CHOOSE(CONTROL!$C$42, 0.275, 0.275)*CHOOSE(CONTROL!$C$42, 30, 30))/1000000</f>
        <v>4.125</v>
      </c>
      <c r="W654" s="57">
        <f>(1000*CHOOSE(CONTROL!$C$42, 0.1146, 0.1146)*CHOOSE(CONTROL!$C$42, 121.5, 121.5)*CHOOSE(CONTROL!$C$42, 30, 30))/1000000</f>
        <v>0.417717</v>
      </c>
      <c r="X654" s="57">
        <f>(30*0.1790888*245000/1000000)+(30*0.2374*100000/1000000)</f>
        <v>2.0285026799999999</v>
      </c>
      <c r="Y654" s="57"/>
      <c r="Z654" s="14"/>
      <c r="AA654" s="56"/>
      <c r="AB654" s="50">
        <f>(B654*194.205+C654*267.466+D654*133.845+E654*53.484+F654*40+G654*185+H654*0+I654*100+J654*300)/(194.205+267.466+133.845+53.484+0+40+185+100+300)</f>
        <v>43.147737668053381</v>
      </c>
      <c r="AC654" s="45">
        <f>(M654*'RAP TEMPLATE-GAS AVAILABILITY'!O653+N654*'RAP TEMPLATE-GAS AVAILABILITY'!P653+O654*'RAP TEMPLATE-GAS AVAILABILITY'!Q653+P654*'RAP TEMPLATE-GAS AVAILABILITY'!R653)/('RAP TEMPLATE-GAS AVAILABILITY'!O653+'RAP TEMPLATE-GAS AVAILABILITY'!P653+'RAP TEMPLATE-GAS AVAILABILITY'!Q653+'RAP TEMPLATE-GAS AVAILABILITY'!R653)</f>
        <v>42.347224460431647</v>
      </c>
    </row>
    <row r="655" spans="1:29" ht="15.75" x14ac:dyDescent="0.25">
      <c r="A655" s="32">
        <v>60844</v>
      </c>
      <c r="B655" s="14">
        <f>CHOOSE(CONTROL!$C$42, 42.2828, 42.2828) * CHOOSE(CONTROL!$C$21, $C$9, 100%, $E$9)</f>
        <v>42.282800000000002</v>
      </c>
      <c r="C655" s="14">
        <f>CHOOSE(CONTROL!$C$42, 42.2909, 42.2909) * CHOOSE(CONTROL!$C$21, $C$9, 100%, $E$9)</f>
        <v>42.290900000000001</v>
      </c>
      <c r="D655" s="14">
        <f>CHOOSE(CONTROL!$C$42, 42.4948, 42.4948) * CHOOSE(CONTROL!$C$21, $C$9, 100%, $E$9)</f>
        <v>42.494799999999998</v>
      </c>
      <c r="E655" s="14">
        <f>CHOOSE(CONTROL!$C$42, 42.5263, 42.5263) * CHOOSE(CONTROL!$C$21, $C$9, 100%, $E$9)</f>
        <v>42.526299999999999</v>
      </c>
      <c r="F655" s="14">
        <f>CHOOSE(CONTROL!$C$42, 42.2645, 42.2645)*CHOOSE(CONTROL!$C$21, $C$9, 100%, $E$9)</f>
        <v>42.264499999999998</v>
      </c>
      <c r="G655" s="14">
        <f>CHOOSE(CONTROL!$C$42, 42.2804, 42.2804)*CHOOSE(CONTROL!$C$21, $C$9, 100%, $E$9)</f>
        <v>42.2804</v>
      </c>
      <c r="H655" s="14">
        <f>CHOOSE(CONTROL!$C$42, 42.5149, 42.5149) * CHOOSE(CONTROL!$C$21, $C$9, 100%, $E$9)</f>
        <v>42.514899999999997</v>
      </c>
      <c r="I655" s="14">
        <f>CHOOSE(CONTROL!$C$42, 42.4207, 42.4207)* CHOOSE(CONTROL!$C$21, $C$9, 100%, $E$9)</f>
        <v>42.420699999999997</v>
      </c>
      <c r="J655" s="14">
        <f>CHOOSE(CONTROL!$C$42, 42.2575, 42.2575)* CHOOSE(CONTROL!$C$21, $C$9, 100%, $E$9)</f>
        <v>42.2575</v>
      </c>
      <c r="K655" s="53">
        <f>CHOOSE(CONTROL!$C$42, 42.4168, 42.4168) * CHOOSE(CONTROL!$C$21, $C$9, 100%, $E$9)</f>
        <v>42.416800000000002</v>
      </c>
      <c r="L655" s="14">
        <f>CHOOSE(CONTROL!$C$42, 43.1019, 43.1019) * CHOOSE(CONTROL!$C$21, $C$9, 100%, $E$9)</f>
        <v>43.101900000000001</v>
      </c>
      <c r="M655" s="14">
        <f>CHOOSE(CONTROL!$C$42, 41.3993, 41.3993) * CHOOSE(CONTROL!$C$21, $C$9, 100%, $E$9)</f>
        <v>41.399299999999997</v>
      </c>
      <c r="N655" s="14">
        <f>CHOOSE(CONTROL!$C$42, 41.4149, 41.4149) * CHOOSE(CONTROL!$C$21, $C$9, 100%, $E$9)</f>
        <v>41.414900000000003</v>
      </c>
      <c r="O655" s="14">
        <f>CHOOSE(CONTROL!$C$42, 41.6515, 41.6515) * CHOOSE(CONTROL!$C$21, $C$9, 100%, $E$9)</f>
        <v>41.651499999999999</v>
      </c>
      <c r="P655" s="14">
        <f>CHOOSE(CONTROL!$C$42, 41.5566, 41.5566) * CHOOSE(CONTROL!$C$21, $C$9, 100%, $E$9)</f>
        <v>41.556600000000003</v>
      </c>
      <c r="Q655" s="14">
        <f>CHOOSE(CONTROL!$C$42, 42.2462, 42.2462) * CHOOSE(CONTROL!$C$21, $C$9, 100%, $E$9)</f>
        <v>42.246200000000002</v>
      </c>
      <c r="R655" s="14">
        <f>CHOOSE(CONTROL!$C$42, 42.9388, 42.9388) * CHOOSE(CONTROL!$C$21, $C$9, 100%, $E$9)</f>
        <v>42.938800000000001</v>
      </c>
      <c r="S655" s="14">
        <f>CHOOSE(CONTROL!$C$42, 40.6189, 40.6189) * CHOOSE(CONTROL!$C$21, $C$9, 100%, $E$9)</f>
        <v>40.618899999999996</v>
      </c>
      <c r="T65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55" s="57">
        <f>(1000*CHOOSE(CONTROL!$C$42, 695, 695)*CHOOSE(CONTROL!$C$42, 0.5599, 0.5599)*CHOOSE(CONTROL!$C$42, 31, 31))/1000000</f>
        <v>12.063045499999998</v>
      </c>
      <c r="V655" s="57">
        <f>(1000*CHOOSE(CONTROL!$C$42, 500, 500)*CHOOSE(CONTROL!$C$42, 0.275, 0.275)*CHOOSE(CONTROL!$C$42, 31, 31))/1000000</f>
        <v>4.2625000000000002</v>
      </c>
      <c r="W655" s="57">
        <f>(1000*CHOOSE(CONTROL!$C$42, 0.1146, 0.1146)*CHOOSE(CONTROL!$C$42, 121.5, 121.5)*CHOOSE(CONTROL!$C$42, 31, 31))/1000000</f>
        <v>0.43164089999999994</v>
      </c>
      <c r="X655" s="57">
        <f>(31*0.1790888*245000/1000000)+(31*0.2374*100000/1000000)</f>
        <v>2.0961194359999999</v>
      </c>
      <c r="Y655" s="57"/>
      <c r="Z655" s="14"/>
      <c r="AA655" s="56"/>
      <c r="AB655" s="50">
        <f>(B655*194.205+C655*267.466+D655*133.845+E655*53.484+F655*40+G655*185+H655*0+I655*100+J655*300)/(194.205+267.466+133.845+53.484+0+40+185+100+300)</f>
        <v>42.320938907849296</v>
      </c>
      <c r="AC655" s="45">
        <f>(M655*'RAP TEMPLATE-GAS AVAILABILITY'!O654+N655*'RAP TEMPLATE-GAS AVAILABILITY'!P654+O655*'RAP TEMPLATE-GAS AVAILABILITY'!Q654+P655*'RAP TEMPLATE-GAS AVAILABILITY'!R654)/('RAP TEMPLATE-GAS AVAILABILITY'!O654+'RAP TEMPLATE-GAS AVAILABILITY'!P654+'RAP TEMPLATE-GAS AVAILABILITY'!Q654+'RAP TEMPLATE-GAS AVAILABILITY'!R654)</f>
        <v>41.537137410071935</v>
      </c>
    </row>
    <row r="656" spans="1:29" ht="15.75" x14ac:dyDescent="0.25">
      <c r="A656" s="32">
        <v>60875</v>
      </c>
      <c r="B656" s="14">
        <f>CHOOSE(CONTROL!$C$42, 40.1949, 40.1949) * CHOOSE(CONTROL!$C$21, $C$9, 100%, $E$9)</f>
        <v>40.194899999999997</v>
      </c>
      <c r="C656" s="14">
        <f>CHOOSE(CONTROL!$C$42, 40.2029, 40.2029) * CHOOSE(CONTROL!$C$21, $C$9, 100%, $E$9)</f>
        <v>40.2029</v>
      </c>
      <c r="D656" s="14">
        <f>CHOOSE(CONTROL!$C$42, 40.4068, 40.4068) * CHOOSE(CONTROL!$C$21, $C$9, 100%, $E$9)</f>
        <v>40.406799999999997</v>
      </c>
      <c r="E656" s="14">
        <f>CHOOSE(CONTROL!$C$42, 40.4383, 40.4383) * CHOOSE(CONTROL!$C$21, $C$9, 100%, $E$9)</f>
        <v>40.438299999999998</v>
      </c>
      <c r="F656" s="14">
        <f>CHOOSE(CONTROL!$C$42, 40.1767, 40.1767)*CHOOSE(CONTROL!$C$21, $C$9, 100%, $E$9)</f>
        <v>40.176699999999997</v>
      </c>
      <c r="G656" s="14">
        <f>CHOOSE(CONTROL!$C$42, 40.1927, 40.1927)*CHOOSE(CONTROL!$C$21, $C$9, 100%, $E$9)</f>
        <v>40.192700000000002</v>
      </c>
      <c r="H656" s="14">
        <f>CHOOSE(CONTROL!$C$42, 40.4269, 40.4269) * CHOOSE(CONTROL!$C$21, $C$9, 100%, $E$9)</f>
        <v>40.426900000000003</v>
      </c>
      <c r="I656" s="14">
        <f>CHOOSE(CONTROL!$C$42, 40.3262, 40.3262)* CHOOSE(CONTROL!$C$21, $C$9, 100%, $E$9)</f>
        <v>40.3262</v>
      </c>
      <c r="J656" s="14">
        <f>CHOOSE(CONTROL!$C$42, 40.1697, 40.1697)* CHOOSE(CONTROL!$C$21, $C$9, 100%, $E$9)</f>
        <v>40.169699999999999</v>
      </c>
      <c r="K656" s="53">
        <f>CHOOSE(CONTROL!$C$42, 40.3223, 40.3223) * CHOOSE(CONTROL!$C$21, $C$9, 100%, $E$9)</f>
        <v>40.322299999999998</v>
      </c>
      <c r="L656" s="14">
        <f>CHOOSE(CONTROL!$C$42, 41.0139, 41.0139) * CHOOSE(CONTROL!$C$21, $C$9, 100%, $E$9)</f>
        <v>41.0139</v>
      </c>
      <c r="M656" s="14">
        <f>CHOOSE(CONTROL!$C$42, 39.3544, 39.3544) * CHOOSE(CONTROL!$C$21, $C$9, 100%, $E$9)</f>
        <v>39.354399999999998</v>
      </c>
      <c r="N656" s="14">
        <f>CHOOSE(CONTROL!$C$42, 39.37, 39.37) * CHOOSE(CONTROL!$C$21, $C$9, 100%, $E$9)</f>
        <v>39.369999999999997</v>
      </c>
      <c r="O656" s="14">
        <f>CHOOSE(CONTROL!$C$42, 39.6063, 39.6063) * CHOOSE(CONTROL!$C$21, $C$9, 100%, $E$9)</f>
        <v>39.606299999999997</v>
      </c>
      <c r="P656" s="14">
        <f>CHOOSE(CONTROL!$C$42, 39.5052, 39.5052) * CHOOSE(CONTROL!$C$21, $C$9, 100%, $E$9)</f>
        <v>39.505200000000002</v>
      </c>
      <c r="Q656" s="14">
        <f>CHOOSE(CONTROL!$C$42, 40.201, 40.201) * CHOOSE(CONTROL!$C$21, $C$9, 100%, $E$9)</f>
        <v>40.201000000000001</v>
      </c>
      <c r="R656" s="14">
        <f>CHOOSE(CONTROL!$C$42, 40.8885, 40.8885) * CHOOSE(CONTROL!$C$21, $C$9, 100%, $E$9)</f>
        <v>40.888500000000001</v>
      </c>
      <c r="S656" s="14">
        <f>CHOOSE(CONTROL!$C$42, 38.6126, 38.6126) * CHOOSE(CONTROL!$C$21, $C$9, 100%, $E$9)</f>
        <v>38.6126</v>
      </c>
      <c r="T65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56" s="57">
        <f>(1000*CHOOSE(CONTROL!$C$42, 695, 695)*CHOOSE(CONTROL!$C$42, 0.5599, 0.5599)*CHOOSE(CONTROL!$C$42, 31, 31))/1000000</f>
        <v>12.063045499999998</v>
      </c>
      <c r="V656" s="57">
        <f>(1000*CHOOSE(CONTROL!$C$42, 500, 500)*CHOOSE(CONTROL!$C$42, 0.275, 0.275)*CHOOSE(CONTROL!$C$42, 31, 31))/1000000</f>
        <v>4.2625000000000002</v>
      </c>
      <c r="W656" s="57">
        <f>(1000*CHOOSE(CONTROL!$C$42, 0.1146, 0.1146)*CHOOSE(CONTROL!$C$42, 121.5, 121.5)*CHOOSE(CONTROL!$C$42, 31, 31))/1000000</f>
        <v>0.43164089999999994</v>
      </c>
      <c r="X656" s="57">
        <f>(31*0.1790888*245000/1000000)+(31*0.2374*100000/1000000)</f>
        <v>2.0961194359999999</v>
      </c>
      <c r="Y656" s="57"/>
      <c r="Z656" s="14"/>
      <c r="AA656" s="56"/>
      <c r="AB656" s="50">
        <f>(B656*194.205+C656*267.466+D656*133.845+E656*53.484+F656*40+G656*185+H656*0+I656*100+J656*300)/(194.205+267.466+133.845+53.484+0+40+185+100+300)</f>
        <v>40.232540886263742</v>
      </c>
      <c r="AC656" s="45">
        <f>(M656*'RAP TEMPLATE-GAS AVAILABILITY'!O655+N656*'RAP TEMPLATE-GAS AVAILABILITY'!P655+O656*'RAP TEMPLATE-GAS AVAILABILITY'!Q655+P656*'RAP TEMPLATE-GAS AVAILABILITY'!R655)/('RAP TEMPLATE-GAS AVAILABILITY'!O655+'RAP TEMPLATE-GAS AVAILABILITY'!P655+'RAP TEMPLATE-GAS AVAILABILITY'!Q655+'RAP TEMPLATE-GAS AVAILABILITY'!R655)</f>
        <v>39.491166187050361</v>
      </c>
    </row>
    <row r="657" spans="1:29" ht="15.75" x14ac:dyDescent="0.25">
      <c r="A657" s="32">
        <v>60905</v>
      </c>
      <c r="B657" s="14">
        <f>CHOOSE(CONTROL!$C$42, 37.6434, 37.6434) * CHOOSE(CONTROL!$C$21, $C$9, 100%, $E$9)</f>
        <v>37.6434</v>
      </c>
      <c r="C657" s="14">
        <f>CHOOSE(CONTROL!$C$42, 37.6514, 37.6514) * CHOOSE(CONTROL!$C$21, $C$9, 100%, $E$9)</f>
        <v>37.651400000000002</v>
      </c>
      <c r="D657" s="14">
        <f>CHOOSE(CONTROL!$C$42, 37.8553, 37.8553) * CHOOSE(CONTROL!$C$21, $C$9, 100%, $E$9)</f>
        <v>37.8553</v>
      </c>
      <c r="E657" s="14">
        <f>CHOOSE(CONTROL!$C$42, 37.8868, 37.8868) * CHOOSE(CONTROL!$C$21, $C$9, 100%, $E$9)</f>
        <v>37.886800000000001</v>
      </c>
      <c r="F657" s="14">
        <f>CHOOSE(CONTROL!$C$42, 37.6253, 37.6253)*CHOOSE(CONTROL!$C$21, $C$9, 100%, $E$9)</f>
        <v>37.625300000000003</v>
      </c>
      <c r="G657" s="14">
        <f>CHOOSE(CONTROL!$C$42, 37.6412, 37.6412)*CHOOSE(CONTROL!$C$21, $C$9, 100%, $E$9)</f>
        <v>37.641199999999998</v>
      </c>
      <c r="H657" s="14">
        <f>CHOOSE(CONTROL!$C$42, 37.8754, 37.8754) * CHOOSE(CONTROL!$C$21, $C$9, 100%, $E$9)</f>
        <v>37.875399999999999</v>
      </c>
      <c r="I657" s="14">
        <f>CHOOSE(CONTROL!$C$42, 37.7667, 37.7667)* CHOOSE(CONTROL!$C$21, $C$9, 100%, $E$9)</f>
        <v>37.7667</v>
      </c>
      <c r="J657" s="14">
        <f>CHOOSE(CONTROL!$C$42, 37.6183, 37.6183)* CHOOSE(CONTROL!$C$21, $C$9, 100%, $E$9)</f>
        <v>37.618299999999998</v>
      </c>
      <c r="K657" s="53">
        <f>CHOOSE(CONTROL!$C$42, 37.7628, 37.7628) * CHOOSE(CONTROL!$C$21, $C$9, 100%, $E$9)</f>
        <v>37.762799999999999</v>
      </c>
      <c r="L657" s="14">
        <f>CHOOSE(CONTROL!$C$42, 38.4624, 38.4624) * CHOOSE(CONTROL!$C$21, $C$9, 100%, $E$9)</f>
        <v>38.462400000000002</v>
      </c>
      <c r="M657" s="14">
        <f>CHOOSE(CONTROL!$C$42, 36.8552, 36.8552) * CHOOSE(CONTROL!$C$21, $C$9, 100%, $E$9)</f>
        <v>36.855200000000004</v>
      </c>
      <c r="N657" s="14">
        <f>CHOOSE(CONTROL!$C$42, 36.8708, 36.8708) * CHOOSE(CONTROL!$C$21, $C$9, 100%, $E$9)</f>
        <v>36.870800000000003</v>
      </c>
      <c r="O657" s="14">
        <f>CHOOSE(CONTROL!$C$42, 37.1071, 37.1071) * CHOOSE(CONTROL!$C$21, $C$9, 100%, $E$9)</f>
        <v>37.107100000000003</v>
      </c>
      <c r="P657" s="14">
        <f>CHOOSE(CONTROL!$C$42, 36.9983, 36.9983) * CHOOSE(CONTROL!$C$21, $C$9, 100%, $E$9)</f>
        <v>36.9983</v>
      </c>
      <c r="Q657" s="14">
        <f>CHOOSE(CONTROL!$C$42, 37.7018, 37.7018) * CHOOSE(CONTROL!$C$21, $C$9, 100%, $E$9)</f>
        <v>37.701799999999999</v>
      </c>
      <c r="R657" s="14">
        <f>CHOOSE(CONTROL!$C$42, 38.383, 38.383) * CHOOSE(CONTROL!$C$21, $C$9, 100%, $E$9)</f>
        <v>38.383000000000003</v>
      </c>
      <c r="S657" s="14">
        <f>CHOOSE(CONTROL!$C$42, 36.1609, 36.1609) * CHOOSE(CONTROL!$C$21, $C$9, 100%, $E$9)</f>
        <v>36.160899999999998</v>
      </c>
      <c r="T65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57" s="57">
        <f>(1000*CHOOSE(CONTROL!$C$42, 695, 695)*CHOOSE(CONTROL!$C$42, 0.5599, 0.5599)*CHOOSE(CONTROL!$C$42, 30, 30))/1000000</f>
        <v>11.673914999999997</v>
      </c>
      <c r="V657" s="57">
        <f>(1000*CHOOSE(CONTROL!$C$42, 500, 500)*CHOOSE(CONTROL!$C$42, 0.275, 0.275)*CHOOSE(CONTROL!$C$42, 30, 30))/1000000</f>
        <v>4.125</v>
      </c>
      <c r="W657" s="57">
        <f>(1000*CHOOSE(CONTROL!$C$42, 0.1146, 0.1146)*CHOOSE(CONTROL!$C$42, 121.5, 121.5)*CHOOSE(CONTROL!$C$42, 30, 30))/1000000</f>
        <v>0.417717</v>
      </c>
      <c r="X657" s="57">
        <f>(30*0.1790888*245000/1000000)+(30*0.2374*100000/1000000)</f>
        <v>2.0285026799999999</v>
      </c>
      <c r="Y657" s="57"/>
      <c r="Z657" s="14"/>
      <c r="AA657" s="56"/>
      <c r="AB657" s="50">
        <f>(B657*194.205+C657*267.466+D657*133.845+E657*53.484+F657*40+G657*185+H657*0+I657*100+J657*300)/(194.205+267.466+133.845+53.484+0+40+185+100+300)</f>
        <v>37.68043963037676</v>
      </c>
      <c r="AC657" s="45">
        <f>(M657*'RAP TEMPLATE-GAS AVAILABILITY'!O656+N657*'RAP TEMPLATE-GAS AVAILABILITY'!P656+O657*'RAP TEMPLATE-GAS AVAILABILITY'!Q656+P657*'RAP TEMPLATE-GAS AVAILABILITY'!R656)/('RAP TEMPLATE-GAS AVAILABILITY'!O656+'RAP TEMPLATE-GAS AVAILABILITY'!P656+'RAP TEMPLATE-GAS AVAILABILITY'!Q656+'RAP TEMPLATE-GAS AVAILABILITY'!R656)</f>
        <v>36.990858273381299</v>
      </c>
    </row>
    <row r="658" spans="1:29" ht="15.75" x14ac:dyDescent="0.25">
      <c r="A658" s="32">
        <v>60936</v>
      </c>
      <c r="B658" s="14">
        <f>CHOOSE(CONTROL!$C$42, 36.8775, 36.8775) * CHOOSE(CONTROL!$C$21, $C$9, 100%, $E$9)</f>
        <v>36.877499999999998</v>
      </c>
      <c r="C658" s="14">
        <f>CHOOSE(CONTROL!$C$42, 36.8829, 36.8829) * CHOOSE(CONTROL!$C$21, $C$9, 100%, $E$9)</f>
        <v>36.882899999999999</v>
      </c>
      <c r="D658" s="14">
        <f>CHOOSE(CONTROL!$C$42, 37.0918, 37.0918) * CHOOSE(CONTROL!$C$21, $C$9, 100%, $E$9)</f>
        <v>37.091799999999999</v>
      </c>
      <c r="E658" s="14">
        <f>CHOOSE(CONTROL!$C$42, 37.1209, 37.1209) * CHOOSE(CONTROL!$C$21, $C$9, 100%, $E$9)</f>
        <v>37.120899999999999</v>
      </c>
      <c r="F658" s="14">
        <f>CHOOSE(CONTROL!$C$42, 36.8615, 36.8615)*CHOOSE(CONTROL!$C$21, $C$9, 100%, $E$9)</f>
        <v>36.861499999999999</v>
      </c>
      <c r="G658" s="14">
        <f>CHOOSE(CONTROL!$C$42, 36.8772, 36.8772)*CHOOSE(CONTROL!$C$21, $C$9, 100%, $E$9)</f>
        <v>36.877200000000002</v>
      </c>
      <c r="H658" s="14">
        <f>CHOOSE(CONTROL!$C$42, 37.1113, 37.1113) * CHOOSE(CONTROL!$C$21, $C$9, 100%, $E$9)</f>
        <v>37.1113</v>
      </c>
      <c r="I658" s="14">
        <f>CHOOSE(CONTROL!$C$42, 37.0002, 37.0002)* CHOOSE(CONTROL!$C$21, $C$9, 100%, $E$9)</f>
        <v>37.0002</v>
      </c>
      <c r="J658" s="14">
        <f>CHOOSE(CONTROL!$C$42, 36.8545, 36.8545)* CHOOSE(CONTROL!$C$21, $C$9, 100%, $E$9)</f>
        <v>36.854500000000002</v>
      </c>
      <c r="K658" s="53">
        <f>CHOOSE(CONTROL!$C$42, 36.9963, 36.9963) * CHOOSE(CONTROL!$C$21, $C$9, 100%, $E$9)</f>
        <v>36.996299999999998</v>
      </c>
      <c r="L658" s="14">
        <f>CHOOSE(CONTROL!$C$42, 37.6983, 37.6983) * CHOOSE(CONTROL!$C$21, $C$9, 100%, $E$9)</f>
        <v>37.698300000000003</v>
      </c>
      <c r="M658" s="14">
        <f>CHOOSE(CONTROL!$C$42, 36.1071, 36.1071) * CHOOSE(CONTROL!$C$21, $C$9, 100%, $E$9)</f>
        <v>36.107100000000003</v>
      </c>
      <c r="N658" s="14">
        <f>CHOOSE(CONTROL!$C$42, 36.1224, 36.1224) * CHOOSE(CONTROL!$C$21, $C$9, 100%, $E$9)</f>
        <v>36.122399999999999</v>
      </c>
      <c r="O658" s="14">
        <f>CHOOSE(CONTROL!$C$42, 36.3587, 36.3587) * CHOOSE(CONTROL!$C$21, $C$9, 100%, $E$9)</f>
        <v>36.358699999999999</v>
      </c>
      <c r="P658" s="14">
        <f>CHOOSE(CONTROL!$C$42, 36.2476, 36.2476) * CHOOSE(CONTROL!$C$21, $C$9, 100%, $E$9)</f>
        <v>36.247599999999998</v>
      </c>
      <c r="Q658" s="14">
        <f>CHOOSE(CONTROL!$C$42, 36.9534, 36.9534) * CHOOSE(CONTROL!$C$21, $C$9, 100%, $E$9)</f>
        <v>36.953400000000002</v>
      </c>
      <c r="R658" s="14">
        <f>CHOOSE(CONTROL!$C$42, 37.6327, 37.6327) * CHOOSE(CONTROL!$C$21, $C$9, 100%, $E$9)</f>
        <v>37.6327</v>
      </c>
      <c r="S658" s="14">
        <f>CHOOSE(CONTROL!$C$42, 35.4267, 35.4267) * CHOOSE(CONTROL!$C$21, $C$9, 100%, $E$9)</f>
        <v>35.426699999999997</v>
      </c>
      <c r="T65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58" s="57">
        <f>(1000*CHOOSE(CONTROL!$C$42, 695, 695)*CHOOSE(CONTROL!$C$42, 0.5599, 0.5599)*CHOOSE(CONTROL!$C$42, 31, 31))/1000000</f>
        <v>12.063045499999998</v>
      </c>
      <c r="V658" s="57">
        <f>(1000*CHOOSE(CONTROL!$C$42, 500, 500)*CHOOSE(CONTROL!$C$42, 0.275, 0.275)*CHOOSE(CONTROL!$C$42, 31, 31))/1000000</f>
        <v>4.2625000000000002</v>
      </c>
      <c r="W658" s="57">
        <f>(1000*CHOOSE(CONTROL!$C$42, 0.1146, 0.1146)*CHOOSE(CONTROL!$C$42, 121.5, 121.5)*CHOOSE(CONTROL!$C$42, 31, 31))/1000000</f>
        <v>0.43164089999999994</v>
      </c>
      <c r="X658" s="57">
        <f>(31*0.1790888*245000/1000000)+(31*0.2374*100000/1000000)</f>
        <v>2.0961194359999999</v>
      </c>
      <c r="Y658" s="57"/>
      <c r="Z658" s="14"/>
      <c r="AA658" s="56"/>
      <c r="AB658" s="50">
        <f>(B658*131.881+C658*277.167+D658*79.08+E658*125.872+F658*40+G658*185+H658*0+I658*100+J658*300)/(131.881+277.167+79.08+125.872+0+40+185+100+300)</f>
        <v>36.92088602953995</v>
      </c>
      <c r="AC658" s="45">
        <f>(M658*'RAP TEMPLATE-GAS AVAILABILITY'!O657+N658*'RAP TEMPLATE-GAS AVAILABILITY'!P657+O658*'RAP TEMPLATE-GAS AVAILABILITY'!Q657+P658*'RAP TEMPLATE-GAS AVAILABILITY'!R657)/('RAP TEMPLATE-GAS AVAILABILITY'!O657+'RAP TEMPLATE-GAS AVAILABILITY'!P657+'RAP TEMPLATE-GAS AVAILABILITY'!Q657+'RAP TEMPLATE-GAS AVAILABILITY'!R657)</f>
        <v>36.242230935251797</v>
      </c>
    </row>
    <row r="659" spans="1:29" ht="15.75" x14ac:dyDescent="0.25">
      <c r="A659" s="32">
        <v>60966</v>
      </c>
      <c r="B659" s="14">
        <f>CHOOSE(CONTROL!$C$42, 37.8484, 37.8484) * CHOOSE(CONTROL!$C$21, $C$9, 100%, $E$9)</f>
        <v>37.848399999999998</v>
      </c>
      <c r="C659" s="14">
        <f>CHOOSE(CONTROL!$C$42, 37.8534, 37.8534) * CHOOSE(CONTROL!$C$21, $C$9, 100%, $E$9)</f>
        <v>37.853400000000001</v>
      </c>
      <c r="D659" s="14">
        <f>CHOOSE(CONTROL!$C$42, 37.9173, 37.9173) * CHOOSE(CONTROL!$C$21, $C$9, 100%, $E$9)</f>
        <v>37.917299999999997</v>
      </c>
      <c r="E659" s="14">
        <f>CHOOSE(CONTROL!$C$42, 37.9514, 37.9514) * CHOOSE(CONTROL!$C$21, $C$9, 100%, $E$9)</f>
        <v>37.9514</v>
      </c>
      <c r="F659" s="14">
        <f>CHOOSE(CONTROL!$C$42, 37.8508, 37.8508)*CHOOSE(CONTROL!$C$21, $C$9, 100%, $E$9)</f>
        <v>37.8508</v>
      </c>
      <c r="G659" s="14">
        <f>CHOOSE(CONTROL!$C$42, 37.8668, 37.8668)*CHOOSE(CONTROL!$C$21, $C$9, 100%, $E$9)</f>
        <v>37.866799999999998</v>
      </c>
      <c r="H659" s="14">
        <f>CHOOSE(CONTROL!$C$42, 37.9406, 37.9406) * CHOOSE(CONTROL!$C$21, $C$9, 100%, $E$9)</f>
        <v>37.940600000000003</v>
      </c>
      <c r="I659" s="14">
        <f>CHOOSE(CONTROL!$C$42, 37.9798, 37.9798)* CHOOSE(CONTROL!$C$21, $C$9, 100%, $E$9)</f>
        <v>37.979799999999997</v>
      </c>
      <c r="J659" s="14">
        <f>CHOOSE(CONTROL!$C$42, 37.8438, 37.8438)* CHOOSE(CONTROL!$C$21, $C$9, 100%, $E$9)</f>
        <v>37.843800000000002</v>
      </c>
      <c r="K659" s="53">
        <f>CHOOSE(CONTROL!$C$42, 37.9759, 37.9759) * CHOOSE(CONTROL!$C$21, $C$9, 100%, $E$9)</f>
        <v>37.975900000000003</v>
      </c>
      <c r="L659" s="14">
        <f>CHOOSE(CONTROL!$C$42, 38.5276, 38.5276) * CHOOSE(CONTROL!$C$21, $C$9, 100%, $E$9)</f>
        <v>38.5276</v>
      </c>
      <c r="M659" s="14">
        <f>CHOOSE(CONTROL!$C$42, 37.0761, 37.0761) * CHOOSE(CONTROL!$C$21, $C$9, 100%, $E$9)</f>
        <v>37.076099999999997</v>
      </c>
      <c r="N659" s="14">
        <f>CHOOSE(CONTROL!$C$42, 37.0918, 37.0918) * CHOOSE(CONTROL!$C$21, $C$9, 100%, $E$9)</f>
        <v>37.091799999999999</v>
      </c>
      <c r="O659" s="14">
        <f>CHOOSE(CONTROL!$C$42, 37.1709, 37.1709) * CHOOSE(CONTROL!$C$21, $C$9, 100%, $E$9)</f>
        <v>37.170900000000003</v>
      </c>
      <c r="P659" s="14">
        <f>CHOOSE(CONTROL!$C$42, 37.207, 37.207) * CHOOSE(CONTROL!$C$21, $C$9, 100%, $E$9)</f>
        <v>37.207000000000001</v>
      </c>
      <c r="Q659" s="14">
        <f>CHOOSE(CONTROL!$C$42, 37.7656, 37.7656) * CHOOSE(CONTROL!$C$21, $C$9, 100%, $E$9)</f>
        <v>37.765599999999999</v>
      </c>
      <c r="R659" s="14">
        <f>CHOOSE(CONTROL!$C$42, 38.447, 38.447) * CHOOSE(CONTROL!$C$21, $C$9, 100%, $E$9)</f>
        <v>38.447000000000003</v>
      </c>
      <c r="S659" s="14">
        <f>CHOOSE(CONTROL!$C$42, 36.36, 36.36) * CHOOSE(CONTROL!$C$21, $C$9, 100%, $E$9)</f>
        <v>36.36</v>
      </c>
      <c r="T65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59" s="57">
        <f>(1000*CHOOSE(CONTROL!$C$42, 695, 695)*CHOOSE(CONTROL!$C$42, 0.5599, 0.5599)*CHOOSE(CONTROL!$C$42, 30, 30))/1000000</f>
        <v>11.673914999999997</v>
      </c>
      <c r="V659" s="57">
        <f>(1000*CHOOSE(CONTROL!$C$42, 500, 500)*CHOOSE(CONTROL!$C$42, 0.275, 0.275)*CHOOSE(CONTROL!$C$42, 30, 30))/1000000</f>
        <v>4.125</v>
      </c>
      <c r="W659" s="57">
        <f>(1000*CHOOSE(CONTROL!$C$42, 0.1146, 0.1146)*CHOOSE(CONTROL!$C$42, 121.5, 121.5)*CHOOSE(CONTROL!$C$42, 30, 30))/1000000</f>
        <v>0.417717</v>
      </c>
      <c r="X659" s="57">
        <f>(30*0.1790888*100000/1000000)+(30*0.2374*100000/1000000)</f>
        <v>1.2494664</v>
      </c>
      <c r="Y659" s="57"/>
      <c r="Z659" s="14"/>
      <c r="AA659" s="56"/>
      <c r="AB659" s="50">
        <f>(B659*122.58+C659*297.941+D659*89.177+E659*40.302+F659*40+G659*160+H659*0+I659*100+J659*300)/(122.58+297.941+89.177+40.302+0+40+160+100+300)</f>
        <v>37.871517483739126</v>
      </c>
      <c r="AC659" s="45">
        <f>(M659*'RAP TEMPLATE-GAS AVAILABILITY'!O658+N659*'RAP TEMPLATE-GAS AVAILABILITY'!P658+O659*'RAP TEMPLATE-GAS AVAILABILITY'!Q658+P659*'RAP TEMPLATE-GAS AVAILABILITY'!R658)/('RAP TEMPLATE-GAS AVAILABILITY'!O658+'RAP TEMPLATE-GAS AVAILABILITY'!P658+'RAP TEMPLATE-GAS AVAILABILITY'!Q658+'RAP TEMPLATE-GAS AVAILABILITY'!R658)</f>
        <v>37.138805035971224</v>
      </c>
    </row>
    <row r="660" spans="1:29" ht="15.75" x14ac:dyDescent="0.25">
      <c r="A660" s="32">
        <v>60997</v>
      </c>
      <c r="B660" s="14">
        <f>CHOOSE(CONTROL!$C$42, 40.4282, 40.4282) * CHOOSE(CONTROL!$C$21, $C$9, 100%, $E$9)</f>
        <v>40.428199999999997</v>
      </c>
      <c r="C660" s="14">
        <f>CHOOSE(CONTROL!$C$42, 40.4333, 40.4333) * CHOOSE(CONTROL!$C$21, $C$9, 100%, $E$9)</f>
        <v>40.433300000000003</v>
      </c>
      <c r="D660" s="14">
        <f>CHOOSE(CONTROL!$C$42, 40.4971, 40.4971) * CHOOSE(CONTROL!$C$21, $C$9, 100%, $E$9)</f>
        <v>40.497100000000003</v>
      </c>
      <c r="E660" s="14">
        <f>CHOOSE(CONTROL!$C$42, 40.5312, 40.5312) * CHOOSE(CONTROL!$C$21, $C$9, 100%, $E$9)</f>
        <v>40.531199999999998</v>
      </c>
      <c r="F660" s="14">
        <f>CHOOSE(CONTROL!$C$42, 40.4328, 40.4328)*CHOOSE(CONTROL!$C$21, $C$9, 100%, $E$9)</f>
        <v>40.4328</v>
      </c>
      <c r="G660" s="14">
        <f>CHOOSE(CONTROL!$C$42, 40.4495, 40.4495)*CHOOSE(CONTROL!$C$21, $C$9, 100%, $E$9)</f>
        <v>40.4495</v>
      </c>
      <c r="H660" s="14">
        <f>CHOOSE(CONTROL!$C$42, 40.5204, 40.5204) * CHOOSE(CONTROL!$C$21, $C$9, 100%, $E$9)</f>
        <v>40.520400000000002</v>
      </c>
      <c r="I660" s="14">
        <f>CHOOSE(CONTROL!$C$42, 40.5677, 40.5677)* CHOOSE(CONTROL!$C$21, $C$9, 100%, $E$9)</f>
        <v>40.567700000000002</v>
      </c>
      <c r="J660" s="14">
        <f>CHOOSE(CONTROL!$C$42, 40.4258, 40.4258)* CHOOSE(CONTROL!$C$21, $C$9, 100%, $E$9)</f>
        <v>40.425800000000002</v>
      </c>
      <c r="K660" s="53">
        <f>CHOOSE(CONTROL!$C$42, 40.5638, 40.5638) * CHOOSE(CONTROL!$C$21, $C$9, 100%, $E$9)</f>
        <v>40.563800000000001</v>
      </c>
      <c r="L660" s="14">
        <f>CHOOSE(CONTROL!$C$42, 41.1074, 41.1074) * CHOOSE(CONTROL!$C$21, $C$9, 100%, $E$9)</f>
        <v>41.107399999999998</v>
      </c>
      <c r="M660" s="14">
        <f>CHOOSE(CONTROL!$C$42, 39.6052, 39.6052) * CHOOSE(CONTROL!$C$21, $C$9, 100%, $E$9)</f>
        <v>39.605200000000004</v>
      </c>
      <c r="N660" s="14">
        <f>CHOOSE(CONTROL!$C$42, 39.6215, 39.6215) * CHOOSE(CONTROL!$C$21, $C$9, 100%, $E$9)</f>
        <v>39.621499999999997</v>
      </c>
      <c r="O660" s="14">
        <f>CHOOSE(CONTROL!$C$42, 39.6978, 39.6978) * CHOOSE(CONTROL!$C$21, $C$9, 100%, $E$9)</f>
        <v>39.697800000000001</v>
      </c>
      <c r="P660" s="14">
        <f>CHOOSE(CONTROL!$C$42, 39.7417, 39.7417) * CHOOSE(CONTROL!$C$21, $C$9, 100%, $E$9)</f>
        <v>39.741700000000002</v>
      </c>
      <c r="Q660" s="14">
        <f>CHOOSE(CONTROL!$C$42, 40.2925, 40.2925) * CHOOSE(CONTROL!$C$21, $C$9, 100%, $E$9)</f>
        <v>40.292499999999997</v>
      </c>
      <c r="R660" s="14">
        <f>CHOOSE(CONTROL!$C$42, 40.9803, 40.9803) * CHOOSE(CONTROL!$C$21, $C$9, 100%, $E$9)</f>
        <v>40.9803</v>
      </c>
      <c r="S660" s="14">
        <f>CHOOSE(CONTROL!$C$42, 38.8389, 38.8389) * CHOOSE(CONTROL!$C$21, $C$9, 100%, $E$9)</f>
        <v>38.838900000000002</v>
      </c>
      <c r="T66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60" s="57">
        <f>(1000*CHOOSE(CONTROL!$C$42, 695, 695)*CHOOSE(CONTROL!$C$42, 0.5599, 0.5599)*CHOOSE(CONTROL!$C$42, 31, 31))/1000000</f>
        <v>12.063045499999998</v>
      </c>
      <c r="V660" s="57">
        <f>(1000*CHOOSE(CONTROL!$C$42, 500, 500)*CHOOSE(CONTROL!$C$42, 0.275, 0.275)*CHOOSE(CONTROL!$C$42, 31, 31))/1000000</f>
        <v>4.2625000000000002</v>
      </c>
      <c r="W660" s="57">
        <f>(1000*CHOOSE(CONTROL!$C$42, 0.1146, 0.1146)*CHOOSE(CONTROL!$C$42, 121.5, 121.5)*CHOOSE(CONTROL!$C$42, 31, 31))/1000000</f>
        <v>0.43164089999999994</v>
      </c>
      <c r="X660" s="57">
        <f>(31*0.1790888*100000/1000000)+(31*0.2374*100000/1000000)</f>
        <v>1.2911152800000001</v>
      </c>
      <c r="Y660" s="57"/>
      <c r="Z660" s="14"/>
      <c r="AA660" s="56"/>
      <c r="AB660" s="50">
        <f>(B660*122.58+C660*297.941+D660*89.177+E660*40.302+F660*40+G660*160+H660*0+I660*100+J660*300)/(122.58+297.941+89.177+40.302+0+40+160+100+300)</f>
        <v>40.453101652521745</v>
      </c>
      <c r="AC660" s="45">
        <f>(M660*'RAP TEMPLATE-GAS AVAILABILITY'!O659+N660*'RAP TEMPLATE-GAS AVAILABILITY'!P659+O660*'RAP TEMPLATE-GAS AVAILABILITY'!Q659+P660*'RAP TEMPLATE-GAS AVAILABILITY'!R659)/('RAP TEMPLATE-GAS AVAILABILITY'!O659+'RAP TEMPLATE-GAS AVAILABILITY'!P659+'RAP TEMPLATE-GAS AVAILABILITY'!Q659+'RAP TEMPLATE-GAS AVAILABILITY'!R659)</f>
        <v>39.667748201438847</v>
      </c>
    </row>
    <row r="661" spans="1:29" ht="15.75" x14ac:dyDescent="0.25">
      <c r="A661" s="32">
        <v>61028</v>
      </c>
      <c r="B661" s="14">
        <f>CHOOSE(CONTROL!$C$42, 43.7391, 43.7391) * CHOOSE(CONTROL!$C$21, $C$9, 100%, $E$9)</f>
        <v>43.739100000000001</v>
      </c>
      <c r="C661" s="14">
        <f>CHOOSE(CONTROL!$C$42, 43.7441, 43.7441) * CHOOSE(CONTROL!$C$21, $C$9, 100%, $E$9)</f>
        <v>43.744100000000003</v>
      </c>
      <c r="D661" s="14">
        <f>CHOOSE(CONTROL!$C$42, 43.8105, 43.8105) * CHOOSE(CONTROL!$C$21, $C$9, 100%, $E$9)</f>
        <v>43.810499999999998</v>
      </c>
      <c r="E661" s="14">
        <f>CHOOSE(CONTROL!$C$42, 43.8446, 43.8446) * CHOOSE(CONTROL!$C$21, $C$9, 100%, $E$9)</f>
        <v>43.8446</v>
      </c>
      <c r="F661" s="14">
        <f>CHOOSE(CONTROL!$C$42, 43.7264, 43.7264)*CHOOSE(CONTROL!$C$21, $C$9, 100%, $E$9)</f>
        <v>43.726399999999998</v>
      </c>
      <c r="G661" s="14">
        <f>CHOOSE(CONTROL!$C$42, 43.7418, 43.7418)*CHOOSE(CONTROL!$C$21, $C$9, 100%, $E$9)</f>
        <v>43.741799999999998</v>
      </c>
      <c r="H661" s="14">
        <f>CHOOSE(CONTROL!$C$42, 43.8338, 43.8338) * CHOOSE(CONTROL!$C$21, $C$9, 100%, $E$9)</f>
        <v>43.833799999999997</v>
      </c>
      <c r="I661" s="14">
        <f>CHOOSE(CONTROL!$C$42, 43.8837, 43.8837)* CHOOSE(CONTROL!$C$21, $C$9, 100%, $E$9)</f>
        <v>43.883699999999997</v>
      </c>
      <c r="J661" s="14">
        <f>CHOOSE(CONTROL!$C$42, 43.7194, 43.7194)* CHOOSE(CONTROL!$C$21, $C$9, 100%, $E$9)</f>
        <v>43.7194</v>
      </c>
      <c r="K661" s="53">
        <f>CHOOSE(CONTROL!$C$42, 43.8798, 43.8798) * CHOOSE(CONTROL!$C$21, $C$9, 100%, $E$9)</f>
        <v>43.879800000000003</v>
      </c>
      <c r="L661" s="14">
        <f>CHOOSE(CONTROL!$C$42, 44.4208, 44.4208) * CHOOSE(CONTROL!$C$21, $C$9, 100%, $E$9)</f>
        <v>44.4208</v>
      </c>
      <c r="M661" s="14">
        <f>CHOOSE(CONTROL!$C$42, 42.8313, 42.8313) * CHOOSE(CONTROL!$C$21, $C$9, 100%, $E$9)</f>
        <v>42.831299999999999</v>
      </c>
      <c r="N661" s="14">
        <f>CHOOSE(CONTROL!$C$42, 42.8464, 42.8464) * CHOOSE(CONTROL!$C$21, $C$9, 100%, $E$9)</f>
        <v>42.846400000000003</v>
      </c>
      <c r="O661" s="14">
        <f>CHOOSE(CONTROL!$C$42, 42.9434, 42.9434) * CHOOSE(CONTROL!$C$21, $C$9, 100%, $E$9)</f>
        <v>42.943399999999997</v>
      </c>
      <c r="P661" s="14">
        <f>CHOOSE(CONTROL!$C$42, 42.9895, 42.9895) * CHOOSE(CONTROL!$C$21, $C$9, 100%, $E$9)</f>
        <v>42.9895</v>
      </c>
      <c r="Q661" s="14">
        <f>CHOOSE(CONTROL!$C$42, 43.5381, 43.5381) * CHOOSE(CONTROL!$C$21, $C$9, 100%, $E$9)</f>
        <v>43.5381</v>
      </c>
      <c r="R661" s="14">
        <f>CHOOSE(CONTROL!$C$42, 44.2339, 44.2339) * CHOOSE(CONTROL!$C$21, $C$9, 100%, $E$9)</f>
        <v>44.233899999999998</v>
      </c>
      <c r="S661" s="14">
        <f>CHOOSE(CONTROL!$C$42, 42.0203, 42.0203) * CHOOSE(CONTROL!$C$21, $C$9, 100%, $E$9)</f>
        <v>42.020299999999999</v>
      </c>
      <c r="T66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61" s="57">
        <f>(1000*CHOOSE(CONTROL!$C$42, 695, 695)*CHOOSE(CONTROL!$C$42, 0.5599, 0.5599)*CHOOSE(CONTROL!$C$42, 31, 31))/1000000</f>
        <v>12.063045499999998</v>
      </c>
      <c r="V661" s="57">
        <f>(1000*CHOOSE(CONTROL!$C$42, 500, 500)*CHOOSE(CONTROL!$C$42, 0.275, 0.275)*CHOOSE(CONTROL!$C$42, 31, 31))/1000000</f>
        <v>4.2625000000000002</v>
      </c>
      <c r="W661" s="57">
        <f>(1000*CHOOSE(CONTROL!$C$42, 0.1146, 0.1146)*CHOOSE(CONTROL!$C$42, 121.5, 121.5)*CHOOSE(CONTROL!$C$42, 31, 31))/1000000</f>
        <v>0.43164089999999994</v>
      </c>
      <c r="X661" s="57">
        <f>(31*0.1790888*100000/1000000)+(31*0.2374*100000/1000000)</f>
        <v>1.2911152800000001</v>
      </c>
      <c r="Y661" s="57"/>
      <c r="Z661" s="14"/>
      <c r="AA661" s="56"/>
      <c r="AB661" s="50">
        <f>(B661*122.58+C661*297.941+D661*89.177+E661*40.302+F661*40+G661*160+H661*0+I661*100+J661*300)/(122.58+297.941+89.177+40.302+0+40+160+100+300)</f>
        <v>43.756998090260872</v>
      </c>
      <c r="AC661" s="45">
        <f>(M661*'RAP TEMPLATE-GAS AVAILABILITY'!O660+N661*'RAP TEMPLATE-GAS AVAILABILITY'!P660+O661*'RAP TEMPLATE-GAS AVAILABILITY'!Q660+P661*'RAP TEMPLATE-GAS AVAILABILITY'!R660)/('RAP TEMPLATE-GAS AVAILABILITY'!O660+'RAP TEMPLATE-GAS AVAILABILITY'!P660+'RAP TEMPLATE-GAS AVAILABILITY'!Q660+'RAP TEMPLATE-GAS AVAILABILITY'!R660)</f>
        <v>42.905739568345318</v>
      </c>
    </row>
    <row r="662" spans="1:29" ht="15.75" x14ac:dyDescent="0.25">
      <c r="A662" s="32">
        <v>61056</v>
      </c>
      <c r="B662" s="14">
        <f>CHOOSE(CONTROL!$C$42, 44.5175, 44.5175) * CHOOSE(CONTROL!$C$21, $C$9, 100%, $E$9)</f>
        <v>44.517499999999998</v>
      </c>
      <c r="C662" s="14">
        <f>CHOOSE(CONTROL!$C$42, 44.5226, 44.5226) * CHOOSE(CONTROL!$C$21, $C$9, 100%, $E$9)</f>
        <v>44.522599999999997</v>
      </c>
      <c r="D662" s="14">
        <f>CHOOSE(CONTROL!$C$42, 44.589, 44.589) * CHOOSE(CONTROL!$C$21, $C$9, 100%, $E$9)</f>
        <v>44.588999999999999</v>
      </c>
      <c r="E662" s="14">
        <f>CHOOSE(CONTROL!$C$42, 44.6231, 44.6231) * CHOOSE(CONTROL!$C$21, $C$9, 100%, $E$9)</f>
        <v>44.623100000000001</v>
      </c>
      <c r="F662" s="14">
        <f>CHOOSE(CONTROL!$C$42, 44.5049, 44.5049)*CHOOSE(CONTROL!$C$21, $C$9, 100%, $E$9)</f>
        <v>44.504899999999999</v>
      </c>
      <c r="G662" s="14">
        <f>CHOOSE(CONTROL!$C$42, 44.5204, 44.5204)*CHOOSE(CONTROL!$C$21, $C$9, 100%, $E$9)</f>
        <v>44.520400000000002</v>
      </c>
      <c r="H662" s="14">
        <f>CHOOSE(CONTROL!$C$42, 44.6123, 44.6123) * CHOOSE(CONTROL!$C$21, $C$9, 100%, $E$9)</f>
        <v>44.612299999999998</v>
      </c>
      <c r="I662" s="14">
        <f>CHOOSE(CONTROL!$C$42, 44.6645, 44.6645)* CHOOSE(CONTROL!$C$21, $C$9, 100%, $E$9)</f>
        <v>44.664499999999997</v>
      </c>
      <c r="J662" s="14">
        <f>CHOOSE(CONTROL!$C$42, 44.4979, 44.4979)* CHOOSE(CONTROL!$C$21, $C$9, 100%, $E$9)</f>
        <v>44.497900000000001</v>
      </c>
      <c r="K662" s="53">
        <f>CHOOSE(CONTROL!$C$42, 44.6607, 44.6607) * CHOOSE(CONTROL!$C$21, $C$9, 100%, $E$9)</f>
        <v>44.660699999999999</v>
      </c>
      <c r="L662" s="14">
        <f>CHOOSE(CONTROL!$C$42, 45.1993, 45.1993) * CHOOSE(CONTROL!$C$21, $C$9, 100%, $E$9)</f>
        <v>45.199300000000001</v>
      </c>
      <c r="M662" s="14">
        <f>CHOOSE(CONTROL!$C$42, 43.5939, 43.5939) * CHOOSE(CONTROL!$C$21, $C$9, 100%, $E$9)</f>
        <v>43.593899999999998</v>
      </c>
      <c r="N662" s="14">
        <f>CHOOSE(CONTROL!$C$42, 43.609, 43.609) * CHOOSE(CONTROL!$C$21, $C$9, 100%, $E$9)</f>
        <v>43.609000000000002</v>
      </c>
      <c r="O662" s="14">
        <f>CHOOSE(CONTROL!$C$42, 43.7059, 43.7059) * CHOOSE(CONTROL!$C$21, $C$9, 100%, $E$9)</f>
        <v>43.7059</v>
      </c>
      <c r="P662" s="14">
        <f>CHOOSE(CONTROL!$C$42, 43.7544, 43.7544) * CHOOSE(CONTROL!$C$21, $C$9, 100%, $E$9)</f>
        <v>43.754399999999997</v>
      </c>
      <c r="Q662" s="14">
        <f>CHOOSE(CONTROL!$C$42, 44.3006, 44.3006) * CHOOSE(CONTROL!$C$21, $C$9, 100%, $E$9)</f>
        <v>44.300600000000003</v>
      </c>
      <c r="R662" s="14">
        <f>CHOOSE(CONTROL!$C$42, 44.9983, 44.9983) * CHOOSE(CONTROL!$C$21, $C$9, 100%, $E$9)</f>
        <v>44.9983</v>
      </c>
      <c r="S662" s="14">
        <f>CHOOSE(CONTROL!$C$42, 42.7683, 42.7683) * CHOOSE(CONTROL!$C$21, $C$9, 100%, $E$9)</f>
        <v>42.768300000000004</v>
      </c>
      <c r="T66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62" s="57">
        <f>(1000*CHOOSE(CONTROL!$C$42, 695, 695)*CHOOSE(CONTROL!$C$42, 0.5599, 0.5599)*CHOOSE(CONTROL!$C$42, 28, 28))/1000000</f>
        <v>10.895653999999999</v>
      </c>
      <c r="V662" s="57">
        <f>(1000*CHOOSE(CONTROL!$C$42, 500, 500)*CHOOSE(CONTROL!$C$42, 0.275, 0.275)*CHOOSE(CONTROL!$C$42, 28, 28))/1000000</f>
        <v>3.85</v>
      </c>
      <c r="W662" s="57">
        <f>(1000*CHOOSE(CONTROL!$C$42, 0.1146, 0.1146)*CHOOSE(CONTROL!$C$42, 121.5, 121.5)*CHOOSE(CONTROL!$C$42, 28, 28))/1000000</f>
        <v>0.38986920000000003</v>
      </c>
      <c r="X662" s="57">
        <f>(28*0.1790888*100000/1000000)+(28*0.2374*100000/1000000)</f>
        <v>1.16616864</v>
      </c>
      <c r="Y662" s="57"/>
      <c r="Z662" s="14"/>
      <c r="AA662" s="56"/>
      <c r="AB662" s="50">
        <f>(B662*122.58+C662*297.941+D662*89.177+E662*40.302+F662*40+G662*160+H662*0+I662*100+J662*300)/(122.58+297.941+89.177+40.302+0+40+160+100+300)</f>
        <v>44.535701344173908</v>
      </c>
      <c r="AC662" s="45">
        <f>(M662*'RAP TEMPLATE-GAS AVAILABILITY'!O661+N662*'RAP TEMPLATE-GAS AVAILABILITY'!P661+O662*'RAP TEMPLATE-GAS AVAILABILITY'!Q661+P662*'RAP TEMPLATE-GAS AVAILABILITY'!R661)/('RAP TEMPLATE-GAS AVAILABILITY'!O661+'RAP TEMPLATE-GAS AVAILABILITY'!P661+'RAP TEMPLATE-GAS AVAILABILITY'!Q661+'RAP TEMPLATE-GAS AVAILABILITY'!R661)</f>
        <v>43.668625179856114</v>
      </c>
    </row>
    <row r="663" spans="1:29" ht="15.75" x14ac:dyDescent="0.25">
      <c r="A663" s="32">
        <v>61087</v>
      </c>
      <c r="B663" s="14">
        <f>CHOOSE(CONTROL!$C$42, 43.2539, 43.2539) * CHOOSE(CONTROL!$C$21, $C$9, 100%, $E$9)</f>
        <v>43.253900000000002</v>
      </c>
      <c r="C663" s="14">
        <f>CHOOSE(CONTROL!$C$42, 43.259, 43.259) * CHOOSE(CONTROL!$C$21, $C$9, 100%, $E$9)</f>
        <v>43.259</v>
      </c>
      <c r="D663" s="14">
        <f>CHOOSE(CONTROL!$C$42, 43.3254, 43.3254) * CHOOSE(CONTROL!$C$21, $C$9, 100%, $E$9)</f>
        <v>43.325400000000002</v>
      </c>
      <c r="E663" s="14">
        <f>CHOOSE(CONTROL!$C$42, 43.3595, 43.3595) * CHOOSE(CONTROL!$C$21, $C$9, 100%, $E$9)</f>
        <v>43.359499999999997</v>
      </c>
      <c r="F663" s="14">
        <f>CHOOSE(CONTROL!$C$42, 43.2409, 43.2409)*CHOOSE(CONTROL!$C$21, $C$9, 100%, $E$9)</f>
        <v>43.240900000000003</v>
      </c>
      <c r="G663" s="14">
        <f>CHOOSE(CONTROL!$C$42, 43.2563, 43.2563)*CHOOSE(CONTROL!$C$21, $C$9, 100%, $E$9)</f>
        <v>43.256300000000003</v>
      </c>
      <c r="H663" s="14">
        <f>CHOOSE(CONTROL!$C$42, 43.3487, 43.3487) * CHOOSE(CONTROL!$C$21, $C$9, 100%, $E$9)</f>
        <v>43.348700000000001</v>
      </c>
      <c r="I663" s="14">
        <f>CHOOSE(CONTROL!$C$42, 43.397, 43.397)* CHOOSE(CONTROL!$C$21, $C$9, 100%, $E$9)</f>
        <v>43.396999999999998</v>
      </c>
      <c r="J663" s="14">
        <f>CHOOSE(CONTROL!$C$42, 43.2339, 43.2339)* CHOOSE(CONTROL!$C$21, $C$9, 100%, $E$9)</f>
        <v>43.233899999999998</v>
      </c>
      <c r="K663" s="53">
        <f>CHOOSE(CONTROL!$C$42, 43.3931, 43.3931) * CHOOSE(CONTROL!$C$21, $C$9, 100%, $E$9)</f>
        <v>43.393099999999997</v>
      </c>
      <c r="L663" s="14">
        <f>CHOOSE(CONTROL!$C$42, 43.9357, 43.9357) * CHOOSE(CONTROL!$C$21, $C$9, 100%, $E$9)</f>
        <v>43.935699999999997</v>
      </c>
      <c r="M663" s="14">
        <f>CHOOSE(CONTROL!$C$42, 42.3558, 42.3558) * CHOOSE(CONTROL!$C$21, $C$9, 100%, $E$9)</f>
        <v>42.355800000000002</v>
      </c>
      <c r="N663" s="14">
        <f>CHOOSE(CONTROL!$C$42, 42.3708, 42.3708) * CHOOSE(CONTROL!$C$21, $C$9, 100%, $E$9)</f>
        <v>42.370800000000003</v>
      </c>
      <c r="O663" s="14">
        <f>CHOOSE(CONTROL!$C$42, 42.4682, 42.4682) * CHOOSE(CONTROL!$C$21, $C$9, 100%, $E$9)</f>
        <v>42.468200000000003</v>
      </c>
      <c r="P663" s="14">
        <f>CHOOSE(CONTROL!$C$42, 42.5128, 42.5128) * CHOOSE(CONTROL!$C$21, $C$9, 100%, $E$9)</f>
        <v>42.512799999999999</v>
      </c>
      <c r="Q663" s="14">
        <f>CHOOSE(CONTROL!$C$42, 43.0629, 43.0629) * CHOOSE(CONTROL!$C$21, $C$9, 100%, $E$9)</f>
        <v>43.062899999999999</v>
      </c>
      <c r="R663" s="14">
        <f>CHOOSE(CONTROL!$C$42, 43.7575, 43.7575) * CHOOSE(CONTROL!$C$21, $C$9, 100%, $E$9)</f>
        <v>43.7575</v>
      </c>
      <c r="S663" s="14">
        <f>CHOOSE(CONTROL!$C$42, 41.5541, 41.5541) * CHOOSE(CONTROL!$C$21, $C$9, 100%, $E$9)</f>
        <v>41.554099999999998</v>
      </c>
      <c r="T66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63" s="57">
        <f>(1000*CHOOSE(CONTROL!$C$42, 695, 695)*CHOOSE(CONTROL!$C$42, 0.5599, 0.5599)*CHOOSE(CONTROL!$C$42, 31, 31))/1000000</f>
        <v>12.063045499999998</v>
      </c>
      <c r="V663" s="57">
        <f>(1000*CHOOSE(CONTROL!$C$42, 500, 500)*CHOOSE(CONTROL!$C$42, 0.275, 0.275)*CHOOSE(CONTROL!$C$42, 31, 31))/1000000</f>
        <v>4.2625000000000002</v>
      </c>
      <c r="W663" s="57">
        <f>(1000*CHOOSE(CONTROL!$C$42, 0.1146, 0.1146)*CHOOSE(CONTROL!$C$42, 121.5, 121.5)*CHOOSE(CONTROL!$C$42, 31, 31))/1000000</f>
        <v>0.43164089999999994</v>
      </c>
      <c r="X663" s="57">
        <f>(31*0.1790888*100000/1000000)+(31*0.2374*100000/1000000)</f>
        <v>1.2911152800000001</v>
      </c>
      <c r="Y663" s="57"/>
      <c r="Z663" s="14"/>
      <c r="AA663" s="56"/>
      <c r="AB663" s="50">
        <f>(B663*122.58+C663*297.941+D663*89.177+E663*40.302+F663*40+G663*160+H663*0+I663*100+J663*300)/(122.58+297.941+89.177+40.302+0+40+160+100+300)</f>
        <v>43.271574387652166</v>
      </c>
      <c r="AC663" s="45">
        <f>(M663*'RAP TEMPLATE-GAS AVAILABILITY'!O662+N663*'RAP TEMPLATE-GAS AVAILABILITY'!P662+O663*'RAP TEMPLATE-GAS AVAILABILITY'!Q662+P663*'RAP TEMPLATE-GAS AVAILABILITY'!R662)/('RAP TEMPLATE-GAS AVAILABILITY'!O662+'RAP TEMPLATE-GAS AVAILABILITY'!P662+'RAP TEMPLATE-GAS AVAILABILITY'!Q662+'RAP TEMPLATE-GAS AVAILABILITY'!R662)</f>
        <v>42.430197122302161</v>
      </c>
    </row>
    <row r="664" spans="1:29" ht="15.75" x14ac:dyDescent="0.25">
      <c r="A664" s="32">
        <v>61117</v>
      </c>
      <c r="B664" s="14">
        <f>CHOOSE(CONTROL!$C$42, 43.1256, 43.1256) * CHOOSE(CONTROL!$C$21, $C$9, 100%, $E$9)</f>
        <v>43.125599999999999</v>
      </c>
      <c r="C664" s="14">
        <f>CHOOSE(CONTROL!$C$42, 43.1301, 43.1301) * CHOOSE(CONTROL!$C$21, $C$9, 100%, $E$9)</f>
        <v>43.130099999999999</v>
      </c>
      <c r="D664" s="14">
        <f>CHOOSE(CONTROL!$C$42, 43.3371, 43.3371) * CHOOSE(CONTROL!$C$21, $C$9, 100%, $E$9)</f>
        <v>43.3371</v>
      </c>
      <c r="E664" s="14">
        <f>CHOOSE(CONTROL!$C$42, 43.3692, 43.3692) * CHOOSE(CONTROL!$C$21, $C$9, 100%, $E$9)</f>
        <v>43.369199999999999</v>
      </c>
      <c r="F664" s="14">
        <f>CHOOSE(CONTROL!$C$42, 43.1075, 43.1075)*CHOOSE(CONTROL!$C$21, $C$9, 100%, $E$9)</f>
        <v>43.107500000000002</v>
      </c>
      <c r="G664" s="14">
        <f>CHOOSE(CONTROL!$C$42, 43.1227, 43.1227)*CHOOSE(CONTROL!$C$21, $C$9, 100%, $E$9)</f>
        <v>43.122700000000002</v>
      </c>
      <c r="H664" s="14">
        <f>CHOOSE(CONTROL!$C$42, 43.359, 43.359) * CHOOSE(CONTROL!$C$21, $C$9, 100%, $E$9)</f>
        <v>43.359000000000002</v>
      </c>
      <c r="I664" s="14">
        <f>CHOOSE(CONTROL!$C$42, 43.2675, 43.2675)* CHOOSE(CONTROL!$C$21, $C$9, 100%, $E$9)</f>
        <v>43.267499999999998</v>
      </c>
      <c r="J664" s="14">
        <f>CHOOSE(CONTROL!$C$42, 43.1005, 43.1005)* CHOOSE(CONTROL!$C$21, $C$9, 100%, $E$9)</f>
        <v>43.100499999999997</v>
      </c>
      <c r="K664" s="53">
        <f>CHOOSE(CONTROL!$C$42, 43.2636, 43.2636) * CHOOSE(CONTROL!$C$21, $C$9, 100%, $E$9)</f>
        <v>43.263599999999997</v>
      </c>
      <c r="L664" s="14">
        <f>CHOOSE(CONTROL!$C$42, 43.946, 43.946) * CHOOSE(CONTROL!$C$21, $C$9, 100%, $E$9)</f>
        <v>43.945999999999998</v>
      </c>
      <c r="M664" s="14">
        <f>CHOOSE(CONTROL!$C$42, 42.2251, 42.2251) * CHOOSE(CONTROL!$C$21, $C$9, 100%, $E$9)</f>
        <v>42.225099999999998</v>
      </c>
      <c r="N664" s="14">
        <f>CHOOSE(CONTROL!$C$42, 42.2399, 42.2399) * CHOOSE(CONTROL!$C$21, $C$9, 100%, $E$9)</f>
        <v>42.239899999999999</v>
      </c>
      <c r="O664" s="14">
        <f>CHOOSE(CONTROL!$C$42, 42.4783, 42.4783) * CHOOSE(CONTROL!$C$21, $C$9, 100%, $E$9)</f>
        <v>42.478299999999997</v>
      </c>
      <c r="P664" s="14">
        <f>CHOOSE(CONTROL!$C$42, 42.386, 42.386) * CHOOSE(CONTROL!$C$21, $C$9, 100%, $E$9)</f>
        <v>42.386000000000003</v>
      </c>
      <c r="Q664" s="14">
        <f>CHOOSE(CONTROL!$C$42, 43.073, 43.073) * CHOOSE(CONTROL!$C$21, $C$9, 100%, $E$9)</f>
        <v>43.073</v>
      </c>
      <c r="R664" s="14">
        <f>CHOOSE(CONTROL!$C$42, 43.7677, 43.7677) * CHOOSE(CONTROL!$C$21, $C$9, 100%, $E$9)</f>
        <v>43.767699999999998</v>
      </c>
      <c r="S664" s="14">
        <f>CHOOSE(CONTROL!$C$42, 41.4301, 41.4301) * CHOOSE(CONTROL!$C$21, $C$9, 100%, $E$9)</f>
        <v>41.430100000000003</v>
      </c>
      <c r="T66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64" s="57">
        <f>(1000*CHOOSE(CONTROL!$C$42, 695, 695)*CHOOSE(CONTROL!$C$42, 0.5599, 0.5599)*CHOOSE(CONTROL!$C$42, 30, 30))/1000000</f>
        <v>11.673914999999997</v>
      </c>
      <c r="V664" s="57">
        <f>(1000*CHOOSE(CONTROL!$C$42, 500, 500)*CHOOSE(CONTROL!$C$42, 0.275, 0.275)*CHOOSE(CONTROL!$C$42, 30, 30))/1000000</f>
        <v>4.125</v>
      </c>
      <c r="W664" s="57">
        <f>(1000*CHOOSE(CONTROL!$C$42, 0.1146, 0.1146)*CHOOSE(CONTROL!$C$42, 121.5, 121.5)*CHOOSE(CONTROL!$C$42, 30, 30))/1000000</f>
        <v>0.417717</v>
      </c>
      <c r="X664" s="57">
        <f>(30*0.1790888*245000/1000000)+(30*0.2374*100000/1000000)</f>
        <v>2.0285026799999999</v>
      </c>
      <c r="Y664" s="57"/>
      <c r="Z664" s="14"/>
      <c r="AA664" s="56"/>
      <c r="AB664" s="50">
        <f>(B664*141.293+C664*267.993+D664*115.016+E664*89.698+F664*40+G664*185+H664*0+I664*100+J664*300)/(141.293+267.993+115.016+89.698+0+40+185+100+300)</f>
        <v>43.168200310976594</v>
      </c>
      <c r="AC664" s="45">
        <f>(M664*'RAP TEMPLATE-GAS AVAILABILITY'!O663+N664*'RAP TEMPLATE-GAS AVAILABILITY'!P663+O664*'RAP TEMPLATE-GAS AVAILABILITY'!Q663+P664*'RAP TEMPLATE-GAS AVAILABILITY'!R663)/('RAP TEMPLATE-GAS AVAILABILITY'!O663+'RAP TEMPLATE-GAS AVAILABILITY'!P663+'RAP TEMPLATE-GAS AVAILABILITY'!Q663+'RAP TEMPLATE-GAS AVAILABILITY'!R663)</f>
        <v>42.363862589928061</v>
      </c>
    </row>
    <row r="665" spans="1:29" ht="15.75" x14ac:dyDescent="0.25">
      <c r="A665" s="32">
        <v>61148</v>
      </c>
      <c r="B665" s="14">
        <f>CHOOSE(CONTROL!$C$42, 43.5075, 43.5075) * CHOOSE(CONTROL!$C$21, $C$9, 100%, $E$9)</f>
        <v>43.5075</v>
      </c>
      <c r="C665" s="14">
        <f>CHOOSE(CONTROL!$C$42, 43.5155, 43.5155) * CHOOSE(CONTROL!$C$21, $C$9, 100%, $E$9)</f>
        <v>43.515500000000003</v>
      </c>
      <c r="D665" s="14">
        <f>CHOOSE(CONTROL!$C$42, 43.7195, 43.7195) * CHOOSE(CONTROL!$C$21, $C$9, 100%, $E$9)</f>
        <v>43.719499999999996</v>
      </c>
      <c r="E665" s="14">
        <f>CHOOSE(CONTROL!$C$42, 43.7509, 43.7509) * CHOOSE(CONTROL!$C$21, $C$9, 100%, $E$9)</f>
        <v>43.750900000000001</v>
      </c>
      <c r="F665" s="14">
        <f>CHOOSE(CONTROL!$C$42, 43.4883, 43.4883)*CHOOSE(CONTROL!$C$21, $C$9, 100%, $E$9)</f>
        <v>43.488300000000002</v>
      </c>
      <c r="G665" s="14">
        <f>CHOOSE(CONTROL!$C$42, 43.5039, 43.5039)*CHOOSE(CONTROL!$C$21, $C$9, 100%, $E$9)</f>
        <v>43.503900000000002</v>
      </c>
      <c r="H665" s="14">
        <f>CHOOSE(CONTROL!$C$42, 43.7396, 43.7396) * CHOOSE(CONTROL!$C$21, $C$9, 100%, $E$9)</f>
        <v>43.739600000000003</v>
      </c>
      <c r="I665" s="14">
        <f>CHOOSE(CONTROL!$C$42, 43.6492, 43.6492)* CHOOSE(CONTROL!$C$21, $C$9, 100%, $E$9)</f>
        <v>43.6492</v>
      </c>
      <c r="J665" s="14">
        <f>CHOOSE(CONTROL!$C$42, 43.4813, 43.4813)* CHOOSE(CONTROL!$C$21, $C$9, 100%, $E$9)</f>
        <v>43.481299999999997</v>
      </c>
      <c r="K665" s="53">
        <f>CHOOSE(CONTROL!$C$42, 43.6453, 43.6453) * CHOOSE(CONTROL!$C$21, $C$9, 100%, $E$9)</f>
        <v>43.645299999999999</v>
      </c>
      <c r="L665" s="14">
        <f>CHOOSE(CONTROL!$C$42, 44.3266, 44.3266) * CHOOSE(CONTROL!$C$21, $C$9, 100%, $E$9)</f>
        <v>44.326599999999999</v>
      </c>
      <c r="M665" s="14">
        <f>CHOOSE(CONTROL!$C$42, 42.598, 42.598) * CHOOSE(CONTROL!$C$21, $C$9, 100%, $E$9)</f>
        <v>42.597999999999999</v>
      </c>
      <c r="N665" s="14">
        <f>CHOOSE(CONTROL!$C$42, 42.6134, 42.6134) * CHOOSE(CONTROL!$C$21, $C$9, 100%, $E$9)</f>
        <v>42.613399999999999</v>
      </c>
      <c r="O665" s="14">
        <f>CHOOSE(CONTROL!$C$42, 42.8511, 42.8511) * CHOOSE(CONTROL!$C$21, $C$9, 100%, $E$9)</f>
        <v>42.851100000000002</v>
      </c>
      <c r="P665" s="14">
        <f>CHOOSE(CONTROL!$C$42, 42.7599, 42.7599) * CHOOSE(CONTROL!$C$21, $C$9, 100%, $E$9)</f>
        <v>42.759900000000002</v>
      </c>
      <c r="Q665" s="14">
        <f>CHOOSE(CONTROL!$C$42, 43.4458, 43.4458) * CHOOSE(CONTROL!$C$21, $C$9, 100%, $E$9)</f>
        <v>43.445799999999998</v>
      </c>
      <c r="R665" s="14">
        <f>CHOOSE(CONTROL!$C$42, 44.1414, 44.1414) * CHOOSE(CONTROL!$C$21, $C$9, 100%, $E$9)</f>
        <v>44.141399999999997</v>
      </c>
      <c r="S665" s="14">
        <f>CHOOSE(CONTROL!$C$42, 41.7957, 41.7957) * CHOOSE(CONTROL!$C$21, $C$9, 100%, $E$9)</f>
        <v>41.795699999999997</v>
      </c>
      <c r="T66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65" s="57">
        <f>(1000*CHOOSE(CONTROL!$C$42, 695, 695)*CHOOSE(CONTROL!$C$42, 0.5599, 0.5599)*CHOOSE(CONTROL!$C$42, 31, 31))/1000000</f>
        <v>12.063045499999998</v>
      </c>
      <c r="V665" s="57">
        <f>(1000*CHOOSE(CONTROL!$C$42, 500, 500)*CHOOSE(CONTROL!$C$42, 0.275, 0.275)*CHOOSE(CONTROL!$C$42, 31, 31))/1000000</f>
        <v>4.2625000000000002</v>
      </c>
      <c r="W665" s="57">
        <f>(1000*CHOOSE(CONTROL!$C$42, 0.1146, 0.1146)*CHOOSE(CONTROL!$C$42, 121.5, 121.5)*CHOOSE(CONTROL!$C$42, 31, 31))/1000000</f>
        <v>0.43164089999999994</v>
      </c>
      <c r="X665" s="57">
        <f>(31*0.1790888*245000/1000000)+(31*0.2374*100000/1000000)</f>
        <v>2.0961194359999999</v>
      </c>
      <c r="Y665" s="57"/>
      <c r="Z665" s="14"/>
      <c r="AA665" s="56"/>
      <c r="AB665" s="50">
        <f>(B665*194.205+C665*267.466+D665*133.845+E665*53.484+F665*40+G665*185+H665*0+I665*100+J665*300)/(194.205+267.466+133.845+53.484+0+40+185+100+300)</f>
        <v>43.545497545996859</v>
      </c>
      <c r="AC665" s="45">
        <f>(M665*'RAP TEMPLATE-GAS AVAILABILITY'!O664+N665*'RAP TEMPLATE-GAS AVAILABILITY'!P664+O665*'RAP TEMPLATE-GAS AVAILABILITY'!Q664+P665*'RAP TEMPLATE-GAS AVAILABILITY'!R664)/('RAP TEMPLATE-GAS AVAILABILITY'!O664+'RAP TEMPLATE-GAS AVAILABILITY'!P664+'RAP TEMPLATE-GAS AVAILABILITY'!Q664+'RAP TEMPLATE-GAS AVAILABILITY'!R664)</f>
        <v>42.736895683453241</v>
      </c>
    </row>
    <row r="666" spans="1:29" ht="15.75" x14ac:dyDescent="0.25">
      <c r="A666" s="32">
        <v>61178</v>
      </c>
      <c r="B666" s="14">
        <f>CHOOSE(CONTROL!$C$42, 44.7413, 44.7413) * CHOOSE(CONTROL!$C$21, $C$9, 100%, $E$9)</f>
        <v>44.741300000000003</v>
      </c>
      <c r="C666" s="14">
        <f>CHOOSE(CONTROL!$C$42, 44.7494, 44.7494) * CHOOSE(CONTROL!$C$21, $C$9, 100%, $E$9)</f>
        <v>44.749400000000001</v>
      </c>
      <c r="D666" s="14">
        <f>CHOOSE(CONTROL!$C$42, 44.9533, 44.9533) * CHOOSE(CONTROL!$C$21, $C$9, 100%, $E$9)</f>
        <v>44.953299999999999</v>
      </c>
      <c r="E666" s="14">
        <f>CHOOSE(CONTROL!$C$42, 44.9847, 44.9847) * CHOOSE(CONTROL!$C$21, $C$9, 100%, $E$9)</f>
        <v>44.984699999999997</v>
      </c>
      <c r="F666" s="14">
        <f>CHOOSE(CONTROL!$C$42, 44.7225, 44.7225)*CHOOSE(CONTROL!$C$21, $C$9, 100%, $E$9)</f>
        <v>44.722499999999997</v>
      </c>
      <c r="G666" s="14">
        <f>CHOOSE(CONTROL!$C$42, 44.7383, 44.7383)*CHOOSE(CONTROL!$C$21, $C$9, 100%, $E$9)</f>
        <v>44.738300000000002</v>
      </c>
      <c r="H666" s="14">
        <f>CHOOSE(CONTROL!$C$42, 44.9734, 44.9734) * CHOOSE(CONTROL!$C$21, $C$9, 100%, $E$9)</f>
        <v>44.973399999999998</v>
      </c>
      <c r="I666" s="14">
        <f>CHOOSE(CONTROL!$C$42, 44.8869, 44.8869)* CHOOSE(CONTROL!$C$21, $C$9, 100%, $E$9)</f>
        <v>44.886899999999997</v>
      </c>
      <c r="J666" s="14">
        <f>CHOOSE(CONTROL!$C$42, 44.7155, 44.7155)* CHOOSE(CONTROL!$C$21, $C$9, 100%, $E$9)</f>
        <v>44.715499999999999</v>
      </c>
      <c r="K666" s="53">
        <f>CHOOSE(CONTROL!$C$42, 44.883, 44.883) * CHOOSE(CONTROL!$C$21, $C$9, 100%, $E$9)</f>
        <v>44.883000000000003</v>
      </c>
      <c r="L666" s="14">
        <f>CHOOSE(CONTROL!$C$42, 45.5604, 45.5604) * CHOOSE(CONTROL!$C$21, $C$9, 100%, $E$9)</f>
        <v>45.560400000000001</v>
      </c>
      <c r="M666" s="14">
        <f>CHOOSE(CONTROL!$C$42, 43.807, 43.807) * CHOOSE(CONTROL!$C$21, $C$9, 100%, $E$9)</f>
        <v>43.807000000000002</v>
      </c>
      <c r="N666" s="14">
        <f>CHOOSE(CONTROL!$C$42, 43.8224, 43.8224) * CHOOSE(CONTROL!$C$21, $C$9, 100%, $E$9)</f>
        <v>43.822400000000002</v>
      </c>
      <c r="O666" s="14">
        <f>CHOOSE(CONTROL!$C$42, 44.0596, 44.0596) * CHOOSE(CONTROL!$C$21, $C$9, 100%, $E$9)</f>
        <v>44.059600000000003</v>
      </c>
      <c r="P666" s="14">
        <f>CHOOSE(CONTROL!$C$42, 43.9721, 43.9721) * CHOOSE(CONTROL!$C$21, $C$9, 100%, $E$9)</f>
        <v>43.972099999999998</v>
      </c>
      <c r="Q666" s="14">
        <f>CHOOSE(CONTROL!$C$42, 44.6543, 44.6543) * CHOOSE(CONTROL!$C$21, $C$9, 100%, $E$9)</f>
        <v>44.654299999999999</v>
      </c>
      <c r="R666" s="14">
        <f>CHOOSE(CONTROL!$C$42, 45.3529, 45.3529) * CHOOSE(CONTROL!$C$21, $C$9, 100%, $E$9)</f>
        <v>45.352899999999998</v>
      </c>
      <c r="S666" s="14">
        <f>CHOOSE(CONTROL!$C$42, 42.9813, 42.9813) * CHOOSE(CONTROL!$C$21, $C$9, 100%, $E$9)</f>
        <v>42.981299999999997</v>
      </c>
      <c r="T66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66" s="57">
        <f>(1000*CHOOSE(CONTROL!$C$42, 695, 695)*CHOOSE(CONTROL!$C$42, 0.5599, 0.5599)*CHOOSE(CONTROL!$C$42, 30, 30))/1000000</f>
        <v>11.673914999999997</v>
      </c>
      <c r="V666" s="57">
        <f>(1000*CHOOSE(CONTROL!$C$42, 500, 500)*CHOOSE(CONTROL!$C$42, 0.275, 0.275)*CHOOSE(CONTROL!$C$42, 30, 30))/1000000</f>
        <v>4.125</v>
      </c>
      <c r="W666" s="57">
        <f>(1000*CHOOSE(CONTROL!$C$42, 0.1146, 0.1146)*CHOOSE(CONTROL!$C$42, 121.5, 121.5)*CHOOSE(CONTROL!$C$42, 30, 30))/1000000</f>
        <v>0.417717</v>
      </c>
      <c r="X666" s="57">
        <f>(30*0.1790888*245000/1000000)+(30*0.2374*100000/1000000)</f>
        <v>2.0285026799999999</v>
      </c>
      <c r="Y666" s="57"/>
      <c r="Z666" s="14"/>
      <c r="AA666" s="56"/>
      <c r="AB666" s="50">
        <f>(B666*194.205+C666*267.466+D666*133.845+E666*53.484+F666*40+G666*185+H666*0+I666*100+J666*300)/(194.205+267.466+133.845+53.484+0+40+185+100+300)</f>
        <v>44.779818540188387</v>
      </c>
      <c r="AC666" s="45">
        <f>(M666*'RAP TEMPLATE-GAS AVAILABILITY'!O665+N666*'RAP TEMPLATE-GAS AVAILABILITY'!P665+O666*'RAP TEMPLATE-GAS AVAILABILITY'!Q665+P666*'RAP TEMPLATE-GAS AVAILABILITY'!R665)/('RAP TEMPLATE-GAS AVAILABILITY'!O665+'RAP TEMPLATE-GAS AVAILABILITY'!P665+'RAP TEMPLATE-GAS AVAILABILITY'!Q665+'RAP TEMPLATE-GAS AVAILABILITY'!R665)</f>
        <v>43.946129496402882</v>
      </c>
    </row>
    <row r="667" spans="1:29" ht="15.75" x14ac:dyDescent="0.25">
      <c r="A667" s="32">
        <v>61209</v>
      </c>
      <c r="B667" s="14">
        <f>CHOOSE(CONTROL!$C$42, 43.8832, 43.8832) * CHOOSE(CONTROL!$C$21, $C$9, 100%, $E$9)</f>
        <v>43.883200000000002</v>
      </c>
      <c r="C667" s="14">
        <f>CHOOSE(CONTROL!$C$42, 43.8912, 43.8912) * CHOOSE(CONTROL!$C$21, $C$9, 100%, $E$9)</f>
        <v>43.891199999999998</v>
      </c>
      <c r="D667" s="14">
        <f>CHOOSE(CONTROL!$C$42, 44.0952, 44.0952) * CHOOSE(CONTROL!$C$21, $C$9, 100%, $E$9)</f>
        <v>44.095199999999998</v>
      </c>
      <c r="E667" s="14">
        <f>CHOOSE(CONTROL!$C$42, 44.1266, 44.1266) * CHOOSE(CONTROL!$C$21, $C$9, 100%, $E$9)</f>
        <v>44.126600000000003</v>
      </c>
      <c r="F667" s="14">
        <f>CHOOSE(CONTROL!$C$42, 43.8648, 43.8648)*CHOOSE(CONTROL!$C$21, $C$9, 100%, $E$9)</f>
        <v>43.864800000000002</v>
      </c>
      <c r="G667" s="14">
        <f>CHOOSE(CONTROL!$C$42, 43.8807, 43.8807)*CHOOSE(CONTROL!$C$21, $C$9, 100%, $E$9)</f>
        <v>43.880699999999997</v>
      </c>
      <c r="H667" s="14">
        <f>CHOOSE(CONTROL!$C$42, 44.1153, 44.1153) * CHOOSE(CONTROL!$C$21, $C$9, 100%, $E$9)</f>
        <v>44.115299999999998</v>
      </c>
      <c r="I667" s="14">
        <f>CHOOSE(CONTROL!$C$42, 44.0261, 44.0261)* CHOOSE(CONTROL!$C$21, $C$9, 100%, $E$9)</f>
        <v>44.0261</v>
      </c>
      <c r="J667" s="14">
        <f>CHOOSE(CONTROL!$C$42, 43.8578, 43.8578)* CHOOSE(CONTROL!$C$21, $C$9, 100%, $E$9)</f>
        <v>43.857799999999997</v>
      </c>
      <c r="K667" s="53">
        <f>CHOOSE(CONTROL!$C$42, 44.0222, 44.0222) * CHOOSE(CONTROL!$C$21, $C$9, 100%, $E$9)</f>
        <v>44.022199999999998</v>
      </c>
      <c r="L667" s="14">
        <f>CHOOSE(CONTROL!$C$42, 44.7023, 44.7023) * CHOOSE(CONTROL!$C$21, $C$9, 100%, $E$9)</f>
        <v>44.702300000000001</v>
      </c>
      <c r="M667" s="14">
        <f>CHOOSE(CONTROL!$C$42, 42.9669, 42.9669) * CHOOSE(CONTROL!$C$21, $C$9, 100%, $E$9)</f>
        <v>42.966900000000003</v>
      </c>
      <c r="N667" s="14">
        <f>CHOOSE(CONTROL!$C$42, 42.9825, 42.9825) * CHOOSE(CONTROL!$C$21, $C$9, 100%, $E$9)</f>
        <v>42.982500000000002</v>
      </c>
      <c r="O667" s="14">
        <f>CHOOSE(CONTROL!$C$42, 43.2191, 43.2191) * CHOOSE(CONTROL!$C$21, $C$9, 100%, $E$9)</f>
        <v>43.219099999999997</v>
      </c>
      <c r="P667" s="14">
        <f>CHOOSE(CONTROL!$C$42, 43.129, 43.129) * CHOOSE(CONTROL!$C$21, $C$9, 100%, $E$9)</f>
        <v>43.128999999999998</v>
      </c>
      <c r="Q667" s="14">
        <f>CHOOSE(CONTROL!$C$42, 43.8138, 43.8138) * CHOOSE(CONTROL!$C$21, $C$9, 100%, $E$9)</f>
        <v>43.813800000000001</v>
      </c>
      <c r="R667" s="14">
        <f>CHOOSE(CONTROL!$C$42, 44.5103, 44.5103) * CHOOSE(CONTROL!$C$21, $C$9, 100%, $E$9)</f>
        <v>44.510300000000001</v>
      </c>
      <c r="S667" s="14">
        <f>CHOOSE(CONTROL!$C$42, 42.1567, 42.1567) * CHOOSE(CONTROL!$C$21, $C$9, 100%, $E$9)</f>
        <v>42.156700000000001</v>
      </c>
      <c r="T66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67" s="57">
        <f>(1000*CHOOSE(CONTROL!$C$42, 695, 695)*CHOOSE(CONTROL!$C$42, 0.5599, 0.5599)*CHOOSE(CONTROL!$C$42, 31, 31))/1000000</f>
        <v>12.063045499999998</v>
      </c>
      <c r="V667" s="57">
        <f>(1000*CHOOSE(CONTROL!$C$42, 500, 500)*CHOOSE(CONTROL!$C$42, 0.275, 0.275)*CHOOSE(CONTROL!$C$42, 31, 31))/1000000</f>
        <v>4.2625000000000002</v>
      </c>
      <c r="W667" s="57">
        <f>(1000*CHOOSE(CONTROL!$C$42, 0.1146, 0.1146)*CHOOSE(CONTROL!$C$42, 121.5, 121.5)*CHOOSE(CONTROL!$C$42, 31, 31))/1000000</f>
        <v>0.43164089999999994</v>
      </c>
      <c r="X667" s="57">
        <f>(31*0.1790888*245000/1000000)+(31*0.2374*100000/1000000)</f>
        <v>2.0961194359999999</v>
      </c>
      <c r="Y667" s="57"/>
      <c r="Z667" s="14"/>
      <c r="AA667" s="56"/>
      <c r="AB667" s="50">
        <f>(B667*194.205+C667*267.466+D667*133.845+E667*53.484+F667*40+G667*185+H667*0+I667*100+J667*300)/(194.205+267.466+133.845+53.484+0+40+185+100+300)</f>
        <v>43.921664971428569</v>
      </c>
      <c r="AC667" s="45">
        <f>(M667*'RAP TEMPLATE-GAS AVAILABILITY'!O666+N667*'RAP TEMPLATE-GAS AVAILABILITY'!P666+O667*'RAP TEMPLATE-GAS AVAILABILITY'!Q666+P667*'RAP TEMPLATE-GAS AVAILABILITY'!R666)/('RAP TEMPLATE-GAS AVAILABILITY'!O666+'RAP TEMPLATE-GAS AVAILABILITY'!P666+'RAP TEMPLATE-GAS AVAILABILITY'!Q666+'RAP TEMPLATE-GAS AVAILABILITY'!R666)</f>
        <v>43.105428057553958</v>
      </c>
    </row>
    <row r="668" spans="1:29" ht="15.75" x14ac:dyDescent="0.25">
      <c r="A668" s="32">
        <v>61240</v>
      </c>
      <c r="B668" s="14">
        <f>CHOOSE(CONTROL!$C$42, 41.7162, 41.7162) * CHOOSE(CONTROL!$C$21, $C$9, 100%, $E$9)</f>
        <v>41.716200000000001</v>
      </c>
      <c r="C668" s="14">
        <f>CHOOSE(CONTROL!$C$42, 41.7242, 41.7242) * CHOOSE(CONTROL!$C$21, $C$9, 100%, $E$9)</f>
        <v>41.724200000000003</v>
      </c>
      <c r="D668" s="14">
        <f>CHOOSE(CONTROL!$C$42, 41.9281, 41.9281) * CHOOSE(CONTROL!$C$21, $C$9, 100%, $E$9)</f>
        <v>41.928100000000001</v>
      </c>
      <c r="E668" s="14">
        <f>CHOOSE(CONTROL!$C$42, 41.9596, 41.9596) * CHOOSE(CONTROL!$C$21, $C$9, 100%, $E$9)</f>
        <v>41.959600000000002</v>
      </c>
      <c r="F668" s="14">
        <f>CHOOSE(CONTROL!$C$42, 41.698, 41.698)*CHOOSE(CONTROL!$C$21, $C$9, 100%, $E$9)</f>
        <v>41.698</v>
      </c>
      <c r="G668" s="14">
        <f>CHOOSE(CONTROL!$C$42, 41.714, 41.714)*CHOOSE(CONTROL!$C$21, $C$9, 100%, $E$9)</f>
        <v>41.713999999999999</v>
      </c>
      <c r="H668" s="14">
        <f>CHOOSE(CONTROL!$C$42, 41.9482, 41.9482) * CHOOSE(CONTROL!$C$21, $C$9, 100%, $E$9)</f>
        <v>41.9482</v>
      </c>
      <c r="I668" s="14">
        <f>CHOOSE(CONTROL!$C$42, 41.8523, 41.8523)* CHOOSE(CONTROL!$C$21, $C$9, 100%, $E$9)</f>
        <v>41.8523</v>
      </c>
      <c r="J668" s="14">
        <f>CHOOSE(CONTROL!$C$42, 41.691, 41.691)* CHOOSE(CONTROL!$C$21, $C$9, 100%, $E$9)</f>
        <v>41.691000000000003</v>
      </c>
      <c r="K668" s="53">
        <f>CHOOSE(CONTROL!$C$42, 41.8484, 41.8484) * CHOOSE(CONTROL!$C$21, $C$9, 100%, $E$9)</f>
        <v>41.848399999999998</v>
      </c>
      <c r="L668" s="14">
        <f>CHOOSE(CONTROL!$C$42, 42.5352, 42.5352) * CHOOSE(CONTROL!$C$21, $C$9, 100%, $E$9)</f>
        <v>42.535200000000003</v>
      </c>
      <c r="M668" s="14">
        <f>CHOOSE(CONTROL!$C$42, 40.8445, 40.8445) * CHOOSE(CONTROL!$C$21, $C$9, 100%, $E$9)</f>
        <v>40.844499999999996</v>
      </c>
      <c r="N668" s="14">
        <f>CHOOSE(CONTROL!$C$42, 40.8601, 40.8601) * CHOOSE(CONTROL!$C$21, $C$9, 100%, $E$9)</f>
        <v>40.860100000000003</v>
      </c>
      <c r="O668" s="14">
        <f>CHOOSE(CONTROL!$C$42, 41.0964, 41.0964) * CHOOSE(CONTROL!$C$21, $C$9, 100%, $E$9)</f>
        <v>41.096400000000003</v>
      </c>
      <c r="P668" s="14">
        <f>CHOOSE(CONTROL!$C$42, 40.9999, 40.9999) * CHOOSE(CONTROL!$C$21, $C$9, 100%, $E$9)</f>
        <v>40.999899999999997</v>
      </c>
      <c r="Q668" s="14">
        <f>CHOOSE(CONTROL!$C$42, 41.6911, 41.6911) * CHOOSE(CONTROL!$C$21, $C$9, 100%, $E$9)</f>
        <v>41.691099999999999</v>
      </c>
      <c r="R668" s="14">
        <f>CHOOSE(CONTROL!$C$42, 42.3824, 42.3824) * CHOOSE(CONTROL!$C$21, $C$9, 100%, $E$9)</f>
        <v>42.382399999999997</v>
      </c>
      <c r="S668" s="14">
        <f>CHOOSE(CONTROL!$C$42, 40.0744, 40.0744) * CHOOSE(CONTROL!$C$21, $C$9, 100%, $E$9)</f>
        <v>40.074399999999997</v>
      </c>
      <c r="T66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68" s="57">
        <f>(1000*CHOOSE(CONTROL!$C$42, 695, 695)*CHOOSE(CONTROL!$C$42, 0.5599, 0.5599)*CHOOSE(CONTROL!$C$42, 31, 31))/1000000</f>
        <v>12.063045499999998</v>
      </c>
      <c r="V668" s="57">
        <f>(1000*CHOOSE(CONTROL!$C$42, 500, 500)*CHOOSE(CONTROL!$C$42, 0.275, 0.275)*CHOOSE(CONTROL!$C$42, 31, 31))/1000000</f>
        <v>4.2625000000000002</v>
      </c>
      <c r="W668" s="57">
        <f>(1000*CHOOSE(CONTROL!$C$42, 0.1146, 0.1146)*CHOOSE(CONTROL!$C$42, 121.5, 121.5)*CHOOSE(CONTROL!$C$42, 31, 31))/1000000</f>
        <v>0.43164089999999994</v>
      </c>
      <c r="X668" s="57">
        <f>(31*0.1790888*245000/1000000)+(31*0.2374*100000/1000000)</f>
        <v>2.0961194359999999</v>
      </c>
      <c r="Y668" s="57"/>
      <c r="Z668" s="14"/>
      <c r="AA668" s="56"/>
      <c r="AB668" s="50">
        <f>(B668*194.205+C668*267.466+D668*133.845+E668*53.484+F668*40+G668*185+H668*0+I668*100+J668*300)/(194.205+267.466+133.845+53.484+0+40+185+100+300)</f>
        <v>41.754217652354782</v>
      </c>
      <c r="AC668" s="45">
        <f>(M668*'RAP TEMPLATE-GAS AVAILABILITY'!O667+N668*'RAP TEMPLATE-GAS AVAILABILITY'!P667+O668*'RAP TEMPLATE-GAS AVAILABILITY'!Q667+P668*'RAP TEMPLATE-GAS AVAILABILITY'!R667)/('RAP TEMPLATE-GAS AVAILABILITY'!O667+'RAP TEMPLATE-GAS AVAILABILITY'!P667+'RAP TEMPLATE-GAS AVAILABILITY'!Q667+'RAP TEMPLATE-GAS AVAILABILITY'!R667)</f>
        <v>40.981928057553951</v>
      </c>
    </row>
    <row r="669" spans="1:29" ht="15.75" x14ac:dyDescent="0.25">
      <c r="A669" s="32">
        <v>61270</v>
      </c>
      <c r="B669" s="14">
        <f>CHOOSE(CONTROL!$C$42, 39.0681, 39.0681) * CHOOSE(CONTROL!$C$21, $C$9, 100%, $E$9)</f>
        <v>39.068100000000001</v>
      </c>
      <c r="C669" s="14">
        <f>CHOOSE(CONTROL!$C$42, 39.0761, 39.0761) * CHOOSE(CONTROL!$C$21, $C$9, 100%, $E$9)</f>
        <v>39.076099999999997</v>
      </c>
      <c r="D669" s="14">
        <f>CHOOSE(CONTROL!$C$42, 39.2801, 39.2801) * CHOOSE(CONTROL!$C$21, $C$9, 100%, $E$9)</f>
        <v>39.280099999999997</v>
      </c>
      <c r="E669" s="14">
        <f>CHOOSE(CONTROL!$C$42, 39.3115, 39.3115) * CHOOSE(CONTROL!$C$21, $C$9, 100%, $E$9)</f>
        <v>39.311500000000002</v>
      </c>
      <c r="F669" s="14">
        <f>CHOOSE(CONTROL!$C$42, 39.05, 39.05)*CHOOSE(CONTROL!$C$21, $C$9, 100%, $E$9)</f>
        <v>39.049999999999997</v>
      </c>
      <c r="G669" s="14">
        <f>CHOOSE(CONTROL!$C$42, 39.066, 39.066)*CHOOSE(CONTROL!$C$21, $C$9, 100%, $E$9)</f>
        <v>39.066000000000003</v>
      </c>
      <c r="H669" s="14">
        <f>CHOOSE(CONTROL!$C$42, 39.3001, 39.3001) * CHOOSE(CONTROL!$C$21, $C$9, 100%, $E$9)</f>
        <v>39.3001</v>
      </c>
      <c r="I669" s="14">
        <f>CHOOSE(CONTROL!$C$42, 39.1959, 39.1959)* CHOOSE(CONTROL!$C$21, $C$9, 100%, $E$9)</f>
        <v>39.195900000000002</v>
      </c>
      <c r="J669" s="14">
        <f>CHOOSE(CONTROL!$C$42, 39.043, 39.043)* CHOOSE(CONTROL!$C$21, $C$9, 100%, $E$9)</f>
        <v>39.042999999999999</v>
      </c>
      <c r="K669" s="53">
        <f>CHOOSE(CONTROL!$C$42, 39.192, 39.192) * CHOOSE(CONTROL!$C$21, $C$9, 100%, $E$9)</f>
        <v>39.192</v>
      </c>
      <c r="L669" s="14">
        <f>CHOOSE(CONTROL!$C$42, 39.8871, 39.8871) * CHOOSE(CONTROL!$C$21, $C$9, 100%, $E$9)</f>
        <v>39.887099999999997</v>
      </c>
      <c r="M669" s="14">
        <f>CHOOSE(CONTROL!$C$42, 38.2507, 38.2507) * CHOOSE(CONTROL!$C$21, $C$9, 100%, $E$9)</f>
        <v>38.250700000000002</v>
      </c>
      <c r="N669" s="14">
        <f>CHOOSE(CONTROL!$C$42, 38.2664, 38.2664) * CHOOSE(CONTROL!$C$21, $C$9, 100%, $E$9)</f>
        <v>38.266399999999997</v>
      </c>
      <c r="O669" s="14">
        <f>CHOOSE(CONTROL!$C$42, 38.5026, 38.5026) * CHOOSE(CONTROL!$C$21, $C$9, 100%, $E$9)</f>
        <v>38.502600000000001</v>
      </c>
      <c r="P669" s="14">
        <f>CHOOSE(CONTROL!$C$42, 38.3981, 38.3981) * CHOOSE(CONTROL!$C$21, $C$9, 100%, $E$9)</f>
        <v>38.398099999999999</v>
      </c>
      <c r="Q669" s="14">
        <f>CHOOSE(CONTROL!$C$42, 39.0973, 39.0973) * CHOOSE(CONTROL!$C$21, $C$9, 100%, $E$9)</f>
        <v>39.097299999999997</v>
      </c>
      <c r="R669" s="14">
        <f>CHOOSE(CONTROL!$C$42, 39.782, 39.782) * CHOOSE(CONTROL!$C$21, $C$9, 100%, $E$9)</f>
        <v>39.781999999999996</v>
      </c>
      <c r="S669" s="14">
        <f>CHOOSE(CONTROL!$C$42, 37.5299, 37.5299) * CHOOSE(CONTROL!$C$21, $C$9, 100%, $E$9)</f>
        <v>37.529899999999998</v>
      </c>
      <c r="T66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69" s="57">
        <f>(1000*CHOOSE(CONTROL!$C$42, 695, 695)*CHOOSE(CONTROL!$C$42, 0.5599, 0.5599)*CHOOSE(CONTROL!$C$42, 30, 30))/1000000</f>
        <v>11.673914999999997</v>
      </c>
      <c r="V669" s="57">
        <f>(1000*CHOOSE(CONTROL!$C$42, 500, 500)*CHOOSE(CONTROL!$C$42, 0.275, 0.275)*CHOOSE(CONTROL!$C$42, 30, 30))/1000000</f>
        <v>4.125</v>
      </c>
      <c r="W669" s="57">
        <f>(1000*CHOOSE(CONTROL!$C$42, 0.1146, 0.1146)*CHOOSE(CONTROL!$C$42, 121.5, 121.5)*CHOOSE(CONTROL!$C$42, 30, 30))/1000000</f>
        <v>0.417717</v>
      </c>
      <c r="X669" s="57">
        <f>(30*0.1790888*245000/1000000)+(30*0.2374*100000/1000000)</f>
        <v>2.0285026799999999</v>
      </c>
      <c r="Y669" s="57"/>
      <c r="Z669" s="14"/>
      <c r="AA669" s="56"/>
      <c r="AB669" s="50">
        <f>(B669*194.205+C669*267.466+D669*133.845+E669*53.484+F669*40+G669*185+H669*0+I669*100+J669*300)/(194.205+267.466+133.845+53.484+0+40+185+100+300)</f>
        <v>39.105517875667196</v>
      </c>
      <c r="AC669" s="45">
        <f>(M669*'RAP TEMPLATE-GAS AVAILABILITY'!O668+N669*'RAP TEMPLATE-GAS AVAILABILITY'!P668+O669*'RAP TEMPLATE-GAS AVAILABILITY'!Q668+P669*'RAP TEMPLATE-GAS AVAILABILITY'!R668)/('RAP TEMPLATE-GAS AVAILABILITY'!O668+'RAP TEMPLATE-GAS AVAILABILITY'!P668+'RAP TEMPLATE-GAS AVAILABILITY'!Q668+'RAP TEMPLATE-GAS AVAILABILITY'!R668)</f>
        <v>38.38698273381295</v>
      </c>
    </row>
    <row r="670" spans="1:29" ht="15.75" x14ac:dyDescent="0.25">
      <c r="A670" s="32">
        <v>61301</v>
      </c>
      <c r="B670" s="14">
        <f>CHOOSE(CONTROL!$C$42, 38.2733, 38.2733) * CHOOSE(CONTROL!$C$21, $C$9, 100%, $E$9)</f>
        <v>38.273299999999999</v>
      </c>
      <c r="C670" s="14">
        <f>CHOOSE(CONTROL!$C$42, 38.2787, 38.2787) * CHOOSE(CONTROL!$C$21, $C$9, 100%, $E$9)</f>
        <v>38.278700000000001</v>
      </c>
      <c r="D670" s="14">
        <f>CHOOSE(CONTROL!$C$42, 38.4876, 38.4876) * CHOOSE(CONTROL!$C$21, $C$9, 100%, $E$9)</f>
        <v>38.4876</v>
      </c>
      <c r="E670" s="14">
        <f>CHOOSE(CONTROL!$C$42, 38.5167, 38.5167) * CHOOSE(CONTROL!$C$21, $C$9, 100%, $E$9)</f>
        <v>38.5167</v>
      </c>
      <c r="F670" s="14">
        <f>CHOOSE(CONTROL!$C$42, 38.2573, 38.2573)*CHOOSE(CONTROL!$C$21, $C$9, 100%, $E$9)</f>
        <v>38.257300000000001</v>
      </c>
      <c r="G670" s="14">
        <f>CHOOSE(CONTROL!$C$42, 38.273, 38.273)*CHOOSE(CONTROL!$C$21, $C$9, 100%, $E$9)</f>
        <v>38.273000000000003</v>
      </c>
      <c r="H670" s="14">
        <f>CHOOSE(CONTROL!$C$42, 38.5071, 38.5071) * CHOOSE(CONTROL!$C$21, $C$9, 100%, $E$9)</f>
        <v>38.507100000000001</v>
      </c>
      <c r="I670" s="14">
        <f>CHOOSE(CONTROL!$C$42, 38.4004, 38.4004)* CHOOSE(CONTROL!$C$21, $C$9, 100%, $E$9)</f>
        <v>38.400399999999998</v>
      </c>
      <c r="J670" s="14">
        <f>CHOOSE(CONTROL!$C$42, 38.2503, 38.2503)* CHOOSE(CONTROL!$C$21, $C$9, 100%, $E$9)</f>
        <v>38.250300000000003</v>
      </c>
      <c r="K670" s="53">
        <f>CHOOSE(CONTROL!$C$42, 38.3965, 38.3965) * CHOOSE(CONTROL!$C$21, $C$9, 100%, $E$9)</f>
        <v>38.396500000000003</v>
      </c>
      <c r="L670" s="14">
        <f>CHOOSE(CONTROL!$C$42, 39.0941, 39.0941) * CHOOSE(CONTROL!$C$21, $C$9, 100%, $E$9)</f>
        <v>39.094099999999997</v>
      </c>
      <c r="M670" s="14">
        <f>CHOOSE(CONTROL!$C$42, 37.4743, 37.4743) * CHOOSE(CONTROL!$C$21, $C$9, 100%, $E$9)</f>
        <v>37.474299999999999</v>
      </c>
      <c r="N670" s="14">
        <f>CHOOSE(CONTROL!$C$42, 37.4896, 37.4896) * CHOOSE(CONTROL!$C$21, $C$9, 100%, $E$9)</f>
        <v>37.489600000000003</v>
      </c>
      <c r="O670" s="14">
        <f>CHOOSE(CONTROL!$C$42, 37.7259, 37.7259) * CHOOSE(CONTROL!$C$21, $C$9, 100%, $E$9)</f>
        <v>37.725900000000003</v>
      </c>
      <c r="P670" s="14">
        <f>CHOOSE(CONTROL!$C$42, 37.619, 37.619) * CHOOSE(CONTROL!$C$21, $C$9, 100%, $E$9)</f>
        <v>37.619</v>
      </c>
      <c r="Q670" s="14">
        <f>CHOOSE(CONTROL!$C$42, 38.3206, 38.3206) * CHOOSE(CONTROL!$C$21, $C$9, 100%, $E$9)</f>
        <v>38.320599999999999</v>
      </c>
      <c r="R670" s="14">
        <f>CHOOSE(CONTROL!$C$42, 39.0034, 39.0034) * CHOOSE(CONTROL!$C$21, $C$9, 100%, $E$9)</f>
        <v>39.003399999999999</v>
      </c>
      <c r="S670" s="14">
        <f>CHOOSE(CONTROL!$C$42, 36.7679, 36.7679) * CHOOSE(CONTROL!$C$21, $C$9, 100%, $E$9)</f>
        <v>36.767899999999997</v>
      </c>
      <c r="T67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70" s="57">
        <f>(1000*CHOOSE(CONTROL!$C$42, 695, 695)*CHOOSE(CONTROL!$C$42, 0.5599, 0.5599)*CHOOSE(CONTROL!$C$42, 31, 31))/1000000</f>
        <v>12.063045499999998</v>
      </c>
      <c r="V670" s="57">
        <f>(1000*CHOOSE(CONTROL!$C$42, 500, 500)*CHOOSE(CONTROL!$C$42, 0.275, 0.275)*CHOOSE(CONTROL!$C$42, 31, 31))/1000000</f>
        <v>4.2625000000000002</v>
      </c>
      <c r="W670" s="57">
        <f>(1000*CHOOSE(CONTROL!$C$42, 0.1146, 0.1146)*CHOOSE(CONTROL!$C$42, 121.5, 121.5)*CHOOSE(CONTROL!$C$42, 31, 31))/1000000</f>
        <v>0.43164089999999994</v>
      </c>
      <c r="X670" s="57">
        <f>(31*0.1790888*245000/1000000)+(31*0.2374*100000/1000000)</f>
        <v>2.0961194359999999</v>
      </c>
      <c r="Y670" s="57"/>
      <c r="Z670" s="14"/>
      <c r="AA670" s="56"/>
      <c r="AB670" s="50">
        <f>(B670*131.881+C670*277.167+D670*79.08+E670*125.872+F670*40+G670*185+H670*0+I670*100+J670*300)/(131.881+277.167+79.08+125.872+0+40+185+100+300)</f>
        <v>38.31704115464084</v>
      </c>
      <c r="AC670" s="45">
        <f>(M670*'RAP TEMPLATE-GAS AVAILABILITY'!O669+N670*'RAP TEMPLATE-GAS AVAILABILITY'!P669+O670*'RAP TEMPLATE-GAS AVAILABILITY'!Q669+P670*'RAP TEMPLATE-GAS AVAILABILITY'!R669)/('RAP TEMPLATE-GAS AVAILABILITY'!O669+'RAP TEMPLATE-GAS AVAILABILITY'!P669+'RAP TEMPLATE-GAS AVAILABILITY'!Q669+'RAP TEMPLATE-GAS AVAILABILITY'!R669)</f>
        <v>37.610035251798564</v>
      </c>
    </row>
    <row r="671" spans="1:29" ht="15.75" x14ac:dyDescent="0.25">
      <c r="A671" s="32">
        <v>61331</v>
      </c>
      <c r="B671" s="14">
        <f>CHOOSE(CONTROL!$C$42, 39.281, 39.281) * CHOOSE(CONTROL!$C$21, $C$9, 100%, $E$9)</f>
        <v>39.280999999999999</v>
      </c>
      <c r="C671" s="14">
        <f>CHOOSE(CONTROL!$C$42, 39.286, 39.286) * CHOOSE(CONTROL!$C$21, $C$9, 100%, $E$9)</f>
        <v>39.286000000000001</v>
      </c>
      <c r="D671" s="14">
        <f>CHOOSE(CONTROL!$C$42, 39.3498, 39.3498) * CHOOSE(CONTROL!$C$21, $C$9, 100%, $E$9)</f>
        <v>39.349800000000002</v>
      </c>
      <c r="E671" s="14">
        <f>CHOOSE(CONTROL!$C$42, 39.3839, 39.3839) * CHOOSE(CONTROL!$C$21, $C$9, 100%, $E$9)</f>
        <v>39.383899999999997</v>
      </c>
      <c r="F671" s="14">
        <f>CHOOSE(CONTROL!$C$42, 39.2833, 39.2833)*CHOOSE(CONTROL!$C$21, $C$9, 100%, $E$9)</f>
        <v>39.283299999999997</v>
      </c>
      <c r="G671" s="14">
        <f>CHOOSE(CONTROL!$C$42, 39.2994, 39.2994)*CHOOSE(CONTROL!$C$21, $C$9, 100%, $E$9)</f>
        <v>39.299399999999999</v>
      </c>
      <c r="H671" s="14">
        <f>CHOOSE(CONTROL!$C$42, 39.3731, 39.3731) * CHOOSE(CONTROL!$C$21, $C$9, 100%, $E$9)</f>
        <v>39.373100000000001</v>
      </c>
      <c r="I671" s="14">
        <f>CHOOSE(CONTROL!$C$42, 39.4168, 39.4168)* CHOOSE(CONTROL!$C$21, $C$9, 100%, $E$9)</f>
        <v>39.416800000000002</v>
      </c>
      <c r="J671" s="14">
        <f>CHOOSE(CONTROL!$C$42, 39.2763, 39.2763)* CHOOSE(CONTROL!$C$21, $C$9, 100%, $E$9)</f>
        <v>39.276299999999999</v>
      </c>
      <c r="K671" s="53">
        <f>CHOOSE(CONTROL!$C$42, 39.4129, 39.4129) * CHOOSE(CONTROL!$C$21, $C$9, 100%, $E$9)</f>
        <v>39.4129</v>
      </c>
      <c r="L671" s="14">
        <f>CHOOSE(CONTROL!$C$42, 39.9601, 39.9601) * CHOOSE(CONTROL!$C$21, $C$9, 100%, $E$9)</f>
        <v>39.960099999999997</v>
      </c>
      <c r="M671" s="14">
        <f>CHOOSE(CONTROL!$C$42, 38.4793, 38.4793) * CHOOSE(CONTROL!$C$21, $C$9, 100%, $E$9)</f>
        <v>38.479300000000002</v>
      </c>
      <c r="N671" s="14">
        <f>CHOOSE(CONTROL!$C$42, 38.495, 38.495) * CHOOSE(CONTROL!$C$21, $C$9, 100%, $E$9)</f>
        <v>38.494999999999997</v>
      </c>
      <c r="O671" s="14">
        <f>CHOOSE(CONTROL!$C$42, 38.5741, 38.5741) * CHOOSE(CONTROL!$C$21, $C$9, 100%, $E$9)</f>
        <v>38.574100000000001</v>
      </c>
      <c r="P671" s="14">
        <f>CHOOSE(CONTROL!$C$42, 38.6145, 38.6145) * CHOOSE(CONTROL!$C$21, $C$9, 100%, $E$9)</f>
        <v>38.6145</v>
      </c>
      <c r="Q671" s="14">
        <f>CHOOSE(CONTROL!$C$42, 39.1688, 39.1688) * CHOOSE(CONTROL!$C$21, $C$9, 100%, $E$9)</f>
        <v>39.168799999999997</v>
      </c>
      <c r="R671" s="14">
        <f>CHOOSE(CONTROL!$C$42, 39.8537, 39.8537) * CHOOSE(CONTROL!$C$21, $C$9, 100%, $E$9)</f>
        <v>39.853700000000003</v>
      </c>
      <c r="S671" s="14">
        <f>CHOOSE(CONTROL!$C$42, 37.7365, 37.7365) * CHOOSE(CONTROL!$C$21, $C$9, 100%, $E$9)</f>
        <v>37.736499999999999</v>
      </c>
      <c r="T67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71" s="57">
        <f>(1000*CHOOSE(CONTROL!$C$42, 695, 695)*CHOOSE(CONTROL!$C$42, 0.5599, 0.5599)*CHOOSE(CONTROL!$C$42, 30, 30))/1000000</f>
        <v>11.673914999999997</v>
      </c>
      <c r="V671" s="57">
        <f>(1000*CHOOSE(CONTROL!$C$42, 500, 500)*CHOOSE(CONTROL!$C$42, 0.275, 0.275)*CHOOSE(CONTROL!$C$42, 30, 30))/1000000</f>
        <v>4.125</v>
      </c>
      <c r="W671" s="57">
        <f>(1000*CHOOSE(CONTROL!$C$42, 0.1146, 0.1146)*CHOOSE(CONTROL!$C$42, 121.5, 121.5)*CHOOSE(CONTROL!$C$42, 30, 30))/1000000</f>
        <v>0.417717</v>
      </c>
      <c r="X671" s="57">
        <f>(30*0.1790888*100000/1000000)+(30*0.2374*100000/1000000)</f>
        <v>1.2494664</v>
      </c>
      <c r="Y671" s="57"/>
      <c r="Z671" s="14"/>
      <c r="AA671" s="56"/>
      <c r="AB671" s="50">
        <f>(B671*122.58+C671*297.941+D671*89.177+E671*40.302+F671*40+G671*160+H671*0+I671*100+J671*300)/(122.58+297.941+89.177+40.302+0+40+160+100+300)</f>
        <v>39.304459268173908</v>
      </c>
      <c r="AC671" s="45">
        <f>(M671*'RAP TEMPLATE-GAS AVAILABILITY'!O670+N671*'RAP TEMPLATE-GAS AVAILABILITY'!P670+O671*'RAP TEMPLATE-GAS AVAILABILITY'!Q670+P671*'RAP TEMPLATE-GAS AVAILABILITY'!R670)/('RAP TEMPLATE-GAS AVAILABILITY'!O670+'RAP TEMPLATE-GAS AVAILABILITY'!P670+'RAP TEMPLATE-GAS AVAILABILITY'!Q670+'RAP TEMPLATE-GAS AVAILABILITY'!R670)</f>
        <v>38.542623741007198</v>
      </c>
    </row>
    <row r="672" spans="1:29" ht="15.75" x14ac:dyDescent="0.25">
      <c r="A672" s="32">
        <v>61362</v>
      </c>
      <c r="B672" s="14">
        <f>CHOOSE(CONTROL!$C$42, 41.9584, 41.9584) * CHOOSE(CONTROL!$C$21, $C$9, 100%, $E$9)</f>
        <v>41.958399999999997</v>
      </c>
      <c r="C672" s="14">
        <f>CHOOSE(CONTROL!$C$42, 41.9635, 41.9635) * CHOOSE(CONTROL!$C$21, $C$9, 100%, $E$9)</f>
        <v>41.963500000000003</v>
      </c>
      <c r="D672" s="14">
        <f>CHOOSE(CONTROL!$C$42, 42.0273, 42.0273) * CHOOSE(CONTROL!$C$21, $C$9, 100%, $E$9)</f>
        <v>42.027299999999997</v>
      </c>
      <c r="E672" s="14">
        <f>CHOOSE(CONTROL!$C$42, 42.0614, 42.0614) * CHOOSE(CONTROL!$C$21, $C$9, 100%, $E$9)</f>
        <v>42.061399999999999</v>
      </c>
      <c r="F672" s="14">
        <f>CHOOSE(CONTROL!$C$42, 41.9631, 41.9631)*CHOOSE(CONTROL!$C$21, $C$9, 100%, $E$9)</f>
        <v>41.963099999999997</v>
      </c>
      <c r="G672" s="14">
        <f>CHOOSE(CONTROL!$C$42, 41.9797, 41.9797)*CHOOSE(CONTROL!$C$21, $C$9, 100%, $E$9)</f>
        <v>41.979700000000001</v>
      </c>
      <c r="H672" s="14">
        <f>CHOOSE(CONTROL!$C$42, 42.0506, 42.0506) * CHOOSE(CONTROL!$C$21, $C$9, 100%, $E$9)</f>
        <v>42.050600000000003</v>
      </c>
      <c r="I672" s="14">
        <f>CHOOSE(CONTROL!$C$42, 42.1027, 42.1027)* CHOOSE(CONTROL!$C$21, $C$9, 100%, $E$9)</f>
        <v>42.102699999999999</v>
      </c>
      <c r="J672" s="14">
        <f>CHOOSE(CONTROL!$C$42, 41.9561, 41.9561)* CHOOSE(CONTROL!$C$21, $C$9, 100%, $E$9)</f>
        <v>41.956099999999999</v>
      </c>
      <c r="K672" s="53">
        <f>CHOOSE(CONTROL!$C$42, 42.0988, 42.0988) * CHOOSE(CONTROL!$C$21, $C$9, 100%, $E$9)</f>
        <v>42.098799999999997</v>
      </c>
      <c r="L672" s="14">
        <f>CHOOSE(CONTROL!$C$42, 42.6376, 42.6376) * CHOOSE(CONTROL!$C$21, $C$9, 100%, $E$9)</f>
        <v>42.637599999999999</v>
      </c>
      <c r="M672" s="14">
        <f>CHOOSE(CONTROL!$C$42, 41.1041, 41.1041) * CHOOSE(CONTROL!$C$21, $C$9, 100%, $E$9)</f>
        <v>41.104100000000003</v>
      </c>
      <c r="N672" s="14">
        <f>CHOOSE(CONTROL!$C$42, 41.1204, 41.1204) * CHOOSE(CONTROL!$C$21, $C$9, 100%, $E$9)</f>
        <v>41.120399999999997</v>
      </c>
      <c r="O672" s="14">
        <f>CHOOSE(CONTROL!$C$42, 41.1967, 41.1967) * CHOOSE(CONTROL!$C$21, $C$9, 100%, $E$9)</f>
        <v>41.1967</v>
      </c>
      <c r="P672" s="14">
        <f>CHOOSE(CONTROL!$C$42, 41.2452, 41.2452) * CHOOSE(CONTROL!$C$21, $C$9, 100%, $E$9)</f>
        <v>41.245199999999997</v>
      </c>
      <c r="Q672" s="14">
        <f>CHOOSE(CONTROL!$C$42, 41.7914, 41.7914) * CHOOSE(CONTROL!$C$21, $C$9, 100%, $E$9)</f>
        <v>41.791400000000003</v>
      </c>
      <c r="R672" s="14">
        <f>CHOOSE(CONTROL!$C$42, 42.4829, 42.4829) * CHOOSE(CONTROL!$C$21, $C$9, 100%, $E$9)</f>
        <v>42.482900000000001</v>
      </c>
      <c r="S672" s="14">
        <f>CHOOSE(CONTROL!$C$42, 40.3093, 40.3093) * CHOOSE(CONTROL!$C$21, $C$9, 100%, $E$9)</f>
        <v>40.3093</v>
      </c>
      <c r="T67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72" s="57">
        <f>(1000*CHOOSE(CONTROL!$C$42, 695, 695)*CHOOSE(CONTROL!$C$42, 0.5599, 0.5599)*CHOOSE(CONTROL!$C$42, 31, 31))/1000000</f>
        <v>12.063045499999998</v>
      </c>
      <c r="V672" s="57">
        <f>(1000*CHOOSE(CONTROL!$C$42, 500, 500)*CHOOSE(CONTROL!$C$42, 0.275, 0.275)*CHOOSE(CONTROL!$C$42, 31, 31))/1000000</f>
        <v>4.2625000000000002</v>
      </c>
      <c r="W672" s="57">
        <f>(1000*CHOOSE(CONTROL!$C$42, 0.1146, 0.1146)*CHOOSE(CONTROL!$C$42, 121.5, 121.5)*CHOOSE(CONTROL!$C$42, 31, 31))/1000000</f>
        <v>0.43164089999999994</v>
      </c>
      <c r="X672" s="57">
        <f>(31*0.1790888*100000/1000000)+(31*0.2374*100000/1000000)</f>
        <v>1.2911152800000001</v>
      </c>
      <c r="Y672" s="57"/>
      <c r="Z672" s="14"/>
      <c r="AA672" s="56"/>
      <c r="AB672" s="50">
        <f>(B672*122.58+C672*297.941+D672*89.177+E672*40.302+F672*40+G672*160+H672*0+I672*100+J672*300)/(122.58+297.941+89.177+40.302+0+40+160+100+300)</f>
        <v>41.983748609043481</v>
      </c>
      <c r="AC672" s="45">
        <f>(M672*'RAP TEMPLATE-GAS AVAILABILITY'!O671+N672*'RAP TEMPLATE-GAS AVAILABILITY'!P671+O672*'RAP TEMPLATE-GAS AVAILABILITY'!Q671+P672*'RAP TEMPLATE-GAS AVAILABILITY'!R671)/('RAP TEMPLATE-GAS AVAILABILITY'!O671+'RAP TEMPLATE-GAS AVAILABILITY'!P671+'RAP TEMPLATE-GAS AVAILABILITY'!Q671+'RAP TEMPLATE-GAS AVAILABILITY'!R671)</f>
        <v>41.167310071942445</v>
      </c>
    </row>
    <row r="673" spans="1:29" ht="15.75" x14ac:dyDescent="0.25">
      <c r="A673" s="32">
        <v>61393</v>
      </c>
      <c r="B673" s="14">
        <f>CHOOSE(CONTROL!$C$42, 45.3946, 45.3946) * CHOOSE(CONTROL!$C$21, $C$9, 100%, $E$9)</f>
        <v>45.394599999999997</v>
      </c>
      <c r="C673" s="14">
        <f>CHOOSE(CONTROL!$C$42, 45.3997, 45.3997) * CHOOSE(CONTROL!$C$21, $C$9, 100%, $E$9)</f>
        <v>45.399700000000003</v>
      </c>
      <c r="D673" s="14">
        <f>CHOOSE(CONTROL!$C$42, 45.4661, 45.4661) * CHOOSE(CONTROL!$C$21, $C$9, 100%, $E$9)</f>
        <v>45.466099999999997</v>
      </c>
      <c r="E673" s="14">
        <f>CHOOSE(CONTROL!$C$42, 45.5002, 45.5002) * CHOOSE(CONTROL!$C$21, $C$9, 100%, $E$9)</f>
        <v>45.5002</v>
      </c>
      <c r="F673" s="14">
        <f>CHOOSE(CONTROL!$C$42, 45.382, 45.382)*CHOOSE(CONTROL!$C$21, $C$9, 100%, $E$9)</f>
        <v>45.381999999999998</v>
      </c>
      <c r="G673" s="14">
        <f>CHOOSE(CONTROL!$C$42, 45.3974, 45.3974)*CHOOSE(CONTROL!$C$21, $C$9, 100%, $E$9)</f>
        <v>45.397399999999998</v>
      </c>
      <c r="H673" s="14">
        <f>CHOOSE(CONTROL!$C$42, 45.4894, 45.4894) * CHOOSE(CONTROL!$C$21, $C$9, 100%, $E$9)</f>
        <v>45.489400000000003</v>
      </c>
      <c r="I673" s="14">
        <f>CHOOSE(CONTROL!$C$42, 45.5444, 45.5444)* CHOOSE(CONTROL!$C$21, $C$9, 100%, $E$9)</f>
        <v>45.544400000000003</v>
      </c>
      <c r="J673" s="14">
        <f>CHOOSE(CONTROL!$C$42, 45.375, 45.375)* CHOOSE(CONTROL!$C$21, $C$9, 100%, $E$9)</f>
        <v>45.375</v>
      </c>
      <c r="K673" s="53">
        <f>CHOOSE(CONTROL!$C$42, 45.5405, 45.5405) * CHOOSE(CONTROL!$C$21, $C$9, 100%, $E$9)</f>
        <v>45.540500000000002</v>
      </c>
      <c r="L673" s="14">
        <f>CHOOSE(CONTROL!$C$42, 46.0764, 46.0764) * CHOOSE(CONTROL!$C$21, $C$9, 100%, $E$9)</f>
        <v>46.0764</v>
      </c>
      <c r="M673" s="14">
        <f>CHOOSE(CONTROL!$C$42, 44.453, 44.453) * CHOOSE(CONTROL!$C$21, $C$9, 100%, $E$9)</f>
        <v>44.453000000000003</v>
      </c>
      <c r="N673" s="14">
        <f>CHOOSE(CONTROL!$C$42, 44.4681, 44.4681) * CHOOSE(CONTROL!$C$21, $C$9, 100%, $E$9)</f>
        <v>44.4681</v>
      </c>
      <c r="O673" s="14">
        <f>CHOOSE(CONTROL!$C$42, 44.5651, 44.5651) * CHOOSE(CONTROL!$C$21, $C$9, 100%, $E$9)</f>
        <v>44.565100000000001</v>
      </c>
      <c r="P673" s="14">
        <f>CHOOSE(CONTROL!$C$42, 44.6162, 44.6162) * CHOOSE(CONTROL!$C$21, $C$9, 100%, $E$9)</f>
        <v>44.616199999999999</v>
      </c>
      <c r="Q673" s="14">
        <f>CHOOSE(CONTROL!$C$42, 45.1598, 45.1598) * CHOOSE(CONTROL!$C$21, $C$9, 100%, $E$9)</f>
        <v>45.159799999999997</v>
      </c>
      <c r="R673" s="14">
        <f>CHOOSE(CONTROL!$C$42, 45.8597, 45.8597) * CHOOSE(CONTROL!$C$21, $C$9, 100%, $E$9)</f>
        <v>45.859699999999997</v>
      </c>
      <c r="S673" s="14">
        <f>CHOOSE(CONTROL!$C$42, 43.6112, 43.6112) * CHOOSE(CONTROL!$C$21, $C$9, 100%, $E$9)</f>
        <v>43.611199999999997</v>
      </c>
      <c r="T67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73" s="57">
        <f>(1000*CHOOSE(CONTROL!$C$42, 695, 695)*CHOOSE(CONTROL!$C$42, 0.5599, 0.5599)*CHOOSE(CONTROL!$C$42, 31, 31))/1000000</f>
        <v>12.063045499999998</v>
      </c>
      <c r="V673" s="57">
        <f>(1000*CHOOSE(CONTROL!$C$42, 500, 500)*CHOOSE(CONTROL!$C$42, 0.275, 0.275)*CHOOSE(CONTROL!$C$42, 31, 31))/1000000</f>
        <v>4.2625000000000002</v>
      </c>
      <c r="W673" s="57">
        <f>(1000*CHOOSE(CONTROL!$C$42, 0.1146, 0.1146)*CHOOSE(CONTROL!$C$42, 121.5, 121.5)*CHOOSE(CONTROL!$C$42, 31, 31))/1000000</f>
        <v>0.43164089999999994</v>
      </c>
      <c r="X673" s="57">
        <f>(31*0.1790888*100000/1000000)+(31*0.2374*100000/1000000)</f>
        <v>1.2911152800000001</v>
      </c>
      <c r="Y673" s="57"/>
      <c r="Z673" s="14"/>
      <c r="AA673" s="56"/>
      <c r="AB673" s="50">
        <f>(B673*122.58+C673*297.941+D673*89.177+E673*40.302+F673*40+G673*160+H673*0+I673*100+J673*300)/(122.58+297.941+89.177+40.302+0+40+160+100+300)</f>
        <v>45.413030909391303</v>
      </c>
      <c r="AC673" s="45">
        <f>(M673*'RAP TEMPLATE-GAS AVAILABILITY'!O672+N673*'RAP TEMPLATE-GAS AVAILABILITY'!P672+O673*'RAP TEMPLATE-GAS AVAILABILITY'!Q672+P673*'RAP TEMPLATE-GAS AVAILABILITY'!R672)/('RAP TEMPLATE-GAS AVAILABILITY'!O672+'RAP TEMPLATE-GAS AVAILABILITY'!P672+'RAP TEMPLATE-GAS AVAILABILITY'!Q672+'RAP TEMPLATE-GAS AVAILABILITY'!R672)</f>
        <v>44.52815899280575</v>
      </c>
    </row>
    <row r="674" spans="1:29" ht="15.75" x14ac:dyDescent="0.25">
      <c r="A674" s="32">
        <v>61422</v>
      </c>
      <c r="B674" s="14">
        <f>CHOOSE(CONTROL!$C$42, 46.2026, 46.2026) * CHOOSE(CONTROL!$C$21, $C$9, 100%, $E$9)</f>
        <v>46.202599999999997</v>
      </c>
      <c r="C674" s="14">
        <f>CHOOSE(CONTROL!$C$42, 46.2076, 46.2076) * CHOOSE(CONTROL!$C$21, $C$9, 100%, $E$9)</f>
        <v>46.207599999999999</v>
      </c>
      <c r="D674" s="14">
        <f>CHOOSE(CONTROL!$C$42, 46.274, 46.274) * CHOOSE(CONTROL!$C$21, $C$9, 100%, $E$9)</f>
        <v>46.274000000000001</v>
      </c>
      <c r="E674" s="14">
        <f>CHOOSE(CONTROL!$C$42, 46.3081, 46.3081) * CHOOSE(CONTROL!$C$21, $C$9, 100%, $E$9)</f>
        <v>46.308100000000003</v>
      </c>
      <c r="F674" s="14">
        <f>CHOOSE(CONTROL!$C$42, 46.19, 46.19)*CHOOSE(CONTROL!$C$21, $C$9, 100%, $E$9)</f>
        <v>46.19</v>
      </c>
      <c r="G674" s="14">
        <f>CHOOSE(CONTROL!$C$42, 46.2055, 46.2055)*CHOOSE(CONTROL!$C$21, $C$9, 100%, $E$9)</f>
        <v>46.205500000000001</v>
      </c>
      <c r="H674" s="14">
        <f>CHOOSE(CONTROL!$C$42, 46.2973, 46.2973) * CHOOSE(CONTROL!$C$21, $C$9, 100%, $E$9)</f>
        <v>46.2973</v>
      </c>
      <c r="I674" s="14">
        <f>CHOOSE(CONTROL!$C$42, 46.3549, 46.3549)* CHOOSE(CONTROL!$C$21, $C$9, 100%, $E$9)</f>
        <v>46.354900000000001</v>
      </c>
      <c r="J674" s="14">
        <f>CHOOSE(CONTROL!$C$42, 46.183, 46.183)* CHOOSE(CONTROL!$C$21, $C$9, 100%, $E$9)</f>
        <v>46.183</v>
      </c>
      <c r="K674" s="53">
        <f>CHOOSE(CONTROL!$C$42, 46.351, 46.351) * CHOOSE(CONTROL!$C$21, $C$9, 100%, $E$9)</f>
        <v>46.350999999999999</v>
      </c>
      <c r="L674" s="14">
        <f>CHOOSE(CONTROL!$C$42, 46.8843, 46.8843) * CHOOSE(CONTROL!$C$21, $C$9, 100%, $E$9)</f>
        <v>46.884300000000003</v>
      </c>
      <c r="M674" s="14">
        <f>CHOOSE(CONTROL!$C$42, 45.2444, 45.2444) * CHOOSE(CONTROL!$C$21, $C$9, 100%, $E$9)</f>
        <v>45.244399999999999</v>
      </c>
      <c r="N674" s="14">
        <f>CHOOSE(CONTROL!$C$42, 45.2596, 45.2596) * CHOOSE(CONTROL!$C$21, $C$9, 100%, $E$9)</f>
        <v>45.259599999999999</v>
      </c>
      <c r="O674" s="14">
        <f>CHOOSE(CONTROL!$C$42, 45.3564, 45.3564) * CHOOSE(CONTROL!$C$21, $C$9, 100%, $E$9)</f>
        <v>45.356400000000001</v>
      </c>
      <c r="P674" s="14">
        <f>CHOOSE(CONTROL!$C$42, 45.41, 45.41) * CHOOSE(CONTROL!$C$21, $C$9, 100%, $E$9)</f>
        <v>45.41</v>
      </c>
      <c r="Q674" s="14">
        <f>CHOOSE(CONTROL!$C$42, 45.9511, 45.9511) * CHOOSE(CONTROL!$C$21, $C$9, 100%, $E$9)</f>
        <v>45.951099999999997</v>
      </c>
      <c r="R674" s="14">
        <f>CHOOSE(CONTROL!$C$42, 46.653, 46.653) * CHOOSE(CONTROL!$C$21, $C$9, 100%, $E$9)</f>
        <v>46.652999999999999</v>
      </c>
      <c r="S674" s="14">
        <f>CHOOSE(CONTROL!$C$42, 44.3875, 44.3875) * CHOOSE(CONTROL!$C$21, $C$9, 100%, $E$9)</f>
        <v>44.387500000000003</v>
      </c>
      <c r="T674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674" s="57">
        <f>(1000*CHOOSE(CONTROL!$C$42, 695, 695)*CHOOSE(CONTROL!$C$42, 0.5599, 0.5599)*CHOOSE(CONTROL!$C$42, 29, 29))/1000000</f>
        <v>11.284784499999999</v>
      </c>
      <c r="V674" s="57">
        <f>(1000*CHOOSE(CONTROL!$C$42, 500, 500)*CHOOSE(CONTROL!$C$42, 0.275, 0.275)*CHOOSE(CONTROL!$C$42, 29, 29))/1000000</f>
        <v>3.9874999999999998</v>
      </c>
      <c r="W674" s="57">
        <f>(1000*CHOOSE(CONTROL!$C$42, 0.1146, 0.1146)*CHOOSE(CONTROL!$C$42, 121.5, 121.5)*CHOOSE(CONTROL!$C$42, 29, 29))/1000000</f>
        <v>0.40379309999999996</v>
      </c>
      <c r="X674" s="57">
        <f>(29*0.1790888*100000/1000000)+(29*0.2374*100000/1000000)</f>
        <v>1.2078175199999999</v>
      </c>
      <c r="Y674" s="57"/>
      <c r="Z674" s="14"/>
      <c r="AA674" s="56"/>
      <c r="AB674" s="50">
        <f>(B674*122.58+C674*297.941+D674*89.177+E674*40.302+F674*40+G674*160+H674*0+I674*100+J674*300)/(122.58+297.941+89.177+40.302+0+40+160+100+300)</f>
        <v>46.221225046782607</v>
      </c>
      <c r="AC674" s="45">
        <f>(M674*'RAP TEMPLATE-GAS AVAILABILITY'!O673+N674*'RAP TEMPLATE-GAS AVAILABILITY'!P673+O674*'RAP TEMPLATE-GAS AVAILABILITY'!Q673+P674*'RAP TEMPLATE-GAS AVAILABILITY'!R673)/('RAP TEMPLATE-GAS AVAILABILITY'!O673+'RAP TEMPLATE-GAS AVAILABILITY'!P673+'RAP TEMPLATE-GAS AVAILABILITY'!Q673+'RAP TEMPLATE-GAS AVAILABILITY'!R673)</f>
        <v>45.319864748201432</v>
      </c>
    </row>
    <row r="675" spans="1:29" ht="15.75" x14ac:dyDescent="0.25">
      <c r="A675" s="32">
        <v>61453</v>
      </c>
      <c r="B675" s="14">
        <f>CHOOSE(CONTROL!$C$42, 44.8911, 44.8911) * CHOOSE(CONTROL!$C$21, $C$9, 100%, $E$9)</f>
        <v>44.891100000000002</v>
      </c>
      <c r="C675" s="14">
        <f>CHOOSE(CONTROL!$C$42, 44.8962, 44.8962) * CHOOSE(CONTROL!$C$21, $C$9, 100%, $E$9)</f>
        <v>44.8962</v>
      </c>
      <c r="D675" s="14">
        <f>CHOOSE(CONTROL!$C$42, 44.9626, 44.9626) * CHOOSE(CONTROL!$C$21, $C$9, 100%, $E$9)</f>
        <v>44.962600000000002</v>
      </c>
      <c r="E675" s="14">
        <f>CHOOSE(CONTROL!$C$42, 44.9967, 44.9967) * CHOOSE(CONTROL!$C$21, $C$9, 100%, $E$9)</f>
        <v>44.996699999999997</v>
      </c>
      <c r="F675" s="14">
        <f>CHOOSE(CONTROL!$C$42, 44.8781, 44.8781)*CHOOSE(CONTROL!$C$21, $C$9, 100%, $E$9)</f>
        <v>44.878100000000003</v>
      </c>
      <c r="G675" s="14">
        <f>CHOOSE(CONTROL!$C$42, 44.8935, 44.8935)*CHOOSE(CONTROL!$C$21, $C$9, 100%, $E$9)</f>
        <v>44.893500000000003</v>
      </c>
      <c r="H675" s="14">
        <f>CHOOSE(CONTROL!$C$42, 44.9859, 44.9859) * CHOOSE(CONTROL!$C$21, $C$9, 100%, $E$9)</f>
        <v>44.985900000000001</v>
      </c>
      <c r="I675" s="14">
        <f>CHOOSE(CONTROL!$C$42, 45.0393, 45.0393)* CHOOSE(CONTROL!$C$21, $C$9, 100%, $E$9)</f>
        <v>45.039299999999997</v>
      </c>
      <c r="J675" s="14">
        <f>CHOOSE(CONTROL!$C$42, 44.8711, 44.8711)* CHOOSE(CONTROL!$C$21, $C$9, 100%, $E$9)</f>
        <v>44.871099999999998</v>
      </c>
      <c r="K675" s="53">
        <f>CHOOSE(CONTROL!$C$42, 45.0354, 45.0354) * CHOOSE(CONTROL!$C$21, $C$9, 100%, $E$9)</f>
        <v>45.035400000000003</v>
      </c>
      <c r="L675" s="14">
        <f>CHOOSE(CONTROL!$C$42, 45.5729, 45.5729) * CHOOSE(CONTROL!$C$21, $C$9, 100%, $E$9)</f>
        <v>45.572899999999997</v>
      </c>
      <c r="M675" s="14">
        <f>CHOOSE(CONTROL!$C$42, 43.9594, 43.9594) * CHOOSE(CONTROL!$C$21, $C$9, 100%, $E$9)</f>
        <v>43.959400000000002</v>
      </c>
      <c r="N675" s="14">
        <f>CHOOSE(CONTROL!$C$42, 43.9745, 43.9745) * CHOOSE(CONTROL!$C$21, $C$9, 100%, $E$9)</f>
        <v>43.974499999999999</v>
      </c>
      <c r="O675" s="14">
        <f>CHOOSE(CONTROL!$C$42, 44.0719, 44.0719) * CHOOSE(CONTROL!$C$21, $C$9, 100%, $E$9)</f>
        <v>44.071899999999999</v>
      </c>
      <c r="P675" s="14">
        <f>CHOOSE(CONTROL!$C$42, 44.1214, 44.1214) * CHOOSE(CONTROL!$C$21, $C$9, 100%, $E$9)</f>
        <v>44.121400000000001</v>
      </c>
      <c r="Q675" s="14">
        <f>CHOOSE(CONTROL!$C$42, 44.6666, 44.6666) * CHOOSE(CONTROL!$C$21, $C$9, 100%, $E$9)</f>
        <v>44.666600000000003</v>
      </c>
      <c r="R675" s="14">
        <f>CHOOSE(CONTROL!$C$42, 45.3652, 45.3652) * CHOOSE(CONTROL!$C$21, $C$9, 100%, $E$9)</f>
        <v>45.365200000000002</v>
      </c>
      <c r="S675" s="14">
        <f>CHOOSE(CONTROL!$C$42, 43.1273, 43.1273) * CHOOSE(CONTROL!$C$21, $C$9, 100%, $E$9)</f>
        <v>43.127299999999998</v>
      </c>
      <c r="T67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75" s="57">
        <f>(1000*CHOOSE(CONTROL!$C$42, 695, 695)*CHOOSE(CONTROL!$C$42, 0.5599, 0.5599)*CHOOSE(CONTROL!$C$42, 31, 31))/1000000</f>
        <v>12.063045499999998</v>
      </c>
      <c r="V675" s="57">
        <f>(1000*CHOOSE(CONTROL!$C$42, 500, 500)*CHOOSE(CONTROL!$C$42, 0.275, 0.275)*CHOOSE(CONTROL!$C$42, 31, 31))/1000000</f>
        <v>4.2625000000000002</v>
      </c>
      <c r="W675" s="57">
        <f>(1000*CHOOSE(CONTROL!$C$42, 0.1146, 0.1146)*CHOOSE(CONTROL!$C$42, 121.5, 121.5)*CHOOSE(CONTROL!$C$42, 31, 31))/1000000</f>
        <v>0.43164089999999994</v>
      </c>
      <c r="X675" s="57">
        <f>(31*0.1790888*100000/1000000)+(31*0.2374*100000/1000000)</f>
        <v>1.2911152800000001</v>
      </c>
      <c r="Y675" s="57"/>
      <c r="Z675" s="14"/>
      <c r="AA675" s="56"/>
      <c r="AB675" s="50">
        <f>(B675*122.58+C675*297.941+D675*89.177+E675*40.302+F675*40+G675*160+H675*0+I675*100+J675*300)/(122.58+297.941+89.177+40.302+0+40+160+100+300)</f>
        <v>44.909217865913043</v>
      </c>
      <c r="AC675" s="45">
        <f>(M675*'RAP TEMPLATE-GAS AVAILABILITY'!O674+N675*'RAP TEMPLATE-GAS AVAILABILITY'!P674+O675*'RAP TEMPLATE-GAS AVAILABILITY'!Q674+P675*'RAP TEMPLATE-GAS AVAILABILITY'!R674)/('RAP TEMPLATE-GAS AVAILABILITY'!O674+'RAP TEMPLATE-GAS AVAILABILITY'!P674+'RAP TEMPLATE-GAS AVAILABILITY'!Q674+'RAP TEMPLATE-GAS AVAILABILITY'!R674)</f>
        <v>44.034567625899278</v>
      </c>
    </row>
    <row r="676" spans="1:29" ht="15.75" x14ac:dyDescent="0.25">
      <c r="A676" s="32">
        <v>61483</v>
      </c>
      <c r="B676" s="14">
        <f>CHOOSE(CONTROL!$C$42, 44.7579, 44.7579) * CHOOSE(CONTROL!$C$21, $C$9, 100%, $E$9)</f>
        <v>44.757899999999999</v>
      </c>
      <c r="C676" s="14">
        <f>CHOOSE(CONTROL!$C$42, 44.7624, 44.7624) * CHOOSE(CONTROL!$C$21, $C$9, 100%, $E$9)</f>
        <v>44.7624</v>
      </c>
      <c r="D676" s="14">
        <f>CHOOSE(CONTROL!$C$42, 44.9695, 44.9695) * CHOOSE(CONTROL!$C$21, $C$9, 100%, $E$9)</f>
        <v>44.969499999999996</v>
      </c>
      <c r="E676" s="14">
        <f>CHOOSE(CONTROL!$C$42, 45.0016, 45.0016) * CHOOSE(CONTROL!$C$21, $C$9, 100%, $E$9)</f>
        <v>45.001600000000003</v>
      </c>
      <c r="F676" s="14">
        <f>CHOOSE(CONTROL!$C$42, 44.7398, 44.7398)*CHOOSE(CONTROL!$C$21, $C$9, 100%, $E$9)</f>
        <v>44.739800000000002</v>
      </c>
      <c r="G676" s="14">
        <f>CHOOSE(CONTROL!$C$42, 44.755, 44.755)*CHOOSE(CONTROL!$C$21, $C$9, 100%, $E$9)</f>
        <v>44.755000000000003</v>
      </c>
      <c r="H676" s="14">
        <f>CHOOSE(CONTROL!$C$42, 44.9914, 44.9914) * CHOOSE(CONTROL!$C$21, $C$9, 100%, $E$9)</f>
        <v>44.991399999999999</v>
      </c>
      <c r="I676" s="14">
        <f>CHOOSE(CONTROL!$C$42, 44.9049, 44.9049)* CHOOSE(CONTROL!$C$21, $C$9, 100%, $E$9)</f>
        <v>44.904899999999998</v>
      </c>
      <c r="J676" s="14">
        <f>CHOOSE(CONTROL!$C$42, 44.7328, 44.7328)* CHOOSE(CONTROL!$C$21, $C$9, 100%, $E$9)</f>
        <v>44.732799999999997</v>
      </c>
      <c r="K676" s="53">
        <f>CHOOSE(CONTROL!$C$42, 44.901, 44.901) * CHOOSE(CONTROL!$C$21, $C$9, 100%, $E$9)</f>
        <v>44.901000000000003</v>
      </c>
      <c r="L676" s="14">
        <f>CHOOSE(CONTROL!$C$42, 45.5784, 45.5784) * CHOOSE(CONTROL!$C$21, $C$9, 100%, $E$9)</f>
        <v>45.578400000000002</v>
      </c>
      <c r="M676" s="14">
        <f>CHOOSE(CONTROL!$C$42, 43.8239, 43.8239) * CHOOSE(CONTROL!$C$21, $C$9, 100%, $E$9)</f>
        <v>43.823900000000002</v>
      </c>
      <c r="N676" s="14">
        <f>CHOOSE(CONTROL!$C$42, 43.8388, 43.8388) * CHOOSE(CONTROL!$C$21, $C$9, 100%, $E$9)</f>
        <v>43.838799999999999</v>
      </c>
      <c r="O676" s="14">
        <f>CHOOSE(CONTROL!$C$42, 44.0772, 44.0772) * CHOOSE(CONTROL!$C$21, $C$9, 100%, $E$9)</f>
        <v>44.077199999999998</v>
      </c>
      <c r="P676" s="14">
        <f>CHOOSE(CONTROL!$C$42, 43.9898, 43.9898) * CHOOSE(CONTROL!$C$21, $C$9, 100%, $E$9)</f>
        <v>43.989800000000002</v>
      </c>
      <c r="Q676" s="14">
        <f>CHOOSE(CONTROL!$C$42, 44.6719, 44.6719) * CHOOSE(CONTROL!$C$21, $C$9, 100%, $E$9)</f>
        <v>44.671900000000001</v>
      </c>
      <c r="R676" s="14">
        <f>CHOOSE(CONTROL!$C$42, 45.3706, 45.3706) * CHOOSE(CONTROL!$C$21, $C$9, 100%, $E$9)</f>
        <v>45.370600000000003</v>
      </c>
      <c r="S676" s="14">
        <f>CHOOSE(CONTROL!$C$42, 42.9986, 42.9986) * CHOOSE(CONTROL!$C$21, $C$9, 100%, $E$9)</f>
        <v>42.998600000000003</v>
      </c>
      <c r="T67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76" s="57">
        <f>(1000*CHOOSE(CONTROL!$C$42, 695, 695)*CHOOSE(CONTROL!$C$42, 0.5599, 0.5599)*CHOOSE(CONTROL!$C$42, 30, 30))/1000000</f>
        <v>11.673914999999997</v>
      </c>
      <c r="V676" s="57">
        <f>(1000*CHOOSE(CONTROL!$C$42, 500, 500)*CHOOSE(CONTROL!$C$42, 0.275, 0.275)*CHOOSE(CONTROL!$C$42, 30, 30))/1000000</f>
        <v>4.125</v>
      </c>
      <c r="W676" s="57">
        <f>(1000*CHOOSE(CONTROL!$C$42, 0.1146, 0.1146)*CHOOSE(CONTROL!$C$42, 121.5, 121.5)*CHOOSE(CONTROL!$C$42, 30, 30))/1000000</f>
        <v>0.417717</v>
      </c>
      <c r="X676" s="57">
        <f>(30*0.1790888*245000/1000000)+(30*0.2374*100000/1000000)</f>
        <v>2.0285026799999999</v>
      </c>
      <c r="Y676" s="57"/>
      <c r="Z676" s="14"/>
      <c r="AA676" s="56"/>
      <c r="AB676" s="50">
        <f>(B676*141.293+C676*267.993+D676*115.016+E676*89.698+F676*40+G676*185+H676*0+I676*100+J676*300)/(141.293+267.993+115.016+89.698+0+40+185+100+300)</f>
        <v>44.80092845577078</v>
      </c>
      <c r="AC676" s="45">
        <f>(M676*'RAP TEMPLATE-GAS AVAILABILITY'!O675+N676*'RAP TEMPLATE-GAS AVAILABILITY'!P675+O676*'RAP TEMPLATE-GAS AVAILABILITY'!Q675+P676*'RAP TEMPLATE-GAS AVAILABILITY'!R675)/('RAP TEMPLATE-GAS AVAILABILITY'!O675+'RAP TEMPLATE-GAS AVAILABILITY'!P675+'RAP TEMPLATE-GAS AVAILABILITY'!Q675+'RAP TEMPLATE-GAS AVAILABILITY'!R675)</f>
        <v>43.963433093525175</v>
      </c>
    </row>
    <row r="677" spans="1:29" ht="15.75" x14ac:dyDescent="0.25">
      <c r="A677" s="32">
        <v>61514</v>
      </c>
      <c r="B677" s="14">
        <f>CHOOSE(CONTROL!$C$42, 45.1542, 45.1542) * CHOOSE(CONTROL!$C$21, $C$9, 100%, $E$9)</f>
        <v>45.154200000000003</v>
      </c>
      <c r="C677" s="14">
        <f>CHOOSE(CONTROL!$C$42, 45.1623, 45.1623) * CHOOSE(CONTROL!$C$21, $C$9, 100%, $E$9)</f>
        <v>45.162300000000002</v>
      </c>
      <c r="D677" s="14">
        <f>CHOOSE(CONTROL!$C$42, 45.3662, 45.3662) * CHOOSE(CONTROL!$C$21, $C$9, 100%, $E$9)</f>
        <v>45.366199999999999</v>
      </c>
      <c r="E677" s="14">
        <f>CHOOSE(CONTROL!$C$42, 45.3977, 45.3977) * CHOOSE(CONTROL!$C$21, $C$9, 100%, $E$9)</f>
        <v>45.3977</v>
      </c>
      <c r="F677" s="14">
        <f>CHOOSE(CONTROL!$C$42, 45.135, 45.135)*CHOOSE(CONTROL!$C$21, $C$9, 100%, $E$9)</f>
        <v>45.134999999999998</v>
      </c>
      <c r="G677" s="14">
        <f>CHOOSE(CONTROL!$C$42, 45.1506, 45.1506)*CHOOSE(CONTROL!$C$21, $C$9, 100%, $E$9)</f>
        <v>45.150599999999997</v>
      </c>
      <c r="H677" s="14">
        <f>CHOOSE(CONTROL!$C$42, 45.3863, 45.3863) * CHOOSE(CONTROL!$C$21, $C$9, 100%, $E$9)</f>
        <v>45.386299999999999</v>
      </c>
      <c r="I677" s="14">
        <f>CHOOSE(CONTROL!$C$42, 45.3011, 45.3011)* CHOOSE(CONTROL!$C$21, $C$9, 100%, $E$9)</f>
        <v>45.301099999999998</v>
      </c>
      <c r="J677" s="14">
        <f>CHOOSE(CONTROL!$C$42, 45.128, 45.128)* CHOOSE(CONTROL!$C$21, $C$9, 100%, $E$9)</f>
        <v>45.128</v>
      </c>
      <c r="K677" s="53">
        <f>CHOOSE(CONTROL!$C$42, 45.2972, 45.2972) * CHOOSE(CONTROL!$C$21, $C$9, 100%, $E$9)</f>
        <v>45.297199999999997</v>
      </c>
      <c r="L677" s="14">
        <f>CHOOSE(CONTROL!$C$42, 45.9733, 45.9733) * CHOOSE(CONTROL!$C$21, $C$9, 100%, $E$9)</f>
        <v>45.973300000000002</v>
      </c>
      <c r="M677" s="14">
        <f>CHOOSE(CONTROL!$C$42, 44.211, 44.211) * CHOOSE(CONTROL!$C$21, $C$9, 100%, $E$9)</f>
        <v>44.210999999999999</v>
      </c>
      <c r="N677" s="14">
        <f>CHOOSE(CONTROL!$C$42, 44.2264, 44.2264) * CHOOSE(CONTROL!$C$21, $C$9, 100%, $E$9)</f>
        <v>44.226399999999998</v>
      </c>
      <c r="O677" s="14">
        <f>CHOOSE(CONTROL!$C$42, 44.4641, 44.4641) * CHOOSE(CONTROL!$C$21, $C$9, 100%, $E$9)</f>
        <v>44.464100000000002</v>
      </c>
      <c r="P677" s="14">
        <f>CHOOSE(CONTROL!$C$42, 44.3778, 44.3778) * CHOOSE(CONTROL!$C$21, $C$9, 100%, $E$9)</f>
        <v>44.377800000000001</v>
      </c>
      <c r="Q677" s="14">
        <f>CHOOSE(CONTROL!$C$42, 45.0588, 45.0588) * CHOOSE(CONTROL!$C$21, $C$9, 100%, $E$9)</f>
        <v>45.058799999999998</v>
      </c>
      <c r="R677" s="14">
        <f>CHOOSE(CONTROL!$C$42, 45.7584, 45.7584) * CHOOSE(CONTROL!$C$21, $C$9, 100%, $E$9)</f>
        <v>45.758400000000002</v>
      </c>
      <c r="S677" s="14">
        <f>CHOOSE(CONTROL!$C$42, 43.3781, 43.3781) * CHOOSE(CONTROL!$C$21, $C$9, 100%, $E$9)</f>
        <v>43.378100000000003</v>
      </c>
      <c r="T67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77" s="57">
        <f>(1000*CHOOSE(CONTROL!$C$42, 695, 695)*CHOOSE(CONTROL!$C$42, 0.5599, 0.5599)*CHOOSE(CONTROL!$C$42, 31, 31))/1000000</f>
        <v>12.063045499999998</v>
      </c>
      <c r="V677" s="57">
        <f>(1000*CHOOSE(CONTROL!$C$42, 500, 500)*CHOOSE(CONTROL!$C$42, 0.275, 0.275)*CHOOSE(CONTROL!$C$42, 31, 31))/1000000</f>
        <v>4.2625000000000002</v>
      </c>
      <c r="W677" s="57">
        <f>(1000*CHOOSE(CONTROL!$C$42, 0.1146, 0.1146)*CHOOSE(CONTROL!$C$42, 121.5, 121.5)*CHOOSE(CONTROL!$C$42, 31, 31))/1000000</f>
        <v>0.43164089999999994</v>
      </c>
      <c r="X677" s="57">
        <f>(31*0.1790888*245000/1000000)+(31*0.2374*100000/1000000)</f>
        <v>2.0961194359999999</v>
      </c>
      <c r="Y677" s="57"/>
      <c r="Z677" s="14"/>
      <c r="AA677" s="56"/>
      <c r="AB677" s="50">
        <f>(B677*194.205+C677*267.466+D677*133.845+E677*53.484+F677*40+G677*185+H677*0+I677*100+J677*300)/(194.205+267.466+133.845+53.484+0+40+185+100+300)</f>
        <v>45.192630901569864</v>
      </c>
      <c r="AC677" s="45">
        <f>(M677*'RAP TEMPLATE-GAS AVAILABILITY'!O676+N677*'RAP TEMPLATE-GAS AVAILABILITY'!P676+O677*'RAP TEMPLATE-GAS AVAILABILITY'!Q676+P677*'RAP TEMPLATE-GAS AVAILABILITY'!R676)/('RAP TEMPLATE-GAS AVAILABILITY'!O676+'RAP TEMPLATE-GAS AVAILABILITY'!P676+'RAP TEMPLATE-GAS AVAILABILITY'!Q676+'RAP TEMPLATE-GAS AVAILABILITY'!R676)</f>
        <v>44.350600719424463</v>
      </c>
    </row>
    <row r="678" spans="1:29" ht="15.75" x14ac:dyDescent="0.25">
      <c r="A678" s="32">
        <v>61544</v>
      </c>
      <c r="B678" s="14">
        <f>CHOOSE(CONTROL!$C$42, 46.4348, 46.4348) * CHOOSE(CONTROL!$C$21, $C$9, 100%, $E$9)</f>
        <v>46.434800000000003</v>
      </c>
      <c r="C678" s="14">
        <f>CHOOSE(CONTROL!$C$42, 46.4428, 46.4428) * CHOOSE(CONTROL!$C$21, $C$9, 100%, $E$9)</f>
        <v>46.442799999999998</v>
      </c>
      <c r="D678" s="14">
        <f>CHOOSE(CONTROL!$C$42, 46.6467, 46.6467) * CHOOSE(CONTROL!$C$21, $C$9, 100%, $E$9)</f>
        <v>46.646700000000003</v>
      </c>
      <c r="E678" s="14">
        <f>CHOOSE(CONTROL!$C$42, 46.6782, 46.6782) * CHOOSE(CONTROL!$C$21, $C$9, 100%, $E$9)</f>
        <v>46.678199999999997</v>
      </c>
      <c r="F678" s="14">
        <f>CHOOSE(CONTROL!$C$42, 46.4159, 46.4159)*CHOOSE(CONTROL!$C$21, $C$9, 100%, $E$9)</f>
        <v>46.415900000000001</v>
      </c>
      <c r="G678" s="14">
        <f>CHOOSE(CONTROL!$C$42, 46.4317, 46.4317)*CHOOSE(CONTROL!$C$21, $C$9, 100%, $E$9)</f>
        <v>46.431699999999999</v>
      </c>
      <c r="H678" s="14">
        <f>CHOOSE(CONTROL!$C$42, 46.6668, 46.6668) * CHOOSE(CONTROL!$C$21, $C$9, 100%, $E$9)</f>
        <v>46.666800000000002</v>
      </c>
      <c r="I678" s="14">
        <f>CHOOSE(CONTROL!$C$42, 46.5856, 46.5856)* CHOOSE(CONTROL!$C$21, $C$9, 100%, $E$9)</f>
        <v>46.585599999999999</v>
      </c>
      <c r="J678" s="14">
        <f>CHOOSE(CONTROL!$C$42, 46.4089, 46.4089)* CHOOSE(CONTROL!$C$21, $C$9, 100%, $E$9)</f>
        <v>46.408900000000003</v>
      </c>
      <c r="K678" s="53">
        <f>CHOOSE(CONTROL!$C$42, 46.5817, 46.5817) * CHOOSE(CONTROL!$C$21, $C$9, 100%, $E$9)</f>
        <v>46.581699999999998</v>
      </c>
      <c r="L678" s="14">
        <f>CHOOSE(CONTROL!$C$42, 47.2538, 47.2538) * CHOOSE(CONTROL!$C$21, $C$9, 100%, $E$9)</f>
        <v>47.253799999999998</v>
      </c>
      <c r="M678" s="14">
        <f>CHOOSE(CONTROL!$C$42, 45.4657, 45.4657) * CHOOSE(CONTROL!$C$21, $C$9, 100%, $E$9)</f>
        <v>45.465699999999998</v>
      </c>
      <c r="N678" s="14">
        <f>CHOOSE(CONTROL!$C$42, 45.4812, 45.4812) * CHOOSE(CONTROL!$C$21, $C$9, 100%, $E$9)</f>
        <v>45.481200000000001</v>
      </c>
      <c r="O678" s="14">
        <f>CHOOSE(CONTROL!$C$42, 45.7183, 45.7183) * CHOOSE(CONTROL!$C$21, $C$9, 100%, $E$9)</f>
        <v>45.718299999999999</v>
      </c>
      <c r="P678" s="14">
        <f>CHOOSE(CONTROL!$C$42, 45.636, 45.636) * CHOOSE(CONTROL!$C$21, $C$9, 100%, $E$9)</f>
        <v>45.636000000000003</v>
      </c>
      <c r="Q678" s="14">
        <f>CHOOSE(CONTROL!$C$42, 46.313, 46.313) * CHOOSE(CONTROL!$C$21, $C$9, 100%, $E$9)</f>
        <v>46.313000000000002</v>
      </c>
      <c r="R678" s="14">
        <f>CHOOSE(CONTROL!$C$42, 47.0158, 47.0158) * CHOOSE(CONTROL!$C$21, $C$9, 100%, $E$9)</f>
        <v>47.015799999999999</v>
      </c>
      <c r="S678" s="14">
        <f>CHOOSE(CONTROL!$C$42, 44.6085, 44.6085) * CHOOSE(CONTROL!$C$21, $C$9, 100%, $E$9)</f>
        <v>44.608499999999999</v>
      </c>
      <c r="T67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78" s="57">
        <f>(1000*CHOOSE(CONTROL!$C$42, 695, 695)*CHOOSE(CONTROL!$C$42, 0.5599, 0.5599)*CHOOSE(CONTROL!$C$42, 30, 30))/1000000</f>
        <v>11.673914999999997</v>
      </c>
      <c r="V678" s="57">
        <f>(1000*CHOOSE(CONTROL!$C$42, 500, 500)*CHOOSE(CONTROL!$C$42, 0.275, 0.275)*CHOOSE(CONTROL!$C$42, 30, 30))/1000000</f>
        <v>4.125</v>
      </c>
      <c r="W678" s="57">
        <f>(1000*CHOOSE(CONTROL!$C$42, 0.1146, 0.1146)*CHOOSE(CONTROL!$C$42, 121.5, 121.5)*CHOOSE(CONTROL!$C$42, 30, 30))/1000000</f>
        <v>0.417717</v>
      </c>
      <c r="X678" s="57">
        <f>(30*0.1790888*245000/1000000)+(30*0.2374*100000/1000000)</f>
        <v>2.0285026799999999</v>
      </c>
      <c r="Y678" s="57"/>
      <c r="Z678" s="14"/>
      <c r="AA678" s="56"/>
      <c r="AB678" s="50">
        <f>(B678*194.205+C678*267.466+D678*133.845+E678*53.484+F678*40+G678*185+H678*0+I678*100+J678*300)/(194.205+267.466+133.845+53.484+0+40+185+100+300)</f>
        <v>46.473653994583984</v>
      </c>
      <c r="AC678" s="45">
        <f>(M678*'RAP TEMPLATE-GAS AVAILABILITY'!O677+N678*'RAP TEMPLATE-GAS AVAILABILITY'!P677+O678*'RAP TEMPLATE-GAS AVAILABILITY'!Q677+P678*'RAP TEMPLATE-GAS AVAILABILITY'!R677)/('RAP TEMPLATE-GAS AVAILABILITY'!O677+'RAP TEMPLATE-GAS AVAILABILITY'!P677+'RAP TEMPLATE-GAS AVAILABILITY'!Q677+'RAP TEMPLATE-GAS AVAILABILITY'!R677)</f>
        <v>45.605583453237408</v>
      </c>
    </row>
    <row r="679" spans="1:29" ht="15.75" x14ac:dyDescent="0.25">
      <c r="A679" s="32">
        <v>61575</v>
      </c>
      <c r="B679" s="14">
        <f>CHOOSE(CONTROL!$C$42, 45.5442, 45.5442) * CHOOSE(CONTROL!$C$21, $C$9, 100%, $E$9)</f>
        <v>45.544199999999996</v>
      </c>
      <c r="C679" s="14">
        <f>CHOOSE(CONTROL!$C$42, 45.5522, 45.5522) * CHOOSE(CONTROL!$C$21, $C$9, 100%, $E$9)</f>
        <v>45.552199999999999</v>
      </c>
      <c r="D679" s="14">
        <f>CHOOSE(CONTROL!$C$42, 45.7561, 45.7561) * CHOOSE(CONTROL!$C$21, $C$9, 100%, $E$9)</f>
        <v>45.756100000000004</v>
      </c>
      <c r="E679" s="14">
        <f>CHOOSE(CONTROL!$C$42, 45.7876, 45.7876) * CHOOSE(CONTROL!$C$21, $C$9, 100%, $E$9)</f>
        <v>45.787599999999998</v>
      </c>
      <c r="F679" s="14">
        <f>CHOOSE(CONTROL!$C$42, 45.5258, 45.5258)*CHOOSE(CONTROL!$C$21, $C$9, 100%, $E$9)</f>
        <v>45.525799999999997</v>
      </c>
      <c r="G679" s="14">
        <f>CHOOSE(CONTROL!$C$42, 45.5417, 45.5417)*CHOOSE(CONTROL!$C$21, $C$9, 100%, $E$9)</f>
        <v>45.541699999999999</v>
      </c>
      <c r="H679" s="14">
        <f>CHOOSE(CONTROL!$C$42, 45.7762, 45.7762) * CHOOSE(CONTROL!$C$21, $C$9, 100%, $E$9)</f>
        <v>45.776200000000003</v>
      </c>
      <c r="I679" s="14">
        <f>CHOOSE(CONTROL!$C$42, 45.6922, 45.6922)* CHOOSE(CONTROL!$C$21, $C$9, 100%, $E$9)</f>
        <v>45.6922</v>
      </c>
      <c r="J679" s="14">
        <f>CHOOSE(CONTROL!$C$42, 45.5188, 45.5188)* CHOOSE(CONTROL!$C$21, $C$9, 100%, $E$9)</f>
        <v>45.518799999999999</v>
      </c>
      <c r="K679" s="53">
        <f>CHOOSE(CONTROL!$C$42, 45.6883, 45.6883) * CHOOSE(CONTROL!$C$21, $C$9, 100%, $E$9)</f>
        <v>45.688299999999998</v>
      </c>
      <c r="L679" s="14">
        <f>CHOOSE(CONTROL!$C$42, 46.3632, 46.3632) * CHOOSE(CONTROL!$C$21, $C$9, 100%, $E$9)</f>
        <v>46.363199999999999</v>
      </c>
      <c r="M679" s="14">
        <f>CHOOSE(CONTROL!$C$42, 44.5938, 44.5938) * CHOOSE(CONTROL!$C$21, $C$9, 100%, $E$9)</f>
        <v>44.593800000000002</v>
      </c>
      <c r="N679" s="14">
        <f>CHOOSE(CONTROL!$C$42, 44.6094, 44.6094) * CHOOSE(CONTROL!$C$21, $C$9, 100%, $E$9)</f>
        <v>44.609400000000001</v>
      </c>
      <c r="O679" s="14">
        <f>CHOOSE(CONTROL!$C$42, 44.846, 44.846) * CHOOSE(CONTROL!$C$21, $C$9, 100%, $E$9)</f>
        <v>44.845999999999997</v>
      </c>
      <c r="P679" s="14">
        <f>CHOOSE(CONTROL!$C$42, 44.7609, 44.7609) * CHOOSE(CONTROL!$C$21, $C$9, 100%, $E$9)</f>
        <v>44.760899999999999</v>
      </c>
      <c r="Q679" s="14">
        <f>CHOOSE(CONTROL!$C$42, 45.4407, 45.4407) * CHOOSE(CONTROL!$C$21, $C$9, 100%, $E$9)</f>
        <v>45.4407</v>
      </c>
      <c r="R679" s="14">
        <f>CHOOSE(CONTROL!$C$42, 46.1413, 46.1413) * CHOOSE(CONTROL!$C$21, $C$9, 100%, $E$9)</f>
        <v>46.141300000000001</v>
      </c>
      <c r="S679" s="14">
        <f>CHOOSE(CONTROL!$C$42, 43.7527, 43.7527) * CHOOSE(CONTROL!$C$21, $C$9, 100%, $E$9)</f>
        <v>43.752699999999997</v>
      </c>
      <c r="T67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79" s="57">
        <f>(1000*CHOOSE(CONTROL!$C$42, 695, 695)*CHOOSE(CONTROL!$C$42, 0.5599, 0.5599)*CHOOSE(CONTROL!$C$42, 31, 31))/1000000</f>
        <v>12.063045499999998</v>
      </c>
      <c r="V679" s="57">
        <f>(1000*CHOOSE(CONTROL!$C$42, 500, 500)*CHOOSE(CONTROL!$C$42, 0.275, 0.275)*CHOOSE(CONTROL!$C$42, 31, 31))/1000000</f>
        <v>4.2625000000000002</v>
      </c>
      <c r="W679" s="57">
        <f>(1000*CHOOSE(CONTROL!$C$42, 0.1146, 0.1146)*CHOOSE(CONTROL!$C$42, 121.5, 121.5)*CHOOSE(CONTROL!$C$42, 31, 31))/1000000</f>
        <v>0.43164089999999994</v>
      </c>
      <c r="X679" s="57">
        <f>(31*0.1790888*245000/1000000)+(31*0.2374*100000/1000000)</f>
        <v>2.0961194359999999</v>
      </c>
      <c r="Y679" s="57"/>
      <c r="Z679" s="14"/>
      <c r="AA679" s="56"/>
      <c r="AB679" s="50">
        <f>(B679*194.205+C679*267.466+D679*133.845+E679*53.484+F679*40+G679*185+H679*0+I679*100+J679*300)/(194.205+267.466+133.845+53.484+0+40+185+100+300)</f>
        <v>45.583054779513347</v>
      </c>
      <c r="AC679" s="45">
        <f>(M679*'RAP TEMPLATE-GAS AVAILABILITY'!O678+N679*'RAP TEMPLATE-GAS AVAILABILITY'!P678+O679*'RAP TEMPLATE-GAS AVAILABILITY'!Q678+P679*'RAP TEMPLATE-GAS AVAILABILITY'!R678)/('RAP TEMPLATE-GAS AVAILABILITY'!O678+'RAP TEMPLATE-GAS AVAILABILITY'!P678+'RAP TEMPLATE-GAS AVAILABILITY'!Q678+'RAP TEMPLATE-GAS AVAILABILITY'!R678)</f>
        <v>44.733047482014392</v>
      </c>
    </row>
    <row r="680" spans="1:29" ht="15.75" x14ac:dyDescent="0.25">
      <c r="A680" s="32">
        <v>61606</v>
      </c>
      <c r="B680" s="14">
        <f>CHOOSE(CONTROL!$C$42, 43.2951, 43.2951) * CHOOSE(CONTROL!$C$21, $C$9, 100%, $E$9)</f>
        <v>43.295099999999998</v>
      </c>
      <c r="C680" s="14">
        <f>CHOOSE(CONTROL!$C$42, 43.3031, 43.3031) * CHOOSE(CONTROL!$C$21, $C$9, 100%, $E$9)</f>
        <v>43.303100000000001</v>
      </c>
      <c r="D680" s="14">
        <f>CHOOSE(CONTROL!$C$42, 43.5071, 43.5071) * CHOOSE(CONTROL!$C$21, $C$9, 100%, $E$9)</f>
        <v>43.507100000000001</v>
      </c>
      <c r="E680" s="14">
        <f>CHOOSE(CONTROL!$C$42, 43.5385, 43.5385) * CHOOSE(CONTROL!$C$21, $C$9, 100%, $E$9)</f>
        <v>43.538499999999999</v>
      </c>
      <c r="F680" s="14">
        <f>CHOOSE(CONTROL!$C$42, 43.2769, 43.2769)*CHOOSE(CONTROL!$C$21, $C$9, 100%, $E$9)</f>
        <v>43.276899999999998</v>
      </c>
      <c r="G680" s="14">
        <f>CHOOSE(CONTROL!$C$42, 43.2929, 43.2929)*CHOOSE(CONTROL!$C$21, $C$9, 100%, $E$9)</f>
        <v>43.292900000000003</v>
      </c>
      <c r="H680" s="14">
        <f>CHOOSE(CONTROL!$C$42, 43.5271, 43.5271) * CHOOSE(CONTROL!$C$21, $C$9, 100%, $E$9)</f>
        <v>43.527099999999997</v>
      </c>
      <c r="I680" s="14">
        <f>CHOOSE(CONTROL!$C$42, 43.4361, 43.4361)* CHOOSE(CONTROL!$C$21, $C$9, 100%, $E$9)</f>
        <v>43.436100000000003</v>
      </c>
      <c r="J680" s="14">
        <f>CHOOSE(CONTROL!$C$42, 43.2699, 43.2699)* CHOOSE(CONTROL!$C$21, $C$9, 100%, $E$9)</f>
        <v>43.2699</v>
      </c>
      <c r="K680" s="53">
        <f>CHOOSE(CONTROL!$C$42, 43.4322, 43.4322) * CHOOSE(CONTROL!$C$21, $C$9, 100%, $E$9)</f>
        <v>43.432200000000002</v>
      </c>
      <c r="L680" s="14">
        <f>CHOOSE(CONTROL!$C$42, 44.1141, 44.1141) * CHOOSE(CONTROL!$C$21, $C$9, 100%, $E$9)</f>
        <v>44.114100000000001</v>
      </c>
      <c r="M680" s="14">
        <f>CHOOSE(CONTROL!$C$42, 42.3911, 42.3911) * CHOOSE(CONTROL!$C$21, $C$9, 100%, $E$9)</f>
        <v>42.391100000000002</v>
      </c>
      <c r="N680" s="14">
        <f>CHOOSE(CONTROL!$C$42, 42.4067, 42.4067) * CHOOSE(CONTROL!$C$21, $C$9, 100%, $E$9)</f>
        <v>42.406700000000001</v>
      </c>
      <c r="O680" s="14">
        <f>CHOOSE(CONTROL!$C$42, 42.643, 42.643) * CHOOSE(CONTROL!$C$21, $C$9, 100%, $E$9)</f>
        <v>42.643000000000001</v>
      </c>
      <c r="P680" s="14">
        <f>CHOOSE(CONTROL!$C$42, 42.5512, 42.5512) * CHOOSE(CONTROL!$C$21, $C$9, 100%, $E$9)</f>
        <v>42.551200000000001</v>
      </c>
      <c r="Q680" s="14">
        <f>CHOOSE(CONTROL!$C$42, 43.2377, 43.2377) * CHOOSE(CONTROL!$C$21, $C$9, 100%, $E$9)</f>
        <v>43.237699999999997</v>
      </c>
      <c r="R680" s="14">
        <f>CHOOSE(CONTROL!$C$42, 43.9328, 43.9328) * CHOOSE(CONTROL!$C$21, $C$9, 100%, $E$9)</f>
        <v>43.9328</v>
      </c>
      <c r="S680" s="14">
        <f>CHOOSE(CONTROL!$C$42, 41.5916, 41.5916) * CHOOSE(CONTROL!$C$21, $C$9, 100%, $E$9)</f>
        <v>41.5916</v>
      </c>
      <c r="T68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80" s="57">
        <f>(1000*CHOOSE(CONTROL!$C$42, 695, 695)*CHOOSE(CONTROL!$C$42, 0.5599, 0.5599)*CHOOSE(CONTROL!$C$42, 31, 31))/1000000</f>
        <v>12.063045499999998</v>
      </c>
      <c r="V680" s="57">
        <f>(1000*CHOOSE(CONTROL!$C$42, 500, 500)*CHOOSE(CONTROL!$C$42, 0.275, 0.275)*CHOOSE(CONTROL!$C$42, 31, 31))/1000000</f>
        <v>4.2625000000000002</v>
      </c>
      <c r="W680" s="57">
        <f>(1000*CHOOSE(CONTROL!$C$42, 0.1146, 0.1146)*CHOOSE(CONTROL!$C$42, 121.5, 121.5)*CHOOSE(CONTROL!$C$42, 31, 31))/1000000</f>
        <v>0.43164089999999994</v>
      </c>
      <c r="X680" s="57">
        <f>(31*0.1790888*245000/1000000)+(31*0.2374*100000/1000000)</f>
        <v>2.0961194359999999</v>
      </c>
      <c r="Y680" s="57"/>
      <c r="Z680" s="14"/>
      <c r="AA680" s="56"/>
      <c r="AB680" s="50">
        <f>(B680*194.205+C680*267.466+D680*133.845+E680*53.484+F680*40+G680*185+H680*0+I680*100+J680*300)/(194.205+267.466+133.845+53.484+0+40+185+100+300)</f>
        <v>43.333512773626381</v>
      </c>
      <c r="AC680" s="45">
        <f>(M680*'RAP TEMPLATE-GAS AVAILABILITY'!O679+N680*'RAP TEMPLATE-GAS AVAILABILITY'!P679+O680*'RAP TEMPLATE-GAS AVAILABILITY'!Q679+P680*'RAP TEMPLATE-GAS AVAILABILITY'!R679)/('RAP TEMPLATE-GAS AVAILABILITY'!O679+'RAP TEMPLATE-GAS AVAILABILITY'!P679+'RAP TEMPLATE-GAS AVAILABILITY'!Q679+'RAP TEMPLATE-GAS AVAILABILITY'!R679)</f>
        <v>42.52920431654676</v>
      </c>
    </row>
    <row r="681" spans="1:29" ht="15.75" x14ac:dyDescent="0.25">
      <c r="A681" s="32">
        <v>61636</v>
      </c>
      <c r="B681" s="14">
        <f>CHOOSE(CONTROL!$C$42, 40.5468, 40.5468) * CHOOSE(CONTROL!$C$21, $C$9, 100%, $E$9)</f>
        <v>40.546799999999998</v>
      </c>
      <c r="C681" s="14">
        <f>CHOOSE(CONTROL!$C$42, 40.5548, 40.5548) * CHOOSE(CONTROL!$C$21, $C$9, 100%, $E$9)</f>
        <v>40.5548</v>
      </c>
      <c r="D681" s="14">
        <f>CHOOSE(CONTROL!$C$42, 40.7587, 40.7587) * CHOOSE(CONTROL!$C$21, $C$9, 100%, $E$9)</f>
        <v>40.758699999999997</v>
      </c>
      <c r="E681" s="14">
        <f>CHOOSE(CONTROL!$C$42, 40.7902, 40.7902) * CHOOSE(CONTROL!$C$21, $C$9, 100%, $E$9)</f>
        <v>40.790199999999999</v>
      </c>
      <c r="F681" s="14">
        <f>CHOOSE(CONTROL!$C$42, 40.5287, 40.5287)*CHOOSE(CONTROL!$C$21, $C$9, 100%, $E$9)</f>
        <v>40.528700000000001</v>
      </c>
      <c r="G681" s="14">
        <f>CHOOSE(CONTROL!$C$42, 40.5446, 40.5446)*CHOOSE(CONTROL!$C$21, $C$9, 100%, $E$9)</f>
        <v>40.544600000000003</v>
      </c>
      <c r="H681" s="14">
        <f>CHOOSE(CONTROL!$C$42, 40.7788, 40.7788) * CHOOSE(CONTROL!$C$21, $C$9, 100%, $E$9)</f>
        <v>40.778799999999997</v>
      </c>
      <c r="I681" s="14">
        <f>CHOOSE(CONTROL!$C$42, 40.6792, 40.6792)* CHOOSE(CONTROL!$C$21, $C$9, 100%, $E$9)</f>
        <v>40.679200000000002</v>
      </c>
      <c r="J681" s="14">
        <f>CHOOSE(CONTROL!$C$42, 40.5217, 40.5217)* CHOOSE(CONTROL!$C$21, $C$9, 100%, $E$9)</f>
        <v>40.521700000000003</v>
      </c>
      <c r="K681" s="53">
        <f>CHOOSE(CONTROL!$C$42, 40.6753, 40.6753) * CHOOSE(CONTROL!$C$21, $C$9, 100%, $E$9)</f>
        <v>40.6753</v>
      </c>
      <c r="L681" s="14">
        <f>CHOOSE(CONTROL!$C$42, 41.3658, 41.3658) * CHOOSE(CONTROL!$C$21, $C$9, 100%, $E$9)</f>
        <v>41.3658</v>
      </c>
      <c r="M681" s="14">
        <f>CHOOSE(CONTROL!$C$42, 39.6991, 39.6991) * CHOOSE(CONTROL!$C$21, $C$9, 100%, $E$9)</f>
        <v>39.699100000000001</v>
      </c>
      <c r="N681" s="14">
        <f>CHOOSE(CONTROL!$C$42, 39.7147, 39.7147) * CHOOSE(CONTROL!$C$21, $C$9, 100%, $E$9)</f>
        <v>39.714700000000001</v>
      </c>
      <c r="O681" s="14">
        <f>CHOOSE(CONTROL!$C$42, 39.951, 39.951) * CHOOSE(CONTROL!$C$21, $C$9, 100%, $E$9)</f>
        <v>39.951000000000001</v>
      </c>
      <c r="P681" s="14">
        <f>CHOOSE(CONTROL!$C$42, 39.8509, 39.8509) * CHOOSE(CONTROL!$C$21, $C$9, 100%, $E$9)</f>
        <v>39.850900000000003</v>
      </c>
      <c r="Q681" s="14">
        <f>CHOOSE(CONTROL!$C$42, 40.5457, 40.5457) * CHOOSE(CONTROL!$C$21, $C$9, 100%, $E$9)</f>
        <v>40.545699999999997</v>
      </c>
      <c r="R681" s="14">
        <f>CHOOSE(CONTROL!$C$42, 41.234, 41.234) * CHOOSE(CONTROL!$C$21, $C$9, 100%, $E$9)</f>
        <v>41.234000000000002</v>
      </c>
      <c r="S681" s="14">
        <f>CHOOSE(CONTROL!$C$42, 38.9507, 38.9507) * CHOOSE(CONTROL!$C$21, $C$9, 100%, $E$9)</f>
        <v>38.950699999999998</v>
      </c>
      <c r="T68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81" s="57">
        <f>(1000*CHOOSE(CONTROL!$C$42, 695, 695)*CHOOSE(CONTROL!$C$42, 0.5599, 0.5599)*CHOOSE(CONTROL!$C$42, 30, 30))/1000000</f>
        <v>11.673914999999997</v>
      </c>
      <c r="V681" s="57">
        <f>(1000*CHOOSE(CONTROL!$C$42, 500, 500)*CHOOSE(CONTROL!$C$42, 0.275, 0.275)*CHOOSE(CONTROL!$C$42, 30, 30))/1000000</f>
        <v>4.125</v>
      </c>
      <c r="W681" s="57">
        <f>(1000*CHOOSE(CONTROL!$C$42, 0.1146, 0.1146)*CHOOSE(CONTROL!$C$42, 121.5, 121.5)*CHOOSE(CONTROL!$C$42, 30, 30))/1000000</f>
        <v>0.417717</v>
      </c>
      <c r="X681" s="57">
        <f>(30*0.1790888*245000/1000000)+(30*0.2374*100000/1000000)</f>
        <v>2.0285026799999999</v>
      </c>
      <c r="Y681" s="57"/>
      <c r="Z681" s="14"/>
      <c r="AA681" s="56"/>
      <c r="AB681" s="50">
        <f>(B681*194.205+C681*267.466+D681*133.845+E681*53.484+F681*40+G681*185+H681*0+I681*100+J681*300)/(194.205+267.466+133.845+53.484+0+40+185+100+300)</f>
        <v>40.584553916091053</v>
      </c>
      <c r="AC681" s="45">
        <f>(M681*'RAP TEMPLATE-GAS AVAILABILITY'!O680+N681*'RAP TEMPLATE-GAS AVAILABILITY'!P680+O681*'RAP TEMPLATE-GAS AVAILABILITY'!Q680+P681*'RAP TEMPLATE-GAS AVAILABILITY'!R680)/('RAP TEMPLATE-GAS AVAILABILITY'!O680+'RAP TEMPLATE-GAS AVAILABILITY'!P680+'RAP TEMPLATE-GAS AVAILABILITY'!Q680+'RAP TEMPLATE-GAS AVAILABILITY'!R680)</f>
        <v>39.836010071942447</v>
      </c>
    </row>
    <row r="682" spans="1:29" ht="15.75" x14ac:dyDescent="0.25">
      <c r="A682" s="32">
        <v>61667</v>
      </c>
      <c r="B682" s="14">
        <f>CHOOSE(CONTROL!$C$42, 39.722, 39.722) * CHOOSE(CONTROL!$C$21, $C$9, 100%, $E$9)</f>
        <v>39.722000000000001</v>
      </c>
      <c r="C682" s="14">
        <f>CHOOSE(CONTROL!$C$42, 39.7273, 39.7273) * CHOOSE(CONTROL!$C$21, $C$9, 100%, $E$9)</f>
        <v>39.7273</v>
      </c>
      <c r="D682" s="14">
        <f>CHOOSE(CONTROL!$C$42, 39.9362, 39.9362) * CHOOSE(CONTROL!$C$21, $C$9, 100%, $E$9)</f>
        <v>39.936199999999999</v>
      </c>
      <c r="E682" s="14">
        <f>CHOOSE(CONTROL!$C$42, 39.9653, 39.9653) * CHOOSE(CONTROL!$C$21, $C$9, 100%, $E$9)</f>
        <v>39.965299999999999</v>
      </c>
      <c r="F682" s="14">
        <f>CHOOSE(CONTROL!$C$42, 39.706, 39.706)*CHOOSE(CONTROL!$C$21, $C$9, 100%, $E$9)</f>
        <v>39.706000000000003</v>
      </c>
      <c r="G682" s="14">
        <f>CHOOSE(CONTROL!$C$42, 39.7216, 39.7216)*CHOOSE(CONTROL!$C$21, $C$9, 100%, $E$9)</f>
        <v>39.721600000000002</v>
      </c>
      <c r="H682" s="14">
        <f>CHOOSE(CONTROL!$C$42, 39.9558, 39.9558) * CHOOSE(CONTROL!$C$21, $C$9, 100%, $E$9)</f>
        <v>39.955800000000004</v>
      </c>
      <c r="I682" s="14">
        <f>CHOOSE(CONTROL!$C$42, 39.8536, 39.8536)* CHOOSE(CONTROL!$C$21, $C$9, 100%, $E$9)</f>
        <v>39.8536</v>
      </c>
      <c r="J682" s="14">
        <f>CHOOSE(CONTROL!$C$42, 39.699, 39.699)* CHOOSE(CONTROL!$C$21, $C$9, 100%, $E$9)</f>
        <v>39.698999999999998</v>
      </c>
      <c r="K682" s="53">
        <f>CHOOSE(CONTROL!$C$42, 39.8497, 39.8497) * CHOOSE(CONTROL!$C$21, $C$9, 100%, $E$9)</f>
        <v>39.849699999999999</v>
      </c>
      <c r="L682" s="14">
        <f>CHOOSE(CONTROL!$C$42, 40.5428, 40.5428) * CHOOSE(CONTROL!$C$21, $C$9, 100%, $E$9)</f>
        <v>40.5428</v>
      </c>
      <c r="M682" s="14">
        <f>CHOOSE(CONTROL!$C$42, 38.8932, 38.8932) * CHOOSE(CONTROL!$C$21, $C$9, 100%, $E$9)</f>
        <v>38.8932</v>
      </c>
      <c r="N682" s="14">
        <f>CHOOSE(CONTROL!$C$42, 38.9086, 38.9086) * CHOOSE(CONTROL!$C$21, $C$9, 100%, $E$9)</f>
        <v>38.9086</v>
      </c>
      <c r="O682" s="14">
        <f>CHOOSE(CONTROL!$C$42, 39.1448, 39.1448) * CHOOSE(CONTROL!$C$21, $C$9, 100%, $E$9)</f>
        <v>39.144799999999996</v>
      </c>
      <c r="P682" s="14">
        <f>CHOOSE(CONTROL!$C$42, 39.0423, 39.0423) * CHOOSE(CONTROL!$C$21, $C$9, 100%, $E$9)</f>
        <v>39.042299999999997</v>
      </c>
      <c r="Q682" s="14">
        <f>CHOOSE(CONTROL!$C$42, 39.7395, 39.7395) * CHOOSE(CONTROL!$C$21, $C$9, 100%, $E$9)</f>
        <v>39.7395</v>
      </c>
      <c r="R682" s="14">
        <f>CHOOSE(CONTROL!$C$42, 40.4259, 40.4259) * CHOOSE(CONTROL!$C$21, $C$9, 100%, $E$9)</f>
        <v>40.425899999999999</v>
      </c>
      <c r="S682" s="14">
        <f>CHOOSE(CONTROL!$C$42, 38.1599, 38.1599) * CHOOSE(CONTROL!$C$21, $C$9, 100%, $E$9)</f>
        <v>38.1599</v>
      </c>
      <c r="T68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82" s="57">
        <f>(1000*CHOOSE(CONTROL!$C$42, 695, 695)*CHOOSE(CONTROL!$C$42, 0.5599, 0.5599)*CHOOSE(CONTROL!$C$42, 31, 31))/1000000</f>
        <v>12.063045499999998</v>
      </c>
      <c r="V682" s="57">
        <f>(1000*CHOOSE(CONTROL!$C$42, 500, 500)*CHOOSE(CONTROL!$C$42, 0.275, 0.275)*CHOOSE(CONTROL!$C$42, 31, 31))/1000000</f>
        <v>4.2625000000000002</v>
      </c>
      <c r="W682" s="57">
        <f>(1000*CHOOSE(CONTROL!$C$42, 0.1146, 0.1146)*CHOOSE(CONTROL!$C$42, 121.5, 121.5)*CHOOSE(CONTROL!$C$42, 31, 31))/1000000</f>
        <v>0.43164089999999994</v>
      </c>
      <c r="X682" s="57">
        <f>(31*0.1790888*245000/1000000)+(31*0.2374*100000/1000000)</f>
        <v>2.0961194359999999</v>
      </c>
      <c r="Y682" s="57"/>
      <c r="Z682" s="14"/>
      <c r="AA682" s="56"/>
      <c r="AB682" s="50">
        <f>(B682*131.881+C682*277.167+D682*79.08+E682*125.872+F682*40+G682*185+H682*0+I682*100+J682*300)/(131.881+277.167+79.08+125.872+0+40+185+100+300)</f>
        <v>39.766050507425348</v>
      </c>
      <c r="AC682" s="45">
        <f>(M682*'RAP TEMPLATE-GAS AVAILABILITY'!O681+N682*'RAP TEMPLATE-GAS AVAILABILITY'!P681+O682*'RAP TEMPLATE-GAS AVAILABILITY'!Q681+P682*'RAP TEMPLATE-GAS AVAILABILITY'!R681)/('RAP TEMPLATE-GAS AVAILABILITY'!O681+'RAP TEMPLATE-GAS AVAILABILITY'!P681+'RAP TEMPLATE-GAS AVAILABILITY'!Q681+'RAP TEMPLATE-GAS AVAILABILITY'!R681)</f>
        <v>39.029574100719422</v>
      </c>
    </row>
    <row r="683" spans="1:29" ht="15.75" x14ac:dyDescent="0.25">
      <c r="A683" s="32">
        <v>61697</v>
      </c>
      <c r="B683" s="14">
        <f>CHOOSE(CONTROL!$C$42, 40.7678, 40.7678) * CHOOSE(CONTROL!$C$21, $C$9, 100%, $E$9)</f>
        <v>40.767800000000001</v>
      </c>
      <c r="C683" s="14">
        <f>CHOOSE(CONTROL!$C$42, 40.7728, 40.7728) * CHOOSE(CONTROL!$C$21, $C$9, 100%, $E$9)</f>
        <v>40.772799999999997</v>
      </c>
      <c r="D683" s="14">
        <f>CHOOSE(CONTROL!$C$42, 40.8366, 40.8366) * CHOOSE(CONTROL!$C$21, $C$9, 100%, $E$9)</f>
        <v>40.836599999999997</v>
      </c>
      <c r="E683" s="14">
        <f>CHOOSE(CONTROL!$C$42, 40.8707, 40.8707) * CHOOSE(CONTROL!$C$21, $C$9, 100%, $E$9)</f>
        <v>40.870699999999999</v>
      </c>
      <c r="F683" s="14">
        <f>CHOOSE(CONTROL!$C$42, 40.7702, 40.7702)*CHOOSE(CONTROL!$C$21, $C$9, 100%, $E$9)</f>
        <v>40.770200000000003</v>
      </c>
      <c r="G683" s="14">
        <f>CHOOSE(CONTROL!$C$42, 40.7862, 40.7862)*CHOOSE(CONTROL!$C$21, $C$9, 100%, $E$9)</f>
        <v>40.786200000000001</v>
      </c>
      <c r="H683" s="14">
        <f>CHOOSE(CONTROL!$C$42, 40.8599, 40.8599) * CHOOSE(CONTROL!$C$21, $C$9, 100%, $E$9)</f>
        <v>40.859900000000003</v>
      </c>
      <c r="I683" s="14">
        <f>CHOOSE(CONTROL!$C$42, 40.9083, 40.9083)* CHOOSE(CONTROL!$C$21, $C$9, 100%, $E$9)</f>
        <v>40.908299999999997</v>
      </c>
      <c r="J683" s="14">
        <f>CHOOSE(CONTROL!$C$42, 40.7632, 40.7632)* CHOOSE(CONTROL!$C$21, $C$9, 100%, $E$9)</f>
        <v>40.763199999999998</v>
      </c>
      <c r="K683" s="53">
        <f>CHOOSE(CONTROL!$C$42, 40.9044, 40.9044) * CHOOSE(CONTROL!$C$21, $C$9, 100%, $E$9)</f>
        <v>40.904400000000003</v>
      </c>
      <c r="L683" s="14">
        <f>CHOOSE(CONTROL!$C$42, 41.4469, 41.4469) * CHOOSE(CONTROL!$C$21, $C$9, 100%, $E$9)</f>
        <v>41.446899999999999</v>
      </c>
      <c r="M683" s="14">
        <f>CHOOSE(CONTROL!$C$42, 39.9356, 39.9356) * CHOOSE(CONTROL!$C$21, $C$9, 100%, $E$9)</f>
        <v>39.935600000000001</v>
      </c>
      <c r="N683" s="14">
        <f>CHOOSE(CONTROL!$C$42, 39.9513, 39.9513) * CHOOSE(CONTROL!$C$21, $C$9, 100%, $E$9)</f>
        <v>39.951300000000003</v>
      </c>
      <c r="O683" s="14">
        <f>CHOOSE(CONTROL!$C$42, 40.0304, 40.0304) * CHOOSE(CONTROL!$C$21, $C$9, 100%, $E$9)</f>
        <v>40.0304</v>
      </c>
      <c r="P683" s="14">
        <f>CHOOSE(CONTROL!$C$42, 40.0753, 40.0753) * CHOOSE(CONTROL!$C$21, $C$9, 100%, $E$9)</f>
        <v>40.075299999999999</v>
      </c>
      <c r="Q683" s="14">
        <f>CHOOSE(CONTROL!$C$42, 40.6251, 40.6251) * CHOOSE(CONTROL!$C$21, $C$9, 100%, $E$9)</f>
        <v>40.625100000000003</v>
      </c>
      <c r="R683" s="14">
        <f>CHOOSE(CONTROL!$C$42, 41.3137, 41.3137) * CHOOSE(CONTROL!$C$21, $C$9, 100%, $E$9)</f>
        <v>41.313699999999997</v>
      </c>
      <c r="S683" s="14">
        <f>CHOOSE(CONTROL!$C$42, 39.1652, 39.1652) * CHOOSE(CONTROL!$C$21, $C$9, 100%, $E$9)</f>
        <v>39.165199999999999</v>
      </c>
      <c r="T68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83" s="57">
        <f>(1000*CHOOSE(CONTROL!$C$42, 695, 695)*CHOOSE(CONTROL!$C$42, 0.5599, 0.5599)*CHOOSE(CONTROL!$C$42, 30, 30))/1000000</f>
        <v>11.673914999999997</v>
      </c>
      <c r="V683" s="57">
        <f>(1000*CHOOSE(CONTROL!$C$42, 500, 500)*CHOOSE(CONTROL!$C$42, 0.275, 0.275)*CHOOSE(CONTROL!$C$42, 30, 30))/1000000</f>
        <v>4.125</v>
      </c>
      <c r="W683" s="57">
        <f>(1000*CHOOSE(CONTROL!$C$42, 0.1146, 0.1146)*CHOOSE(CONTROL!$C$42, 121.5, 121.5)*CHOOSE(CONTROL!$C$42, 30, 30))/1000000</f>
        <v>0.417717</v>
      </c>
      <c r="X683" s="57">
        <f>(30*0.1790888*100000/1000000)+(30*0.2374*100000/1000000)</f>
        <v>1.2494664</v>
      </c>
      <c r="Y683" s="57"/>
      <c r="Z683" s="14"/>
      <c r="AA683" s="56"/>
      <c r="AB683" s="50">
        <f>(B683*122.58+C683*297.941+D683*89.177+E683*40.302+F683*40+G683*160+H683*0+I683*100+J683*300)/(122.58+297.941+89.177+40.302+0+40+160+100+300)</f>
        <v>40.791697529043475</v>
      </c>
      <c r="AC683" s="45">
        <f>(M683*'RAP TEMPLATE-GAS AVAILABILITY'!O682+N683*'RAP TEMPLATE-GAS AVAILABILITY'!P682+O683*'RAP TEMPLATE-GAS AVAILABILITY'!Q682+P683*'RAP TEMPLATE-GAS AVAILABILITY'!R682)/('RAP TEMPLATE-GAS AVAILABILITY'!O682+'RAP TEMPLATE-GAS AVAILABILITY'!P682+'RAP TEMPLATE-GAS AVAILABILITY'!Q682+'RAP TEMPLATE-GAS AVAILABILITY'!R682)</f>
        <v>39.999571223021576</v>
      </c>
    </row>
    <row r="684" spans="1:29" ht="15.75" x14ac:dyDescent="0.25">
      <c r="A684" s="32">
        <v>61728</v>
      </c>
      <c r="B684" s="14">
        <f>CHOOSE(CONTROL!$C$42, 43.5466, 43.5466) * CHOOSE(CONTROL!$C$21, $C$9, 100%, $E$9)</f>
        <v>43.546599999999998</v>
      </c>
      <c r="C684" s="14">
        <f>CHOOSE(CONTROL!$C$42, 43.5517, 43.5517) * CHOOSE(CONTROL!$C$21, $C$9, 100%, $E$9)</f>
        <v>43.551699999999997</v>
      </c>
      <c r="D684" s="14">
        <f>CHOOSE(CONTROL!$C$42, 43.6155, 43.6155) * CHOOSE(CONTROL!$C$21, $C$9, 100%, $E$9)</f>
        <v>43.615499999999997</v>
      </c>
      <c r="E684" s="14">
        <f>CHOOSE(CONTROL!$C$42, 43.6496, 43.6496) * CHOOSE(CONTROL!$C$21, $C$9, 100%, $E$9)</f>
        <v>43.6496</v>
      </c>
      <c r="F684" s="14">
        <f>CHOOSE(CONTROL!$C$42, 43.5513, 43.5513)*CHOOSE(CONTROL!$C$21, $C$9, 100%, $E$9)</f>
        <v>43.551299999999998</v>
      </c>
      <c r="G684" s="14">
        <f>CHOOSE(CONTROL!$C$42, 43.5679, 43.5679)*CHOOSE(CONTROL!$C$21, $C$9, 100%, $E$9)</f>
        <v>43.567900000000002</v>
      </c>
      <c r="H684" s="14">
        <f>CHOOSE(CONTROL!$C$42, 43.6388, 43.6388) * CHOOSE(CONTROL!$C$21, $C$9, 100%, $E$9)</f>
        <v>43.638800000000003</v>
      </c>
      <c r="I684" s="14">
        <f>CHOOSE(CONTROL!$C$42, 43.6959, 43.6959)* CHOOSE(CONTROL!$C$21, $C$9, 100%, $E$9)</f>
        <v>43.695900000000002</v>
      </c>
      <c r="J684" s="14">
        <f>CHOOSE(CONTROL!$C$42, 43.5443, 43.5443)* CHOOSE(CONTROL!$C$21, $C$9, 100%, $E$9)</f>
        <v>43.5443</v>
      </c>
      <c r="K684" s="53">
        <f>CHOOSE(CONTROL!$C$42, 43.692, 43.692) * CHOOSE(CONTROL!$C$21, $C$9, 100%, $E$9)</f>
        <v>43.692</v>
      </c>
      <c r="L684" s="14">
        <f>CHOOSE(CONTROL!$C$42, 44.2258, 44.2258) * CHOOSE(CONTROL!$C$21, $C$9, 100%, $E$9)</f>
        <v>44.2258</v>
      </c>
      <c r="M684" s="14">
        <f>CHOOSE(CONTROL!$C$42, 42.6598, 42.6598) * CHOOSE(CONTROL!$C$21, $C$9, 100%, $E$9)</f>
        <v>42.659799999999997</v>
      </c>
      <c r="N684" s="14">
        <f>CHOOSE(CONTROL!$C$42, 42.676, 42.676) * CHOOSE(CONTROL!$C$21, $C$9, 100%, $E$9)</f>
        <v>42.676000000000002</v>
      </c>
      <c r="O684" s="14">
        <f>CHOOSE(CONTROL!$C$42, 42.7524, 42.7524) * CHOOSE(CONTROL!$C$21, $C$9, 100%, $E$9)</f>
        <v>42.752400000000002</v>
      </c>
      <c r="P684" s="14">
        <f>CHOOSE(CONTROL!$C$42, 42.8056, 42.8056) * CHOOSE(CONTROL!$C$21, $C$9, 100%, $E$9)</f>
        <v>42.805599999999998</v>
      </c>
      <c r="Q684" s="14">
        <f>CHOOSE(CONTROL!$C$42, 43.3471, 43.3471) * CHOOSE(CONTROL!$C$21, $C$9, 100%, $E$9)</f>
        <v>43.347099999999998</v>
      </c>
      <c r="R684" s="14">
        <f>CHOOSE(CONTROL!$C$42, 44.0424, 44.0424) * CHOOSE(CONTROL!$C$21, $C$9, 100%, $E$9)</f>
        <v>44.042400000000001</v>
      </c>
      <c r="S684" s="14">
        <f>CHOOSE(CONTROL!$C$42, 41.8354, 41.8354) * CHOOSE(CONTROL!$C$21, $C$9, 100%, $E$9)</f>
        <v>41.8354</v>
      </c>
      <c r="T68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84" s="57">
        <f>(1000*CHOOSE(CONTROL!$C$42, 695, 695)*CHOOSE(CONTROL!$C$42, 0.5599, 0.5599)*CHOOSE(CONTROL!$C$42, 31, 31))/1000000</f>
        <v>12.063045499999998</v>
      </c>
      <c r="V684" s="57">
        <f>(1000*CHOOSE(CONTROL!$C$42, 500, 500)*CHOOSE(CONTROL!$C$42, 0.275, 0.275)*CHOOSE(CONTROL!$C$42, 31, 31))/1000000</f>
        <v>4.2625000000000002</v>
      </c>
      <c r="W684" s="57">
        <f>(1000*CHOOSE(CONTROL!$C$42, 0.1146, 0.1146)*CHOOSE(CONTROL!$C$42, 121.5, 121.5)*CHOOSE(CONTROL!$C$42, 31, 31))/1000000</f>
        <v>0.43164089999999994</v>
      </c>
      <c r="X684" s="57">
        <f>(31*0.1790888*100000/1000000)+(31*0.2374*100000/1000000)</f>
        <v>1.2911152800000001</v>
      </c>
      <c r="Y684" s="57"/>
      <c r="Z684" s="14"/>
      <c r="AA684" s="56"/>
      <c r="AB684" s="50">
        <f>(B684*122.58+C684*297.941+D684*89.177+E684*40.302+F684*40+G684*160+H684*0+I684*100+J684*300)/(122.58+297.941+89.177+40.302+0+40+160+100+300)</f>
        <v>43.572383391652174</v>
      </c>
      <c r="AC684" s="45">
        <f>(M684*'RAP TEMPLATE-GAS AVAILABILITY'!O683+N684*'RAP TEMPLATE-GAS AVAILABILITY'!P683+O684*'RAP TEMPLATE-GAS AVAILABILITY'!Q683+P684*'RAP TEMPLATE-GAS AVAILABILITY'!R683)/('RAP TEMPLATE-GAS AVAILABILITY'!O683+'RAP TEMPLATE-GAS AVAILABILITY'!P683+'RAP TEMPLATE-GAS AVAILABILITY'!Q683+'RAP TEMPLATE-GAS AVAILABILITY'!R683)</f>
        <v>42.723680575539568</v>
      </c>
    </row>
    <row r="685" spans="1:29" ht="15.75" x14ac:dyDescent="0.25">
      <c r="A685" s="32">
        <v>61759</v>
      </c>
      <c r="B685" s="14">
        <f>CHOOSE(CONTROL!$C$42, 47.1129, 47.1129) * CHOOSE(CONTROL!$C$21, $C$9, 100%, $E$9)</f>
        <v>47.112900000000003</v>
      </c>
      <c r="C685" s="14">
        <f>CHOOSE(CONTROL!$C$42, 47.118, 47.118) * CHOOSE(CONTROL!$C$21, $C$9, 100%, $E$9)</f>
        <v>47.118000000000002</v>
      </c>
      <c r="D685" s="14">
        <f>CHOOSE(CONTROL!$C$42, 47.1844, 47.1844) * CHOOSE(CONTROL!$C$21, $C$9, 100%, $E$9)</f>
        <v>47.184399999999997</v>
      </c>
      <c r="E685" s="14">
        <f>CHOOSE(CONTROL!$C$42, 47.2185, 47.2185) * CHOOSE(CONTROL!$C$21, $C$9, 100%, $E$9)</f>
        <v>47.218499999999999</v>
      </c>
      <c r="F685" s="14">
        <f>CHOOSE(CONTROL!$C$42, 47.1002, 47.1002)*CHOOSE(CONTROL!$C$21, $C$9, 100%, $E$9)</f>
        <v>47.100200000000001</v>
      </c>
      <c r="G685" s="14">
        <f>CHOOSE(CONTROL!$C$42, 47.1157, 47.1157)*CHOOSE(CONTROL!$C$21, $C$9, 100%, $E$9)</f>
        <v>47.115699999999997</v>
      </c>
      <c r="H685" s="14">
        <f>CHOOSE(CONTROL!$C$42, 47.2077, 47.2077) * CHOOSE(CONTROL!$C$21, $C$9, 100%, $E$9)</f>
        <v>47.207700000000003</v>
      </c>
      <c r="I685" s="14">
        <f>CHOOSE(CONTROL!$C$42, 47.2681, 47.2681)* CHOOSE(CONTROL!$C$21, $C$9, 100%, $E$9)</f>
        <v>47.268099999999997</v>
      </c>
      <c r="J685" s="14">
        <f>CHOOSE(CONTROL!$C$42, 47.0932, 47.0932)* CHOOSE(CONTROL!$C$21, $C$9, 100%, $E$9)</f>
        <v>47.093200000000003</v>
      </c>
      <c r="K685" s="53">
        <f>CHOOSE(CONTROL!$C$42, 47.2642, 47.2642) * CHOOSE(CONTROL!$C$21, $C$9, 100%, $E$9)</f>
        <v>47.264200000000002</v>
      </c>
      <c r="L685" s="14">
        <f>CHOOSE(CONTROL!$C$42, 47.7947, 47.7947) * CHOOSE(CONTROL!$C$21, $C$9, 100%, $E$9)</f>
        <v>47.794699999999999</v>
      </c>
      <c r="M685" s="14">
        <f>CHOOSE(CONTROL!$C$42, 46.136, 46.136) * CHOOSE(CONTROL!$C$21, $C$9, 100%, $E$9)</f>
        <v>46.136000000000003</v>
      </c>
      <c r="N685" s="14">
        <f>CHOOSE(CONTROL!$C$42, 46.1512, 46.1512) * CHOOSE(CONTROL!$C$21, $C$9, 100%, $E$9)</f>
        <v>46.151200000000003</v>
      </c>
      <c r="O685" s="14">
        <f>CHOOSE(CONTROL!$C$42, 46.2481, 46.2481) * CHOOSE(CONTROL!$C$21, $C$9, 100%, $E$9)</f>
        <v>46.248100000000001</v>
      </c>
      <c r="P685" s="14">
        <f>CHOOSE(CONTROL!$C$42, 46.3044, 46.3044) * CHOOSE(CONTROL!$C$21, $C$9, 100%, $E$9)</f>
        <v>46.304400000000001</v>
      </c>
      <c r="Q685" s="14">
        <f>CHOOSE(CONTROL!$C$42, 46.8428, 46.8428) * CHOOSE(CONTROL!$C$21, $C$9, 100%, $E$9)</f>
        <v>46.842799999999997</v>
      </c>
      <c r="R685" s="14">
        <f>CHOOSE(CONTROL!$C$42, 47.5469, 47.5469) * CHOOSE(CONTROL!$C$21, $C$9, 100%, $E$9)</f>
        <v>47.546900000000001</v>
      </c>
      <c r="S685" s="14">
        <f>CHOOSE(CONTROL!$C$42, 45.2623, 45.2623) * CHOOSE(CONTROL!$C$21, $C$9, 100%, $E$9)</f>
        <v>45.262300000000003</v>
      </c>
      <c r="T68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85" s="57">
        <f>(1000*CHOOSE(CONTROL!$C$42, 695, 695)*CHOOSE(CONTROL!$C$42, 0.5599, 0.5599)*CHOOSE(CONTROL!$C$42, 31, 31))/1000000</f>
        <v>12.063045499999998</v>
      </c>
      <c r="V685" s="57">
        <f>(1000*CHOOSE(CONTROL!$C$42, 500, 500)*CHOOSE(CONTROL!$C$42, 0.275, 0.275)*CHOOSE(CONTROL!$C$42, 31, 31))/1000000</f>
        <v>4.2625000000000002</v>
      </c>
      <c r="W685" s="57">
        <f>(1000*CHOOSE(CONTROL!$C$42, 0.1146, 0.1146)*CHOOSE(CONTROL!$C$42, 121.5, 121.5)*CHOOSE(CONTROL!$C$42, 31, 31))/1000000</f>
        <v>0.43164089999999994</v>
      </c>
      <c r="X685" s="57">
        <f>(31*0.1790888*100000/1000000)+(31*0.2374*100000/1000000)</f>
        <v>1.2911152800000001</v>
      </c>
      <c r="Y685" s="57"/>
      <c r="Z685" s="14"/>
      <c r="AA685" s="56"/>
      <c r="AB685" s="50">
        <f>(B685*122.58+C685*297.941+D685*89.177+E685*40.302+F685*40+G685*160+H685*0+I685*100+J685*300)/(122.58+297.941+89.177+40.302+0+40+160+100+300)</f>
        <v>47.1317709093913</v>
      </c>
      <c r="AC685" s="45">
        <f>(M685*'RAP TEMPLATE-GAS AVAILABILITY'!O684+N685*'RAP TEMPLATE-GAS AVAILABILITY'!P684+O685*'RAP TEMPLATE-GAS AVAILABILITY'!Q684+P685*'RAP TEMPLATE-GAS AVAILABILITY'!R684)/('RAP TEMPLATE-GAS AVAILABILITY'!O684+'RAP TEMPLATE-GAS AVAILABILITY'!P684+'RAP TEMPLATE-GAS AVAILABILITY'!Q684+'RAP TEMPLATE-GAS AVAILABILITY'!R684)</f>
        <v>46.211912949640293</v>
      </c>
    </row>
    <row r="686" spans="1:29" ht="15.75" x14ac:dyDescent="0.25">
      <c r="A686" s="32">
        <v>61787</v>
      </c>
      <c r="B686" s="14">
        <f>CHOOSE(CONTROL!$C$42, 47.9514, 47.9514) * CHOOSE(CONTROL!$C$21, $C$9, 100%, $E$9)</f>
        <v>47.9514</v>
      </c>
      <c r="C686" s="14">
        <f>CHOOSE(CONTROL!$C$42, 47.9565, 47.9565) * CHOOSE(CONTROL!$C$21, $C$9, 100%, $E$9)</f>
        <v>47.956499999999998</v>
      </c>
      <c r="D686" s="14">
        <f>CHOOSE(CONTROL!$C$42, 48.0229, 48.0229) * CHOOSE(CONTROL!$C$21, $C$9, 100%, $E$9)</f>
        <v>48.0229</v>
      </c>
      <c r="E686" s="14">
        <f>CHOOSE(CONTROL!$C$42, 48.057, 48.057) * CHOOSE(CONTROL!$C$21, $C$9, 100%, $E$9)</f>
        <v>48.057000000000002</v>
      </c>
      <c r="F686" s="14">
        <f>CHOOSE(CONTROL!$C$42, 47.9388, 47.9388)*CHOOSE(CONTROL!$C$21, $C$9, 100%, $E$9)</f>
        <v>47.938800000000001</v>
      </c>
      <c r="G686" s="14">
        <f>CHOOSE(CONTROL!$C$42, 47.9543, 47.9543)*CHOOSE(CONTROL!$C$21, $C$9, 100%, $E$9)</f>
        <v>47.954300000000003</v>
      </c>
      <c r="H686" s="14">
        <f>CHOOSE(CONTROL!$C$42, 48.0462, 48.0462) * CHOOSE(CONTROL!$C$21, $C$9, 100%, $E$9)</f>
        <v>48.046199999999999</v>
      </c>
      <c r="I686" s="14">
        <f>CHOOSE(CONTROL!$C$42, 48.1092, 48.1092)* CHOOSE(CONTROL!$C$21, $C$9, 100%, $E$9)</f>
        <v>48.109200000000001</v>
      </c>
      <c r="J686" s="14">
        <f>CHOOSE(CONTROL!$C$42, 47.9318, 47.9318)* CHOOSE(CONTROL!$C$21, $C$9, 100%, $E$9)</f>
        <v>47.931800000000003</v>
      </c>
      <c r="K686" s="53">
        <f>CHOOSE(CONTROL!$C$42, 48.1053, 48.1053) * CHOOSE(CONTROL!$C$21, $C$9, 100%, $E$9)</f>
        <v>48.1053</v>
      </c>
      <c r="L686" s="14">
        <f>CHOOSE(CONTROL!$C$42, 48.6332, 48.6332) * CHOOSE(CONTROL!$C$21, $C$9, 100%, $E$9)</f>
        <v>48.633200000000002</v>
      </c>
      <c r="M686" s="14">
        <f>CHOOSE(CONTROL!$C$42, 46.9574, 46.9574) * CHOOSE(CONTROL!$C$21, $C$9, 100%, $E$9)</f>
        <v>46.9574</v>
      </c>
      <c r="N686" s="14">
        <f>CHOOSE(CONTROL!$C$42, 46.9726, 46.9726) * CHOOSE(CONTROL!$C$21, $C$9, 100%, $E$9)</f>
        <v>46.9726</v>
      </c>
      <c r="O686" s="14">
        <f>CHOOSE(CONTROL!$C$42, 47.0695, 47.0695) * CHOOSE(CONTROL!$C$21, $C$9, 100%, $E$9)</f>
        <v>47.069499999999998</v>
      </c>
      <c r="P686" s="14">
        <f>CHOOSE(CONTROL!$C$42, 47.1282, 47.1282) * CHOOSE(CONTROL!$C$21, $C$9, 100%, $E$9)</f>
        <v>47.1282</v>
      </c>
      <c r="Q686" s="14">
        <f>CHOOSE(CONTROL!$C$42, 47.6642, 47.6642) * CHOOSE(CONTROL!$C$21, $C$9, 100%, $E$9)</f>
        <v>47.664200000000001</v>
      </c>
      <c r="R686" s="14">
        <f>CHOOSE(CONTROL!$C$42, 48.3703, 48.3703) * CHOOSE(CONTROL!$C$21, $C$9, 100%, $E$9)</f>
        <v>48.3703</v>
      </c>
      <c r="S686" s="14">
        <f>CHOOSE(CONTROL!$C$42, 46.068, 46.068) * CHOOSE(CONTROL!$C$21, $C$9, 100%, $E$9)</f>
        <v>46.067999999999998</v>
      </c>
      <c r="T68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86" s="57">
        <f>(1000*CHOOSE(CONTROL!$C$42, 695, 695)*CHOOSE(CONTROL!$C$42, 0.5599, 0.5599)*CHOOSE(CONTROL!$C$42, 28, 28))/1000000</f>
        <v>10.895653999999999</v>
      </c>
      <c r="V686" s="57">
        <f>(1000*CHOOSE(CONTROL!$C$42, 500, 500)*CHOOSE(CONTROL!$C$42, 0.275, 0.275)*CHOOSE(CONTROL!$C$42, 28, 28))/1000000</f>
        <v>3.85</v>
      </c>
      <c r="W686" s="57">
        <f>(1000*CHOOSE(CONTROL!$C$42, 0.1146, 0.1146)*CHOOSE(CONTROL!$C$42, 121.5, 121.5)*CHOOSE(CONTROL!$C$42, 28, 28))/1000000</f>
        <v>0.38986920000000003</v>
      </c>
      <c r="X686" s="57">
        <f>(28*0.1790888*100000/1000000)+(28*0.2374*100000/1000000)</f>
        <v>1.16616864</v>
      </c>
      <c r="Y686" s="57"/>
      <c r="Z686" s="14"/>
      <c r="AA686" s="56"/>
      <c r="AB686" s="50">
        <f>(B686*122.58+C686*297.941+D686*89.177+E686*40.302+F686*40+G686*160+H686*0+I686*100+J686*300)/(122.58+297.941+89.177+40.302+0+40+160+100+300)</f>
        <v>47.97054047460869</v>
      </c>
      <c r="AC686" s="45">
        <f>(M686*'RAP TEMPLATE-GAS AVAILABILITY'!O685+N686*'RAP TEMPLATE-GAS AVAILABILITY'!P685+O686*'RAP TEMPLATE-GAS AVAILABILITY'!Q685+P686*'RAP TEMPLATE-GAS AVAILABILITY'!R685)/('RAP TEMPLATE-GAS AVAILABILITY'!O685+'RAP TEMPLATE-GAS AVAILABILITY'!P685+'RAP TEMPLATE-GAS AVAILABILITY'!Q685+'RAP TEMPLATE-GAS AVAILABILITY'!R685)</f>
        <v>47.033658273381299</v>
      </c>
    </row>
    <row r="687" spans="1:29" ht="15.75" x14ac:dyDescent="0.25">
      <c r="A687" s="32">
        <v>61818</v>
      </c>
      <c r="B687" s="14">
        <f>CHOOSE(CONTROL!$C$42, 46.5903, 46.5903) * CHOOSE(CONTROL!$C$21, $C$9, 100%, $E$9)</f>
        <v>46.590299999999999</v>
      </c>
      <c r="C687" s="14">
        <f>CHOOSE(CONTROL!$C$42, 46.5954, 46.5954) * CHOOSE(CONTROL!$C$21, $C$9, 100%, $E$9)</f>
        <v>46.595399999999998</v>
      </c>
      <c r="D687" s="14">
        <f>CHOOSE(CONTROL!$C$42, 46.6618, 46.6618) * CHOOSE(CONTROL!$C$21, $C$9, 100%, $E$9)</f>
        <v>46.661799999999999</v>
      </c>
      <c r="E687" s="14">
        <f>CHOOSE(CONTROL!$C$42, 46.6959, 46.6959) * CHOOSE(CONTROL!$C$21, $C$9, 100%, $E$9)</f>
        <v>46.695900000000002</v>
      </c>
      <c r="F687" s="14">
        <f>CHOOSE(CONTROL!$C$42, 46.5773, 46.5773)*CHOOSE(CONTROL!$C$21, $C$9, 100%, $E$9)</f>
        <v>46.577300000000001</v>
      </c>
      <c r="G687" s="14">
        <f>CHOOSE(CONTROL!$C$42, 46.5927, 46.5927)*CHOOSE(CONTROL!$C$21, $C$9, 100%, $E$9)</f>
        <v>46.592700000000001</v>
      </c>
      <c r="H687" s="14">
        <f>CHOOSE(CONTROL!$C$42, 46.6851, 46.6851) * CHOOSE(CONTROL!$C$21, $C$9, 100%, $E$9)</f>
        <v>46.685099999999998</v>
      </c>
      <c r="I687" s="14">
        <f>CHOOSE(CONTROL!$C$42, 46.7439, 46.7439)* CHOOSE(CONTROL!$C$21, $C$9, 100%, $E$9)</f>
        <v>46.743899999999996</v>
      </c>
      <c r="J687" s="14">
        <f>CHOOSE(CONTROL!$C$42, 46.5703, 46.5703)* CHOOSE(CONTROL!$C$21, $C$9, 100%, $E$9)</f>
        <v>46.570300000000003</v>
      </c>
      <c r="K687" s="53">
        <f>CHOOSE(CONTROL!$C$42, 46.74, 46.74) * CHOOSE(CONTROL!$C$21, $C$9, 100%, $E$9)</f>
        <v>46.74</v>
      </c>
      <c r="L687" s="14">
        <f>CHOOSE(CONTROL!$C$42, 47.2721, 47.2721) * CHOOSE(CONTROL!$C$21, $C$9, 100%, $E$9)</f>
        <v>47.272100000000002</v>
      </c>
      <c r="M687" s="14">
        <f>CHOOSE(CONTROL!$C$42, 45.6238, 45.6238) * CHOOSE(CONTROL!$C$21, $C$9, 100%, $E$9)</f>
        <v>45.623800000000003</v>
      </c>
      <c r="N687" s="14">
        <f>CHOOSE(CONTROL!$C$42, 45.6389, 45.6389) * CHOOSE(CONTROL!$C$21, $C$9, 100%, $E$9)</f>
        <v>45.6389</v>
      </c>
      <c r="O687" s="14">
        <f>CHOOSE(CONTROL!$C$42, 45.7363, 45.7363) * CHOOSE(CONTROL!$C$21, $C$9, 100%, $E$9)</f>
        <v>45.7363</v>
      </c>
      <c r="P687" s="14">
        <f>CHOOSE(CONTROL!$C$42, 45.7909, 45.7909) * CHOOSE(CONTROL!$C$21, $C$9, 100%, $E$9)</f>
        <v>45.790900000000001</v>
      </c>
      <c r="Q687" s="14">
        <f>CHOOSE(CONTROL!$C$42, 46.331, 46.331) * CHOOSE(CONTROL!$C$21, $C$9, 100%, $E$9)</f>
        <v>46.331000000000003</v>
      </c>
      <c r="R687" s="14">
        <f>CHOOSE(CONTROL!$C$42, 47.0338, 47.0338) * CHOOSE(CONTROL!$C$21, $C$9, 100%, $E$9)</f>
        <v>47.033799999999999</v>
      </c>
      <c r="S687" s="14">
        <f>CHOOSE(CONTROL!$C$42, 44.7601, 44.7601) * CHOOSE(CONTROL!$C$21, $C$9, 100%, $E$9)</f>
        <v>44.760100000000001</v>
      </c>
      <c r="T68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87" s="57">
        <f>(1000*CHOOSE(CONTROL!$C$42, 695, 695)*CHOOSE(CONTROL!$C$42, 0.5599, 0.5599)*CHOOSE(CONTROL!$C$42, 31, 31))/1000000</f>
        <v>12.063045499999998</v>
      </c>
      <c r="V687" s="57">
        <f>(1000*CHOOSE(CONTROL!$C$42, 500, 500)*CHOOSE(CONTROL!$C$42, 0.275, 0.275)*CHOOSE(CONTROL!$C$42, 31, 31))/1000000</f>
        <v>4.2625000000000002</v>
      </c>
      <c r="W687" s="57">
        <f>(1000*CHOOSE(CONTROL!$C$42, 0.1146, 0.1146)*CHOOSE(CONTROL!$C$42, 121.5, 121.5)*CHOOSE(CONTROL!$C$42, 31, 31))/1000000</f>
        <v>0.43164089999999994</v>
      </c>
      <c r="X687" s="57">
        <f>(31*0.1790888*100000/1000000)+(31*0.2374*100000/1000000)</f>
        <v>1.2911152800000001</v>
      </c>
      <c r="Y687" s="57"/>
      <c r="Z687" s="14"/>
      <c r="AA687" s="56"/>
      <c r="AB687" s="50">
        <f>(B687*122.58+C687*297.941+D687*89.177+E687*40.302+F687*40+G687*160+H687*0+I687*100+J687*300)/(122.58+297.941+89.177+40.302+0+40+160+100+300)</f>
        <v>46.608887431130434</v>
      </c>
      <c r="AC687" s="45">
        <f>(M687*'RAP TEMPLATE-GAS AVAILABILITY'!O686+N687*'RAP TEMPLATE-GAS AVAILABILITY'!P686+O687*'RAP TEMPLATE-GAS AVAILABILITY'!Q686+P687*'RAP TEMPLATE-GAS AVAILABILITY'!R686)/('RAP TEMPLATE-GAS AVAILABILITY'!O686+'RAP TEMPLATE-GAS AVAILABILITY'!P686+'RAP TEMPLATE-GAS AVAILABILITY'!Q686+'RAP TEMPLATE-GAS AVAILABILITY'!R686)</f>
        <v>45.699701438848919</v>
      </c>
    </row>
    <row r="688" spans="1:29" ht="15.75" x14ac:dyDescent="0.25">
      <c r="A688" s="32">
        <v>61848</v>
      </c>
      <c r="B688" s="14">
        <f>CHOOSE(CONTROL!$C$42, 46.452, 46.452) * CHOOSE(CONTROL!$C$21, $C$9, 100%, $E$9)</f>
        <v>46.451999999999998</v>
      </c>
      <c r="C688" s="14">
        <f>CHOOSE(CONTROL!$C$42, 46.4565, 46.4565) * CHOOSE(CONTROL!$C$21, $C$9, 100%, $E$9)</f>
        <v>46.456499999999998</v>
      </c>
      <c r="D688" s="14">
        <f>CHOOSE(CONTROL!$C$42, 46.6636, 46.6636) * CHOOSE(CONTROL!$C$21, $C$9, 100%, $E$9)</f>
        <v>46.663600000000002</v>
      </c>
      <c r="E688" s="14">
        <f>CHOOSE(CONTROL!$C$42, 46.6957, 46.6957) * CHOOSE(CONTROL!$C$21, $C$9, 100%, $E$9)</f>
        <v>46.695700000000002</v>
      </c>
      <c r="F688" s="14">
        <f>CHOOSE(CONTROL!$C$42, 46.4339, 46.4339)*CHOOSE(CONTROL!$C$21, $C$9, 100%, $E$9)</f>
        <v>46.433900000000001</v>
      </c>
      <c r="G688" s="14">
        <f>CHOOSE(CONTROL!$C$42, 46.4491, 46.4491)*CHOOSE(CONTROL!$C$21, $C$9, 100%, $E$9)</f>
        <v>46.449100000000001</v>
      </c>
      <c r="H688" s="14">
        <f>CHOOSE(CONTROL!$C$42, 46.6855, 46.6855) * CHOOSE(CONTROL!$C$21, $C$9, 100%, $E$9)</f>
        <v>46.685499999999998</v>
      </c>
      <c r="I688" s="14">
        <f>CHOOSE(CONTROL!$C$42, 46.6043, 46.6043)* CHOOSE(CONTROL!$C$21, $C$9, 100%, $E$9)</f>
        <v>46.604300000000002</v>
      </c>
      <c r="J688" s="14">
        <f>CHOOSE(CONTROL!$C$42, 46.4269, 46.4269)* CHOOSE(CONTROL!$C$21, $C$9, 100%, $E$9)</f>
        <v>46.426900000000003</v>
      </c>
      <c r="K688" s="53">
        <f>CHOOSE(CONTROL!$C$42, 46.6005, 46.6005) * CHOOSE(CONTROL!$C$21, $C$9, 100%, $E$9)</f>
        <v>46.600499999999997</v>
      </c>
      <c r="L688" s="14">
        <f>CHOOSE(CONTROL!$C$42, 47.2725, 47.2725) * CHOOSE(CONTROL!$C$21, $C$9, 100%, $E$9)</f>
        <v>47.272500000000001</v>
      </c>
      <c r="M688" s="14">
        <f>CHOOSE(CONTROL!$C$42, 45.4833, 45.4833) * CHOOSE(CONTROL!$C$21, $C$9, 100%, $E$9)</f>
        <v>45.4833</v>
      </c>
      <c r="N688" s="14">
        <f>CHOOSE(CONTROL!$C$42, 45.4982, 45.4982) * CHOOSE(CONTROL!$C$21, $C$9, 100%, $E$9)</f>
        <v>45.498199999999997</v>
      </c>
      <c r="O688" s="14">
        <f>CHOOSE(CONTROL!$C$42, 45.7366, 45.7366) * CHOOSE(CONTROL!$C$21, $C$9, 100%, $E$9)</f>
        <v>45.736600000000003</v>
      </c>
      <c r="P688" s="14">
        <f>CHOOSE(CONTROL!$C$42, 45.6543, 45.6543) * CHOOSE(CONTROL!$C$21, $C$9, 100%, $E$9)</f>
        <v>45.654299999999999</v>
      </c>
      <c r="Q688" s="14">
        <f>CHOOSE(CONTROL!$C$42, 46.3313, 46.3313) * CHOOSE(CONTROL!$C$21, $C$9, 100%, $E$9)</f>
        <v>46.331299999999999</v>
      </c>
      <c r="R688" s="14">
        <f>CHOOSE(CONTROL!$C$42, 47.0341, 47.0341) * CHOOSE(CONTROL!$C$21, $C$9, 100%, $E$9)</f>
        <v>47.034100000000002</v>
      </c>
      <c r="S688" s="14">
        <f>CHOOSE(CONTROL!$C$42, 44.6265, 44.6265) * CHOOSE(CONTROL!$C$21, $C$9, 100%, $E$9)</f>
        <v>44.6265</v>
      </c>
      <c r="T68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88" s="57">
        <f>(1000*CHOOSE(CONTROL!$C$42, 695, 695)*CHOOSE(CONTROL!$C$42, 0.5599, 0.5599)*CHOOSE(CONTROL!$C$42, 30, 30))/1000000</f>
        <v>11.673914999999997</v>
      </c>
      <c r="V688" s="57">
        <f>(1000*CHOOSE(CONTROL!$C$42, 500, 500)*CHOOSE(CONTROL!$C$42, 0.275, 0.275)*CHOOSE(CONTROL!$C$42, 30, 30))/1000000</f>
        <v>4.125</v>
      </c>
      <c r="W688" s="57">
        <f>(1000*CHOOSE(CONTROL!$C$42, 0.1146, 0.1146)*CHOOSE(CONTROL!$C$42, 121.5, 121.5)*CHOOSE(CONTROL!$C$42, 30, 30))/1000000</f>
        <v>0.417717</v>
      </c>
      <c r="X688" s="57">
        <f>(30*0.1790888*245000/1000000)+(30*0.2374*100000/1000000)</f>
        <v>2.0285026799999999</v>
      </c>
      <c r="Y688" s="57"/>
      <c r="Z688" s="14"/>
      <c r="AA688" s="56"/>
      <c r="AB688" s="50">
        <f>(B688*141.293+C688*267.993+D688*115.016+E688*89.698+F688*40+G688*185+H688*0+I688*100+J688*300)/(141.293+267.993+115.016+89.698+0+40+185+100+300)</f>
        <v>46.495456220096855</v>
      </c>
      <c r="AC688" s="45">
        <f>(M688*'RAP TEMPLATE-GAS AVAILABILITY'!O687+N688*'RAP TEMPLATE-GAS AVAILABILITY'!P687+O688*'RAP TEMPLATE-GAS AVAILABILITY'!Q687+P688*'RAP TEMPLATE-GAS AVAILABILITY'!R687)/('RAP TEMPLATE-GAS AVAILABILITY'!O687+'RAP TEMPLATE-GAS AVAILABILITY'!P687+'RAP TEMPLATE-GAS AVAILABILITY'!Q687+'RAP TEMPLATE-GAS AVAILABILITY'!R687)</f>
        <v>45.623566906474821</v>
      </c>
    </row>
    <row r="689" spans="1:29" ht="15.75" x14ac:dyDescent="0.25">
      <c r="A689" s="32">
        <v>61879</v>
      </c>
      <c r="B689" s="14">
        <f>CHOOSE(CONTROL!$C$42, 46.8633, 46.8633) * CHOOSE(CONTROL!$C$21, $C$9, 100%, $E$9)</f>
        <v>46.863300000000002</v>
      </c>
      <c r="C689" s="14">
        <f>CHOOSE(CONTROL!$C$42, 46.8713, 46.8713) * CHOOSE(CONTROL!$C$21, $C$9, 100%, $E$9)</f>
        <v>46.871299999999998</v>
      </c>
      <c r="D689" s="14">
        <f>CHOOSE(CONTROL!$C$42, 47.0753, 47.0753) * CHOOSE(CONTROL!$C$21, $C$9, 100%, $E$9)</f>
        <v>47.075299999999999</v>
      </c>
      <c r="E689" s="14">
        <f>CHOOSE(CONTROL!$C$42, 47.1067, 47.1067) * CHOOSE(CONTROL!$C$21, $C$9, 100%, $E$9)</f>
        <v>47.106699999999996</v>
      </c>
      <c r="F689" s="14">
        <f>CHOOSE(CONTROL!$C$42, 46.8441, 46.8441)*CHOOSE(CONTROL!$C$21, $C$9, 100%, $E$9)</f>
        <v>46.844099999999997</v>
      </c>
      <c r="G689" s="14">
        <f>CHOOSE(CONTROL!$C$42, 46.8597, 46.8597)*CHOOSE(CONTROL!$C$21, $C$9, 100%, $E$9)</f>
        <v>46.859699999999997</v>
      </c>
      <c r="H689" s="14">
        <f>CHOOSE(CONTROL!$C$42, 47.0954, 47.0954) * CHOOSE(CONTROL!$C$21, $C$9, 100%, $E$9)</f>
        <v>47.095399999999998</v>
      </c>
      <c r="I689" s="14">
        <f>CHOOSE(CONTROL!$C$42, 47.0155, 47.0155)* CHOOSE(CONTROL!$C$21, $C$9, 100%, $E$9)</f>
        <v>47.015500000000003</v>
      </c>
      <c r="J689" s="14">
        <f>CHOOSE(CONTROL!$C$42, 46.8371, 46.8371)* CHOOSE(CONTROL!$C$21, $C$9, 100%, $E$9)</f>
        <v>46.8371</v>
      </c>
      <c r="K689" s="53">
        <f>CHOOSE(CONTROL!$C$42, 47.0116, 47.0116) * CHOOSE(CONTROL!$C$21, $C$9, 100%, $E$9)</f>
        <v>47.011600000000001</v>
      </c>
      <c r="L689" s="14">
        <f>CHOOSE(CONTROL!$C$42, 47.6824, 47.6824) * CHOOSE(CONTROL!$C$21, $C$9, 100%, $E$9)</f>
        <v>47.682400000000001</v>
      </c>
      <c r="M689" s="14">
        <f>CHOOSE(CONTROL!$C$42, 45.8851, 45.8851) * CHOOSE(CONTROL!$C$21, $C$9, 100%, $E$9)</f>
        <v>45.885100000000001</v>
      </c>
      <c r="N689" s="14">
        <f>CHOOSE(CONTROL!$C$42, 45.9004, 45.9004) * CHOOSE(CONTROL!$C$21, $C$9, 100%, $E$9)</f>
        <v>45.900399999999998</v>
      </c>
      <c r="O689" s="14">
        <f>CHOOSE(CONTROL!$C$42, 46.1381, 46.1381) * CHOOSE(CONTROL!$C$21, $C$9, 100%, $E$9)</f>
        <v>46.138100000000001</v>
      </c>
      <c r="P689" s="14">
        <f>CHOOSE(CONTROL!$C$42, 46.057, 46.057) * CHOOSE(CONTROL!$C$21, $C$9, 100%, $E$9)</f>
        <v>46.057000000000002</v>
      </c>
      <c r="Q689" s="14">
        <f>CHOOSE(CONTROL!$C$42, 46.7328, 46.7328) * CHOOSE(CONTROL!$C$21, $C$9, 100%, $E$9)</f>
        <v>46.732799999999997</v>
      </c>
      <c r="R689" s="14">
        <f>CHOOSE(CONTROL!$C$42, 47.4366, 47.4366) * CHOOSE(CONTROL!$C$21, $C$9, 100%, $E$9)</f>
        <v>47.436599999999999</v>
      </c>
      <c r="S689" s="14">
        <f>CHOOSE(CONTROL!$C$42, 45.0203, 45.0203) * CHOOSE(CONTROL!$C$21, $C$9, 100%, $E$9)</f>
        <v>45.020299999999999</v>
      </c>
      <c r="T68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89" s="57">
        <f>(1000*CHOOSE(CONTROL!$C$42, 695, 695)*CHOOSE(CONTROL!$C$42, 0.5599, 0.5599)*CHOOSE(CONTROL!$C$42, 31, 31))/1000000</f>
        <v>12.063045499999998</v>
      </c>
      <c r="V689" s="57">
        <f>(1000*CHOOSE(CONTROL!$C$42, 500, 500)*CHOOSE(CONTROL!$C$42, 0.275, 0.275)*CHOOSE(CONTROL!$C$42, 31, 31))/1000000</f>
        <v>4.2625000000000002</v>
      </c>
      <c r="W689" s="57">
        <f>(1000*CHOOSE(CONTROL!$C$42, 0.1146, 0.1146)*CHOOSE(CONTROL!$C$42, 121.5, 121.5)*CHOOSE(CONTROL!$C$42, 31, 31))/1000000</f>
        <v>0.43164089999999994</v>
      </c>
      <c r="X689" s="57">
        <f>(31*0.1790888*245000/1000000)+(31*0.2374*100000/1000000)</f>
        <v>2.0961194359999999</v>
      </c>
      <c r="Y689" s="57"/>
      <c r="Z689" s="14"/>
      <c r="AA689" s="56"/>
      <c r="AB689" s="50">
        <f>(B689*194.205+C689*267.466+D689*133.845+E689*53.484+F689*40+G689*185+H689*0+I689*100+J689*300)/(194.205+267.466+133.845+53.484+0+40+185+100+300)</f>
        <v>46.90212172182104</v>
      </c>
      <c r="AC689" s="45">
        <f>(M689*'RAP TEMPLATE-GAS AVAILABILITY'!O688+N689*'RAP TEMPLATE-GAS AVAILABILITY'!P688+O689*'RAP TEMPLATE-GAS AVAILABILITY'!Q688+P689*'RAP TEMPLATE-GAS AVAILABILITY'!R688)/('RAP TEMPLATE-GAS AVAILABILITY'!O688+'RAP TEMPLATE-GAS AVAILABILITY'!P688+'RAP TEMPLATE-GAS AVAILABILITY'!Q688+'RAP TEMPLATE-GAS AVAILABILITY'!R688)</f>
        <v>46.02538345323741</v>
      </c>
    </row>
    <row r="690" spans="1:29" ht="15.75" x14ac:dyDescent="0.25">
      <c r="A690" s="32">
        <v>61909</v>
      </c>
      <c r="B690" s="14">
        <f>CHOOSE(CONTROL!$C$42, 48.1923, 48.1923) * CHOOSE(CONTROL!$C$21, $C$9, 100%, $E$9)</f>
        <v>48.192300000000003</v>
      </c>
      <c r="C690" s="14">
        <f>CHOOSE(CONTROL!$C$42, 48.2003, 48.2003) * CHOOSE(CONTROL!$C$21, $C$9, 100%, $E$9)</f>
        <v>48.200299999999999</v>
      </c>
      <c r="D690" s="14">
        <f>CHOOSE(CONTROL!$C$42, 48.4043, 48.4043) * CHOOSE(CONTROL!$C$21, $C$9, 100%, $E$9)</f>
        <v>48.404299999999999</v>
      </c>
      <c r="E690" s="14">
        <f>CHOOSE(CONTROL!$C$42, 48.4357, 48.4357) * CHOOSE(CONTROL!$C$21, $C$9, 100%, $E$9)</f>
        <v>48.435699999999997</v>
      </c>
      <c r="F690" s="14">
        <f>CHOOSE(CONTROL!$C$42, 48.1735, 48.1735)*CHOOSE(CONTROL!$C$21, $C$9, 100%, $E$9)</f>
        <v>48.173499999999997</v>
      </c>
      <c r="G690" s="14">
        <f>CHOOSE(CONTROL!$C$42, 48.1893, 48.1893)*CHOOSE(CONTROL!$C$21, $C$9, 100%, $E$9)</f>
        <v>48.189300000000003</v>
      </c>
      <c r="H690" s="14">
        <f>CHOOSE(CONTROL!$C$42, 48.4244, 48.4244) * CHOOSE(CONTROL!$C$21, $C$9, 100%, $E$9)</f>
        <v>48.424399999999999</v>
      </c>
      <c r="I690" s="14">
        <f>CHOOSE(CONTROL!$C$42, 48.3487, 48.3487)* CHOOSE(CONTROL!$C$21, $C$9, 100%, $E$9)</f>
        <v>48.348700000000001</v>
      </c>
      <c r="J690" s="14">
        <f>CHOOSE(CONTROL!$C$42, 48.1665, 48.1665)* CHOOSE(CONTROL!$C$21, $C$9, 100%, $E$9)</f>
        <v>48.166499999999999</v>
      </c>
      <c r="K690" s="53">
        <f>CHOOSE(CONTROL!$C$42, 48.3448, 48.3448) * CHOOSE(CONTROL!$C$21, $C$9, 100%, $E$9)</f>
        <v>48.344799999999999</v>
      </c>
      <c r="L690" s="14">
        <f>CHOOSE(CONTROL!$C$42, 49.0114, 49.0114) * CHOOSE(CONTROL!$C$21, $C$9, 100%, $E$9)</f>
        <v>49.011400000000002</v>
      </c>
      <c r="M690" s="14">
        <f>CHOOSE(CONTROL!$C$42, 47.1873, 47.1873) * CHOOSE(CONTROL!$C$21, $C$9, 100%, $E$9)</f>
        <v>47.1873</v>
      </c>
      <c r="N690" s="14">
        <f>CHOOSE(CONTROL!$C$42, 47.2027, 47.2027) * CHOOSE(CONTROL!$C$21, $C$9, 100%, $E$9)</f>
        <v>47.2027</v>
      </c>
      <c r="O690" s="14">
        <f>CHOOSE(CONTROL!$C$42, 47.4399, 47.4399) * CHOOSE(CONTROL!$C$21, $C$9, 100%, $E$9)</f>
        <v>47.439900000000002</v>
      </c>
      <c r="P690" s="14">
        <f>CHOOSE(CONTROL!$C$42, 47.3628, 47.3628) * CHOOSE(CONTROL!$C$21, $C$9, 100%, $E$9)</f>
        <v>47.3628</v>
      </c>
      <c r="Q690" s="14">
        <f>CHOOSE(CONTROL!$C$42, 48.0346, 48.0346) * CHOOSE(CONTROL!$C$21, $C$9, 100%, $E$9)</f>
        <v>48.034599999999998</v>
      </c>
      <c r="R690" s="14">
        <f>CHOOSE(CONTROL!$C$42, 48.7417, 48.7417) * CHOOSE(CONTROL!$C$21, $C$9, 100%, $E$9)</f>
        <v>48.741700000000002</v>
      </c>
      <c r="S690" s="14">
        <f>CHOOSE(CONTROL!$C$42, 46.2974, 46.2974) * CHOOSE(CONTROL!$C$21, $C$9, 100%, $E$9)</f>
        <v>46.297400000000003</v>
      </c>
      <c r="T69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90" s="57">
        <f>(1000*CHOOSE(CONTROL!$C$42, 695, 695)*CHOOSE(CONTROL!$C$42, 0.5599, 0.5599)*CHOOSE(CONTROL!$C$42, 30, 30))/1000000</f>
        <v>11.673914999999997</v>
      </c>
      <c r="V690" s="57">
        <f>(1000*CHOOSE(CONTROL!$C$42, 500, 500)*CHOOSE(CONTROL!$C$42, 0.275, 0.275)*CHOOSE(CONTROL!$C$42, 30, 30))/1000000</f>
        <v>4.125</v>
      </c>
      <c r="W690" s="57">
        <f>(1000*CHOOSE(CONTROL!$C$42, 0.1146, 0.1146)*CHOOSE(CONTROL!$C$42, 121.5, 121.5)*CHOOSE(CONTROL!$C$42, 30, 30))/1000000</f>
        <v>0.417717</v>
      </c>
      <c r="X690" s="57">
        <f>(30*0.1790888*245000/1000000)+(30*0.2374*100000/1000000)</f>
        <v>2.0285026799999999</v>
      </c>
      <c r="Y690" s="57"/>
      <c r="Z690" s="14"/>
      <c r="AA690" s="56"/>
      <c r="AB690" s="50">
        <f>(B690*194.205+C690*267.466+D690*133.845+E690*53.484+F690*40+G690*185+H690*0+I690*100+J690*300)/(194.205+267.466+133.845+53.484+0+40+185+100+300)</f>
        <v>48.231645269701723</v>
      </c>
      <c r="AC690" s="45">
        <f>(M690*'RAP TEMPLATE-GAS AVAILABILITY'!O689+N690*'RAP TEMPLATE-GAS AVAILABILITY'!P689+O690*'RAP TEMPLATE-GAS AVAILABILITY'!Q689+P690*'RAP TEMPLATE-GAS AVAILABILITY'!R689)/('RAP TEMPLATE-GAS AVAILABILITY'!O689+'RAP TEMPLATE-GAS AVAILABILITY'!P689+'RAP TEMPLATE-GAS AVAILABILITY'!Q689+'RAP TEMPLATE-GAS AVAILABILITY'!R689)</f>
        <v>47.327925899280572</v>
      </c>
    </row>
    <row r="691" spans="1:29" ht="15.75" x14ac:dyDescent="0.25">
      <c r="A691" s="32">
        <v>61940</v>
      </c>
      <c r="B691" s="14">
        <f>CHOOSE(CONTROL!$C$42, 47.268, 47.268) * CHOOSE(CONTROL!$C$21, $C$9, 100%, $E$9)</f>
        <v>47.268000000000001</v>
      </c>
      <c r="C691" s="14">
        <f>CHOOSE(CONTROL!$C$42, 47.276, 47.276) * CHOOSE(CONTROL!$C$21, $C$9, 100%, $E$9)</f>
        <v>47.276000000000003</v>
      </c>
      <c r="D691" s="14">
        <f>CHOOSE(CONTROL!$C$42, 47.48, 47.48) * CHOOSE(CONTROL!$C$21, $C$9, 100%, $E$9)</f>
        <v>47.48</v>
      </c>
      <c r="E691" s="14">
        <f>CHOOSE(CONTROL!$C$42, 47.5114, 47.5114) * CHOOSE(CONTROL!$C$21, $C$9, 100%, $E$9)</f>
        <v>47.511400000000002</v>
      </c>
      <c r="F691" s="14">
        <f>CHOOSE(CONTROL!$C$42, 47.2496, 47.2496)*CHOOSE(CONTROL!$C$21, $C$9, 100%, $E$9)</f>
        <v>47.249600000000001</v>
      </c>
      <c r="G691" s="14">
        <f>CHOOSE(CONTROL!$C$42, 47.2655, 47.2655)*CHOOSE(CONTROL!$C$21, $C$9, 100%, $E$9)</f>
        <v>47.265500000000003</v>
      </c>
      <c r="H691" s="14">
        <f>CHOOSE(CONTROL!$C$42, 47.5, 47.5) * CHOOSE(CONTROL!$C$21, $C$9, 100%, $E$9)</f>
        <v>47.5</v>
      </c>
      <c r="I691" s="14">
        <f>CHOOSE(CONTROL!$C$42, 47.4215, 47.4215)* CHOOSE(CONTROL!$C$21, $C$9, 100%, $E$9)</f>
        <v>47.421500000000002</v>
      </c>
      <c r="J691" s="14">
        <f>CHOOSE(CONTROL!$C$42, 47.2426, 47.2426)* CHOOSE(CONTROL!$C$21, $C$9, 100%, $E$9)</f>
        <v>47.242600000000003</v>
      </c>
      <c r="K691" s="53">
        <f>CHOOSE(CONTROL!$C$42, 47.4176, 47.4176) * CHOOSE(CONTROL!$C$21, $C$9, 100%, $E$9)</f>
        <v>47.4176</v>
      </c>
      <c r="L691" s="14">
        <f>CHOOSE(CONTROL!$C$42, 48.087, 48.087) * CHOOSE(CONTROL!$C$21, $C$9, 100%, $E$9)</f>
        <v>48.087000000000003</v>
      </c>
      <c r="M691" s="14">
        <f>CHOOSE(CONTROL!$C$42, 46.2823, 46.2823) * CHOOSE(CONTROL!$C$21, $C$9, 100%, $E$9)</f>
        <v>46.282299999999999</v>
      </c>
      <c r="N691" s="14">
        <f>CHOOSE(CONTROL!$C$42, 46.2979, 46.2979) * CHOOSE(CONTROL!$C$21, $C$9, 100%, $E$9)</f>
        <v>46.297899999999998</v>
      </c>
      <c r="O691" s="14">
        <f>CHOOSE(CONTROL!$C$42, 46.5345, 46.5345) * CHOOSE(CONTROL!$C$21, $C$9, 100%, $E$9)</f>
        <v>46.534500000000001</v>
      </c>
      <c r="P691" s="14">
        <f>CHOOSE(CONTROL!$C$42, 46.4546, 46.4546) * CHOOSE(CONTROL!$C$21, $C$9, 100%, $E$9)</f>
        <v>46.454599999999999</v>
      </c>
      <c r="Q691" s="14">
        <f>CHOOSE(CONTROL!$C$42, 47.1292, 47.1292) * CHOOSE(CONTROL!$C$21, $C$9, 100%, $E$9)</f>
        <v>47.129199999999997</v>
      </c>
      <c r="R691" s="14">
        <f>CHOOSE(CONTROL!$C$42, 47.834, 47.834) * CHOOSE(CONTROL!$C$21, $C$9, 100%, $E$9)</f>
        <v>47.834000000000003</v>
      </c>
      <c r="S691" s="14">
        <f>CHOOSE(CONTROL!$C$42, 45.4092, 45.4092) * CHOOSE(CONTROL!$C$21, $C$9, 100%, $E$9)</f>
        <v>45.409199999999998</v>
      </c>
      <c r="T69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91" s="57">
        <f>(1000*CHOOSE(CONTROL!$C$42, 695, 695)*CHOOSE(CONTROL!$C$42, 0.5599, 0.5599)*CHOOSE(CONTROL!$C$42, 31, 31))/1000000</f>
        <v>12.063045499999998</v>
      </c>
      <c r="V691" s="57">
        <f>(1000*CHOOSE(CONTROL!$C$42, 500, 500)*CHOOSE(CONTROL!$C$42, 0.275, 0.275)*CHOOSE(CONTROL!$C$42, 31, 31))/1000000</f>
        <v>4.2625000000000002</v>
      </c>
      <c r="W691" s="57">
        <f>(1000*CHOOSE(CONTROL!$C$42, 0.1146, 0.1146)*CHOOSE(CONTROL!$C$42, 121.5, 121.5)*CHOOSE(CONTROL!$C$42, 31, 31))/1000000</f>
        <v>0.43164089999999994</v>
      </c>
      <c r="X691" s="57">
        <f>(31*0.1790888*245000/1000000)+(31*0.2374*100000/1000000)</f>
        <v>2.0961194359999999</v>
      </c>
      <c r="Y691" s="57"/>
      <c r="Z691" s="14"/>
      <c r="AA691" s="56"/>
      <c r="AB691" s="50">
        <f>(B691*194.205+C691*267.466+D691*133.845+E691*53.484+F691*40+G691*185+H691*0+I691*100+J691*300)/(194.205+267.466+133.845+53.484+0+40+185+100+300)</f>
        <v>47.307296996546313</v>
      </c>
      <c r="AC691" s="45">
        <f>(M691*'RAP TEMPLATE-GAS AVAILABILITY'!O690+N691*'RAP TEMPLATE-GAS AVAILABILITY'!P690+O691*'RAP TEMPLATE-GAS AVAILABILITY'!Q690+P691*'RAP TEMPLATE-GAS AVAILABILITY'!R690)/('RAP TEMPLATE-GAS AVAILABILITY'!O690+'RAP TEMPLATE-GAS AVAILABILITY'!P690+'RAP TEMPLATE-GAS AVAILABILITY'!Q690+'RAP TEMPLATE-GAS AVAILABILITY'!R690)</f>
        <v>46.422295683453235</v>
      </c>
    </row>
    <row r="692" spans="1:29" ht="15.75" x14ac:dyDescent="0.25">
      <c r="A692" s="32">
        <v>61971</v>
      </c>
      <c r="B692" s="14">
        <f>CHOOSE(CONTROL!$C$42, 44.9338, 44.9338) * CHOOSE(CONTROL!$C$21, $C$9, 100%, $E$9)</f>
        <v>44.933799999999998</v>
      </c>
      <c r="C692" s="14">
        <f>CHOOSE(CONTROL!$C$42, 44.9418, 44.9418) * CHOOSE(CONTROL!$C$21, $C$9, 100%, $E$9)</f>
        <v>44.941800000000001</v>
      </c>
      <c r="D692" s="14">
        <f>CHOOSE(CONTROL!$C$42, 45.1457, 45.1457) * CHOOSE(CONTROL!$C$21, $C$9, 100%, $E$9)</f>
        <v>45.145699999999998</v>
      </c>
      <c r="E692" s="14">
        <f>CHOOSE(CONTROL!$C$42, 45.1772, 45.1772) * CHOOSE(CONTROL!$C$21, $C$9, 100%, $E$9)</f>
        <v>45.177199999999999</v>
      </c>
      <c r="F692" s="14">
        <f>CHOOSE(CONTROL!$C$42, 44.9156, 44.9156)*CHOOSE(CONTROL!$C$21, $C$9, 100%, $E$9)</f>
        <v>44.915599999999998</v>
      </c>
      <c r="G692" s="14">
        <f>CHOOSE(CONTROL!$C$42, 44.9316, 44.9316)*CHOOSE(CONTROL!$C$21, $C$9, 100%, $E$9)</f>
        <v>44.931600000000003</v>
      </c>
      <c r="H692" s="14">
        <f>CHOOSE(CONTROL!$C$42, 45.1658, 45.1658) * CHOOSE(CONTROL!$C$21, $C$9, 100%, $E$9)</f>
        <v>45.165799999999997</v>
      </c>
      <c r="I692" s="14">
        <f>CHOOSE(CONTROL!$C$42, 45.0799, 45.0799)* CHOOSE(CONTROL!$C$21, $C$9, 100%, $E$9)</f>
        <v>45.079900000000002</v>
      </c>
      <c r="J692" s="14">
        <f>CHOOSE(CONTROL!$C$42, 44.9086, 44.9086)* CHOOSE(CONTROL!$C$21, $C$9, 100%, $E$9)</f>
        <v>44.9086</v>
      </c>
      <c r="K692" s="53">
        <f>CHOOSE(CONTROL!$C$42, 45.0761, 45.0761) * CHOOSE(CONTROL!$C$21, $C$9, 100%, $E$9)</f>
        <v>45.076099999999997</v>
      </c>
      <c r="L692" s="14">
        <f>CHOOSE(CONTROL!$C$42, 45.7528, 45.7528) * CHOOSE(CONTROL!$C$21, $C$9, 100%, $E$9)</f>
        <v>45.752800000000001</v>
      </c>
      <c r="M692" s="14">
        <f>CHOOSE(CONTROL!$C$42, 43.9962, 43.9962) * CHOOSE(CONTROL!$C$21, $C$9, 100%, $E$9)</f>
        <v>43.996200000000002</v>
      </c>
      <c r="N692" s="14">
        <f>CHOOSE(CONTROL!$C$42, 44.0118, 44.0118) * CHOOSE(CONTROL!$C$21, $C$9, 100%, $E$9)</f>
        <v>44.011800000000001</v>
      </c>
      <c r="O692" s="14">
        <f>CHOOSE(CONTROL!$C$42, 44.2481, 44.2481) * CHOOSE(CONTROL!$C$21, $C$9, 100%, $E$9)</f>
        <v>44.248100000000001</v>
      </c>
      <c r="P692" s="14">
        <f>CHOOSE(CONTROL!$C$42, 44.1612, 44.1612) * CHOOSE(CONTROL!$C$21, $C$9, 100%, $E$9)</f>
        <v>44.161200000000001</v>
      </c>
      <c r="Q692" s="14">
        <f>CHOOSE(CONTROL!$C$42, 44.8428, 44.8428) * CHOOSE(CONTROL!$C$21, $C$9, 100%, $E$9)</f>
        <v>44.842799999999997</v>
      </c>
      <c r="R692" s="14">
        <f>CHOOSE(CONTROL!$C$42, 45.5419, 45.5419) * CHOOSE(CONTROL!$C$21, $C$9, 100%, $E$9)</f>
        <v>45.541899999999998</v>
      </c>
      <c r="S692" s="14">
        <f>CHOOSE(CONTROL!$C$42, 43.1662, 43.1662) * CHOOSE(CONTROL!$C$21, $C$9, 100%, $E$9)</f>
        <v>43.166200000000003</v>
      </c>
      <c r="T69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92" s="57">
        <f>(1000*CHOOSE(CONTROL!$C$42, 695, 695)*CHOOSE(CONTROL!$C$42, 0.5599, 0.5599)*CHOOSE(CONTROL!$C$42, 31, 31))/1000000</f>
        <v>12.063045499999998</v>
      </c>
      <c r="V692" s="57">
        <f>(1000*CHOOSE(CONTROL!$C$42, 500, 500)*CHOOSE(CONTROL!$C$42, 0.275, 0.275)*CHOOSE(CONTROL!$C$42, 31, 31))/1000000</f>
        <v>4.2625000000000002</v>
      </c>
      <c r="W692" s="57">
        <f>(1000*CHOOSE(CONTROL!$C$42, 0.1146, 0.1146)*CHOOSE(CONTROL!$C$42, 121.5, 121.5)*CHOOSE(CONTROL!$C$42, 31, 31))/1000000</f>
        <v>0.43164089999999994</v>
      </c>
      <c r="X692" s="57">
        <f>(31*0.1790888*245000/1000000)+(31*0.2374*100000/1000000)</f>
        <v>2.0961194359999999</v>
      </c>
      <c r="Y692" s="57"/>
      <c r="Z692" s="14"/>
      <c r="AA692" s="56"/>
      <c r="AB692" s="50">
        <f>(B692*194.205+C692*267.466+D692*133.845+E692*53.484+F692*40+G692*185+H692*0+I692*100+J692*300)/(194.205+267.466+133.845+53.484+0+40+185+100+300)</f>
        <v>44.972602581711151</v>
      </c>
      <c r="AC692" s="45">
        <f>(M692*'RAP TEMPLATE-GAS AVAILABILITY'!O691+N692*'RAP TEMPLATE-GAS AVAILABILITY'!P691+O692*'RAP TEMPLATE-GAS AVAILABILITY'!Q691+P692*'RAP TEMPLATE-GAS AVAILABILITY'!R691)/('RAP TEMPLATE-GAS AVAILABILITY'!O691+'RAP TEMPLATE-GAS AVAILABILITY'!P691+'RAP TEMPLATE-GAS AVAILABILITY'!Q691+'RAP TEMPLATE-GAS AVAILABILITY'!R691)</f>
        <v>44.135009352517983</v>
      </c>
    </row>
    <row r="693" spans="1:29" ht="15.75" x14ac:dyDescent="0.25">
      <c r="A693" s="32">
        <v>62001</v>
      </c>
      <c r="B693" s="14">
        <f>CHOOSE(CONTROL!$C$42, 42.0814, 42.0814) * CHOOSE(CONTROL!$C$21, $C$9, 100%, $E$9)</f>
        <v>42.081400000000002</v>
      </c>
      <c r="C693" s="14">
        <f>CHOOSE(CONTROL!$C$42, 42.0894, 42.0894) * CHOOSE(CONTROL!$C$21, $C$9, 100%, $E$9)</f>
        <v>42.089399999999998</v>
      </c>
      <c r="D693" s="14">
        <f>CHOOSE(CONTROL!$C$42, 42.2934, 42.2934) * CHOOSE(CONTROL!$C$21, $C$9, 100%, $E$9)</f>
        <v>42.293399999999998</v>
      </c>
      <c r="E693" s="14">
        <f>CHOOSE(CONTROL!$C$42, 42.3248, 42.3248) * CHOOSE(CONTROL!$C$21, $C$9, 100%, $E$9)</f>
        <v>42.324800000000003</v>
      </c>
      <c r="F693" s="14">
        <f>CHOOSE(CONTROL!$C$42, 42.0633, 42.0633)*CHOOSE(CONTROL!$C$21, $C$9, 100%, $E$9)</f>
        <v>42.063299999999998</v>
      </c>
      <c r="G693" s="14">
        <f>CHOOSE(CONTROL!$C$42, 42.0793, 42.0793)*CHOOSE(CONTROL!$C$21, $C$9, 100%, $E$9)</f>
        <v>42.079300000000003</v>
      </c>
      <c r="H693" s="14">
        <f>CHOOSE(CONTROL!$C$42, 42.3135, 42.3135) * CHOOSE(CONTROL!$C$21, $C$9, 100%, $E$9)</f>
        <v>42.313499999999998</v>
      </c>
      <c r="I693" s="14">
        <f>CHOOSE(CONTROL!$C$42, 42.2186, 42.2186)* CHOOSE(CONTROL!$C$21, $C$9, 100%, $E$9)</f>
        <v>42.218600000000002</v>
      </c>
      <c r="J693" s="14">
        <f>CHOOSE(CONTROL!$C$42, 42.0563, 42.0563)* CHOOSE(CONTROL!$C$21, $C$9, 100%, $E$9)</f>
        <v>42.0563</v>
      </c>
      <c r="K693" s="53">
        <f>CHOOSE(CONTROL!$C$42, 42.2148, 42.2148) * CHOOSE(CONTROL!$C$21, $C$9, 100%, $E$9)</f>
        <v>42.214799999999997</v>
      </c>
      <c r="L693" s="14">
        <f>CHOOSE(CONTROL!$C$42, 42.9005, 42.9005) * CHOOSE(CONTROL!$C$21, $C$9, 100%, $E$9)</f>
        <v>42.900500000000001</v>
      </c>
      <c r="M693" s="14">
        <f>CHOOSE(CONTROL!$C$42, 41.2023, 41.2023) * CHOOSE(CONTROL!$C$21, $C$9, 100%, $E$9)</f>
        <v>41.202300000000001</v>
      </c>
      <c r="N693" s="14">
        <f>CHOOSE(CONTROL!$C$42, 41.2179, 41.2179) * CHOOSE(CONTROL!$C$21, $C$9, 100%, $E$9)</f>
        <v>41.2179</v>
      </c>
      <c r="O693" s="14">
        <f>CHOOSE(CONTROL!$C$42, 41.4542, 41.4542) * CHOOSE(CONTROL!$C$21, $C$9, 100%, $E$9)</f>
        <v>41.4542</v>
      </c>
      <c r="P693" s="14">
        <f>CHOOSE(CONTROL!$C$42, 41.3587, 41.3587) * CHOOSE(CONTROL!$C$21, $C$9, 100%, $E$9)</f>
        <v>41.358699999999999</v>
      </c>
      <c r="Q693" s="14">
        <f>CHOOSE(CONTROL!$C$42, 42.0489, 42.0489) * CHOOSE(CONTROL!$C$21, $C$9, 100%, $E$9)</f>
        <v>42.048900000000003</v>
      </c>
      <c r="R693" s="14">
        <f>CHOOSE(CONTROL!$C$42, 42.741, 42.741) * CHOOSE(CONTROL!$C$21, $C$9, 100%, $E$9)</f>
        <v>42.741</v>
      </c>
      <c r="S693" s="14">
        <f>CHOOSE(CONTROL!$C$42, 40.4254, 40.4254) * CHOOSE(CONTROL!$C$21, $C$9, 100%, $E$9)</f>
        <v>40.425400000000003</v>
      </c>
      <c r="T69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93" s="57">
        <f>(1000*CHOOSE(CONTROL!$C$42, 695, 695)*CHOOSE(CONTROL!$C$42, 0.5599, 0.5599)*CHOOSE(CONTROL!$C$42, 30, 30))/1000000</f>
        <v>11.673914999999997</v>
      </c>
      <c r="V693" s="57">
        <f>(1000*CHOOSE(CONTROL!$C$42, 500, 500)*CHOOSE(CONTROL!$C$42, 0.275, 0.275)*CHOOSE(CONTROL!$C$42, 30, 30))/1000000</f>
        <v>4.125</v>
      </c>
      <c r="W693" s="57">
        <f>(1000*CHOOSE(CONTROL!$C$42, 0.1146, 0.1146)*CHOOSE(CONTROL!$C$42, 121.5, 121.5)*CHOOSE(CONTROL!$C$42, 30, 30))/1000000</f>
        <v>0.417717</v>
      </c>
      <c r="X693" s="57">
        <f>(30*0.1790888*245000/1000000)+(30*0.2374*100000/1000000)</f>
        <v>2.0285026799999999</v>
      </c>
      <c r="Y693" s="57"/>
      <c r="Z693" s="14"/>
      <c r="AA693" s="56"/>
      <c r="AB693" s="50">
        <f>(B693*194.205+C693*267.466+D693*133.845+E693*53.484+F693*40+G693*185+H693*0+I693*100+J693*300)/(194.205+267.466+133.845+53.484+0+40+185+100+300)</f>
        <v>42.119555709262166</v>
      </c>
      <c r="AC693" s="45">
        <f>(M693*'RAP TEMPLATE-GAS AVAILABILITY'!O692+N693*'RAP TEMPLATE-GAS AVAILABILITY'!P692+O693*'RAP TEMPLATE-GAS AVAILABILITY'!Q692+P693*'RAP TEMPLATE-GAS AVAILABILITY'!R692)/('RAP TEMPLATE-GAS AVAILABILITY'!O692+'RAP TEMPLATE-GAS AVAILABILITY'!P692+'RAP TEMPLATE-GAS AVAILABILITY'!Q692+'RAP TEMPLATE-GAS AVAILABILITY'!R692)</f>
        <v>41.339871942446045</v>
      </c>
    </row>
    <row r="694" spans="1:29" ht="15.75" x14ac:dyDescent="0.25">
      <c r="A694" s="32">
        <v>62032</v>
      </c>
      <c r="B694" s="14">
        <f>CHOOSE(CONTROL!$C$42, 41.2255, 41.2255) * CHOOSE(CONTROL!$C$21, $C$9, 100%, $E$9)</f>
        <v>41.225499999999997</v>
      </c>
      <c r="C694" s="14">
        <f>CHOOSE(CONTROL!$C$42, 41.2308, 41.2308) * CHOOSE(CONTROL!$C$21, $C$9, 100%, $E$9)</f>
        <v>41.230800000000002</v>
      </c>
      <c r="D694" s="14">
        <f>CHOOSE(CONTROL!$C$42, 41.4397, 41.4397) * CHOOSE(CONTROL!$C$21, $C$9, 100%, $E$9)</f>
        <v>41.439700000000002</v>
      </c>
      <c r="E694" s="14">
        <f>CHOOSE(CONTROL!$C$42, 41.4688, 41.4688) * CHOOSE(CONTROL!$C$21, $C$9, 100%, $E$9)</f>
        <v>41.468800000000002</v>
      </c>
      <c r="F694" s="14">
        <f>CHOOSE(CONTROL!$C$42, 41.2095, 41.2095)*CHOOSE(CONTROL!$C$21, $C$9, 100%, $E$9)</f>
        <v>41.209499999999998</v>
      </c>
      <c r="G694" s="14">
        <f>CHOOSE(CONTROL!$C$42, 41.2251, 41.2251)*CHOOSE(CONTROL!$C$21, $C$9, 100%, $E$9)</f>
        <v>41.225099999999998</v>
      </c>
      <c r="H694" s="14">
        <f>CHOOSE(CONTROL!$C$42, 41.4593, 41.4593) * CHOOSE(CONTROL!$C$21, $C$9, 100%, $E$9)</f>
        <v>41.459299999999999</v>
      </c>
      <c r="I694" s="14">
        <f>CHOOSE(CONTROL!$C$42, 41.3618, 41.3618)* CHOOSE(CONTROL!$C$21, $C$9, 100%, $E$9)</f>
        <v>41.361800000000002</v>
      </c>
      <c r="J694" s="14">
        <f>CHOOSE(CONTROL!$C$42, 41.2025, 41.2025)* CHOOSE(CONTROL!$C$21, $C$9, 100%, $E$9)</f>
        <v>41.202500000000001</v>
      </c>
      <c r="K694" s="53">
        <f>CHOOSE(CONTROL!$C$42, 41.3579, 41.3579) * CHOOSE(CONTROL!$C$21, $C$9, 100%, $E$9)</f>
        <v>41.357900000000001</v>
      </c>
      <c r="L694" s="14">
        <f>CHOOSE(CONTROL!$C$42, 42.0463, 42.0463) * CHOOSE(CONTROL!$C$21, $C$9, 100%, $E$9)</f>
        <v>42.046300000000002</v>
      </c>
      <c r="M694" s="14">
        <f>CHOOSE(CONTROL!$C$42, 40.3659, 40.3659) * CHOOSE(CONTROL!$C$21, $C$9, 100%, $E$9)</f>
        <v>40.365900000000003</v>
      </c>
      <c r="N694" s="14">
        <f>CHOOSE(CONTROL!$C$42, 40.3813, 40.3813) * CHOOSE(CONTROL!$C$21, $C$9, 100%, $E$9)</f>
        <v>40.381300000000003</v>
      </c>
      <c r="O694" s="14">
        <f>CHOOSE(CONTROL!$C$42, 40.6175, 40.6175) * CHOOSE(CONTROL!$C$21, $C$9, 100%, $E$9)</f>
        <v>40.6175</v>
      </c>
      <c r="P694" s="14">
        <f>CHOOSE(CONTROL!$C$42, 40.5195, 40.5195) * CHOOSE(CONTROL!$C$21, $C$9, 100%, $E$9)</f>
        <v>40.519500000000001</v>
      </c>
      <c r="Q694" s="14">
        <f>CHOOSE(CONTROL!$C$42, 41.2122, 41.2122) * CHOOSE(CONTROL!$C$21, $C$9, 100%, $E$9)</f>
        <v>41.212200000000003</v>
      </c>
      <c r="R694" s="14">
        <f>CHOOSE(CONTROL!$C$42, 41.9022, 41.9022) * CHOOSE(CONTROL!$C$21, $C$9, 100%, $E$9)</f>
        <v>41.902200000000001</v>
      </c>
      <c r="S694" s="14">
        <f>CHOOSE(CONTROL!$C$42, 39.6046, 39.6046) * CHOOSE(CONTROL!$C$21, $C$9, 100%, $E$9)</f>
        <v>39.604599999999998</v>
      </c>
      <c r="T69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94" s="57">
        <f>(1000*CHOOSE(CONTROL!$C$42, 695, 695)*CHOOSE(CONTROL!$C$42, 0.5599, 0.5599)*CHOOSE(CONTROL!$C$42, 31, 31))/1000000</f>
        <v>12.063045499999998</v>
      </c>
      <c r="V694" s="57">
        <f>(1000*CHOOSE(CONTROL!$C$42, 500, 500)*CHOOSE(CONTROL!$C$42, 0.275, 0.275)*CHOOSE(CONTROL!$C$42, 31, 31))/1000000</f>
        <v>4.2625000000000002</v>
      </c>
      <c r="W694" s="57">
        <f>(1000*CHOOSE(CONTROL!$C$42, 0.1146, 0.1146)*CHOOSE(CONTROL!$C$42, 121.5, 121.5)*CHOOSE(CONTROL!$C$42, 31, 31))/1000000</f>
        <v>0.43164089999999994</v>
      </c>
      <c r="X694" s="57">
        <f>(31*0.1790888*245000/1000000)+(31*0.2374*100000/1000000)</f>
        <v>2.0961194359999999</v>
      </c>
      <c r="Y694" s="57"/>
      <c r="Z694" s="14"/>
      <c r="AA694" s="56"/>
      <c r="AB694" s="50">
        <f>(B694*131.881+C694*277.167+D694*79.08+E694*125.872+F694*40+G694*185+H694*0+I694*100+J694*300)/(131.881+277.167+79.08+125.872+0+40+185+100+300)</f>
        <v>41.26992984560129</v>
      </c>
      <c r="AC694" s="45">
        <f>(M694*'RAP TEMPLATE-GAS AVAILABILITY'!O693+N694*'RAP TEMPLATE-GAS AVAILABILITY'!P693+O694*'RAP TEMPLATE-GAS AVAILABILITY'!Q693+P694*'RAP TEMPLATE-GAS AVAILABILITY'!R693)/('RAP TEMPLATE-GAS AVAILABILITY'!O693+'RAP TEMPLATE-GAS AVAILABILITY'!P693+'RAP TEMPLATE-GAS AVAILABILITY'!Q693+'RAP TEMPLATE-GAS AVAILABILITY'!R693)</f>
        <v>40.502921582733819</v>
      </c>
    </row>
    <row r="695" spans="1:29" ht="15.75" x14ac:dyDescent="0.25">
      <c r="A695" s="32">
        <v>62062</v>
      </c>
      <c r="B695" s="14">
        <f>CHOOSE(CONTROL!$C$42, 42.3109, 42.3109) * CHOOSE(CONTROL!$C$21, $C$9, 100%, $E$9)</f>
        <v>42.310899999999997</v>
      </c>
      <c r="C695" s="14">
        <f>CHOOSE(CONTROL!$C$42, 42.3159, 42.3159) * CHOOSE(CONTROL!$C$21, $C$9, 100%, $E$9)</f>
        <v>42.315899999999999</v>
      </c>
      <c r="D695" s="14">
        <f>CHOOSE(CONTROL!$C$42, 42.3797, 42.3797) * CHOOSE(CONTROL!$C$21, $C$9, 100%, $E$9)</f>
        <v>42.3797</v>
      </c>
      <c r="E695" s="14">
        <f>CHOOSE(CONTROL!$C$42, 42.4138, 42.4138) * CHOOSE(CONTROL!$C$21, $C$9, 100%, $E$9)</f>
        <v>42.413800000000002</v>
      </c>
      <c r="F695" s="14">
        <f>CHOOSE(CONTROL!$C$42, 42.3133, 42.3133)*CHOOSE(CONTROL!$C$21, $C$9, 100%, $E$9)</f>
        <v>42.313299999999998</v>
      </c>
      <c r="G695" s="14">
        <f>CHOOSE(CONTROL!$C$42, 42.3293, 42.3293)*CHOOSE(CONTROL!$C$21, $C$9, 100%, $E$9)</f>
        <v>42.329300000000003</v>
      </c>
      <c r="H695" s="14">
        <f>CHOOSE(CONTROL!$C$42, 42.403, 42.403) * CHOOSE(CONTROL!$C$21, $C$9, 100%, $E$9)</f>
        <v>42.402999999999999</v>
      </c>
      <c r="I695" s="14">
        <f>CHOOSE(CONTROL!$C$42, 42.4562, 42.4562)* CHOOSE(CONTROL!$C$21, $C$9, 100%, $E$9)</f>
        <v>42.456200000000003</v>
      </c>
      <c r="J695" s="14">
        <f>CHOOSE(CONTROL!$C$42, 42.3063, 42.3063)* CHOOSE(CONTROL!$C$21, $C$9, 100%, $E$9)</f>
        <v>42.3063</v>
      </c>
      <c r="K695" s="53">
        <f>CHOOSE(CONTROL!$C$42, 42.4523, 42.4523) * CHOOSE(CONTROL!$C$21, $C$9, 100%, $E$9)</f>
        <v>42.452300000000001</v>
      </c>
      <c r="L695" s="14">
        <f>CHOOSE(CONTROL!$C$42, 42.99, 42.99) * CHOOSE(CONTROL!$C$21, $C$9, 100%, $E$9)</f>
        <v>42.99</v>
      </c>
      <c r="M695" s="14">
        <f>CHOOSE(CONTROL!$C$42, 41.4471, 41.4471) * CHOOSE(CONTROL!$C$21, $C$9, 100%, $E$9)</f>
        <v>41.447099999999999</v>
      </c>
      <c r="N695" s="14">
        <f>CHOOSE(CONTROL!$C$42, 41.4628, 41.4628) * CHOOSE(CONTROL!$C$21, $C$9, 100%, $E$9)</f>
        <v>41.462800000000001</v>
      </c>
      <c r="O695" s="14">
        <f>CHOOSE(CONTROL!$C$42, 41.5419, 41.5419) * CHOOSE(CONTROL!$C$21, $C$9, 100%, $E$9)</f>
        <v>41.541899999999998</v>
      </c>
      <c r="P695" s="14">
        <f>CHOOSE(CONTROL!$C$42, 41.5914, 41.5914) * CHOOSE(CONTROL!$C$21, $C$9, 100%, $E$9)</f>
        <v>41.5914</v>
      </c>
      <c r="Q695" s="14">
        <f>CHOOSE(CONTROL!$C$42, 42.1366, 42.1366) * CHOOSE(CONTROL!$C$21, $C$9, 100%, $E$9)</f>
        <v>42.136600000000001</v>
      </c>
      <c r="R695" s="14">
        <f>CHOOSE(CONTROL!$C$42, 42.829, 42.829) * CHOOSE(CONTROL!$C$21, $C$9, 100%, $E$9)</f>
        <v>42.829000000000001</v>
      </c>
      <c r="S695" s="14">
        <f>CHOOSE(CONTROL!$C$42, 40.648, 40.648) * CHOOSE(CONTROL!$C$21, $C$9, 100%, $E$9)</f>
        <v>40.648000000000003</v>
      </c>
      <c r="T69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95" s="57">
        <f>(1000*CHOOSE(CONTROL!$C$42, 695, 695)*CHOOSE(CONTROL!$C$42, 0.5599, 0.5599)*CHOOSE(CONTROL!$C$42, 30, 30))/1000000</f>
        <v>11.673914999999997</v>
      </c>
      <c r="V695" s="57">
        <f>(1000*CHOOSE(CONTROL!$C$42, 500, 500)*CHOOSE(CONTROL!$C$42, 0.275, 0.275)*CHOOSE(CONTROL!$C$42, 30, 30))/1000000</f>
        <v>4.125</v>
      </c>
      <c r="W695" s="57">
        <f>(1000*CHOOSE(CONTROL!$C$42, 0.1146, 0.1146)*CHOOSE(CONTROL!$C$42, 121.5, 121.5)*CHOOSE(CONTROL!$C$42, 30, 30))/1000000</f>
        <v>0.417717</v>
      </c>
      <c r="X695" s="57">
        <f>(30*0.1790888*100000/1000000)+(30*0.2374*100000/1000000)</f>
        <v>1.2494664</v>
      </c>
      <c r="Y695" s="57"/>
      <c r="Z695" s="14"/>
      <c r="AA695" s="56"/>
      <c r="AB695" s="50">
        <f>(B695*122.58+C695*297.941+D695*89.177+E695*40.302+F695*40+G695*160+H695*0+I695*100+J695*300)/(122.58+297.941+89.177+40.302+0+40+160+100+300)</f>
        <v>42.335214920347831</v>
      </c>
      <c r="AC695" s="45">
        <f>(M695*'RAP TEMPLATE-GAS AVAILABILITY'!O694+N695*'RAP TEMPLATE-GAS AVAILABILITY'!P694+O695*'RAP TEMPLATE-GAS AVAILABILITY'!Q694+P695*'RAP TEMPLATE-GAS AVAILABILITY'!R694)/('RAP TEMPLATE-GAS AVAILABILITY'!O694+'RAP TEMPLATE-GAS AVAILABILITY'!P694+'RAP TEMPLATE-GAS AVAILABILITY'!Q694+'RAP TEMPLATE-GAS AVAILABILITY'!R694)</f>
        <v>41.511733093525173</v>
      </c>
    </row>
    <row r="696" spans="1:29" ht="15.75" x14ac:dyDescent="0.25">
      <c r="A696" s="32">
        <v>62093</v>
      </c>
      <c r="B696" s="14">
        <f>CHOOSE(CONTROL!$C$42, 45.1949, 45.1949) * CHOOSE(CONTROL!$C$21, $C$9, 100%, $E$9)</f>
        <v>45.194899999999997</v>
      </c>
      <c r="C696" s="14">
        <f>CHOOSE(CONTROL!$C$42, 45.2, 45.2) * CHOOSE(CONTROL!$C$21, $C$9, 100%, $E$9)</f>
        <v>45.2</v>
      </c>
      <c r="D696" s="14">
        <f>CHOOSE(CONTROL!$C$42, 45.2638, 45.2638) * CHOOSE(CONTROL!$C$21, $C$9, 100%, $E$9)</f>
        <v>45.263800000000003</v>
      </c>
      <c r="E696" s="14">
        <f>CHOOSE(CONTROL!$C$42, 45.2979, 45.2979) * CHOOSE(CONTROL!$C$21, $C$9, 100%, $E$9)</f>
        <v>45.297899999999998</v>
      </c>
      <c r="F696" s="14">
        <f>CHOOSE(CONTROL!$C$42, 45.1996, 45.1996)*CHOOSE(CONTROL!$C$21, $C$9, 100%, $E$9)</f>
        <v>45.199599999999997</v>
      </c>
      <c r="G696" s="14">
        <f>CHOOSE(CONTROL!$C$42, 45.2162, 45.2162)*CHOOSE(CONTROL!$C$21, $C$9, 100%, $E$9)</f>
        <v>45.216200000000001</v>
      </c>
      <c r="H696" s="14">
        <f>CHOOSE(CONTROL!$C$42, 45.2871, 45.2871) * CHOOSE(CONTROL!$C$21, $C$9, 100%, $E$9)</f>
        <v>45.287100000000002</v>
      </c>
      <c r="I696" s="14">
        <f>CHOOSE(CONTROL!$C$42, 45.3493, 45.3493)* CHOOSE(CONTROL!$C$21, $C$9, 100%, $E$9)</f>
        <v>45.349299999999999</v>
      </c>
      <c r="J696" s="14">
        <f>CHOOSE(CONTROL!$C$42, 45.1926, 45.1926)* CHOOSE(CONTROL!$C$21, $C$9, 100%, $E$9)</f>
        <v>45.192599999999999</v>
      </c>
      <c r="K696" s="53">
        <f>CHOOSE(CONTROL!$C$42, 45.3454, 45.3454) * CHOOSE(CONTROL!$C$21, $C$9, 100%, $E$9)</f>
        <v>45.345399999999998</v>
      </c>
      <c r="L696" s="14">
        <f>CHOOSE(CONTROL!$C$42, 45.8741, 45.8741) * CHOOSE(CONTROL!$C$21, $C$9, 100%, $E$9)</f>
        <v>45.874099999999999</v>
      </c>
      <c r="M696" s="14">
        <f>CHOOSE(CONTROL!$C$42, 44.2743, 44.2743) * CHOOSE(CONTROL!$C$21, $C$9, 100%, $E$9)</f>
        <v>44.274299999999997</v>
      </c>
      <c r="N696" s="14">
        <f>CHOOSE(CONTROL!$C$42, 44.2906, 44.2906) * CHOOSE(CONTROL!$C$21, $C$9, 100%, $E$9)</f>
        <v>44.290599999999998</v>
      </c>
      <c r="O696" s="14">
        <f>CHOOSE(CONTROL!$C$42, 44.3669, 44.3669) * CHOOSE(CONTROL!$C$21, $C$9, 100%, $E$9)</f>
        <v>44.366900000000001</v>
      </c>
      <c r="P696" s="14">
        <f>CHOOSE(CONTROL!$C$42, 44.4251, 44.4251) * CHOOSE(CONTROL!$C$21, $C$9, 100%, $E$9)</f>
        <v>44.4251</v>
      </c>
      <c r="Q696" s="14">
        <f>CHOOSE(CONTROL!$C$42, 44.9616, 44.9616) * CHOOSE(CONTROL!$C$21, $C$9, 100%, $E$9)</f>
        <v>44.961599999999997</v>
      </c>
      <c r="R696" s="14">
        <f>CHOOSE(CONTROL!$C$42, 45.661, 45.661) * CHOOSE(CONTROL!$C$21, $C$9, 100%, $E$9)</f>
        <v>45.661000000000001</v>
      </c>
      <c r="S696" s="14">
        <f>CHOOSE(CONTROL!$C$42, 43.4193, 43.4193) * CHOOSE(CONTROL!$C$21, $C$9, 100%, $E$9)</f>
        <v>43.4193</v>
      </c>
      <c r="T69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96" s="57">
        <f>(1000*CHOOSE(CONTROL!$C$42, 695, 695)*CHOOSE(CONTROL!$C$42, 0.5599, 0.5599)*CHOOSE(CONTROL!$C$42, 31, 31))/1000000</f>
        <v>12.063045499999998</v>
      </c>
      <c r="V696" s="57">
        <f>(1000*CHOOSE(CONTROL!$C$42, 500, 500)*CHOOSE(CONTROL!$C$42, 0.275, 0.275)*CHOOSE(CONTROL!$C$42, 31, 31))/1000000</f>
        <v>4.2625000000000002</v>
      </c>
      <c r="W696" s="57">
        <f>(1000*CHOOSE(CONTROL!$C$42, 0.1146, 0.1146)*CHOOSE(CONTROL!$C$42, 121.5, 121.5)*CHOOSE(CONTROL!$C$42, 31, 31))/1000000</f>
        <v>0.43164089999999994</v>
      </c>
      <c r="X696" s="57">
        <f>(31*0.1790888*100000/1000000)+(31*0.2374*100000/1000000)</f>
        <v>1.2911152800000001</v>
      </c>
      <c r="Y696" s="57"/>
      <c r="Z696" s="14"/>
      <c r="AA696" s="56"/>
      <c r="AB696" s="50">
        <f>(B696*122.58+C696*297.941+D696*89.177+E696*40.302+F696*40+G696*160+H696*0+I696*100+J696*300)/(122.58+297.941+89.177+40.302+0+40+160+100+300)</f>
        <v>45.221126869913043</v>
      </c>
      <c r="AC696" s="45">
        <f>(M696*'RAP TEMPLATE-GAS AVAILABILITY'!O695+N696*'RAP TEMPLATE-GAS AVAILABILITY'!P695+O696*'RAP TEMPLATE-GAS AVAILABILITY'!Q695+P696*'RAP TEMPLATE-GAS AVAILABILITY'!R695)/('RAP TEMPLATE-GAS AVAILABILITY'!O695+'RAP TEMPLATE-GAS AVAILABILITY'!P695+'RAP TEMPLATE-GAS AVAILABILITY'!Q695+'RAP TEMPLATE-GAS AVAILABILITY'!R695)</f>
        <v>44.338905755395679</v>
      </c>
    </row>
    <row r="697" spans="1:29" ht="15.75" x14ac:dyDescent="0.25">
      <c r="A697" s="32">
        <v>62124</v>
      </c>
      <c r="B697" s="14">
        <f>CHOOSE(CONTROL!$C$42, 48.8962, 48.8962) * CHOOSE(CONTROL!$C$21, $C$9, 100%, $E$9)</f>
        <v>48.8962</v>
      </c>
      <c r="C697" s="14">
        <f>CHOOSE(CONTROL!$C$42, 48.9013, 48.9013) * CHOOSE(CONTROL!$C$21, $C$9, 100%, $E$9)</f>
        <v>48.901299999999999</v>
      </c>
      <c r="D697" s="14">
        <f>CHOOSE(CONTROL!$C$42, 48.9677, 48.9677) * CHOOSE(CONTROL!$C$21, $C$9, 100%, $E$9)</f>
        <v>48.967700000000001</v>
      </c>
      <c r="E697" s="14">
        <f>CHOOSE(CONTROL!$C$42, 49.0018, 49.0018) * CHOOSE(CONTROL!$C$21, $C$9, 100%, $E$9)</f>
        <v>49.001800000000003</v>
      </c>
      <c r="F697" s="14">
        <f>CHOOSE(CONTROL!$C$42, 48.8836, 48.8836)*CHOOSE(CONTROL!$C$21, $C$9, 100%, $E$9)</f>
        <v>48.883600000000001</v>
      </c>
      <c r="G697" s="14">
        <f>CHOOSE(CONTROL!$C$42, 48.899, 48.899)*CHOOSE(CONTROL!$C$21, $C$9, 100%, $E$9)</f>
        <v>48.899000000000001</v>
      </c>
      <c r="H697" s="14">
        <f>CHOOSE(CONTROL!$C$42, 48.991, 48.991) * CHOOSE(CONTROL!$C$21, $C$9, 100%, $E$9)</f>
        <v>48.991</v>
      </c>
      <c r="I697" s="14">
        <f>CHOOSE(CONTROL!$C$42, 49.057, 49.057)* CHOOSE(CONTROL!$C$21, $C$9, 100%, $E$9)</f>
        <v>49.057000000000002</v>
      </c>
      <c r="J697" s="14">
        <f>CHOOSE(CONTROL!$C$42, 48.8766, 48.8766)* CHOOSE(CONTROL!$C$21, $C$9, 100%, $E$9)</f>
        <v>48.876600000000003</v>
      </c>
      <c r="K697" s="53">
        <f>CHOOSE(CONTROL!$C$42, 49.0531, 49.0531) * CHOOSE(CONTROL!$C$21, $C$9, 100%, $E$9)</f>
        <v>49.053100000000001</v>
      </c>
      <c r="L697" s="14">
        <f>CHOOSE(CONTROL!$C$42, 49.578, 49.578) * CHOOSE(CONTROL!$C$21, $C$9, 100%, $E$9)</f>
        <v>49.578000000000003</v>
      </c>
      <c r="M697" s="14">
        <f>CHOOSE(CONTROL!$C$42, 47.8828, 47.8828) * CHOOSE(CONTROL!$C$21, $C$9, 100%, $E$9)</f>
        <v>47.882800000000003</v>
      </c>
      <c r="N697" s="14">
        <f>CHOOSE(CONTROL!$C$42, 47.898, 47.898) * CHOOSE(CONTROL!$C$21, $C$9, 100%, $E$9)</f>
        <v>47.898000000000003</v>
      </c>
      <c r="O697" s="14">
        <f>CHOOSE(CONTROL!$C$42, 47.9949, 47.9949) * CHOOSE(CONTROL!$C$21, $C$9, 100%, $E$9)</f>
        <v>47.994900000000001</v>
      </c>
      <c r="P697" s="14">
        <f>CHOOSE(CONTROL!$C$42, 48.0565, 48.0565) * CHOOSE(CONTROL!$C$21, $C$9, 100%, $E$9)</f>
        <v>48.0565</v>
      </c>
      <c r="Q697" s="14">
        <f>CHOOSE(CONTROL!$C$42, 48.5896, 48.5896) * CHOOSE(CONTROL!$C$21, $C$9, 100%, $E$9)</f>
        <v>48.589599999999997</v>
      </c>
      <c r="R697" s="14">
        <f>CHOOSE(CONTROL!$C$42, 49.2981, 49.2981) * CHOOSE(CONTROL!$C$21, $C$9, 100%, $E$9)</f>
        <v>49.298099999999998</v>
      </c>
      <c r="S697" s="14">
        <f>CHOOSE(CONTROL!$C$42, 46.9759, 46.9759) * CHOOSE(CONTROL!$C$21, $C$9, 100%, $E$9)</f>
        <v>46.975900000000003</v>
      </c>
      <c r="T69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97" s="57">
        <f>(1000*CHOOSE(CONTROL!$C$42, 695, 695)*CHOOSE(CONTROL!$C$42, 0.5599, 0.5599)*CHOOSE(CONTROL!$C$42, 31, 31))/1000000</f>
        <v>12.063045499999998</v>
      </c>
      <c r="V697" s="57">
        <f>(1000*CHOOSE(CONTROL!$C$42, 500, 500)*CHOOSE(CONTROL!$C$42, 0.275, 0.275)*CHOOSE(CONTROL!$C$42, 31, 31))/1000000</f>
        <v>4.2625000000000002</v>
      </c>
      <c r="W697" s="57">
        <f>(1000*CHOOSE(CONTROL!$C$42, 0.1146, 0.1146)*CHOOSE(CONTROL!$C$42, 121.5, 121.5)*CHOOSE(CONTROL!$C$42, 31, 31))/1000000</f>
        <v>0.43164089999999994</v>
      </c>
      <c r="X697" s="57">
        <f>(31*0.1790888*100000/1000000)+(31*0.2374*100000/1000000)</f>
        <v>1.2911152800000001</v>
      </c>
      <c r="Y697" s="57"/>
      <c r="Z697" s="14"/>
      <c r="AA697" s="56"/>
      <c r="AB697" s="50">
        <f>(B697*122.58+C697*297.941+D697*89.177+E697*40.302+F697*40+G697*160+H697*0+I697*100+J697*300)/(122.58+297.941+89.177+40.302+0+40+160+100+300)</f>
        <v>48.91558743113044</v>
      </c>
      <c r="AC697" s="45">
        <f>(M697*'RAP TEMPLATE-GAS AVAILABILITY'!O696+N697*'RAP TEMPLATE-GAS AVAILABILITY'!P696+O697*'RAP TEMPLATE-GAS AVAILABILITY'!Q696+P697*'RAP TEMPLATE-GAS AVAILABILITY'!R696)/('RAP TEMPLATE-GAS AVAILABILITY'!O696+'RAP TEMPLATE-GAS AVAILABILITY'!P696+'RAP TEMPLATE-GAS AVAILABILITY'!Q696+'RAP TEMPLATE-GAS AVAILABILITY'!R696)</f>
        <v>47.959475539568345</v>
      </c>
    </row>
    <row r="698" spans="1:29" ht="15.75" x14ac:dyDescent="0.25">
      <c r="A698" s="32">
        <v>62152</v>
      </c>
      <c r="B698" s="14">
        <f>CHOOSE(CONTROL!$C$42, 49.7665, 49.7665) * CHOOSE(CONTROL!$C$21, $C$9, 100%, $E$9)</f>
        <v>49.766500000000001</v>
      </c>
      <c r="C698" s="14">
        <f>CHOOSE(CONTROL!$C$42, 49.7716, 49.7716) * CHOOSE(CONTROL!$C$21, $C$9, 100%, $E$9)</f>
        <v>49.771599999999999</v>
      </c>
      <c r="D698" s="14">
        <f>CHOOSE(CONTROL!$C$42, 49.838, 49.838) * CHOOSE(CONTROL!$C$21, $C$9, 100%, $E$9)</f>
        <v>49.838000000000001</v>
      </c>
      <c r="E698" s="14">
        <f>CHOOSE(CONTROL!$C$42, 49.8721, 49.8721) * CHOOSE(CONTROL!$C$21, $C$9, 100%, $E$9)</f>
        <v>49.872100000000003</v>
      </c>
      <c r="F698" s="14">
        <f>CHOOSE(CONTROL!$C$42, 49.7539, 49.7539)*CHOOSE(CONTROL!$C$21, $C$9, 100%, $E$9)</f>
        <v>49.753900000000002</v>
      </c>
      <c r="G698" s="14">
        <f>CHOOSE(CONTROL!$C$42, 49.7694, 49.7694)*CHOOSE(CONTROL!$C$21, $C$9, 100%, $E$9)</f>
        <v>49.769399999999997</v>
      </c>
      <c r="H698" s="14">
        <f>CHOOSE(CONTROL!$C$42, 49.8613, 49.8613) * CHOOSE(CONTROL!$C$21, $C$9, 100%, $E$9)</f>
        <v>49.8613</v>
      </c>
      <c r="I698" s="14">
        <f>CHOOSE(CONTROL!$C$42, 49.93, 49.93)* CHOOSE(CONTROL!$C$21, $C$9, 100%, $E$9)</f>
        <v>49.93</v>
      </c>
      <c r="J698" s="14">
        <f>CHOOSE(CONTROL!$C$42, 49.7469, 49.7469)* CHOOSE(CONTROL!$C$21, $C$9, 100%, $E$9)</f>
        <v>49.746899999999997</v>
      </c>
      <c r="K698" s="53">
        <f>CHOOSE(CONTROL!$C$42, 49.9261, 49.9261) * CHOOSE(CONTROL!$C$21, $C$9, 100%, $E$9)</f>
        <v>49.926099999999998</v>
      </c>
      <c r="L698" s="14">
        <f>CHOOSE(CONTROL!$C$42, 50.4483, 50.4483) * CHOOSE(CONTROL!$C$21, $C$9, 100%, $E$9)</f>
        <v>50.448300000000003</v>
      </c>
      <c r="M698" s="14">
        <f>CHOOSE(CONTROL!$C$42, 48.7353, 48.7353) * CHOOSE(CONTROL!$C$21, $C$9, 100%, $E$9)</f>
        <v>48.735300000000002</v>
      </c>
      <c r="N698" s="14">
        <f>CHOOSE(CONTROL!$C$42, 48.7505, 48.7505) * CHOOSE(CONTROL!$C$21, $C$9, 100%, $E$9)</f>
        <v>48.750500000000002</v>
      </c>
      <c r="O698" s="14">
        <f>CHOOSE(CONTROL!$C$42, 48.8473, 48.8473) * CHOOSE(CONTROL!$C$21, $C$9, 100%, $E$9)</f>
        <v>48.847299999999997</v>
      </c>
      <c r="P698" s="14">
        <f>CHOOSE(CONTROL!$C$42, 48.9116, 48.9116) * CHOOSE(CONTROL!$C$21, $C$9, 100%, $E$9)</f>
        <v>48.9116</v>
      </c>
      <c r="Q698" s="14">
        <f>CHOOSE(CONTROL!$C$42, 49.442, 49.442) * CHOOSE(CONTROL!$C$21, $C$9, 100%, $E$9)</f>
        <v>49.442</v>
      </c>
      <c r="R698" s="14">
        <f>CHOOSE(CONTROL!$C$42, 50.1527, 50.1527) * CHOOSE(CONTROL!$C$21, $C$9, 100%, $E$9)</f>
        <v>50.152700000000003</v>
      </c>
      <c r="S698" s="14">
        <f>CHOOSE(CONTROL!$C$42, 47.8121, 47.8121) * CHOOSE(CONTROL!$C$21, $C$9, 100%, $E$9)</f>
        <v>47.812100000000001</v>
      </c>
      <c r="T69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98" s="57">
        <f>(1000*CHOOSE(CONTROL!$C$42, 695, 695)*CHOOSE(CONTROL!$C$42, 0.5599, 0.5599)*CHOOSE(CONTROL!$C$42, 28, 28))/1000000</f>
        <v>10.895653999999999</v>
      </c>
      <c r="V698" s="57">
        <f>(1000*CHOOSE(CONTROL!$C$42, 500, 500)*CHOOSE(CONTROL!$C$42, 0.275, 0.275)*CHOOSE(CONTROL!$C$42, 28, 28))/1000000</f>
        <v>3.85</v>
      </c>
      <c r="W698" s="57">
        <f>(1000*CHOOSE(CONTROL!$C$42, 0.1146, 0.1146)*CHOOSE(CONTROL!$C$42, 121.5, 121.5)*CHOOSE(CONTROL!$C$42, 28, 28))/1000000</f>
        <v>0.38986920000000003</v>
      </c>
      <c r="X698" s="57">
        <f>(28*0.1790888*100000/1000000)+(28*0.2374*100000/1000000)</f>
        <v>1.16616864</v>
      </c>
      <c r="Y698" s="57"/>
      <c r="Z698" s="14"/>
      <c r="AA698" s="56"/>
      <c r="AB698" s="50">
        <f>(B698*122.58+C698*297.941+D698*89.177+E698*40.302+F698*40+G698*160+H698*0+I698*100+J698*300)/(122.58+297.941+89.177+40.302+0+40+160+100+300)</f>
        <v>49.786136126782608</v>
      </c>
      <c r="AC698" s="45">
        <f>(M698*'RAP TEMPLATE-GAS AVAILABILITY'!O697+N698*'RAP TEMPLATE-GAS AVAILABILITY'!P697+O698*'RAP TEMPLATE-GAS AVAILABILITY'!Q697+P698*'RAP TEMPLATE-GAS AVAILABILITY'!R697)/('RAP TEMPLATE-GAS AVAILABILITY'!O697+'RAP TEMPLATE-GAS AVAILABILITY'!P697+'RAP TEMPLATE-GAS AVAILABILITY'!Q697+'RAP TEMPLATE-GAS AVAILABILITY'!R697)</f>
        <v>48.812304316546765</v>
      </c>
    </row>
    <row r="699" spans="1:29" ht="15.75" x14ac:dyDescent="0.25">
      <c r="A699" s="32">
        <v>62183</v>
      </c>
      <c r="B699" s="14">
        <f>CHOOSE(CONTROL!$C$42, 48.3539, 48.3539) * CHOOSE(CONTROL!$C$21, $C$9, 100%, $E$9)</f>
        <v>48.353900000000003</v>
      </c>
      <c r="C699" s="14">
        <f>CHOOSE(CONTROL!$C$42, 48.3589, 48.3589) * CHOOSE(CONTROL!$C$21, $C$9, 100%, $E$9)</f>
        <v>48.358899999999998</v>
      </c>
      <c r="D699" s="14">
        <f>CHOOSE(CONTROL!$C$42, 48.4253, 48.4253) * CHOOSE(CONTROL!$C$21, $C$9, 100%, $E$9)</f>
        <v>48.4253</v>
      </c>
      <c r="E699" s="14">
        <f>CHOOSE(CONTROL!$C$42, 48.4595, 48.4595) * CHOOSE(CONTROL!$C$21, $C$9, 100%, $E$9)</f>
        <v>48.459499999999998</v>
      </c>
      <c r="F699" s="14">
        <f>CHOOSE(CONTROL!$C$42, 48.3409, 48.3409)*CHOOSE(CONTROL!$C$21, $C$9, 100%, $E$9)</f>
        <v>48.340899999999998</v>
      </c>
      <c r="G699" s="14">
        <f>CHOOSE(CONTROL!$C$42, 48.3563, 48.3563)*CHOOSE(CONTROL!$C$21, $C$9, 100%, $E$9)</f>
        <v>48.356299999999997</v>
      </c>
      <c r="H699" s="14">
        <f>CHOOSE(CONTROL!$C$42, 48.4486, 48.4486) * CHOOSE(CONTROL!$C$21, $C$9, 100%, $E$9)</f>
        <v>48.448599999999999</v>
      </c>
      <c r="I699" s="14">
        <f>CHOOSE(CONTROL!$C$42, 48.5129, 48.5129)* CHOOSE(CONTROL!$C$21, $C$9, 100%, $E$9)</f>
        <v>48.512900000000002</v>
      </c>
      <c r="J699" s="14">
        <f>CHOOSE(CONTROL!$C$42, 48.3339, 48.3339)* CHOOSE(CONTROL!$C$21, $C$9, 100%, $E$9)</f>
        <v>48.3339</v>
      </c>
      <c r="K699" s="53">
        <f>CHOOSE(CONTROL!$C$42, 48.509, 48.509) * CHOOSE(CONTROL!$C$21, $C$9, 100%, $E$9)</f>
        <v>48.509</v>
      </c>
      <c r="L699" s="14">
        <f>CHOOSE(CONTROL!$C$42, 49.0356, 49.0356) * CHOOSE(CONTROL!$C$21, $C$9, 100%, $E$9)</f>
        <v>49.035600000000002</v>
      </c>
      <c r="M699" s="14">
        <f>CHOOSE(CONTROL!$C$42, 47.3512, 47.3512) * CHOOSE(CONTROL!$C$21, $C$9, 100%, $E$9)</f>
        <v>47.351199999999999</v>
      </c>
      <c r="N699" s="14">
        <f>CHOOSE(CONTROL!$C$42, 47.3663, 47.3663) * CHOOSE(CONTROL!$C$21, $C$9, 100%, $E$9)</f>
        <v>47.366300000000003</v>
      </c>
      <c r="O699" s="14">
        <f>CHOOSE(CONTROL!$C$42, 47.4637, 47.4637) * CHOOSE(CONTROL!$C$21, $C$9, 100%, $E$9)</f>
        <v>47.463700000000003</v>
      </c>
      <c r="P699" s="14">
        <f>CHOOSE(CONTROL!$C$42, 47.5237, 47.5237) * CHOOSE(CONTROL!$C$21, $C$9, 100%, $E$9)</f>
        <v>47.523699999999998</v>
      </c>
      <c r="Q699" s="14">
        <f>CHOOSE(CONTROL!$C$42, 48.0584, 48.0584) * CHOOSE(CONTROL!$C$21, $C$9, 100%, $E$9)</f>
        <v>48.058399999999999</v>
      </c>
      <c r="R699" s="14">
        <f>CHOOSE(CONTROL!$C$42, 48.7655, 48.7655) * CHOOSE(CONTROL!$C$21, $C$9, 100%, $E$9)</f>
        <v>48.765500000000003</v>
      </c>
      <c r="S699" s="14">
        <f>CHOOSE(CONTROL!$C$42, 46.4547, 46.4547) * CHOOSE(CONTROL!$C$21, $C$9, 100%, $E$9)</f>
        <v>46.454700000000003</v>
      </c>
      <c r="T69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99" s="57">
        <f>(1000*CHOOSE(CONTROL!$C$42, 695, 695)*CHOOSE(CONTROL!$C$42, 0.5599, 0.5599)*CHOOSE(CONTROL!$C$42, 31, 31))/1000000</f>
        <v>12.063045499999998</v>
      </c>
      <c r="V699" s="57">
        <f>(1000*CHOOSE(CONTROL!$C$42, 500, 500)*CHOOSE(CONTROL!$C$42, 0.275, 0.275)*CHOOSE(CONTROL!$C$42, 31, 31))/1000000</f>
        <v>4.2625000000000002</v>
      </c>
      <c r="W699" s="57">
        <f>(1000*CHOOSE(CONTROL!$C$42, 0.1146, 0.1146)*CHOOSE(CONTROL!$C$42, 121.5, 121.5)*CHOOSE(CONTROL!$C$42, 31, 31))/1000000</f>
        <v>0.43164089999999994</v>
      </c>
      <c r="X699" s="57">
        <f>(31*0.1790888*100000/1000000)+(31*0.2374*100000/1000000)</f>
        <v>1.2911152800000001</v>
      </c>
      <c r="Y699" s="57"/>
      <c r="Z699" s="14"/>
      <c r="AA699" s="56"/>
      <c r="AB699" s="50">
        <f>(B699*122.58+C699*297.941+D699*89.177+E699*40.302+F699*40+G699*160+H699*0+I699*100+J699*300)/(122.58+297.941+89.177+40.302+0+40+160+100+300)</f>
        <v>48.372923333913043</v>
      </c>
      <c r="AC699" s="45">
        <f>(M699*'RAP TEMPLATE-GAS AVAILABILITY'!O698+N699*'RAP TEMPLATE-GAS AVAILABILITY'!P698+O699*'RAP TEMPLATE-GAS AVAILABILITY'!Q698+P699*'RAP TEMPLATE-GAS AVAILABILITY'!R698)/('RAP TEMPLATE-GAS AVAILABILITY'!O698+'RAP TEMPLATE-GAS AVAILABILITY'!P698+'RAP TEMPLATE-GAS AVAILABILITY'!Q698+'RAP TEMPLATE-GAS AVAILABILITY'!R698)</f>
        <v>47.427878417266193</v>
      </c>
    </row>
    <row r="700" spans="1:29" ht="15.75" x14ac:dyDescent="0.25">
      <c r="A700" s="32">
        <v>62213</v>
      </c>
      <c r="B700" s="14">
        <f>CHOOSE(CONTROL!$C$42, 48.2103, 48.2103) * CHOOSE(CONTROL!$C$21, $C$9, 100%, $E$9)</f>
        <v>48.210299999999997</v>
      </c>
      <c r="C700" s="14">
        <f>CHOOSE(CONTROL!$C$42, 48.2148, 48.2148) * CHOOSE(CONTROL!$C$21, $C$9, 100%, $E$9)</f>
        <v>48.214799999999997</v>
      </c>
      <c r="D700" s="14">
        <f>CHOOSE(CONTROL!$C$42, 48.4218, 48.4218) * CHOOSE(CONTROL!$C$21, $C$9, 100%, $E$9)</f>
        <v>48.421799999999998</v>
      </c>
      <c r="E700" s="14">
        <f>CHOOSE(CONTROL!$C$42, 48.454, 48.454) * CHOOSE(CONTROL!$C$21, $C$9, 100%, $E$9)</f>
        <v>48.454000000000001</v>
      </c>
      <c r="F700" s="14">
        <f>CHOOSE(CONTROL!$C$42, 48.1922, 48.1922)*CHOOSE(CONTROL!$C$21, $C$9, 100%, $E$9)</f>
        <v>48.1922</v>
      </c>
      <c r="G700" s="14">
        <f>CHOOSE(CONTROL!$C$42, 48.2074, 48.2074)*CHOOSE(CONTROL!$C$21, $C$9, 100%, $E$9)</f>
        <v>48.2074</v>
      </c>
      <c r="H700" s="14">
        <f>CHOOSE(CONTROL!$C$42, 48.4437, 48.4437) * CHOOSE(CONTROL!$C$21, $C$9, 100%, $E$9)</f>
        <v>48.4437</v>
      </c>
      <c r="I700" s="14">
        <f>CHOOSE(CONTROL!$C$42, 48.3681, 48.3681)* CHOOSE(CONTROL!$C$21, $C$9, 100%, $E$9)</f>
        <v>48.368099999999998</v>
      </c>
      <c r="J700" s="14">
        <f>CHOOSE(CONTROL!$C$42, 48.1852, 48.1852)* CHOOSE(CONTROL!$C$21, $C$9, 100%, $E$9)</f>
        <v>48.185200000000002</v>
      </c>
      <c r="K700" s="53">
        <f>CHOOSE(CONTROL!$C$42, 48.3642, 48.3642) * CHOOSE(CONTROL!$C$21, $C$9, 100%, $E$9)</f>
        <v>48.364199999999997</v>
      </c>
      <c r="L700" s="14">
        <f>CHOOSE(CONTROL!$C$42, 49.0307, 49.0307) * CHOOSE(CONTROL!$C$21, $C$9, 100%, $E$9)</f>
        <v>49.030700000000003</v>
      </c>
      <c r="M700" s="14">
        <f>CHOOSE(CONTROL!$C$42, 47.2056, 47.2056) * CHOOSE(CONTROL!$C$21, $C$9, 100%, $E$9)</f>
        <v>47.205599999999997</v>
      </c>
      <c r="N700" s="14">
        <f>CHOOSE(CONTROL!$C$42, 47.2205, 47.2205) * CHOOSE(CONTROL!$C$21, $C$9, 100%, $E$9)</f>
        <v>47.220500000000001</v>
      </c>
      <c r="O700" s="14">
        <f>CHOOSE(CONTROL!$C$42, 47.4589, 47.4589) * CHOOSE(CONTROL!$C$21, $C$9, 100%, $E$9)</f>
        <v>47.4589</v>
      </c>
      <c r="P700" s="14">
        <f>CHOOSE(CONTROL!$C$42, 47.3818, 47.3818) * CHOOSE(CONTROL!$C$21, $C$9, 100%, $E$9)</f>
        <v>47.381799999999998</v>
      </c>
      <c r="Q700" s="14">
        <f>CHOOSE(CONTROL!$C$42, 48.0536, 48.0536) * CHOOSE(CONTROL!$C$21, $C$9, 100%, $E$9)</f>
        <v>48.053600000000003</v>
      </c>
      <c r="R700" s="14">
        <f>CHOOSE(CONTROL!$C$42, 48.7607, 48.7607) * CHOOSE(CONTROL!$C$21, $C$9, 100%, $E$9)</f>
        <v>48.7607</v>
      </c>
      <c r="S700" s="14">
        <f>CHOOSE(CONTROL!$C$42, 46.316, 46.316) * CHOOSE(CONTROL!$C$21, $C$9, 100%, $E$9)</f>
        <v>46.316000000000003</v>
      </c>
      <c r="T70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00" s="57">
        <f>(1000*CHOOSE(CONTROL!$C$42, 695, 695)*CHOOSE(CONTROL!$C$42, 0.5599, 0.5599)*CHOOSE(CONTROL!$C$42, 30, 30))/1000000</f>
        <v>11.673914999999997</v>
      </c>
      <c r="V700" s="57">
        <f>(1000*CHOOSE(CONTROL!$C$42, 500, 500)*CHOOSE(CONTROL!$C$42, 0.275, 0.275)*CHOOSE(CONTROL!$C$42, 30, 30))/1000000</f>
        <v>4.125</v>
      </c>
      <c r="W700" s="57">
        <f>(1000*CHOOSE(CONTROL!$C$42, 0.1146, 0.1146)*CHOOSE(CONTROL!$C$42, 121.5, 121.5)*CHOOSE(CONTROL!$C$42, 30, 30))/1000000</f>
        <v>0.417717</v>
      </c>
      <c r="X700" s="57">
        <f>(30*0.1790888*245000/1000000)+(30*0.2374*100000/1000000)</f>
        <v>2.0285026799999999</v>
      </c>
      <c r="Y700" s="57"/>
      <c r="Z700" s="14"/>
      <c r="AA700" s="56"/>
      <c r="AB700" s="50">
        <f>(B700*141.293+C700*267.993+D700*115.016+E700*89.698+F700*40+G700*185+H700*0+I700*100+J700*300)/(141.293+267.993+115.016+89.698+0+40+185+100+300)</f>
        <v>48.254190843502826</v>
      </c>
      <c r="AC700" s="45">
        <f>(M700*'RAP TEMPLATE-GAS AVAILABILITY'!O699+N700*'RAP TEMPLATE-GAS AVAILABILITY'!P699+O700*'RAP TEMPLATE-GAS AVAILABILITY'!Q699+P700*'RAP TEMPLATE-GAS AVAILABILITY'!R699)/('RAP TEMPLATE-GAS AVAILABILITY'!O699+'RAP TEMPLATE-GAS AVAILABILITY'!P699+'RAP TEMPLATE-GAS AVAILABILITY'!Q699+'RAP TEMPLATE-GAS AVAILABILITY'!R699)</f>
        <v>47.346615107913671</v>
      </c>
    </row>
    <row r="701" spans="1:29" ht="15.75" x14ac:dyDescent="0.25">
      <c r="A701" s="32">
        <v>62244</v>
      </c>
      <c r="B701" s="14">
        <f>CHOOSE(CONTROL!$C$42, 48.6371, 48.6371) * CHOOSE(CONTROL!$C$21, $C$9, 100%, $E$9)</f>
        <v>48.637099999999997</v>
      </c>
      <c r="C701" s="14">
        <f>CHOOSE(CONTROL!$C$42, 48.6451, 48.6451) * CHOOSE(CONTROL!$C$21, $C$9, 100%, $E$9)</f>
        <v>48.645099999999999</v>
      </c>
      <c r="D701" s="14">
        <f>CHOOSE(CONTROL!$C$42, 48.8491, 48.8491) * CHOOSE(CONTROL!$C$21, $C$9, 100%, $E$9)</f>
        <v>48.8491</v>
      </c>
      <c r="E701" s="14">
        <f>CHOOSE(CONTROL!$C$42, 48.8805, 48.8805) * CHOOSE(CONTROL!$C$21, $C$9, 100%, $E$9)</f>
        <v>48.880499999999998</v>
      </c>
      <c r="F701" s="14">
        <f>CHOOSE(CONTROL!$C$42, 48.6178, 48.6178)*CHOOSE(CONTROL!$C$21, $C$9, 100%, $E$9)</f>
        <v>48.617800000000003</v>
      </c>
      <c r="G701" s="14">
        <f>CHOOSE(CONTROL!$C$42, 48.6335, 48.6335)*CHOOSE(CONTROL!$C$21, $C$9, 100%, $E$9)</f>
        <v>48.633499999999998</v>
      </c>
      <c r="H701" s="14">
        <f>CHOOSE(CONTROL!$C$42, 48.8692, 48.8692) * CHOOSE(CONTROL!$C$21, $C$9, 100%, $E$9)</f>
        <v>48.869199999999999</v>
      </c>
      <c r="I701" s="14">
        <f>CHOOSE(CONTROL!$C$42, 48.7949, 48.7949)* CHOOSE(CONTROL!$C$21, $C$9, 100%, $E$9)</f>
        <v>48.794899999999998</v>
      </c>
      <c r="J701" s="14">
        <f>CHOOSE(CONTROL!$C$42, 48.6108, 48.6108)* CHOOSE(CONTROL!$C$21, $C$9, 100%, $E$9)</f>
        <v>48.610799999999998</v>
      </c>
      <c r="K701" s="53">
        <f>CHOOSE(CONTROL!$C$42, 48.791, 48.791) * CHOOSE(CONTROL!$C$21, $C$9, 100%, $E$9)</f>
        <v>48.790999999999997</v>
      </c>
      <c r="L701" s="14">
        <f>CHOOSE(CONTROL!$C$42, 49.4562, 49.4562) * CHOOSE(CONTROL!$C$21, $C$9, 100%, $E$9)</f>
        <v>49.456200000000003</v>
      </c>
      <c r="M701" s="14">
        <f>CHOOSE(CONTROL!$C$42, 47.6225, 47.6225) * CHOOSE(CONTROL!$C$21, $C$9, 100%, $E$9)</f>
        <v>47.622500000000002</v>
      </c>
      <c r="N701" s="14">
        <f>CHOOSE(CONTROL!$C$42, 47.6379, 47.6379) * CHOOSE(CONTROL!$C$21, $C$9, 100%, $E$9)</f>
        <v>47.637900000000002</v>
      </c>
      <c r="O701" s="14">
        <f>CHOOSE(CONTROL!$C$42, 47.8756, 47.8756) * CHOOSE(CONTROL!$C$21, $C$9, 100%, $E$9)</f>
        <v>47.875599999999999</v>
      </c>
      <c r="P701" s="14">
        <f>CHOOSE(CONTROL!$C$42, 47.7998, 47.7998) * CHOOSE(CONTROL!$C$21, $C$9, 100%, $E$9)</f>
        <v>47.799799999999998</v>
      </c>
      <c r="Q701" s="14">
        <f>CHOOSE(CONTROL!$C$42, 48.4703, 48.4703) * CHOOSE(CONTROL!$C$21, $C$9, 100%, $E$9)</f>
        <v>48.470300000000002</v>
      </c>
      <c r="R701" s="14">
        <f>CHOOSE(CONTROL!$C$42, 49.1784, 49.1784) * CHOOSE(CONTROL!$C$21, $C$9, 100%, $E$9)</f>
        <v>49.178400000000003</v>
      </c>
      <c r="S701" s="14">
        <f>CHOOSE(CONTROL!$C$42, 46.7248, 46.7248) * CHOOSE(CONTROL!$C$21, $C$9, 100%, $E$9)</f>
        <v>46.724800000000002</v>
      </c>
      <c r="T70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01" s="57">
        <f>(1000*CHOOSE(CONTROL!$C$42, 695, 695)*CHOOSE(CONTROL!$C$42, 0.5599, 0.5599)*CHOOSE(CONTROL!$C$42, 31, 31))/1000000</f>
        <v>12.063045499999998</v>
      </c>
      <c r="V701" s="57">
        <f>(1000*CHOOSE(CONTROL!$C$42, 500, 500)*CHOOSE(CONTROL!$C$42, 0.275, 0.275)*CHOOSE(CONTROL!$C$42, 31, 31))/1000000</f>
        <v>4.2625000000000002</v>
      </c>
      <c r="W701" s="57">
        <f>(1000*CHOOSE(CONTROL!$C$42, 0.1146, 0.1146)*CHOOSE(CONTROL!$C$42, 121.5, 121.5)*CHOOSE(CONTROL!$C$42, 31, 31))/1000000</f>
        <v>0.43164089999999994</v>
      </c>
      <c r="X701" s="57">
        <f>(31*0.1790888*245000/1000000)+(31*0.2374*100000/1000000)</f>
        <v>2.0961194359999999</v>
      </c>
      <c r="Y701" s="57"/>
      <c r="Z701" s="14"/>
      <c r="AA701" s="56"/>
      <c r="AB701" s="50">
        <f>(B701*194.205+C701*267.466+D701*133.845+E701*53.484+F701*40+G701*185+H701*0+I701*100+J701*300)/(194.205+267.466+133.845+53.484+0+40+185+100+300)</f>
        <v>48.676334594662478</v>
      </c>
      <c r="AC701" s="45">
        <f>(M701*'RAP TEMPLATE-GAS AVAILABILITY'!O700+N701*'RAP TEMPLATE-GAS AVAILABILITY'!P700+O701*'RAP TEMPLATE-GAS AVAILABILITY'!Q700+P701*'RAP TEMPLATE-GAS AVAILABILITY'!R700)/('RAP TEMPLATE-GAS AVAILABILITY'!O700+'RAP TEMPLATE-GAS AVAILABILITY'!P700+'RAP TEMPLATE-GAS AVAILABILITY'!Q700+'RAP TEMPLATE-GAS AVAILABILITY'!R700)</f>
        <v>47.763611510791378</v>
      </c>
    </row>
    <row r="702" spans="1:29" ht="15.75" x14ac:dyDescent="0.25">
      <c r="A702" s="32">
        <v>62274</v>
      </c>
      <c r="B702" s="14">
        <f>CHOOSE(CONTROL!$C$42, 50.0164, 50.0164) * CHOOSE(CONTROL!$C$21, $C$9, 100%, $E$9)</f>
        <v>50.016399999999997</v>
      </c>
      <c r="C702" s="14">
        <f>CHOOSE(CONTROL!$C$42, 50.0244, 50.0244) * CHOOSE(CONTROL!$C$21, $C$9, 100%, $E$9)</f>
        <v>50.0244</v>
      </c>
      <c r="D702" s="14">
        <f>CHOOSE(CONTROL!$C$42, 50.2284, 50.2284) * CHOOSE(CONTROL!$C$21, $C$9, 100%, $E$9)</f>
        <v>50.228400000000001</v>
      </c>
      <c r="E702" s="14">
        <f>CHOOSE(CONTROL!$C$42, 50.2598, 50.2598) * CHOOSE(CONTROL!$C$21, $C$9, 100%, $E$9)</f>
        <v>50.259799999999998</v>
      </c>
      <c r="F702" s="14">
        <f>CHOOSE(CONTROL!$C$42, 49.9976, 49.9976)*CHOOSE(CONTROL!$C$21, $C$9, 100%, $E$9)</f>
        <v>49.997599999999998</v>
      </c>
      <c r="G702" s="14">
        <f>CHOOSE(CONTROL!$C$42, 50.0134, 50.0134)*CHOOSE(CONTROL!$C$21, $C$9, 100%, $E$9)</f>
        <v>50.013399999999997</v>
      </c>
      <c r="H702" s="14">
        <f>CHOOSE(CONTROL!$C$42, 50.2485, 50.2485) * CHOOSE(CONTROL!$C$21, $C$9, 100%, $E$9)</f>
        <v>50.2485</v>
      </c>
      <c r="I702" s="14">
        <f>CHOOSE(CONTROL!$C$42, 50.1785, 50.1785)* CHOOSE(CONTROL!$C$21, $C$9, 100%, $E$9)</f>
        <v>50.1785</v>
      </c>
      <c r="J702" s="14">
        <f>CHOOSE(CONTROL!$C$42, 49.9906, 49.9906)* CHOOSE(CONTROL!$C$21, $C$9, 100%, $E$9)</f>
        <v>49.990600000000001</v>
      </c>
      <c r="K702" s="53">
        <f>CHOOSE(CONTROL!$C$42, 50.1746, 50.1746) * CHOOSE(CONTROL!$C$21, $C$9, 100%, $E$9)</f>
        <v>50.174599999999998</v>
      </c>
      <c r="L702" s="14">
        <f>CHOOSE(CONTROL!$C$42, 50.8355, 50.8355) * CHOOSE(CONTROL!$C$21, $C$9, 100%, $E$9)</f>
        <v>50.835500000000003</v>
      </c>
      <c r="M702" s="14">
        <f>CHOOSE(CONTROL!$C$42, 48.974, 48.974) * CHOOSE(CONTROL!$C$21, $C$9, 100%, $E$9)</f>
        <v>48.973999999999997</v>
      </c>
      <c r="N702" s="14">
        <f>CHOOSE(CONTROL!$C$42, 48.9895, 48.9895) * CHOOSE(CONTROL!$C$21, $C$9, 100%, $E$9)</f>
        <v>48.9895</v>
      </c>
      <c r="O702" s="14">
        <f>CHOOSE(CONTROL!$C$42, 49.2266, 49.2266) * CHOOSE(CONTROL!$C$21, $C$9, 100%, $E$9)</f>
        <v>49.226599999999998</v>
      </c>
      <c r="P702" s="14">
        <f>CHOOSE(CONTROL!$C$42, 49.155, 49.155) * CHOOSE(CONTROL!$C$21, $C$9, 100%, $E$9)</f>
        <v>49.155000000000001</v>
      </c>
      <c r="Q702" s="14">
        <f>CHOOSE(CONTROL!$C$42, 49.8213, 49.8213) * CHOOSE(CONTROL!$C$21, $C$9, 100%, $E$9)</f>
        <v>49.821300000000001</v>
      </c>
      <c r="R702" s="14">
        <f>CHOOSE(CONTROL!$C$42, 50.5329, 50.5329) * CHOOSE(CONTROL!$C$21, $C$9, 100%, $E$9)</f>
        <v>50.532899999999998</v>
      </c>
      <c r="S702" s="14">
        <f>CHOOSE(CONTROL!$C$42, 48.0501, 48.0501) * CHOOSE(CONTROL!$C$21, $C$9, 100%, $E$9)</f>
        <v>48.0501</v>
      </c>
      <c r="T70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02" s="57">
        <f>(1000*CHOOSE(CONTROL!$C$42, 695, 695)*CHOOSE(CONTROL!$C$42, 0.5599, 0.5599)*CHOOSE(CONTROL!$C$42, 30, 30))/1000000</f>
        <v>11.673914999999997</v>
      </c>
      <c r="V702" s="57">
        <f>(1000*CHOOSE(CONTROL!$C$42, 500, 500)*CHOOSE(CONTROL!$C$42, 0.275, 0.275)*CHOOSE(CONTROL!$C$42, 30, 30))/1000000</f>
        <v>4.125</v>
      </c>
      <c r="W702" s="57">
        <f>(1000*CHOOSE(CONTROL!$C$42, 0.1146, 0.1146)*CHOOSE(CONTROL!$C$42, 121.5, 121.5)*CHOOSE(CONTROL!$C$42, 30, 30))/1000000</f>
        <v>0.417717</v>
      </c>
      <c r="X702" s="57">
        <f>(30*0.1790888*245000/1000000)+(30*0.2374*100000/1000000)</f>
        <v>2.0285026799999999</v>
      </c>
      <c r="Y702" s="57"/>
      <c r="Z702" s="14"/>
      <c r="AA702" s="56"/>
      <c r="AB702" s="50">
        <f>(B702*194.205+C702*267.466+D702*133.845+E702*53.484+F702*40+G702*185+H702*0+I702*100+J702*300)/(194.205+267.466+133.845+53.484+0+40+185+100+300)</f>
        <v>50.056192679434851</v>
      </c>
      <c r="AC702" s="45">
        <f>(M702*'RAP TEMPLATE-GAS AVAILABILITY'!O701+N702*'RAP TEMPLATE-GAS AVAILABILITY'!P701+O702*'RAP TEMPLATE-GAS AVAILABILITY'!Q701+P702*'RAP TEMPLATE-GAS AVAILABILITY'!R701)/('RAP TEMPLATE-GAS AVAILABILITY'!O701+'RAP TEMPLATE-GAS AVAILABILITY'!P701+'RAP TEMPLATE-GAS AVAILABILITY'!Q701+'RAP TEMPLATE-GAS AVAILABILITY'!R701)</f>
        <v>49.115423021582728</v>
      </c>
    </row>
    <row r="703" spans="1:29" ht="15.75" x14ac:dyDescent="0.25">
      <c r="A703" s="32">
        <v>62305</v>
      </c>
      <c r="B703" s="14">
        <f>CHOOSE(CONTROL!$C$42, 49.0571, 49.0571) * CHOOSE(CONTROL!$C$21, $C$9, 100%, $E$9)</f>
        <v>49.057099999999998</v>
      </c>
      <c r="C703" s="14">
        <f>CHOOSE(CONTROL!$C$42, 49.0651, 49.0651) * CHOOSE(CONTROL!$C$21, $C$9, 100%, $E$9)</f>
        <v>49.065100000000001</v>
      </c>
      <c r="D703" s="14">
        <f>CHOOSE(CONTROL!$C$42, 49.2691, 49.2691) * CHOOSE(CONTROL!$C$21, $C$9, 100%, $E$9)</f>
        <v>49.269100000000002</v>
      </c>
      <c r="E703" s="14">
        <f>CHOOSE(CONTROL!$C$42, 49.3005, 49.3005) * CHOOSE(CONTROL!$C$21, $C$9, 100%, $E$9)</f>
        <v>49.3005</v>
      </c>
      <c r="F703" s="14">
        <f>CHOOSE(CONTROL!$C$42, 49.0387, 49.0387)*CHOOSE(CONTROL!$C$21, $C$9, 100%, $E$9)</f>
        <v>49.038699999999999</v>
      </c>
      <c r="G703" s="14">
        <f>CHOOSE(CONTROL!$C$42, 49.0546, 49.0546)*CHOOSE(CONTROL!$C$21, $C$9, 100%, $E$9)</f>
        <v>49.054600000000001</v>
      </c>
      <c r="H703" s="14">
        <f>CHOOSE(CONTROL!$C$42, 49.2892, 49.2892) * CHOOSE(CONTROL!$C$21, $C$9, 100%, $E$9)</f>
        <v>49.289200000000001</v>
      </c>
      <c r="I703" s="14">
        <f>CHOOSE(CONTROL!$C$42, 49.2162, 49.2162)* CHOOSE(CONTROL!$C$21, $C$9, 100%, $E$9)</f>
        <v>49.216200000000001</v>
      </c>
      <c r="J703" s="14">
        <f>CHOOSE(CONTROL!$C$42, 49.0317, 49.0317)* CHOOSE(CONTROL!$C$21, $C$9, 100%, $E$9)</f>
        <v>49.031700000000001</v>
      </c>
      <c r="K703" s="53">
        <f>CHOOSE(CONTROL!$C$42, 49.2123, 49.2123) * CHOOSE(CONTROL!$C$21, $C$9, 100%, $E$9)</f>
        <v>49.212299999999999</v>
      </c>
      <c r="L703" s="14">
        <f>CHOOSE(CONTROL!$C$42, 49.8762, 49.8762) * CHOOSE(CONTROL!$C$21, $C$9, 100%, $E$9)</f>
        <v>49.876199999999997</v>
      </c>
      <c r="M703" s="14">
        <f>CHOOSE(CONTROL!$C$42, 48.0348, 48.0348) * CHOOSE(CONTROL!$C$21, $C$9, 100%, $E$9)</f>
        <v>48.034799999999997</v>
      </c>
      <c r="N703" s="14">
        <f>CHOOSE(CONTROL!$C$42, 48.0504, 48.0504) * CHOOSE(CONTROL!$C$21, $C$9, 100%, $E$9)</f>
        <v>48.050400000000003</v>
      </c>
      <c r="O703" s="14">
        <f>CHOOSE(CONTROL!$C$42, 48.2869, 48.2869) * CHOOSE(CONTROL!$C$21, $C$9, 100%, $E$9)</f>
        <v>48.286900000000003</v>
      </c>
      <c r="P703" s="14">
        <f>CHOOSE(CONTROL!$C$42, 48.2124, 48.2124) * CHOOSE(CONTROL!$C$21, $C$9, 100%, $E$9)</f>
        <v>48.212400000000002</v>
      </c>
      <c r="Q703" s="14">
        <f>CHOOSE(CONTROL!$C$42, 48.8816, 48.8816) * CHOOSE(CONTROL!$C$21, $C$9, 100%, $E$9)</f>
        <v>48.881599999999999</v>
      </c>
      <c r="R703" s="14">
        <f>CHOOSE(CONTROL!$C$42, 49.5908, 49.5908) * CHOOSE(CONTROL!$C$21, $C$9, 100%, $E$9)</f>
        <v>49.590800000000002</v>
      </c>
      <c r="S703" s="14">
        <f>CHOOSE(CONTROL!$C$42, 47.1283, 47.1283) * CHOOSE(CONTROL!$C$21, $C$9, 100%, $E$9)</f>
        <v>47.128300000000003</v>
      </c>
      <c r="T70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03" s="57">
        <f>(1000*CHOOSE(CONTROL!$C$42, 695, 695)*CHOOSE(CONTROL!$C$42, 0.5599, 0.5599)*CHOOSE(CONTROL!$C$42, 31, 31))/1000000</f>
        <v>12.063045499999998</v>
      </c>
      <c r="V703" s="57">
        <f>(1000*CHOOSE(CONTROL!$C$42, 500, 500)*CHOOSE(CONTROL!$C$42, 0.275, 0.275)*CHOOSE(CONTROL!$C$42, 31, 31))/1000000</f>
        <v>4.2625000000000002</v>
      </c>
      <c r="W703" s="57">
        <f>(1000*CHOOSE(CONTROL!$C$42, 0.1146, 0.1146)*CHOOSE(CONTROL!$C$42, 121.5, 121.5)*CHOOSE(CONTROL!$C$42, 31, 31))/1000000</f>
        <v>0.43164089999999994</v>
      </c>
      <c r="X703" s="57">
        <f>(31*0.1790888*245000/1000000)+(31*0.2374*100000/1000000)</f>
        <v>2.0961194359999999</v>
      </c>
      <c r="Y703" s="57"/>
      <c r="Z703" s="14"/>
      <c r="AA703" s="56"/>
      <c r="AB703" s="50">
        <f>(B703*194.205+C703*267.466+D703*133.845+E703*53.484+F703*40+G703*185+H703*0+I703*100+J703*300)/(194.205+267.466+133.845+53.484+0+40+185+100+300)</f>
        <v>49.096836556985878</v>
      </c>
      <c r="AC703" s="45">
        <f>(M703*'RAP TEMPLATE-GAS AVAILABILITY'!O702+N703*'RAP TEMPLATE-GAS AVAILABILITY'!P702+O703*'RAP TEMPLATE-GAS AVAILABILITY'!Q702+P703*'RAP TEMPLATE-GAS AVAILABILITY'!R702)/('RAP TEMPLATE-GAS AVAILABILITY'!O702+'RAP TEMPLATE-GAS AVAILABILITY'!P702+'RAP TEMPLATE-GAS AVAILABILITY'!Q702+'RAP TEMPLATE-GAS AVAILABILITY'!R702)</f>
        <v>48.175512949640293</v>
      </c>
    </row>
    <row r="704" spans="1:29" ht="15.75" x14ac:dyDescent="0.25">
      <c r="A704" s="32">
        <v>62336</v>
      </c>
      <c r="B704" s="14">
        <f>CHOOSE(CONTROL!$C$42, 46.6345, 46.6345) * CHOOSE(CONTROL!$C$21, $C$9, 100%, $E$9)</f>
        <v>46.634500000000003</v>
      </c>
      <c r="C704" s="14">
        <f>CHOOSE(CONTROL!$C$42, 46.6425, 46.6425) * CHOOSE(CONTROL!$C$21, $C$9, 100%, $E$9)</f>
        <v>46.642499999999998</v>
      </c>
      <c r="D704" s="14">
        <f>CHOOSE(CONTROL!$C$42, 46.8465, 46.8465) * CHOOSE(CONTROL!$C$21, $C$9, 100%, $E$9)</f>
        <v>46.846499999999999</v>
      </c>
      <c r="E704" s="14">
        <f>CHOOSE(CONTROL!$C$42, 46.8779, 46.8779) * CHOOSE(CONTROL!$C$21, $C$9, 100%, $E$9)</f>
        <v>46.877899999999997</v>
      </c>
      <c r="F704" s="14">
        <f>CHOOSE(CONTROL!$C$42, 46.6164, 46.6164)*CHOOSE(CONTROL!$C$21, $C$9, 100%, $E$9)</f>
        <v>46.616399999999999</v>
      </c>
      <c r="G704" s="14">
        <f>CHOOSE(CONTROL!$C$42, 46.6323, 46.6323)*CHOOSE(CONTROL!$C$21, $C$9, 100%, $E$9)</f>
        <v>46.632300000000001</v>
      </c>
      <c r="H704" s="14">
        <f>CHOOSE(CONTROL!$C$42, 46.8666, 46.8666) * CHOOSE(CONTROL!$C$21, $C$9, 100%, $E$9)</f>
        <v>46.866599999999998</v>
      </c>
      <c r="I704" s="14">
        <f>CHOOSE(CONTROL!$C$42, 46.786, 46.786)* CHOOSE(CONTROL!$C$21, $C$9, 100%, $E$9)</f>
        <v>46.786000000000001</v>
      </c>
      <c r="J704" s="14">
        <f>CHOOSE(CONTROL!$C$42, 46.6094, 46.6094)* CHOOSE(CONTROL!$C$21, $C$9, 100%, $E$9)</f>
        <v>46.609400000000001</v>
      </c>
      <c r="K704" s="53">
        <f>CHOOSE(CONTROL!$C$42, 46.7821, 46.7821) * CHOOSE(CONTROL!$C$21, $C$9, 100%, $E$9)</f>
        <v>46.7821</v>
      </c>
      <c r="L704" s="14">
        <f>CHOOSE(CONTROL!$C$42, 47.4536, 47.4536) * CHOOSE(CONTROL!$C$21, $C$9, 100%, $E$9)</f>
        <v>47.453600000000002</v>
      </c>
      <c r="M704" s="14">
        <f>CHOOSE(CONTROL!$C$42, 45.6621, 45.6621) * CHOOSE(CONTROL!$C$21, $C$9, 100%, $E$9)</f>
        <v>45.662100000000002</v>
      </c>
      <c r="N704" s="14">
        <f>CHOOSE(CONTROL!$C$42, 45.6777, 45.6777) * CHOOSE(CONTROL!$C$21, $C$9, 100%, $E$9)</f>
        <v>45.677700000000002</v>
      </c>
      <c r="O704" s="14">
        <f>CHOOSE(CONTROL!$C$42, 45.914, 45.914) * CHOOSE(CONTROL!$C$21, $C$9, 100%, $E$9)</f>
        <v>45.914000000000001</v>
      </c>
      <c r="P704" s="14">
        <f>CHOOSE(CONTROL!$C$42, 45.8322, 45.8322) * CHOOSE(CONTROL!$C$21, $C$9, 100%, $E$9)</f>
        <v>45.8322</v>
      </c>
      <c r="Q704" s="14">
        <f>CHOOSE(CONTROL!$C$42, 46.5087, 46.5087) * CHOOSE(CONTROL!$C$21, $C$9, 100%, $E$9)</f>
        <v>46.508699999999997</v>
      </c>
      <c r="R704" s="14">
        <f>CHOOSE(CONTROL!$C$42, 47.212, 47.212) * CHOOSE(CONTROL!$C$21, $C$9, 100%, $E$9)</f>
        <v>47.212000000000003</v>
      </c>
      <c r="S704" s="14">
        <f>CHOOSE(CONTROL!$C$42, 44.8005, 44.8005) * CHOOSE(CONTROL!$C$21, $C$9, 100%, $E$9)</f>
        <v>44.8005</v>
      </c>
      <c r="T70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04" s="57">
        <f>(1000*CHOOSE(CONTROL!$C$42, 695, 695)*CHOOSE(CONTROL!$C$42, 0.5599, 0.5599)*CHOOSE(CONTROL!$C$42, 31, 31))/1000000</f>
        <v>12.063045499999998</v>
      </c>
      <c r="V704" s="57">
        <f>(1000*CHOOSE(CONTROL!$C$42, 500, 500)*CHOOSE(CONTROL!$C$42, 0.275, 0.275)*CHOOSE(CONTROL!$C$42, 31, 31))/1000000</f>
        <v>4.2625000000000002</v>
      </c>
      <c r="W704" s="57">
        <f>(1000*CHOOSE(CONTROL!$C$42, 0.1146, 0.1146)*CHOOSE(CONTROL!$C$42, 121.5, 121.5)*CHOOSE(CONTROL!$C$42, 31, 31))/1000000</f>
        <v>0.43164089999999994</v>
      </c>
      <c r="X704" s="57">
        <f>(31*0.1790888*245000/1000000)+(31*0.2374*100000/1000000)</f>
        <v>2.0961194359999999</v>
      </c>
      <c r="Y704" s="57"/>
      <c r="Z704" s="14"/>
      <c r="AA704" s="56"/>
      <c r="AB704" s="50">
        <f>(B704*194.205+C704*267.466+D704*133.845+E704*53.484+F704*40+G704*185+H704*0+I704*100+J704*300)/(194.205+267.466+133.845+53.484+0+40+185+100+300)</f>
        <v>46.673763637048665</v>
      </c>
      <c r="AC704" s="45">
        <f>(M704*'RAP TEMPLATE-GAS AVAILABILITY'!O703+N704*'RAP TEMPLATE-GAS AVAILABILITY'!P703+O704*'RAP TEMPLATE-GAS AVAILABILITY'!Q703+P704*'RAP TEMPLATE-GAS AVAILABILITY'!R703)/('RAP TEMPLATE-GAS AVAILABILITY'!O703+'RAP TEMPLATE-GAS AVAILABILITY'!P703+'RAP TEMPLATE-GAS AVAILABILITY'!Q703+'RAP TEMPLATE-GAS AVAILABILITY'!R703)</f>
        <v>45.801643165467624</v>
      </c>
    </row>
    <row r="705" spans="1:29" ht="15.75" x14ac:dyDescent="0.25">
      <c r="A705" s="32">
        <v>62366</v>
      </c>
      <c r="B705" s="14">
        <f>CHOOSE(CONTROL!$C$42, 43.6742, 43.6742) * CHOOSE(CONTROL!$C$21, $C$9, 100%, $E$9)</f>
        <v>43.674199999999999</v>
      </c>
      <c r="C705" s="14">
        <f>CHOOSE(CONTROL!$C$42, 43.6822, 43.6822) * CHOOSE(CONTROL!$C$21, $C$9, 100%, $E$9)</f>
        <v>43.682200000000002</v>
      </c>
      <c r="D705" s="14">
        <f>CHOOSE(CONTROL!$C$42, 43.8861, 43.8861) * CHOOSE(CONTROL!$C$21, $C$9, 100%, $E$9)</f>
        <v>43.886099999999999</v>
      </c>
      <c r="E705" s="14">
        <f>CHOOSE(CONTROL!$C$42, 43.9176, 43.9176) * CHOOSE(CONTROL!$C$21, $C$9, 100%, $E$9)</f>
        <v>43.9176</v>
      </c>
      <c r="F705" s="14">
        <f>CHOOSE(CONTROL!$C$42, 43.6561, 43.6561)*CHOOSE(CONTROL!$C$21, $C$9, 100%, $E$9)</f>
        <v>43.656100000000002</v>
      </c>
      <c r="G705" s="14">
        <f>CHOOSE(CONTROL!$C$42, 43.672, 43.672)*CHOOSE(CONTROL!$C$21, $C$9, 100%, $E$9)</f>
        <v>43.671999999999997</v>
      </c>
      <c r="H705" s="14">
        <f>CHOOSE(CONTROL!$C$42, 43.9062, 43.9062) * CHOOSE(CONTROL!$C$21, $C$9, 100%, $E$9)</f>
        <v>43.906199999999998</v>
      </c>
      <c r="I705" s="14">
        <f>CHOOSE(CONTROL!$C$42, 43.8164, 43.8164)* CHOOSE(CONTROL!$C$21, $C$9, 100%, $E$9)</f>
        <v>43.816400000000002</v>
      </c>
      <c r="J705" s="14">
        <f>CHOOSE(CONTROL!$C$42, 43.6491, 43.6491)* CHOOSE(CONTROL!$C$21, $C$9, 100%, $E$9)</f>
        <v>43.649099999999997</v>
      </c>
      <c r="K705" s="53">
        <f>CHOOSE(CONTROL!$C$42, 43.8125, 43.8125) * CHOOSE(CONTROL!$C$21, $C$9, 100%, $E$9)</f>
        <v>43.8125</v>
      </c>
      <c r="L705" s="14">
        <f>CHOOSE(CONTROL!$C$42, 44.4932, 44.4932) * CHOOSE(CONTROL!$C$21, $C$9, 100%, $E$9)</f>
        <v>44.493200000000002</v>
      </c>
      <c r="M705" s="14">
        <f>CHOOSE(CONTROL!$C$42, 42.7624, 42.7624) * CHOOSE(CONTROL!$C$21, $C$9, 100%, $E$9)</f>
        <v>42.7624</v>
      </c>
      <c r="N705" s="14">
        <f>CHOOSE(CONTROL!$C$42, 42.7781, 42.7781) * CHOOSE(CONTROL!$C$21, $C$9, 100%, $E$9)</f>
        <v>42.778100000000002</v>
      </c>
      <c r="O705" s="14">
        <f>CHOOSE(CONTROL!$C$42, 43.0143, 43.0143) * CHOOSE(CONTROL!$C$21, $C$9, 100%, $E$9)</f>
        <v>43.014299999999999</v>
      </c>
      <c r="P705" s="14">
        <f>CHOOSE(CONTROL!$C$42, 42.9236, 42.9236) * CHOOSE(CONTROL!$C$21, $C$9, 100%, $E$9)</f>
        <v>42.9236</v>
      </c>
      <c r="Q705" s="14">
        <f>CHOOSE(CONTROL!$C$42, 43.609, 43.609) * CHOOSE(CONTROL!$C$21, $C$9, 100%, $E$9)</f>
        <v>43.609000000000002</v>
      </c>
      <c r="R705" s="14">
        <f>CHOOSE(CONTROL!$C$42, 44.305, 44.305) * CHOOSE(CONTROL!$C$21, $C$9, 100%, $E$9)</f>
        <v>44.305</v>
      </c>
      <c r="S705" s="14">
        <f>CHOOSE(CONTROL!$C$42, 41.9559, 41.9559) * CHOOSE(CONTROL!$C$21, $C$9, 100%, $E$9)</f>
        <v>41.9559</v>
      </c>
      <c r="T70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05" s="57">
        <f>(1000*CHOOSE(CONTROL!$C$42, 695, 695)*CHOOSE(CONTROL!$C$42, 0.5599, 0.5599)*CHOOSE(CONTROL!$C$42, 30, 30))/1000000</f>
        <v>11.673914999999997</v>
      </c>
      <c r="V705" s="57">
        <f>(1000*CHOOSE(CONTROL!$C$42, 500, 500)*CHOOSE(CONTROL!$C$42, 0.275, 0.275)*CHOOSE(CONTROL!$C$42, 30, 30))/1000000</f>
        <v>4.125</v>
      </c>
      <c r="W705" s="57">
        <f>(1000*CHOOSE(CONTROL!$C$42, 0.1146, 0.1146)*CHOOSE(CONTROL!$C$42, 121.5, 121.5)*CHOOSE(CONTROL!$C$42, 30, 30))/1000000</f>
        <v>0.417717</v>
      </c>
      <c r="X705" s="57">
        <f>(30*0.1790888*245000/1000000)+(30*0.2374*100000/1000000)</f>
        <v>2.0285026799999999</v>
      </c>
      <c r="Y705" s="57"/>
      <c r="Z705" s="14"/>
      <c r="AA705" s="56"/>
      <c r="AB705" s="50">
        <f>(B705*194.205+C705*267.466+D705*133.845+E705*53.484+F705*40+G705*185+H705*0+I705*100+J705*300)/(194.205+267.466+133.845+53.484+0+40+185+100+300)</f>
        <v>43.712723146860277</v>
      </c>
      <c r="AC705" s="45">
        <f>(M705*'RAP TEMPLATE-GAS AVAILABILITY'!O704+N705*'RAP TEMPLATE-GAS AVAILABILITY'!P704+O705*'RAP TEMPLATE-GAS AVAILABILITY'!Q704+P705*'RAP TEMPLATE-GAS AVAILABILITY'!R704)/('RAP TEMPLATE-GAS AVAILABILITY'!O704+'RAP TEMPLATE-GAS AVAILABILITY'!P704+'RAP TEMPLATE-GAS AVAILABILITY'!Q704+'RAP TEMPLATE-GAS AVAILABILITY'!R704)</f>
        <v>42.900668345323744</v>
      </c>
    </row>
    <row r="706" spans="1:29" ht="15.75" x14ac:dyDescent="0.25">
      <c r="A706" s="32">
        <v>62397</v>
      </c>
      <c r="B706" s="14">
        <f>CHOOSE(CONTROL!$C$42, 42.7859, 42.7859) * CHOOSE(CONTROL!$C$21, $C$9, 100%, $E$9)</f>
        <v>42.785899999999998</v>
      </c>
      <c r="C706" s="14">
        <f>CHOOSE(CONTROL!$C$42, 42.7912, 42.7912) * CHOOSE(CONTROL!$C$21, $C$9, 100%, $E$9)</f>
        <v>42.791200000000003</v>
      </c>
      <c r="D706" s="14">
        <f>CHOOSE(CONTROL!$C$42, 43.0001, 43.0001) * CHOOSE(CONTROL!$C$21, $C$9, 100%, $E$9)</f>
        <v>43.000100000000003</v>
      </c>
      <c r="E706" s="14">
        <f>CHOOSE(CONTROL!$C$42, 43.0292, 43.0292) * CHOOSE(CONTROL!$C$21, $C$9, 100%, $E$9)</f>
        <v>43.029200000000003</v>
      </c>
      <c r="F706" s="14">
        <f>CHOOSE(CONTROL!$C$42, 42.7699, 42.7699)*CHOOSE(CONTROL!$C$21, $C$9, 100%, $E$9)</f>
        <v>42.7699</v>
      </c>
      <c r="G706" s="14">
        <f>CHOOSE(CONTROL!$C$42, 42.7855, 42.7855)*CHOOSE(CONTROL!$C$21, $C$9, 100%, $E$9)</f>
        <v>42.785499999999999</v>
      </c>
      <c r="H706" s="14">
        <f>CHOOSE(CONTROL!$C$42, 43.0197, 43.0197) * CHOOSE(CONTROL!$C$21, $C$9, 100%, $E$9)</f>
        <v>43.0197</v>
      </c>
      <c r="I706" s="14">
        <f>CHOOSE(CONTROL!$C$42, 42.9271, 42.9271)* CHOOSE(CONTROL!$C$21, $C$9, 100%, $E$9)</f>
        <v>42.927100000000003</v>
      </c>
      <c r="J706" s="14">
        <f>CHOOSE(CONTROL!$C$42, 42.7629, 42.7629)* CHOOSE(CONTROL!$C$21, $C$9, 100%, $E$9)</f>
        <v>42.762900000000002</v>
      </c>
      <c r="K706" s="53">
        <f>CHOOSE(CONTROL!$C$42, 42.9232, 42.9232) * CHOOSE(CONTROL!$C$21, $C$9, 100%, $E$9)</f>
        <v>42.923200000000001</v>
      </c>
      <c r="L706" s="14">
        <f>CHOOSE(CONTROL!$C$42, 43.6067, 43.6067) * CHOOSE(CONTROL!$C$21, $C$9, 100%, $E$9)</f>
        <v>43.606699999999996</v>
      </c>
      <c r="M706" s="14">
        <f>CHOOSE(CONTROL!$C$42, 41.8944, 41.8944) * CHOOSE(CONTROL!$C$21, $C$9, 100%, $E$9)</f>
        <v>41.894399999999997</v>
      </c>
      <c r="N706" s="14">
        <f>CHOOSE(CONTROL!$C$42, 41.9097, 41.9097) * CHOOSE(CONTROL!$C$21, $C$9, 100%, $E$9)</f>
        <v>41.909700000000001</v>
      </c>
      <c r="O706" s="14">
        <f>CHOOSE(CONTROL!$C$42, 42.1459, 42.1459) * CHOOSE(CONTROL!$C$21, $C$9, 100%, $E$9)</f>
        <v>42.145899999999997</v>
      </c>
      <c r="P706" s="14">
        <f>CHOOSE(CONTROL!$C$42, 42.0526, 42.0526) * CHOOSE(CONTROL!$C$21, $C$9, 100%, $E$9)</f>
        <v>42.052599999999998</v>
      </c>
      <c r="Q706" s="14">
        <f>CHOOSE(CONTROL!$C$42, 42.7406, 42.7406) * CHOOSE(CONTROL!$C$21, $C$9, 100%, $E$9)</f>
        <v>42.740600000000001</v>
      </c>
      <c r="R706" s="14">
        <f>CHOOSE(CONTROL!$C$42, 43.4345, 43.4345) * CHOOSE(CONTROL!$C$21, $C$9, 100%, $E$9)</f>
        <v>43.4345</v>
      </c>
      <c r="S706" s="14">
        <f>CHOOSE(CONTROL!$C$42, 41.104, 41.104) * CHOOSE(CONTROL!$C$21, $C$9, 100%, $E$9)</f>
        <v>41.103999999999999</v>
      </c>
      <c r="T70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06" s="57">
        <f>(1000*CHOOSE(CONTROL!$C$42, 695, 695)*CHOOSE(CONTROL!$C$42, 0.5599, 0.5599)*CHOOSE(CONTROL!$C$42, 31, 31))/1000000</f>
        <v>12.063045499999998</v>
      </c>
      <c r="V706" s="57">
        <f>(1000*CHOOSE(CONTROL!$C$42, 500, 500)*CHOOSE(CONTROL!$C$42, 0.275, 0.275)*CHOOSE(CONTROL!$C$42, 31, 31))/1000000</f>
        <v>4.2625000000000002</v>
      </c>
      <c r="W706" s="57">
        <f>(1000*CHOOSE(CONTROL!$C$42, 0.1146, 0.1146)*CHOOSE(CONTROL!$C$42, 121.5, 121.5)*CHOOSE(CONTROL!$C$42, 31, 31))/1000000</f>
        <v>0.43164089999999994</v>
      </c>
      <c r="X706" s="57">
        <f>(31*0.1790888*245000/1000000)+(31*0.2374*100000/1000000)</f>
        <v>2.0961194359999999</v>
      </c>
      <c r="Y706" s="57"/>
      <c r="Z706" s="14"/>
      <c r="AA706" s="56"/>
      <c r="AB706" s="50">
        <f>(B706*131.881+C706*277.167+D706*79.08+E706*125.872+F706*40+G706*185+H706*0+I706*100+J706*300)/(131.881+277.167+79.08+125.872+0+40+185+100+300)</f>
        <v>42.830725325827288</v>
      </c>
      <c r="AC706" s="45">
        <f>(M706*'RAP TEMPLATE-GAS AVAILABILITY'!O705+N706*'RAP TEMPLATE-GAS AVAILABILITY'!P705+O706*'RAP TEMPLATE-GAS AVAILABILITY'!Q705+P706*'RAP TEMPLATE-GAS AVAILABILITY'!R705)/('RAP TEMPLATE-GAS AVAILABILITY'!O705+'RAP TEMPLATE-GAS AVAILABILITY'!P705+'RAP TEMPLATE-GAS AVAILABILITY'!Q705+'RAP TEMPLATE-GAS AVAILABILITY'!R705)</f>
        <v>42.032032374100716</v>
      </c>
    </row>
    <row r="707" spans="1:29" ht="15.75" x14ac:dyDescent="0.25">
      <c r="A707" s="32">
        <v>62427</v>
      </c>
      <c r="B707" s="14">
        <f>CHOOSE(CONTROL!$C$42, 43.9124, 43.9124) * CHOOSE(CONTROL!$C$21, $C$9, 100%, $E$9)</f>
        <v>43.912399999999998</v>
      </c>
      <c r="C707" s="14">
        <f>CHOOSE(CONTROL!$C$42, 43.9174, 43.9174) * CHOOSE(CONTROL!$C$21, $C$9, 100%, $E$9)</f>
        <v>43.917400000000001</v>
      </c>
      <c r="D707" s="14">
        <f>CHOOSE(CONTROL!$C$42, 43.9813, 43.9813) * CHOOSE(CONTROL!$C$21, $C$9, 100%, $E$9)</f>
        <v>43.981299999999997</v>
      </c>
      <c r="E707" s="14">
        <f>CHOOSE(CONTROL!$C$42, 44.0154, 44.0154) * CHOOSE(CONTROL!$C$21, $C$9, 100%, $E$9)</f>
        <v>44.0154</v>
      </c>
      <c r="F707" s="14">
        <f>CHOOSE(CONTROL!$C$42, 43.9148, 43.9148)*CHOOSE(CONTROL!$C$21, $C$9, 100%, $E$9)</f>
        <v>43.9148</v>
      </c>
      <c r="G707" s="14">
        <f>CHOOSE(CONTROL!$C$42, 43.9308, 43.9308)*CHOOSE(CONTROL!$C$21, $C$9, 100%, $E$9)</f>
        <v>43.930799999999998</v>
      </c>
      <c r="H707" s="14">
        <f>CHOOSE(CONTROL!$C$42, 44.0046, 44.0046) * CHOOSE(CONTROL!$C$21, $C$9, 100%, $E$9)</f>
        <v>44.004600000000003</v>
      </c>
      <c r="I707" s="14">
        <f>CHOOSE(CONTROL!$C$42, 44.0628, 44.0628)* CHOOSE(CONTROL!$C$21, $C$9, 100%, $E$9)</f>
        <v>44.062800000000003</v>
      </c>
      <c r="J707" s="14">
        <f>CHOOSE(CONTROL!$C$42, 43.9078, 43.9078)* CHOOSE(CONTROL!$C$21, $C$9, 100%, $E$9)</f>
        <v>43.907800000000002</v>
      </c>
      <c r="K707" s="53">
        <f>CHOOSE(CONTROL!$C$42, 44.0589, 44.0589) * CHOOSE(CONTROL!$C$21, $C$9, 100%, $E$9)</f>
        <v>44.058900000000001</v>
      </c>
      <c r="L707" s="14">
        <f>CHOOSE(CONTROL!$C$42, 44.5916, 44.5916) * CHOOSE(CONTROL!$C$21, $C$9, 100%, $E$9)</f>
        <v>44.5916</v>
      </c>
      <c r="M707" s="14">
        <f>CHOOSE(CONTROL!$C$42, 43.0158, 43.0158) * CHOOSE(CONTROL!$C$21, $C$9, 100%, $E$9)</f>
        <v>43.015799999999999</v>
      </c>
      <c r="N707" s="14">
        <f>CHOOSE(CONTROL!$C$42, 43.0315, 43.0315) * CHOOSE(CONTROL!$C$21, $C$9, 100%, $E$9)</f>
        <v>43.031500000000001</v>
      </c>
      <c r="O707" s="14">
        <f>CHOOSE(CONTROL!$C$42, 43.1106, 43.1106) * CHOOSE(CONTROL!$C$21, $C$9, 100%, $E$9)</f>
        <v>43.110599999999998</v>
      </c>
      <c r="P707" s="14">
        <f>CHOOSE(CONTROL!$C$42, 43.1649, 43.1649) * CHOOSE(CONTROL!$C$21, $C$9, 100%, $E$9)</f>
        <v>43.164900000000003</v>
      </c>
      <c r="Q707" s="14">
        <f>CHOOSE(CONTROL!$C$42, 43.7053, 43.7053) * CHOOSE(CONTROL!$C$21, $C$9, 100%, $E$9)</f>
        <v>43.705300000000001</v>
      </c>
      <c r="R707" s="14">
        <f>CHOOSE(CONTROL!$C$42, 44.4016, 44.4016) * CHOOSE(CONTROL!$C$21, $C$9, 100%, $E$9)</f>
        <v>44.401600000000002</v>
      </c>
      <c r="S707" s="14">
        <f>CHOOSE(CONTROL!$C$42, 42.1869, 42.1869) * CHOOSE(CONTROL!$C$21, $C$9, 100%, $E$9)</f>
        <v>42.186900000000001</v>
      </c>
      <c r="T70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07" s="57">
        <f>(1000*CHOOSE(CONTROL!$C$42, 695, 695)*CHOOSE(CONTROL!$C$42, 0.5599, 0.5599)*CHOOSE(CONTROL!$C$42, 30, 30))/1000000</f>
        <v>11.673914999999997</v>
      </c>
      <c r="V707" s="57">
        <f>(1000*CHOOSE(CONTROL!$C$42, 500, 500)*CHOOSE(CONTROL!$C$42, 0.275, 0.275)*CHOOSE(CONTROL!$C$42, 30, 30))/1000000</f>
        <v>4.125</v>
      </c>
      <c r="W707" s="57">
        <f>(1000*CHOOSE(CONTROL!$C$42, 0.1146, 0.1146)*CHOOSE(CONTROL!$C$42, 121.5, 121.5)*CHOOSE(CONTROL!$C$42, 30, 30))/1000000</f>
        <v>0.417717</v>
      </c>
      <c r="X707" s="57">
        <f>(30*0.1790888*100000/1000000)+(30*0.2374*100000/1000000)</f>
        <v>1.2494664</v>
      </c>
      <c r="Y707" s="57"/>
      <c r="Z707" s="14"/>
      <c r="AA707" s="56"/>
      <c r="AB707" s="50">
        <f>(B707*122.58+C707*297.941+D707*89.177+E707*40.302+F707*40+G707*160+H707*0+I707*100+J707*300)/(122.58+297.941+89.177+40.302+0+40+160+100+300)</f>
        <v>43.937169657652163</v>
      </c>
      <c r="AC707" s="45">
        <f>(M707*'RAP TEMPLATE-GAS AVAILABILITY'!O706+N707*'RAP TEMPLATE-GAS AVAILABILITY'!P706+O707*'RAP TEMPLATE-GAS AVAILABILITY'!Q706+P707*'RAP TEMPLATE-GAS AVAILABILITY'!R706)/('RAP TEMPLATE-GAS AVAILABILITY'!O706+'RAP TEMPLATE-GAS AVAILABILITY'!P706+'RAP TEMPLATE-GAS AVAILABILITY'!Q706+'RAP TEMPLATE-GAS AVAILABILITY'!R706)</f>
        <v>43.081123741007197</v>
      </c>
    </row>
    <row r="708" spans="1:29" ht="15.75" x14ac:dyDescent="0.25">
      <c r="A708" s="32">
        <v>62458</v>
      </c>
      <c r="B708" s="14">
        <f>CHOOSE(CONTROL!$C$42, 46.9056, 46.9056) * CHOOSE(CONTROL!$C$21, $C$9, 100%, $E$9)</f>
        <v>46.9056</v>
      </c>
      <c r="C708" s="14">
        <f>CHOOSE(CONTROL!$C$42, 46.9107, 46.9107) * CHOOSE(CONTROL!$C$21, $C$9, 100%, $E$9)</f>
        <v>46.910699999999999</v>
      </c>
      <c r="D708" s="14">
        <f>CHOOSE(CONTROL!$C$42, 46.9745, 46.9745) * CHOOSE(CONTROL!$C$21, $C$9, 100%, $E$9)</f>
        <v>46.974499999999999</v>
      </c>
      <c r="E708" s="14">
        <f>CHOOSE(CONTROL!$C$42, 47.0086, 47.0086) * CHOOSE(CONTROL!$C$21, $C$9, 100%, $E$9)</f>
        <v>47.008600000000001</v>
      </c>
      <c r="F708" s="14">
        <f>CHOOSE(CONTROL!$C$42, 46.9103, 46.9103)*CHOOSE(CONTROL!$C$21, $C$9, 100%, $E$9)</f>
        <v>46.910299999999999</v>
      </c>
      <c r="G708" s="14">
        <f>CHOOSE(CONTROL!$C$42, 46.9269, 46.9269)*CHOOSE(CONTROL!$C$21, $C$9, 100%, $E$9)</f>
        <v>46.926900000000003</v>
      </c>
      <c r="H708" s="14">
        <f>CHOOSE(CONTROL!$C$42, 46.9978, 46.9978) * CHOOSE(CONTROL!$C$21, $C$9, 100%, $E$9)</f>
        <v>46.997799999999998</v>
      </c>
      <c r="I708" s="14">
        <f>CHOOSE(CONTROL!$C$42, 47.0654, 47.0654)* CHOOSE(CONTROL!$C$21, $C$9, 100%, $E$9)</f>
        <v>47.065399999999997</v>
      </c>
      <c r="J708" s="14">
        <f>CHOOSE(CONTROL!$C$42, 46.9033, 46.9033)* CHOOSE(CONTROL!$C$21, $C$9, 100%, $E$9)</f>
        <v>46.903300000000002</v>
      </c>
      <c r="K708" s="53">
        <f>CHOOSE(CONTROL!$C$42, 47.0615, 47.0615) * CHOOSE(CONTROL!$C$21, $C$9, 100%, $E$9)</f>
        <v>47.061500000000002</v>
      </c>
      <c r="L708" s="14">
        <f>CHOOSE(CONTROL!$C$42, 47.5848, 47.5848) * CHOOSE(CONTROL!$C$21, $C$9, 100%, $E$9)</f>
        <v>47.584800000000001</v>
      </c>
      <c r="M708" s="14">
        <f>CHOOSE(CONTROL!$C$42, 45.95, 45.95) * CHOOSE(CONTROL!$C$21, $C$9, 100%, $E$9)</f>
        <v>45.95</v>
      </c>
      <c r="N708" s="14">
        <f>CHOOSE(CONTROL!$C$42, 45.9662, 45.9662) * CHOOSE(CONTROL!$C$21, $C$9, 100%, $E$9)</f>
        <v>45.966200000000001</v>
      </c>
      <c r="O708" s="14">
        <f>CHOOSE(CONTROL!$C$42, 46.0426, 46.0426) * CHOOSE(CONTROL!$C$21, $C$9, 100%, $E$9)</f>
        <v>46.0426</v>
      </c>
      <c r="P708" s="14">
        <f>CHOOSE(CONTROL!$C$42, 46.1059, 46.1059) * CHOOSE(CONTROL!$C$21, $C$9, 100%, $E$9)</f>
        <v>46.105899999999998</v>
      </c>
      <c r="Q708" s="14">
        <f>CHOOSE(CONTROL!$C$42, 46.6373, 46.6373) * CHOOSE(CONTROL!$C$21, $C$9, 100%, $E$9)</f>
        <v>46.637300000000003</v>
      </c>
      <c r="R708" s="14">
        <f>CHOOSE(CONTROL!$C$42, 47.3409, 47.3409) * CHOOSE(CONTROL!$C$21, $C$9, 100%, $E$9)</f>
        <v>47.340899999999998</v>
      </c>
      <c r="S708" s="14">
        <f>CHOOSE(CONTROL!$C$42, 45.0631, 45.0631) * CHOOSE(CONTROL!$C$21, $C$9, 100%, $E$9)</f>
        <v>45.063099999999999</v>
      </c>
      <c r="T70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08" s="57">
        <f>(1000*CHOOSE(CONTROL!$C$42, 695, 695)*CHOOSE(CONTROL!$C$42, 0.5599, 0.5599)*CHOOSE(CONTROL!$C$42, 31, 31))/1000000</f>
        <v>12.063045499999998</v>
      </c>
      <c r="V708" s="57">
        <f>(1000*CHOOSE(CONTROL!$C$42, 500, 500)*CHOOSE(CONTROL!$C$42, 0.275, 0.275)*CHOOSE(CONTROL!$C$42, 31, 31))/1000000</f>
        <v>4.2625000000000002</v>
      </c>
      <c r="W708" s="57">
        <f>(1000*CHOOSE(CONTROL!$C$42, 0.1146, 0.1146)*CHOOSE(CONTROL!$C$42, 121.5, 121.5)*CHOOSE(CONTROL!$C$42, 31, 31))/1000000</f>
        <v>0.43164089999999994</v>
      </c>
      <c r="X708" s="57">
        <f>(31*0.1790888*100000/1000000)+(31*0.2374*100000/1000000)</f>
        <v>1.2911152800000001</v>
      </c>
      <c r="Y708" s="57"/>
      <c r="Z708" s="14"/>
      <c r="AA708" s="56"/>
      <c r="AB708" s="50">
        <f>(B708*122.58+C708*297.941+D708*89.177+E708*40.302+F708*40+G708*160+H708*0+I708*100+J708*300)/(122.58+297.941+89.177+40.302+0+40+160+100+300)</f>
        <v>46.932296435130439</v>
      </c>
      <c r="AC708" s="45">
        <f>(M708*'RAP TEMPLATE-GAS AVAILABILITY'!O707+N708*'RAP TEMPLATE-GAS AVAILABILITY'!P707+O708*'RAP TEMPLATE-GAS AVAILABILITY'!Q707+P708*'RAP TEMPLATE-GAS AVAILABILITY'!R707)/('RAP TEMPLATE-GAS AVAILABILITY'!O707+'RAP TEMPLATE-GAS AVAILABILITY'!P707+'RAP TEMPLATE-GAS AVAILABILITY'!Q707+'RAP TEMPLATE-GAS AVAILABILITY'!R707)</f>
        <v>46.015333812949642</v>
      </c>
    </row>
    <row r="709" spans="1:29" ht="15.75" x14ac:dyDescent="0.25">
      <c r="A709" s="32">
        <v>62489</v>
      </c>
      <c r="B709" s="14">
        <f>CHOOSE(CONTROL!$C$42, 50.7471, 50.7471) * CHOOSE(CONTROL!$C$21, $C$9, 100%, $E$9)</f>
        <v>50.747100000000003</v>
      </c>
      <c r="C709" s="14">
        <f>CHOOSE(CONTROL!$C$42, 50.7522, 50.7522) * CHOOSE(CONTROL!$C$21, $C$9, 100%, $E$9)</f>
        <v>50.752200000000002</v>
      </c>
      <c r="D709" s="14">
        <f>CHOOSE(CONTROL!$C$42, 50.8186, 50.8186) * CHOOSE(CONTROL!$C$21, $C$9, 100%, $E$9)</f>
        <v>50.818600000000004</v>
      </c>
      <c r="E709" s="14">
        <f>CHOOSE(CONTROL!$C$42, 50.8527, 50.8527) * CHOOSE(CONTROL!$C$21, $C$9, 100%, $E$9)</f>
        <v>50.852699999999999</v>
      </c>
      <c r="F709" s="14">
        <f>CHOOSE(CONTROL!$C$42, 50.7344, 50.7344)*CHOOSE(CONTROL!$C$21, $C$9, 100%, $E$9)</f>
        <v>50.734400000000001</v>
      </c>
      <c r="G709" s="14">
        <f>CHOOSE(CONTROL!$C$42, 50.7499, 50.7499)*CHOOSE(CONTROL!$C$21, $C$9, 100%, $E$9)</f>
        <v>50.749899999999997</v>
      </c>
      <c r="H709" s="14">
        <f>CHOOSE(CONTROL!$C$42, 50.8419, 50.8419) * CHOOSE(CONTROL!$C$21, $C$9, 100%, $E$9)</f>
        <v>50.841900000000003</v>
      </c>
      <c r="I709" s="14">
        <f>CHOOSE(CONTROL!$C$42, 50.9136, 50.9136)* CHOOSE(CONTROL!$C$21, $C$9, 100%, $E$9)</f>
        <v>50.913600000000002</v>
      </c>
      <c r="J709" s="14">
        <f>CHOOSE(CONTROL!$C$42, 50.7274, 50.7274)* CHOOSE(CONTROL!$C$21, $C$9, 100%, $E$9)</f>
        <v>50.727400000000003</v>
      </c>
      <c r="K709" s="53">
        <f>CHOOSE(CONTROL!$C$42, 50.9098, 50.9098) * CHOOSE(CONTROL!$C$21, $C$9, 100%, $E$9)</f>
        <v>50.909799999999997</v>
      </c>
      <c r="L709" s="14">
        <f>CHOOSE(CONTROL!$C$42, 51.4289, 51.4289) * CHOOSE(CONTROL!$C$21, $C$9, 100%, $E$9)</f>
        <v>51.428899999999999</v>
      </c>
      <c r="M709" s="14">
        <f>CHOOSE(CONTROL!$C$42, 49.6957, 49.6957) * CHOOSE(CONTROL!$C$21, $C$9, 100%, $E$9)</f>
        <v>49.695700000000002</v>
      </c>
      <c r="N709" s="14">
        <f>CHOOSE(CONTROL!$C$42, 49.7109, 49.7109) * CHOOSE(CONTROL!$C$21, $C$9, 100%, $E$9)</f>
        <v>49.710900000000002</v>
      </c>
      <c r="O709" s="14">
        <f>CHOOSE(CONTROL!$C$42, 49.8078, 49.8078) * CHOOSE(CONTROL!$C$21, $C$9, 100%, $E$9)</f>
        <v>49.8078</v>
      </c>
      <c r="P709" s="14">
        <f>CHOOSE(CONTROL!$C$42, 49.875, 49.875) * CHOOSE(CONTROL!$C$21, $C$9, 100%, $E$9)</f>
        <v>49.875</v>
      </c>
      <c r="Q709" s="14">
        <f>CHOOSE(CONTROL!$C$42, 50.4025, 50.4025) * CHOOSE(CONTROL!$C$21, $C$9, 100%, $E$9)</f>
        <v>50.402500000000003</v>
      </c>
      <c r="R709" s="14">
        <f>CHOOSE(CONTROL!$C$42, 51.1156, 51.1156) * CHOOSE(CONTROL!$C$21, $C$9, 100%, $E$9)</f>
        <v>51.115600000000001</v>
      </c>
      <c r="S709" s="14">
        <f>CHOOSE(CONTROL!$C$42, 48.7543, 48.7543) * CHOOSE(CONTROL!$C$21, $C$9, 100%, $E$9)</f>
        <v>48.754300000000001</v>
      </c>
      <c r="T70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09" s="57">
        <f>(1000*CHOOSE(CONTROL!$C$42, 695, 695)*CHOOSE(CONTROL!$C$42, 0.5599, 0.5599)*CHOOSE(CONTROL!$C$42, 31, 31))/1000000</f>
        <v>12.063045499999998</v>
      </c>
      <c r="V709" s="57">
        <f>(1000*CHOOSE(CONTROL!$C$42, 500, 500)*CHOOSE(CONTROL!$C$42, 0.275, 0.275)*CHOOSE(CONTROL!$C$42, 31, 31))/1000000</f>
        <v>4.2625000000000002</v>
      </c>
      <c r="W709" s="57">
        <f>(1000*CHOOSE(CONTROL!$C$42, 0.1146, 0.1146)*CHOOSE(CONTROL!$C$42, 121.5, 121.5)*CHOOSE(CONTROL!$C$42, 31, 31))/1000000</f>
        <v>0.43164089999999994</v>
      </c>
      <c r="X709" s="57">
        <f>(31*0.1790888*100000/1000000)+(31*0.2374*100000/1000000)</f>
        <v>1.2911152800000001</v>
      </c>
      <c r="Y709" s="57"/>
      <c r="Z709" s="14"/>
      <c r="AA709" s="56"/>
      <c r="AB709" s="50">
        <f>(B709*122.58+C709*297.941+D709*89.177+E709*40.302+F709*40+G709*160+H709*0+I709*100+J709*300)/(122.58+297.941+89.177+40.302+0+40+160+100+300)</f>
        <v>50.766953518086957</v>
      </c>
      <c r="AC709" s="45">
        <f>(M709*'RAP TEMPLATE-GAS AVAILABILITY'!O708+N709*'RAP TEMPLATE-GAS AVAILABILITY'!P708+O709*'RAP TEMPLATE-GAS AVAILABILITY'!Q708+P709*'RAP TEMPLATE-GAS AVAILABILITY'!R708)/('RAP TEMPLATE-GAS AVAILABILITY'!O708+'RAP TEMPLATE-GAS AVAILABILITY'!P708+'RAP TEMPLATE-GAS AVAILABILITY'!Q708+'RAP TEMPLATE-GAS AVAILABILITY'!R708)</f>
        <v>49.773181294964033</v>
      </c>
    </row>
    <row r="710" spans="1:29" ht="15.75" x14ac:dyDescent="0.25">
      <c r="A710" s="32">
        <v>62517</v>
      </c>
      <c r="B710" s="14">
        <f>CHOOSE(CONTROL!$C$42, 51.6503, 51.6503) * CHOOSE(CONTROL!$C$21, $C$9, 100%, $E$9)</f>
        <v>51.650300000000001</v>
      </c>
      <c r="C710" s="14">
        <f>CHOOSE(CONTROL!$C$42, 51.6554, 51.6554) * CHOOSE(CONTROL!$C$21, $C$9, 100%, $E$9)</f>
        <v>51.6554</v>
      </c>
      <c r="D710" s="14">
        <f>CHOOSE(CONTROL!$C$42, 51.7218, 51.7218) * CHOOSE(CONTROL!$C$21, $C$9, 100%, $E$9)</f>
        <v>51.721800000000002</v>
      </c>
      <c r="E710" s="14">
        <f>CHOOSE(CONTROL!$C$42, 51.7559, 51.7559) * CHOOSE(CONTROL!$C$21, $C$9, 100%, $E$9)</f>
        <v>51.755899999999997</v>
      </c>
      <c r="F710" s="14">
        <f>CHOOSE(CONTROL!$C$42, 51.6377, 51.6377)*CHOOSE(CONTROL!$C$21, $C$9, 100%, $E$9)</f>
        <v>51.637700000000002</v>
      </c>
      <c r="G710" s="14">
        <f>CHOOSE(CONTROL!$C$42, 51.6532, 51.6532)*CHOOSE(CONTROL!$C$21, $C$9, 100%, $E$9)</f>
        <v>51.653199999999998</v>
      </c>
      <c r="H710" s="14">
        <f>CHOOSE(CONTROL!$C$42, 51.7451, 51.7451) * CHOOSE(CONTROL!$C$21, $C$9, 100%, $E$9)</f>
        <v>51.745100000000001</v>
      </c>
      <c r="I710" s="14">
        <f>CHOOSE(CONTROL!$C$42, 51.8197, 51.8197)* CHOOSE(CONTROL!$C$21, $C$9, 100%, $E$9)</f>
        <v>51.819699999999997</v>
      </c>
      <c r="J710" s="14">
        <f>CHOOSE(CONTROL!$C$42, 51.6307, 51.6307)* CHOOSE(CONTROL!$C$21, $C$9, 100%, $E$9)</f>
        <v>51.630699999999997</v>
      </c>
      <c r="K710" s="53">
        <f>CHOOSE(CONTROL!$C$42, 51.8158, 51.8158) * CHOOSE(CONTROL!$C$21, $C$9, 100%, $E$9)</f>
        <v>51.815800000000003</v>
      </c>
      <c r="L710" s="14">
        <f>CHOOSE(CONTROL!$C$42, 52.3321, 52.3321) * CHOOSE(CONTROL!$C$21, $C$9, 100%, $E$9)</f>
        <v>52.332099999999997</v>
      </c>
      <c r="M710" s="14">
        <f>CHOOSE(CONTROL!$C$42, 50.5805, 50.5805) * CHOOSE(CONTROL!$C$21, $C$9, 100%, $E$9)</f>
        <v>50.580500000000001</v>
      </c>
      <c r="N710" s="14">
        <f>CHOOSE(CONTROL!$C$42, 50.5957, 50.5957) * CHOOSE(CONTROL!$C$21, $C$9, 100%, $E$9)</f>
        <v>50.595700000000001</v>
      </c>
      <c r="O710" s="14">
        <f>CHOOSE(CONTROL!$C$42, 50.6925, 50.6925) * CHOOSE(CONTROL!$C$21, $C$9, 100%, $E$9)</f>
        <v>50.692500000000003</v>
      </c>
      <c r="P710" s="14">
        <f>CHOOSE(CONTROL!$C$42, 50.7624, 50.7624) * CHOOSE(CONTROL!$C$21, $C$9, 100%, $E$9)</f>
        <v>50.7624</v>
      </c>
      <c r="Q710" s="14">
        <f>CHOOSE(CONTROL!$C$42, 51.2872, 51.2872) * CHOOSE(CONTROL!$C$21, $C$9, 100%, $E$9)</f>
        <v>51.287199999999999</v>
      </c>
      <c r="R710" s="14">
        <f>CHOOSE(CONTROL!$C$42, 52.0025, 52.0025) * CHOOSE(CONTROL!$C$21, $C$9, 100%, $E$9)</f>
        <v>52.002499999999998</v>
      </c>
      <c r="S710" s="14">
        <f>CHOOSE(CONTROL!$C$42, 49.6222, 49.6222) * CHOOSE(CONTROL!$C$21, $C$9, 100%, $E$9)</f>
        <v>49.622199999999999</v>
      </c>
      <c r="T71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10" s="57">
        <f>(1000*CHOOSE(CONTROL!$C$42, 695, 695)*CHOOSE(CONTROL!$C$42, 0.5599, 0.5599)*CHOOSE(CONTROL!$C$42, 28, 28))/1000000</f>
        <v>10.895653999999999</v>
      </c>
      <c r="V710" s="57">
        <f>(1000*CHOOSE(CONTROL!$C$42, 500, 500)*CHOOSE(CONTROL!$C$42, 0.275, 0.275)*CHOOSE(CONTROL!$C$42, 28, 28))/1000000</f>
        <v>3.85</v>
      </c>
      <c r="W710" s="57">
        <f>(1000*CHOOSE(CONTROL!$C$42, 0.1146, 0.1146)*CHOOSE(CONTROL!$C$42, 121.5, 121.5)*CHOOSE(CONTROL!$C$42, 28, 28))/1000000</f>
        <v>0.38986920000000003</v>
      </c>
      <c r="X710" s="57">
        <f>(28*0.1790888*100000/1000000)+(28*0.2374*100000/1000000)</f>
        <v>1.16616864</v>
      </c>
      <c r="Y710" s="57"/>
      <c r="Z710" s="14"/>
      <c r="AA710" s="56"/>
      <c r="AB710" s="50">
        <f>(B710*122.58+C710*297.941+D710*89.177+E710*40.302+F710*40+G710*160+H710*0+I710*100+J710*300)/(122.58+297.941+89.177+40.302+0+40+160+100+300)</f>
        <v>51.670449170260873</v>
      </c>
      <c r="AC710" s="45">
        <f>(M710*'RAP TEMPLATE-GAS AVAILABILITY'!O709+N710*'RAP TEMPLATE-GAS AVAILABILITY'!P709+O710*'RAP TEMPLATE-GAS AVAILABILITY'!Q709+P710*'RAP TEMPLATE-GAS AVAILABILITY'!R709)/('RAP TEMPLATE-GAS AVAILABILITY'!O709+'RAP TEMPLATE-GAS AVAILABILITY'!P709+'RAP TEMPLATE-GAS AVAILABILITY'!Q709+'RAP TEMPLATE-GAS AVAILABILITY'!R709)</f>
        <v>50.658310071942438</v>
      </c>
    </row>
    <row r="711" spans="1:29" ht="15.75" x14ac:dyDescent="0.25">
      <c r="A711" s="32">
        <v>62548</v>
      </c>
      <c r="B711" s="14">
        <f>CHOOSE(CONTROL!$C$42, 50.1842, 50.1842) * CHOOSE(CONTROL!$C$21, $C$9, 100%, $E$9)</f>
        <v>50.184199999999997</v>
      </c>
      <c r="C711" s="14">
        <f>CHOOSE(CONTROL!$C$42, 50.1892, 50.1892) * CHOOSE(CONTROL!$C$21, $C$9, 100%, $E$9)</f>
        <v>50.1892</v>
      </c>
      <c r="D711" s="14">
        <f>CHOOSE(CONTROL!$C$42, 50.2557, 50.2557) * CHOOSE(CONTROL!$C$21, $C$9, 100%, $E$9)</f>
        <v>50.255699999999997</v>
      </c>
      <c r="E711" s="14">
        <f>CHOOSE(CONTROL!$C$42, 50.2898, 50.2898) * CHOOSE(CONTROL!$C$21, $C$9, 100%, $E$9)</f>
        <v>50.2898</v>
      </c>
      <c r="F711" s="14">
        <f>CHOOSE(CONTROL!$C$42, 50.1712, 50.1712)*CHOOSE(CONTROL!$C$21, $C$9, 100%, $E$9)</f>
        <v>50.171199999999999</v>
      </c>
      <c r="G711" s="14">
        <f>CHOOSE(CONTROL!$C$42, 50.1866, 50.1866)*CHOOSE(CONTROL!$C$21, $C$9, 100%, $E$9)</f>
        <v>50.186599999999999</v>
      </c>
      <c r="H711" s="14">
        <f>CHOOSE(CONTROL!$C$42, 50.279, 50.279) * CHOOSE(CONTROL!$C$21, $C$9, 100%, $E$9)</f>
        <v>50.279000000000003</v>
      </c>
      <c r="I711" s="14">
        <f>CHOOSE(CONTROL!$C$42, 50.349, 50.349)* CHOOSE(CONTROL!$C$21, $C$9, 100%, $E$9)</f>
        <v>50.348999999999997</v>
      </c>
      <c r="J711" s="14">
        <f>CHOOSE(CONTROL!$C$42, 50.1642, 50.1642)* CHOOSE(CONTROL!$C$21, $C$9, 100%, $E$9)</f>
        <v>50.164200000000001</v>
      </c>
      <c r="K711" s="53">
        <f>CHOOSE(CONTROL!$C$42, 50.3451, 50.3451) * CHOOSE(CONTROL!$C$21, $C$9, 100%, $E$9)</f>
        <v>50.345100000000002</v>
      </c>
      <c r="L711" s="14">
        <f>CHOOSE(CONTROL!$C$42, 50.866, 50.866) * CHOOSE(CONTROL!$C$21, $C$9, 100%, $E$9)</f>
        <v>50.866</v>
      </c>
      <c r="M711" s="14">
        <f>CHOOSE(CONTROL!$C$42, 49.144, 49.144) * CHOOSE(CONTROL!$C$21, $C$9, 100%, $E$9)</f>
        <v>49.143999999999998</v>
      </c>
      <c r="N711" s="14">
        <f>CHOOSE(CONTROL!$C$42, 49.1591, 49.1591) * CHOOSE(CONTROL!$C$21, $C$9, 100%, $E$9)</f>
        <v>49.159100000000002</v>
      </c>
      <c r="O711" s="14">
        <f>CHOOSE(CONTROL!$C$42, 49.2565, 49.2565) * CHOOSE(CONTROL!$C$21, $C$9, 100%, $E$9)</f>
        <v>49.256500000000003</v>
      </c>
      <c r="P711" s="14">
        <f>CHOOSE(CONTROL!$C$42, 49.322, 49.322) * CHOOSE(CONTROL!$C$21, $C$9, 100%, $E$9)</f>
        <v>49.322000000000003</v>
      </c>
      <c r="Q711" s="14">
        <f>CHOOSE(CONTROL!$C$42, 49.8512, 49.8512) * CHOOSE(CONTROL!$C$21, $C$9, 100%, $E$9)</f>
        <v>49.851199999999999</v>
      </c>
      <c r="R711" s="14">
        <f>CHOOSE(CONTROL!$C$42, 50.5628, 50.5628) * CHOOSE(CONTROL!$C$21, $C$9, 100%, $E$9)</f>
        <v>50.562800000000003</v>
      </c>
      <c r="S711" s="14">
        <f>CHOOSE(CONTROL!$C$42, 48.2134, 48.2134) * CHOOSE(CONTROL!$C$21, $C$9, 100%, $E$9)</f>
        <v>48.2134</v>
      </c>
      <c r="T71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11" s="57">
        <f>(1000*CHOOSE(CONTROL!$C$42, 695, 695)*CHOOSE(CONTROL!$C$42, 0.5599, 0.5599)*CHOOSE(CONTROL!$C$42, 31, 31))/1000000</f>
        <v>12.063045499999998</v>
      </c>
      <c r="V711" s="57">
        <f>(1000*CHOOSE(CONTROL!$C$42, 500, 500)*CHOOSE(CONTROL!$C$42, 0.275, 0.275)*CHOOSE(CONTROL!$C$42, 31, 31))/1000000</f>
        <v>4.2625000000000002</v>
      </c>
      <c r="W711" s="57">
        <f>(1000*CHOOSE(CONTROL!$C$42, 0.1146, 0.1146)*CHOOSE(CONTROL!$C$42, 121.5, 121.5)*CHOOSE(CONTROL!$C$42, 31, 31))/1000000</f>
        <v>0.43164089999999994</v>
      </c>
      <c r="X711" s="57">
        <f>(31*0.1790888*100000/1000000)+(31*0.2374*100000/1000000)</f>
        <v>1.2911152800000001</v>
      </c>
      <c r="Y711" s="57"/>
      <c r="Z711" s="14"/>
      <c r="AA711" s="56"/>
      <c r="AB711" s="50">
        <f>(B711*122.58+C711*297.941+D711*89.177+E711*40.302+F711*40+G711*160+H711*0+I711*100+J711*300)/(122.58+297.941+89.177+40.302+0+40+160+100+300)</f>
        <v>50.203735436260871</v>
      </c>
      <c r="AC711" s="45">
        <f>(M711*'RAP TEMPLATE-GAS AVAILABILITY'!O710+N711*'RAP TEMPLATE-GAS AVAILABILITY'!P710+O711*'RAP TEMPLATE-GAS AVAILABILITY'!Q710+P711*'RAP TEMPLATE-GAS AVAILABILITY'!R710)/('RAP TEMPLATE-GAS AVAILABILITY'!O710+'RAP TEMPLATE-GAS AVAILABILITY'!P710+'RAP TEMPLATE-GAS AVAILABILITY'!Q710+'RAP TEMPLATE-GAS AVAILABILITY'!R710)</f>
        <v>49.221469784172655</v>
      </c>
    </row>
    <row r="712" spans="1:29" ht="15.75" x14ac:dyDescent="0.25">
      <c r="A712" s="32">
        <v>62578</v>
      </c>
      <c r="B712" s="14">
        <f>CHOOSE(CONTROL!$C$42, 50.0351, 50.0351) * CHOOSE(CONTROL!$C$21, $C$9, 100%, $E$9)</f>
        <v>50.0351</v>
      </c>
      <c r="C712" s="14">
        <f>CHOOSE(CONTROL!$C$42, 50.0396, 50.0396) * CHOOSE(CONTROL!$C$21, $C$9, 100%, $E$9)</f>
        <v>50.0396</v>
      </c>
      <c r="D712" s="14">
        <f>CHOOSE(CONTROL!$C$42, 50.2467, 50.2467) * CHOOSE(CONTROL!$C$21, $C$9, 100%, $E$9)</f>
        <v>50.246699999999997</v>
      </c>
      <c r="E712" s="14">
        <f>CHOOSE(CONTROL!$C$42, 50.2788, 50.2788) * CHOOSE(CONTROL!$C$21, $C$9, 100%, $E$9)</f>
        <v>50.278799999999997</v>
      </c>
      <c r="F712" s="14">
        <f>CHOOSE(CONTROL!$C$42, 50.017, 50.017)*CHOOSE(CONTROL!$C$21, $C$9, 100%, $E$9)</f>
        <v>50.017000000000003</v>
      </c>
      <c r="G712" s="14">
        <f>CHOOSE(CONTROL!$C$42, 50.0322, 50.0322)*CHOOSE(CONTROL!$C$21, $C$9, 100%, $E$9)</f>
        <v>50.032200000000003</v>
      </c>
      <c r="H712" s="14">
        <f>CHOOSE(CONTROL!$C$42, 50.2686, 50.2686) * CHOOSE(CONTROL!$C$21, $C$9, 100%, $E$9)</f>
        <v>50.268599999999999</v>
      </c>
      <c r="I712" s="14">
        <f>CHOOSE(CONTROL!$C$42, 50.1987, 50.1987)* CHOOSE(CONTROL!$C$21, $C$9, 100%, $E$9)</f>
        <v>50.198700000000002</v>
      </c>
      <c r="J712" s="14">
        <f>CHOOSE(CONTROL!$C$42, 50.01, 50.01)* CHOOSE(CONTROL!$C$21, $C$9, 100%, $E$9)</f>
        <v>50.01</v>
      </c>
      <c r="K712" s="53">
        <f>CHOOSE(CONTROL!$C$42, 50.1948, 50.1948) * CHOOSE(CONTROL!$C$21, $C$9, 100%, $E$9)</f>
        <v>50.194800000000001</v>
      </c>
      <c r="L712" s="14">
        <f>CHOOSE(CONTROL!$C$42, 50.8556, 50.8556) * CHOOSE(CONTROL!$C$21, $C$9, 100%, $E$9)</f>
        <v>50.855600000000003</v>
      </c>
      <c r="M712" s="14">
        <f>CHOOSE(CONTROL!$C$42, 48.993, 48.993) * CHOOSE(CONTROL!$C$21, $C$9, 100%, $E$9)</f>
        <v>48.993000000000002</v>
      </c>
      <c r="N712" s="14">
        <f>CHOOSE(CONTROL!$C$42, 49.0079, 49.0079) * CHOOSE(CONTROL!$C$21, $C$9, 100%, $E$9)</f>
        <v>49.007899999999999</v>
      </c>
      <c r="O712" s="14">
        <f>CHOOSE(CONTROL!$C$42, 49.2463, 49.2463) * CHOOSE(CONTROL!$C$21, $C$9, 100%, $E$9)</f>
        <v>49.246299999999998</v>
      </c>
      <c r="P712" s="14">
        <f>CHOOSE(CONTROL!$C$42, 49.1747, 49.1747) * CHOOSE(CONTROL!$C$21, $C$9, 100%, $E$9)</f>
        <v>49.174700000000001</v>
      </c>
      <c r="Q712" s="14">
        <f>CHOOSE(CONTROL!$C$42, 49.841, 49.841) * CHOOSE(CONTROL!$C$21, $C$9, 100%, $E$9)</f>
        <v>49.841000000000001</v>
      </c>
      <c r="R712" s="14">
        <f>CHOOSE(CONTROL!$C$42, 50.5526, 50.5526) * CHOOSE(CONTROL!$C$21, $C$9, 100%, $E$9)</f>
        <v>50.552599999999998</v>
      </c>
      <c r="S712" s="14">
        <f>CHOOSE(CONTROL!$C$42, 48.0695, 48.0695) * CHOOSE(CONTROL!$C$21, $C$9, 100%, $E$9)</f>
        <v>48.069499999999998</v>
      </c>
      <c r="T71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12" s="57">
        <f>(1000*CHOOSE(CONTROL!$C$42, 695, 695)*CHOOSE(CONTROL!$C$42, 0.5599, 0.5599)*CHOOSE(CONTROL!$C$42, 30, 30))/1000000</f>
        <v>11.673914999999997</v>
      </c>
      <c r="V712" s="57">
        <f>(1000*CHOOSE(CONTROL!$C$42, 500, 500)*CHOOSE(CONTROL!$C$42, 0.275, 0.275)*CHOOSE(CONTROL!$C$42, 30, 30))/1000000</f>
        <v>4.125</v>
      </c>
      <c r="W712" s="57">
        <f>(1000*CHOOSE(CONTROL!$C$42, 0.1146, 0.1146)*CHOOSE(CONTROL!$C$42, 121.5, 121.5)*CHOOSE(CONTROL!$C$42, 30, 30))/1000000</f>
        <v>0.417717</v>
      </c>
      <c r="X712" s="57">
        <f>(30*0.1790888*245000/1000000)+(30*0.2374*100000/1000000)</f>
        <v>2.0285026799999999</v>
      </c>
      <c r="Y712" s="57"/>
      <c r="Z712" s="14"/>
      <c r="AA712" s="56"/>
      <c r="AB712" s="50">
        <f>(B712*141.293+C712*267.993+D712*115.016+E712*89.698+F712*40+G712*185+H712*0+I712*100+J712*300)/(141.293+267.993+115.016+89.698+0+40+185+100+300)</f>
        <v>50.079468245924133</v>
      </c>
      <c r="AC712" s="45">
        <f>(M712*'RAP TEMPLATE-GAS AVAILABILITY'!O711+N712*'RAP TEMPLATE-GAS AVAILABILITY'!P711+O712*'RAP TEMPLATE-GAS AVAILABILITY'!Q711+P712*'RAP TEMPLATE-GAS AVAILABILITY'!R711)/('RAP TEMPLATE-GAS AVAILABILITY'!O711+'RAP TEMPLATE-GAS AVAILABILITY'!P711+'RAP TEMPLATE-GAS AVAILABILITY'!Q711+'RAP TEMPLATE-GAS AVAILABILITY'!R711)</f>
        <v>49.134806474820138</v>
      </c>
    </row>
    <row r="713" spans="1:29" ht="15.75" x14ac:dyDescent="0.25">
      <c r="A713" s="32">
        <v>62609</v>
      </c>
      <c r="B713" s="14">
        <f>CHOOSE(CONTROL!$C$42, 50.478, 50.478) * CHOOSE(CONTROL!$C$21, $C$9, 100%, $E$9)</f>
        <v>50.478000000000002</v>
      </c>
      <c r="C713" s="14">
        <f>CHOOSE(CONTROL!$C$42, 50.4861, 50.4861) * CHOOSE(CONTROL!$C$21, $C$9, 100%, $E$9)</f>
        <v>50.4861</v>
      </c>
      <c r="D713" s="14">
        <f>CHOOSE(CONTROL!$C$42, 50.69, 50.69) * CHOOSE(CONTROL!$C$21, $C$9, 100%, $E$9)</f>
        <v>50.69</v>
      </c>
      <c r="E713" s="14">
        <f>CHOOSE(CONTROL!$C$42, 50.7215, 50.7215) * CHOOSE(CONTROL!$C$21, $C$9, 100%, $E$9)</f>
        <v>50.721499999999999</v>
      </c>
      <c r="F713" s="14">
        <f>CHOOSE(CONTROL!$C$42, 50.4588, 50.4588)*CHOOSE(CONTROL!$C$21, $C$9, 100%, $E$9)</f>
        <v>50.458799999999997</v>
      </c>
      <c r="G713" s="14">
        <f>CHOOSE(CONTROL!$C$42, 50.4744, 50.4744)*CHOOSE(CONTROL!$C$21, $C$9, 100%, $E$9)</f>
        <v>50.474400000000003</v>
      </c>
      <c r="H713" s="14">
        <f>CHOOSE(CONTROL!$C$42, 50.7101, 50.7101) * CHOOSE(CONTROL!$C$21, $C$9, 100%, $E$9)</f>
        <v>50.710099999999997</v>
      </c>
      <c r="I713" s="14">
        <f>CHOOSE(CONTROL!$C$42, 50.6416, 50.6416)* CHOOSE(CONTROL!$C$21, $C$9, 100%, $E$9)</f>
        <v>50.641599999999997</v>
      </c>
      <c r="J713" s="14">
        <f>CHOOSE(CONTROL!$C$42, 50.4518, 50.4518)* CHOOSE(CONTROL!$C$21, $C$9, 100%, $E$9)</f>
        <v>50.451799999999999</v>
      </c>
      <c r="K713" s="53">
        <f>CHOOSE(CONTROL!$C$42, 50.6377, 50.6377) * CHOOSE(CONTROL!$C$21, $C$9, 100%, $E$9)</f>
        <v>50.637700000000002</v>
      </c>
      <c r="L713" s="14">
        <f>CHOOSE(CONTROL!$C$42, 51.2971, 51.2971) * CHOOSE(CONTROL!$C$21, $C$9, 100%, $E$9)</f>
        <v>51.2971</v>
      </c>
      <c r="M713" s="14">
        <f>CHOOSE(CONTROL!$C$42, 49.4257, 49.4257) * CHOOSE(CONTROL!$C$21, $C$9, 100%, $E$9)</f>
        <v>49.425699999999999</v>
      </c>
      <c r="N713" s="14">
        <f>CHOOSE(CONTROL!$C$42, 49.4411, 49.4411) * CHOOSE(CONTROL!$C$21, $C$9, 100%, $E$9)</f>
        <v>49.441099999999999</v>
      </c>
      <c r="O713" s="14">
        <f>CHOOSE(CONTROL!$C$42, 49.6788, 49.6788) * CHOOSE(CONTROL!$C$21, $C$9, 100%, $E$9)</f>
        <v>49.678800000000003</v>
      </c>
      <c r="P713" s="14">
        <f>CHOOSE(CONTROL!$C$42, 49.6085, 49.6085) * CHOOSE(CONTROL!$C$21, $C$9, 100%, $E$9)</f>
        <v>49.608499999999999</v>
      </c>
      <c r="Q713" s="14">
        <f>CHOOSE(CONTROL!$C$42, 50.2735, 50.2735) * CHOOSE(CONTROL!$C$21, $C$9, 100%, $E$9)</f>
        <v>50.273499999999999</v>
      </c>
      <c r="R713" s="14">
        <f>CHOOSE(CONTROL!$C$42, 50.9862, 50.9862) * CHOOSE(CONTROL!$C$21, $C$9, 100%, $E$9)</f>
        <v>50.986199999999997</v>
      </c>
      <c r="S713" s="14">
        <f>CHOOSE(CONTROL!$C$42, 48.4937, 48.4937) * CHOOSE(CONTROL!$C$21, $C$9, 100%, $E$9)</f>
        <v>48.493699999999997</v>
      </c>
      <c r="T71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13" s="57">
        <f>(1000*CHOOSE(CONTROL!$C$42, 695, 695)*CHOOSE(CONTROL!$C$42, 0.5599, 0.5599)*CHOOSE(CONTROL!$C$42, 31, 31))/1000000</f>
        <v>12.063045499999998</v>
      </c>
      <c r="V713" s="57">
        <f>(1000*CHOOSE(CONTROL!$C$42, 500, 500)*CHOOSE(CONTROL!$C$42, 0.275, 0.275)*CHOOSE(CONTROL!$C$42, 31, 31))/1000000</f>
        <v>4.2625000000000002</v>
      </c>
      <c r="W713" s="57">
        <f>(1000*CHOOSE(CONTROL!$C$42, 0.1146, 0.1146)*CHOOSE(CONTROL!$C$42, 121.5, 121.5)*CHOOSE(CONTROL!$C$42, 31, 31))/1000000</f>
        <v>0.43164089999999994</v>
      </c>
      <c r="X713" s="57">
        <f>(31*0.1790888*245000/1000000)+(31*0.2374*100000/1000000)</f>
        <v>2.0961194359999999</v>
      </c>
      <c r="Y713" s="57"/>
      <c r="Z713" s="14"/>
      <c r="AA713" s="56"/>
      <c r="AB713" s="50">
        <f>(B713*194.205+C713*267.466+D713*133.845+E713*53.484+F713*40+G713*185+H713*0+I713*100+J713*300)/(194.205+267.466+133.845+53.484+0+40+185+100+300)</f>
        <v>50.517741733594981</v>
      </c>
      <c r="AC713" s="45">
        <f>(M713*'RAP TEMPLATE-GAS AVAILABILITY'!O712+N713*'RAP TEMPLATE-GAS AVAILABILITY'!P712+O713*'RAP TEMPLATE-GAS AVAILABILITY'!Q712+P713*'RAP TEMPLATE-GAS AVAILABILITY'!R712)/('RAP TEMPLATE-GAS AVAILABILITY'!O712+'RAP TEMPLATE-GAS AVAILABILITY'!P712+'RAP TEMPLATE-GAS AVAILABILITY'!Q712+'RAP TEMPLATE-GAS AVAILABILITY'!R712)</f>
        <v>49.567602877697837</v>
      </c>
    </row>
    <row r="714" spans="1:29" ht="15.75" x14ac:dyDescent="0.25">
      <c r="A714" s="32">
        <v>62639</v>
      </c>
      <c r="B714" s="14">
        <f>CHOOSE(CONTROL!$C$42, 51.9096, 51.9096) * CHOOSE(CONTROL!$C$21, $C$9, 100%, $E$9)</f>
        <v>51.909599999999998</v>
      </c>
      <c r="C714" s="14">
        <f>CHOOSE(CONTROL!$C$42, 51.9176, 51.9176) * CHOOSE(CONTROL!$C$21, $C$9, 100%, $E$9)</f>
        <v>51.9176</v>
      </c>
      <c r="D714" s="14">
        <f>CHOOSE(CONTROL!$C$42, 52.1215, 52.1215) * CHOOSE(CONTROL!$C$21, $C$9, 100%, $E$9)</f>
        <v>52.121499999999997</v>
      </c>
      <c r="E714" s="14">
        <f>CHOOSE(CONTROL!$C$42, 52.153, 52.153) * CHOOSE(CONTROL!$C$21, $C$9, 100%, $E$9)</f>
        <v>52.152999999999999</v>
      </c>
      <c r="F714" s="14">
        <f>CHOOSE(CONTROL!$C$42, 51.8907, 51.8907)*CHOOSE(CONTROL!$C$21, $C$9, 100%, $E$9)</f>
        <v>51.890700000000002</v>
      </c>
      <c r="G714" s="14">
        <f>CHOOSE(CONTROL!$C$42, 51.9065, 51.9065)*CHOOSE(CONTROL!$C$21, $C$9, 100%, $E$9)</f>
        <v>51.906500000000001</v>
      </c>
      <c r="H714" s="14">
        <f>CHOOSE(CONTROL!$C$42, 52.1416, 52.1416) * CHOOSE(CONTROL!$C$21, $C$9, 100%, $E$9)</f>
        <v>52.141599999999997</v>
      </c>
      <c r="I714" s="14">
        <f>CHOOSE(CONTROL!$C$42, 52.0776, 52.0776)* CHOOSE(CONTROL!$C$21, $C$9, 100%, $E$9)</f>
        <v>52.077599999999997</v>
      </c>
      <c r="J714" s="14">
        <f>CHOOSE(CONTROL!$C$42, 51.8837, 51.8837)* CHOOSE(CONTROL!$C$21, $C$9, 100%, $E$9)</f>
        <v>51.883699999999997</v>
      </c>
      <c r="K714" s="53">
        <f>CHOOSE(CONTROL!$C$42, 52.0737, 52.0737) * CHOOSE(CONTROL!$C$21, $C$9, 100%, $E$9)</f>
        <v>52.073700000000002</v>
      </c>
      <c r="L714" s="14">
        <f>CHOOSE(CONTROL!$C$42, 52.7286, 52.7286) * CHOOSE(CONTROL!$C$21, $C$9, 100%, $E$9)</f>
        <v>52.7286</v>
      </c>
      <c r="M714" s="14">
        <f>CHOOSE(CONTROL!$C$42, 50.8284, 50.8284) * CHOOSE(CONTROL!$C$21, $C$9, 100%, $E$9)</f>
        <v>50.828400000000002</v>
      </c>
      <c r="N714" s="14">
        <f>CHOOSE(CONTROL!$C$42, 50.8438, 50.8438) * CHOOSE(CONTROL!$C$21, $C$9, 100%, $E$9)</f>
        <v>50.843800000000002</v>
      </c>
      <c r="O714" s="14">
        <f>CHOOSE(CONTROL!$C$42, 51.081, 51.081) * CHOOSE(CONTROL!$C$21, $C$9, 100%, $E$9)</f>
        <v>51.081000000000003</v>
      </c>
      <c r="P714" s="14">
        <f>CHOOSE(CONTROL!$C$42, 51.015, 51.015) * CHOOSE(CONTROL!$C$21, $C$9, 100%, $E$9)</f>
        <v>51.015000000000001</v>
      </c>
      <c r="Q714" s="14">
        <f>CHOOSE(CONTROL!$C$42, 51.6757, 51.6757) * CHOOSE(CONTROL!$C$21, $C$9, 100%, $E$9)</f>
        <v>51.675699999999999</v>
      </c>
      <c r="R714" s="14">
        <f>CHOOSE(CONTROL!$C$42, 52.3919, 52.3919) * CHOOSE(CONTROL!$C$21, $C$9, 100%, $E$9)</f>
        <v>52.3919</v>
      </c>
      <c r="S714" s="14">
        <f>CHOOSE(CONTROL!$C$42, 49.8693, 49.8693) * CHOOSE(CONTROL!$C$21, $C$9, 100%, $E$9)</f>
        <v>49.869300000000003</v>
      </c>
      <c r="T71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14" s="57">
        <f>(1000*CHOOSE(CONTROL!$C$42, 695, 695)*CHOOSE(CONTROL!$C$42, 0.5599, 0.5599)*CHOOSE(CONTROL!$C$42, 30, 30))/1000000</f>
        <v>11.673914999999997</v>
      </c>
      <c r="V714" s="57">
        <f>(1000*CHOOSE(CONTROL!$C$42, 500, 500)*CHOOSE(CONTROL!$C$42, 0.275, 0.275)*CHOOSE(CONTROL!$C$42, 30, 30))/1000000</f>
        <v>4.125</v>
      </c>
      <c r="W714" s="57">
        <f>(1000*CHOOSE(CONTROL!$C$42, 0.1146, 0.1146)*CHOOSE(CONTROL!$C$42, 121.5, 121.5)*CHOOSE(CONTROL!$C$42, 30, 30))/1000000</f>
        <v>0.417717</v>
      </c>
      <c r="X714" s="57">
        <f>(30*0.1790888*245000/1000000)+(30*0.2374*100000/1000000)</f>
        <v>2.0285026799999999</v>
      </c>
      <c r="Y714" s="57"/>
      <c r="Z714" s="14"/>
      <c r="AA714" s="56"/>
      <c r="AB714" s="50">
        <f>(B714*194.205+C714*267.466+D714*133.845+E714*53.484+F714*40+G714*185+H714*0+I714*100+J714*300)/(194.205+267.466+133.845+53.484+0+40+185+100+300)</f>
        <v>51.949804073076919</v>
      </c>
      <c r="AC714" s="45">
        <f>(M714*'RAP TEMPLATE-GAS AVAILABILITY'!O713+N714*'RAP TEMPLATE-GAS AVAILABILITY'!P713+O714*'RAP TEMPLATE-GAS AVAILABILITY'!Q713+P714*'RAP TEMPLATE-GAS AVAILABILITY'!R713)/('RAP TEMPLATE-GAS AVAILABILITY'!O713+'RAP TEMPLATE-GAS AVAILABILITY'!P713+'RAP TEMPLATE-GAS AVAILABILITY'!Q713+'RAP TEMPLATE-GAS AVAILABILITY'!R713)</f>
        <v>50.970623021582732</v>
      </c>
    </row>
    <row r="715" spans="1:29" ht="15.75" x14ac:dyDescent="0.25">
      <c r="A715" s="32">
        <v>62670</v>
      </c>
      <c r="B715" s="14">
        <f>CHOOSE(CONTROL!$C$42, 50.9139, 50.9139) * CHOOSE(CONTROL!$C$21, $C$9, 100%, $E$9)</f>
        <v>50.913899999999998</v>
      </c>
      <c r="C715" s="14">
        <f>CHOOSE(CONTROL!$C$42, 50.922, 50.922) * CHOOSE(CONTROL!$C$21, $C$9, 100%, $E$9)</f>
        <v>50.921999999999997</v>
      </c>
      <c r="D715" s="14">
        <f>CHOOSE(CONTROL!$C$42, 51.1259, 51.1259) * CHOOSE(CONTROL!$C$21, $C$9, 100%, $E$9)</f>
        <v>51.125900000000001</v>
      </c>
      <c r="E715" s="14">
        <f>CHOOSE(CONTROL!$C$42, 51.1574, 51.1574) * CHOOSE(CONTROL!$C$21, $C$9, 100%, $E$9)</f>
        <v>51.157400000000003</v>
      </c>
      <c r="F715" s="14">
        <f>CHOOSE(CONTROL!$C$42, 50.8956, 50.8956)*CHOOSE(CONTROL!$C$21, $C$9, 100%, $E$9)</f>
        <v>50.895600000000002</v>
      </c>
      <c r="G715" s="14">
        <f>CHOOSE(CONTROL!$C$42, 50.9114, 50.9114)*CHOOSE(CONTROL!$C$21, $C$9, 100%, $E$9)</f>
        <v>50.9114</v>
      </c>
      <c r="H715" s="14">
        <f>CHOOSE(CONTROL!$C$42, 51.146, 51.146) * CHOOSE(CONTROL!$C$21, $C$9, 100%, $E$9)</f>
        <v>51.146000000000001</v>
      </c>
      <c r="I715" s="14">
        <f>CHOOSE(CONTROL!$C$42, 51.0788, 51.0788)* CHOOSE(CONTROL!$C$21, $C$9, 100%, $E$9)</f>
        <v>51.078800000000001</v>
      </c>
      <c r="J715" s="14">
        <f>CHOOSE(CONTROL!$C$42, 50.8886, 50.8886)* CHOOSE(CONTROL!$C$21, $C$9, 100%, $E$9)</f>
        <v>50.888599999999997</v>
      </c>
      <c r="K715" s="53">
        <f>CHOOSE(CONTROL!$C$42, 51.0749, 51.0749) * CHOOSE(CONTROL!$C$21, $C$9, 100%, $E$9)</f>
        <v>51.0749</v>
      </c>
      <c r="L715" s="14">
        <f>CHOOSE(CONTROL!$C$42, 51.733, 51.733) * CHOOSE(CONTROL!$C$21, $C$9, 100%, $E$9)</f>
        <v>51.732999999999997</v>
      </c>
      <c r="M715" s="14">
        <f>CHOOSE(CONTROL!$C$42, 49.8536, 49.8536) * CHOOSE(CONTROL!$C$21, $C$9, 100%, $E$9)</f>
        <v>49.8536</v>
      </c>
      <c r="N715" s="14">
        <f>CHOOSE(CONTROL!$C$42, 49.8691, 49.8691) * CHOOSE(CONTROL!$C$21, $C$9, 100%, $E$9)</f>
        <v>49.869100000000003</v>
      </c>
      <c r="O715" s="14">
        <f>CHOOSE(CONTROL!$C$42, 50.1057, 50.1057) * CHOOSE(CONTROL!$C$21, $C$9, 100%, $E$9)</f>
        <v>50.105699999999999</v>
      </c>
      <c r="P715" s="14">
        <f>CHOOSE(CONTROL!$C$42, 50.0368, 50.0368) * CHOOSE(CONTROL!$C$21, $C$9, 100%, $E$9)</f>
        <v>50.036799999999999</v>
      </c>
      <c r="Q715" s="14">
        <f>CHOOSE(CONTROL!$C$42, 50.7004, 50.7004) * CHOOSE(CONTROL!$C$21, $C$9, 100%, $E$9)</f>
        <v>50.700400000000002</v>
      </c>
      <c r="R715" s="14">
        <f>CHOOSE(CONTROL!$C$42, 51.4142, 51.4142) * CHOOSE(CONTROL!$C$21, $C$9, 100%, $E$9)</f>
        <v>51.414200000000001</v>
      </c>
      <c r="S715" s="14">
        <f>CHOOSE(CONTROL!$C$42, 48.9126, 48.9126) * CHOOSE(CONTROL!$C$21, $C$9, 100%, $E$9)</f>
        <v>48.912599999999998</v>
      </c>
      <c r="T71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15" s="57">
        <f>(1000*CHOOSE(CONTROL!$C$42, 695, 695)*CHOOSE(CONTROL!$C$42, 0.5599, 0.5599)*CHOOSE(CONTROL!$C$42, 31, 31))/1000000</f>
        <v>12.063045499999998</v>
      </c>
      <c r="V715" s="57">
        <f>(1000*CHOOSE(CONTROL!$C$42, 500, 500)*CHOOSE(CONTROL!$C$42, 0.275, 0.275)*CHOOSE(CONTROL!$C$42, 31, 31))/1000000</f>
        <v>4.2625000000000002</v>
      </c>
      <c r="W715" s="57">
        <f>(1000*CHOOSE(CONTROL!$C$42, 0.1146, 0.1146)*CHOOSE(CONTROL!$C$42, 121.5, 121.5)*CHOOSE(CONTROL!$C$42, 31, 31))/1000000</f>
        <v>0.43164089999999994</v>
      </c>
      <c r="X715" s="57">
        <f>(31*0.1790888*245000/1000000)+(31*0.2374*100000/1000000)</f>
        <v>2.0961194359999999</v>
      </c>
      <c r="Y715" s="57"/>
      <c r="Z715" s="14"/>
      <c r="AA715" s="56"/>
      <c r="AB715" s="50">
        <f>(B715*194.205+C715*267.466+D715*133.845+E715*53.484+F715*40+G715*185+H715*0+I715*100+J715*300)/(194.205+267.466+133.845+53.484+0+40+185+100+300)</f>
        <v>50.954143695918361</v>
      </c>
      <c r="AC715" s="45">
        <f>(M715*'RAP TEMPLATE-GAS AVAILABILITY'!O714+N715*'RAP TEMPLATE-GAS AVAILABILITY'!P714+O715*'RAP TEMPLATE-GAS AVAILABILITY'!Q714+P715*'RAP TEMPLATE-GAS AVAILABILITY'!R714)/('RAP TEMPLATE-GAS AVAILABILITY'!O714+'RAP TEMPLATE-GAS AVAILABILITY'!P714+'RAP TEMPLATE-GAS AVAILABILITY'!Q714+'RAP TEMPLATE-GAS AVAILABILITY'!R714)</f>
        <v>49.995112949640287</v>
      </c>
    </row>
    <row r="716" spans="1:29" ht="15.75" x14ac:dyDescent="0.25">
      <c r="A716" s="32">
        <v>62701</v>
      </c>
      <c r="B716" s="14">
        <f>CHOOSE(CONTROL!$C$42, 48.3996, 48.3996) * CHOOSE(CONTROL!$C$21, $C$9, 100%, $E$9)</f>
        <v>48.3996</v>
      </c>
      <c r="C716" s="14">
        <f>CHOOSE(CONTROL!$C$42, 48.4077, 48.4077) * CHOOSE(CONTROL!$C$21, $C$9, 100%, $E$9)</f>
        <v>48.407699999999998</v>
      </c>
      <c r="D716" s="14">
        <f>CHOOSE(CONTROL!$C$42, 48.6116, 48.6116) * CHOOSE(CONTROL!$C$21, $C$9, 100%, $E$9)</f>
        <v>48.611600000000003</v>
      </c>
      <c r="E716" s="14">
        <f>CHOOSE(CONTROL!$C$42, 48.643, 48.643) * CHOOSE(CONTROL!$C$21, $C$9, 100%, $E$9)</f>
        <v>48.643000000000001</v>
      </c>
      <c r="F716" s="14">
        <f>CHOOSE(CONTROL!$C$42, 48.3815, 48.3815)*CHOOSE(CONTROL!$C$21, $C$9, 100%, $E$9)</f>
        <v>48.381500000000003</v>
      </c>
      <c r="G716" s="14">
        <f>CHOOSE(CONTROL!$C$42, 48.3974, 48.3974)*CHOOSE(CONTROL!$C$21, $C$9, 100%, $E$9)</f>
        <v>48.397399999999998</v>
      </c>
      <c r="H716" s="14">
        <f>CHOOSE(CONTROL!$C$42, 48.6317, 48.6317) * CHOOSE(CONTROL!$C$21, $C$9, 100%, $E$9)</f>
        <v>48.631700000000002</v>
      </c>
      <c r="I716" s="14">
        <f>CHOOSE(CONTROL!$C$42, 48.5566, 48.5566)* CHOOSE(CONTROL!$C$21, $C$9, 100%, $E$9)</f>
        <v>48.556600000000003</v>
      </c>
      <c r="J716" s="14">
        <f>CHOOSE(CONTROL!$C$42, 48.3745, 48.3745)* CHOOSE(CONTROL!$C$21, $C$9, 100%, $E$9)</f>
        <v>48.374499999999998</v>
      </c>
      <c r="K716" s="53">
        <f>CHOOSE(CONTROL!$C$42, 48.5528, 48.5528) * CHOOSE(CONTROL!$C$21, $C$9, 100%, $E$9)</f>
        <v>48.552799999999998</v>
      </c>
      <c r="L716" s="14">
        <f>CHOOSE(CONTROL!$C$42, 49.2187, 49.2187) * CHOOSE(CONTROL!$C$21, $C$9, 100%, $E$9)</f>
        <v>49.218699999999998</v>
      </c>
      <c r="M716" s="14">
        <f>CHOOSE(CONTROL!$C$42, 47.391, 47.391) * CHOOSE(CONTROL!$C$21, $C$9, 100%, $E$9)</f>
        <v>47.390999999999998</v>
      </c>
      <c r="N716" s="14">
        <f>CHOOSE(CONTROL!$C$42, 47.4066, 47.4066) * CHOOSE(CONTROL!$C$21, $C$9, 100%, $E$9)</f>
        <v>47.406599999999997</v>
      </c>
      <c r="O716" s="14">
        <f>CHOOSE(CONTROL!$C$42, 47.6429, 47.6429) * CHOOSE(CONTROL!$C$21, $C$9, 100%, $E$9)</f>
        <v>47.642899999999997</v>
      </c>
      <c r="P716" s="14">
        <f>CHOOSE(CONTROL!$C$42, 47.5665, 47.5665) * CHOOSE(CONTROL!$C$21, $C$9, 100%, $E$9)</f>
        <v>47.566499999999998</v>
      </c>
      <c r="Q716" s="14">
        <f>CHOOSE(CONTROL!$C$42, 48.2376, 48.2376) * CHOOSE(CONTROL!$C$21, $C$9, 100%, $E$9)</f>
        <v>48.2376</v>
      </c>
      <c r="R716" s="14">
        <f>CHOOSE(CONTROL!$C$42, 48.9452, 48.9452) * CHOOSE(CONTROL!$C$21, $C$9, 100%, $E$9)</f>
        <v>48.9452</v>
      </c>
      <c r="S716" s="14">
        <f>CHOOSE(CONTROL!$C$42, 46.4966, 46.4966) * CHOOSE(CONTROL!$C$21, $C$9, 100%, $E$9)</f>
        <v>46.496600000000001</v>
      </c>
      <c r="T71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16" s="57">
        <f>(1000*CHOOSE(CONTROL!$C$42, 695, 695)*CHOOSE(CONTROL!$C$42, 0.5599, 0.5599)*CHOOSE(CONTROL!$C$42, 31, 31))/1000000</f>
        <v>12.063045499999998</v>
      </c>
      <c r="V716" s="57">
        <f>(1000*CHOOSE(CONTROL!$C$42, 500, 500)*CHOOSE(CONTROL!$C$42, 0.275, 0.275)*CHOOSE(CONTROL!$C$42, 31, 31))/1000000</f>
        <v>4.2625000000000002</v>
      </c>
      <c r="W716" s="57">
        <f>(1000*CHOOSE(CONTROL!$C$42, 0.1146, 0.1146)*CHOOSE(CONTROL!$C$42, 121.5, 121.5)*CHOOSE(CONTROL!$C$42, 31, 31))/1000000</f>
        <v>0.43164089999999994</v>
      </c>
      <c r="X716" s="57">
        <f>(31*0.1790888*245000/1000000)+(31*0.2374*100000/1000000)</f>
        <v>2.0961194359999999</v>
      </c>
      <c r="Y716" s="57"/>
      <c r="Z716" s="14"/>
      <c r="AA716" s="56"/>
      <c r="AB716" s="50">
        <f>(B716*194.205+C716*267.466+D716*133.845+E716*53.484+F716*40+G716*185+H716*0+I716*100+J716*300)/(194.205+267.466+133.845+53.484+0+40+185+100+300)</f>
        <v>48.439316342386185</v>
      </c>
      <c r="AC716" s="45">
        <f>(M716*'RAP TEMPLATE-GAS AVAILABILITY'!O715+N716*'RAP TEMPLATE-GAS AVAILABILITY'!P715+O716*'RAP TEMPLATE-GAS AVAILABILITY'!Q715+P716*'RAP TEMPLATE-GAS AVAILABILITY'!R715)/('RAP TEMPLATE-GAS AVAILABILITY'!O715+'RAP TEMPLATE-GAS AVAILABILITY'!P715+'RAP TEMPLATE-GAS AVAILABILITY'!Q715+'RAP TEMPLATE-GAS AVAILABILITY'!R715)</f>
        <v>47.531320143884898</v>
      </c>
    </row>
    <row r="717" spans="1:29" ht="15.75" x14ac:dyDescent="0.25">
      <c r="A717" s="32">
        <v>62731</v>
      </c>
      <c r="B717" s="14">
        <f>CHOOSE(CONTROL!$C$42, 45.3272, 45.3272) * CHOOSE(CONTROL!$C$21, $C$9, 100%, $E$9)</f>
        <v>45.327199999999998</v>
      </c>
      <c r="C717" s="14">
        <f>CHOOSE(CONTROL!$C$42, 45.3352, 45.3352) * CHOOSE(CONTROL!$C$21, $C$9, 100%, $E$9)</f>
        <v>45.3352</v>
      </c>
      <c r="D717" s="14">
        <f>CHOOSE(CONTROL!$C$42, 45.5392, 45.5392) * CHOOSE(CONTROL!$C$21, $C$9, 100%, $E$9)</f>
        <v>45.539200000000001</v>
      </c>
      <c r="E717" s="14">
        <f>CHOOSE(CONTROL!$C$42, 45.5706, 45.5706) * CHOOSE(CONTROL!$C$21, $C$9, 100%, $E$9)</f>
        <v>45.570599999999999</v>
      </c>
      <c r="F717" s="14">
        <f>CHOOSE(CONTROL!$C$42, 45.3091, 45.3091)*CHOOSE(CONTROL!$C$21, $C$9, 100%, $E$9)</f>
        <v>45.309100000000001</v>
      </c>
      <c r="G717" s="14">
        <f>CHOOSE(CONTROL!$C$42, 45.3251, 45.3251)*CHOOSE(CONTROL!$C$21, $C$9, 100%, $E$9)</f>
        <v>45.325099999999999</v>
      </c>
      <c r="H717" s="14">
        <f>CHOOSE(CONTROL!$C$42, 45.5593, 45.5593) * CHOOSE(CONTROL!$C$21, $C$9, 100%, $E$9)</f>
        <v>45.5593</v>
      </c>
      <c r="I717" s="14">
        <f>CHOOSE(CONTROL!$C$42, 45.4746, 45.4746)* CHOOSE(CONTROL!$C$21, $C$9, 100%, $E$9)</f>
        <v>45.474600000000002</v>
      </c>
      <c r="J717" s="14">
        <f>CHOOSE(CONTROL!$C$42, 45.3021, 45.3021)* CHOOSE(CONTROL!$C$21, $C$9, 100%, $E$9)</f>
        <v>45.302100000000003</v>
      </c>
      <c r="K717" s="53">
        <f>CHOOSE(CONTROL!$C$42, 45.4707, 45.4707) * CHOOSE(CONTROL!$C$21, $C$9, 100%, $E$9)</f>
        <v>45.470700000000001</v>
      </c>
      <c r="L717" s="14">
        <f>CHOOSE(CONTROL!$C$42, 46.1463, 46.1463) * CHOOSE(CONTROL!$C$21, $C$9, 100%, $E$9)</f>
        <v>46.146299999999997</v>
      </c>
      <c r="M717" s="14">
        <f>CHOOSE(CONTROL!$C$42, 44.3816, 44.3816) * CHOOSE(CONTROL!$C$21, $C$9, 100%, $E$9)</f>
        <v>44.381599999999999</v>
      </c>
      <c r="N717" s="14">
        <f>CHOOSE(CONTROL!$C$42, 44.3972, 44.3972) * CHOOSE(CONTROL!$C$21, $C$9, 100%, $E$9)</f>
        <v>44.397199999999998</v>
      </c>
      <c r="O717" s="14">
        <f>CHOOSE(CONTROL!$C$42, 44.6335, 44.6335) * CHOOSE(CONTROL!$C$21, $C$9, 100%, $E$9)</f>
        <v>44.633499999999998</v>
      </c>
      <c r="P717" s="14">
        <f>CHOOSE(CONTROL!$C$42, 44.5478, 44.5478) * CHOOSE(CONTROL!$C$21, $C$9, 100%, $E$9)</f>
        <v>44.547800000000002</v>
      </c>
      <c r="Q717" s="14">
        <f>CHOOSE(CONTROL!$C$42, 45.2282, 45.2282) * CHOOSE(CONTROL!$C$21, $C$9, 100%, $E$9)</f>
        <v>45.228200000000001</v>
      </c>
      <c r="R717" s="14">
        <f>CHOOSE(CONTROL!$C$42, 45.9283, 45.9283) * CHOOSE(CONTROL!$C$21, $C$9, 100%, $E$9)</f>
        <v>45.9283</v>
      </c>
      <c r="S717" s="14">
        <f>CHOOSE(CONTROL!$C$42, 43.5443, 43.5443) * CHOOSE(CONTROL!$C$21, $C$9, 100%, $E$9)</f>
        <v>43.5443</v>
      </c>
      <c r="T71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17" s="57">
        <f>(1000*CHOOSE(CONTROL!$C$42, 695, 695)*CHOOSE(CONTROL!$C$42, 0.5599, 0.5599)*CHOOSE(CONTROL!$C$42, 30, 30))/1000000</f>
        <v>11.673914999999997</v>
      </c>
      <c r="V717" s="57">
        <f>(1000*CHOOSE(CONTROL!$C$42, 500, 500)*CHOOSE(CONTROL!$C$42, 0.275, 0.275)*CHOOSE(CONTROL!$C$42, 30, 30))/1000000</f>
        <v>4.125</v>
      </c>
      <c r="W717" s="57">
        <f>(1000*CHOOSE(CONTROL!$C$42, 0.1146, 0.1146)*CHOOSE(CONTROL!$C$42, 121.5, 121.5)*CHOOSE(CONTROL!$C$42, 30, 30))/1000000</f>
        <v>0.417717</v>
      </c>
      <c r="X717" s="57">
        <f>(30*0.1790888*245000/1000000)+(30*0.2374*100000/1000000)</f>
        <v>2.0285026799999999</v>
      </c>
      <c r="Y717" s="57"/>
      <c r="Z717" s="14"/>
      <c r="AA717" s="56"/>
      <c r="AB717" s="50">
        <f>(B717*194.205+C717*267.466+D717*133.845+E717*53.484+F717*40+G717*185+H717*0+I717*100+J717*300)/(194.205+267.466+133.845+53.484+0+40+185+100+300)</f>
        <v>45.366156337205652</v>
      </c>
      <c r="AC717" s="45">
        <f>(M717*'RAP TEMPLATE-GAS AVAILABILITY'!O716+N717*'RAP TEMPLATE-GAS AVAILABILITY'!P716+O717*'RAP TEMPLATE-GAS AVAILABILITY'!Q716+P717*'RAP TEMPLATE-GAS AVAILABILITY'!R716)/('RAP TEMPLATE-GAS AVAILABILITY'!O716+'RAP TEMPLATE-GAS AVAILABILITY'!P716+'RAP TEMPLATE-GAS AVAILABILITY'!Q716+'RAP TEMPLATE-GAS AVAILABILITY'!R716)</f>
        <v>44.520582014388488</v>
      </c>
    </row>
    <row r="718" spans="1:29" ht="15.75" x14ac:dyDescent="0.25">
      <c r="A718" s="32">
        <v>62762</v>
      </c>
      <c r="B718" s="14">
        <f>CHOOSE(CONTROL!$C$42, 44.4054, 44.4054) * CHOOSE(CONTROL!$C$21, $C$9, 100%, $E$9)</f>
        <v>44.4054</v>
      </c>
      <c r="C718" s="14">
        <f>CHOOSE(CONTROL!$C$42, 44.4107, 44.4107) * CHOOSE(CONTROL!$C$21, $C$9, 100%, $E$9)</f>
        <v>44.410699999999999</v>
      </c>
      <c r="D718" s="14">
        <f>CHOOSE(CONTROL!$C$42, 44.6196, 44.6196) * CHOOSE(CONTROL!$C$21, $C$9, 100%, $E$9)</f>
        <v>44.619599999999998</v>
      </c>
      <c r="E718" s="14">
        <f>CHOOSE(CONTROL!$C$42, 44.6487, 44.6487) * CHOOSE(CONTROL!$C$21, $C$9, 100%, $E$9)</f>
        <v>44.648699999999998</v>
      </c>
      <c r="F718" s="14">
        <f>CHOOSE(CONTROL!$C$42, 44.3894, 44.3894)*CHOOSE(CONTROL!$C$21, $C$9, 100%, $E$9)</f>
        <v>44.389400000000002</v>
      </c>
      <c r="G718" s="14">
        <f>CHOOSE(CONTROL!$C$42, 44.405, 44.405)*CHOOSE(CONTROL!$C$21, $C$9, 100%, $E$9)</f>
        <v>44.405000000000001</v>
      </c>
      <c r="H718" s="14">
        <f>CHOOSE(CONTROL!$C$42, 44.6392, 44.6392) * CHOOSE(CONTROL!$C$21, $C$9, 100%, $E$9)</f>
        <v>44.639200000000002</v>
      </c>
      <c r="I718" s="14">
        <f>CHOOSE(CONTROL!$C$42, 44.5516, 44.5516)* CHOOSE(CONTROL!$C$21, $C$9, 100%, $E$9)</f>
        <v>44.551600000000001</v>
      </c>
      <c r="J718" s="14">
        <f>CHOOSE(CONTROL!$C$42, 44.3824, 44.3824)* CHOOSE(CONTROL!$C$21, $C$9, 100%, $E$9)</f>
        <v>44.382399999999997</v>
      </c>
      <c r="K718" s="53">
        <f>CHOOSE(CONTROL!$C$42, 44.5478, 44.5478) * CHOOSE(CONTROL!$C$21, $C$9, 100%, $E$9)</f>
        <v>44.547800000000002</v>
      </c>
      <c r="L718" s="14">
        <f>CHOOSE(CONTROL!$C$42, 45.2262, 45.2262) * CHOOSE(CONTROL!$C$21, $C$9, 100%, $E$9)</f>
        <v>45.226199999999999</v>
      </c>
      <c r="M718" s="14">
        <f>CHOOSE(CONTROL!$C$42, 43.4807, 43.4807) * CHOOSE(CONTROL!$C$21, $C$9, 100%, $E$9)</f>
        <v>43.480699999999999</v>
      </c>
      <c r="N718" s="14">
        <f>CHOOSE(CONTROL!$C$42, 43.496, 43.496) * CHOOSE(CONTROL!$C$21, $C$9, 100%, $E$9)</f>
        <v>43.496000000000002</v>
      </c>
      <c r="O718" s="14">
        <f>CHOOSE(CONTROL!$C$42, 43.7323, 43.7323) * CHOOSE(CONTROL!$C$21, $C$9, 100%, $E$9)</f>
        <v>43.732300000000002</v>
      </c>
      <c r="P718" s="14">
        <f>CHOOSE(CONTROL!$C$42, 43.6438, 43.6438) * CHOOSE(CONTROL!$C$21, $C$9, 100%, $E$9)</f>
        <v>43.643799999999999</v>
      </c>
      <c r="Q718" s="14">
        <f>CHOOSE(CONTROL!$C$42, 44.327, 44.327) * CHOOSE(CONTROL!$C$21, $C$9, 100%, $E$9)</f>
        <v>44.326999999999998</v>
      </c>
      <c r="R718" s="14">
        <f>CHOOSE(CONTROL!$C$42, 45.0248, 45.0248) * CHOOSE(CONTROL!$C$21, $C$9, 100%, $E$9)</f>
        <v>45.024799999999999</v>
      </c>
      <c r="S718" s="14">
        <f>CHOOSE(CONTROL!$C$42, 42.6602, 42.6602) * CHOOSE(CONTROL!$C$21, $C$9, 100%, $E$9)</f>
        <v>42.660200000000003</v>
      </c>
      <c r="T71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18" s="57">
        <f>(1000*CHOOSE(CONTROL!$C$42, 695, 695)*CHOOSE(CONTROL!$C$42, 0.5599, 0.5599)*CHOOSE(CONTROL!$C$42, 31, 31))/1000000</f>
        <v>12.063045499999998</v>
      </c>
      <c r="V718" s="57">
        <f>(1000*CHOOSE(CONTROL!$C$42, 500, 500)*CHOOSE(CONTROL!$C$42, 0.275, 0.275)*CHOOSE(CONTROL!$C$42, 31, 31))/1000000</f>
        <v>4.2625000000000002</v>
      </c>
      <c r="W718" s="57">
        <f>(1000*CHOOSE(CONTROL!$C$42, 0.1146, 0.1146)*CHOOSE(CONTROL!$C$42, 121.5, 121.5)*CHOOSE(CONTROL!$C$42, 31, 31))/1000000</f>
        <v>0.43164089999999994</v>
      </c>
      <c r="X718" s="57">
        <f>(31*0.1790888*245000/1000000)+(31*0.2374*100000/1000000)</f>
        <v>2.0961194359999999</v>
      </c>
      <c r="Y718" s="57"/>
      <c r="Z718" s="14"/>
      <c r="AA718" s="56"/>
      <c r="AB718" s="50">
        <f>(B718*131.881+C718*277.167+D718*79.08+E718*125.872+F718*40+G718*185+H718*0+I718*100+J718*300)/(131.881+277.167+79.08+125.872+0+40+185+100+300)</f>
        <v>44.450628877078294</v>
      </c>
      <c r="AC718" s="45">
        <f>(M718*'RAP TEMPLATE-GAS AVAILABILITY'!O717+N718*'RAP TEMPLATE-GAS AVAILABILITY'!P717+O718*'RAP TEMPLATE-GAS AVAILABILITY'!Q717+P718*'RAP TEMPLATE-GAS AVAILABILITY'!R717)/('RAP TEMPLATE-GAS AVAILABILITY'!O717+'RAP TEMPLATE-GAS AVAILABILITY'!P717+'RAP TEMPLATE-GAS AVAILABILITY'!Q717+'RAP TEMPLATE-GAS AVAILABILITY'!R717)</f>
        <v>43.619082733812952</v>
      </c>
    </row>
    <row r="719" spans="1:29" ht="15.75" x14ac:dyDescent="0.25">
      <c r="A719" s="32">
        <v>62792</v>
      </c>
      <c r="B719" s="14">
        <f>CHOOSE(CONTROL!$C$42, 45.5745, 45.5745) * CHOOSE(CONTROL!$C$21, $C$9, 100%, $E$9)</f>
        <v>45.5745</v>
      </c>
      <c r="C719" s="14">
        <f>CHOOSE(CONTROL!$C$42, 45.5796, 45.5796) * CHOOSE(CONTROL!$C$21, $C$9, 100%, $E$9)</f>
        <v>45.579599999999999</v>
      </c>
      <c r="D719" s="14">
        <f>CHOOSE(CONTROL!$C$42, 45.6434, 45.6434) * CHOOSE(CONTROL!$C$21, $C$9, 100%, $E$9)</f>
        <v>45.6434</v>
      </c>
      <c r="E719" s="14">
        <f>CHOOSE(CONTROL!$C$42, 45.6775, 45.6775) * CHOOSE(CONTROL!$C$21, $C$9, 100%, $E$9)</f>
        <v>45.677500000000002</v>
      </c>
      <c r="F719" s="14">
        <f>CHOOSE(CONTROL!$C$42, 45.5769, 45.5769)*CHOOSE(CONTROL!$C$21, $C$9, 100%, $E$9)</f>
        <v>45.576900000000002</v>
      </c>
      <c r="G719" s="14">
        <f>CHOOSE(CONTROL!$C$42, 45.5929, 45.5929)*CHOOSE(CONTROL!$C$21, $C$9, 100%, $E$9)</f>
        <v>45.5929</v>
      </c>
      <c r="H719" s="14">
        <f>CHOOSE(CONTROL!$C$42, 45.6667, 45.6667) * CHOOSE(CONTROL!$C$21, $C$9, 100%, $E$9)</f>
        <v>45.666699999999999</v>
      </c>
      <c r="I719" s="14">
        <f>CHOOSE(CONTROL!$C$42, 45.7301, 45.7301)* CHOOSE(CONTROL!$C$21, $C$9, 100%, $E$9)</f>
        <v>45.7301</v>
      </c>
      <c r="J719" s="14">
        <f>CHOOSE(CONTROL!$C$42, 45.5699, 45.5699)* CHOOSE(CONTROL!$C$21, $C$9, 100%, $E$9)</f>
        <v>45.569899999999997</v>
      </c>
      <c r="K719" s="53">
        <f>CHOOSE(CONTROL!$C$42, 45.7262, 45.7262) * CHOOSE(CONTROL!$C$21, $C$9, 100%, $E$9)</f>
        <v>45.726199999999999</v>
      </c>
      <c r="L719" s="14">
        <f>CHOOSE(CONTROL!$C$42, 46.2537, 46.2537) * CHOOSE(CONTROL!$C$21, $C$9, 100%, $E$9)</f>
        <v>46.253700000000002</v>
      </c>
      <c r="M719" s="14">
        <f>CHOOSE(CONTROL!$C$42, 44.6439, 44.6439) * CHOOSE(CONTROL!$C$21, $C$9, 100%, $E$9)</f>
        <v>44.643900000000002</v>
      </c>
      <c r="N719" s="14">
        <f>CHOOSE(CONTROL!$C$42, 44.6596, 44.6596) * CHOOSE(CONTROL!$C$21, $C$9, 100%, $E$9)</f>
        <v>44.659599999999998</v>
      </c>
      <c r="O719" s="14">
        <f>CHOOSE(CONTROL!$C$42, 44.7387, 44.7387) * CHOOSE(CONTROL!$C$21, $C$9, 100%, $E$9)</f>
        <v>44.738700000000001</v>
      </c>
      <c r="P719" s="14">
        <f>CHOOSE(CONTROL!$C$42, 44.798, 44.798) * CHOOSE(CONTROL!$C$21, $C$9, 100%, $E$9)</f>
        <v>44.798000000000002</v>
      </c>
      <c r="Q719" s="14">
        <f>CHOOSE(CONTROL!$C$42, 45.3334, 45.3334) * CHOOSE(CONTROL!$C$21, $C$9, 100%, $E$9)</f>
        <v>45.333399999999997</v>
      </c>
      <c r="R719" s="14">
        <f>CHOOSE(CONTROL!$C$42, 46.0338, 46.0338) * CHOOSE(CONTROL!$C$21, $C$9, 100%, $E$9)</f>
        <v>46.033799999999999</v>
      </c>
      <c r="S719" s="14">
        <f>CHOOSE(CONTROL!$C$42, 43.784, 43.784) * CHOOSE(CONTROL!$C$21, $C$9, 100%, $E$9)</f>
        <v>43.783999999999999</v>
      </c>
      <c r="T71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19" s="57">
        <f>(1000*CHOOSE(CONTROL!$C$42, 695, 695)*CHOOSE(CONTROL!$C$42, 0.5599, 0.5599)*CHOOSE(CONTROL!$C$42, 30, 30))/1000000</f>
        <v>11.673914999999997</v>
      </c>
      <c r="V719" s="57">
        <f>(1000*CHOOSE(CONTROL!$C$42, 500, 500)*CHOOSE(CONTROL!$C$42, 0.275, 0.275)*CHOOSE(CONTROL!$C$42, 30, 30))/1000000</f>
        <v>4.125</v>
      </c>
      <c r="W719" s="57">
        <f>(1000*CHOOSE(CONTROL!$C$42, 0.1146, 0.1146)*CHOOSE(CONTROL!$C$42, 121.5, 121.5)*CHOOSE(CONTROL!$C$42, 30, 30))/1000000</f>
        <v>0.417717</v>
      </c>
      <c r="X719" s="57">
        <f>(30*0.1790888*100000/1000000)+(30*0.2374*100000/1000000)</f>
        <v>1.2494664</v>
      </c>
      <c r="Y719" s="57"/>
      <c r="Z719" s="14"/>
      <c r="AA719" s="56"/>
      <c r="AB719" s="50">
        <f>(B719*122.58+C719*297.941+D719*89.177+E719*40.302+F719*40+G719*160+H719*0+I719*100+J719*300)/(122.58+297.941+89.177+40.302+0+40+160+100+300)</f>
        <v>45.599747739478268</v>
      </c>
      <c r="AC719" s="45">
        <f>(M719*'RAP TEMPLATE-GAS AVAILABILITY'!O718+N719*'RAP TEMPLATE-GAS AVAILABILITY'!P718+O719*'RAP TEMPLATE-GAS AVAILABILITY'!Q718+P719*'RAP TEMPLATE-GAS AVAILABILITY'!R718)/('RAP TEMPLATE-GAS AVAILABILITY'!O718+'RAP TEMPLATE-GAS AVAILABILITY'!P718+'RAP TEMPLATE-GAS AVAILABILITY'!Q718+'RAP TEMPLATE-GAS AVAILABILITY'!R718)</f>
        <v>44.709943165467628</v>
      </c>
    </row>
    <row r="720" spans="1:29" ht="15.75" x14ac:dyDescent="0.25">
      <c r="A720" s="32">
        <v>62823</v>
      </c>
      <c r="B720" s="14">
        <f>CHOOSE(CONTROL!$C$42, 48.6811, 48.6811) * CHOOSE(CONTROL!$C$21, $C$9, 100%, $E$9)</f>
        <v>48.681100000000001</v>
      </c>
      <c r="C720" s="14">
        <f>CHOOSE(CONTROL!$C$42, 48.6862, 48.6862) * CHOOSE(CONTROL!$C$21, $C$9, 100%, $E$9)</f>
        <v>48.686199999999999</v>
      </c>
      <c r="D720" s="14">
        <f>CHOOSE(CONTROL!$C$42, 48.75, 48.75) * CHOOSE(CONTROL!$C$21, $C$9, 100%, $E$9)</f>
        <v>48.75</v>
      </c>
      <c r="E720" s="14">
        <f>CHOOSE(CONTROL!$C$42, 48.7841, 48.7841) * CHOOSE(CONTROL!$C$21, $C$9, 100%, $E$9)</f>
        <v>48.784100000000002</v>
      </c>
      <c r="F720" s="14">
        <f>CHOOSE(CONTROL!$C$42, 48.6858, 48.6858)*CHOOSE(CONTROL!$C$21, $C$9, 100%, $E$9)</f>
        <v>48.6858</v>
      </c>
      <c r="G720" s="14">
        <f>CHOOSE(CONTROL!$C$42, 48.7024, 48.7024)*CHOOSE(CONTROL!$C$21, $C$9, 100%, $E$9)</f>
        <v>48.702399999999997</v>
      </c>
      <c r="H720" s="14">
        <f>CHOOSE(CONTROL!$C$42, 48.7733, 48.7733) * CHOOSE(CONTROL!$C$21, $C$9, 100%, $E$9)</f>
        <v>48.773299999999999</v>
      </c>
      <c r="I720" s="14">
        <f>CHOOSE(CONTROL!$C$42, 48.8464, 48.8464)* CHOOSE(CONTROL!$C$21, $C$9, 100%, $E$9)</f>
        <v>48.846400000000003</v>
      </c>
      <c r="J720" s="14">
        <f>CHOOSE(CONTROL!$C$42, 48.6788, 48.6788)* CHOOSE(CONTROL!$C$21, $C$9, 100%, $E$9)</f>
        <v>48.678800000000003</v>
      </c>
      <c r="K720" s="53">
        <f>CHOOSE(CONTROL!$C$42, 48.8425, 48.8425) * CHOOSE(CONTROL!$C$21, $C$9, 100%, $E$9)</f>
        <v>48.842500000000001</v>
      </c>
      <c r="L720" s="14">
        <f>CHOOSE(CONTROL!$C$42, 49.3603, 49.3603) * CHOOSE(CONTROL!$C$21, $C$9, 100%, $E$9)</f>
        <v>49.360300000000002</v>
      </c>
      <c r="M720" s="14">
        <f>CHOOSE(CONTROL!$C$42, 47.6891, 47.6891) * CHOOSE(CONTROL!$C$21, $C$9, 100%, $E$9)</f>
        <v>47.689100000000003</v>
      </c>
      <c r="N720" s="14">
        <f>CHOOSE(CONTROL!$C$42, 47.7053, 47.7053) * CHOOSE(CONTROL!$C$21, $C$9, 100%, $E$9)</f>
        <v>47.705300000000001</v>
      </c>
      <c r="O720" s="14">
        <f>CHOOSE(CONTROL!$C$42, 47.7817, 47.7817) * CHOOSE(CONTROL!$C$21, $C$9, 100%, $E$9)</f>
        <v>47.781700000000001</v>
      </c>
      <c r="P720" s="14">
        <f>CHOOSE(CONTROL!$C$42, 47.8503, 47.8503) * CHOOSE(CONTROL!$C$21, $C$9, 100%, $E$9)</f>
        <v>47.850299999999997</v>
      </c>
      <c r="Q720" s="14">
        <f>CHOOSE(CONTROL!$C$42, 48.3764, 48.3764) * CHOOSE(CONTROL!$C$21, $C$9, 100%, $E$9)</f>
        <v>48.376399999999997</v>
      </c>
      <c r="R720" s="14">
        <f>CHOOSE(CONTROL!$C$42, 49.0843, 49.0843) * CHOOSE(CONTROL!$C$21, $C$9, 100%, $E$9)</f>
        <v>49.084299999999999</v>
      </c>
      <c r="S720" s="14">
        <f>CHOOSE(CONTROL!$C$42, 46.7692, 46.7692) * CHOOSE(CONTROL!$C$21, $C$9, 100%, $E$9)</f>
        <v>46.769199999999998</v>
      </c>
      <c r="T72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20" s="57">
        <f>(1000*CHOOSE(CONTROL!$C$42, 695, 695)*CHOOSE(CONTROL!$C$42, 0.5599, 0.5599)*CHOOSE(CONTROL!$C$42, 31, 31))/1000000</f>
        <v>12.063045499999998</v>
      </c>
      <c r="V720" s="57">
        <f>(1000*CHOOSE(CONTROL!$C$42, 500, 500)*CHOOSE(CONTROL!$C$42, 0.275, 0.275)*CHOOSE(CONTROL!$C$42, 31, 31))/1000000</f>
        <v>4.2625000000000002</v>
      </c>
      <c r="W720" s="57">
        <f>(1000*CHOOSE(CONTROL!$C$42, 0.1146, 0.1146)*CHOOSE(CONTROL!$C$42, 121.5, 121.5)*CHOOSE(CONTROL!$C$42, 31, 31))/1000000</f>
        <v>0.43164089999999994</v>
      </c>
      <c r="X720" s="57">
        <f>(31*0.1790888*100000/1000000)+(31*0.2374*100000/1000000)</f>
        <v>1.2911152800000001</v>
      </c>
      <c r="Y720" s="57"/>
      <c r="Z720" s="14"/>
      <c r="AA720" s="56"/>
      <c r="AB720" s="50">
        <f>(B720*122.58+C720*297.941+D720*89.177+E720*40.302+F720*40+G720*160+H720*0+I720*100+J720*300)/(122.58+297.941+89.177+40.302+0+40+160+100+300)</f>
        <v>48.708274696000004</v>
      </c>
      <c r="AC720" s="45">
        <f>(M720*'RAP TEMPLATE-GAS AVAILABILITY'!O719+N720*'RAP TEMPLATE-GAS AVAILABILITY'!P719+O720*'RAP TEMPLATE-GAS AVAILABILITY'!Q719+P720*'RAP TEMPLATE-GAS AVAILABILITY'!R719)/('RAP TEMPLATE-GAS AVAILABILITY'!O719+'RAP TEMPLATE-GAS AVAILABILITY'!P719+'RAP TEMPLATE-GAS AVAILABILITY'!Q719+'RAP TEMPLATE-GAS AVAILABILITY'!R719)</f>
        <v>47.755196402877694</v>
      </c>
    </row>
    <row r="721" spans="1:29" ht="15.75" x14ac:dyDescent="0.25">
      <c r="A721" s="32">
        <v>62854</v>
      </c>
      <c r="B721" s="14">
        <f>CHOOSE(CONTROL!$C$42, 52.668, 52.668) * CHOOSE(CONTROL!$C$21, $C$9, 100%, $E$9)</f>
        <v>52.667999999999999</v>
      </c>
      <c r="C721" s="14">
        <f>CHOOSE(CONTROL!$C$42, 52.6731, 52.6731) * CHOOSE(CONTROL!$C$21, $C$9, 100%, $E$9)</f>
        <v>52.673099999999998</v>
      </c>
      <c r="D721" s="14">
        <f>CHOOSE(CONTROL!$C$42, 52.7395, 52.7395) * CHOOSE(CONTROL!$C$21, $C$9, 100%, $E$9)</f>
        <v>52.7395</v>
      </c>
      <c r="E721" s="14">
        <f>CHOOSE(CONTROL!$C$42, 52.7736, 52.7736) * CHOOSE(CONTROL!$C$21, $C$9, 100%, $E$9)</f>
        <v>52.773600000000002</v>
      </c>
      <c r="F721" s="14">
        <f>CHOOSE(CONTROL!$C$42, 52.6553, 52.6553)*CHOOSE(CONTROL!$C$21, $C$9, 100%, $E$9)</f>
        <v>52.655299999999997</v>
      </c>
      <c r="G721" s="14">
        <f>CHOOSE(CONTROL!$C$42, 52.6708, 52.6708)*CHOOSE(CONTROL!$C$21, $C$9, 100%, $E$9)</f>
        <v>52.6708</v>
      </c>
      <c r="H721" s="14">
        <f>CHOOSE(CONTROL!$C$42, 52.7628, 52.7628) * CHOOSE(CONTROL!$C$21, $C$9, 100%, $E$9)</f>
        <v>52.762799999999999</v>
      </c>
      <c r="I721" s="14">
        <f>CHOOSE(CONTROL!$C$42, 52.8406, 52.8406)* CHOOSE(CONTROL!$C$21, $C$9, 100%, $E$9)</f>
        <v>52.840600000000002</v>
      </c>
      <c r="J721" s="14">
        <f>CHOOSE(CONTROL!$C$42, 52.6483, 52.6483)* CHOOSE(CONTROL!$C$21, $C$9, 100%, $E$9)</f>
        <v>52.648299999999999</v>
      </c>
      <c r="K721" s="53">
        <f>CHOOSE(CONTROL!$C$42, 52.8367, 52.8367) * CHOOSE(CONTROL!$C$21, $C$9, 100%, $E$9)</f>
        <v>52.8367</v>
      </c>
      <c r="L721" s="14">
        <f>CHOOSE(CONTROL!$C$42, 53.3498, 53.3498) * CHOOSE(CONTROL!$C$21, $C$9, 100%, $E$9)</f>
        <v>53.349800000000002</v>
      </c>
      <c r="M721" s="14">
        <f>CHOOSE(CONTROL!$C$42, 51.5773, 51.5773) * CHOOSE(CONTROL!$C$21, $C$9, 100%, $E$9)</f>
        <v>51.577300000000001</v>
      </c>
      <c r="N721" s="14">
        <f>CHOOSE(CONTROL!$C$42, 51.5924, 51.5924) * CHOOSE(CONTROL!$C$21, $C$9, 100%, $E$9)</f>
        <v>51.592399999999998</v>
      </c>
      <c r="O721" s="14">
        <f>CHOOSE(CONTROL!$C$42, 51.6894, 51.6894) * CHOOSE(CONTROL!$C$21, $C$9, 100%, $E$9)</f>
        <v>51.689399999999999</v>
      </c>
      <c r="P721" s="14">
        <f>CHOOSE(CONTROL!$C$42, 51.7624, 51.7624) * CHOOSE(CONTROL!$C$21, $C$9, 100%, $E$9)</f>
        <v>51.7624</v>
      </c>
      <c r="Q721" s="14">
        <f>CHOOSE(CONTROL!$C$42, 52.2841, 52.2841) * CHOOSE(CONTROL!$C$21, $C$9, 100%, $E$9)</f>
        <v>52.284100000000002</v>
      </c>
      <c r="R721" s="14">
        <f>CHOOSE(CONTROL!$C$42, 53.0018, 53.0018) * CHOOSE(CONTROL!$C$21, $C$9, 100%, $E$9)</f>
        <v>53.001800000000003</v>
      </c>
      <c r="S721" s="14">
        <f>CHOOSE(CONTROL!$C$42, 50.6001, 50.6001) * CHOOSE(CONTROL!$C$21, $C$9, 100%, $E$9)</f>
        <v>50.600099999999998</v>
      </c>
      <c r="T72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21" s="57">
        <f>(1000*CHOOSE(CONTROL!$C$42, 695, 695)*CHOOSE(CONTROL!$C$42, 0.5599, 0.5599)*CHOOSE(CONTROL!$C$42, 31, 31))/1000000</f>
        <v>12.063045499999998</v>
      </c>
      <c r="V721" s="57">
        <f>(1000*CHOOSE(CONTROL!$C$42, 500, 500)*CHOOSE(CONTROL!$C$42, 0.275, 0.275)*CHOOSE(CONTROL!$C$42, 31, 31))/1000000</f>
        <v>4.2625000000000002</v>
      </c>
      <c r="W721" s="57">
        <f>(1000*CHOOSE(CONTROL!$C$42, 0.1146, 0.1146)*CHOOSE(CONTROL!$C$42, 121.5, 121.5)*CHOOSE(CONTROL!$C$42, 31, 31))/1000000</f>
        <v>0.43164089999999994</v>
      </c>
      <c r="X721" s="57">
        <f>(31*0.1790888*100000/1000000)+(31*0.2374*100000/1000000)</f>
        <v>1.2911152800000001</v>
      </c>
      <c r="Y721" s="57"/>
      <c r="Z721" s="14"/>
      <c r="AA721" s="56"/>
      <c r="AB721" s="50">
        <f>(B721*122.58+C721*297.941+D721*89.177+E721*40.302+F721*40+G721*160+H721*0+I721*100+J721*300)/(122.58+297.941+89.177+40.302+0+40+160+100+300)</f>
        <v>52.688383952869557</v>
      </c>
      <c r="AC721" s="45">
        <f>(M721*'RAP TEMPLATE-GAS AVAILABILITY'!O720+N721*'RAP TEMPLATE-GAS AVAILABILITY'!P720+O721*'RAP TEMPLATE-GAS AVAILABILITY'!Q720+P721*'RAP TEMPLATE-GAS AVAILABILITY'!R720)/('RAP TEMPLATE-GAS AVAILABILITY'!O720+'RAP TEMPLATE-GAS AVAILABILITY'!P720+'RAP TEMPLATE-GAS AVAILABILITY'!Q720+'RAP TEMPLATE-GAS AVAILABILITY'!R720)</f>
        <v>51.655610071942441</v>
      </c>
    </row>
    <row r="722" spans="1:29" ht="15.75" x14ac:dyDescent="0.25">
      <c r="A722" s="32">
        <v>62883</v>
      </c>
      <c r="B722" s="14">
        <f>CHOOSE(CONTROL!$C$42, 53.6054, 53.6054) * CHOOSE(CONTROL!$C$21, $C$9, 100%, $E$9)</f>
        <v>53.605400000000003</v>
      </c>
      <c r="C722" s="14">
        <f>CHOOSE(CONTROL!$C$42, 53.6105, 53.6105) * CHOOSE(CONTROL!$C$21, $C$9, 100%, $E$9)</f>
        <v>53.610500000000002</v>
      </c>
      <c r="D722" s="14">
        <f>CHOOSE(CONTROL!$C$42, 53.6769, 53.6769) * CHOOSE(CONTROL!$C$21, $C$9, 100%, $E$9)</f>
        <v>53.676900000000003</v>
      </c>
      <c r="E722" s="14">
        <f>CHOOSE(CONTROL!$C$42, 53.711, 53.711) * CHOOSE(CONTROL!$C$21, $C$9, 100%, $E$9)</f>
        <v>53.710999999999999</v>
      </c>
      <c r="F722" s="14">
        <f>CHOOSE(CONTROL!$C$42, 53.5928, 53.5928)*CHOOSE(CONTROL!$C$21, $C$9, 100%, $E$9)</f>
        <v>53.592799999999997</v>
      </c>
      <c r="G722" s="14">
        <f>CHOOSE(CONTROL!$C$42, 53.6083, 53.6083)*CHOOSE(CONTROL!$C$21, $C$9, 100%, $E$9)</f>
        <v>53.6083</v>
      </c>
      <c r="H722" s="14">
        <f>CHOOSE(CONTROL!$C$42, 53.7002, 53.7002) * CHOOSE(CONTROL!$C$21, $C$9, 100%, $E$9)</f>
        <v>53.700200000000002</v>
      </c>
      <c r="I722" s="14">
        <f>CHOOSE(CONTROL!$C$42, 53.7809, 53.7809)* CHOOSE(CONTROL!$C$21, $C$9, 100%, $E$9)</f>
        <v>53.780900000000003</v>
      </c>
      <c r="J722" s="14">
        <f>CHOOSE(CONTROL!$C$42, 53.5858, 53.5858)* CHOOSE(CONTROL!$C$21, $C$9, 100%, $E$9)</f>
        <v>53.585799999999999</v>
      </c>
      <c r="K722" s="53">
        <f>CHOOSE(CONTROL!$C$42, 53.777, 53.777) * CHOOSE(CONTROL!$C$21, $C$9, 100%, $E$9)</f>
        <v>53.777000000000001</v>
      </c>
      <c r="L722" s="14">
        <f>CHOOSE(CONTROL!$C$42, 54.2872, 54.2872) * CHOOSE(CONTROL!$C$21, $C$9, 100%, $E$9)</f>
        <v>54.287199999999999</v>
      </c>
      <c r="M722" s="14">
        <f>CHOOSE(CONTROL!$C$42, 52.4956, 52.4956) * CHOOSE(CONTROL!$C$21, $C$9, 100%, $E$9)</f>
        <v>52.495600000000003</v>
      </c>
      <c r="N722" s="14">
        <f>CHOOSE(CONTROL!$C$42, 52.5107, 52.5107) * CHOOSE(CONTROL!$C$21, $C$9, 100%, $E$9)</f>
        <v>52.5107</v>
      </c>
      <c r="O722" s="14">
        <f>CHOOSE(CONTROL!$C$42, 52.6076, 52.6076) * CHOOSE(CONTROL!$C$21, $C$9, 100%, $E$9)</f>
        <v>52.607599999999998</v>
      </c>
      <c r="P722" s="14">
        <f>CHOOSE(CONTROL!$C$42, 52.6834, 52.6834) * CHOOSE(CONTROL!$C$21, $C$9, 100%, $E$9)</f>
        <v>52.683399999999999</v>
      </c>
      <c r="Q722" s="14">
        <f>CHOOSE(CONTROL!$C$42, 53.2023, 53.2023) * CHOOSE(CONTROL!$C$21, $C$9, 100%, $E$9)</f>
        <v>53.202300000000001</v>
      </c>
      <c r="R722" s="14">
        <f>CHOOSE(CONTROL!$C$42, 53.9223, 53.9223) * CHOOSE(CONTROL!$C$21, $C$9, 100%, $E$9)</f>
        <v>53.9223</v>
      </c>
      <c r="S722" s="14">
        <f>CHOOSE(CONTROL!$C$42, 51.5009, 51.5009) * CHOOSE(CONTROL!$C$21, $C$9, 100%, $E$9)</f>
        <v>51.500900000000001</v>
      </c>
      <c r="T722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722" s="57">
        <f>(1000*CHOOSE(CONTROL!$C$42, 695, 695)*CHOOSE(CONTROL!$C$42, 0.5599, 0.5599)*CHOOSE(CONTROL!$C$42, 29, 29))/1000000</f>
        <v>11.284784499999999</v>
      </c>
      <c r="V722" s="57">
        <f>(1000*CHOOSE(CONTROL!$C$42, 500, 500)*CHOOSE(CONTROL!$C$42, 0.275, 0.275)*CHOOSE(CONTROL!$C$42, 29, 29))/1000000</f>
        <v>3.9874999999999998</v>
      </c>
      <c r="W722" s="57">
        <f>(1000*CHOOSE(CONTROL!$C$42, 0.1146, 0.1146)*CHOOSE(CONTROL!$C$42, 121.5, 121.5)*CHOOSE(CONTROL!$C$42, 29, 29))/1000000</f>
        <v>0.40379309999999996</v>
      </c>
      <c r="X722" s="57">
        <f>(29*0.1790888*100000/1000000)+(29*0.2374*100000/1000000)</f>
        <v>1.2078175199999999</v>
      </c>
      <c r="Y722" s="57"/>
      <c r="Z722" s="14"/>
      <c r="AA722" s="56"/>
      <c r="AB722" s="50">
        <f>(B722*122.58+C722*297.941+D722*89.177+E722*40.302+F722*40+G722*160+H722*0+I722*100+J722*300)/(122.58+297.941+89.177+40.302+0+40+160+100+300)</f>
        <v>53.626079605043472</v>
      </c>
      <c r="AC722" s="45">
        <f>(M722*'RAP TEMPLATE-GAS AVAILABILITY'!O721+N722*'RAP TEMPLATE-GAS AVAILABILITY'!P721+O722*'RAP TEMPLATE-GAS AVAILABILITY'!Q721+P722*'RAP TEMPLATE-GAS AVAILABILITY'!R721)/('RAP TEMPLATE-GAS AVAILABILITY'!O721+'RAP TEMPLATE-GAS AVAILABILITY'!P721+'RAP TEMPLATE-GAS AVAILABILITY'!Q721+'RAP TEMPLATE-GAS AVAILABILITY'!R721)</f>
        <v>52.574253237410069</v>
      </c>
    </row>
    <row r="723" spans="1:29" ht="15.75" x14ac:dyDescent="0.25">
      <c r="A723" s="32">
        <v>62914</v>
      </c>
      <c r="B723" s="14">
        <f>CHOOSE(CONTROL!$C$42, 52.0838, 52.0838) * CHOOSE(CONTROL!$C$21, $C$9, 100%, $E$9)</f>
        <v>52.083799999999997</v>
      </c>
      <c r="C723" s="14">
        <f>CHOOSE(CONTROL!$C$42, 52.0888, 52.0888) * CHOOSE(CONTROL!$C$21, $C$9, 100%, $E$9)</f>
        <v>52.088799999999999</v>
      </c>
      <c r="D723" s="14">
        <f>CHOOSE(CONTROL!$C$42, 52.1553, 52.1553) * CHOOSE(CONTROL!$C$21, $C$9, 100%, $E$9)</f>
        <v>52.155299999999997</v>
      </c>
      <c r="E723" s="14">
        <f>CHOOSE(CONTROL!$C$42, 52.1894, 52.1894) * CHOOSE(CONTROL!$C$21, $C$9, 100%, $E$9)</f>
        <v>52.189399999999999</v>
      </c>
      <c r="F723" s="14">
        <f>CHOOSE(CONTROL!$C$42, 52.0708, 52.0708)*CHOOSE(CONTROL!$C$21, $C$9, 100%, $E$9)</f>
        <v>52.070799999999998</v>
      </c>
      <c r="G723" s="14">
        <f>CHOOSE(CONTROL!$C$42, 52.0862, 52.0862)*CHOOSE(CONTROL!$C$21, $C$9, 100%, $E$9)</f>
        <v>52.086199999999998</v>
      </c>
      <c r="H723" s="14">
        <f>CHOOSE(CONTROL!$C$42, 52.1786, 52.1786) * CHOOSE(CONTROL!$C$21, $C$9, 100%, $E$9)</f>
        <v>52.178600000000003</v>
      </c>
      <c r="I723" s="14">
        <f>CHOOSE(CONTROL!$C$42, 52.2545, 52.2545)* CHOOSE(CONTROL!$C$21, $C$9, 100%, $E$9)</f>
        <v>52.2545</v>
      </c>
      <c r="J723" s="14">
        <f>CHOOSE(CONTROL!$C$42, 52.0638, 52.0638)* CHOOSE(CONTROL!$C$21, $C$9, 100%, $E$9)</f>
        <v>52.063800000000001</v>
      </c>
      <c r="K723" s="53">
        <f>CHOOSE(CONTROL!$C$42, 52.2506, 52.2506) * CHOOSE(CONTROL!$C$21, $C$9, 100%, $E$9)</f>
        <v>52.250599999999999</v>
      </c>
      <c r="L723" s="14">
        <f>CHOOSE(CONTROL!$C$42, 52.7656, 52.7656) * CHOOSE(CONTROL!$C$21, $C$9, 100%, $E$9)</f>
        <v>52.765599999999999</v>
      </c>
      <c r="M723" s="14">
        <f>CHOOSE(CONTROL!$C$42, 51.0047, 51.0047) * CHOOSE(CONTROL!$C$21, $C$9, 100%, $E$9)</f>
        <v>51.0047</v>
      </c>
      <c r="N723" s="14">
        <f>CHOOSE(CONTROL!$C$42, 51.0198, 51.0198) * CHOOSE(CONTROL!$C$21, $C$9, 100%, $E$9)</f>
        <v>51.019799999999996</v>
      </c>
      <c r="O723" s="14">
        <f>CHOOSE(CONTROL!$C$42, 51.1172, 51.1172) * CHOOSE(CONTROL!$C$21, $C$9, 100%, $E$9)</f>
        <v>51.117199999999997</v>
      </c>
      <c r="P723" s="14">
        <f>CHOOSE(CONTROL!$C$42, 51.1884, 51.1884) * CHOOSE(CONTROL!$C$21, $C$9, 100%, $E$9)</f>
        <v>51.188400000000001</v>
      </c>
      <c r="Q723" s="14">
        <f>CHOOSE(CONTROL!$C$42, 51.7119, 51.7119) * CHOOSE(CONTROL!$C$21, $C$9, 100%, $E$9)</f>
        <v>51.7119</v>
      </c>
      <c r="R723" s="14">
        <f>CHOOSE(CONTROL!$C$42, 52.4281, 52.4281) * CHOOSE(CONTROL!$C$21, $C$9, 100%, $E$9)</f>
        <v>52.428100000000001</v>
      </c>
      <c r="S723" s="14">
        <f>CHOOSE(CONTROL!$C$42, 50.0388, 50.0388) * CHOOSE(CONTROL!$C$21, $C$9, 100%, $E$9)</f>
        <v>50.038800000000002</v>
      </c>
      <c r="T72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23" s="57">
        <f>(1000*CHOOSE(CONTROL!$C$42, 695, 695)*CHOOSE(CONTROL!$C$42, 0.5599, 0.5599)*CHOOSE(CONTROL!$C$42, 31, 31))/1000000</f>
        <v>12.063045499999998</v>
      </c>
      <c r="V723" s="57">
        <f>(1000*CHOOSE(CONTROL!$C$42, 500, 500)*CHOOSE(CONTROL!$C$42, 0.275, 0.275)*CHOOSE(CONTROL!$C$42, 31, 31))/1000000</f>
        <v>4.2625000000000002</v>
      </c>
      <c r="W723" s="57">
        <f>(1000*CHOOSE(CONTROL!$C$42, 0.1146, 0.1146)*CHOOSE(CONTROL!$C$42, 121.5, 121.5)*CHOOSE(CONTROL!$C$42, 31, 31))/1000000</f>
        <v>0.43164089999999994</v>
      </c>
      <c r="X723" s="57">
        <f>(31*0.1790888*100000/1000000)+(31*0.2374*100000/1000000)</f>
        <v>1.2911152800000001</v>
      </c>
      <c r="Y723" s="57"/>
      <c r="Z723" s="14"/>
      <c r="AA723" s="56"/>
      <c r="AB723" s="50">
        <f>(B723*122.58+C723*297.941+D723*89.177+E723*40.302+F723*40+G723*160+H723*0+I723*100+J723*300)/(122.58+297.941+89.177+40.302+0+40+160+100+300)</f>
        <v>52.103848479739128</v>
      </c>
      <c r="AC723" s="45">
        <f>(M723*'RAP TEMPLATE-GAS AVAILABILITY'!O722+N723*'RAP TEMPLATE-GAS AVAILABILITY'!P722+O723*'RAP TEMPLATE-GAS AVAILABILITY'!Q722+P723*'RAP TEMPLATE-GAS AVAILABILITY'!R722)/('RAP TEMPLATE-GAS AVAILABILITY'!O722+'RAP TEMPLATE-GAS AVAILABILITY'!P722+'RAP TEMPLATE-GAS AVAILABILITY'!Q722+'RAP TEMPLATE-GAS AVAILABILITY'!R722)</f>
        <v>51.08298992805755</v>
      </c>
    </row>
    <row r="724" spans="1:29" ht="15.75" x14ac:dyDescent="0.25">
      <c r="A724" s="32">
        <v>62944</v>
      </c>
      <c r="B724" s="14">
        <f>CHOOSE(CONTROL!$C$42, 51.929, 51.929) * CHOOSE(CONTROL!$C$21, $C$9, 100%, $E$9)</f>
        <v>51.929000000000002</v>
      </c>
      <c r="C724" s="14">
        <f>CHOOSE(CONTROL!$C$42, 51.9335, 51.9335) * CHOOSE(CONTROL!$C$21, $C$9, 100%, $E$9)</f>
        <v>51.933500000000002</v>
      </c>
      <c r="D724" s="14">
        <f>CHOOSE(CONTROL!$C$42, 52.1406, 52.1406) * CHOOSE(CONTROL!$C$21, $C$9, 100%, $E$9)</f>
        <v>52.140599999999999</v>
      </c>
      <c r="E724" s="14">
        <f>CHOOSE(CONTROL!$C$42, 52.1727, 52.1727) * CHOOSE(CONTROL!$C$21, $C$9, 100%, $E$9)</f>
        <v>52.172699999999999</v>
      </c>
      <c r="F724" s="14">
        <f>CHOOSE(CONTROL!$C$42, 51.9109, 51.9109)*CHOOSE(CONTROL!$C$21, $C$9, 100%, $E$9)</f>
        <v>51.910899999999998</v>
      </c>
      <c r="G724" s="14">
        <f>CHOOSE(CONTROL!$C$42, 51.9261, 51.9261)*CHOOSE(CONTROL!$C$21, $C$9, 100%, $E$9)</f>
        <v>51.926099999999998</v>
      </c>
      <c r="H724" s="14">
        <f>CHOOSE(CONTROL!$C$42, 52.1625, 52.1625) * CHOOSE(CONTROL!$C$21, $C$9, 100%, $E$9)</f>
        <v>52.162500000000001</v>
      </c>
      <c r="I724" s="14">
        <f>CHOOSE(CONTROL!$C$42, 52.0985, 52.0985)* CHOOSE(CONTROL!$C$21, $C$9, 100%, $E$9)</f>
        <v>52.098500000000001</v>
      </c>
      <c r="J724" s="14">
        <f>CHOOSE(CONTROL!$C$42, 51.9039, 51.9039)* CHOOSE(CONTROL!$C$21, $C$9, 100%, $E$9)</f>
        <v>51.9039</v>
      </c>
      <c r="K724" s="53">
        <f>CHOOSE(CONTROL!$C$42, 52.0946, 52.0946) * CHOOSE(CONTROL!$C$21, $C$9, 100%, $E$9)</f>
        <v>52.0946</v>
      </c>
      <c r="L724" s="14">
        <f>CHOOSE(CONTROL!$C$42, 52.7495, 52.7495) * CHOOSE(CONTROL!$C$21, $C$9, 100%, $E$9)</f>
        <v>52.749499999999998</v>
      </c>
      <c r="M724" s="14">
        <f>CHOOSE(CONTROL!$C$42, 50.8481, 50.8481) * CHOOSE(CONTROL!$C$21, $C$9, 100%, $E$9)</f>
        <v>50.848100000000002</v>
      </c>
      <c r="N724" s="14">
        <f>CHOOSE(CONTROL!$C$42, 50.863, 50.863) * CHOOSE(CONTROL!$C$21, $C$9, 100%, $E$9)</f>
        <v>50.863</v>
      </c>
      <c r="O724" s="14">
        <f>CHOOSE(CONTROL!$C$42, 51.1014, 51.1014) * CHOOSE(CONTROL!$C$21, $C$9, 100%, $E$9)</f>
        <v>51.101399999999998</v>
      </c>
      <c r="P724" s="14">
        <f>CHOOSE(CONTROL!$C$42, 51.0355, 51.0355) * CHOOSE(CONTROL!$C$21, $C$9, 100%, $E$9)</f>
        <v>51.035499999999999</v>
      </c>
      <c r="Q724" s="14">
        <f>CHOOSE(CONTROL!$C$42, 51.6961, 51.6961) * CHOOSE(CONTROL!$C$21, $C$9, 100%, $E$9)</f>
        <v>51.696100000000001</v>
      </c>
      <c r="R724" s="14">
        <f>CHOOSE(CONTROL!$C$42, 52.4123, 52.4123) * CHOOSE(CONTROL!$C$21, $C$9, 100%, $E$9)</f>
        <v>52.412300000000002</v>
      </c>
      <c r="S724" s="14">
        <f>CHOOSE(CONTROL!$C$42, 49.8893, 49.8893) * CHOOSE(CONTROL!$C$21, $C$9, 100%, $E$9)</f>
        <v>49.889299999999999</v>
      </c>
      <c r="T72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24" s="57">
        <f>(1000*CHOOSE(CONTROL!$C$42, 695, 695)*CHOOSE(CONTROL!$C$42, 0.5599, 0.5599)*CHOOSE(CONTROL!$C$42, 30, 30))/1000000</f>
        <v>11.673914999999997</v>
      </c>
      <c r="V724" s="57">
        <f>(1000*CHOOSE(CONTROL!$C$42, 500, 500)*CHOOSE(CONTROL!$C$42, 0.275, 0.275)*CHOOSE(CONTROL!$C$42, 30, 30))/1000000</f>
        <v>4.125</v>
      </c>
      <c r="W724" s="57">
        <f>(1000*CHOOSE(CONTROL!$C$42, 0.1146, 0.1146)*CHOOSE(CONTROL!$C$42, 121.5, 121.5)*CHOOSE(CONTROL!$C$42, 30, 30))/1000000</f>
        <v>0.417717</v>
      </c>
      <c r="X724" s="57">
        <f>(30*0.1790888*245000/1000000)+(30*0.2374*100000/1000000)</f>
        <v>2.0285026799999999</v>
      </c>
      <c r="Y724" s="57"/>
      <c r="Z724" s="14"/>
      <c r="AA724" s="56"/>
      <c r="AB724" s="50">
        <f>(B724*141.293+C724*267.993+D724*115.016+E724*89.698+F724*40+G724*185+H724*0+I724*100+J724*300)/(141.293+267.993+115.016+89.698+0+40+185+100+300)</f>
        <v>51.973844436400313</v>
      </c>
      <c r="AC724" s="45">
        <f>(M724*'RAP TEMPLATE-GAS AVAILABILITY'!O723+N724*'RAP TEMPLATE-GAS AVAILABILITY'!P723+O724*'RAP TEMPLATE-GAS AVAILABILITY'!Q723+P724*'RAP TEMPLATE-GAS AVAILABILITY'!R723)/('RAP TEMPLATE-GAS AVAILABILITY'!O723+'RAP TEMPLATE-GAS AVAILABILITY'!P723+'RAP TEMPLATE-GAS AVAILABILITY'!Q723+'RAP TEMPLATE-GAS AVAILABILITY'!R723)</f>
        <v>50.99072661870504</v>
      </c>
    </row>
    <row r="725" spans="1:29" ht="15.75" x14ac:dyDescent="0.25">
      <c r="A725" s="32">
        <v>62975</v>
      </c>
      <c r="B725" s="14">
        <f>CHOOSE(CONTROL!$C$42, 52.3887, 52.3887) * CHOOSE(CONTROL!$C$21, $C$9, 100%, $E$9)</f>
        <v>52.3887</v>
      </c>
      <c r="C725" s="14">
        <f>CHOOSE(CONTROL!$C$42, 52.3967, 52.3967) * CHOOSE(CONTROL!$C$21, $C$9, 100%, $E$9)</f>
        <v>52.396700000000003</v>
      </c>
      <c r="D725" s="14">
        <f>CHOOSE(CONTROL!$C$42, 52.6006, 52.6006) * CHOOSE(CONTROL!$C$21, $C$9, 100%, $E$9)</f>
        <v>52.6006</v>
      </c>
      <c r="E725" s="14">
        <f>CHOOSE(CONTROL!$C$42, 52.6321, 52.6321) * CHOOSE(CONTROL!$C$21, $C$9, 100%, $E$9)</f>
        <v>52.632100000000001</v>
      </c>
      <c r="F725" s="14">
        <f>CHOOSE(CONTROL!$C$42, 52.3694, 52.3694)*CHOOSE(CONTROL!$C$21, $C$9, 100%, $E$9)</f>
        <v>52.369399999999999</v>
      </c>
      <c r="G725" s="14">
        <f>CHOOSE(CONTROL!$C$42, 52.3851, 52.3851)*CHOOSE(CONTROL!$C$21, $C$9, 100%, $E$9)</f>
        <v>52.385100000000001</v>
      </c>
      <c r="H725" s="14">
        <f>CHOOSE(CONTROL!$C$42, 52.6207, 52.6207) * CHOOSE(CONTROL!$C$21, $C$9, 100%, $E$9)</f>
        <v>52.620699999999999</v>
      </c>
      <c r="I725" s="14">
        <f>CHOOSE(CONTROL!$C$42, 52.5582, 52.5582)* CHOOSE(CONTROL!$C$21, $C$9, 100%, $E$9)</f>
        <v>52.558199999999999</v>
      </c>
      <c r="J725" s="14">
        <f>CHOOSE(CONTROL!$C$42, 52.3624, 52.3624)* CHOOSE(CONTROL!$C$21, $C$9, 100%, $E$9)</f>
        <v>52.362400000000001</v>
      </c>
      <c r="K725" s="53">
        <f>CHOOSE(CONTROL!$C$42, 52.5543, 52.5543) * CHOOSE(CONTROL!$C$21, $C$9, 100%, $E$9)</f>
        <v>52.554299999999998</v>
      </c>
      <c r="L725" s="14">
        <f>CHOOSE(CONTROL!$C$42, 53.2077, 53.2077) * CHOOSE(CONTROL!$C$21, $C$9, 100%, $E$9)</f>
        <v>53.207700000000003</v>
      </c>
      <c r="M725" s="14">
        <f>CHOOSE(CONTROL!$C$42, 51.2972, 51.2972) * CHOOSE(CONTROL!$C$21, $C$9, 100%, $E$9)</f>
        <v>51.297199999999997</v>
      </c>
      <c r="N725" s="14">
        <f>CHOOSE(CONTROL!$C$42, 51.3126, 51.3126) * CHOOSE(CONTROL!$C$21, $C$9, 100%, $E$9)</f>
        <v>51.312600000000003</v>
      </c>
      <c r="O725" s="14">
        <f>CHOOSE(CONTROL!$C$42, 51.5503, 51.5503) * CHOOSE(CONTROL!$C$21, $C$9, 100%, $E$9)</f>
        <v>51.5503</v>
      </c>
      <c r="P725" s="14">
        <f>CHOOSE(CONTROL!$C$42, 51.4858, 51.4858) * CHOOSE(CONTROL!$C$21, $C$9, 100%, $E$9)</f>
        <v>51.485799999999998</v>
      </c>
      <c r="Q725" s="14">
        <f>CHOOSE(CONTROL!$C$42, 52.145, 52.145) * CHOOSE(CONTROL!$C$21, $C$9, 100%, $E$9)</f>
        <v>52.145000000000003</v>
      </c>
      <c r="R725" s="14">
        <f>CHOOSE(CONTROL!$C$42, 52.8623, 52.8623) * CHOOSE(CONTROL!$C$21, $C$9, 100%, $E$9)</f>
        <v>52.862299999999998</v>
      </c>
      <c r="S725" s="14">
        <f>CHOOSE(CONTROL!$C$42, 50.3296, 50.3296) * CHOOSE(CONTROL!$C$21, $C$9, 100%, $E$9)</f>
        <v>50.329599999999999</v>
      </c>
      <c r="T72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25" s="57">
        <f>(1000*CHOOSE(CONTROL!$C$42, 695, 695)*CHOOSE(CONTROL!$C$42, 0.5599, 0.5599)*CHOOSE(CONTROL!$C$42, 31, 31))/1000000</f>
        <v>12.063045499999998</v>
      </c>
      <c r="V725" s="57">
        <f>(1000*CHOOSE(CONTROL!$C$42, 500, 500)*CHOOSE(CONTROL!$C$42, 0.275, 0.275)*CHOOSE(CONTROL!$C$42, 31, 31))/1000000</f>
        <v>4.2625000000000002</v>
      </c>
      <c r="W725" s="57">
        <f>(1000*CHOOSE(CONTROL!$C$42, 0.1146, 0.1146)*CHOOSE(CONTROL!$C$42, 121.5, 121.5)*CHOOSE(CONTROL!$C$42, 31, 31))/1000000</f>
        <v>0.43164089999999994</v>
      </c>
      <c r="X725" s="57">
        <f>(31*0.1790888*245000/1000000)+(31*0.2374*100000/1000000)</f>
        <v>2.0961194359999999</v>
      </c>
      <c r="Y725" s="57"/>
      <c r="Z725" s="14"/>
      <c r="AA725" s="56"/>
      <c r="AB725" s="50">
        <f>(B725*194.205+C725*267.466+D725*133.845+E725*53.484+F725*40+G725*185+H725*0+I725*100+J725*300)/(194.205+267.466+133.845+53.484+0+40+185+100+300)</f>
        <v>52.428842456122439</v>
      </c>
      <c r="AC725" s="45">
        <f>(M725*'RAP TEMPLATE-GAS AVAILABILITY'!O724+N725*'RAP TEMPLATE-GAS AVAILABILITY'!P724+O725*'RAP TEMPLATE-GAS AVAILABILITY'!Q724+P725*'RAP TEMPLATE-GAS AVAILABILITY'!R724)/('RAP TEMPLATE-GAS AVAILABILITY'!O724+'RAP TEMPLATE-GAS AVAILABILITY'!P724+'RAP TEMPLATE-GAS AVAILABILITY'!Q724+'RAP TEMPLATE-GAS AVAILABILITY'!R724)</f>
        <v>51.439937410071934</v>
      </c>
    </row>
    <row r="726" spans="1:29" ht="15.75" x14ac:dyDescent="0.25">
      <c r="A726" s="32">
        <v>63005</v>
      </c>
      <c r="B726" s="14">
        <f>CHOOSE(CONTROL!$C$42, 53.8744, 53.8744) * CHOOSE(CONTROL!$C$21, $C$9, 100%, $E$9)</f>
        <v>53.874400000000001</v>
      </c>
      <c r="C726" s="14">
        <f>CHOOSE(CONTROL!$C$42, 53.8824, 53.8824) * CHOOSE(CONTROL!$C$21, $C$9, 100%, $E$9)</f>
        <v>53.882399999999997</v>
      </c>
      <c r="D726" s="14">
        <f>CHOOSE(CONTROL!$C$42, 54.0864, 54.0864) * CHOOSE(CONTROL!$C$21, $C$9, 100%, $E$9)</f>
        <v>54.086399999999998</v>
      </c>
      <c r="E726" s="14">
        <f>CHOOSE(CONTROL!$C$42, 54.1178, 54.1178) * CHOOSE(CONTROL!$C$21, $C$9, 100%, $E$9)</f>
        <v>54.117800000000003</v>
      </c>
      <c r="F726" s="14">
        <f>CHOOSE(CONTROL!$C$42, 53.8556, 53.8556)*CHOOSE(CONTROL!$C$21, $C$9, 100%, $E$9)</f>
        <v>53.855600000000003</v>
      </c>
      <c r="G726" s="14">
        <f>CHOOSE(CONTROL!$C$42, 53.8713, 53.8713)*CHOOSE(CONTROL!$C$21, $C$9, 100%, $E$9)</f>
        <v>53.871299999999998</v>
      </c>
      <c r="H726" s="14">
        <f>CHOOSE(CONTROL!$C$42, 54.1065, 54.1065) * CHOOSE(CONTROL!$C$21, $C$9, 100%, $E$9)</f>
        <v>54.106499999999997</v>
      </c>
      <c r="I726" s="14">
        <f>CHOOSE(CONTROL!$C$42, 54.0486, 54.0486)* CHOOSE(CONTROL!$C$21, $C$9, 100%, $E$9)</f>
        <v>54.0486</v>
      </c>
      <c r="J726" s="14">
        <f>CHOOSE(CONTROL!$C$42, 53.8486, 53.8486)* CHOOSE(CONTROL!$C$21, $C$9, 100%, $E$9)</f>
        <v>53.848599999999998</v>
      </c>
      <c r="K726" s="53">
        <f>CHOOSE(CONTROL!$C$42, 54.0447, 54.0447) * CHOOSE(CONTROL!$C$21, $C$9, 100%, $E$9)</f>
        <v>54.044699999999999</v>
      </c>
      <c r="L726" s="14">
        <f>CHOOSE(CONTROL!$C$42, 54.6935, 54.6935) * CHOOSE(CONTROL!$C$21, $C$9, 100%, $E$9)</f>
        <v>54.6935</v>
      </c>
      <c r="M726" s="14">
        <f>CHOOSE(CONTROL!$C$42, 52.7529, 52.7529) * CHOOSE(CONTROL!$C$21, $C$9, 100%, $E$9)</f>
        <v>52.752899999999997</v>
      </c>
      <c r="N726" s="14">
        <f>CHOOSE(CONTROL!$C$42, 52.7684, 52.7684) * CHOOSE(CONTROL!$C$21, $C$9, 100%, $E$9)</f>
        <v>52.7684</v>
      </c>
      <c r="O726" s="14">
        <f>CHOOSE(CONTROL!$C$42, 53.0055, 53.0055) * CHOOSE(CONTROL!$C$21, $C$9, 100%, $E$9)</f>
        <v>53.005499999999998</v>
      </c>
      <c r="P726" s="14">
        <f>CHOOSE(CONTROL!$C$42, 52.9455, 52.9455) * CHOOSE(CONTROL!$C$21, $C$9, 100%, $E$9)</f>
        <v>52.945500000000003</v>
      </c>
      <c r="Q726" s="14">
        <f>CHOOSE(CONTROL!$C$42, 53.6002, 53.6002) * CHOOSE(CONTROL!$C$21, $C$9, 100%, $E$9)</f>
        <v>53.600200000000001</v>
      </c>
      <c r="R726" s="14">
        <f>CHOOSE(CONTROL!$C$42, 54.3212, 54.3212) * CHOOSE(CONTROL!$C$21, $C$9, 100%, $E$9)</f>
        <v>54.321199999999997</v>
      </c>
      <c r="S726" s="14">
        <f>CHOOSE(CONTROL!$C$42, 51.7573, 51.7573) * CHOOSE(CONTROL!$C$21, $C$9, 100%, $E$9)</f>
        <v>51.757300000000001</v>
      </c>
      <c r="T72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26" s="57">
        <f>(1000*CHOOSE(CONTROL!$C$42, 695, 695)*CHOOSE(CONTROL!$C$42, 0.5599, 0.5599)*CHOOSE(CONTROL!$C$42, 30, 30))/1000000</f>
        <v>11.673914999999997</v>
      </c>
      <c r="V726" s="57">
        <f>(1000*CHOOSE(CONTROL!$C$42, 500, 500)*CHOOSE(CONTROL!$C$42, 0.275, 0.275)*CHOOSE(CONTROL!$C$42, 30, 30))/1000000</f>
        <v>4.125</v>
      </c>
      <c r="W726" s="57">
        <f>(1000*CHOOSE(CONTROL!$C$42, 0.1146, 0.1146)*CHOOSE(CONTROL!$C$42, 121.5, 121.5)*CHOOSE(CONTROL!$C$42, 30, 30))/1000000</f>
        <v>0.417717</v>
      </c>
      <c r="X726" s="57">
        <f>(30*0.1790888*245000/1000000)+(30*0.2374*100000/1000000)</f>
        <v>2.0285026799999999</v>
      </c>
      <c r="Y726" s="57"/>
      <c r="Z726" s="14"/>
      <c r="AA726" s="56"/>
      <c r="AB726" s="50">
        <f>(B726*194.205+C726*267.466+D726*133.845+E726*53.484+F726*40+G726*185+H726*0+I726*100+J726*300)/(194.205+267.466+133.845+53.484+0+40+185+100+300)</f>
        <v>53.915127922762949</v>
      </c>
      <c r="AC726" s="45">
        <f>(M726*'RAP TEMPLATE-GAS AVAILABILITY'!O725+N726*'RAP TEMPLATE-GAS AVAILABILITY'!P725+O726*'RAP TEMPLATE-GAS AVAILABILITY'!Q725+P726*'RAP TEMPLATE-GAS AVAILABILITY'!R725)/('RAP TEMPLATE-GAS AVAILABILITY'!O725+'RAP TEMPLATE-GAS AVAILABILITY'!P725+'RAP TEMPLATE-GAS AVAILABILITY'!Q725+'RAP TEMPLATE-GAS AVAILABILITY'!R725)</f>
        <v>52.895992086330935</v>
      </c>
    </row>
    <row r="727" spans="1:29" ht="15.75" x14ac:dyDescent="0.25">
      <c r="A727" s="32">
        <v>63036</v>
      </c>
      <c r="B727" s="14">
        <f>CHOOSE(CONTROL!$C$42, 52.8411, 52.8411) * CHOOSE(CONTROL!$C$21, $C$9, 100%, $E$9)</f>
        <v>52.841099999999997</v>
      </c>
      <c r="C727" s="14">
        <f>CHOOSE(CONTROL!$C$42, 52.8491, 52.8491) * CHOOSE(CONTROL!$C$21, $C$9, 100%, $E$9)</f>
        <v>52.8491</v>
      </c>
      <c r="D727" s="14">
        <f>CHOOSE(CONTROL!$C$42, 53.053, 53.053) * CHOOSE(CONTROL!$C$21, $C$9, 100%, $E$9)</f>
        <v>53.052999999999997</v>
      </c>
      <c r="E727" s="14">
        <f>CHOOSE(CONTROL!$C$42, 53.0845, 53.0845) * CHOOSE(CONTROL!$C$21, $C$9, 100%, $E$9)</f>
        <v>53.084499999999998</v>
      </c>
      <c r="F727" s="14">
        <f>CHOOSE(CONTROL!$C$42, 52.8227, 52.8227)*CHOOSE(CONTROL!$C$21, $C$9, 100%, $E$9)</f>
        <v>52.822699999999998</v>
      </c>
      <c r="G727" s="14">
        <f>CHOOSE(CONTROL!$C$42, 52.8386, 52.8386)*CHOOSE(CONTROL!$C$21, $C$9, 100%, $E$9)</f>
        <v>52.8386</v>
      </c>
      <c r="H727" s="14">
        <f>CHOOSE(CONTROL!$C$42, 53.0731, 53.0731) * CHOOSE(CONTROL!$C$21, $C$9, 100%, $E$9)</f>
        <v>53.073099999999997</v>
      </c>
      <c r="I727" s="14">
        <f>CHOOSE(CONTROL!$C$42, 53.012, 53.012)* CHOOSE(CONTROL!$C$21, $C$9, 100%, $E$9)</f>
        <v>53.012</v>
      </c>
      <c r="J727" s="14">
        <f>CHOOSE(CONTROL!$C$42, 52.8157, 52.8157)* CHOOSE(CONTROL!$C$21, $C$9, 100%, $E$9)</f>
        <v>52.8157</v>
      </c>
      <c r="K727" s="53">
        <f>CHOOSE(CONTROL!$C$42, 53.0081, 53.0081) * CHOOSE(CONTROL!$C$21, $C$9, 100%, $E$9)</f>
        <v>53.008099999999999</v>
      </c>
      <c r="L727" s="14">
        <f>CHOOSE(CONTROL!$C$42, 53.6601, 53.6601) * CHOOSE(CONTROL!$C$21, $C$9, 100%, $E$9)</f>
        <v>53.6601</v>
      </c>
      <c r="M727" s="14">
        <f>CHOOSE(CONTROL!$C$42, 51.7412, 51.7412) * CHOOSE(CONTROL!$C$21, $C$9, 100%, $E$9)</f>
        <v>51.741199999999999</v>
      </c>
      <c r="N727" s="14">
        <f>CHOOSE(CONTROL!$C$42, 51.7568, 51.7568) * CHOOSE(CONTROL!$C$21, $C$9, 100%, $E$9)</f>
        <v>51.756799999999998</v>
      </c>
      <c r="O727" s="14">
        <f>CHOOSE(CONTROL!$C$42, 51.9934, 51.9934) * CHOOSE(CONTROL!$C$21, $C$9, 100%, $E$9)</f>
        <v>51.993400000000001</v>
      </c>
      <c r="P727" s="14">
        <f>CHOOSE(CONTROL!$C$42, 51.9303, 51.9303) * CHOOSE(CONTROL!$C$21, $C$9, 100%, $E$9)</f>
        <v>51.930300000000003</v>
      </c>
      <c r="Q727" s="14">
        <f>CHOOSE(CONTROL!$C$42, 52.5881, 52.5881) * CHOOSE(CONTROL!$C$21, $C$9, 100%, $E$9)</f>
        <v>52.588099999999997</v>
      </c>
      <c r="R727" s="14">
        <f>CHOOSE(CONTROL!$C$42, 53.3066, 53.3066) * CHOOSE(CONTROL!$C$21, $C$9, 100%, $E$9)</f>
        <v>53.306600000000003</v>
      </c>
      <c r="S727" s="14">
        <f>CHOOSE(CONTROL!$C$42, 50.7643, 50.7643) * CHOOSE(CONTROL!$C$21, $C$9, 100%, $E$9)</f>
        <v>50.764299999999999</v>
      </c>
      <c r="T72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27" s="57">
        <f>(1000*CHOOSE(CONTROL!$C$42, 695, 695)*CHOOSE(CONTROL!$C$42, 0.5599, 0.5599)*CHOOSE(CONTROL!$C$42, 31, 31))/1000000</f>
        <v>12.063045499999998</v>
      </c>
      <c r="V727" s="57">
        <f>(1000*CHOOSE(CONTROL!$C$42, 500, 500)*CHOOSE(CONTROL!$C$42, 0.275, 0.275)*CHOOSE(CONTROL!$C$42, 31, 31))/1000000</f>
        <v>4.2625000000000002</v>
      </c>
      <c r="W727" s="57">
        <f>(1000*CHOOSE(CONTROL!$C$42, 0.1146, 0.1146)*CHOOSE(CONTROL!$C$42, 121.5, 121.5)*CHOOSE(CONTROL!$C$42, 31, 31))/1000000</f>
        <v>0.43164089999999994</v>
      </c>
      <c r="X727" s="57">
        <f>(31*0.1790888*245000/1000000)+(31*0.2374*100000/1000000)</f>
        <v>2.0961194359999999</v>
      </c>
      <c r="Y727" s="57"/>
      <c r="Z727" s="14"/>
      <c r="AA727" s="56"/>
      <c r="AB727" s="50">
        <f>(B727*194.205+C727*267.466+D727*133.845+E727*53.484+F727*40+G727*185+H727*0+I727*100+J727*300)/(194.205+267.466+133.845+53.484+0+40+185+100+300)</f>
        <v>52.881752267739408</v>
      </c>
      <c r="AC727" s="45">
        <f>(M727*'RAP TEMPLATE-GAS AVAILABILITY'!O726+N727*'RAP TEMPLATE-GAS AVAILABILITY'!P726+O727*'RAP TEMPLATE-GAS AVAILABILITY'!Q726+P727*'RAP TEMPLATE-GAS AVAILABILITY'!R726)/('RAP TEMPLATE-GAS AVAILABILITY'!O726+'RAP TEMPLATE-GAS AVAILABILITY'!P726+'RAP TEMPLATE-GAS AVAILABILITY'!Q726+'RAP TEMPLATE-GAS AVAILABILITY'!R726)</f>
        <v>51.88361294964028</v>
      </c>
    </row>
    <row r="728" spans="1:29" ht="15.75" x14ac:dyDescent="0.25">
      <c r="A728" s="32">
        <v>63067</v>
      </c>
      <c r="B728" s="14">
        <f>CHOOSE(CONTROL!$C$42, 50.2316, 50.2316) * CHOOSE(CONTROL!$C$21, $C$9, 100%, $E$9)</f>
        <v>50.2316</v>
      </c>
      <c r="C728" s="14">
        <f>CHOOSE(CONTROL!$C$42, 50.2396, 50.2396) * CHOOSE(CONTROL!$C$21, $C$9, 100%, $E$9)</f>
        <v>50.239600000000003</v>
      </c>
      <c r="D728" s="14">
        <f>CHOOSE(CONTROL!$C$42, 50.4435, 50.4435) * CHOOSE(CONTROL!$C$21, $C$9, 100%, $E$9)</f>
        <v>50.4435</v>
      </c>
      <c r="E728" s="14">
        <f>CHOOSE(CONTROL!$C$42, 50.475, 50.475) * CHOOSE(CONTROL!$C$21, $C$9, 100%, $E$9)</f>
        <v>50.475000000000001</v>
      </c>
      <c r="F728" s="14">
        <f>CHOOSE(CONTROL!$C$42, 50.2134, 50.2134)*CHOOSE(CONTROL!$C$21, $C$9, 100%, $E$9)</f>
        <v>50.2134</v>
      </c>
      <c r="G728" s="14">
        <f>CHOOSE(CONTROL!$C$42, 50.2294, 50.2294)*CHOOSE(CONTROL!$C$21, $C$9, 100%, $E$9)</f>
        <v>50.229399999999998</v>
      </c>
      <c r="H728" s="14">
        <f>CHOOSE(CONTROL!$C$42, 50.4636, 50.4636) * CHOOSE(CONTROL!$C$21, $C$9, 100%, $E$9)</f>
        <v>50.4636</v>
      </c>
      <c r="I728" s="14">
        <f>CHOOSE(CONTROL!$C$42, 50.3943, 50.3943)* CHOOSE(CONTROL!$C$21, $C$9, 100%, $E$9)</f>
        <v>50.394300000000001</v>
      </c>
      <c r="J728" s="14">
        <f>CHOOSE(CONTROL!$C$42, 50.2064, 50.2064)* CHOOSE(CONTROL!$C$21, $C$9, 100%, $E$9)</f>
        <v>50.206400000000002</v>
      </c>
      <c r="K728" s="53">
        <f>CHOOSE(CONTROL!$C$42, 50.3904, 50.3904) * CHOOSE(CONTROL!$C$21, $C$9, 100%, $E$9)</f>
        <v>50.3904</v>
      </c>
      <c r="L728" s="14">
        <f>CHOOSE(CONTROL!$C$42, 51.0506, 51.0506) * CHOOSE(CONTROL!$C$21, $C$9, 100%, $E$9)</f>
        <v>51.050600000000003</v>
      </c>
      <c r="M728" s="14">
        <f>CHOOSE(CONTROL!$C$42, 49.1854, 49.1854) * CHOOSE(CONTROL!$C$21, $C$9, 100%, $E$9)</f>
        <v>49.185400000000001</v>
      </c>
      <c r="N728" s="14">
        <f>CHOOSE(CONTROL!$C$42, 49.201, 49.201) * CHOOSE(CONTROL!$C$21, $C$9, 100%, $E$9)</f>
        <v>49.201000000000001</v>
      </c>
      <c r="O728" s="14">
        <f>CHOOSE(CONTROL!$C$42, 49.4374, 49.4374) * CHOOSE(CONTROL!$C$21, $C$9, 100%, $E$9)</f>
        <v>49.437399999999997</v>
      </c>
      <c r="P728" s="14">
        <f>CHOOSE(CONTROL!$C$42, 49.3664, 49.3664) * CHOOSE(CONTROL!$C$21, $C$9, 100%, $E$9)</f>
        <v>49.366399999999999</v>
      </c>
      <c r="Q728" s="14">
        <f>CHOOSE(CONTROL!$C$42, 50.0321, 50.0321) * CHOOSE(CONTROL!$C$21, $C$9, 100%, $E$9)</f>
        <v>50.0321</v>
      </c>
      <c r="R728" s="14">
        <f>CHOOSE(CONTROL!$C$42, 50.7441, 50.7441) * CHOOSE(CONTROL!$C$21, $C$9, 100%, $E$9)</f>
        <v>50.744100000000003</v>
      </c>
      <c r="S728" s="14">
        <f>CHOOSE(CONTROL!$C$42, 48.2569, 48.2569) * CHOOSE(CONTROL!$C$21, $C$9, 100%, $E$9)</f>
        <v>48.256900000000002</v>
      </c>
      <c r="T72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28" s="57">
        <f>(1000*CHOOSE(CONTROL!$C$42, 695, 695)*CHOOSE(CONTROL!$C$42, 0.5599, 0.5599)*CHOOSE(CONTROL!$C$42, 31, 31))/1000000</f>
        <v>12.063045499999998</v>
      </c>
      <c r="V728" s="57">
        <f>(1000*CHOOSE(CONTROL!$C$42, 500, 500)*CHOOSE(CONTROL!$C$42, 0.275, 0.275)*CHOOSE(CONTROL!$C$42, 31, 31))/1000000</f>
        <v>4.2625000000000002</v>
      </c>
      <c r="W728" s="57">
        <f>(1000*CHOOSE(CONTROL!$C$42, 0.1146, 0.1146)*CHOOSE(CONTROL!$C$42, 121.5, 121.5)*CHOOSE(CONTROL!$C$42, 31, 31))/1000000</f>
        <v>0.43164089999999994</v>
      </c>
      <c r="X728" s="57">
        <f>(31*0.1790888*245000/1000000)+(31*0.2374*100000/1000000)</f>
        <v>2.0961194359999999</v>
      </c>
      <c r="Y728" s="57"/>
      <c r="Z728" s="14"/>
      <c r="AA728" s="56"/>
      <c r="AB728" s="50">
        <f>(B728*194.205+C728*267.466+D728*133.845+E728*53.484+F728*40+G728*185+H728*0+I728*100+J728*300)/(194.205+267.466+133.845+53.484+0+40+185+100+300)</f>
        <v>50.271705564442698</v>
      </c>
      <c r="AC728" s="45">
        <f>(M728*'RAP TEMPLATE-GAS AVAILABILITY'!O727+N728*'RAP TEMPLATE-GAS AVAILABILITY'!P727+O728*'RAP TEMPLATE-GAS AVAILABILITY'!Q727+P728*'RAP TEMPLATE-GAS AVAILABILITY'!R727)/('RAP TEMPLATE-GAS AVAILABILITY'!O727+'RAP TEMPLATE-GAS AVAILABILITY'!P727+'RAP TEMPLATE-GAS AVAILABILITY'!Q727+'RAP TEMPLATE-GAS AVAILABILITY'!R727)</f>
        <v>49.326556834532369</v>
      </c>
    </row>
    <row r="729" spans="1:29" ht="15.75" x14ac:dyDescent="0.25">
      <c r="A729" s="32">
        <v>63097</v>
      </c>
      <c r="B729" s="14">
        <f>CHOOSE(CONTROL!$C$42, 47.0429, 47.0429) * CHOOSE(CONTROL!$C$21, $C$9, 100%, $E$9)</f>
        <v>47.042900000000003</v>
      </c>
      <c r="C729" s="14">
        <f>CHOOSE(CONTROL!$C$42, 47.0509, 47.0509) * CHOOSE(CONTROL!$C$21, $C$9, 100%, $E$9)</f>
        <v>47.050899999999999</v>
      </c>
      <c r="D729" s="14">
        <f>CHOOSE(CONTROL!$C$42, 47.2548, 47.2548) * CHOOSE(CONTROL!$C$21, $C$9, 100%, $E$9)</f>
        <v>47.254800000000003</v>
      </c>
      <c r="E729" s="14">
        <f>CHOOSE(CONTROL!$C$42, 47.2863, 47.2863) * CHOOSE(CONTROL!$C$21, $C$9, 100%, $E$9)</f>
        <v>47.286299999999997</v>
      </c>
      <c r="F729" s="14">
        <f>CHOOSE(CONTROL!$C$42, 47.0248, 47.0248)*CHOOSE(CONTROL!$C$21, $C$9, 100%, $E$9)</f>
        <v>47.024799999999999</v>
      </c>
      <c r="G729" s="14">
        <f>CHOOSE(CONTROL!$C$42, 47.0407, 47.0407)*CHOOSE(CONTROL!$C$21, $C$9, 100%, $E$9)</f>
        <v>47.040700000000001</v>
      </c>
      <c r="H729" s="14">
        <f>CHOOSE(CONTROL!$C$42, 47.2749, 47.2749) * CHOOSE(CONTROL!$C$21, $C$9, 100%, $E$9)</f>
        <v>47.274900000000002</v>
      </c>
      <c r="I729" s="14">
        <f>CHOOSE(CONTROL!$C$42, 47.1956, 47.1956)* CHOOSE(CONTROL!$C$21, $C$9, 100%, $E$9)</f>
        <v>47.195599999999999</v>
      </c>
      <c r="J729" s="14">
        <f>CHOOSE(CONTROL!$C$42, 47.0178, 47.0178)* CHOOSE(CONTROL!$C$21, $C$9, 100%, $E$9)</f>
        <v>47.017800000000001</v>
      </c>
      <c r="K729" s="53">
        <f>CHOOSE(CONTROL!$C$42, 47.1917, 47.1917) * CHOOSE(CONTROL!$C$21, $C$9, 100%, $E$9)</f>
        <v>47.191699999999997</v>
      </c>
      <c r="L729" s="14">
        <f>CHOOSE(CONTROL!$C$42, 47.8619, 47.8619) * CHOOSE(CONTROL!$C$21, $C$9, 100%, $E$9)</f>
        <v>47.861899999999999</v>
      </c>
      <c r="M729" s="14">
        <f>CHOOSE(CONTROL!$C$42, 46.0621, 46.0621) * CHOOSE(CONTROL!$C$21, $C$9, 100%, $E$9)</f>
        <v>46.062100000000001</v>
      </c>
      <c r="N729" s="14">
        <f>CHOOSE(CONTROL!$C$42, 46.0777, 46.0777) * CHOOSE(CONTROL!$C$21, $C$9, 100%, $E$9)</f>
        <v>46.0777</v>
      </c>
      <c r="O729" s="14">
        <f>CHOOSE(CONTROL!$C$42, 46.314, 46.314) * CHOOSE(CONTROL!$C$21, $C$9, 100%, $E$9)</f>
        <v>46.314</v>
      </c>
      <c r="P729" s="14">
        <f>CHOOSE(CONTROL!$C$42, 46.2334, 46.2334) * CHOOSE(CONTROL!$C$21, $C$9, 100%, $E$9)</f>
        <v>46.233400000000003</v>
      </c>
      <c r="Q729" s="14">
        <f>CHOOSE(CONTROL!$C$42, 46.9087, 46.9087) * CHOOSE(CONTROL!$C$21, $C$9, 100%, $E$9)</f>
        <v>46.908700000000003</v>
      </c>
      <c r="R729" s="14">
        <f>CHOOSE(CONTROL!$C$42, 47.6129, 47.6129) * CHOOSE(CONTROL!$C$21, $C$9, 100%, $E$9)</f>
        <v>47.612900000000003</v>
      </c>
      <c r="S729" s="14">
        <f>CHOOSE(CONTROL!$C$42, 45.1928, 45.1928) * CHOOSE(CONTROL!$C$21, $C$9, 100%, $E$9)</f>
        <v>45.192799999999998</v>
      </c>
      <c r="T72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29" s="57">
        <f>(1000*CHOOSE(CONTROL!$C$42, 695, 695)*CHOOSE(CONTROL!$C$42, 0.5599, 0.5599)*CHOOSE(CONTROL!$C$42, 30, 30))/1000000</f>
        <v>11.673914999999997</v>
      </c>
      <c r="V729" s="57">
        <f>(1000*CHOOSE(CONTROL!$C$42, 500, 500)*CHOOSE(CONTROL!$C$42, 0.275, 0.275)*CHOOSE(CONTROL!$C$42, 30, 30))/1000000</f>
        <v>4.125</v>
      </c>
      <c r="W729" s="57">
        <f>(1000*CHOOSE(CONTROL!$C$42, 0.1146, 0.1146)*CHOOSE(CONTROL!$C$42, 121.5, 121.5)*CHOOSE(CONTROL!$C$42, 30, 30))/1000000</f>
        <v>0.417717</v>
      </c>
      <c r="X729" s="57">
        <f>(30*0.1790888*245000/1000000)+(30*0.2374*100000/1000000)</f>
        <v>2.0285026799999999</v>
      </c>
      <c r="Y729" s="57"/>
      <c r="Z729" s="14"/>
      <c r="AA729" s="56"/>
      <c r="AB729" s="50">
        <f>(B729*194.205+C729*267.466+D729*133.845+E729*53.484+F729*40+G729*185+H729*0+I729*100+J729*300)/(194.205+267.466+133.845+53.484+0+40+185+100+300)</f>
        <v>47.082247322684452</v>
      </c>
      <c r="AC729" s="45">
        <f>(M729*'RAP TEMPLATE-GAS AVAILABILITY'!O728+N729*'RAP TEMPLATE-GAS AVAILABILITY'!P728+O729*'RAP TEMPLATE-GAS AVAILABILITY'!Q728+P729*'RAP TEMPLATE-GAS AVAILABILITY'!R728)/('RAP TEMPLATE-GAS AVAILABILITY'!O728+'RAP TEMPLATE-GAS AVAILABILITY'!P728+'RAP TEMPLATE-GAS AVAILABILITY'!Q728+'RAP TEMPLATE-GAS AVAILABILITY'!R728)</f>
        <v>46.20181582733813</v>
      </c>
    </row>
    <row r="730" spans="1:29" ht="15.75" x14ac:dyDescent="0.25">
      <c r="A730" s="32">
        <v>63128</v>
      </c>
      <c r="B730" s="14">
        <f>CHOOSE(CONTROL!$C$42, 46.0862, 46.0862) * CHOOSE(CONTROL!$C$21, $C$9, 100%, $E$9)</f>
        <v>46.086199999999998</v>
      </c>
      <c r="C730" s="14">
        <f>CHOOSE(CONTROL!$C$42, 46.0915, 46.0915) * CHOOSE(CONTROL!$C$21, $C$9, 100%, $E$9)</f>
        <v>46.091500000000003</v>
      </c>
      <c r="D730" s="14">
        <f>CHOOSE(CONTROL!$C$42, 46.3004, 46.3004) * CHOOSE(CONTROL!$C$21, $C$9, 100%, $E$9)</f>
        <v>46.300400000000003</v>
      </c>
      <c r="E730" s="14">
        <f>CHOOSE(CONTROL!$C$42, 46.3295, 46.3295) * CHOOSE(CONTROL!$C$21, $C$9, 100%, $E$9)</f>
        <v>46.329500000000003</v>
      </c>
      <c r="F730" s="14">
        <f>CHOOSE(CONTROL!$C$42, 46.0702, 46.0702)*CHOOSE(CONTROL!$C$21, $C$9, 100%, $E$9)</f>
        <v>46.0702</v>
      </c>
      <c r="G730" s="14">
        <f>CHOOSE(CONTROL!$C$42, 46.0858, 46.0858)*CHOOSE(CONTROL!$C$21, $C$9, 100%, $E$9)</f>
        <v>46.085799999999999</v>
      </c>
      <c r="H730" s="14">
        <f>CHOOSE(CONTROL!$C$42, 46.32, 46.32) * CHOOSE(CONTROL!$C$21, $C$9, 100%, $E$9)</f>
        <v>46.32</v>
      </c>
      <c r="I730" s="14">
        <f>CHOOSE(CONTROL!$C$42, 46.2377, 46.2377)* CHOOSE(CONTROL!$C$21, $C$9, 100%, $E$9)</f>
        <v>46.237699999999997</v>
      </c>
      <c r="J730" s="14">
        <f>CHOOSE(CONTROL!$C$42, 46.0632, 46.0632)* CHOOSE(CONTROL!$C$21, $C$9, 100%, $E$9)</f>
        <v>46.063200000000002</v>
      </c>
      <c r="K730" s="53">
        <f>CHOOSE(CONTROL!$C$42, 46.2338, 46.2338) * CHOOSE(CONTROL!$C$21, $C$9, 100%, $E$9)</f>
        <v>46.233800000000002</v>
      </c>
      <c r="L730" s="14">
        <f>CHOOSE(CONTROL!$C$42, 46.907, 46.907) * CHOOSE(CONTROL!$C$21, $C$9, 100%, $E$9)</f>
        <v>46.906999999999996</v>
      </c>
      <c r="M730" s="14">
        <f>CHOOSE(CONTROL!$C$42, 45.127, 45.127) * CHOOSE(CONTROL!$C$21, $C$9, 100%, $E$9)</f>
        <v>45.127000000000002</v>
      </c>
      <c r="N730" s="14">
        <f>CHOOSE(CONTROL!$C$42, 45.1424, 45.1424) * CHOOSE(CONTROL!$C$21, $C$9, 100%, $E$9)</f>
        <v>45.142400000000002</v>
      </c>
      <c r="O730" s="14">
        <f>CHOOSE(CONTROL!$C$42, 45.3786, 45.3786) * CHOOSE(CONTROL!$C$21, $C$9, 100%, $E$9)</f>
        <v>45.378599999999999</v>
      </c>
      <c r="P730" s="14">
        <f>CHOOSE(CONTROL!$C$42, 45.2952, 45.2952) * CHOOSE(CONTROL!$C$21, $C$9, 100%, $E$9)</f>
        <v>45.295200000000001</v>
      </c>
      <c r="Q730" s="14">
        <f>CHOOSE(CONTROL!$C$42, 45.9733, 45.9733) * CHOOSE(CONTROL!$C$21, $C$9, 100%, $E$9)</f>
        <v>45.973300000000002</v>
      </c>
      <c r="R730" s="14">
        <f>CHOOSE(CONTROL!$C$42, 46.6752, 46.6752) * CHOOSE(CONTROL!$C$21, $C$9, 100%, $E$9)</f>
        <v>46.675199999999997</v>
      </c>
      <c r="S730" s="14">
        <f>CHOOSE(CONTROL!$C$42, 44.2753, 44.2753) * CHOOSE(CONTROL!$C$21, $C$9, 100%, $E$9)</f>
        <v>44.275300000000001</v>
      </c>
      <c r="T73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30" s="57">
        <f>(1000*CHOOSE(CONTROL!$C$42, 695, 695)*CHOOSE(CONTROL!$C$42, 0.5599, 0.5599)*CHOOSE(CONTROL!$C$42, 31, 31))/1000000</f>
        <v>12.063045499999998</v>
      </c>
      <c r="V730" s="57">
        <f>(1000*CHOOSE(CONTROL!$C$42, 500, 500)*CHOOSE(CONTROL!$C$42, 0.275, 0.275)*CHOOSE(CONTROL!$C$42, 31, 31))/1000000</f>
        <v>4.2625000000000002</v>
      </c>
      <c r="W730" s="57">
        <f>(1000*CHOOSE(CONTROL!$C$42, 0.1146, 0.1146)*CHOOSE(CONTROL!$C$42, 121.5, 121.5)*CHOOSE(CONTROL!$C$42, 31, 31))/1000000</f>
        <v>0.43164089999999994</v>
      </c>
      <c r="X730" s="57">
        <f>(31*0.1790888*245000/1000000)+(31*0.2374*100000/1000000)</f>
        <v>2.0961194359999999</v>
      </c>
      <c r="Y730" s="57"/>
      <c r="Z730" s="14"/>
      <c r="AA730" s="56"/>
      <c r="AB730" s="50">
        <f>(B730*131.881+C730*277.167+D730*79.08+E730*125.872+F730*40+G730*185+H730*0+I730*100+J730*300)/(131.881+277.167+79.08+125.872+0+40+185+100+300)</f>
        <v>46.131856641404354</v>
      </c>
      <c r="AC730" s="45">
        <f>(M730*'RAP TEMPLATE-GAS AVAILABILITY'!O729+N730*'RAP TEMPLATE-GAS AVAILABILITY'!P729+O730*'RAP TEMPLATE-GAS AVAILABILITY'!Q729+P730*'RAP TEMPLATE-GAS AVAILABILITY'!R729)/('RAP TEMPLATE-GAS AVAILABILITY'!O729+'RAP TEMPLATE-GAS AVAILABILITY'!P729+'RAP TEMPLATE-GAS AVAILABILITY'!Q729+'RAP TEMPLATE-GAS AVAILABILITY'!R729)</f>
        <v>45.266122302158273</v>
      </c>
    </row>
    <row r="731" spans="1:29" ht="15.75" x14ac:dyDescent="0.25">
      <c r="A731" s="32">
        <v>63158</v>
      </c>
      <c r="B731" s="14">
        <f>CHOOSE(CONTROL!$C$42, 47.2996, 47.2996) * CHOOSE(CONTROL!$C$21, $C$9, 100%, $E$9)</f>
        <v>47.299599999999998</v>
      </c>
      <c r="C731" s="14">
        <f>CHOOSE(CONTROL!$C$42, 47.3047, 47.3047) * CHOOSE(CONTROL!$C$21, $C$9, 100%, $E$9)</f>
        <v>47.304699999999997</v>
      </c>
      <c r="D731" s="14">
        <f>CHOOSE(CONTROL!$C$42, 47.3685, 47.3685) * CHOOSE(CONTROL!$C$21, $C$9, 100%, $E$9)</f>
        <v>47.368499999999997</v>
      </c>
      <c r="E731" s="14">
        <f>CHOOSE(CONTROL!$C$42, 47.4026, 47.4026) * CHOOSE(CONTROL!$C$21, $C$9, 100%, $E$9)</f>
        <v>47.4026</v>
      </c>
      <c r="F731" s="14">
        <f>CHOOSE(CONTROL!$C$42, 47.302, 47.302)*CHOOSE(CONTROL!$C$21, $C$9, 100%, $E$9)</f>
        <v>47.302</v>
      </c>
      <c r="G731" s="14">
        <f>CHOOSE(CONTROL!$C$42, 47.318, 47.318)*CHOOSE(CONTROL!$C$21, $C$9, 100%, $E$9)</f>
        <v>47.317999999999998</v>
      </c>
      <c r="H731" s="14">
        <f>CHOOSE(CONTROL!$C$42, 47.3918, 47.3918) * CHOOSE(CONTROL!$C$21, $C$9, 100%, $E$9)</f>
        <v>47.391800000000003</v>
      </c>
      <c r="I731" s="14">
        <f>CHOOSE(CONTROL!$C$42, 47.4606, 47.4606)* CHOOSE(CONTROL!$C$21, $C$9, 100%, $E$9)</f>
        <v>47.460599999999999</v>
      </c>
      <c r="J731" s="14">
        <f>CHOOSE(CONTROL!$C$42, 47.295, 47.295)* CHOOSE(CONTROL!$C$21, $C$9, 100%, $E$9)</f>
        <v>47.295000000000002</v>
      </c>
      <c r="K731" s="53">
        <f>CHOOSE(CONTROL!$C$42, 47.4567, 47.4567) * CHOOSE(CONTROL!$C$21, $C$9, 100%, $E$9)</f>
        <v>47.456699999999998</v>
      </c>
      <c r="L731" s="14">
        <f>CHOOSE(CONTROL!$C$42, 47.9788, 47.9788) * CHOOSE(CONTROL!$C$21, $C$9, 100%, $E$9)</f>
        <v>47.9788</v>
      </c>
      <c r="M731" s="14">
        <f>CHOOSE(CONTROL!$C$42, 46.3337, 46.3337) * CHOOSE(CONTROL!$C$21, $C$9, 100%, $E$9)</f>
        <v>46.3337</v>
      </c>
      <c r="N731" s="14">
        <f>CHOOSE(CONTROL!$C$42, 46.3493, 46.3493) * CHOOSE(CONTROL!$C$21, $C$9, 100%, $E$9)</f>
        <v>46.349299999999999</v>
      </c>
      <c r="O731" s="14">
        <f>CHOOSE(CONTROL!$C$42, 46.4285, 46.4285) * CHOOSE(CONTROL!$C$21, $C$9, 100%, $E$9)</f>
        <v>46.4285</v>
      </c>
      <c r="P731" s="14">
        <f>CHOOSE(CONTROL!$C$42, 46.493, 46.493) * CHOOSE(CONTROL!$C$21, $C$9, 100%, $E$9)</f>
        <v>46.493000000000002</v>
      </c>
      <c r="Q731" s="14">
        <f>CHOOSE(CONTROL!$C$42, 47.0232, 47.0232) * CHOOSE(CONTROL!$C$21, $C$9, 100%, $E$9)</f>
        <v>47.023200000000003</v>
      </c>
      <c r="R731" s="14">
        <f>CHOOSE(CONTROL!$C$42, 47.7277, 47.7277) * CHOOSE(CONTROL!$C$21, $C$9, 100%, $E$9)</f>
        <v>47.727699999999999</v>
      </c>
      <c r="S731" s="14">
        <f>CHOOSE(CONTROL!$C$42, 45.4417, 45.4417) * CHOOSE(CONTROL!$C$21, $C$9, 100%, $E$9)</f>
        <v>45.441699999999997</v>
      </c>
      <c r="T73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31" s="57">
        <f>(1000*CHOOSE(CONTROL!$C$42, 695, 695)*CHOOSE(CONTROL!$C$42, 0.5599, 0.5599)*CHOOSE(CONTROL!$C$42, 30, 30))/1000000</f>
        <v>11.673914999999997</v>
      </c>
      <c r="V731" s="57">
        <f>(1000*CHOOSE(CONTROL!$C$42, 500, 500)*CHOOSE(CONTROL!$C$42, 0.275, 0.275)*CHOOSE(CONTROL!$C$42, 30, 30))/1000000</f>
        <v>4.125</v>
      </c>
      <c r="W731" s="57">
        <f>(1000*CHOOSE(CONTROL!$C$42, 0.1146, 0.1146)*CHOOSE(CONTROL!$C$42, 121.5, 121.5)*CHOOSE(CONTROL!$C$42, 30, 30))/1000000</f>
        <v>0.417717</v>
      </c>
      <c r="X731" s="57">
        <f>(30*0.1790888*100000/1000000)+(30*0.2374*100000/1000000)</f>
        <v>1.2494664</v>
      </c>
      <c r="Y731" s="57"/>
      <c r="Z731" s="14"/>
      <c r="AA731" s="56"/>
      <c r="AB731" s="50">
        <f>(B731*122.58+C731*297.941+D731*89.177+E731*40.302+F731*40+G731*160+H731*0+I731*100+J731*300)/(122.58+297.941+89.177+40.302+0+40+160+100+300)</f>
        <v>47.325317304695645</v>
      </c>
      <c r="AC731" s="45">
        <f>(M731*'RAP TEMPLATE-GAS AVAILABILITY'!O730+N731*'RAP TEMPLATE-GAS AVAILABILITY'!P730+O731*'RAP TEMPLATE-GAS AVAILABILITY'!Q730+P731*'RAP TEMPLATE-GAS AVAILABILITY'!R730)/('RAP TEMPLATE-GAS AVAILABILITY'!O730+'RAP TEMPLATE-GAS AVAILABILITY'!P730+'RAP TEMPLATE-GAS AVAILABILITY'!Q730+'RAP TEMPLATE-GAS AVAILABILITY'!R730)</f>
        <v>46.400485611510788</v>
      </c>
    </row>
    <row r="732" spans="1:29" ht="15.75" x14ac:dyDescent="0.25">
      <c r="A732" s="32">
        <v>63189</v>
      </c>
      <c r="B732" s="14">
        <f>CHOOSE(CONTROL!$C$42, 50.5238, 50.5238) * CHOOSE(CONTROL!$C$21, $C$9, 100%, $E$9)</f>
        <v>50.523800000000001</v>
      </c>
      <c r="C732" s="14">
        <f>CHOOSE(CONTROL!$C$42, 50.5289, 50.5289) * CHOOSE(CONTROL!$C$21, $C$9, 100%, $E$9)</f>
        <v>50.5289</v>
      </c>
      <c r="D732" s="14">
        <f>CHOOSE(CONTROL!$C$42, 50.5927, 50.5927) * CHOOSE(CONTROL!$C$21, $C$9, 100%, $E$9)</f>
        <v>50.592700000000001</v>
      </c>
      <c r="E732" s="14">
        <f>CHOOSE(CONTROL!$C$42, 50.6268, 50.6268) * CHOOSE(CONTROL!$C$21, $C$9, 100%, $E$9)</f>
        <v>50.626800000000003</v>
      </c>
      <c r="F732" s="14">
        <f>CHOOSE(CONTROL!$C$42, 50.5285, 50.5285)*CHOOSE(CONTROL!$C$21, $C$9, 100%, $E$9)</f>
        <v>50.528500000000001</v>
      </c>
      <c r="G732" s="14">
        <f>CHOOSE(CONTROL!$C$42, 50.5451, 50.5451)*CHOOSE(CONTROL!$C$21, $C$9, 100%, $E$9)</f>
        <v>50.545099999999998</v>
      </c>
      <c r="H732" s="14">
        <f>CHOOSE(CONTROL!$C$42, 50.616, 50.616) * CHOOSE(CONTROL!$C$21, $C$9, 100%, $E$9)</f>
        <v>50.616</v>
      </c>
      <c r="I732" s="14">
        <f>CHOOSE(CONTROL!$C$42, 50.6949, 50.6949)* CHOOSE(CONTROL!$C$21, $C$9, 100%, $E$9)</f>
        <v>50.694899999999997</v>
      </c>
      <c r="J732" s="14">
        <f>CHOOSE(CONTROL!$C$42, 50.5215, 50.5215)* CHOOSE(CONTROL!$C$21, $C$9, 100%, $E$9)</f>
        <v>50.521500000000003</v>
      </c>
      <c r="K732" s="53">
        <f>CHOOSE(CONTROL!$C$42, 50.691, 50.691) * CHOOSE(CONTROL!$C$21, $C$9, 100%, $E$9)</f>
        <v>50.691000000000003</v>
      </c>
      <c r="L732" s="14">
        <f>CHOOSE(CONTROL!$C$42, 51.203, 51.203) * CHOOSE(CONTROL!$C$21, $C$9, 100%, $E$9)</f>
        <v>51.203000000000003</v>
      </c>
      <c r="M732" s="14">
        <f>CHOOSE(CONTROL!$C$42, 49.494, 49.494) * CHOOSE(CONTROL!$C$21, $C$9, 100%, $E$9)</f>
        <v>49.494</v>
      </c>
      <c r="N732" s="14">
        <f>CHOOSE(CONTROL!$C$42, 49.5103, 49.5103) * CHOOSE(CONTROL!$C$21, $C$9, 100%, $E$9)</f>
        <v>49.510300000000001</v>
      </c>
      <c r="O732" s="14">
        <f>CHOOSE(CONTROL!$C$42, 49.5866, 49.5866) * CHOOSE(CONTROL!$C$21, $C$9, 100%, $E$9)</f>
        <v>49.586599999999997</v>
      </c>
      <c r="P732" s="14">
        <f>CHOOSE(CONTROL!$C$42, 49.6608, 49.6608) * CHOOSE(CONTROL!$C$21, $C$9, 100%, $E$9)</f>
        <v>49.660800000000002</v>
      </c>
      <c r="Q732" s="14">
        <f>CHOOSE(CONTROL!$C$42, 50.1813, 50.1813) * CHOOSE(CONTROL!$C$21, $C$9, 100%, $E$9)</f>
        <v>50.1813</v>
      </c>
      <c r="R732" s="14">
        <f>CHOOSE(CONTROL!$C$42, 50.8938, 50.8938) * CHOOSE(CONTROL!$C$21, $C$9, 100%, $E$9)</f>
        <v>50.893799999999999</v>
      </c>
      <c r="S732" s="14">
        <f>CHOOSE(CONTROL!$C$42, 48.5398, 48.5398) * CHOOSE(CONTROL!$C$21, $C$9, 100%, $E$9)</f>
        <v>48.5398</v>
      </c>
      <c r="T73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32" s="57">
        <f>(1000*CHOOSE(CONTROL!$C$42, 695, 695)*CHOOSE(CONTROL!$C$42, 0.5599, 0.5599)*CHOOSE(CONTROL!$C$42, 31, 31))/1000000</f>
        <v>12.063045499999998</v>
      </c>
      <c r="V732" s="57">
        <f>(1000*CHOOSE(CONTROL!$C$42, 500, 500)*CHOOSE(CONTROL!$C$42, 0.275, 0.275)*CHOOSE(CONTROL!$C$42, 31, 31))/1000000</f>
        <v>4.2625000000000002</v>
      </c>
      <c r="W732" s="57">
        <f>(1000*CHOOSE(CONTROL!$C$42, 0.1146, 0.1146)*CHOOSE(CONTROL!$C$42, 121.5, 121.5)*CHOOSE(CONTROL!$C$42, 31, 31))/1000000</f>
        <v>0.43164089999999994</v>
      </c>
      <c r="X732" s="57">
        <f>(31*0.1790888*100000/1000000)+(31*0.2374*100000/1000000)</f>
        <v>1.2911152800000001</v>
      </c>
      <c r="Y732" s="57"/>
      <c r="Z732" s="14"/>
      <c r="AA732" s="56"/>
      <c r="AB732" s="50">
        <f>(B732*122.58+C732*297.941+D732*89.177+E732*40.302+F732*40+G732*160+H732*0+I732*100+J732*300)/(122.58+297.941+89.177+40.302+0+40+160+100+300)</f>
        <v>50.551479043826085</v>
      </c>
      <c r="AC732" s="45">
        <f>(M732*'RAP TEMPLATE-GAS AVAILABILITY'!O731+N732*'RAP TEMPLATE-GAS AVAILABILITY'!P731+O732*'RAP TEMPLATE-GAS AVAILABILITY'!Q731+P732*'RAP TEMPLATE-GAS AVAILABILITY'!R731)/('RAP TEMPLATE-GAS AVAILABILITY'!O731+'RAP TEMPLATE-GAS AVAILABILITY'!P731+'RAP TEMPLATE-GAS AVAILABILITY'!Q731+'RAP TEMPLATE-GAS AVAILABILITY'!R731)</f>
        <v>49.560907913669062</v>
      </c>
    </row>
    <row r="733" spans="1:29" ht="15.75" x14ac:dyDescent="0.25">
      <c r="A733" s="32">
        <v>63220</v>
      </c>
      <c r="B733" s="14">
        <f>CHOOSE(CONTROL!$C$42, 54.6616, 54.6616) * CHOOSE(CONTROL!$C$21, $C$9, 100%, $E$9)</f>
        <v>54.6616</v>
      </c>
      <c r="C733" s="14">
        <f>CHOOSE(CONTROL!$C$42, 54.6667, 54.6667) * CHOOSE(CONTROL!$C$21, $C$9, 100%, $E$9)</f>
        <v>54.666699999999999</v>
      </c>
      <c r="D733" s="14">
        <f>CHOOSE(CONTROL!$C$42, 54.7331, 54.7331) * CHOOSE(CONTROL!$C$21, $C$9, 100%, $E$9)</f>
        <v>54.7331</v>
      </c>
      <c r="E733" s="14">
        <f>CHOOSE(CONTROL!$C$42, 54.7672, 54.7672) * CHOOSE(CONTROL!$C$21, $C$9, 100%, $E$9)</f>
        <v>54.767200000000003</v>
      </c>
      <c r="F733" s="14">
        <f>CHOOSE(CONTROL!$C$42, 54.649, 54.649)*CHOOSE(CONTROL!$C$21, $C$9, 100%, $E$9)</f>
        <v>54.649000000000001</v>
      </c>
      <c r="G733" s="14">
        <f>CHOOSE(CONTROL!$C$42, 54.6644, 54.6644)*CHOOSE(CONTROL!$C$21, $C$9, 100%, $E$9)</f>
        <v>54.664400000000001</v>
      </c>
      <c r="H733" s="14">
        <f>CHOOSE(CONTROL!$C$42, 54.7564, 54.7564) * CHOOSE(CONTROL!$C$21, $C$9, 100%, $E$9)</f>
        <v>54.756399999999999</v>
      </c>
      <c r="I733" s="14">
        <f>CHOOSE(CONTROL!$C$42, 54.8405, 54.8405)* CHOOSE(CONTROL!$C$21, $C$9, 100%, $E$9)</f>
        <v>54.840499999999999</v>
      </c>
      <c r="J733" s="14">
        <f>CHOOSE(CONTROL!$C$42, 54.642, 54.642)* CHOOSE(CONTROL!$C$21, $C$9, 100%, $E$9)</f>
        <v>54.642000000000003</v>
      </c>
      <c r="K733" s="53">
        <f>CHOOSE(CONTROL!$C$42, 54.8366, 54.8366) * CHOOSE(CONTROL!$C$21, $C$9, 100%, $E$9)</f>
        <v>54.836599999999997</v>
      </c>
      <c r="L733" s="14">
        <f>CHOOSE(CONTROL!$C$42, 55.3434, 55.3434) * CHOOSE(CONTROL!$C$21, $C$9, 100%, $E$9)</f>
        <v>55.343400000000003</v>
      </c>
      <c r="M733" s="14">
        <f>CHOOSE(CONTROL!$C$42, 53.5301, 53.5301) * CHOOSE(CONTROL!$C$21, $C$9, 100%, $E$9)</f>
        <v>53.530099999999997</v>
      </c>
      <c r="N733" s="14">
        <f>CHOOSE(CONTROL!$C$42, 53.5452, 53.5452) * CHOOSE(CONTROL!$C$21, $C$9, 100%, $E$9)</f>
        <v>53.545200000000001</v>
      </c>
      <c r="O733" s="14">
        <f>CHOOSE(CONTROL!$C$42, 53.6422, 53.6422) * CHOOSE(CONTROL!$C$21, $C$9, 100%, $E$9)</f>
        <v>53.642200000000003</v>
      </c>
      <c r="P733" s="14">
        <f>CHOOSE(CONTROL!$C$42, 53.7211, 53.7211) * CHOOSE(CONTROL!$C$21, $C$9, 100%, $E$9)</f>
        <v>53.7211</v>
      </c>
      <c r="Q733" s="14">
        <f>CHOOSE(CONTROL!$C$42, 54.2369, 54.2369) * CHOOSE(CONTROL!$C$21, $C$9, 100%, $E$9)</f>
        <v>54.236899999999999</v>
      </c>
      <c r="R733" s="14">
        <f>CHOOSE(CONTROL!$C$42, 54.9595, 54.9595) * CHOOSE(CONTROL!$C$21, $C$9, 100%, $E$9)</f>
        <v>54.959499999999998</v>
      </c>
      <c r="S733" s="14">
        <f>CHOOSE(CONTROL!$C$42, 52.5158, 52.5158) * CHOOSE(CONTROL!$C$21, $C$9, 100%, $E$9)</f>
        <v>52.515799999999999</v>
      </c>
      <c r="T73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33" s="57">
        <f>(1000*CHOOSE(CONTROL!$C$42, 695, 695)*CHOOSE(CONTROL!$C$42, 0.5599, 0.5599)*CHOOSE(CONTROL!$C$42, 31, 31))/1000000</f>
        <v>12.063045499999998</v>
      </c>
      <c r="V733" s="57">
        <f>(1000*CHOOSE(CONTROL!$C$42, 500, 500)*CHOOSE(CONTROL!$C$42, 0.275, 0.275)*CHOOSE(CONTROL!$C$42, 31, 31))/1000000</f>
        <v>4.2625000000000002</v>
      </c>
      <c r="W733" s="57">
        <f>(1000*CHOOSE(CONTROL!$C$42, 0.1146, 0.1146)*CHOOSE(CONTROL!$C$42, 121.5, 121.5)*CHOOSE(CONTROL!$C$42, 31, 31))/1000000</f>
        <v>0.43164089999999994</v>
      </c>
      <c r="X733" s="57">
        <f>(31*0.1790888*100000/1000000)+(31*0.2374*100000/1000000)</f>
        <v>1.2911152800000001</v>
      </c>
      <c r="Y733" s="57"/>
      <c r="Z733" s="14"/>
      <c r="AA733" s="56"/>
      <c r="AB733" s="50">
        <f>(B733*122.58+C733*297.941+D733*89.177+E733*40.302+F733*40+G733*160+H733*0+I733*100+J733*300)/(122.58+297.941+89.177+40.302+0+40+160+100+300)</f>
        <v>54.682561344173912</v>
      </c>
      <c r="AC733" s="45">
        <f>(M733*'RAP TEMPLATE-GAS AVAILABILITY'!O732+N733*'RAP TEMPLATE-GAS AVAILABILITY'!P732+O733*'RAP TEMPLATE-GAS AVAILABILITY'!Q732+P733*'RAP TEMPLATE-GAS AVAILABILITY'!R732)/('RAP TEMPLATE-GAS AVAILABILITY'!O732+'RAP TEMPLATE-GAS AVAILABILITY'!P732+'RAP TEMPLATE-GAS AVAILABILITY'!Q732+'RAP TEMPLATE-GAS AVAILABILITY'!R732)</f>
        <v>53.609258992805749</v>
      </c>
    </row>
    <row r="734" spans="1:29" ht="15.75" x14ac:dyDescent="0.25">
      <c r="A734" s="32">
        <v>63248</v>
      </c>
      <c r="B734" s="14">
        <f>CHOOSE(CONTROL!$C$42, 55.6345, 55.6345) * CHOOSE(CONTROL!$C$21, $C$9, 100%, $E$9)</f>
        <v>55.634500000000003</v>
      </c>
      <c r="C734" s="14">
        <f>CHOOSE(CONTROL!$C$42, 55.6396, 55.6396) * CHOOSE(CONTROL!$C$21, $C$9, 100%, $E$9)</f>
        <v>55.639600000000002</v>
      </c>
      <c r="D734" s="14">
        <f>CHOOSE(CONTROL!$C$42, 55.706, 55.706) * CHOOSE(CONTROL!$C$21, $C$9, 100%, $E$9)</f>
        <v>55.706000000000003</v>
      </c>
      <c r="E734" s="14">
        <f>CHOOSE(CONTROL!$C$42, 55.7401, 55.7401) * CHOOSE(CONTROL!$C$21, $C$9, 100%, $E$9)</f>
        <v>55.740099999999998</v>
      </c>
      <c r="F734" s="14">
        <f>CHOOSE(CONTROL!$C$42, 55.6219, 55.6219)*CHOOSE(CONTROL!$C$21, $C$9, 100%, $E$9)</f>
        <v>55.621899999999997</v>
      </c>
      <c r="G734" s="14">
        <f>CHOOSE(CONTROL!$C$42, 55.6374, 55.6374)*CHOOSE(CONTROL!$C$21, $C$9, 100%, $E$9)</f>
        <v>55.6374</v>
      </c>
      <c r="H734" s="14">
        <f>CHOOSE(CONTROL!$C$42, 55.7293, 55.7293) * CHOOSE(CONTROL!$C$21, $C$9, 100%, $E$9)</f>
        <v>55.729300000000002</v>
      </c>
      <c r="I734" s="14">
        <f>CHOOSE(CONTROL!$C$42, 55.8164, 55.8164)* CHOOSE(CONTROL!$C$21, $C$9, 100%, $E$9)</f>
        <v>55.816400000000002</v>
      </c>
      <c r="J734" s="14">
        <f>CHOOSE(CONTROL!$C$42, 55.6149, 55.6149)* CHOOSE(CONTROL!$C$21, $C$9, 100%, $E$9)</f>
        <v>55.614899999999999</v>
      </c>
      <c r="K734" s="53">
        <f>CHOOSE(CONTROL!$C$42, 55.8125, 55.8125) * CHOOSE(CONTROL!$C$21, $C$9, 100%, $E$9)</f>
        <v>55.8125</v>
      </c>
      <c r="L734" s="14">
        <f>CHOOSE(CONTROL!$C$42, 56.3163, 56.3163) * CHOOSE(CONTROL!$C$21, $C$9, 100%, $E$9)</f>
        <v>56.316299999999998</v>
      </c>
      <c r="M734" s="14">
        <f>CHOOSE(CONTROL!$C$42, 54.4831, 54.4831) * CHOOSE(CONTROL!$C$21, $C$9, 100%, $E$9)</f>
        <v>54.4831</v>
      </c>
      <c r="N734" s="14">
        <f>CHOOSE(CONTROL!$C$42, 54.4983, 54.4983) * CHOOSE(CONTROL!$C$21, $C$9, 100%, $E$9)</f>
        <v>54.4983</v>
      </c>
      <c r="O734" s="14">
        <f>CHOOSE(CONTROL!$C$42, 54.5952, 54.5952) * CHOOSE(CONTROL!$C$21, $C$9, 100%, $E$9)</f>
        <v>54.595199999999998</v>
      </c>
      <c r="P734" s="14">
        <f>CHOOSE(CONTROL!$C$42, 54.677, 54.677) * CHOOSE(CONTROL!$C$21, $C$9, 100%, $E$9)</f>
        <v>54.677</v>
      </c>
      <c r="Q734" s="14">
        <f>CHOOSE(CONTROL!$C$42, 55.1899, 55.1899) * CHOOSE(CONTROL!$C$21, $C$9, 100%, $E$9)</f>
        <v>55.189900000000002</v>
      </c>
      <c r="R734" s="14">
        <f>CHOOSE(CONTROL!$C$42, 55.9148, 55.9148) * CHOOSE(CONTROL!$C$21, $C$9, 100%, $E$9)</f>
        <v>55.9148</v>
      </c>
      <c r="S734" s="14">
        <f>CHOOSE(CONTROL!$C$42, 53.4507, 53.4507) * CHOOSE(CONTROL!$C$21, $C$9, 100%, $E$9)</f>
        <v>53.450699999999998</v>
      </c>
      <c r="T73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34" s="57">
        <f>(1000*CHOOSE(CONTROL!$C$42, 695, 695)*CHOOSE(CONTROL!$C$42, 0.5599, 0.5599)*CHOOSE(CONTROL!$C$42, 28, 28))/1000000</f>
        <v>10.895653999999999</v>
      </c>
      <c r="V734" s="57">
        <f>(1000*CHOOSE(CONTROL!$C$42, 500, 500)*CHOOSE(CONTROL!$C$42, 0.275, 0.275)*CHOOSE(CONTROL!$C$42, 28, 28))/1000000</f>
        <v>3.85</v>
      </c>
      <c r="W734" s="57">
        <f>(1000*CHOOSE(CONTROL!$C$42, 0.1146, 0.1146)*CHOOSE(CONTROL!$C$42, 121.5, 121.5)*CHOOSE(CONTROL!$C$42, 28, 28))/1000000</f>
        <v>0.38986920000000003</v>
      </c>
      <c r="X734" s="57">
        <f>(28*0.1790888*100000/1000000)+(28*0.2374*100000/1000000)</f>
        <v>1.16616864</v>
      </c>
      <c r="Y734" s="57"/>
      <c r="Z734" s="14"/>
      <c r="AA734" s="56"/>
      <c r="AB734" s="50">
        <f>(B734*122.58+C734*297.941+D734*89.177+E734*40.302+F734*40+G734*160+H734*0+I734*100+J734*300)/(122.58+297.941+89.177+40.302+0+40+160+100+300)</f>
        <v>55.655736126782607</v>
      </c>
      <c r="AC734" s="45">
        <f>(M734*'RAP TEMPLATE-GAS AVAILABILITY'!O733+N734*'RAP TEMPLATE-GAS AVAILABILITY'!P733+O734*'RAP TEMPLATE-GAS AVAILABILITY'!Q733+P734*'RAP TEMPLATE-GAS AVAILABILITY'!R733)/('RAP TEMPLATE-GAS AVAILABILITY'!O733+'RAP TEMPLATE-GAS AVAILABILITY'!P733+'RAP TEMPLATE-GAS AVAILABILITY'!Q733+'RAP TEMPLATE-GAS AVAILABILITY'!R733)</f>
        <v>54.562682014388486</v>
      </c>
    </row>
    <row r="735" spans="1:29" ht="15.75" x14ac:dyDescent="0.25">
      <c r="A735" s="32">
        <v>63279</v>
      </c>
      <c r="B735" s="14">
        <f>CHOOSE(CONTROL!$C$42, 54.0553, 54.0553) * CHOOSE(CONTROL!$C$21, $C$9, 100%, $E$9)</f>
        <v>54.055300000000003</v>
      </c>
      <c r="C735" s="14">
        <f>CHOOSE(CONTROL!$C$42, 54.0604, 54.0604) * CHOOSE(CONTROL!$C$21, $C$9, 100%, $E$9)</f>
        <v>54.060400000000001</v>
      </c>
      <c r="D735" s="14">
        <f>CHOOSE(CONTROL!$C$42, 54.1268, 54.1268) * CHOOSE(CONTROL!$C$21, $C$9, 100%, $E$9)</f>
        <v>54.126800000000003</v>
      </c>
      <c r="E735" s="14">
        <f>CHOOSE(CONTROL!$C$42, 54.1609, 54.1609) * CHOOSE(CONTROL!$C$21, $C$9, 100%, $E$9)</f>
        <v>54.160899999999998</v>
      </c>
      <c r="F735" s="14">
        <f>CHOOSE(CONTROL!$C$42, 54.0423, 54.0423)*CHOOSE(CONTROL!$C$21, $C$9, 100%, $E$9)</f>
        <v>54.042299999999997</v>
      </c>
      <c r="G735" s="14">
        <f>CHOOSE(CONTROL!$C$42, 54.0577, 54.0577)*CHOOSE(CONTROL!$C$21, $C$9, 100%, $E$9)</f>
        <v>54.057699999999997</v>
      </c>
      <c r="H735" s="14">
        <f>CHOOSE(CONTROL!$C$42, 54.1501, 54.1501) * CHOOSE(CONTROL!$C$21, $C$9, 100%, $E$9)</f>
        <v>54.150100000000002</v>
      </c>
      <c r="I735" s="14">
        <f>CHOOSE(CONTROL!$C$42, 54.2322, 54.2322)* CHOOSE(CONTROL!$C$21, $C$9, 100%, $E$9)</f>
        <v>54.232199999999999</v>
      </c>
      <c r="J735" s="14">
        <f>CHOOSE(CONTROL!$C$42, 54.0353, 54.0353)* CHOOSE(CONTROL!$C$21, $C$9, 100%, $E$9)</f>
        <v>54.035299999999999</v>
      </c>
      <c r="K735" s="53">
        <f>CHOOSE(CONTROL!$C$42, 54.2283, 54.2283) * CHOOSE(CONTROL!$C$21, $C$9, 100%, $E$9)</f>
        <v>54.228299999999997</v>
      </c>
      <c r="L735" s="14">
        <f>CHOOSE(CONTROL!$C$42, 54.7371, 54.7371) * CHOOSE(CONTROL!$C$21, $C$9, 100%, $E$9)</f>
        <v>54.737099999999998</v>
      </c>
      <c r="M735" s="14">
        <f>CHOOSE(CONTROL!$C$42, 52.9359, 52.9359) * CHOOSE(CONTROL!$C$21, $C$9, 100%, $E$9)</f>
        <v>52.935899999999997</v>
      </c>
      <c r="N735" s="14">
        <f>CHOOSE(CONTROL!$C$42, 52.9509, 52.9509) * CHOOSE(CONTROL!$C$21, $C$9, 100%, $E$9)</f>
        <v>52.950899999999997</v>
      </c>
      <c r="O735" s="14">
        <f>CHOOSE(CONTROL!$C$42, 53.0483, 53.0483) * CHOOSE(CONTROL!$C$21, $C$9, 100%, $E$9)</f>
        <v>53.048299999999998</v>
      </c>
      <c r="P735" s="14">
        <f>CHOOSE(CONTROL!$C$42, 53.1254, 53.1254) * CHOOSE(CONTROL!$C$21, $C$9, 100%, $E$9)</f>
        <v>53.125399999999999</v>
      </c>
      <c r="Q735" s="14">
        <f>CHOOSE(CONTROL!$C$42, 53.643, 53.643) * CHOOSE(CONTROL!$C$21, $C$9, 100%, $E$9)</f>
        <v>53.643000000000001</v>
      </c>
      <c r="R735" s="14">
        <f>CHOOSE(CONTROL!$C$42, 54.3641, 54.3641) * CHOOSE(CONTROL!$C$21, $C$9, 100%, $E$9)</f>
        <v>54.364100000000001</v>
      </c>
      <c r="S735" s="14">
        <f>CHOOSE(CONTROL!$C$42, 51.9332, 51.9332) * CHOOSE(CONTROL!$C$21, $C$9, 100%, $E$9)</f>
        <v>51.933199999999999</v>
      </c>
      <c r="T73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35" s="57">
        <f>(1000*CHOOSE(CONTROL!$C$42, 695, 695)*CHOOSE(CONTROL!$C$42, 0.5599, 0.5599)*CHOOSE(CONTROL!$C$42, 31, 31))/1000000</f>
        <v>12.063045499999998</v>
      </c>
      <c r="V735" s="57">
        <f>(1000*CHOOSE(CONTROL!$C$42, 500, 500)*CHOOSE(CONTROL!$C$42, 0.275, 0.275)*CHOOSE(CONTROL!$C$42, 31, 31))/1000000</f>
        <v>4.2625000000000002</v>
      </c>
      <c r="W735" s="57">
        <f>(1000*CHOOSE(CONTROL!$C$42, 0.1146, 0.1146)*CHOOSE(CONTROL!$C$42, 121.5, 121.5)*CHOOSE(CONTROL!$C$42, 31, 31))/1000000</f>
        <v>0.43164089999999994</v>
      </c>
      <c r="X735" s="57">
        <f>(31*0.1790888*100000/1000000)+(31*0.2374*100000/1000000)</f>
        <v>1.2911152800000001</v>
      </c>
      <c r="Y735" s="57"/>
      <c r="Z735" s="14"/>
      <c r="AA735" s="56"/>
      <c r="AB735" s="50">
        <f>(B735*122.58+C735*297.941+D735*89.177+E735*40.302+F735*40+G735*160+H735*0+I735*100+J735*300)/(122.58+297.941+89.177+40.302+0+40+160+100+300)</f>
        <v>54.075913518086956</v>
      </c>
      <c r="AC735" s="45">
        <f>(M735*'RAP TEMPLATE-GAS AVAILABILITY'!O734+N735*'RAP TEMPLATE-GAS AVAILABILITY'!P734+O735*'RAP TEMPLATE-GAS AVAILABILITY'!Q734+P735*'RAP TEMPLATE-GAS AVAILABILITY'!R734)/('RAP TEMPLATE-GAS AVAILABILITY'!O734+'RAP TEMPLATE-GAS AVAILABILITY'!P734+'RAP TEMPLATE-GAS AVAILABILITY'!Q734+'RAP TEMPLATE-GAS AVAILABILITY'!R734)</f>
        <v>53.014973381294958</v>
      </c>
    </row>
    <row r="736" spans="1:29" ht="15.75" x14ac:dyDescent="0.25">
      <c r="A736" s="32">
        <v>63309</v>
      </c>
      <c r="B736" s="14">
        <f>CHOOSE(CONTROL!$C$42, 53.8947, 53.8947) * CHOOSE(CONTROL!$C$21, $C$9, 100%, $E$9)</f>
        <v>53.8947</v>
      </c>
      <c r="C736" s="14">
        <f>CHOOSE(CONTROL!$C$42, 53.8991, 53.8991) * CHOOSE(CONTROL!$C$21, $C$9, 100%, $E$9)</f>
        <v>53.899099999999997</v>
      </c>
      <c r="D736" s="14">
        <f>CHOOSE(CONTROL!$C$42, 54.1062, 54.1062) * CHOOSE(CONTROL!$C$21, $C$9, 100%, $E$9)</f>
        <v>54.106200000000001</v>
      </c>
      <c r="E736" s="14">
        <f>CHOOSE(CONTROL!$C$42, 54.1383, 54.1383) * CHOOSE(CONTROL!$C$21, $C$9, 100%, $E$9)</f>
        <v>54.138300000000001</v>
      </c>
      <c r="F736" s="14">
        <f>CHOOSE(CONTROL!$C$42, 53.8765, 53.8765)*CHOOSE(CONTROL!$C$21, $C$9, 100%, $E$9)</f>
        <v>53.8765</v>
      </c>
      <c r="G736" s="14">
        <f>CHOOSE(CONTROL!$C$42, 53.8917, 53.8917)*CHOOSE(CONTROL!$C$21, $C$9, 100%, $E$9)</f>
        <v>53.8917</v>
      </c>
      <c r="H736" s="14">
        <f>CHOOSE(CONTROL!$C$42, 54.1281, 54.1281) * CHOOSE(CONTROL!$C$21, $C$9, 100%, $E$9)</f>
        <v>54.128100000000003</v>
      </c>
      <c r="I736" s="14">
        <f>CHOOSE(CONTROL!$C$42, 54.0703, 54.0703)* CHOOSE(CONTROL!$C$21, $C$9, 100%, $E$9)</f>
        <v>54.070300000000003</v>
      </c>
      <c r="J736" s="14">
        <f>CHOOSE(CONTROL!$C$42, 53.8695, 53.8695)* CHOOSE(CONTROL!$C$21, $C$9, 100%, $E$9)</f>
        <v>53.869500000000002</v>
      </c>
      <c r="K736" s="53">
        <f>CHOOSE(CONTROL!$C$42, 54.0664, 54.0664) * CHOOSE(CONTROL!$C$21, $C$9, 100%, $E$9)</f>
        <v>54.066400000000002</v>
      </c>
      <c r="L736" s="14">
        <f>CHOOSE(CONTROL!$C$42, 54.7151, 54.7151) * CHOOSE(CONTROL!$C$21, $C$9, 100%, $E$9)</f>
        <v>54.7151</v>
      </c>
      <c r="M736" s="14">
        <f>CHOOSE(CONTROL!$C$42, 52.7735, 52.7735) * CHOOSE(CONTROL!$C$21, $C$9, 100%, $E$9)</f>
        <v>52.773499999999999</v>
      </c>
      <c r="N736" s="14">
        <f>CHOOSE(CONTROL!$C$42, 52.7884, 52.7884) * CHOOSE(CONTROL!$C$21, $C$9, 100%, $E$9)</f>
        <v>52.788400000000003</v>
      </c>
      <c r="O736" s="14">
        <f>CHOOSE(CONTROL!$C$42, 53.0268, 53.0268) * CHOOSE(CONTROL!$C$21, $C$9, 100%, $E$9)</f>
        <v>53.026800000000001</v>
      </c>
      <c r="P736" s="14">
        <f>CHOOSE(CONTROL!$C$42, 52.9668, 52.9668) * CHOOSE(CONTROL!$C$21, $C$9, 100%, $E$9)</f>
        <v>52.966799999999999</v>
      </c>
      <c r="Q736" s="14">
        <f>CHOOSE(CONTROL!$C$42, 53.6215, 53.6215) * CHOOSE(CONTROL!$C$21, $C$9, 100%, $E$9)</f>
        <v>53.621499999999997</v>
      </c>
      <c r="R736" s="14">
        <f>CHOOSE(CONTROL!$C$42, 54.3425, 54.3425) * CHOOSE(CONTROL!$C$21, $C$9, 100%, $E$9)</f>
        <v>54.342500000000001</v>
      </c>
      <c r="S736" s="14">
        <f>CHOOSE(CONTROL!$C$42, 51.7781, 51.7781) * CHOOSE(CONTROL!$C$21, $C$9, 100%, $E$9)</f>
        <v>51.778100000000002</v>
      </c>
      <c r="T73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36" s="57">
        <f>(1000*CHOOSE(CONTROL!$C$42, 695, 695)*CHOOSE(CONTROL!$C$42, 0.5599, 0.5599)*CHOOSE(CONTROL!$C$42, 30, 30))/1000000</f>
        <v>11.673914999999997</v>
      </c>
      <c r="V736" s="57">
        <f>(1000*CHOOSE(CONTROL!$C$42, 500, 500)*CHOOSE(CONTROL!$C$42, 0.275, 0.275)*CHOOSE(CONTROL!$C$42, 30, 30))/1000000</f>
        <v>4.125</v>
      </c>
      <c r="W736" s="57">
        <f>(1000*CHOOSE(CONTROL!$C$42, 0.1146, 0.1146)*CHOOSE(CONTROL!$C$42, 121.5, 121.5)*CHOOSE(CONTROL!$C$42, 30, 30))/1000000</f>
        <v>0.417717</v>
      </c>
      <c r="X736" s="57">
        <f>(30*0.1790888*245000/1000000)+(30*0.2374*100000/1000000)</f>
        <v>2.0285026799999999</v>
      </c>
      <c r="Y736" s="57"/>
      <c r="Z736" s="14"/>
      <c r="AA736" s="56"/>
      <c r="AB736" s="50">
        <f>(B736*141.293+C736*267.993+D736*115.016+E736*89.698+F736*40+G736*185+H736*0+I736*100+J736*300)/(141.293+267.993+115.016+89.698+0+40+185+100+300)</f>
        <v>53.939956243744959</v>
      </c>
      <c r="AC736" s="45">
        <f>(M736*'RAP TEMPLATE-GAS AVAILABILITY'!O735+N736*'RAP TEMPLATE-GAS AVAILABILITY'!P735+O736*'RAP TEMPLATE-GAS AVAILABILITY'!Q735+P736*'RAP TEMPLATE-GAS AVAILABILITY'!R735)/('RAP TEMPLATE-GAS AVAILABILITY'!O735+'RAP TEMPLATE-GAS AVAILABILITY'!P735+'RAP TEMPLATE-GAS AVAILABILITY'!Q735+'RAP TEMPLATE-GAS AVAILABILITY'!R735)</f>
        <v>52.916975539568341</v>
      </c>
    </row>
    <row r="737" spans="1:29" ht="15.75" x14ac:dyDescent="0.25">
      <c r="A737" s="32">
        <v>63340</v>
      </c>
      <c r="B737" s="14">
        <f>CHOOSE(CONTROL!$C$42, 54.3716, 54.3716) * CHOOSE(CONTROL!$C$21, $C$9, 100%, $E$9)</f>
        <v>54.371600000000001</v>
      </c>
      <c r="C737" s="14">
        <f>CHOOSE(CONTROL!$C$42, 54.3797, 54.3797) * CHOOSE(CONTROL!$C$21, $C$9, 100%, $E$9)</f>
        <v>54.3797</v>
      </c>
      <c r="D737" s="14">
        <f>CHOOSE(CONTROL!$C$42, 54.5836, 54.5836) * CHOOSE(CONTROL!$C$21, $C$9, 100%, $E$9)</f>
        <v>54.583599999999997</v>
      </c>
      <c r="E737" s="14">
        <f>CHOOSE(CONTROL!$C$42, 54.6151, 54.6151) * CHOOSE(CONTROL!$C$21, $C$9, 100%, $E$9)</f>
        <v>54.615099999999998</v>
      </c>
      <c r="F737" s="14">
        <f>CHOOSE(CONTROL!$C$42, 54.3524, 54.3524)*CHOOSE(CONTROL!$C$21, $C$9, 100%, $E$9)</f>
        <v>54.352400000000003</v>
      </c>
      <c r="G737" s="14">
        <f>CHOOSE(CONTROL!$C$42, 54.368, 54.368)*CHOOSE(CONTROL!$C$21, $C$9, 100%, $E$9)</f>
        <v>54.368000000000002</v>
      </c>
      <c r="H737" s="14">
        <f>CHOOSE(CONTROL!$C$42, 54.6037, 54.6037) * CHOOSE(CONTROL!$C$21, $C$9, 100%, $E$9)</f>
        <v>54.603700000000003</v>
      </c>
      <c r="I737" s="14">
        <f>CHOOSE(CONTROL!$C$42, 54.5474, 54.5474)* CHOOSE(CONTROL!$C$21, $C$9, 100%, $E$9)</f>
        <v>54.547400000000003</v>
      </c>
      <c r="J737" s="14">
        <f>CHOOSE(CONTROL!$C$42, 54.3454, 54.3454)* CHOOSE(CONTROL!$C$21, $C$9, 100%, $E$9)</f>
        <v>54.345399999999998</v>
      </c>
      <c r="K737" s="53">
        <f>CHOOSE(CONTROL!$C$42, 54.5435, 54.5435) * CHOOSE(CONTROL!$C$21, $C$9, 100%, $E$9)</f>
        <v>54.543500000000002</v>
      </c>
      <c r="L737" s="14">
        <f>CHOOSE(CONTROL!$C$42, 55.1907, 55.1907) * CHOOSE(CONTROL!$C$21, $C$9, 100%, $E$9)</f>
        <v>55.1907</v>
      </c>
      <c r="M737" s="14">
        <f>CHOOSE(CONTROL!$C$42, 53.2396, 53.2396) * CHOOSE(CONTROL!$C$21, $C$9, 100%, $E$9)</f>
        <v>53.239600000000003</v>
      </c>
      <c r="N737" s="14">
        <f>CHOOSE(CONTROL!$C$42, 53.2549, 53.2549) * CHOOSE(CONTROL!$C$21, $C$9, 100%, $E$9)</f>
        <v>53.254899999999999</v>
      </c>
      <c r="O737" s="14">
        <f>CHOOSE(CONTROL!$C$42, 53.4926, 53.4926) * CHOOSE(CONTROL!$C$21, $C$9, 100%, $E$9)</f>
        <v>53.492600000000003</v>
      </c>
      <c r="P737" s="14">
        <f>CHOOSE(CONTROL!$C$42, 53.4341, 53.4341) * CHOOSE(CONTROL!$C$21, $C$9, 100%, $E$9)</f>
        <v>53.434100000000001</v>
      </c>
      <c r="Q737" s="14">
        <f>CHOOSE(CONTROL!$C$42, 54.0873, 54.0873) * CHOOSE(CONTROL!$C$21, $C$9, 100%, $E$9)</f>
        <v>54.087299999999999</v>
      </c>
      <c r="R737" s="14">
        <f>CHOOSE(CONTROL!$C$42, 54.8095, 54.8095) * CHOOSE(CONTROL!$C$21, $C$9, 100%, $E$9)</f>
        <v>54.8095</v>
      </c>
      <c r="S737" s="14">
        <f>CHOOSE(CONTROL!$C$42, 52.2351, 52.2351) * CHOOSE(CONTROL!$C$21, $C$9, 100%, $E$9)</f>
        <v>52.235100000000003</v>
      </c>
      <c r="T73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37" s="57">
        <f>(1000*CHOOSE(CONTROL!$C$42, 695, 695)*CHOOSE(CONTROL!$C$42, 0.5599, 0.5599)*CHOOSE(CONTROL!$C$42, 31, 31))/1000000</f>
        <v>12.063045499999998</v>
      </c>
      <c r="V737" s="57">
        <f>(1000*CHOOSE(CONTROL!$C$42, 500, 500)*CHOOSE(CONTROL!$C$42, 0.275, 0.275)*CHOOSE(CONTROL!$C$42, 31, 31))/1000000</f>
        <v>4.2625000000000002</v>
      </c>
      <c r="W737" s="57">
        <f>(1000*CHOOSE(CONTROL!$C$42, 0.1146, 0.1146)*CHOOSE(CONTROL!$C$42, 121.5, 121.5)*CHOOSE(CONTROL!$C$42, 31, 31))/1000000</f>
        <v>0.43164089999999994</v>
      </c>
      <c r="X737" s="57">
        <f>(31*0.1790888*245000/1000000)+(31*0.2374*100000/1000000)</f>
        <v>2.0961194359999999</v>
      </c>
      <c r="Y737" s="57"/>
      <c r="Z737" s="14"/>
      <c r="AA737" s="56"/>
      <c r="AB737" s="50">
        <f>(B737*194.205+C737*267.466+D737*133.845+E737*53.484+F737*40+G737*185+H737*0+I737*100+J737*300)/(194.205+267.466+133.845+53.484+0+40+185+100+300)</f>
        <v>54.412299347409729</v>
      </c>
      <c r="AC737" s="45">
        <f>(M737*'RAP TEMPLATE-GAS AVAILABILITY'!O736+N737*'RAP TEMPLATE-GAS AVAILABILITY'!P736+O737*'RAP TEMPLATE-GAS AVAILABILITY'!Q736+P737*'RAP TEMPLATE-GAS AVAILABILITY'!R736)/('RAP TEMPLATE-GAS AVAILABILITY'!O736+'RAP TEMPLATE-GAS AVAILABILITY'!P736+'RAP TEMPLATE-GAS AVAILABILITY'!Q736+'RAP TEMPLATE-GAS AVAILABILITY'!R736)</f>
        <v>53.383135251798564</v>
      </c>
    </row>
    <row r="738" spans="1:29" ht="15.75" x14ac:dyDescent="0.25">
      <c r="A738" s="32">
        <v>63370</v>
      </c>
      <c r="B738" s="14">
        <f>CHOOSE(CONTROL!$C$42, 55.9136, 55.9136) * CHOOSE(CONTROL!$C$21, $C$9, 100%, $E$9)</f>
        <v>55.913600000000002</v>
      </c>
      <c r="C738" s="14">
        <f>CHOOSE(CONTROL!$C$42, 55.9216, 55.9216) * CHOOSE(CONTROL!$C$21, $C$9, 100%, $E$9)</f>
        <v>55.921599999999998</v>
      </c>
      <c r="D738" s="14">
        <f>CHOOSE(CONTROL!$C$42, 56.1256, 56.1256) * CHOOSE(CONTROL!$C$21, $C$9, 100%, $E$9)</f>
        <v>56.125599999999999</v>
      </c>
      <c r="E738" s="14">
        <f>CHOOSE(CONTROL!$C$42, 56.157, 56.157) * CHOOSE(CONTROL!$C$21, $C$9, 100%, $E$9)</f>
        <v>56.156999999999996</v>
      </c>
      <c r="F738" s="14">
        <f>CHOOSE(CONTROL!$C$42, 55.8948, 55.8948)*CHOOSE(CONTROL!$C$21, $C$9, 100%, $E$9)</f>
        <v>55.894799999999996</v>
      </c>
      <c r="G738" s="14">
        <f>CHOOSE(CONTROL!$C$42, 55.9106, 55.9106)*CHOOSE(CONTROL!$C$21, $C$9, 100%, $E$9)</f>
        <v>55.910600000000002</v>
      </c>
      <c r="H738" s="14">
        <f>CHOOSE(CONTROL!$C$42, 56.1457, 56.1457) * CHOOSE(CONTROL!$C$21, $C$9, 100%, $E$9)</f>
        <v>56.145699999999998</v>
      </c>
      <c r="I738" s="14">
        <f>CHOOSE(CONTROL!$C$42, 56.0942, 56.0942)* CHOOSE(CONTROL!$C$21, $C$9, 100%, $E$9)</f>
        <v>56.094200000000001</v>
      </c>
      <c r="J738" s="14">
        <f>CHOOSE(CONTROL!$C$42, 55.8878, 55.8878)* CHOOSE(CONTROL!$C$21, $C$9, 100%, $E$9)</f>
        <v>55.887799999999999</v>
      </c>
      <c r="K738" s="53">
        <f>CHOOSE(CONTROL!$C$42, 56.0903, 56.0903) * CHOOSE(CONTROL!$C$21, $C$9, 100%, $E$9)</f>
        <v>56.090299999999999</v>
      </c>
      <c r="L738" s="14">
        <f>CHOOSE(CONTROL!$C$42, 56.7327, 56.7327) * CHOOSE(CONTROL!$C$21, $C$9, 100%, $E$9)</f>
        <v>56.732700000000001</v>
      </c>
      <c r="M738" s="14">
        <f>CHOOSE(CONTROL!$C$42, 54.7504, 54.7504) * CHOOSE(CONTROL!$C$21, $C$9, 100%, $E$9)</f>
        <v>54.750399999999999</v>
      </c>
      <c r="N738" s="14">
        <f>CHOOSE(CONTROL!$C$42, 54.7658, 54.7658) * CHOOSE(CONTROL!$C$21, $C$9, 100%, $E$9)</f>
        <v>54.765799999999999</v>
      </c>
      <c r="O738" s="14">
        <f>CHOOSE(CONTROL!$C$42, 55.003, 55.003) * CHOOSE(CONTROL!$C$21, $C$9, 100%, $E$9)</f>
        <v>55.003</v>
      </c>
      <c r="P738" s="14">
        <f>CHOOSE(CONTROL!$C$42, 54.9491, 54.9491) * CHOOSE(CONTROL!$C$21, $C$9, 100%, $E$9)</f>
        <v>54.949100000000001</v>
      </c>
      <c r="Q738" s="14">
        <f>CHOOSE(CONTROL!$C$42, 55.5977, 55.5977) * CHOOSE(CONTROL!$C$21, $C$9, 100%, $E$9)</f>
        <v>55.597700000000003</v>
      </c>
      <c r="R738" s="14">
        <f>CHOOSE(CONTROL!$C$42, 56.3237, 56.3237) * CHOOSE(CONTROL!$C$21, $C$9, 100%, $E$9)</f>
        <v>56.323700000000002</v>
      </c>
      <c r="S738" s="14">
        <f>CHOOSE(CONTROL!$C$42, 53.7168, 53.7168) * CHOOSE(CONTROL!$C$21, $C$9, 100%, $E$9)</f>
        <v>53.716799999999999</v>
      </c>
      <c r="T73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38" s="57">
        <f>(1000*CHOOSE(CONTROL!$C$42, 695, 695)*CHOOSE(CONTROL!$C$42, 0.5599, 0.5599)*CHOOSE(CONTROL!$C$42, 30, 30))/1000000</f>
        <v>11.673914999999997</v>
      </c>
      <c r="V738" s="57">
        <f>(1000*CHOOSE(CONTROL!$C$42, 500, 500)*CHOOSE(CONTROL!$C$42, 0.275, 0.275)*CHOOSE(CONTROL!$C$42, 30, 30))/1000000</f>
        <v>4.125</v>
      </c>
      <c r="W738" s="57">
        <f>(1000*CHOOSE(CONTROL!$C$42, 0.1146, 0.1146)*CHOOSE(CONTROL!$C$42, 121.5, 121.5)*CHOOSE(CONTROL!$C$42, 30, 30))/1000000</f>
        <v>0.417717</v>
      </c>
      <c r="X738" s="57">
        <f>(30*0.1790888*245000/1000000)+(30*0.2374*100000/1000000)</f>
        <v>2.0285026799999999</v>
      </c>
      <c r="Y738" s="57"/>
      <c r="Z738" s="14"/>
      <c r="AA738" s="56"/>
      <c r="AB738" s="50">
        <f>(B738*194.205+C738*267.466+D738*133.845+E738*53.484+F738*40+G738*185+H738*0+I738*100+J738*300)/(194.205+267.466+133.845+53.484+0+40+185+100+300)</f>
        <v>55.954844798744119</v>
      </c>
      <c r="AC738" s="45">
        <f>(M738*'RAP TEMPLATE-GAS AVAILABILITY'!O737+N738*'RAP TEMPLATE-GAS AVAILABILITY'!P737+O738*'RAP TEMPLATE-GAS AVAILABILITY'!Q737+P738*'RAP TEMPLATE-GAS AVAILABILITY'!R737)/('RAP TEMPLATE-GAS AVAILABILITY'!O737+'RAP TEMPLATE-GAS AVAILABILITY'!P737+'RAP TEMPLATE-GAS AVAILABILITY'!Q737+'RAP TEMPLATE-GAS AVAILABILITY'!R737)</f>
        <v>54.894364028776977</v>
      </c>
    </row>
    <row r="739" spans="1:29" ht="15.75" x14ac:dyDescent="0.25">
      <c r="A739" s="32">
        <v>63401</v>
      </c>
      <c r="B739" s="14">
        <f>CHOOSE(CONTROL!$C$42, 54.8412, 54.8412) * CHOOSE(CONTROL!$C$21, $C$9, 100%, $E$9)</f>
        <v>54.841200000000001</v>
      </c>
      <c r="C739" s="14">
        <f>CHOOSE(CONTROL!$C$42, 54.8492, 54.8492) * CHOOSE(CONTROL!$C$21, $C$9, 100%, $E$9)</f>
        <v>54.849200000000003</v>
      </c>
      <c r="D739" s="14">
        <f>CHOOSE(CONTROL!$C$42, 55.0531, 55.0531) * CHOOSE(CONTROL!$C$21, $C$9, 100%, $E$9)</f>
        <v>55.053100000000001</v>
      </c>
      <c r="E739" s="14">
        <f>CHOOSE(CONTROL!$C$42, 55.0846, 55.0846) * CHOOSE(CONTROL!$C$21, $C$9, 100%, $E$9)</f>
        <v>55.084600000000002</v>
      </c>
      <c r="F739" s="14">
        <f>CHOOSE(CONTROL!$C$42, 54.8228, 54.8228)*CHOOSE(CONTROL!$C$21, $C$9, 100%, $E$9)</f>
        <v>54.822800000000001</v>
      </c>
      <c r="G739" s="14">
        <f>CHOOSE(CONTROL!$C$42, 54.8387, 54.8387)*CHOOSE(CONTROL!$C$21, $C$9, 100%, $E$9)</f>
        <v>54.838700000000003</v>
      </c>
      <c r="H739" s="14">
        <f>CHOOSE(CONTROL!$C$42, 55.0732, 55.0732) * CHOOSE(CONTROL!$C$21, $C$9, 100%, $E$9)</f>
        <v>55.0732</v>
      </c>
      <c r="I739" s="14">
        <f>CHOOSE(CONTROL!$C$42, 55.0184, 55.0184)* CHOOSE(CONTROL!$C$21, $C$9, 100%, $E$9)</f>
        <v>55.0184</v>
      </c>
      <c r="J739" s="14">
        <f>CHOOSE(CONTROL!$C$42, 54.8158, 54.8158)* CHOOSE(CONTROL!$C$21, $C$9, 100%, $E$9)</f>
        <v>54.815800000000003</v>
      </c>
      <c r="K739" s="53">
        <f>CHOOSE(CONTROL!$C$42, 55.0145, 55.0145) * CHOOSE(CONTROL!$C$21, $C$9, 100%, $E$9)</f>
        <v>55.014499999999998</v>
      </c>
      <c r="L739" s="14">
        <f>CHOOSE(CONTROL!$C$42, 55.6602, 55.6602) * CHOOSE(CONTROL!$C$21, $C$9, 100%, $E$9)</f>
        <v>55.660200000000003</v>
      </c>
      <c r="M739" s="14">
        <f>CHOOSE(CONTROL!$C$42, 53.7003, 53.7003) * CHOOSE(CONTROL!$C$21, $C$9, 100%, $E$9)</f>
        <v>53.700299999999999</v>
      </c>
      <c r="N739" s="14">
        <f>CHOOSE(CONTROL!$C$42, 53.7159, 53.7159) * CHOOSE(CONTROL!$C$21, $C$9, 100%, $E$9)</f>
        <v>53.715899999999998</v>
      </c>
      <c r="O739" s="14">
        <f>CHOOSE(CONTROL!$C$42, 53.9525, 53.9525) * CHOOSE(CONTROL!$C$21, $C$9, 100%, $E$9)</f>
        <v>53.952500000000001</v>
      </c>
      <c r="P739" s="14">
        <f>CHOOSE(CONTROL!$C$42, 53.8954, 53.8954) * CHOOSE(CONTROL!$C$21, $C$9, 100%, $E$9)</f>
        <v>53.895400000000002</v>
      </c>
      <c r="Q739" s="14">
        <f>CHOOSE(CONTROL!$C$42, 54.5472, 54.5472) * CHOOSE(CONTROL!$C$21, $C$9, 100%, $E$9)</f>
        <v>54.547199999999997</v>
      </c>
      <c r="R739" s="14">
        <f>CHOOSE(CONTROL!$C$42, 55.2706, 55.2706) * CHOOSE(CONTROL!$C$21, $C$9, 100%, $E$9)</f>
        <v>55.270600000000002</v>
      </c>
      <c r="S739" s="14">
        <f>CHOOSE(CONTROL!$C$42, 52.6862, 52.6862) * CHOOSE(CONTROL!$C$21, $C$9, 100%, $E$9)</f>
        <v>52.686199999999999</v>
      </c>
      <c r="T73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39" s="57">
        <f>(1000*CHOOSE(CONTROL!$C$42, 695, 695)*CHOOSE(CONTROL!$C$42, 0.5599, 0.5599)*CHOOSE(CONTROL!$C$42, 31, 31))/1000000</f>
        <v>12.063045499999998</v>
      </c>
      <c r="V739" s="57">
        <f>(1000*CHOOSE(CONTROL!$C$42, 500, 500)*CHOOSE(CONTROL!$C$42, 0.275, 0.275)*CHOOSE(CONTROL!$C$42, 31, 31))/1000000</f>
        <v>4.2625000000000002</v>
      </c>
      <c r="W739" s="57">
        <f>(1000*CHOOSE(CONTROL!$C$42, 0.1146, 0.1146)*CHOOSE(CONTROL!$C$42, 121.5, 121.5)*CHOOSE(CONTROL!$C$42, 31, 31))/1000000</f>
        <v>0.43164089999999994</v>
      </c>
      <c r="X739" s="57">
        <f>(31*0.1790888*245000/1000000)+(31*0.2374*100000/1000000)</f>
        <v>2.0961194359999999</v>
      </c>
      <c r="Y739" s="57"/>
      <c r="Z739" s="14"/>
      <c r="AA739" s="56"/>
      <c r="AB739" s="50">
        <f>(B739*194.205+C739*267.466+D739*133.845+E739*53.484+F739*40+G739*185+H739*0+I739*100+J739*300)/(194.205+267.466+133.845+53.484+0+40+185+100+300)</f>
        <v>54.88234677323392</v>
      </c>
      <c r="AC739" s="45">
        <f>(M739*'RAP TEMPLATE-GAS AVAILABILITY'!O738+N739*'RAP TEMPLATE-GAS AVAILABILITY'!P738+O739*'RAP TEMPLATE-GAS AVAILABILITY'!Q738+P739*'RAP TEMPLATE-GAS AVAILABILITY'!R738)/('RAP TEMPLATE-GAS AVAILABILITY'!O738+'RAP TEMPLATE-GAS AVAILABILITY'!P738+'RAP TEMPLATE-GAS AVAILABILITY'!Q738+'RAP TEMPLATE-GAS AVAILABILITY'!R738)</f>
        <v>53.843576258992805</v>
      </c>
    </row>
    <row r="740" spans="1:29" ht="15.75" x14ac:dyDescent="0.25">
      <c r="A740" s="32">
        <v>63432</v>
      </c>
      <c r="B740" s="14">
        <f>CHOOSE(CONTROL!$C$42, 52.1329, 52.1329) * CHOOSE(CONTROL!$C$21, $C$9, 100%, $E$9)</f>
        <v>52.132899999999999</v>
      </c>
      <c r="C740" s="14">
        <f>CHOOSE(CONTROL!$C$42, 52.1409, 52.1409) * CHOOSE(CONTROL!$C$21, $C$9, 100%, $E$9)</f>
        <v>52.140900000000002</v>
      </c>
      <c r="D740" s="14">
        <f>CHOOSE(CONTROL!$C$42, 52.3448, 52.3448) * CHOOSE(CONTROL!$C$21, $C$9, 100%, $E$9)</f>
        <v>52.344799999999999</v>
      </c>
      <c r="E740" s="14">
        <f>CHOOSE(CONTROL!$C$42, 52.3763, 52.3763) * CHOOSE(CONTROL!$C$21, $C$9, 100%, $E$9)</f>
        <v>52.376300000000001</v>
      </c>
      <c r="F740" s="14">
        <f>CHOOSE(CONTROL!$C$42, 52.1147, 52.1147)*CHOOSE(CONTROL!$C$21, $C$9, 100%, $E$9)</f>
        <v>52.114699999999999</v>
      </c>
      <c r="G740" s="14">
        <f>CHOOSE(CONTROL!$C$42, 52.1307, 52.1307)*CHOOSE(CONTROL!$C$21, $C$9, 100%, $E$9)</f>
        <v>52.130699999999997</v>
      </c>
      <c r="H740" s="14">
        <f>CHOOSE(CONTROL!$C$42, 52.3649, 52.3649) * CHOOSE(CONTROL!$C$21, $C$9, 100%, $E$9)</f>
        <v>52.364899999999999</v>
      </c>
      <c r="I740" s="14">
        <f>CHOOSE(CONTROL!$C$42, 52.3016, 52.3016)* CHOOSE(CONTROL!$C$21, $C$9, 100%, $E$9)</f>
        <v>52.301600000000001</v>
      </c>
      <c r="J740" s="14">
        <f>CHOOSE(CONTROL!$C$42, 52.1077, 52.1077)* CHOOSE(CONTROL!$C$21, $C$9, 100%, $E$9)</f>
        <v>52.107700000000001</v>
      </c>
      <c r="K740" s="53">
        <f>CHOOSE(CONTROL!$C$42, 52.2977, 52.2977) * CHOOSE(CONTROL!$C$21, $C$9, 100%, $E$9)</f>
        <v>52.297699999999999</v>
      </c>
      <c r="L740" s="14">
        <f>CHOOSE(CONTROL!$C$42, 52.9519, 52.9519) * CHOOSE(CONTROL!$C$21, $C$9, 100%, $E$9)</f>
        <v>52.951900000000002</v>
      </c>
      <c r="M740" s="14">
        <f>CHOOSE(CONTROL!$C$42, 51.0478, 51.0478) * CHOOSE(CONTROL!$C$21, $C$9, 100%, $E$9)</f>
        <v>51.047800000000002</v>
      </c>
      <c r="N740" s="14">
        <f>CHOOSE(CONTROL!$C$42, 51.0634, 51.0634) * CHOOSE(CONTROL!$C$21, $C$9, 100%, $E$9)</f>
        <v>51.063400000000001</v>
      </c>
      <c r="O740" s="14">
        <f>CHOOSE(CONTROL!$C$42, 51.2997, 51.2997) * CHOOSE(CONTROL!$C$21, $C$9, 100%, $E$9)</f>
        <v>51.299700000000001</v>
      </c>
      <c r="P740" s="14">
        <f>CHOOSE(CONTROL!$C$42, 51.2344, 51.2344) * CHOOSE(CONTROL!$C$21, $C$9, 100%, $E$9)</f>
        <v>51.234400000000001</v>
      </c>
      <c r="Q740" s="14">
        <f>CHOOSE(CONTROL!$C$42, 51.8944, 51.8944) * CHOOSE(CONTROL!$C$21, $C$9, 100%, $E$9)</f>
        <v>51.894399999999997</v>
      </c>
      <c r="R740" s="14">
        <f>CHOOSE(CONTROL!$C$42, 52.6111, 52.6111) * CHOOSE(CONTROL!$C$21, $C$9, 100%, $E$9)</f>
        <v>52.6111</v>
      </c>
      <c r="S740" s="14">
        <f>CHOOSE(CONTROL!$C$42, 50.0838, 50.0838) * CHOOSE(CONTROL!$C$21, $C$9, 100%, $E$9)</f>
        <v>50.083799999999997</v>
      </c>
      <c r="T74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40" s="57">
        <f>(1000*CHOOSE(CONTROL!$C$42, 695, 695)*CHOOSE(CONTROL!$C$42, 0.5599, 0.5599)*CHOOSE(CONTROL!$C$42, 31, 31))/1000000</f>
        <v>12.063045499999998</v>
      </c>
      <c r="V740" s="57">
        <f>(1000*CHOOSE(CONTROL!$C$42, 500, 500)*CHOOSE(CONTROL!$C$42, 0.275, 0.275)*CHOOSE(CONTROL!$C$42, 31, 31))/1000000</f>
        <v>4.2625000000000002</v>
      </c>
      <c r="W740" s="57">
        <f>(1000*CHOOSE(CONTROL!$C$42, 0.1146, 0.1146)*CHOOSE(CONTROL!$C$42, 121.5, 121.5)*CHOOSE(CONTROL!$C$42, 31, 31))/1000000</f>
        <v>0.43164089999999994</v>
      </c>
      <c r="X740" s="57">
        <f>(31*0.1790888*245000/1000000)+(31*0.2374*100000/1000000)</f>
        <v>2.0961194359999999</v>
      </c>
      <c r="Y740" s="57"/>
      <c r="Z740" s="14"/>
      <c r="AA740" s="56"/>
      <c r="AB740" s="50">
        <f>(B740*194.205+C740*267.466+D740*133.845+E740*53.484+F740*40+G740*185+H740*0+I740*100+J740*300)/(194.205+267.466+133.845+53.484+0+40+185+100+300)</f>
        <v>52.173476522056518</v>
      </c>
      <c r="AC740" s="45">
        <f>(M740*'RAP TEMPLATE-GAS AVAILABILITY'!O739+N740*'RAP TEMPLATE-GAS AVAILABILITY'!P739+O740*'RAP TEMPLATE-GAS AVAILABILITY'!Q739+P740*'RAP TEMPLATE-GAS AVAILABILITY'!R739)/('RAP TEMPLATE-GAS AVAILABILITY'!O739+'RAP TEMPLATE-GAS AVAILABILITY'!P739+'RAP TEMPLATE-GAS AVAILABILITY'!Q739+'RAP TEMPLATE-GAS AVAILABILITY'!R739)</f>
        <v>51.18971726618706</v>
      </c>
    </row>
    <row r="741" spans="1:29" ht="15.75" x14ac:dyDescent="0.25">
      <c r="A741" s="32">
        <v>63462</v>
      </c>
      <c r="B741" s="14">
        <f>CHOOSE(CONTROL!$C$42, 48.8234, 48.8234) * CHOOSE(CONTROL!$C$21, $C$9, 100%, $E$9)</f>
        <v>48.823399999999999</v>
      </c>
      <c r="C741" s="14">
        <f>CHOOSE(CONTROL!$C$42, 48.8315, 48.8315) * CHOOSE(CONTROL!$C$21, $C$9, 100%, $E$9)</f>
        <v>48.831499999999998</v>
      </c>
      <c r="D741" s="14">
        <f>CHOOSE(CONTROL!$C$42, 49.0354, 49.0354) * CHOOSE(CONTROL!$C$21, $C$9, 100%, $E$9)</f>
        <v>49.035400000000003</v>
      </c>
      <c r="E741" s="14">
        <f>CHOOSE(CONTROL!$C$42, 49.0669, 49.0669) * CHOOSE(CONTROL!$C$21, $C$9, 100%, $E$9)</f>
        <v>49.066899999999997</v>
      </c>
      <c r="F741" s="14">
        <f>CHOOSE(CONTROL!$C$42, 48.8053, 48.8053)*CHOOSE(CONTROL!$C$21, $C$9, 100%, $E$9)</f>
        <v>48.805300000000003</v>
      </c>
      <c r="G741" s="14">
        <f>CHOOSE(CONTROL!$C$42, 48.8213, 48.8213)*CHOOSE(CONTROL!$C$21, $C$9, 100%, $E$9)</f>
        <v>48.821300000000001</v>
      </c>
      <c r="H741" s="14">
        <f>CHOOSE(CONTROL!$C$42, 49.0555, 49.0555) * CHOOSE(CONTROL!$C$21, $C$9, 100%, $E$9)</f>
        <v>49.055500000000002</v>
      </c>
      <c r="I741" s="14">
        <f>CHOOSE(CONTROL!$C$42, 48.9818, 48.9818)* CHOOSE(CONTROL!$C$21, $C$9, 100%, $E$9)</f>
        <v>48.9818</v>
      </c>
      <c r="J741" s="14">
        <f>CHOOSE(CONTROL!$C$42, 48.7983, 48.7983)* CHOOSE(CONTROL!$C$21, $C$9, 100%, $E$9)</f>
        <v>48.798299999999998</v>
      </c>
      <c r="K741" s="53">
        <f>CHOOSE(CONTROL!$C$42, 48.9779, 48.9779) * CHOOSE(CONTROL!$C$21, $C$9, 100%, $E$9)</f>
        <v>48.977899999999998</v>
      </c>
      <c r="L741" s="14">
        <f>CHOOSE(CONTROL!$C$42, 49.6425, 49.6425) * CHOOSE(CONTROL!$C$21, $C$9, 100%, $E$9)</f>
        <v>49.642499999999998</v>
      </c>
      <c r="M741" s="14">
        <f>CHOOSE(CONTROL!$C$42, 47.8062, 47.8062) * CHOOSE(CONTROL!$C$21, $C$9, 100%, $E$9)</f>
        <v>47.806199999999997</v>
      </c>
      <c r="N741" s="14">
        <f>CHOOSE(CONTROL!$C$42, 47.8218, 47.8218) * CHOOSE(CONTROL!$C$21, $C$9, 100%, $E$9)</f>
        <v>47.821800000000003</v>
      </c>
      <c r="O741" s="14">
        <f>CHOOSE(CONTROL!$C$42, 48.0581, 48.0581) * CHOOSE(CONTROL!$C$21, $C$9, 100%, $E$9)</f>
        <v>48.058100000000003</v>
      </c>
      <c r="P741" s="14">
        <f>CHOOSE(CONTROL!$C$42, 47.9829, 47.9829) * CHOOSE(CONTROL!$C$21, $C$9, 100%, $E$9)</f>
        <v>47.982900000000001</v>
      </c>
      <c r="Q741" s="14">
        <f>CHOOSE(CONTROL!$C$42, 48.6528, 48.6528) * CHOOSE(CONTROL!$C$21, $C$9, 100%, $E$9)</f>
        <v>48.652799999999999</v>
      </c>
      <c r="R741" s="14">
        <f>CHOOSE(CONTROL!$C$42, 49.3614, 49.3614) * CHOOSE(CONTROL!$C$21, $C$9, 100%, $E$9)</f>
        <v>49.361400000000003</v>
      </c>
      <c r="S741" s="14">
        <f>CHOOSE(CONTROL!$C$42, 46.9038, 46.9038) * CHOOSE(CONTROL!$C$21, $C$9, 100%, $E$9)</f>
        <v>46.903799999999997</v>
      </c>
      <c r="T74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41" s="57">
        <f>(1000*CHOOSE(CONTROL!$C$42, 695, 695)*CHOOSE(CONTROL!$C$42, 0.5599, 0.5599)*CHOOSE(CONTROL!$C$42, 30, 30))/1000000</f>
        <v>11.673914999999997</v>
      </c>
      <c r="V741" s="57">
        <f>(1000*CHOOSE(CONTROL!$C$42, 500, 500)*CHOOSE(CONTROL!$C$42, 0.275, 0.275)*CHOOSE(CONTROL!$C$42, 30, 30))/1000000</f>
        <v>4.125</v>
      </c>
      <c r="W741" s="57">
        <f>(1000*CHOOSE(CONTROL!$C$42, 0.1146, 0.1146)*CHOOSE(CONTROL!$C$42, 121.5, 121.5)*CHOOSE(CONTROL!$C$42, 30, 30))/1000000</f>
        <v>0.417717</v>
      </c>
      <c r="X741" s="57">
        <f>(30*0.1790888*245000/1000000)+(30*0.2374*100000/1000000)</f>
        <v>2.0285026799999999</v>
      </c>
      <c r="Y741" s="57"/>
      <c r="Z741" s="14"/>
      <c r="AA741" s="56"/>
      <c r="AB741" s="50">
        <f>(B741*194.205+C741*267.466+D741*133.845+E741*53.484+F741*40+G741*185+H741*0+I741*100+J741*300)/(194.205+267.466+133.845+53.484+0+40+185+100+300)</f>
        <v>48.863244951805342</v>
      </c>
      <c r="AC741" s="45">
        <f>(M741*'RAP TEMPLATE-GAS AVAILABILITY'!O740+N741*'RAP TEMPLATE-GAS AVAILABILITY'!P740+O741*'RAP TEMPLATE-GAS AVAILABILITY'!Q740+P741*'RAP TEMPLATE-GAS AVAILABILITY'!R740)/('RAP TEMPLATE-GAS AVAILABILITY'!O740+'RAP TEMPLATE-GAS AVAILABILITY'!P740+'RAP TEMPLATE-GAS AVAILABILITY'!Q740+'RAP TEMPLATE-GAS AVAILABILITY'!R740)</f>
        <v>47.946692805755397</v>
      </c>
    </row>
    <row r="742" spans="1:29" ht="15.75" x14ac:dyDescent="0.25">
      <c r="A742" s="32">
        <v>63493</v>
      </c>
      <c r="B742" s="14">
        <f>CHOOSE(CONTROL!$C$42, 47.8306, 47.8306) * CHOOSE(CONTROL!$C$21, $C$9, 100%, $E$9)</f>
        <v>47.830599999999997</v>
      </c>
      <c r="C742" s="14">
        <f>CHOOSE(CONTROL!$C$42, 47.8359, 47.8359) * CHOOSE(CONTROL!$C$21, $C$9, 100%, $E$9)</f>
        <v>47.835900000000002</v>
      </c>
      <c r="D742" s="14">
        <f>CHOOSE(CONTROL!$C$42, 48.0448, 48.0448) * CHOOSE(CONTROL!$C$21, $C$9, 100%, $E$9)</f>
        <v>48.044800000000002</v>
      </c>
      <c r="E742" s="14">
        <f>CHOOSE(CONTROL!$C$42, 48.074, 48.074) * CHOOSE(CONTROL!$C$21, $C$9, 100%, $E$9)</f>
        <v>48.073999999999998</v>
      </c>
      <c r="F742" s="14">
        <f>CHOOSE(CONTROL!$C$42, 47.8146, 47.8146)*CHOOSE(CONTROL!$C$21, $C$9, 100%, $E$9)</f>
        <v>47.814599999999999</v>
      </c>
      <c r="G742" s="14">
        <f>CHOOSE(CONTROL!$C$42, 47.8303, 47.8303)*CHOOSE(CONTROL!$C$21, $C$9, 100%, $E$9)</f>
        <v>47.830300000000001</v>
      </c>
      <c r="H742" s="14">
        <f>CHOOSE(CONTROL!$C$42, 48.0644, 48.0644) * CHOOSE(CONTROL!$C$21, $C$9, 100%, $E$9)</f>
        <v>48.064399999999999</v>
      </c>
      <c r="I742" s="14">
        <f>CHOOSE(CONTROL!$C$42, 47.9876, 47.9876)* CHOOSE(CONTROL!$C$21, $C$9, 100%, $E$9)</f>
        <v>47.9876</v>
      </c>
      <c r="J742" s="14">
        <f>CHOOSE(CONTROL!$C$42, 47.8076, 47.8076)* CHOOSE(CONTROL!$C$21, $C$9, 100%, $E$9)</f>
        <v>47.807600000000001</v>
      </c>
      <c r="K742" s="53">
        <f>CHOOSE(CONTROL!$C$42, 47.9837, 47.9837) * CHOOSE(CONTROL!$C$21, $C$9, 100%, $E$9)</f>
        <v>47.983699999999999</v>
      </c>
      <c r="L742" s="14">
        <f>CHOOSE(CONTROL!$C$42, 48.6514, 48.6514) * CHOOSE(CONTROL!$C$21, $C$9, 100%, $E$9)</f>
        <v>48.651400000000002</v>
      </c>
      <c r="M742" s="14">
        <f>CHOOSE(CONTROL!$C$42, 46.8357, 46.8357) * CHOOSE(CONTROL!$C$21, $C$9, 100%, $E$9)</f>
        <v>46.835700000000003</v>
      </c>
      <c r="N742" s="14">
        <f>CHOOSE(CONTROL!$C$42, 46.8511, 46.8511) * CHOOSE(CONTROL!$C$21, $C$9, 100%, $E$9)</f>
        <v>46.851100000000002</v>
      </c>
      <c r="O742" s="14">
        <f>CHOOSE(CONTROL!$C$42, 47.0873, 47.0873) * CHOOSE(CONTROL!$C$21, $C$9, 100%, $E$9)</f>
        <v>47.087299999999999</v>
      </c>
      <c r="P742" s="14">
        <f>CHOOSE(CONTROL!$C$42, 47.0091, 47.0091) * CHOOSE(CONTROL!$C$21, $C$9, 100%, $E$9)</f>
        <v>47.009099999999997</v>
      </c>
      <c r="Q742" s="14">
        <f>CHOOSE(CONTROL!$C$42, 47.682, 47.682) * CHOOSE(CONTROL!$C$21, $C$9, 100%, $E$9)</f>
        <v>47.682000000000002</v>
      </c>
      <c r="R742" s="14">
        <f>CHOOSE(CONTROL!$C$42, 48.3882, 48.3882) * CHOOSE(CONTROL!$C$21, $C$9, 100%, $E$9)</f>
        <v>48.388199999999998</v>
      </c>
      <c r="S742" s="14">
        <f>CHOOSE(CONTROL!$C$42, 45.9515, 45.9515) * CHOOSE(CONTROL!$C$21, $C$9, 100%, $E$9)</f>
        <v>45.951500000000003</v>
      </c>
      <c r="T74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42" s="57">
        <f>(1000*CHOOSE(CONTROL!$C$42, 695, 695)*CHOOSE(CONTROL!$C$42, 0.5599, 0.5599)*CHOOSE(CONTROL!$C$42, 31, 31))/1000000</f>
        <v>12.063045499999998</v>
      </c>
      <c r="V742" s="57">
        <f>(1000*CHOOSE(CONTROL!$C$42, 500, 500)*CHOOSE(CONTROL!$C$42, 0.275, 0.275)*CHOOSE(CONTROL!$C$42, 31, 31))/1000000</f>
        <v>4.2625000000000002</v>
      </c>
      <c r="W742" s="57">
        <f>(1000*CHOOSE(CONTROL!$C$42, 0.1146, 0.1146)*CHOOSE(CONTROL!$C$42, 121.5, 121.5)*CHOOSE(CONTROL!$C$42, 31, 31))/1000000</f>
        <v>0.43164089999999994</v>
      </c>
      <c r="X742" s="57">
        <f>(31*0.1790888*245000/1000000)+(31*0.2374*100000/1000000)</f>
        <v>2.0961194359999999</v>
      </c>
      <c r="Y742" s="57"/>
      <c r="Z742" s="14"/>
      <c r="AA742" s="56"/>
      <c r="AB742" s="50">
        <f>(B742*131.881+C742*277.167+D742*79.08+E742*125.872+F742*40+G742*185+H742*0+I742*100+J742*300)/(131.881+277.167+79.08+125.872+0+40+185+100+300)</f>
        <v>47.876725638337369</v>
      </c>
      <c r="AC742" s="45">
        <f>(M742*'RAP TEMPLATE-GAS AVAILABILITY'!O741+N742*'RAP TEMPLATE-GAS AVAILABILITY'!P741+O742*'RAP TEMPLATE-GAS AVAILABILITY'!Q741+P742*'RAP TEMPLATE-GAS AVAILABILITY'!R741)/('RAP TEMPLATE-GAS AVAILABILITY'!O741+'RAP TEMPLATE-GAS AVAILABILITY'!P741+'RAP TEMPLATE-GAS AVAILABILITY'!Q741+'RAP TEMPLATE-GAS AVAILABILITY'!R741)</f>
        <v>46.975570503597119</v>
      </c>
    </row>
    <row r="743" spans="1:29" ht="15.75" x14ac:dyDescent="0.25">
      <c r="A743" s="32">
        <v>63523</v>
      </c>
      <c r="B743" s="14">
        <f>CHOOSE(CONTROL!$C$42, 49.09, 49.09) * CHOOSE(CONTROL!$C$21, $C$9, 100%, $E$9)</f>
        <v>49.09</v>
      </c>
      <c r="C743" s="14">
        <f>CHOOSE(CONTROL!$C$42, 49.0951, 49.0951) * CHOOSE(CONTROL!$C$21, $C$9, 100%, $E$9)</f>
        <v>49.095100000000002</v>
      </c>
      <c r="D743" s="14">
        <f>CHOOSE(CONTROL!$C$42, 49.1589, 49.1589) * CHOOSE(CONTROL!$C$21, $C$9, 100%, $E$9)</f>
        <v>49.158900000000003</v>
      </c>
      <c r="E743" s="14">
        <f>CHOOSE(CONTROL!$C$42, 49.193, 49.193) * CHOOSE(CONTROL!$C$21, $C$9, 100%, $E$9)</f>
        <v>49.192999999999998</v>
      </c>
      <c r="F743" s="14">
        <f>CHOOSE(CONTROL!$C$42, 49.0924, 49.0924)*CHOOSE(CONTROL!$C$21, $C$9, 100%, $E$9)</f>
        <v>49.092399999999998</v>
      </c>
      <c r="G743" s="14">
        <f>CHOOSE(CONTROL!$C$42, 49.1084, 49.1084)*CHOOSE(CONTROL!$C$21, $C$9, 100%, $E$9)</f>
        <v>49.108400000000003</v>
      </c>
      <c r="H743" s="14">
        <f>CHOOSE(CONTROL!$C$42, 49.1822, 49.1822) * CHOOSE(CONTROL!$C$21, $C$9, 100%, $E$9)</f>
        <v>49.182200000000002</v>
      </c>
      <c r="I743" s="14">
        <f>CHOOSE(CONTROL!$C$42, 49.2566, 49.2566)* CHOOSE(CONTROL!$C$21, $C$9, 100%, $E$9)</f>
        <v>49.256599999999999</v>
      </c>
      <c r="J743" s="14">
        <f>CHOOSE(CONTROL!$C$42, 49.0854, 49.0854)* CHOOSE(CONTROL!$C$21, $C$9, 100%, $E$9)</f>
        <v>49.0854</v>
      </c>
      <c r="K743" s="53">
        <f>CHOOSE(CONTROL!$C$42, 49.2527, 49.2527) * CHOOSE(CONTROL!$C$21, $C$9, 100%, $E$9)</f>
        <v>49.252699999999997</v>
      </c>
      <c r="L743" s="14">
        <f>CHOOSE(CONTROL!$C$42, 49.7692, 49.7692) * CHOOSE(CONTROL!$C$21, $C$9, 100%, $E$9)</f>
        <v>49.769199999999998</v>
      </c>
      <c r="M743" s="14">
        <f>CHOOSE(CONTROL!$C$42, 48.0874, 48.0874) * CHOOSE(CONTROL!$C$21, $C$9, 100%, $E$9)</f>
        <v>48.087400000000002</v>
      </c>
      <c r="N743" s="14">
        <f>CHOOSE(CONTROL!$C$42, 48.1031, 48.1031) * CHOOSE(CONTROL!$C$21, $C$9, 100%, $E$9)</f>
        <v>48.103099999999998</v>
      </c>
      <c r="O743" s="14">
        <f>CHOOSE(CONTROL!$C$42, 48.1822, 48.1822) * CHOOSE(CONTROL!$C$21, $C$9, 100%, $E$9)</f>
        <v>48.182200000000002</v>
      </c>
      <c r="P743" s="14">
        <f>CHOOSE(CONTROL!$C$42, 48.252, 48.252) * CHOOSE(CONTROL!$C$21, $C$9, 100%, $E$9)</f>
        <v>48.252000000000002</v>
      </c>
      <c r="Q743" s="14">
        <f>CHOOSE(CONTROL!$C$42, 48.7769, 48.7769) * CHOOSE(CONTROL!$C$21, $C$9, 100%, $E$9)</f>
        <v>48.776899999999998</v>
      </c>
      <c r="R743" s="14">
        <f>CHOOSE(CONTROL!$C$42, 49.4858, 49.4858) * CHOOSE(CONTROL!$C$21, $C$9, 100%, $E$9)</f>
        <v>49.485799999999998</v>
      </c>
      <c r="S743" s="14">
        <f>CHOOSE(CONTROL!$C$42, 47.1621, 47.1621) * CHOOSE(CONTROL!$C$21, $C$9, 100%, $E$9)</f>
        <v>47.162100000000002</v>
      </c>
      <c r="T74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43" s="57">
        <f>(1000*CHOOSE(CONTROL!$C$42, 695, 695)*CHOOSE(CONTROL!$C$42, 0.5599, 0.5599)*CHOOSE(CONTROL!$C$42, 30, 30))/1000000</f>
        <v>11.673914999999997</v>
      </c>
      <c r="V743" s="57">
        <f>(1000*CHOOSE(CONTROL!$C$42, 500, 500)*CHOOSE(CONTROL!$C$42, 0.275, 0.275)*CHOOSE(CONTROL!$C$42, 30, 30))/1000000</f>
        <v>4.125</v>
      </c>
      <c r="W743" s="57">
        <f>(1000*CHOOSE(CONTROL!$C$42, 0.1146, 0.1146)*CHOOSE(CONTROL!$C$42, 121.5, 121.5)*CHOOSE(CONTROL!$C$42, 30, 30))/1000000</f>
        <v>0.417717</v>
      </c>
      <c r="X743" s="57">
        <f>(30*0.1790888*100000/1000000)+(30*0.2374*100000/1000000)</f>
        <v>1.2494664</v>
      </c>
      <c r="Y743" s="57"/>
      <c r="Z743" s="14"/>
      <c r="AA743" s="56"/>
      <c r="AB743" s="50">
        <f>(B743*122.58+C743*297.941+D743*89.177+E743*40.302+F743*40+G743*160+H743*0+I743*100+J743*300)/(122.58+297.941+89.177+40.302+0+40+160+100+300)</f>
        <v>49.116204261217391</v>
      </c>
      <c r="AC743" s="45">
        <f>(M743*'RAP TEMPLATE-GAS AVAILABILITY'!O742+N743*'RAP TEMPLATE-GAS AVAILABILITY'!P742+O743*'RAP TEMPLATE-GAS AVAILABILITY'!Q742+P743*'RAP TEMPLATE-GAS AVAILABILITY'!R742)/('RAP TEMPLATE-GAS AVAILABILITY'!O742+'RAP TEMPLATE-GAS AVAILABILITY'!P742+'RAP TEMPLATE-GAS AVAILABILITY'!Q742+'RAP TEMPLATE-GAS AVAILABILITY'!R742)</f>
        <v>48.154953956834532</v>
      </c>
    </row>
    <row r="744" spans="1:29" ht="15.75" x14ac:dyDescent="0.25">
      <c r="A744" s="32">
        <v>63554</v>
      </c>
      <c r="B744" s="14">
        <f>CHOOSE(CONTROL!$C$42, 52.4363, 52.4363) * CHOOSE(CONTROL!$C$21, $C$9, 100%, $E$9)</f>
        <v>52.436300000000003</v>
      </c>
      <c r="C744" s="14">
        <f>CHOOSE(CONTROL!$C$42, 52.4414, 52.4414) * CHOOSE(CONTROL!$C$21, $C$9, 100%, $E$9)</f>
        <v>52.441400000000002</v>
      </c>
      <c r="D744" s="14">
        <f>CHOOSE(CONTROL!$C$42, 52.5052, 52.5052) * CHOOSE(CONTROL!$C$21, $C$9, 100%, $E$9)</f>
        <v>52.505200000000002</v>
      </c>
      <c r="E744" s="14">
        <f>CHOOSE(CONTROL!$C$42, 52.5393, 52.5393) * CHOOSE(CONTROL!$C$21, $C$9, 100%, $E$9)</f>
        <v>52.539299999999997</v>
      </c>
      <c r="F744" s="14">
        <f>CHOOSE(CONTROL!$C$42, 52.4409, 52.4409)*CHOOSE(CONTROL!$C$21, $C$9, 100%, $E$9)</f>
        <v>52.440899999999999</v>
      </c>
      <c r="G744" s="14">
        <f>CHOOSE(CONTROL!$C$42, 52.4575, 52.4575)*CHOOSE(CONTROL!$C$21, $C$9, 100%, $E$9)</f>
        <v>52.457500000000003</v>
      </c>
      <c r="H744" s="14">
        <f>CHOOSE(CONTROL!$C$42, 52.5285, 52.5285) * CHOOSE(CONTROL!$C$21, $C$9, 100%, $E$9)</f>
        <v>52.528500000000001</v>
      </c>
      <c r="I744" s="14">
        <f>CHOOSE(CONTROL!$C$42, 52.6134, 52.6134)* CHOOSE(CONTROL!$C$21, $C$9, 100%, $E$9)</f>
        <v>52.613399999999999</v>
      </c>
      <c r="J744" s="14">
        <f>CHOOSE(CONTROL!$C$42, 52.4339, 52.4339)* CHOOSE(CONTROL!$C$21, $C$9, 100%, $E$9)</f>
        <v>52.433900000000001</v>
      </c>
      <c r="K744" s="53">
        <f>CHOOSE(CONTROL!$C$42, 52.6095, 52.6095) * CHOOSE(CONTROL!$C$21, $C$9, 100%, $E$9)</f>
        <v>52.609499999999997</v>
      </c>
      <c r="L744" s="14">
        <f>CHOOSE(CONTROL!$C$42, 53.1155, 53.1155) * CHOOSE(CONTROL!$C$21, $C$9, 100%, $E$9)</f>
        <v>53.115499999999997</v>
      </c>
      <c r="M744" s="14">
        <f>CHOOSE(CONTROL!$C$42, 51.3673, 51.3673) * CHOOSE(CONTROL!$C$21, $C$9, 100%, $E$9)</f>
        <v>51.3673</v>
      </c>
      <c r="N744" s="14">
        <f>CHOOSE(CONTROL!$C$42, 51.3836, 51.3836) * CHOOSE(CONTROL!$C$21, $C$9, 100%, $E$9)</f>
        <v>51.383600000000001</v>
      </c>
      <c r="O744" s="14">
        <f>CHOOSE(CONTROL!$C$42, 51.4599, 51.4599) * CHOOSE(CONTROL!$C$21, $C$9, 100%, $E$9)</f>
        <v>51.459899999999998</v>
      </c>
      <c r="P744" s="14">
        <f>CHOOSE(CONTROL!$C$42, 51.5398, 51.5398) * CHOOSE(CONTROL!$C$21, $C$9, 100%, $E$9)</f>
        <v>51.5398</v>
      </c>
      <c r="Q744" s="14">
        <f>CHOOSE(CONTROL!$C$42, 52.0546, 52.0546) * CHOOSE(CONTROL!$C$21, $C$9, 100%, $E$9)</f>
        <v>52.054600000000001</v>
      </c>
      <c r="R744" s="14">
        <f>CHOOSE(CONTROL!$C$42, 52.7717, 52.7717) * CHOOSE(CONTROL!$C$21, $C$9, 100%, $E$9)</f>
        <v>52.771700000000003</v>
      </c>
      <c r="S744" s="14">
        <f>CHOOSE(CONTROL!$C$42, 50.3775, 50.3775) * CHOOSE(CONTROL!$C$21, $C$9, 100%, $E$9)</f>
        <v>50.377499999999998</v>
      </c>
      <c r="T74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44" s="57">
        <f>(1000*CHOOSE(CONTROL!$C$42, 695, 695)*CHOOSE(CONTROL!$C$42, 0.5599, 0.5599)*CHOOSE(CONTROL!$C$42, 31, 31))/1000000</f>
        <v>12.063045499999998</v>
      </c>
      <c r="V744" s="57">
        <f>(1000*CHOOSE(CONTROL!$C$42, 500, 500)*CHOOSE(CONTROL!$C$42, 0.275, 0.275)*CHOOSE(CONTROL!$C$42, 31, 31))/1000000</f>
        <v>4.2625000000000002</v>
      </c>
      <c r="W744" s="57">
        <f>(1000*CHOOSE(CONTROL!$C$42, 0.1146, 0.1146)*CHOOSE(CONTROL!$C$42, 121.5, 121.5)*CHOOSE(CONTROL!$C$42, 31, 31))/1000000</f>
        <v>0.43164089999999994</v>
      </c>
      <c r="X744" s="57">
        <f>(31*0.1790888*100000/1000000)+(31*0.2374*100000/1000000)</f>
        <v>1.2911152800000001</v>
      </c>
      <c r="Y744" s="57"/>
      <c r="Z744" s="14"/>
      <c r="AA744" s="56"/>
      <c r="AB744" s="50">
        <f>(B744*122.58+C744*297.941+D744*89.177+E744*40.302+F744*40+G744*160+H744*0+I744*100+J744*300)/(122.58+297.941+89.177+40.302+0+40+160+100+300)</f>
        <v>52.464457304695657</v>
      </c>
      <c r="AC744" s="45">
        <f>(M744*'RAP TEMPLATE-GAS AVAILABILITY'!O743+N744*'RAP TEMPLATE-GAS AVAILABILITY'!P743+O744*'RAP TEMPLATE-GAS AVAILABILITY'!Q743+P744*'RAP TEMPLATE-GAS AVAILABILITY'!R743)/('RAP TEMPLATE-GAS AVAILABILITY'!O743+'RAP TEMPLATE-GAS AVAILABILITY'!P743+'RAP TEMPLATE-GAS AVAILABILITY'!Q743+'RAP TEMPLATE-GAS AVAILABILITY'!R743)</f>
        <v>51.435028057553943</v>
      </c>
    </row>
    <row r="745" spans="1:29" ht="15.75" x14ac:dyDescent="0.25">
      <c r="A745" s="32">
        <v>63585</v>
      </c>
      <c r="B745" s="14">
        <f>CHOOSE(CONTROL!$C$42, 56.7308, 56.7308) * CHOOSE(CONTROL!$C$21, $C$9, 100%, $E$9)</f>
        <v>56.730800000000002</v>
      </c>
      <c r="C745" s="14">
        <f>CHOOSE(CONTROL!$C$42, 56.7358, 56.7358) * CHOOSE(CONTROL!$C$21, $C$9, 100%, $E$9)</f>
        <v>56.735799999999998</v>
      </c>
      <c r="D745" s="14">
        <f>CHOOSE(CONTROL!$C$42, 56.8022, 56.8022) * CHOOSE(CONTROL!$C$21, $C$9, 100%, $E$9)</f>
        <v>56.802199999999999</v>
      </c>
      <c r="E745" s="14">
        <f>CHOOSE(CONTROL!$C$42, 56.8364, 56.8364) * CHOOSE(CONTROL!$C$21, $C$9, 100%, $E$9)</f>
        <v>56.836399999999998</v>
      </c>
      <c r="F745" s="14">
        <f>CHOOSE(CONTROL!$C$42, 56.7181, 56.7181)*CHOOSE(CONTROL!$C$21, $C$9, 100%, $E$9)</f>
        <v>56.7181</v>
      </c>
      <c r="G745" s="14">
        <f>CHOOSE(CONTROL!$C$42, 56.7336, 56.7336)*CHOOSE(CONTROL!$C$21, $C$9, 100%, $E$9)</f>
        <v>56.733600000000003</v>
      </c>
      <c r="H745" s="14">
        <f>CHOOSE(CONTROL!$C$42, 56.8256, 56.8256) * CHOOSE(CONTROL!$C$21, $C$9, 100%, $E$9)</f>
        <v>56.825600000000001</v>
      </c>
      <c r="I745" s="14">
        <f>CHOOSE(CONTROL!$C$42, 56.9161, 56.9161)* CHOOSE(CONTROL!$C$21, $C$9, 100%, $E$9)</f>
        <v>56.9161</v>
      </c>
      <c r="J745" s="14">
        <f>CHOOSE(CONTROL!$C$42, 56.7111, 56.7111)* CHOOSE(CONTROL!$C$21, $C$9, 100%, $E$9)</f>
        <v>56.711100000000002</v>
      </c>
      <c r="K745" s="53">
        <f>CHOOSE(CONTROL!$C$42, 56.9122, 56.9122) * CHOOSE(CONTROL!$C$21, $C$9, 100%, $E$9)</f>
        <v>56.912199999999999</v>
      </c>
      <c r="L745" s="14">
        <f>CHOOSE(CONTROL!$C$42, 57.4126, 57.4126) * CHOOSE(CONTROL!$C$21, $C$9, 100%, $E$9)</f>
        <v>57.412599999999998</v>
      </c>
      <c r="M745" s="14">
        <f>CHOOSE(CONTROL!$C$42, 55.5568, 55.5568) * CHOOSE(CONTROL!$C$21, $C$9, 100%, $E$9)</f>
        <v>55.556800000000003</v>
      </c>
      <c r="N745" s="14">
        <f>CHOOSE(CONTROL!$C$42, 55.572, 55.572) * CHOOSE(CONTROL!$C$21, $C$9, 100%, $E$9)</f>
        <v>55.572000000000003</v>
      </c>
      <c r="O745" s="14">
        <f>CHOOSE(CONTROL!$C$42, 55.6689, 55.6689) * CHOOSE(CONTROL!$C$21, $C$9, 100%, $E$9)</f>
        <v>55.668900000000001</v>
      </c>
      <c r="P745" s="14">
        <f>CHOOSE(CONTROL!$C$42, 55.7541, 55.7541) * CHOOSE(CONTROL!$C$21, $C$9, 100%, $E$9)</f>
        <v>55.754100000000001</v>
      </c>
      <c r="Q745" s="14">
        <f>CHOOSE(CONTROL!$C$42, 56.2636, 56.2636) * CHOOSE(CONTROL!$C$21, $C$9, 100%, $E$9)</f>
        <v>56.263599999999997</v>
      </c>
      <c r="R745" s="14">
        <f>CHOOSE(CONTROL!$C$42, 56.9913, 56.9913) * CHOOSE(CONTROL!$C$21, $C$9, 100%, $E$9)</f>
        <v>56.991300000000003</v>
      </c>
      <c r="S745" s="14">
        <f>CHOOSE(CONTROL!$C$42, 54.5041, 54.5041) * CHOOSE(CONTROL!$C$21, $C$9, 100%, $E$9)</f>
        <v>54.504100000000001</v>
      </c>
      <c r="T74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45" s="57">
        <f>(1000*CHOOSE(CONTROL!$C$42, 695, 695)*CHOOSE(CONTROL!$C$42, 0.5599, 0.5599)*CHOOSE(CONTROL!$C$42, 31, 31))/1000000</f>
        <v>12.063045499999998</v>
      </c>
      <c r="V745" s="57">
        <f>(1000*CHOOSE(CONTROL!$C$42, 500, 500)*CHOOSE(CONTROL!$C$42, 0.275, 0.275)*CHOOSE(CONTROL!$C$42, 31, 31))/1000000</f>
        <v>4.2625000000000002</v>
      </c>
      <c r="W745" s="57">
        <f>(1000*CHOOSE(CONTROL!$C$42, 0.1146, 0.1146)*CHOOSE(CONTROL!$C$42, 121.5, 121.5)*CHOOSE(CONTROL!$C$42, 31, 31))/1000000</f>
        <v>0.43164089999999994</v>
      </c>
      <c r="X745" s="57">
        <f>(31*0.1790888*100000/1000000)+(31*0.2374*100000/1000000)</f>
        <v>1.2911152800000001</v>
      </c>
      <c r="Y745" s="57"/>
      <c r="Z745" s="14"/>
      <c r="AA745" s="56"/>
      <c r="AB745" s="50">
        <f>(B745*122.58+C745*297.941+D745*89.177+E745*40.302+F745*40+G745*160+H745*0+I745*100+J745*300)/(122.58+297.941+89.177+40.302+0+40+160+100+300)</f>
        <v>56.752254638260865</v>
      </c>
      <c r="AC745" s="45">
        <f>(M745*'RAP TEMPLATE-GAS AVAILABILITY'!O744+N745*'RAP TEMPLATE-GAS AVAILABILITY'!P744+O745*'RAP TEMPLATE-GAS AVAILABILITY'!Q744+P745*'RAP TEMPLATE-GAS AVAILABILITY'!R744)/('RAP TEMPLATE-GAS AVAILABILITY'!O744+'RAP TEMPLATE-GAS AVAILABILITY'!P744+'RAP TEMPLATE-GAS AVAILABILITY'!Q744+'RAP TEMPLATE-GAS AVAILABILITY'!R744)</f>
        <v>55.636871223021593</v>
      </c>
    </row>
    <row r="746" spans="1:29" ht="15.75" x14ac:dyDescent="0.25">
      <c r="A746" s="32">
        <v>63613</v>
      </c>
      <c r="B746" s="14">
        <f>CHOOSE(CONTROL!$C$42, 57.7405, 57.7405) * CHOOSE(CONTROL!$C$21, $C$9, 100%, $E$9)</f>
        <v>57.740499999999997</v>
      </c>
      <c r="C746" s="14">
        <f>CHOOSE(CONTROL!$C$42, 57.7456, 57.7456) * CHOOSE(CONTROL!$C$21, $C$9, 100%, $E$9)</f>
        <v>57.745600000000003</v>
      </c>
      <c r="D746" s="14">
        <f>CHOOSE(CONTROL!$C$42, 57.812, 57.812) * CHOOSE(CONTROL!$C$21, $C$9, 100%, $E$9)</f>
        <v>57.811999999999998</v>
      </c>
      <c r="E746" s="14">
        <f>CHOOSE(CONTROL!$C$42, 57.8461, 57.8461) * CHOOSE(CONTROL!$C$21, $C$9, 100%, $E$9)</f>
        <v>57.8461</v>
      </c>
      <c r="F746" s="14">
        <f>CHOOSE(CONTROL!$C$42, 57.7279, 57.7279)*CHOOSE(CONTROL!$C$21, $C$9, 100%, $E$9)</f>
        <v>57.727899999999998</v>
      </c>
      <c r="G746" s="14">
        <f>CHOOSE(CONTROL!$C$42, 57.7434, 57.7434)*CHOOSE(CONTROL!$C$21, $C$9, 100%, $E$9)</f>
        <v>57.743400000000001</v>
      </c>
      <c r="H746" s="14">
        <f>CHOOSE(CONTROL!$C$42, 57.8353, 57.8353) * CHOOSE(CONTROL!$C$21, $C$9, 100%, $E$9)</f>
        <v>57.835299999999997</v>
      </c>
      <c r="I746" s="14">
        <f>CHOOSE(CONTROL!$C$42, 57.9289, 57.9289)* CHOOSE(CONTROL!$C$21, $C$9, 100%, $E$9)</f>
        <v>57.928899999999999</v>
      </c>
      <c r="J746" s="14">
        <f>CHOOSE(CONTROL!$C$42, 57.7209, 57.7209)* CHOOSE(CONTROL!$C$21, $C$9, 100%, $E$9)</f>
        <v>57.7209</v>
      </c>
      <c r="K746" s="53">
        <f>CHOOSE(CONTROL!$C$42, 57.9251, 57.9251) * CHOOSE(CONTROL!$C$21, $C$9, 100%, $E$9)</f>
        <v>57.9251</v>
      </c>
      <c r="L746" s="14">
        <f>CHOOSE(CONTROL!$C$42, 58.4223, 58.4223) * CHOOSE(CONTROL!$C$21, $C$9, 100%, $E$9)</f>
        <v>58.4223</v>
      </c>
      <c r="M746" s="14">
        <f>CHOOSE(CONTROL!$C$42, 56.5459, 56.5459) * CHOOSE(CONTROL!$C$21, $C$9, 100%, $E$9)</f>
        <v>56.545900000000003</v>
      </c>
      <c r="N746" s="14">
        <f>CHOOSE(CONTROL!$C$42, 56.5611, 56.5611) * CHOOSE(CONTROL!$C$21, $C$9, 100%, $E$9)</f>
        <v>56.561100000000003</v>
      </c>
      <c r="O746" s="14">
        <f>CHOOSE(CONTROL!$C$42, 56.658, 56.658) * CHOOSE(CONTROL!$C$21, $C$9, 100%, $E$9)</f>
        <v>56.658000000000001</v>
      </c>
      <c r="P746" s="14">
        <f>CHOOSE(CONTROL!$C$42, 56.7462, 56.7462) * CHOOSE(CONTROL!$C$21, $C$9, 100%, $E$9)</f>
        <v>56.746200000000002</v>
      </c>
      <c r="Q746" s="14">
        <f>CHOOSE(CONTROL!$C$42, 57.2527, 57.2527) * CHOOSE(CONTROL!$C$21, $C$9, 100%, $E$9)</f>
        <v>57.252699999999997</v>
      </c>
      <c r="R746" s="14">
        <f>CHOOSE(CONTROL!$C$42, 57.9828, 57.9828) * CHOOSE(CONTROL!$C$21, $C$9, 100%, $E$9)</f>
        <v>57.982799999999997</v>
      </c>
      <c r="S746" s="14">
        <f>CHOOSE(CONTROL!$C$42, 55.4743, 55.4743) * CHOOSE(CONTROL!$C$21, $C$9, 100%, $E$9)</f>
        <v>55.474299999999999</v>
      </c>
      <c r="T74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46" s="57">
        <f>(1000*CHOOSE(CONTROL!$C$42, 695, 695)*CHOOSE(CONTROL!$C$42, 0.5599, 0.5599)*CHOOSE(CONTROL!$C$42, 28, 28))/1000000</f>
        <v>10.895653999999999</v>
      </c>
      <c r="V746" s="57">
        <f>(1000*CHOOSE(CONTROL!$C$42, 500, 500)*CHOOSE(CONTROL!$C$42, 0.275, 0.275)*CHOOSE(CONTROL!$C$42, 28, 28))/1000000</f>
        <v>3.85</v>
      </c>
      <c r="W746" s="57">
        <f>(1000*CHOOSE(CONTROL!$C$42, 0.1146, 0.1146)*CHOOSE(CONTROL!$C$42, 121.5, 121.5)*CHOOSE(CONTROL!$C$42, 28, 28))/1000000</f>
        <v>0.38986920000000003</v>
      </c>
      <c r="X746" s="57">
        <f>(28*0.1790888*100000/1000000)+(28*0.2374*100000/1000000)</f>
        <v>1.16616864</v>
      </c>
      <c r="Y746" s="57"/>
      <c r="Z746" s="14"/>
      <c r="AA746" s="56"/>
      <c r="AB746" s="50">
        <f>(B746*122.58+C746*297.941+D746*89.177+E746*40.302+F746*40+G746*160+H746*0+I746*100+J746*300)/(122.58+297.941+89.177+40.302+0+40+160+100+300)</f>
        <v>57.762301344173913</v>
      </c>
      <c r="AC746" s="45">
        <f>(M746*'RAP TEMPLATE-GAS AVAILABILITY'!O745+N746*'RAP TEMPLATE-GAS AVAILABILITY'!P745+O746*'RAP TEMPLATE-GAS AVAILABILITY'!Q745+P746*'RAP TEMPLATE-GAS AVAILABILITY'!R745)/('RAP TEMPLATE-GAS AVAILABILITY'!O745+'RAP TEMPLATE-GAS AVAILABILITY'!P745+'RAP TEMPLATE-GAS AVAILABILITY'!Q745+'RAP TEMPLATE-GAS AVAILABILITY'!R745)</f>
        <v>56.626402877697849</v>
      </c>
    </row>
    <row r="747" spans="1:29" ht="15.75" x14ac:dyDescent="0.25">
      <c r="A747" s="32">
        <v>63644</v>
      </c>
      <c r="B747" s="14">
        <f>CHOOSE(CONTROL!$C$42, 56.1015, 56.1015) * CHOOSE(CONTROL!$C$21, $C$9, 100%, $E$9)</f>
        <v>56.101500000000001</v>
      </c>
      <c r="C747" s="14">
        <f>CHOOSE(CONTROL!$C$42, 56.1065, 56.1065) * CHOOSE(CONTROL!$C$21, $C$9, 100%, $E$9)</f>
        <v>56.106499999999997</v>
      </c>
      <c r="D747" s="14">
        <f>CHOOSE(CONTROL!$C$42, 56.1729, 56.1729) * CHOOSE(CONTROL!$C$21, $C$9, 100%, $E$9)</f>
        <v>56.172899999999998</v>
      </c>
      <c r="E747" s="14">
        <f>CHOOSE(CONTROL!$C$42, 56.2071, 56.2071) * CHOOSE(CONTROL!$C$21, $C$9, 100%, $E$9)</f>
        <v>56.207099999999997</v>
      </c>
      <c r="F747" s="14">
        <f>CHOOSE(CONTROL!$C$42, 56.0885, 56.0885)*CHOOSE(CONTROL!$C$21, $C$9, 100%, $E$9)</f>
        <v>56.088500000000003</v>
      </c>
      <c r="G747" s="14">
        <f>CHOOSE(CONTROL!$C$42, 56.1039, 56.1039)*CHOOSE(CONTROL!$C$21, $C$9, 100%, $E$9)</f>
        <v>56.103900000000003</v>
      </c>
      <c r="H747" s="14">
        <f>CHOOSE(CONTROL!$C$42, 56.1963, 56.1963) * CHOOSE(CONTROL!$C$21, $C$9, 100%, $E$9)</f>
        <v>56.196300000000001</v>
      </c>
      <c r="I747" s="14">
        <f>CHOOSE(CONTROL!$C$42, 56.2848, 56.2848)* CHOOSE(CONTROL!$C$21, $C$9, 100%, $E$9)</f>
        <v>56.284799999999997</v>
      </c>
      <c r="J747" s="14">
        <f>CHOOSE(CONTROL!$C$42, 56.0815, 56.0815)* CHOOSE(CONTROL!$C$21, $C$9, 100%, $E$9)</f>
        <v>56.081499999999998</v>
      </c>
      <c r="K747" s="53">
        <f>CHOOSE(CONTROL!$C$42, 56.2809, 56.2809) * CHOOSE(CONTROL!$C$21, $C$9, 100%, $E$9)</f>
        <v>56.280900000000003</v>
      </c>
      <c r="L747" s="14">
        <f>CHOOSE(CONTROL!$C$42, 56.7833, 56.7833) * CHOOSE(CONTROL!$C$21, $C$9, 100%, $E$9)</f>
        <v>56.783299999999997</v>
      </c>
      <c r="M747" s="14">
        <f>CHOOSE(CONTROL!$C$42, 54.9401, 54.9401) * CHOOSE(CONTROL!$C$21, $C$9, 100%, $E$9)</f>
        <v>54.940100000000001</v>
      </c>
      <c r="N747" s="14">
        <f>CHOOSE(CONTROL!$C$42, 54.9552, 54.9552) * CHOOSE(CONTROL!$C$21, $C$9, 100%, $E$9)</f>
        <v>54.955199999999998</v>
      </c>
      <c r="O747" s="14">
        <f>CHOOSE(CONTROL!$C$42, 55.0525, 55.0525) * CHOOSE(CONTROL!$C$21, $C$9, 100%, $E$9)</f>
        <v>55.052500000000002</v>
      </c>
      <c r="P747" s="14">
        <f>CHOOSE(CONTROL!$C$42, 55.1358, 55.1358) * CHOOSE(CONTROL!$C$21, $C$9, 100%, $E$9)</f>
        <v>55.135800000000003</v>
      </c>
      <c r="Q747" s="14">
        <f>CHOOSE(CONTROL!$C$42, 55.6472, 55.6472) * CHOOSE(CONTROL!$C$21, $C$9, 100%, $E$9)</f>
        <v>55.647199999999998</v>
      </c>
      <c r="R747" s="14">
        <f>CHOOSE(CONTROL!$C$42, 56.3733, 56.3733) * CHOOSE(CONTROL!$C$21, $C$9, 100%, $E$9)</f>
        <v>56.3733</v>
      </c>
      <c r="S747" s="14">
        <f>CHOOSE(CONTROL!$C$42, 53.8994, 53.8994) * CHOOSE(CONTROL!$C$21, $C$9, 100%, $E$9)</f>
        <v>53.8994</v>
      </c>
      <c r="T74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47" s="57">
        <f>(1000*CHOOSE(CONTROL!$C$42, 695, 695)*CHOOSE(CONTROL!$C$42, 0.5599, 0.5599)*CHOOSE(CONTROL!$C$42, 31, 31))/1000000</f>
        <v>12.063045499999998</v>
      </c>
      <c r="V747" s="57">
        <f>(1000*CHOOSE(CONTROL!$C$42, 500, 500)*CHOOSE(CONTROL!$C$42, 0.275, 0.275)*CHOOSE(CONTROL!$C$42, 31, 31))/1000000</f>
        <v>4.2625000000000002</v>
      </c>
      <c r="W747" s="57">
        <f>(1000*CHOOSE(CONTROL!$C$42, 0.1146, 0.1146)*CHOOSE(CONTROL!$C$42, 121.5, 121.5)*CHOOSE(CONTROL!$C$42, 31, 31))/1000000</f>
        <v>0.43164089999999994</v>
      </c>
      <c r="X747" s="57">
        <f>(31*0.1790888*100000/1000000)+(31*0.2374*100000/1000000)</f>
        <v>1.2911152800000001</v>
      </c>
      <c r="Y747" s="57"/>
      <c r="Z747" s="14"/>
      <c r="AA747" s="56"/>
      <c r="AB747" s="50">
        <f>(B747*122.58+C747*297.941+D747*89.177+E747*40.302+F747*40+G747*160+H747*0+I747*100+J747*300)/(122.58+297.941+89.177+40.302+0+40+160+100+300)</f>
        <v>56.122636377391302</v>
      </c>
      <c r="AC747" s="45">
        <f>(M747*'RAP TEMPLATE-GAS AVAILABILITY'!O746+N747*'RAP TEMPLATE-GAS AVAILABILITY'!P746+O747*'RAP TEMPLATE-GAS AVAILABILITY'!Q746+P747*'RAP TEMPLATE-GAS AVAILABILITY'!R746)/('RAP TEMPLATE-GAS AVAILABILITY'!O746+'RAP TEMPLATE-GAS AVAILABILITY'!P746+'RAP TEMPLATE-GAS AVAILABILITY'!Q746+'RAP TEMPLATE-GAS AVAILABILITY'!R746)</f>
        <v>55.020071223021588</v>
      </c>
    </row>
    <row r="748" spans="1:29" ht="15.75" x14ac:dyDescent="0.25">
      <c r="A748" s="32">
        <v>63674</v>
      </c>
      <c r="B748" s="14">
        <f>CHOOSE(CONTROL!$C$42, 55.9347, 55.9347) * CHOOSE(CONTROL!$C$21, $C$9, 100%, $E$9)</f>
        <v>55.934699999999999</v>
      </c>
      <c r="C748" s="14">
        <f>CHOOSE(CONTROL!$C$42, 55.9392, 55.9392) * CHOOSE(CONTROL!$C$21, $C$9, 100%, $E$9)</f>
        <v>55.9392</v>
      </c>
      <c r="D748" s="14">
        <f>CHOOSE(CONTROL!$C$42, 56.1463, 56.1463) * CHOOSE(CONTROL!$C$21, $C$9, 100%, $E$9)</f>
        <v>56.146299999999997</v>
      </c>
      <c r="E748" s="14">
        <f>CHOOSE(CONTROL!$C$42, 56.1784, 56.1784) * CHOOSE(CONTROL!$C$21, $C$9, 100%, $E$9)</f>
        <v>56.178400000000003</v>
      </c>
      <c r="F748" s="14">
        <f>CHOOSE(CONTROL!$C$42, 55.9166, 55.9166)*CHOOSE(CONTROL!$C$21, $C$9, 100%, $E$9)</f>
        <v>55.916600000000003</v>
      </c>
      <c r="G748" s="14">
        <f>CHOOSE(CONTROL!$C$42, 55.9318, 55.9318)*CHOOSE(CONTROL!$C$21, $C$9, 100%, $E$9)</f>
        <v>55.931800000000003</v>
      </c>
      <c r="H748" s="14">
        <f>CHOOSE(CONTROL!$C$42, 56.1681, 56.1681) * CHOOSE(CONTROL!$C$21, $C$9, 100%, $E$9)</f>
        <v>56.168100000000003</v>
      </c>
      <c r="I748" s="14">
        <f>CHOOSE(CONTROL!$C$42, 56.1167, 56.1167)* CHOOSE(CONTROL!$C$21, $C$9, 100%, $E$9)</f>
        <v>56.116700000000002</v>
      </c>
      <c r="J748" s="14">
        <f>CHOOSE(CONTROL!$C$42, 55.9096, 55.9096)* CHOOSE(CONTROL!$C$21, $C$9, 100%, $E$9)</f>
        <v>55.909599999999998</v>
      </c>
      <c r="K748" s="53">
        <f>CHOOSE(CONTROL!$C$42, 56.1128, 56.1128) * CHOOSE(CONTROL!$C$21, $C$9, 100%, $E$9)</f>
        <v>56.1128</v>
      </c>
      <c r="L748" s="14">
        <f>CHOOSE(CONTROL!$C$42, 56.7551, 56.7551) * CHOOSE(CONTROL!$C$21, $C$9, 100%, $E$9)</f>
        <v>56.755099999999999</v>
      </c>
      <c r="M748" s="14">
        <f>CHOOSE(CONTROL!$C$42, 54.7717, 54.7717) * CHOOSE(CONTROL!$C$21, $C$9, 100%, $E$9)</f>
        <v>54.771700000000003</v>
      </c>
      <c r="N748" s="14">
        <f>CHOOSE(CONTROL!$C$42, 54.7866, 54.7866) * CHOOSE(CONTROL!$C$21, $C$9, 100%, $E$9)</f>
        <v>54.7866</v>
      </c>
      <c r="O748" s="14">
        <f>CHOOSE(CONTROL!$C$42, 55.025, 55.025) * CHOOSE(CONTROL!$C$21, $C$9, 100%, $E$9)</f>
        <v>55.024999999999999</v>
      </c>
      <c r="P748" s="14">
        <f>CHOOSE(CONTROL!$C$42, 54.9712, 54.9712) * CHOOSE(CONTROL!$C$21, $C$9, 100%, $E$9)</f>
        <v>54.971200000000003</v>
      </c>
      <c r="Q748" s="14">
        <f>CHOOSE(CONTROL!$C$42, 55.6197, 55.6197) * CHOOSE(CONTROL!$C$21, $C$9, 100%, $E$9)</f>
        <v>55.619700000000002</v>
      </c>
      <c r="R748" s="14">
        <f>CHOOSE(CONTROL!$C$42, 56.3457, 56.3457) * CHOOSE(CONTROL!$C$21, $C$9, 100%, $E$9)</f>
        <v>56.345700000000001</v>
      </c>
      <c r="S748" s="14">
        <f>CHOOSE(CONTROL!$C$42, 53.7384, 53.7384) * CHOOSE(CONTROL!$C$21, $C$9, 100%, $E$9)</f>
        <v>53.738399999999999</v>
      </c>
      <c r="T74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48" s="57">
        <f>(1000*CHOOSE(CONTROL!$C$42, 695, 695)*CHOOSE(CONTROL!$C$42, 0.5599, 0.5599)*CHOOSE(CONTROL!$C$42, 30, 30))/1000000</f>
        <v>11.673914999999997</v>
      </c>
      <c r="V748" s="57">
        <f>(1000*CHOOSE(CONTROL!$C$42, 500, 500)*CHOOSE(CONTROL!$C$42, 0.275, 0.275)*CHOOSE(CONTROL!$C$42, 30, 30))/1000000</f>
        <v>4.125</v>
      </c>
      <c r="W748" s="57">
        <f>(1000*CHOOSE(CONTROL!$C$42, 0.1146, 0.1146)*CHOOSE(CONTROL!$C$42, 121.5, 121.5)*CHOOSE(CONTROL!$C$42, 30, 30))/1000000</f>
        <v>0.417717</v>
      </c>
      <c r="X748" s="57">
        <f>(30*0.1790888*245000/1000000)+(30*0.2374*100000/1000000)</f>
        <v>2.0285026799999999</v>
      </c>
      <c r="Y748" s="57"/>
      <c r="Z748" s="14"/>
      <c r="AA748" s="56"/>
      <c r="AB748" s="50">
        <f>(B748*141.293+C748*267.993+D748*115.016+E748*89.698+F748*40+G748*185+H748*0+I748*100+J748*300)/(141.293+267.993+115.016+89.698+0+40+185+100+300)</f>
        <v>55.980553314527839</v>
      </c>
      <c r="AC748" s="45">
        <f>(M748*'RAP TEMPLATE-GAS AVAILABILITY'!O747+N748*'RAP TEMPLATE-GAS AVAILABILITY'!P747+O748*'RAP TEMPLATE-GAS AVAILABILITY'!Q747+P748*'RAP TEMPLATE-GAS AVAILABILITY'!R747)/('RAP TEMPLATE-GAS AVAILABILITY'!O747+'RAP TEMPLATE-GAS AVAILABILITY'!P747+'RAP TEMPLATE-GAS AVAILABILITY'!Q747+'RAP TEMPLATE-GAS AVAILABILITY'!R747)</f>
        <v>54.916067625899281</v>
      </c>
    </row>
    <row r="749" spans="1:29" ht="15.75" x14ac:dyDescent="0.25">
      <c r="A749" s="32">
        <v>63705</v>
      </c>
      <c r="B749" s="14">
        <f>CHOOSE(CONTROL!$C$42, 56.4297, 56.4297) * CHOOSE(CONTROL!$C$21, $C$9, 100%, $E$9)</f>
        <v>56.429699999999997</v>
      </c>
      <c r="C749" s="14">
        <f>CHOOSE(CONTROL!$C$42, 56.4377, 56.4377) * CHOOSE(CONTROL!$C$21, $C$9, 100%, $E$9)</f>
        <v>56.4377</v>
      </c>
      <c r="D749" s="14">
        <f>CHOOSE(CONTROL!$C$42, 56.6416, 56.6416) * CHOOSE(CONTROL!$C$21, $C$9, 100%, $E$9)</f>
        <v>56.641599999999997</v>
      </c>
      <c r="E749" s="14">
        <f>CHOOSE(CONTROL!$C$42, 56.6731, 56.6731) * CHOOSE(CONTROL!$C$21, $C$9, 100%, $E$9)</f>
        <v>56.673099999999998</v>
      </c>
      <c r="F749" s="14">
        <f>CHOOSE(CONTROL!$C$42, 56.4104, 56.4104)*CHOOSE(CONTROL!$C$21, $C$9, 100%, $E$9)</f>
        <v>56.410400000000003</v>
      </c>
      <c r="G749" s="14">
        <f>CHOOSE(CONTROL!$C$42, 56.4261, 56.4261)*CHOOSE(CONTROL!$C$21, $C$9, 100%, $E$9)</f>
        <v>56.426099999999998</v>
      </c>
      <c r="H749" s="14">
        <f>CHOOSE(CONTROL!$C$42, 56.6617, 56.6617) * CHOOSE(CONTROL!$C$21, $C$9, 100%, $E$9)</f>
        <v>56.661700000000003</v>
      </c>
      <c r="I749" s="14">
        <f>CHOOSE(CONTROL!$C$42, 56.6119, 56.6119)* CHOOSE(CONTROL!$C$21, $C$9, 100%, $E$9)</f>
        <v>56.611899999999999</v>
      </c>
      <c r="J749" s="14">
        <f>CHOOSE(CONTROL!$C$42, 56.4034, 56.4034)* CHOOSE(CONTROL!$C$21, $C$9, 100%, $E$9)</f>
        <v>56.403399999999998</v>
      </c>
      <c r="K749" s="53">
        <f>CHOOSE(CONTROL!$C$42, 56.608, 56.608) * CHOOSE(CONTROL!$C$21, $C$9, 100%, $E$9)</f>
        <v>56.607999999999997</v>
      </c>
      <c r="L749" s="14">
        <f>CHOOSE(CONTROL!$C$42, 57.2487, 57.2487) * CHOOSE(CONTROL!$C$21, $C$9, 100%, $E$9)</f>
        <v>57.248699999999999</v>
      </c>
      <c r="M749" s="14">
        <f>CHOOSE(CONTROL!$C$42, 55.2554, 55.2554) * CHOOSE(CONTROL!$C$21, $C$9, 100%, $E$9)</f>
        <v>55.255400000000002</v>
      </c>
      <c r="N749" s="14">
        <f>CHOOSE(CONTROL!$C$42, 55.2708, 55.2708) * CHOOSE(CONTROL!$C$21, $C$9, 100%, $E$9)</f>
        <v>55.270800000000001</v>
      </c>
      <c r="O749" s="14">
        <f>CHOOSE(CONTROL!$C$42, 55.5085, 55.5085) * CHOOSE(CONTROL!$C$21, $C$9, 100%, $E$9)</f>
        <v>55.508499999999998</v>
      </c>
      <c r="P749" s="14">
        <f>CHOOSE(CONTROL!$C$42, 55.4561, 55.4561) * CHOOSE(CONTROL!$C$21, $C$9, 100%, $E$9)</f>
        <v>55.456099999999999</v>
      </c>
      <c r="Q749" s="14">
        <f>CHOOSE(CONTROL!$C$42, 56.1032, 56.1032) * CHOOSE(CONTROL!$C$21, $C$9, 100%, $E$9)</f>
        <v>56.103200000000001</v>
      </c>
      <c r="R749" s="14">
        <f>CHOOSE(CONTROL!$C$42, 56.8304, 56.8304) * CHOOSE(CONTROL!$C$21, $C$9, 100%, $E$9)</f>
        <v>56.830399999999997</v>
      </c>
      <c r="S749" s="14">
        <f>CHOOSE(CONTROL!$C$42, 54.2127, 54.2127) * CHOOSE(CONTROL!$C$21, $C$9, 100%, $E$9)</f>
        <v>54.212699999999998</v>
      </c>
      <c r="T74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49" s="57">
        <f>(1000*CHOOSE(CONTROL!$C$42, 695, 695)*CHOOSE(CONTROL!$C$42, 0.5599, 0.5599)*CHOOSE(CONTROL!$C$42, 31, 31))/1000000</f>
        <v>12.063045499999998</v>
      </c>
      <c r="V749" s="57">
        <f>(1000*CHOOSE(CONTROL!$C$42, 500, 500)*CHOOSE(CONTROL!$C$42, 0.275, 0.275)*CHOOSE(CONTROL!$C$42, 31, 31))/1000000</f>
        <v>4.2625000000000002</v>
      </c>
      <c r="W749" s="57">
        <f>(1000*CHOOSE(CONTROL!$C$42, 0.1146, 0.1146)*CHOOSE(CONTROL!$C$42, 121.5, 121.5)*CHOOSE(CONTROL!$C$42, 31, 31))/1000000</f>
        <v>0.43164089999999994</v>
      </c>
      <c r="X749" s="57">
        <f>(31*0.1790888*245000/1000000)+(31*0.2374*100000/1000000)</f>
        <v>2.0961194359999999</v>
      </c>
      <c r="Y749" s="57"/>
      <c r="Z749" s="14"/>
      <c r="AA749" s="56"/>
      <c r="AB749" s="50">
        <f>(B749*194.205+C749*267.466+D749*133.845+E749*53.484+F749*40+G749*185+H749*0+I749*100+J749*300)/(194.205+267.466+133.845+53.484+0+40+185+100+300)</f>
        <v>56.470839316405026</v>
      </c>
      <c r="AC749" s="45">
        <f>(M749*'RAP TEMPLATE-GAS AVAILABILITY'!O748+N749*'RAP TEMPLATE-GAS AVAILABILITY'!P748+O749*'RAP TEMPLATE-GAS AVAILABILITY'!Q748+P749*'RAP TEMPLATE-GAS AVAILABILITY'!R748)/('RAP TEMPLATE-GAS AVAILABILITY'!O748+'RAP TEMPLATE-GAS AVAILABILITY'!P748+'RAP TEMPLATE-GAS AVAILABILITY'!Q748+'RAP TEMPLATE-GAS AVAILABILITY'!R748)</f>
        <v>55.399878417266194</v>
      </c>
    </row>
    <row r="750" spans="1:29" ht="15.75" x14ac:dyDescent="0.25">
      <c r="A750" s="32">
        <v>63735</v>
      </c>
      <c r="B750" s="14">
        <f>CHOOSE(CONTROL!$C$42, 58.03, 58.03) * CHOOSE(CONTROL!$C$21, $C$9, 100%, $E$9)</f>
        <v>58.03</v>
      </c>
      <c r="C750" s="14">
        <f>CHOOSE(CONTROL!$C$42, 58.0381, 58.0381) * CHOOSE(CONTROL!$C$21, $C$9, 100%, $E$9)</f>
        <v>58.0381</v>
      </c>
      <c r="D750" s="14">
        <f>CHOOSE(CONTROL!$C$42, 58.242, 58.242) * CHOOSE(CONTROL!$C$21, $C$9, 100%, $E$9)</f>
        <v>58.241999999999997</v>
      </c>
      <c r="E750" s="14">
        <f>CHOOSE(CONTROL!$C$42, 58.2735, 58.2735) * CHOOSE(CONTROL!$C$21, $C$9, 100%, $E$9)</f>
        <v>58.273499999999999</v>
      </c>
      <c r="F750" s="14">
        <f>CHOOSE(CONTROL!$C$42, 58.0112, 58.0112)*CHOOSE(CONTROL!$C$21, $C$9, 100%, $E$9)</f>
        <v>58.011200000000002</v>
      </c>
      <c r="G750" s="14">
        <f>CHOOSE(CONTROL!$C$42, 58.027, 58.027)*CHOOSE(CONTROL!$C$21, $C$9, 100%, $E$9)</f>
        <v>58.027000000000001</v>
      </c>
      <c r="H750" s="14">
        <f>CHOOSE(CONTROL!$C$42, 58.2621, 58.2621) * CHOOSE(CONTROL!$C$21, $C$9, 100%, $E$9)</f>
        <v>58.262099999999997</v>
      </c>
      <c r="I750" s="14">
        <f>CHOOSE(CONTROL!$C$42, 58.2172, 58.2172)* CHOOSE(CONTROL!$C$21, $C$9, 100%, $E$9)</f>
        <v>58.217199999999998</v>
      </c>
      <c r="J750" s="14">
        <f>CHOOSE(CONTROL!$C$42, 58.0042, 58.0042)* CHOOSE(CONTROL!$C$21, $C$9, 100%, $E$9)</f>
        <v>58.004199999999997</v>
      </c>
      <c r="K750" s="53">
        <f>CHOOSE(CONTROL!$C$42, 58.2133, 58.2133) * CHOOSE(CONTROL!$C$21, $C$9, 100%, $E$9)</f>
        <v>58.213299999999997</v>
      </c>
      <c r="L750" s="14">
        <f>CHOOSE(CONTROL!$C$42, 58.8491, 58.8491) * CHOOSE(CONTROL!$C$21, $C$9, 100%, $E$9)</f>
        <v>58.8491</v>
      </c>
      <c r="M750" s="14">
        <f>CHOOSE(CONTROL!$C$42, 56.8234, 56.8234) * CHOOSE(CONTROL!$C$21, $C$9, 100%, $E$9)</f>
        <v>56.823399999999999</v>
      </c>
      <c r="N750" s="14">
        <f>CHOOSE(CONTROL!$C$42, 56.8389, 56.8389) * CHOOSE(CONTROL!$C$21, $C$9, 100%, $E$9)</f>
        <v>56.838900000000002</v>
      </c>
      <c r="O750" s="14">
        <f>CHOOSE(CONTROL!$C$42, 57.076, 57.076) * CHOOSE(CONTROL!$C$21, $C$9, 100%, $E$9)</f>
        <v>57.076000000000001</v>
      </c>
      <c r="P750" s="14">
        <f>CHOOSE(CONTROL!$C$42, 57.0285, 57.0285) * CHOOSE(CONTROL!$C$21, $C$9, 100%, $E$9)</f>
        <v>57.028500000000001</v>
      </c>
      <c r="Q750" s="14">
        <f>CHOOSE(CONTROL!$C$42, 57.6707, 57.6707) * CHOOSE(CONTROL!$C$21, $C$9, 100%, $E$9)</f>
        <v>57.670699999999997</v>
      </c>
      <c r="R750" s="14">
        <f>CHOOSE(CONTROL!$C$42, 58.4019, 58.4019) * CHOOSE(CONTROL!$C$21, $C$9, 100%, $E$9)</f>
        <v>58.401899999999998</v>
      </c>
      <c r="S750" s="14">
        <f>CHOOSE(CONTROL!$C$42, 55.7504, 55.7504) * CHOOSE(CONTROL!$C$21, $C$9, 100%, $E$9)</f>
        <v>55.750399999999999</v>
      </c>
      <c r="T75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50" s="57">
        <f>(1000*CHOOSE(CONTROL!$C$42, 695, 695)*CHOOSE(CONTROL!$C$42, 0.5599, 0.5599)*CHOOSE(CONTROL!$C$42, 30, 30))/1000000</f>
        <v>11.673914999999997</v>
      </c>
      <c r="V750" s="57">
        <f>(1000*CHOOSE(CONTROL!$C$42, 500, 500)*CHOOSE(CONTROL!$C$42, 0.275, 0.275)*CHOOSE(CONTROL!$C$42, 30, 30))/1000000</f>
        <v>4.125</v>
      </c>
      <c r="W750" s="57">
        <f>(1000*CHOOSE(CONTROL!$C$42, 0.1146, 0.1146)*CHOOSE(CONTROL!$C$42, 121.5, 121.5)*CHOOSE(CONTROL!$C$42, 30, 30))/1000000</f>
        <v>0.417717</v>
      </c>
      <c r="X750" s="57">
        <f>(30*0.1790888*245000/1000000)+(30*0.2374*100000/1000000)</f>
        <v>2.0285026799999999</v>
      </c>
      <c r="Y750" s="57"/>
      <c r="Z750" s="14"/>
      <c r="AA750" s="56"/>
      <c r="AB750" s="50">
        <f>(B750*194.205+C750*267.466+D750*133.845+E750*53.484+F750*40+G750*185+H750*0+I750*100+J750*300)/(194.205+267.466+133.845+53.484+0+40+185+100+300)</f>
        <v>58.071788044427009</v>
      </c>
      <c r="AC750" s="45">
        <f>(M750*'RAP TEMPLATE-GAS AVAILABILITY'!O749+N750*'RAP TEMPLATE-GAS AVAILABILITY'!P749+O750*'RAP TEMPLATE-GAS AVAILABILITY'!Q749+P750*'RAP TEMPLATE-GAS AVAILABILITY'!R749)/('RAP TEMPLATE-GAS AVAILABILITY'!O749+'RAP TEMPLATE-GAS AVAILABILITY'!P749+'RAP TEMPLATE-GAS AVAILABILITY'!Q749+'RAP TEMPLATE-GAS AVAILABILITY'!R749)</f>
        <v>56.968290647482014</v>
      </c>
    </row>
    <row r="751" spans="1:29" ht="15.75" x14ac:dyDescent="0.25">
      <c r="A751" s="32">
        <v>63766</v>
      </c>
      <c r="B751" s="14">
        <f>CHOOSE(CONTROL!$C$42, 56.917, 56.917) * CHOOSE(CONTROL!$C$21, $C$9, 100%, $E$9)</f>
        <v>56.917000000000002</v>
      </c>
      <c r="C751" s="14">
        <f>CHOOSE(CONTROL!$C$42, 56.925, 56.925) * CHOOSE(CONTROL!$C$21, $C$9, 100%, $E$9)</f>
        <v>56.924999999999997</v>
      </c>
      <c r="D751" s="14">
        <f>CHOOSE(CONTROL!$C$42, 57.1289, 57.1289) * CHOOSE(CONTROL!$C$21, $C$9, 100%, $E$9)</f>
        <v>57.128900000000002</v>
      </c>
      <c r="E751" s="14">
        <f>CHOOSE(CONTROL!$C$42, 57.1604, 57.1604) * CHOOSE(CONTROL!$C$21, $C$9, 100%, $E$9)</f>
        <v>57.160400000000003</v>
      </c>
      <c r="F751" s="14">
        <f>CHOOSE(CONTROL!$C$42, 56.8986, 56.8986)*CHOOSE(CONTROL!$C$21, $C$9, 100%, $E$9)</f>
        <v>56.898600000000002</v>
      </c>
      <c r="G751" s="14">
        <f>CHOOSE(CONTROL!$C$42, 56.9145, 56.9145)*CHOOSE(CONTROL!$C$21, $C$9, 100%, $E$9)</f>
        <v>56.914499999999997</v>
      </c>
      <c r="H751" s="14">
        <f>CHOOSE(CONTROL!$C$42, 57.149, 57.149) * CHOOSE(CONTROL!$C$21, $C$9, 100%, $E$9)</f>
        <v>57.149000000000001</v>
      </c>
      <c r="I751" s="14">
        <f>CHOOSE(CONTROL!$C$42, 57.1007, 57.1007)* CHOOSE(CONTROL!$C$21, $C$9, 100%, $E$9)</f>
        <v>57.100700000000003</v>
      </c>
      <c r="J751" s="14">
        <f>CHOOSE(CONTROL!$C$42, 56.8916, 56.8916)* CHOOSE(CONTROL!$C$21, $C$9, 100%, $E$9)</f>
        <v>56.891599999999997</v>
      </c>
      <c r="K751" s="53">
        <f>CHOOSE(CONTROL!$C$42, 57.0968, 57.0968) * CHOOSE(CONTROL!$C$21, $C$9, 100%, $E$9)</f>
        <v>57.096800000000002</v>
      </c>
      <c r="L751" s="14">
        <f>CHOOSE(CONTROL!$C$42, 57.736, 57.736) * CHOOSE(CONTROL!$C$21, $C$9, 100%, $E$9)</f>
        <v>57.735999999999997</v>
      </c>
      <c r="M751" s="14">
        <f>CHOOSE(CONTROL!$C$42, 55.7336, 55.7336) * CHOOSE(CONTROL!$C$21, $C$9, 100%, $E$9)</f>
        <v>55.733600000000003</v>
      </c>
      <c r="N751" s="14">
        <f>CHOOSE(CONTROL!$C$42, 55.7492, 55.7492) * CHOOSE(CONTROL!$C$21, $C$9, 100%, $E$9)</f>
        <v>55.749200000000002</v>
      </c>
      <c r="O751" s="14">
        <f>CHOOSE(CONTROL!$C$42, 55.9858, 55.9858) * CHOOSE(CONTROL!$C$21, $C$9, 100%, $E$9)</f>
        <v>55.985799999999998</v>
      </c>
      <c r="P751" s="14">
        <f>CHOOSE(CONTROL!$C$42, 55.9349, 55.9349) * CHOOSE(CONTROL!$C$21, $C$9, 100%, $E$9)</f>
        <v>55.934899999999999</v>
      </c>
      <c r="Q751" s="14">
        <f>CHOOSE(CONTROL!$C$42, 56.5805, 56.5805) * CHOOSE(CONTROL!$C$21, $C$9, 100%, $E$9)</f>
        <v>56.580500000000001</v>
      </c>
      <c r="R751" s="14">
        <f>CHOOSE(CONTROL!$C$42, 57.3089, 57.3089) * CHOOSE(CONTROL!$C$21, $C$9, 100%, $E$9)</f>
        <v>57.308900000000001</v>
      </c>
      <c r="S751" s="14">
        <f>CHOOSE(CONTROL!$C$42, 54.6809, 54.6809) * CHOOSE(CONTROL!$C$21, $C$9, 100%, $E$9)</f>
        <v>54.680900000000001</v>
      </c>
      <c r="T75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51" s="57">
        <f>(1000*CHOOSE(CONTROL!$C$42, 695, 695)*CHOOSE(CONTROL!$C$42, 0.5599, 0.5599)*CHOOSE(CONTROL!$C$42, 31, 31))/1000000</f>
        <v>12.063045499999998</v>
      </c>
      <c r="V751" s="57">
        <f>(1000*CHOOSE(CONTROL!$C$42, 500, 500)*CHOOSE(CONTROL!$C$42, 0.275, 0.275)*CHOOSE(CONTROL!$C$42, 31, 31))/1000000</f>
        <v>4.2625000000000002</v>
      </c>
      <c r="W751" s="57">
        <f>(1000*CHOOSE(CONTROL!$C$42, 0.1146, 0.1146)*CHOOSE(CONTROL!$C$42, 121.5, 121.5)*CHOOSE(CONTROL!$C$42, 31, 31))/1000000</f>
        <v>0.43164089999999994</v>
      </c>
      <c r="X751" s="57">
        <f>(31*0.1790888*245000/1000000)+(31*0.2374*100000/1000000)</f>
        <v>2.0961194359999999</v>
      </c>
      <c r="Y751" s="57"/>
      <c r="Z751" s="14"/>
      <c r="AA751" s="56"/>
      <c r="AB751" s="50">
        <f>(B751*194.205+C751*267.466+D751*133.845+E751*53.484+F751*40+G751*185+H751*0+I751*100+J751*300)/(194.205+267.466+133.845+53.484+0+40+185+100+300)</f>
        <v>56.958656977315542</v>
      </c>
      <c r="AC751" s="45">
        <f>(M751*'RAP TEMPLATE-GAS AVAILABILITY'!O750+N751*'RAP TEMPLATE-GAS AVAILABILITY'!P750+O751*'RAP TEMPLATE-GAS AVAILABILITY'!Q750+P751*'RAP TEMPLATE-GAS AVAILABILITY'!R750)/('RAP TEMPLATE-GAS AVAILABILITY'!O750+'RAP TEMPLATE-GAS AVAILABILITY'!P750+'RAP TEMPLATE-GAS AVAILABILITY'!Q750+'RAP TEMPLATE-GAS AVAILABILITY'!R750)</f>
        <v>55.87776834532373</v>
      </c>
    </row>
    <row r="752" spans="1:29" ht="15.75" x14ac:dyDescent="0.25">
      <c r="A752" s="32">
        <v>63797</v>
      </c>
      <c r="B752" s="14">
        <f>CHOOSE(CONTROL!$C$42, 54.1062, 54.1062) * CHOOSE(CONTROL!$C$21, $C$9, 100%, $E$9)</f>
        <v>54.106200000000001</v>
      </c>
      <c r="C752" s="14">
        <f>CHOOSE(CONTROL!$C$42, 54.1142, 54.1142) * CHOOSE(CONTROL!$C$21, $C$9, 100%, $E$9)</f>
        <v>54.114199999999997</v>
      </c>
      <c r="D752" s="14">
        <f>CHOOSE(CONTROL!$C$42, 54.3181, 54.3181) * CHOOSE(CONTROL!$C$21, $C$9, 100%, $E$9)</f>
        <v>54.318100000000001</v>
      </c>
      <c r="E752" s="14">
        <f>CHOOSE(CONTROL!$C$42, 54.3496, 54.3496) * CHOOSE(CONTROL!$C$21, $C$9, 100%, $E$9)</f>
        <v>54.349600000000002</v>
      </c>
      <c r="F752" s="14">
        <f>CHOOSE(CONTROL!$C$42, 54.088, 54.088)*CHOOSE(CONTROL!$C$21, $C$9, 100%, $E$9)</f>
        <v>54.088000000000001</v>
      </c>
      <c r="G752" s="14">
        <f>CHOOSE(CONTROL!$C$42, 54.104, 54.104)*CHOOSE(CONTROL!$C$21, $C$9, 100%, $E$9)</f>
        <v>54.103999999999999</v>
      </c>
      <c r="H752" s="14">
        <f>CHOOSE(CONTROL!$C$42, 54.3382, 54.3382) * CHOOSE(CONTROL!$C$21, $C$9, 100%, $E$9)</f>
        <v>54.338200000000001</v>
      </c>
      <c r="I752" s="14">
        <f>CHOOSE(CONTROL!$C$42, 54.281, 54.281)* CHOOSE(CONTROL!$C$21, $C$9, 100%, $E$9)</f>
        <v>54.280999999999999</v>
      </c>
      <c r="J752" s="14">
        <f>CHOOSE(CONTROL!$C$42, 54.081, 54.081)* CHOOSE(CONTROL!$C$21, $C$9, 100%, $E$9)</f>
        <v>54.081000000000003</v>
      </c>
      <c r="K752" s="53">
        <f>CHOOSE(CONTROL!$C$42, 54.2772, 54.2772) * CHOOSE(CONTROL!$C$21, $C$9, 100%, $E$9)</f>
        <v>54.277200000000001</v>
      </c>
      <c r="L752" s="14">
        <f>CHOOSE(CONTROL!$C$42, 54.9252, 54.9252) * CHOOSE(CONTROL!$C$21, $C$9, 100%, $E$9)</f>
        <v>54.925199999999997</v>
      </c>
      <c r="M752" s="14">
        <f>CHOOSE(CONTROL!$C$42, 52.9806, 52.9806) * CHOOSE(CONTROL!$C$21, $C$9, 100%, $E$9)</f>
        <v>52.980600000000003</v>
      </c>
      <c r="N752" s="14">
        <f>CHOOSE(CONTROL!$C$42, 52.9962, 52.9962) * CHOOSE(CONTROL!$C$21, $C$9, 100%, $E$9)</f>
        <v>52.996200000000002</v>
      </c>
      <c r="O752" s="14">
        <f>CHOOSE(CONTROL!$C$42, 53.2326, 53.2326) * CHOOSE(CONTROL!$C$21, $C$9, 100%, $E$9)</f>
        <v>53.232599999999998</v>
      </c>
      <c r="P752" s="14">
        <f>CHOOSE(CONTROL!$C$42, 53.1732, 53.1732) * CHOOSE(CONTROL!$C$21, $C$9, 100%, $E$9)</f>
        <v>53.173200000000001</v>
      </c>
      <c r="Q752" s="14">
        <f>CHOOSE(CONTROL!$C$42, 53.8273, 53.8273) * CHOOSE(CONTROL!$C$21, $C$9, 100%, $E$9)</f>
        <v>53.827300000000001</v>
      </c>
      <c r="R752" s="14">
        <f>CHOOSE(CONTROL!$C$42, 54.5488, 54.5488) * CHOOSE(CONTROL!$C$21, $C$9, 100%, $E$9)</f>
        <v>54.5488</v>
      </c>
      <c r="S752" s="14">
        <f>CHOOSE(CONTROL!$C$42, 51.98, 51.98) * CHOOSE(CONTROL!$C$21, $C$9, 100%, $E$9)</f>
        <v>51.98</v>
      </c>
      <c r="T75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52" s="57">
        <f>(1000*CHOOSE(CONTROL!$C$42, 695, 695)*CHOOSE(CONTROL!$C$42, 0.5599, 0.5599)*CHOOSE(CONTROL!$C$42, 31, 31))/1000000</f>
        <v>12.063045499999998</v>
      </c>
      <c r="V752" s="57">
        <f>(1000*CHOOSE(CONTROL!$C$42, 500, 500)*CHOOSE(CONTROL!$C$42, 0.275, 0.275)*CHOOSE(CONTROL!$C$42, 31, 31))/1000000</f>
        <v>4.2625000000000002</v>
      </c>
      <c r="W752" s="57">
        <f>(1000*CHOOSE(CONTROL!$C$42, 0.1146, 0.1146)*CHOOSE(CONTROL!$C$42, 121.5, 121.5)*CHOOSE(CONTROL!$C$42, 31, 31))/1000000</f>
        <v>0.43164089999999994</v>
      </c>
      <c r="X752" s="57">
        <f>(31*0.1790888*245000/1000000)+(31*0.2374*100000/1000000)</f>
        <v>2.0961194359999999</v>
      </c>
      <c r="Y752" s="57"/>
      <c r="Z752" s="14"/>
      <c r="AA752" s="56"/>
      <c r="AB752" s="50">
        <f>(B752*194.205+C752*267.466+D752*133.845+E752*53.484+F752*40+G752*185+H752*0+I752*100+J752*300)/(194.205+267.466+133.845+53.484+0+40+185+100+300)</f>
        <v>54.147255328963887</v>
      </c>
      <c r="AC752" s="45">
        <f>(M752*'RAP TEMPLATE-GAS AVAILABILITY'!O751+N752*'RAP TEMPLATE-GAS AVAILABILITY'!P751+O752*'RAP TEMPLATE-GAS AVAILABILITY'!Q751+P752*'RAP TEMPLATE-GAS AVAILABILITY'!R751)/('RAP TEMPLATE-GAS AVAILABILITY'!O751+'RAP TEMPLATE-GAS AVAILABILITY'!P751+'RAP TEMPLATE-GAS AVAILABILITY'!Q751+'RAP TEMPLATE-GAS AVAILABILITY'!R751)</f>
        <v>53.123425899280576</v>
      </c>
    </row>
    <row r="753" spans="1:29" ht="15.75" x14ac:dyDescent="0.25">
      <c r="A753" s="32">
        <v>63827</v>
      </c>
      <c r="B753" s="14">
        <f>CHOOSE(CONTROL!$C$42, 50.6715, 50.6715) * CHOOSE(CONTROL!$C$21, $C$9, 100%, $E$9)</f>
        <v>50.671500000000002</v>
      </c>
      <c r="C753" s="14">
        <f>CHOOSE(CONTROL!$C$42, 50.6795, 50.6795) * CHOOSE(CONTROL!$C$21, $C$9, 100%, $E$9)</f>
        <v>50.679499999999997</v>
      </c>
      <c r="D753" s="14">
        <f>CHOOSE(CONTROL!$C$42, 50.8834, 50.8834) * CHOOSE(CONTROL!$C$21, $C$9, 100%, $E$9)</f>
        <v>50.883400000000002</v>
      </c>
      <c r="E753" s="14">
        <f>CHOOSE(CONTROL!$C$42, 50.9149, 50.9149) * CHOOSE(CONTROL!$C$21, $C$9, 100%, $E$9)</f>
        <v>50.914900000000003</v>
      </c>
      <c r="F753" s="14">
        <f>CHOOSE(CONTROL!$C$42, 50.6534, 50.6534)*CHOOSE(CONTROL!$C$21, $C$9, 100%, $E$9)</f>
        <v>50.653399999999998</v>
      </c>
      <c r="G753" s="14">
        <f>CHOOSE(CONTROL!$C$42, 50.6693, 50.6693)*CHOOSE(CONTROL!$C$21, $C$9, 100%, $E$9)</f>
        <v>50.6693</v>
      </c>
      <c r="H753" s="14">
        <f>CHOOSE(CONTROL!$C$42, 50.9035, 50.9035) * CHOOSE(CONTROL!$C$21, $C$9, 100%, $E$9)</f>
        <v>50.903500000000001</v>
      </c>
      <c r="I753" s="14">
        <f>CHOOSE(CONTROL!$C$42, 50.8356, 50.8356)* CHOOSE(CONTROL!$C$21, $C$9, 100%, $E$9)</f>
        <v>50.835599999999999</v>
      </c>
      <c r="J753" s="14">
        <f>CHOOSE(CONTROL!$C$42, 50.6464, 50.6464)* CHOOSE(CONTROL!$C$21, $C$9, 100%, $E$9)</f>
        <v>50.6464</v>
      </c>
      <c r="K753" s="53">
        <f>CHOOSE(CONTROL!$C$42, 50.8317, 50.8317) * CHOOSE(CONTROL!$C$21, $C$9, 100%, $E$9)</f>
        <v>50.831699999999998</v>
      </c>
      <c r="L753" s="14">
        <f>CHOOSE(CONTROL!$C$42, 51.4905, 51.4905) * CHOOSE(CONTROL!$C$21, $C$9, 100%, $E$9)</f>
        <v>51.490499999999997</v>
      </c>
      <c r="M753" s="14">
        <f>CHOOSE(CONTROL!$C$42, 49.6163, 49.6163) * CHOOSE(CONTROL!$C$21, $C$9, 100%, $E$9)</f>
        <v>49.616300000000003</v>
      </c>
      <c r="N753" s="14">
        <f>CHOOSE(CONTROL!$C$42, 49.632, 49.632) * CHOOSE(CONTROL!$C$21, $C$9, 100%, $E$9)</f>
        <v>49.631999999999998</v>
      </c>
      <c r="O753" s="14">
        <f>CHOOSE(CONTROL!$C$42, 49.8682, 49.8682) * CHOOSE(CONTROL!$C$21, $C$9, 100%, $E$9)</f>
        <v>49.868200000000002</v>
      </c>
      <c r="P753" s="14">
        <f>CHOOSE(CONTROL!$C$42, 49.7986, 49.7986) * CHOOSE(CONTROL!$C$21, $C$9, 100%, $E$9)</f>
        <v>49.7986</v>
      </c>
      <c r="Q753" s="14">
        <f>CHOOSE(CONTROL!$C$42, 50.4629, 50.4629) * CHOOSE(CONTROL!$C$21, $C$9, 100%, $E$9)</f>
        <v>50.462899999999998</v>
      </c>
      <c r="R753" s="14">
        <f>CHOOSE(CONTROL!$C$42, 51.1761, 51.1761) * CHOOSE(CONTROL!$C$21, $C$9, 100%, $E$9)</f>
        <v>51.176099999999998</v>
      </c>
      <c r="S753" s="14">
        <f>CHOOSE(CONTROL!$C$42, 48.6796, 48.6796) * CHOOSE(CONTROL!$C$21, $C$9, 100%, $E$9)</f>
        <v>48.679600000000001</v>
      </c>
      <c r="T75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53" s="57">
        <f>(1000*CHOOSE(CONTROL!$C$42, 695, 695)*CHOOSE(CONTROL!$C$42, 0.5599, 0.5599)*CHOOSE(CONTROL!$C$42, 30, 30))/1000000</f>
        <v>11.673914999999997</v>
      </c>
      <c r="V753" s="57">
        <f>(1000*CHOOSE(CONTROL!$C$42, 500, 500)*CHOOSE(CONTROL!$C$42, 0.275, 0.275)*CHOOSE(CONTROL!$C$42, 30, 30))/1000000</f>
        <v>4.125</v>
      </c>
      <c r="W753" s="57">
        <f>(1000*CHOOSE(CONTROL!$C$42, 0.1146, 0.1146)*CHOOSE(CONTROL!$C$42, 121.5, 121.5)*CHOOSE(CONTROL!$C$42, 30, 30))/1000000</f>
        <v>0.417717</v>
      </c>
      <c r="X753" s="57">
        <f>(30*0.1790888*245000/1000000)+(30*0.2374*100000/1000000)</f>
        <v>2.0285026799999999</v>
      </c>
      <c r="Y753" s="57"/>
      <c r="Z753" s="14"/>
      <c r="AA753" s="56"/>
      <c r="AB753" s="50">
        <f>(B753*194.205+C753*267.466+D753*133.845+E753*53.484+F753*40+G753*185+H753*0+I753*100+J753*300)/(194.205+267.466+133.845+53.484+0+40+185+100+300)</f>
        <v>50.711742142150705</v>
      </c>
      <c r="AC753" s="45">
        <f>(M753*'RAP TEMPLATE-GAS AVAILABILITY'!O752+N753*'RAP TEMPLATE-GAS AVAILABILITY'!P752+O753*'RAP TEMPLATE-GAS AVAILABILITY'!Q752+P753*'RAP TEMPLATE-GAS AVAILABILITY'!R752)/('RAP TEMPLATE-GAS AVAILABILITY'!O752+'RAP TEMPLATE-GAS AVAILABILITY'!P752+'RAP TEMPLATE-GAS AVAILABILITY'!Q752+'RAP TEMPLATE-GAS AVAILABILITY'!R752)</f>
        <v>49.757604316546768</v>
      </c>
    </row>
    <row r="754" spans="1:29" ht="15.75" x14ac:dyDescent="0.25">
      <c r="A754" s="32">
        <v>63858</v>
      </c>
      <c r="B754" s="14">
        <f>CHOOSE(CONTROL!$C$42, 49.6411, 49.6411) * CHOOSE(CONTROL!$C$21, $C$9, 100%, $E$9)</f>
        <v>49.641100000000002</v>
      </c>
      <c r="C754" s="14">
        <f>CHOOSE(CONTROL!$C$42, 49.6464, 49.6464) * CHOOSE(CONTROL!$C$21, $C$9, 100%, $E$9)</f>
        <v>49.6464</v>
      </c>
      <c r="D754" s="14">
        <f>CHOOSE(CONTROL!$C$42, 49.8553, 49.8553) * CHOOSE(CONTROL!$C$21, $C$9, 100%, $E$9)</f>
        <v>49.8553</v>
      </c>
      <c r="E754" s="14">
        <f>CHOOSE(CONTROL!$C$42, 49.8844, 49.8844) * CHOOSE(CONTROL!$C$21, $C$9, 100%, $E$9)</f>
        <v>49.884399999999999</v>
      </c>
      <c r="F754" s="14">
        <f>CHOOSE(CONTROL!$C$42, 49.6251, 49.6251)*CHOOSE(CONTROL!$C$21, $C$9, 100%, $E$9)</f>
        <v>49.625100000000003</v>
      </c>
      <c r="G754" s="14">
        <f>CHOOSE(CONTROL!$C$42, 49.6407, 49.6407)*CHOOSE(CONTROL!$C$21, $C$9, 100%, $E$9)</f>
        <v>49.640700000000002</v>
      </c>
      <c r="H754" s="14">
        <f>CHOOSE(CONTROL!$C$42, 49.8749, 49.8749) * CHOOSE(CONTROL!$C$21, $C$9, 100%, $E$9)</f>
        <v>49.874899999999997</v>
      </c>
      <c r="I754" s="14">
        <f>CHOOSE(CONTROL!$C$42, 49.8038, 49.8038)* CHOOSE(CONTROL!$C$21, $C$9, 100%, $E$9)</f>
        <v>49.803800000000003</v>
      </c>
      <c r="J754" s="14">
        <f>CHOOSE(CONTROL!$C$42, 49.6181, 49.6181)* CHOOSE(CONTROL!$C$21, $C$9, 100%, $E$9)</f>
        <v>49.618099999999998</v>
      </c>
      <c r="K754" s="53">
        <f>CHOOSE(CONTROL!$C$42, 49.7999, 49.7999) * CHOOSE(CONTROL!$C$21, $C$9, 100%, $E$9)</f>
        <v>49.799900000000001</v>
      </c>
      <c r="L754" s="14">
        <f>CHOOSE(CONTROL!$C$42, 50.4619, 50.4619) * CHOOSE(CONTROL!$C$21, $C$9, 100%, $E$9)</f>
        <v>50.4619</v>
      </c>
      <c r="M754" s="14">
        <f>CHOOSE(CONTROL!$C$42, 48.6091, 48.6091) * CHOOSE(CONTROL!$C$21, $C$9, 100%, $E$9)</f>
        <v>48.609099999999998</v>
      </c>
      <c r="N754" s="14">
        <f>CHOOSE(CONTROL!$C$42, 48.6245, 48.6245) * CHOOSE(CONTROL!$C$21, $C$9, 100%, $E$9)</f>
        <v>48.624499999999998</v>
      </c>
      <c r="O754" s="14">
        <f>CHOOSE(CONTROL!$C$42, 48.8607, 48.8607) * CHOOSE(CONTROL!$C$21, $C$9, 100%, $E$9)</f>
        <v>48.860700000000001</v>
      </c>
      <c r="P754" s="14">
        <f>CHOOSE(CONTROL!$C$42, 48.788, 48.788) * CHOOSE(CONTROL!$C$21, $C$9, 100%, $E$9)</f>
        <v>48.787999999999997</v>
      </c>
      <c r="Q754" s="14">
        <f>CHOOSE(CONTROL!$C$42, 49.4554, 49.4554) * CHOOSE(CONTROL!$C$21, $C$9, 100%, $E$9)</f>
        <v>49.455399999999997</v>
      </c>
      <c r="R754" s="14">
        <f>CHOOSE(CONTROL!$C$42, 50.166, 50.166) * CHOOSE(CONTROL!$C$21, $C$9, 100%, $E$9)</f>
        <v>50.165999999999997</v>
      </c>
      <c r="S754" s="14">
        <f>CHOOSE(CONTROL!$C$42, 47.6912, 47.6912) * CHOOSE(CONTROL!$C$21, $C$9, 100%, $E$9)</f>
        <v>47.691200000000002</v>
      </c>
      <c r="T75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54" s="57">
        <f>(1000*CHOOSE(CONTROL!$C$42, 695, 695)*CHOOSE(CONTROL!$C$42, 0.5599, 0.5599)*CHOOSE(CONTROL!$C$42, 31, 31))/1000000</f>
        <v>12.063045499999998</v>
      </c>
      <c r="V754" s="57">
        <f>(1000*CHOOSE(CONTROL!$C$42, 500, 500)*CHOOSE(CONTROL!$C$42, 0.275, 0.275)*CHOOSE(CONTROL!$C$42, 31, 31))/1000000</f>
        <v>4.2625000000000002</v>
      </c>
      <c r="W754" s="57">
        <f>(1000*CHOOSE(CONTROL!$C$42, 0.1146, 0.1146)*CHOOSE(CONTROL!$C$42, 121.5, 121.5)*CHOOSE(CONTROL!$C$42, 31, 31))/1000000</f>
        <v>0.43164089999999994</v>
      </c>
      <c r="X754" s="57">
        <f>(31*0.1790888*245000/1000000)+(31*0.2374*100000/1000000)</f>
        <v>2.0961194359999999</v>
      </c>
      <c r="Y754" s="57"/>
      <c r="Z754" s="14"/>
      <c r="AA754" s="56"/>
      <c r="AB754" s="50">
        <f>(B754*131.881+C754*277.167+D754*79.08+E754*125.872+F754*40+G754*185+H754*0+I754*100+J754*300)/(131.881+277.167+79.08+125.872+0+40+185+100+300)</f>
        <v>49.687660596206612</v>
      </c>
      <c r="AC754" s="45">
        <f>(M754*'RAP TEMPLATE-GAS AVAILABILITY'!O753+N754*'RAP TEMPLATE-GAS AVAILABILITY'!P753+O754*'RAP TEMPLATE-GAS AVAILABILITY'!Q753+P754*'RAP TEMPLATE-GAS AVAILABILITY'!R753)/('RAP TEMPLATE-GAS AVAILABILITY'!O753+'RAP TEMPLATE-GAS AVAILABILITY'!P753+'RAP TEMPLATE-GAS AVAILABILITY'!Q753+'RAP TEMPLATE-GAS AVAILABILITY'!R753)</f>
        <v>48.74976187050359</v>
      </c>
    </row>
    <row r="755" spans="1:29" ht="15.75" x14ac:dyDescent="0.25">
      <c r="A755" s="32">
        <v>63888</v>
      </c>
      <c r="B755" s="14">
        <f>CHOOSE(CONTROL!$C$42, 50.9482, 50.9482) * CHOOSE(CONTROL!$C$21, $C$9, 100%, $E$9)</f>
        <v>50.9482</v>
      </c>
      <c r="C755" s="14">
        <f>CHOOSE(CONTROL!$C$42, 50.9533, 50.9533) * CHOOSE(CONTROL!$C$21, $C$9, 100%, $E$9)</f>
        <v>50.953299999999999</v>
      </c>
      <c r="D755" s="14">
        <f>CHOOSE(CONTROL!$C$42, 51.0171, 51.0171) * CHOOSE(CONTROL!$C$21, $C$9, 100%, $E$9)</f>
        <v>51.017099999999999</v>
      </c>
      <c r="E755" s="14">
        <f>CHOOSE(CONTROL!$C$42, 51.0512, 51.0512) * CHOOSE(CONTROL!$C$21, $C$9, 100%, $E$9)</f>
        <v>51.051200000000001</v>
      </c>
      <c r="F755" s="14">
        <f>CHOOSE(CONTROL!$C$42, 50.9506, 50.9506)*CHOOSE(CONTROL!$C$21, $C$9, 100%, $E$9)</f>
        <v>50.950600000000001</v>
      </c>
      <c r="G755" s="14">
        <f>CHOOSE(CONTROL!$C$42, 50.9666, 50.9666)*CHOOSE(CONTROL!$C$21, $C$9, 100%, $E$9)</f>
        <v>50.9666</v>
      </c>
      <c r="H755" s="14">
        <f>CHOOSE(CONTROL!$C$42, 51.0404, 51.0404) * CHOOSE(CONTROL!$C$21, $C$9, 100%, $E$9)</f>
        <v>51.040399999999998</v>
      </c>
      <c r="I755" s="14">
        <f>CHOOSE(CONTROL!$C$42, 51.1206, 51.1206)* CHOOSE(CONTROL!$C$21, $C$9, 100%, $E$9)</f>
        <v>51.120600000000003</v>
      </c>
      <c r="J755" s="14">
        <f>CHOOSE(CONTROL!$C$42, 50.9436, 50.9436)* CHOOSE(CONTROL!$C$21, $C$9, 100%, $E$9)</f>
        <v>50.943600000000004</v>
      </c>
      <c r="K755" s="53">
        <f>CHOOSE(CONTROL!$C$42, 51.1167, 51.1167) * CHOOSE(CONTROL!$C$21, $C$9, 100%, $E$9)</f>
        <v>51.116700000000002</v>
      </c>
      <c r="L755" s="14">
        <f>CHOOSE(CONTROL!$C$42, 51.6274, 51.6274) * CHOOSE(CONTROL!$C$21, $C$9, 100%, $E$9)</f>
        <v>51.627400000000002</v>
      </c>
      <c r="M755" s="14">
        <f>CHOOSE(CONTROL!$C$42, 49.9075, 49.9075) * CHOOSE(CONTROL!$C$21, $C$9, 100%, $E$9)</f>
        <v>49.907499999999999</v>
      </c>
      <c r="N755" s="14">
        <f>CHOOSE(CONTROL!$C$42, 49.9232, 49.9232) * CHOOSE(CONTROL!$C$21, $C$9, 100%, $E$9)</f>
        <v>49.923200000000001</v>
      </c>
      <c r="O755" s="14">
        <f>CHOOSE(CONTROL!$C$42, 50.0023, 50.0023) * CHOOSE(CONTROL!$C$21, $C$9, 100%, $E$9)</f>
        <v>50.002299999999998</v>
      </c>
      <c r="P755" s="14">
        <f>CHOOSE(CONTROL!$C$42, 50.0777, 50.0777) * CHOOSE(CONTROL!$C$21, $C$9, 100%, $E$9)</f>
        <v>50.0777</v>
      </c>
      <c r="Q755" s="14">
        <f>CHOOSE(CONTROL!$C$42, 50.597, 50.597) * CHOOSE(CONTROL!$C$21, $C$9, 100%, $E$9)</f>
        <v>50.597000000000001</v>
      </c>
      <c r="R755" s="14">
        <f>CHOOSE(CONTROL!$C$42, 51.3105, 51.3105) * CHOOSE(CONTROL!$C$21, $C$9, 100%, $E$9)</f>
        <v>51.310499999999998</v>
      </c>
      <c r="S755" s="14">
        <f>CHOOSE(CONTROL!$C$42, 48.9476, 48.9476) * CHOOSE(CONTROL!$C$21, $C$9, 100%, $E$9)</f>
        <v>48.947600000000001</v>
      </c>
      <c r="T75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55" s="57">
        <f>(1000*CHOOSE(CONTROL!$C$42, 695, 695)*CHOOSE(CONTROL!$C$42, 0.5599, 0.5599)*CHOOSE(CONTROL!$C$42, 30, 30))/1000000</f>
        <v>11.673914999999997</v>
      </c>
      <c r="V755" s="57">
        <f>(1000*CHOOSE(CONTROL!$C$42, 500, 500)*CHOOSE(CONTROL!$C$42, 0.275, 0.275)*CHOOSE(CONTROL!$C$42, 30, 30))/1000000</f>
        <v>4.125</v>
      </c>
      <c r="W755" s="57">
        <f>(1000*CHOOSE(CONTROL!$C$42, 0.1146, 0.1146)*CHOOSE(CONTROL!$C$42, 121.5, 121.5)*CHOOSE(CONTROL!$C$42, 30, 30))/1000000</f>
        <v>0.417717</v>
      </c>
      <c r="X755" s="57">
        <f>(30*0.1790888*100000/1000000)+(30*0.2374*100000/1000000)</f>
        <v>1.2494664</v>
      </c>
      <c r="Y755" s="57"/>
      <c r="Z755" s="14"/>
      <c r="AA755" s="56"/>
      <c r="AB755" s="50">
        <f>(B755*122.58+C755*297.941+D755*89.177+E755*40.302+F755*40+G755*160+H755*0+I755*100+J755*300)/(122.58+297.941+89.177+40.302+0+40+160+100+300)</f>
        <v>50.974908609043482</v>
      </c>
      <c r="AC755" s="45">
        <f>(M755*'RAP TEMPLATE-GAS AVAILABILITY'!O754+N755*'RAP TEMPLATE-GAS AVAILABILITY'!P754+O755*'RAP TEMPLATE-GAS AVAILABILITY'!Q754+P755*'RAP TEMPLATE-GAS AVAILABILITY'!R754)/('RAP TEMPLATE-GAS AVAILABILITY'!O754+'RAP TEMPLATE-GAS AVAILABILITY'!P754+'RAP TEMPLATE-GAS AVAILABILITY'!Q754+'RAP TEMPLATE-GAS AVAILABILITY'!R754)</f>
        <v>49.975859712230218</v>
      </c>
    </row>
    <row r="756" spans="1:29" ht="15.75" x14ac:dyDescent="0.25">
      <c r="A756" s="32">
        <v>63919</v>
      </c>
      <c r="B756" s="14">
        <f>CHOOSE(CONTROL!$C$42, 54.4212, 54.4212) * CHOOSE(CONTROL!$C$21, $C$9, 100%, $E$9)</f>
        <v>54.421199999999999</v>
      </c>
      <c r="C756" s="14">
        <f>CHOOSE(CONTROL!$C$42, 54.4262, 54.4262) * CHOOSE(CONTROL!$C$21, $C$9, 100%, $E$9)</f>
        <v>54.426200000000001</v>
      </c>
      <c r="D756" s="14">
        <f>CHOOSE(CONTROL!$C$42, 54.49, 54.49) * CHOOSE(CONTROL!$C$21, $C$9, 100%, $E$9)</f>
        <v>54.49</v>
      </c>
      <c r="E756" s="14">
        <f>CHOOSE(CONTROL!$C$42, 54.5241, 54.5241) * CHOOSE(CONTROL!$C$21, $C$9, 100%, $E$9)</f>
        <v>54.524099999999997</v>
      </c>
      <c r="F756" s="14">
        <f>CHOOSE(CONTROL!$C$42, 54.4258, 54.4258)*CHOOSE(CONTROL!$C$21, $C$9, 100%, $E$9)</f>
        <v>54.425800000000002</v>
      </c>
      <c r="G756" s="14">
        <f>CHOOSE(CONTROL!$C$42, 54.4424, 54.4424)*CHOOSE(CONTROL!$C$21, $C$9, 100%, $E$9)</f>
        <v>54.442399999999999</v>
      </c>
      <c r="H756" s="14">
        <f>CHOOSE(CONTROL!$C$42, 54.5133, 54.5133) * CHOOSE(CONTROL!$C$21, $C$9, 100%, $E$9)</f>
        <v>54.513300000000001</v>
      </c>
      <c r="I756" s="14">
        <f>CHOOSE(CONTROL!$C$42, 54.6044, 54.6044)* CHOOSE(CONTROL!$C$21, $C$9, 100%, $E$9)</f>
        <v>54.604399999999998</v>
      </c>
      <c r="J756" s="14">
        <f>CHOOSE(CONTROL!$C$42, 54.4188, 54.4188)* CHOOSE(CONTROL!$C$21, $C$9, 100%, $E$9)</f>
        <v>54.418799999999997</v>
      </c>
      <c r="K756" s="53">
        <f>CHOOSE(CONTROL!$C$42, 54.6006, 54.6006) * CHOOSE(CONTROL!$C$21, $C$9, 100%, $E$9)</f>
        <v>54.6006</v>
      </c>
      <c r="L756" s="14">
        <f>CHOOSE(CONTROL!$C$42, 55.1003, 55.1003) * CHOOSE(CONTROL!$C$21, $C$9, 100%, $E$9)</f>
        <v>55.100299999999997</v>
      </c>
      <c r="M756" s="14">
        <f>CHOOSE(CONTROL!$C$42, 53.3115, 53.3115) * CHOOSE(CONTROL!$C$21, $C$9, 100%, $E$9)</f>
        <v>53.311500000000002</v>
      </c>
      <c r="N756" s="14">
        <f>CHOOSE(CONTROL!$C$42, 53.3278, 53.3278) * CHOOSE(CONTROL!$C$21, $C$9, 100%, $E$9)</f>
        <v>53.327800000000003</v>
      </c>
      <c r="O756" s="14">
        <f>CHOOSE(CONTROL!$C$42, 53.4041, 53.4041) * CHOOSE(CONTROL!$C$21, $C$9, 100%, $E$9)</f>
        <v>53.4041</v>
      </c>
      <c r="P756" s="14">
        <f>CHOOSE(CONTROL!$C$42, 53.49, 53.49) * CHOOSE(CONTROL!$C$21, $C$9, 100%, $E$9)</f>
        <v>53.49</v>
      </c>
      <c r="Q756" s="14">
        <f>CHOOSE(CONTROL!$C$42, 53.9988, 53.9988) * CHOOSE(CONTROL!$C$21, $C$9, 100%, $E$9)</f>
        <v>53.998800000000003</v>
      </c>
      <c r="R756" s="14">
        <f>CHOOSE(CONTROL!$C$42, 54.7208, 54.7208) * CHOOSE(CONTROL!$C$21, $C$9, 100%, $E$9)</f>
        <v>54.720799999999997</v>
      </c>
      <c r="S756" s="14">
        <f>CHOOSE(CONTROL!$C$42, 52.2848, 52.2848) * CHOOSE(CONTROL!$C$21, $C$9, 100%, $E$9)</f>
        <v>52.284799999999997</v>
      </c>
      <c r="T75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56" s="57">
        <f>(1000*CHOOSE(CONTROL!$C$42, 695, 695)*CHOOSE(CONTROL!$C$42, 0.5599, 0.5599)*CHOOSE(CONTROL!$C$42, 31, 31))/1000000</f>
        <v>12.063045499999998</v>
      </c>
      <c r="V756" s="57">
        <f>(1000*CHOOSE(CONTROL!$C$42, 500, 500)*CHOOSE(CONTROL!$C$42, 0.275, 0.275)*CHOOSE(CONTROL!$C$42, 31, 31))/1000000</f>
        <v>4.2625000000000002</v>
      </c>
      <c r="W756" s="57">
        <f>(1000*CHOOSE(CONTROL!$C$42, 0.1146, 0.1146)*CHOOSE(CONTROL!$C$42, 121.5, 121.5)*CHOOSE(CONTROL!$C$42, 31, 31))/1000000</f>
        <v>0.43164089999999994</v>
      </c>
      <c r="X756" s="57">
        <f>(31*0.1790888*100000/1000000)+(31*0.2374*100000/1000000)</f>
        <v>1.2911152800000001</v>
      </c>
      <c r="Y756" s="57"/>
      <c r="Z756" s="14"/>
      <c r="AA756" s="56"/>
      <c r="AB756" s="50">
        <f>(B756*122.58+C756*297.941+D756*89.177+E756*40.302+F756*40+G756*160+H756*0+I756*100+J756*300)/(122.58+297.941+89.177+40.302+0+40+160+100+300)</f>
        <v>54.44985057252174</v>
      </c>
      <c r="AC756" s="45">
        <f>(M756*'RAP TEMPLATE-GAS AVAILABILITY'!O755+N756*'RAP TEMPLATE-GAS AVAILABILITY'!P755+O756*'RAP TEMPLATE-GAS AVAILABILITY'!Q755+P756*'RAP TEMPLATE-GAS AVAILABILITY'!R755)/('RAP TEMPLATE-GAS AVAILABILITY'!O755+'RAP TEMPLATE-GAS AVAILABILITY'!P755+'RAP TEMPLATE-GAS AVAILABILITY'!Q755+'RAP TEMPLATE-GAS AVAILABILITY'!R755)</f>
        <v>53.38009136690647</v>
      </c>
    </row>
    <row r="757" spans="1:29" ht="15.75" x14ac:dyDescent="0.25">
      <c r="A757" s="32">
        <v>63950</v>
      </c>
      <c r="B757" s="14">
        <f>CHOOSE(CONTROL!$C$42, 58.8782, 58.8782) * CHOOSE(CONTROL!$C$21, $C$9, 100%, $E$9)</f>
        <v>58.8782</v>
      </c>
      <c r="C757" s="14">
        <f>CHOOSE(CONTROL!$C$42, 58.8833, 58.8833) * CHOOSE(CONTROL!$C$21, $C$9, 100%, $E$9)</f>
        <v>58.883299999999998</v>
      </c>
      <c r="D757" s="14">
        <f>CHOOSE(CONTROL!$C$42, 58.9497, 58.9497) * CHOOSE(CONTROL!$C$21, $C$9, 100%, $E$9)</f>
        <v>58.9497</v>
      </c>
      <c r="E757" s="14">
        <f>CHOOSE(CONTROL!$C$42, 58.9838, 58.9838) * CHOOSE(CONTROL!$C$21, $C$9, 100%, $E$9)</f>
        <v>58.983800000000002</v>
      </c>
      <c r="F757" s="14">
        <f>CHOOSE(CONTROL!$C$42, 58.8656, 58.8656)*CHOOSE(CONTROL!$C$21, $C$9, 100%, $E$9)</f>
        <v>58.865600000000001</v>
      </c>
      <c r="G757" s="14">
        <f>CHOOSE(CONTROL!$C$42, 58.881, 58.881)*CHOOSE(CONTROL!$C$21, $C$9, 100%, $E$9)</f>
        <v>58.881</v>
      </c>
      <c r="H757" s="14">
        <f>CHOOSE(CONTROL!$C$42, 58.973, 58.973) * CHOOSE(CONTROL!$C$21, $C$9, 100%, $E$9)</f>
        <v>58.972999999999999</v>
      </c>
      <c r="I757" s="14">
        <f>CHOOSE(CONTROL!$C$42, 59.0703, 59.0703)* CHOOSE(CONTROL!$C$21, $C$9, 100%, $E$9)</f>
        <v>59.070300000000003</v>
      </c>
      <c r="J757" s="14">
        <f>CHOOSE(CONTROL!$C$42, 58.8586, 58.8586)* CHOOSE(CONTROL!$C$21, $C$9, 100%, $E$9)</f>
        <v>58.858600000000003</v>
      </c>
      <c r="K757" s="53">
        <f>CHOOSE(CONTROL!$C$42, 59.0664, 59.0664) * CHOOSE(CONTROL!$C$21, $C$9, 100%, $E$9)</f>
        <v>59.066400000000002</v>
      </c>
      <c r="L757" s="14">
        <f>CHOOSE(CONTROL!$C$42, 59.56, 59.56) * CHOOSE(CONTROL!$C$21, $C$9, 100%, $E$9)</f>
        <v>59.56</v>
      </c>
      <c r="M757" s="14">
        <f>CHOOSE(CONTROL!$C$42, 57.6603, 57.6603) * CHOOSE(CONTROL!$C$21, $C$9, 100%, $E$9)</f>
        <v>57.660299999999999</v>
      </c>
      <c r="N757" s="14">
        <f>CHOOSE(CONTROL!$C$42, 57.6754, 57.6754) * CHOOSE(CONTROL!$C$21, $C$9, 100%, $E$9)</f>
        <v>57.675400000000003</v>
      </c>
      <c r="O757" s="14">
        <f>CHOOSE(CONTROL!$C$42, 57.7724, 57.7724) * CHOOSE(CONTROL!$C$21, $C$9, 100%, $E$9)</f>
        <v>57.772399999999998</v>
      </c>
      <c r="P757" s="14">
        <f>CHOOSE(CONTROL!$C$42, 57.864, 57.864) * CHOOSE(CONTROL!$C$21, $C$9, 100%, $E$9)</f>
        <v>57.863999999999997</v>
      </c>
      <c r="Q757" s="14">
        <f>CHOOSE(CONTROL!$C$42, 58.3671, 58.3671) * CHOOSE(CONTROL!$C$21, $C$9, 100%, $E$9)</f>
        <v>58.367100000000001</v>
      </c>
      <c r="R757" s="14">
        <f>CHOOSE(CONTROL!$C$42, 59.1, 59.1) * CHOOSE(CONTROL!$C$21, $C$9, 100%, $E$9)</f>
        <v>59.1</v>
      </c>
      <c r="S757" s="14">
        <f>CHOOSE(CONTROL!$C$42, 56.5675, 56.5675) * CHOOSE(CONTROL!$C$21, $C$9, 100%, $E$9)</f>
        <v>56.567500000000003</v>
      </c>
      <c r="T75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57" s="57">
        <f>(1000*CHOOSE(CONTROL!$C$42, 695, 695)*CHOOSE(CONTROL!$C$42, 0.5599, 0.5599)*CHOOSE(CONTROL!$C$42, 31, 31))/1000000</f>
        <v>12.063045499999998</v>
      </c>
      <c r="V757" s="57">
        <f>(1000*CHOOSE(CONTROL!$C$42, 500, 500)*CHOOSE(CONTROL!$C$42, 0.275, 0.275)*CHOOSE(CONTROL!$C$42, 31, 31))/1000000</f>
        <v>4.2625000000000002</v>
      </c>
      <c r="W757" s="57">
        <f>(1000*CHOOSE(CONTROL!$C$42, 0.1146, 0.1146)*CHOOSE(CONTROL!$C$42, 121.5, 121.5)*CHOOSE(CONTROL!$C$42, 31, 31))/1000000</f>
        <v>0.43164089999999994</v>
      </c>
      <c r="X757" s="57">
        <f>(31*0.1790888*100000/1000000)+(31*0.2374*100000/1000000)</f>
        <v>1.2911152800000001</v>
      </c>
      <c r="Y757" s="57"/>
      <c r="Z757" s="14"/>
      <c r="AA757" s="56"/>
      <c r="AB757" s="50">
        <f>(B757*122.58+C757*297.941+D757*89.177+E757*40.302+F757*40+G757*160+H757*0+I757*100+J757*300)/(122.58+297.941+89.177+40.302+0+40+160+100+300)</f>
        <v>58.900309170260876</v>
      </c>
      <c r="AC757" s="45">
        <f>(M757*'RAP TEMPLATE-GAS AVAILABILITY'!O756+N757*'RAP TEMPLATE-GAS AVAILABILITY'!P756+O757*'RAP TEMPLATE-GAS AVAILABILITY'!Q756+P757*'RAP TEMPLATE-GAS AVAILABILITY'!R756)/('RAP TEMPLATE-GAS AVAILABILITY'!O756+'RAP TEMPLATE-GAS AVAILABILITY'!P756+'RAP TEMPLATE-GAS AVAILABILITY'!Q756+'RAP TEMPLATE-GAS AVAILABILITY'!R756)</f>
        <v>57.741286330935253</v>
      </c>
    </row>
    <row r="758" spans="1:29" ht="15.75" x14ac:dyDescent="0.25">
      <c r="A758" s="32">
        <v>63978</v>
      </c>
      <c r="B758" s="14">
        <f>CHOOSE(CONTROL!$C$42, 59.9262, 59.9262) * CHOOSE(CONTROL!$C$21, $C$9, 100%, $E$9)</f>
        <v>59.926200000000001</v>
      </c>
      <c r="C758" s="14">
        <f>CHOOSE(CONTROL!$C$42, 59.9312, 59.9312) * CHOOSE(CONTROL!$C$21, $C$9, 100%, $E$9)</f>
        <v>59.931199999999997</v>
      </c>
      <c r="D758" s="14">
        <f>CHOOSE(CONTROL!$C$42, 59.9977, 59.9977) * CHOOSE(CONTROL!$C$21, $C$9, 100%, $E$9)</f>
        <v>59.997700000000002</v>
      </c>
      <c r="E758" s="14">
        <f>CHOOSE(CONTROL!$C$42, 60.0318, 60.0318) * CHOOSE(CONTROL!$C$21, $C$9, 100%, $E$9)</f>
        <v>60.031799999999997</v>
      </c>
      <c r="F758" s="14">
        <f>CHOOSE(CONTROL!$C$42, 59.9136, 59.9136)*CHOOSE(CONTROL!$C$21, $C$9, 100%, $E$9)</f>
        <v>59.913600000000002</v>
      </c>
      <c r="G758" s="14">
        <f>CHOOSE(CONTROL!$C$42, 59.9291, 59.9291)*CHOOSE(CONTROL!$C$21, $C$9, 100%, $E$9)</f>
        <v>59.929099999999998</v>
      </c>
      <c r="H758" s="14">
        <f>CHOOSE(CONTROL!$C$42, 60.021, 60.021) * CHOOSE(CONTROL!$C$21, $C$9, 100%, $E$9)</f>
        <v>60.021000000000001</v>
      </c>
      <c r="I758" s="14">
        <f>CHOOSE(CONTROL!$C$42, 60.1215, 60.1215)* CHOOSE(CONTROL!$C$21, $C$9, 100%, $E$9)</f>
        <v>60.121499999999997</v>
      </c>
      <c r="J758" s="14">
        <f>CHOOSE(CONTROL!$C$42, 59.9066, 59.9066)* CHOOSE(CONTROL!$C$21, $C$9, 100%, $E$9)</f>
        <v>59.906599999999997</v>
      </c>
      <c r="K758" s="53">
        <f>CHOOSE(CONTROL!$C$42, 60.1176, 60.1176) * CHOOSE(CONTROL!$C$21, $C$9, 100%, $E$9)</f>
        <v>60.117600000000003</v>
      </c>
      <c r="L758" s="14">
        <f>CHOOSE(CONTROL!$C$42, 60.608, 60.608) * CHOOSE(CONTROL!$C$21, $C$9, 100%, $E$9)</f>
        <v>60.607999999999997</v>
      </c>
      <c r="M758" s="14">
        <f>CHOOSE(CONTROL!$C$42, 58.6868, 58.6868) * CHOOSE(CONTROL!$C$21, $C$9, 100%, $E$9)</f>
        <v>58.686799999999998</v>
      </c>
      <c r="N758" s="14">
        <f>CHOOSE(CONTROL!$C$42, 58.702, 58.702) * CHOOSE(CONTROL!$C$21, $C$9, 100%, $E$9)</f>
        <v>58.701999999999998</v>
      </c>
      <c r="O758" s="14">
        <f>CHOOSE(CONTROL!$C$42, 58.7989, 58.7989) * CHOOSE(CONTROL!$C$21, $C$9, 100%, $E$9)</f>
        <v>58.798900000000003</v>
      </c>
      <c r="P758" s="14">
        <f>CHOOSE(CONTROL!$C$42, 58.8936, 58.8936) * CHOOSE(CONTROL!$C$21, $C$9, 100%, $E$9)</f>
        <v>58.893599999999999</v>
      </c>
      <c r="Q758" s="14">
        <f>CHOOSE(CONTROL!$C$42, 59.3936, 59.3936) * CHOOSE(CONTROL!$C$21, $C$9, 100%, $E$9)</f>
        <v>59.393599999999999</v>
      </c>
      <c r="R758" s="14">
        <f>CHOOSE(CONTROL!$C$42, 60.129, 60.129) * CHOOSE(CONTROL!$C$21, $C$9, 100%, $E$9)</f>
        <v>60.128999999999998</v>
      </c>
      <c r="S758" s="14">
        <f>CHOOSE(CONTROL!$C$42, 57.5745, 57.5745) * CHOOSE(CONTROL!$C$21, $C$9, 100%, $E$9)</f>
        <v>57.5745</v>
      </c>
      <c r="T75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58" s="57">
        <f>(1000*CHOOSE(CONTROL!$C$42, 695, 695)*CHOOSE(CONTROL!$C$42, 0.5599, 0.5599)*CHOOSE(CONTROL!$C$42, 28, 28))/1000000</f>
        <v>10.895653999999999</v>
      </c>
      <c r="V758" s="57">
        <f>(1000*CHOOSE(CONTROL!$C$42, 500, 500)*CHOOSE(CONTROL!$C$42, 0.275, 0.275)*CHOOSE(CONTROL!$C$42, 28, 28))/1000000</f>
        <v>3.85</v>
      </c>
      <c r="W758" s="57">
        <f>(1000*CHOOSE(CONTROL!$C$42, 0.1146, 0.1146)*CHOOSE(CONTROL!$C$42, 121.5, 121.5)*CHOOSE(CONTROL!$C$42, 28, 28))/1000000</f>
        <v>0.38986920000000003</v>
      </c>
      <c r="X758" s="57">
        <f>(28*0.1790888*100000/1000000)+(28*0.2374*100000/1000000)</f>
        <v>1.16616864</v>
      </c>
      <c r="Y758" s="57"/>
      <c r="Z758" s="14"/>
      <c r="AA758" s="56"/>
      <c r="AB758" s="50">
        <f>(B758*122.58+C758*297.941+D758*89.177+E758*40.302+F758*40+G758*160+H758*0+I758*100+J758*300)/(122.58+297.941+89.177+40.302+0+40+160+100+300)</f>
        <v>59.948575436260874</v>
      </c>
      <c r="AC758" s="45">
        <f>(M758*'RAP TEMPLATE-GAS AVAILABILITY'!O757+N758*'RAP TEMPLATE-GAS AVAILABILITY'!P757+O758*'RAP TEMPLATE-GAS AVAILABILITY'!Q757+P758*'RAP TEMPLATE-GAS AVAILABILITY'!R757)/('RAP TEMPLATE-GAS AVAILABILITY'!O757+'RAP TEMPLATE-GAS AVAILABILITY'!P757+'RAP TEMPLATE-GAS AVAILABILITY'!Q757+'RAP TEMPLATE-GAS AVAILABILITY'!R757)</f>
        <v>58.768238129496396</v>
      </c>
    </row>
    <row r="759" spans="1:29" ht="15.75" x14ac:dyDescent="0.25">
      <c r="A759" s="32">
        <v>64009</v>
      </c>
      <c r="B759" s="14">
        <f>CHOOSE(CONTROL!$C$42, 58.2251, 58.2251) * CHOOSE(CONTROL!$C$21, $C$9, 100%, $E$9)</f>
        <v>58.225099999999998</v>
      </c>
      <c r="C759" s="14">
        <f>CHOOSE(CONTROL!$C$42, 58.2302, 58.2302) * CHOOSE(CONTROL!$C$21, $C$9, 100%, $E$9)</f>
        <v>58.230200000000004</v>
      </c>
      <c r="D759" s="14">
        <f>CHOOSE(CONTROL!$C$42, 58.2966, 58.2966) * CHOOSE(CONTROL!$C$21, $C$9, 100%, $E$9)</f>
        <v>58.296599999999998</v>
      </c>
      <c r="E759" s="14">
        <f>CHOOSE(CONTROL!$C$42, 58.3307, 58.3307) * CHOOSE(CONTROL!$C$21, $C$9, 100%, $E$9)</f>
        <v>58.3307</v>
      </c>
      <c r="F759" s="14">
        <f>CHOOSE(CONTROL!$C$42, 58.2121, 58.2121)*CHOOSE(CONTROL!$C$21, $C$9, 100%, $E$9)</f>
        <v>58.2121</v>
      </c>
      <c r="G759" s="14">
        <f>CHOOSE(CONTROL!$C$42, 58.2275, 58.2275)*CHOOSE(CONTROL!$C$21, $C$9, 100%, $E$9)</f>
        <v>58.227499999999999</v>
      </c>
      <c r="H759" s="14">
        <f>CHOOSE(CONTROL!$C$42, 58.3199, 58.3199) * CHOOSE(CONTROL!$C$21, $C$9, 100%, $E$9)</f>
        <v>58.319899999999997</v>
      </c>
      <c r="I759" s="14">
        <f>CHOOSE(CONTROL!$C$42, 58.4151, 58.4151)* CHOOSE(CONTROL!$C$21, $C$9, 100%, $E$9)</f>
        <v>58.415100000000002</v>
      </c>
      <c r="J759" s="14">
        <f>CHOOSE(CONTROL!$C$42, 58.2051, 58.2051)* CHOOSE(CONTROL!$C$21, $C$9, 100%, $E$9)</f>
        <v>58.205100000000002</v>
      </c>
      <c r="K759" s="53">
        <f>CHOOSE(CONTROL!$C$42, 58.4112, 58.4112) * CHOOSE(CONTROL!$C$21, $C$9, 100%, $E$9)</f>
        <v>58.411200000000001</v>
      </c>
      <c r="L759" s="14">
        <f>CHOOSE(CONTROL!$C$42, 58.9069, 58.9069) * CHOOSE(CONTROL!$C$21, $C$9, 100%, $E$9)</f>
        <v>58.9069</v>
      </c>
      <c r="M759" s="14">
        <f>CHOOSE(CONTROL!$C$42, 57.0202, 57.0202) * CHOOSE(CONTROL!$C$21, $C$9, 100%, $E$9)</f>
        <v>57.020200000000003</v>
      </c>
      <c r="N759" s="14">
        <f>CHOOSE(CONTROL!$C$42, 57.0353, 57.0353) * CHOOSE(CONTROL!$C$21, $C$9, 100%, $E$9)</f>
        <v>57.035299999999999</v>
      </c>
      <c r="O759" s="14">
        <f>CHOOSE(CONTROL!$C$42, 57.1326, 57.1326) * CHOOSE(CONTROL!$C$21, $C$9, 100%, $E$9)</f>
        <v>57.132599999999996</v>
      </c>
      <c r="P759" s="14">
        <f>CHOOSE(CONTROL!$C$42, 57.2223, 57.2223) * CHOOSE(CONTROL!$C$21, $C$9, 100%, $E$9)</f>
        <v>57.222299999999997</v>
      </c>
      <c r="Q759" s="14">
        <f>CHOOSE(CONTROL!$C$42, 57.7273, 57.7273) * CHOOSE(CONTROL!$C$21, $C$9, 100%, $E$9)</f>
        <v>57.7273</v>
      </c>
      <c r="R759" s="14">
        <f>CHOOSE(CONTROL!$C$42, 58.4587, 58.4587) * CHOOSE(CONTROL!$C$21, $C$9, 100%, $E$9)</f>
        <v>58.4587</v>
      </c>
      <c r="S759" s="14">
        <f>CHOOSE(CONTROL!$C$42, 55.94, 55.94) * CHOOSE(CONTROL!$C$21, $C$9, 100%, $E$9)</f>
        <v>55.94</v>
      </c>
      <c r="T75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59" s="57">
        <f>(1000*CHOOSE(CONTROL!$C$42, 695, 695)*CHOOSE(CONTROL!$C$42, 0.5599, 0.5599)*CHOOSE(CONTROL!$C$42, 31, 31))/1000000</f>
        <v>12.063045499999998</v>
      </c>
      <c r="V759" s="57">
        <f>(1000*CHOOSE(CONTROL!$C$42, 500, 500)*CHOOSE(CONTROL!$C$42, 0.275, 0.275)*CHOOSE(CONTROL!$C$42, 31, 31))/1000000</f>
        <v>4.2625000000000002</v>
      </c>
      <c r="W759" s="57">
        <f>(1000*CHOOSE(CONTROL!$C$42, 0.1146, 0.1146)*CHOOSE(CONTROL!$C$42, 121.5, 121.5)*CHOOSE(CONTROL!$C$42, 31, 31))/1000000</f>
        <v>0.43164089999999994</v>
      </c>
      <c r="X759" s="57">
        <f>(31*0.1790888*100000/1000000)+(31*0.2374*100000/1000000)</f>
        <v>1.2911152800000001</v>
      </c>
      <c r="Y759" s="57"/>
      <c r="Z759" s="14"/>
      <c r="AA759" s="56"/>
      <c r="AB759" s="50">
        <f>(B759*122.58+C759*297.941+D759*89.177+E759*40.302+F759*40+G759*160+H759*0+I759*100+J759*300)/(122.58+297.941+89.177+40.302+0+40+160+100+300)</f>
        <v>58.246852648521738</v>
      </c>
      <c r="AC759" s="45">
        <f>(M759*'RAP TEMPLATE-GAS AVAILABILITY'!O758+N759*'RAP TEMPLATE-GAS AVAILABILITY'!P758+O759*'RAP TEMPLATE-GAS AVAILABILITY'!Q758+P759*'RAP TEMPLATE-GAS AVAILABILITY'!R758)/('RAP TEMPLATE-GAS AVAILABILITY'!O758+'RAP TEMPLATE-GAS AVAILABILITY'!P758+'RAP TEMPLATE-GAS AVAILABILITY'!Q758+'RAP TEMPLATE-GAS AVAILABILITY'!R758)</f>
        <v>57.101092086330944</v>
      </c>
    </row>
    <row r="760" spans="1:29" ht="15.75" x14ac:dyDescent="0.25">
      <c r="A760" s="32">
        <v>64039</v>
      </c>
      <c r="B760" s="14">
        <f>CHOOSE(CONTROL!$C$42, 58.052, 58.052) * CHOOSE(CONTROL!$C$21, $C$9, 100%, $E$9)</f>
        <v>58.052</v>
      </c>
      <c r="C760" s="14">
        <f>CHOOSE(CONTROL!$C$42, 58.0565, 58.0565) * CHOOSE(CONTROL!$C$21, $C$9, 100%, $E$9)</f>
        <v>58.0565</v>
      </c>
      <c r="D760" s="14">
        <f>CHOOSE(CONTROL!$C$42, 58.2635, 58.2635) * CHOOSE(CONTROL!$C$21, $C$9, 100%, $E$9)</f>
        <v>58.263500000000001</v>
      </c>
      <c r="E760" s="14">
        <f>CHOOSE(CONTROL!$C$42, 58.2956, 58.2956) * CHOOSE(CONTROL!$C$21, $C$9, 100%, $E$9)</f>
        <v>58.2956</v>
      </c>
      <c r="F760" s="14">
        <f>CHOOSE(CONTROL!$C$42, 58.0338, 58.0338)*CHOOSE(CONTROL!$C$21, $C$9, 100%, $E$9)</f>
        <v>58.033799999999999</v>
      </c>
      <c r="G760" s="14">
        <f>CHOOSE(CONTROL!$C$42, 58.049, 58.049)*CHOOSE(CONTROL!$C$21, $C$9, 100%, $E$9)</f>
        <v>58.048999999999999</v>
      </c>
      <c r="H760" s="14">
        <f>CHOOSE(CONTROL!$C$42, 58.2854, 58.2854) * CHOOSE(CONTROL!$C$21, $C$9, 100%, $E$9)</f>
        <v>58.285400000000003</v>
      </c>
      <c r="I760" s="14">
        <f>CHOOSE(CONTROL!$C$42, 58.2406, 58.2406)* CHOOSE(CONTROL!$C$21, $C$9, 100%, $E$9)</f>
        <v>58.240600000000001</v>
      </c>
      <c r="J760" s="14">
        <f>CHOOSE(CONTROL!$C$42, 58.0268, 58.0268)* CHOOSE(CONTROL!$C$21, $C$9, 100%, $E$9)</f>
        <v>58.026800000000001</v>
      </c>
      <c r="K760" s="53">
        <f>CHOOSE(CONTROL!$C$42, 58.2367, 58.2367) * CHOOSE(CONTROL!$C$21, $C$9, 100%, $E$9)</f>
        <v>58.236699999999999</v>
      </c>
      <c r="L760" s="14">
        <f>CHOOSE(CONTROL!$C$42, 58.8724, 58.8724) * CHOOSE(CONTROL!$C$21, $C$9, 100%, $E$9)</f>
        <v>58.872399999999999</v>
      </c>
      <c r="M760" s="14">
        <f>CHOOSE(CONTROL!$C$42, 56.8456, 56.8456) * CHOOSE(CONTROL!$C$21, $C$9, 100%, $E$9)</f>
        <v>56.845599999999997</v>
      </c>
      <c r="N760" s="14">
        <f>CHOOSE(CONTROL!$C$42, 56.8605, 56.8605) * CHOOSE(CONTROL!$C$21, $C$9, 100%, $E$9)</f>
        <v>56.860500000000002</v>
      </c>
      <c r="O760" s="14">
        <f>CHOOSE(CONTROL!$C$42, 57.0989, 57.0989) * CHOOSE(CONTROL!$C$21, $C$9, 100%, $E$9)</f>
        <v>57.0989</v>
      </c>
      <c r="P760" s="14">
        <f>CHOOSE(CONTROL!$C$42, 57.0514, 57.0514) * CHOOSE(CONTROL!$C$21, $C$9, 100%, $E$9)</f>
        <v>57.051400000000001</v>
      </c>
      <c r="Q760" s="14">
        <f>CHOOSE(CONTROL!$C$42, 57.6936, 57.6936) * CHOOSE(CONTROL!$C$21, $C$9, 100%, $E$9)</f>
        <v>57.693600000000004</v>
      </c>
      <c r="R760" s="14">
        <f>CHOOSE(CONTROL!$C$42, 58.4248, 58.4248) * CHOOSE(CONTROL!$C$21, $C$9, 100%, $E$9)</f>
        <v>58.424799999999998</v>
      </c>
      <c r="S760" s="14">
        <f>CHOOSE(CONTROL!$C$42, 55.7728, 55.7728) * CHOOSE(CONTROL!$C$21, $C$9, 100%, $E$9)</f>
        <v>55.772799999999997</v>
      </c>
      <c r="T76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60" s="57">
        <f>(1000*CHOOSE(CONTROL!$C$42, 695, 695)*CHOOSE(CONTROL!$C$42, 0.5599, 0.5599)*CHOOSE(CONTROL!$C$42, 30, 30))/1000000</f>
        <v>11.673914999999997</v>
      </c>
      <c r="V760" s="57">
        <f>(1000*CHOOSE(CONTROL!$C$42, 500, 500)*CHOOSE(CONTROL!$C$42, 0.275, 0.275)*CHOOSE(CONTROL!$C$42, 30, 30))/1000000</f>
        <v>4.125</v>
      </c>
      <c r="W760" s="57">
        <f>(1000*CHOOSE(CONTROL!$C$42, 0.1146, 0.1146)*CHOOSE(CONTROL!$C$42, 121.5, 121.5)*CHOOSE(CONTROL!$C$42, 30, 30))/1000000</f>
        <v>0.417717</v>
      </c>
      <c r="X760" s="57">
        <f>(30*0.1790888*245000/1000000)+(30*0.2374*100000/1000000)</f>
        <v>2.0285026799999999</v>
      </c>
      <c r="Y760" s="57"/>
      <c r="Z760" s="14"/>
      <c r="AA760" s="56"/>
      <c r="AB760" s="50">
        <f>(B760*141.293+C760*267.993+D760*115.016+E760*89.698+F760*40+G760*185+H760*0+I760*100+J760*300)/(141.293+267.993+115.016+89.698+0+40+185+100+300)</f>
        <v>58.098327106779657</v>
      </c>
      <c r="AC760" s="45">
        <f>(M760*'RAP TEMPLATE-GAS AVAILABILITY'!O759+N760*'RAP TEMPLATE-GAS AVAILABILITY'!P759+O760*'RAP TEMPLATE-GAS AVAILABILITY'!Q759+P760*'RAP TEMPLATE-GAS AVAILABILITY'!R759)/('RAP TEMPLATE-GAS AVAILABILITY'!O759+'RAP TEMPLATE-GAS AVAILABILITY'!P759+'RAP TEMPLATE-GAS AVAILABILITY'!Q759+'RAP TEMPLATE-GAS AVAILABILITY'!R759)</f>
        <v>56.990874100719424</v>
      </c>
    </row>
    <row r="761" spans="1:29" ht="15.75" x14ac:dyDescent="0.25">
      <c r="A761" s="32">
        <v>64070</v>
      </c>
      <c r="B761" s="14">
        <f>CHOOSE(CONTROL!$C$42, 58.5656, 58.5656) * CHOOSE(CONTROL!$C$21, $C$9, 100%, $E$9)</f>
        <v>58.565600000000003</v>
      </c>
      <c r="C761" s="14">
        <f>CHOOSE(CONTROL!$C$42, 58.5737, 58.5737) * CHOOSE(CONTROL!$C$21, $C$9, 100%, $E$9)</f>
        <v>58.573700000000002</v>
      </c>
      <c r="D761" s="14">
        <f>CHOOSE(CONTROL!$C$42, 58.7776, 58.7776) * CHOOSE(CONTROL!$C$21, $C$9, 100%, $E$9)</f>
        <v>58.7776</v>
      </c>
      <c r="E761" s="14">
        <f>CHOOSE(CONTROL!$C$42, 58.8091, 58.8091) * CHOOSE(CONTROL!$C$21, $C$9, 100%, $E$9)</f>
        <v>58.809100000000001</v>
      </c>
      <c r="F761" s="14">
        <f>CHOOSE(CONTROL!$C$42, 58.5464, 58.5464)*CHOOSE(CONTROL!$C$21, $C$9, 100%, $E$9)</f>
        <v>58.546399999999998</v>
      </c>
      <c r="G761" s="14">
        <f>CHOOSE(CONTROL!$C$42, 58.562, 58.562)*CHOOSE(CONTROL!$C$21, $C$9, 100%, $E$9)</f>
        <v>58.561999999999998</v>
      </c>
      <c r="H761" s="14">
        <f>CHOOSE(CONTROL!$C$42, 58.7977, 58.7977) * CHOOSE(CONTROL!$C$21, $C$9, 100%, $E$9)</f>
        <v>58.797699999999999</v>
      </c>
      <c r="I761" s="14">
        <f>CHOOSE(CONTROL!$C$42, 58.7545, 58.7545)* CHOOSE(CONTROL!$C$21, $C$9, 100%, $E$9)</f>
        <v>58.7545</v>
      </c>
      <c r="J761" s="14">
        <f>CHOOSE(CONTROL!$C$42, 58.5394, 58.5394)* CHOOSE(CONTROL!$C$21, $C$9, 100%, $E$9)</f>
        <v>58.539400000000001</v>
      </c>
      <c r="K761" s="53">
        <f>CHOOSE(CONTROL!$C$42, 58.7506, 58.7506) * CHOOSE(CONTROL!$C$21, $C$9, 100%, $E$9)</f>
        <v>58.750599999999999</v>
      </c>
      <c r="L761" s="14">
        <f>CHOOSE(CONTROL!$C$42, 59.3847, 59.3847) * CHOOSE(CONTROL!$C$21, $C$9, 100%, $E$9)</f>
        <v>59.384700000000002</v>
      </c>
      <c r="M761" s="14">
        <f>CHOOSE(CONTROL!$C$42, 57.3476, 57.3476) * CHOOSE(CONTROL!$C$21, $C$9, 100%, $E$9)</f>
        <v>57.3476</v>
      </c>
      <c r="N761" s="14">
        <f>CHOOSE(CONTROL!$C$42, 57.363, 57.363) * CHOOSE(CONTROL!$C$21, $C$9, 100%, $E$9)</f>
        <v>57.363</v>
      </c>
      <c r="O761" s="14">
        <f>CHOOSE(CONTROL!$C$42, 57.6007, 57.6007) * CHOOSE(CONTROL!$C$21, $C$9, 100%, $E$9)</f>
        <v>57.600700000000003</v>
      </c>
      <c r="P761" s="14">
        <f>CHOOSE(CONTROL!$C$42, 57.5547, 57.5547) * CHOOSE(CONTROL!$C$21, $C$9, 100%, $E$9)</f>
        <v>57.554699999999997</v>
      </c>
      <c r="Q761" s="14">
        <f>CHOOSE(CONTROL!$C$42, 58.1954, 58.1954) * CHOOSE(CONTROL!$C$21, $C$9, 100%, $E$9)</f>
        <v>58.195399999999999</v>
      </c>
      <c r="R761" s="14">
        <f>CHOOSE(CONTROL!$C$42, 58.9279, 58.9279) * CHOOSE(CONTROL!$C$21, $C$9, 100%, $E$9)</f>
        <v>58.927900000000001</v>
      </c>
      <c r="S761" s="14">
        <f>CHOOSE(CONTROL!$C$42, 56.2651, 56.2651) * CHOOSE(CONTROL!$C$21, $C$9, 100%, $E$9)</f>
        <v>56.265099999999997</v>
      </c>
      <c r="T76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61" s="57">
        <f>(1000*CHOOSE(CONTROL!$C$42, 695, 695)*CHOOSE(CONTROL!$C$42, 0.5599, 0.5599)*CHOOSE(CONTROL!$C$42, 31, 31))/1000000</f>
        <v>12.063045499999998</v>
      </c>
      <c r="V761" s="57">
        <f>(1000*CHOOSE(CONTROL!$C$42, 500, 500)*CHOOSE(CONTROL!$C$42, 0.275, 0.275)*CHOOSE(CONTROL!$C$42, 31, 31))/1000000</f>
        <v>4.2625000000000002</v>
      </c>
      <c r="W761" s="57">
        <f>(1000*CHOOSE(CONTROL!$C$42, 0.1146, 0.1146)*CHOOSE(CONTROL!$C$42, 121.5, 121.5)*CHOOSE(CONTROL!$C$42, 31, 31))/1000000</f>
        <v>0.43164089999999994</v>
      </c>
      <c r="X761" s="57">
        <f>(31*0.1790888*245000/1000000)+(31*0.2374*100000/1000000)</f>
        <v>2.0961194359999999</v>
      </c>
      <c r="Y761" s="57"/>
      <c r="Z761" s="14"/>
      <c r="AA761" s="56"/>
      <c r="AB761" s="50">
        <f>(B761*194.205+C761*267.466+D761*133.845+E761*53.484+F761*40+G761*185+H761*0+I761*100+J761*300)/(194.205+267.466+133.845+53.484+0+40+185+100+300)</f>
        <v>58.607327604866562</v>
      </c>
      <c r="AC761" s="45">
        <f>(M761*'RAP TEMPLATE-GAS AVAILABILITY'!O760+N761*'RAP TEMPLATE-GAS AVAILABILITY'!P760+O761*'RAP TEMPLATE-GAS AVAILABILITY'!Q760+P761*'RAP TEMPLATE-GAS AVAILABILITY'!R760)/('RAP TEMPLATE-GAS AVAILABILITY'!O760+'RAP TEMPLATE-GAS AVAILABILITY'!P760+'RAP TEMPLATE-GAS AVAILABILITY'!Q760+'RAP TEMPLATE-GAS AVAILABILITY'!R760)</f>
        <v>57.492999280575539</v>
      </c>
    </row>
    <row r="762" spans="1:29" ht="15.75" x14ac:dyDescent="0.25">
      <c r="A762" s="32">
        <v>64100</v>
      </c>
      <c r="B762" s="14">
        <f>CHOOSE(CONTROL!$C$42, 60.2266, 60.2266) * CHOOSE(CONTROL!$C$21, $C$9, 100%, $E$9)</f>
        <v>60.226599999999998</v>
      </c>
      <c r="C762" s="14">
        <f>CHOOSE(CONTROL!$C$42, 60.2346, 60.2346) * CHOOSE(CONTROL!$C$21, $C$9, 100%, $E$9)</f>
        <v>60.2346</v>
      </c>
      <c r="D762" s="14">
        <f>CHOOSE(CONTROL!$C$42, 60.4386, 60.4386) * CHOOSE(CONTROL!$C$21, $C$9, 100%, $E$9)</f>
        <v>60.438600000000001</v>
      </c>
      <c r="E762" s="14">
        <f>CHOOSE(CONTROL!$C$42, 60.47, 60.47) * CHOOSE(CONTROL!$C$21, $C$9, 100%, $E$9)</f>
        <v>60.47</v>
      </c>
      <c r="F762" s="14">
        <f>CHOOSE(CONTROL!$C$42, 60.2078, 60.2078)*CHOOSE(CONTROL!$C$21, $C$9, 100%, $E$9)</f>
        <v>60.207799999999999</v>
      </c>
      <c r="G762" s="14">
        <f>CHOOSE(CONTROL!$C$42, 60.2235, 60.2235)*CHOOSE(CONTROL!$C$21, $C$9, 100%, $E$9)</f>
        <v>60.223500000000001</v>
      </c>
      <c r="H762" s="14">
        <f>CHOOSE(CONTROL!$C$42, 60.4587, 60.4587) * CHOOSE(CONTROL!$C$21, $C$9, 100%, $E$9)</f>
        <v>60.4587</v>
      </c>
      <c r="I762" s="14">
        <f>CHOOSE(CONTROL!$C$42, 60.4207, 60.4207)* CHOOSE(CONTROL!$C$21, $C$9, 100%, $E$9)</f>
        <v>60.420699999999997</v>
      </c>
      <c r="J762" s="14">
        <f>CHOOSE(CONTROL!$C$42, 60.2008, 60.2008)* CHOOSE(CONTROL!$C$21, $C$9, 100%, $E$9)</f>
        <v>60.200800000000001</v>
      </c>
      <c r="K762" s="53">
        <f>CHOOSE(CONTROL!$C$42, 60.4168, 60.4168) * CHOOSE(CONTROL!$C$21, $C$9, 100%, $E$9)</f>
        <v>60.416800000000002</v>
      </c>
      <c r="L762" s="14">
        <f>CHOOSE(CONTROL!$C$42, 61.0457, 61.0457) * CHOOSE(CONTROL!$C$21, $C$9, 100%, $E$9)</f>
        <v>61.045699999999997</v>
      </c>
      <c r="M762" s="14">
        <f>CHOOSE(CONTROL!$C$42, 58.975, 58.975) * CHOOSE(CONTROL!$C$21, $C$9, 100%, $E$9)</f>
        <v>58.975000000000001</v>
      </c>
      <c r="N762" s="14">
        <f>CHOOSE(CONTROL!$C$42, 58.9904, 58.9904) * CHOOSE(CONTROL!$C$21, $C$9, 100%, $E$9)</f>
        <v>58.990400000000001</v>
      </c>
      <c r="O762" s="14">
        <f>CHOOSE(CONTROL!$C$42, 59.2276, 59.2276) * CHOOSE(CONTROL!$C$21, $C$9, 100%, $E$9)</f>
        <v>59.227600000000002</v>
      </c>
      <c r="P762" s="14">
        <f>CHOOSE(CONTROL!$C$42, 59.1867, 59.1867) * CHOOSE(CONTROL!$C$21, $C$9, 100%, $E$9)</f>
        <v>59.186700000000002</v>
      </c>
      <c r="Q762" s="14">
        <f>CHOOSE(CONTROL!$C$42, 59.8223, 59.8223) * CHOOSE(CONTROL!$C$21, $C$9, 100%, $E$9)</f>
        <v>59.822299999999998</v>
      </c>
      <c r="R762" s="14">
        <f>CHOOSE(CONTROL!$C$42, 60.5588, 60.5588) * CHOOSE(CONTROL!$C$21, $C$9, 100%, $E$9)</f>
        <v>60.558799999999998</v>
      </c>
      <c r="S762" s="14">
        <f>CHOOSE(CONTROL!$C$42, 57.8611, 57.8611) * CHOOSE(CONTROL!$C$21, $C$9, 100%, $E$9)</f>
        <v>57.8611</v>
      </c>
      <c r="T76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62" s="57">
        <f>(1000*CHOOSE(CONTROL!$C$42, 695, 695)*CHOOSE(CONTROL!$C$42, 0.5599, 0.5599)*CHOOSE(CONTROL!$C$42, 30, 30))/1000000</f>
        <v>11.673914999999997</v>
      </c>
      <c r="V762" s="57">
        <f>(1000*CHOOSE(CONTROL!$C$42, 500, 500)*CHOOSE(CONTROL!$C$42, 0.275, 0.275)*CHOOSE(CONTROL!$C$42, 30, 30))/1000000</f>
        <v>4.125</v>
      </c>
      <c r="W762" s="57">
        <f>(1000*CHOOSE(CONTROL!$C$42, 0.1146, 0.1146)*CHOOSE(CONTROL!$C$42, 121.5, 121.5)*CHOOSE(CONTROL!$C$42, 30, 30))/1000000</f>
        <v>0.417717</v>
      </c>
      <c r="X762" s="57">
        <f>(30*0.1790888*245000/1000000)+(30*0.2374*100000/1000000)</f>
        <v>2.0285026799999999</v>
      </c>
      <c r="Y762" s="57"/>
      <c r="Z762" s="14"/>
      <c r="AA762" s="56"/>
      <c r="AB762" s="50">
        <f>(B762*194.205+C762*267.466+D762*133.845+E762*53.484+F762*40+G762*185+H762*0+I762*100+J762*300)/(194.205+267.466+133.845+53.484+0+40+185+100+300)</f>
        <v>60.268889932182105</v>
      </c>
      <c r="AC762" s="45">
        <f>(M762*'RAP TEMPLATE-GAS AVAILABILITY'!O761+N762*'RAP TEMPLATE-GAS AVAILABILITY'!P761+O762*'RAP TEMPLATE-GAS AVAILABILITY'!Q761+P762*'RAP TEMPLATE-GAS AVAILABILITY'!R761)/('RAP TEMPLATE-GAS AVAILABILITY'!O761+'RAP TEMPLATE-GAS AVAILABILITY'!P761+'RAP TEMPLATE-GAS AVAILABILITY'!Q761+'RAP TEMPLATE-GAS AVAILABILITY'!R761)</f>
        <v>59.120834532374097</v>
      </c>
    </row>
    <row r="763" spans="1:29" ht="15.75" x14ac:dyDescent="0.25">
      <c r="A763" s="32">
        <v>64131</v>
      </c>
      <c r="B763" s="14">
        <f>CHOOSE(CONTROL!$C$42, 59.0714, 59.0714) * CHOOSE(CONTROL!$C$21, $C$9, 100%, $E$9)</f>
        <v>59.071399999999997</v>
      </c>
      <c r="C763" s="14">
        <f>CHOOSE(CONTROL!$C$42, 59.0794, 59.0794) * CHOOSE(CONTROL!$C$21, $C$9, 100%, $E$9)</f>
        <v>59.0794</v>
      </c>
      <c r="D763" s="14">
        <f>CHOOSE(CONTROL!$C$42, 59.2834, 59.2834) * CHOOSE(CONTROL!$C$21, $C$9, 100%, $E$9)</f>
        <v>59.2834</v>
      </c>
      <c r="E763" s="14">
        <f>CHOOSE(CONTROL!$C$42, 59.3148, 59.3148) * CHOOSE(CONTROL!$C$21, $C$9, 100%, $E$9)</f>
        <v>59.314799999999998</v>
      </c>
      <c r="F763" s="14">
        <f>CHOOSE(CONTROL!$C$42, 59.053, 59.053)*CHOOSE(CONTROL!$C$21, $C$9, 100%, $E$9)</f>
        <v>59.052999999999997</v>
      </c>
      <c r="G763" s="14">
        <f>CHOOSE(CONTROL!$C$42, 59.0689, 59.0689)*CHOOSE(CONTROL!$C$21, $C$9, 100%, $E$9)</f>
        <v>59.068899999999999</v>
      </c>
      <c r="H763" s="14">
        <f>CHOOSE(CONTROL!$C$42, 59.3035, 59.3035) * CHOOSE(CONTROL!$C$21, $C$9, 100%, $E$9)</f>
        <v>59.3035</v>
      </c>
      <c r="I763" s="14">
        <f>CHOOSE(CONTROL!$C$42, 59.2618, 59.2618)* CHOOSE(CONTROL!$C$21, $C$9, 100%, $E$9)</f>
        <v>59.261800000000001</v>
      </c>
      <c r="J763" s="14">
        <f>CHOOSE(CONTROL!$C$42, 59.046, 59.046)* CHOOSE(CONTROL!$C$21, $C$9, 100%, $E$9)</f>
        <v>59.045999999999999</v>
      </c>
      <c r="K763" s="53">
        <f>CHOOSE(CONTROL!$C$42, 59.2579, 59.2579) * CHOOSE(CONTROL!$C$21, $C$9, 100%, $E$9)</f>
        <v>59.257899999999999</v>
      </c>
      <c r="L763" s="14">
        <f>CHOOSE(CONTROL!$C$42, 59.8905, 59.8905) * CHOOSE(CONTROL!$C$21, $C$9, 100%, $E$9)</f>
        <v>59.890500000000003</v>
      </c>
      <c r="M763" s="14">
        <f>CHOOSE(CONTROL!$C$42, 57.8439, 57.8439) * CHOOSE(CONTROL!$C$21, $C$9, 100%, $E$9)</f>
        <v>57.843899999999998</v>
      </c>
      <c r="N763" s="14">
        <f>CHOOSE(CONTROL!$C$42, 57.8595, 57.8595) * CHOOSE(CONTROL!$C$21, $C$9, 100%, $E$9)</f>
        <v>57.859499999999997</v>
      </c>
      <c r="O763" s="14">
        <f>CHOOSE(CONTROL!$C$42, 58.0961, 58.0961) * CHOOSE(CONTROL!$C$21, $C$9, 100%, $E$9)</f>
        <v>58.0961</v>
      </c>
      <c r="P763" s="14">
        <f>CHOOSE(CONTROL!$C$42, 58.0517, 58.0517) * CHOOSE(CONTROL!$C$21, $C$9, 100%, $E$9)</f>
        <v>58.051699999999997</v>
      </c>
      <c r="Q763" s="14">
        <f>CHOOSE(CONTROL!$C$42, 58.6908, 58.6908) * CHOOSE(CONTROL!$C$21, $C$9, 100%, $E$9)</f>
        <v>58.690800000000003</v>
      </c>
      <c r="R763" s="14">
        <f>CHOOSE(CONTROL!$C$42, 59.4245, 59.4245) * CHOOSE(CONTROL!$C$21, $C$9, 100%, $E$9)</f>
        <v>59.424500000000002</v>
      </c>
      <c r="S763" s="14">
        <f>CHOOSE(CONTROL!$C$42, 56.7511, 56.7511) * CHOOSE(CONTROL!$C$21, $C$9, 100%, $E$9)</f>
        <v>56.751100000000001</v>
      </c>
      <c r="T76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63" s="57">
        <f>(1000*CHOOSE(CONTROL!$C$42, 695, 695)*CHOOSE(CONTROL!$C$42, 0.5599, 0.5599)*CHOOSE(CONTROL!$C$42, 31, 31))/1000000</f>
        <v>12.063045499999998</v>
      </c>
      <c r="V763" s="57">
        <f>(1000*CHOOSE(CONTROL!$C$42, 500, 500)*CHOOSE(CONTROL!$C$42, 0.275, 0.275)*CHOOSE(CONTROL!$C$42, 31, 31))/1000000</f>
        <v>4.2625000000000002</v>
      </c>
      <c r="W763" s="57">
        <f>(1000*CHOOSE(CONTROL!$C$42, 0.1146, 0.1146)*CHOOSE(CONTROL!$C$42, 121.5, 121.5)*CHOOSE(CONTROL!$C$42, 31, 31))/1000000</f>
        <v>0.43164089999999994</v>
      </c>
      <c r="X763" s="57">
        <f>(31*0.1790888*245000/1000000)+(31*0.2374*100000/1000000)</f>
        <v>2.0961194359999999</v>
      </c>
      <c r="Y763" s="57"/>
      <c r="Z763" s="14"/>
      <c r="AA763" s="56"/>
      <c r="AB763" s="50">
        <f>(B763*194.205+C763*267.466+D763*133.845+E763*53.484+F763*40+G763*185+H763*0+I763*100+J763*300)/(194.205+267.466+133.845+53.484+0+40+185+100+300)</f>
        <v>59.113593385871269</v>
      </c>
      <c r="AC763" s="45">
        <f>(M763*'RAP TEMPLATE-GAS AVAILABILITY'!O762+N763*'RAP TEMPLATE-GAS AVAILABILITY'!P762+O763*'RAP TEMPLATE-GAS AVAILABILITY'!Q762+P763*'RAP TEMPLATE-GAS AVAILABILITY'!R762)/('RAP TEMPLATE-GAS AVAILABILITY'!O762+'RAP TEMPLATE-GAS AVAILABILITY'!P762+'RAP TEMPLATE-GAS AVAILABILITY'!Q762+'RAP TEMPLATE-GAS AVAILABILITY'!R762)</f>
        <v>57.989003597122299</v>
      </c>
    </row>
    <row r="764" spans="1:29" ht="15.75" x14ac:dyDescent="0.25">
      <c r="A764" s="32">
        <v>64162</v>
      </c>
      <c r="B764" s="14">
        <f>CHOOSE(CONTROL!$C$42, 56.1541, 56.1541) * CHOOSE(CONTROL!$C$21, $C$9, 100%, $E$9)</f>
        <v>56.1541</v>
      </c>
      <c r="C764" s="14">
        <f>CHOOSE(CONTROL!$C$42, 56.1622, 56.1622) * CHOOSE(CONTROL!$C$21, $C$9, 100%, $E$9)</f>
        <v>56.162199999999999</v>
      </c>
      <c r="D764" s="14">
        <f>CHOOSE(CONTROL!$C$42, 56.3661, 56.3661) * CHOOSE(CONTROL!$C$21, $C$9, 100%, $E$9)</f>
        <v>56.366100000000003</v>
      </c>
      <c r="E764" s="14">
        <f>CHOOSE(CONTROL!$C$42, 56.3976, 56.3976) * CHOOSE(CONTROL!$C$21, $C$9, 100%, $E$9)</f>
        <v>56.397599999999997</v>
      </c>
      <c r="F764" s="14">
        <f>CHOOSE(CONTROL!$C$42, 56.136, 56.136)*CHOOSE(CONTROL!$C$21, $C$9, 100%, $E$9)</f>
        <v>56.136000000000003</v>
      </c>
      <c r="G764" s="14">
        <f>CHOOSE(CONTROL!$C$42, 56.152, 56.152)*CHOOSE(CONTROL!$C$21, $C$9, 100%, $E$9)</f>
        <v>56.152000000000001</v>
      </c>
      <c r="H764" s="14">
        <f>CHOOSE(CONTROL!$C$42, 56.3862, 56.3862) * CHOOSE(CONTROL!$C$21, $C$9, 100%, $E$9)</f>
        <v>56.386200000000002</v>
      </c>
      <c r="I764" s="14">
        <f>CHOOSE(CONTROL!$C$42, 56.3355, 56.3355)* CHOOSE(CONTROL!$C$21, $C$9, 100%, $E$9)</f>
        <v>56.335500000000003</v>
      </c>
      <c r="J764" s="14">
        <f>CHOOSE(CONTROL!$C$42, 56.129, 56.129)* CHOOSE(CONTROL!$C$21, $C$9, 100%, $E$9)</f>
        <v>56.128999999999998</v>
      </c>
      <c r="K764" s="53">
        <f>CHOOSE(CONTROL!$C$42, 56.3316, 56.3316) * CHOOSE(CONTROL!$C$21, $C$9, 100%, $E$9)</f>
        <v>56.331600000000002</v>
      </c>
      <c r="L764" s="14">
        <f>CHOOSE(CONTROL!$C$42, 56.9732, 56.9732) * CHOOSE(CONTROL!$C$21, $C$9, 100%, $E$9)</f>
        <v>56.973199999999999</v>
      </c>
      <c r="M764" s="14">
        <f>CHOOSE(CONTROL!$C$42, 54.9866, 54.9866) * CHOOSE(CONTROL!$C$21, $C$9, 100%, $E$9)</f>
        <v>54.986600000000003</v>
      </c>
      <c r="N764" s="14">
        <f>CHOOSE(CONTROL!$C$42, 55.0023, 55.0023) * CHOOSE(CONTROL!$C$21, $C$9, 100%, $E$9)</f>
        <v>55.002299999999998</v>
      </c>
      <c r="O764" s="14">
        <f>CHOOSE(CONTROL!$C$42, 55.2386, 55.2386) * CHOOSE(CONTROL!$C$21, $C$9, 100%, $E$9)</f>
        <v>55.238599999999998</v>
      </c>
      <c r="P764" s="14">
        <f>CHOOSE(CONTROL!$C$42, 55.1854, 55.1854) * CHOOSE(CONTROL!$C$21, $C$9, 100%, $E$9)</f>
        <v>55.185400000000001</v>
      </c>
      <c r="Q764" s="14">
        <f>CHOOSE(CONTROL!$C$42, 55.8333, 55.8333) * CHOOSE(CONTROL!$C$21, $C$9, 100%, $E$9)</f>
        <v>55.833300000000001</v>
      </c>
      <c r="R764" s="14">
        <f>CHOOSE(CONTROL!$C$42, 56.5599, 56.5599) * CHOOSE(CONTROL!$C$21, $C$9, 100%, $E$9)</f>
        <v>56.559899999999999</v>
      </c>
      <c r="S764" s="14">
        <f>CHOOSE(CONTROL!$C$42, 53.9479, 53.9479) * CHOOSE(CONTROL!$C$21, $C$9, 100%, $E$9)</f>
        <v>53.947899999999997</v>
      </c>
      <c r="T76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64" s="57">
        <f>(1000*CHOOSE(CONTROL!$C$42, 695, 695)*CHOOSE(CONTROL!$C$42, 0.5599, 0.5599)*CHOOSE(CONTROL!$C$42, 31, 31))/1000000</f>
        <v>12.063045499999998</v>
      </c>
      <c r="V764" s="57">
        <f>(1000*CHOOSE(CONTROL!$C$42, 500, 500)*CHOOSE(CONTROL!$C$42, 0.275, 0.275)*CHOOSE(CONTROL!$C$42, 31, 31))/1000000</f>
        <v>4.2625000000000002</v>
      </c>
      <c r="W764" s="57">
        <f>(1000*CHOOSE(CONTROL!$C$42, 0.1146, 0.1146)*CHOOSE(CONTROL!$C$42, 121.5, 121.5)*CHOOSE(CONTROL!$C$42, 31, 31))/1000000</f>
        <v>0.43164089999999994</v>
      </c>
      <c r="X764" s="57">
        <f>(31*0.1790888*245000/1000000)+(31*0.2374*100000/1000000)</f>
        <v>2.0961194359999999</v>
      </c>
      <c r="Y764" s="57"/>
      <c r="Z764" s="14"/>
      <c r="AA764" s="56"/>
      <c r="AB764" s="50">
        <f>(B764*194.205+C764*267.466+D764*133.845+E764*53.484+F764*40+G764*185+H764*0+I764*100+J764*300)/(194.205+267.466+133.845+53.484+0+40+185+100+300)</f>
        <v>56.195750289324977</v>
      </c>
      <c r="AC764" s="45">
        <f>(M764*'RAP TEMPLATE-GAS AVAILABILITY'!O763+N764*'RAP TEMPLATE-GAS AVAILABILITY'!P763+O764*'RAP TEMPLATE-GAS AVAILABILITY'!Q763+P764*'RAP TEMPLATE-GAS AVAILABILITY'!R763)/('RAP TEMPLATE-GAS AVAILABILITY'!O763+'RAP TEMPLATE-GAS AVAILABILITY'!P763+'RAP TEMPLATE-GAS AVAILABILITY'!Q763+'RAP TEMPLATE-GAS AVAILABILITY'!R763)</f>
        <v>55.130323741007203</v>
      </c>
    </row>
    <row r="765" spans="1:29" ht="15.75" x14ac:dyDescent="0.25">
      <c r="A765" s="32">
        <v>64192</v>
      </c>
      <c r="B765" s="14">
        <f>CHOOSE(CONTROL!$C$42, 52.5894, 52.5894) * CHOOSE(CONTROL!$C$21, $C$9, 100%, $E$9)</f>
        <v>52.589399999999998</v>
      </c>
      <c r="C765" s="14">
        <f>CHOOSE(CONTROL!$C$42, 52.5974, 52.5974) * CHOOSE(CONTROL!$C$21, $C$9, 100%, $E$9)</f>
        <v>52.5974</v>
      </c>
      <c r="D765" s="14">
        <f>CHOOSE(CONTROL!$C$42, 52.8014, 52.8014) * CHOOSE(CONTROL!$C$21, $C$9, 100%, $E$9)</f>
        <v>52.801400000000001</v>
      </c>
      <c r="E765" s="14">
        <f>CHOOSE(CONTROL!$C$42, 52.8328, 52.8328) * CHOOSE(CONTROL!$C$21, $C$9, 100%, $E$9)</f>
        <v>52.832799999999999</v>
      </c>
      <c r="F765" s="14">
        <f>CHOOSE(CONTROL!$C$42, 52.5713, 52.5713)*CHOOSE(CONTROL!$C$21, $C$9, 100%, $E$9)</f>
        <v>52.571300000000001</v>
      </c>
      <c r="G765" s="14">
        <f>CHOOSE(CONTROL!$C$42, 52.5873, 52.5873)*CHOOSE(CONTROL!$C$21, $C$9, 100%, $E$9)</f>
        <v>52.587299999999999</v>
      </c>
      <c r="H765" s="14">
        <f>CHOOSE(CONTROL!$C$42, 52.8215, 52.8215) * CHOOSE(CONTROL!$C$21, $C$9, 100%, $E$9)</f>
        <v>52.8215</v>
      </c>
      <c r="I765" s="14">
        <f>CHOOSE(CONTROL!$C$42, 52.7596, 52.7596)* CHOOSE(CONTROL!$C$21, $C$9, 100%, $E$9)</f>
        <v>52.759599999999999</v>
      </c>
      <c r="J765" s="14">
        <f>CHOOSE(CONTROL!$C$42, 52.5643, 52.5643)* CHOOSE(CONTROL!$C$21, $C$9, 100%, $E$9)</f>
        <v>52.564300000000003</v>
      </c>
      <c r="K765" s="53">
        <f>CHOOSE(CONTROL!$C$42, 52.7557, 52.7557) * CHOOSE(CONTROL!$C$21, $C$9, 100%, $E$9)</f>
        <v>52.755699999999997</v>
      </c>
      <c r="L765" s="14">
        <f>CHOOSE(CONTROL!$C$42, 53.4085, 53.4085) * CHOOSE(CONTROL!$C$21, $C$9, 100%, $E$9)</f>
        <v>53.408499999999997</v>
      </c>
      <c r="M765" s="14">
        <f>CHOOSE(CONTROL!$C$42, 51.495, 51.495) * CHOOSE(CONTROL!$C$21, $C$9, 100%, $E$9)</f>
        <v>51.494999999999997</v>
      </c>
      <c r="N765" s="14">
        <f>CHOOSE(CONTROL!$C$42, 51.5107, 51.5107) * CHOOSE(CONTROL!$C$21, $C$9, 100%, $E$9)</f>
        <v>51.5107</v>
      </c>
      <c r="O765" s="14">
        <f>CHOOSE(CONTROL!$C$42, 51.7469, 51.7469) * CHOOSE(CONTROL!$C$21, $C$9, 100%, $E$9)</f>
        <v>51.746899999999997</v>
      </c>
      <c r="P765" s="14">
        <f>CHOOSE(CONTROL!$C$42, 51.683, 51.683) * CHOOSE(CONTROL!$C$21, $C$9, 100%, $E$9)</f>
        <v>51.683</v>
      </c>
      <c r="Q765" s="14">
        <f>CHOOSE(CONTROL!$C$42, 52.3416, 52.3416) * CHOOSE(CONTROL!$C$21, $C$9, 100%, $E$9)</f>
        <v>52.3416</v>
      </c>
      <c r="R765" s="14">
        <f>CHOOSE(CONTROL!$C$42, 53.0594, 53.0594) * CHOOSE(CONTROL!$C$21, $C$9, 100%, $E$9)</f>
        <v>53.059399999999997</v>
      </c>
      <c r="S765" s="14">
        <f>CHOOSE(CONTROL!$C$42, 50.5225, 50.5225) * CHOOSE(CONTROL!$C$21, $C$9, 100%, $E$9)</f>
        <v>50.522500000000001</v>
      </c>
      <c r="T76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65" s="57">
        <f>(1000*CHOOSE(CONTROL!$C$42, 695, 695)*CHOOSE(CONTROL!$C$42, 0.5599, 0.5599)*CHOOSE(CONTROL!$C$42, 30, 30))/1000000</f>
        <v>11.673914999999997</v>
      </c>
      <c r="V765" s="57">
        <f>(1000*CHOOSE(CONTROL!$C$42, 500, 500)*CHOOSE(CONTROL!$C$42, 0.275, 0.275)*CHOOSE(CONTROL!$C$42, 30, 30))/1000000</f>
        <v>4.125</v>
      </c>
      <c r="W765" s="57">
        <f>(1000*CHOOSE(CONTROL!$C$42, 0.1146, 0.1146)*CHOOSE(CONTROL!$C$42, 121.5, 121.5)*CHOOSE(CONTROL!$C$42, 30, 30))/1000000</f>
        <v>0.417717</v>
      </c>
      <c r="X765" s="57">
        <f>(30*0.1790888*245000/1000000)+(30*0.2374*100000/1000000)</f>
        <v>2.0285026799999999</v>
      </c>
      <c r="Y765" s="57"/>
      <c r="Z765" s="14"/>
      <c r="AA765" s="56"/>
      <c r="AB765" s="50">
        <f>(B765*194.205+C765*267.466+D765*133.845+E765*53.484+F765*40+G765*185+H765*0+I765*100+J765*300)/(194.205+267.466+133.845+53.484+0+40+185+100+300)</f>
        <v>52.630145976138145</v>
      </c>
      <c r="AC765" s="45">
        <f>(M765*'RAP TEMPLATE-GAS AVAILABILITY'!O764+N765*'RAP TEMPLATE-GAS AVAILABILITY'!P764+O765*'RAP TEMPLATE-GAS AVAILABILITY'!Q764+P765*'RAP TEMPLATE-GAS AVAILABILITY'!R764)/('RAP TEMPLATE-GAS AVAILABILITY'!O764+'RAP TEMPLATE-GAS AVAILABILITY'!P764+'RAP TEMPLATE-GAS AVAILABILITY'!Q764+'RAP TEMPLATE-GAS AVAILABILITY'!R764)</f>
        <v>51.637124460431657</v>
      </c>
    </row>
    <row r="766" spans="1:29" ht="15.75" x14ac:dyDescent="0.25">
      <c r="A766" s="32">
        <v>64223</v>
      </c>
      <c r="B766" s="14">
        <f>CHOOSE(CONTROL!$C$42, 51.5201, 51.5201) * CHOOSE(CONTROL!$C$21, $C$9, 100%, $E$9)</f>
        <v>51.520099999999999</v>
      </c>
      <c r="C766" s="14">
        <f>CHOOSE(CONTROL!$C$42, 51.5254, 51.5254) * CHOOSE(CONTROL!$C$21, $C$9, 100%, $E$9)</f>
        <v>51.525399999999998</v>
      </c>
      <c r="D766" s="14">
        <f>CHOOSE(CONTROL!$C$42, 51.7343, 51.7343) * CHOOSE(CONTROL!$C$21, $C$9, 100%, $E$9)</f>
        <v>51.734299999999998</v>
      </c>
      <c r="E766" s="14">
        <f>CHOOSE(CONTROL!$C$42, 51.7635, 51.7635) * CHOOSE(CONTROL!$C$21, $C$9, 100%, $E$9)</f>
        <v>51.763500000000001</v>
      </c>
      <c r="F766" s="14">
        <f>CHOOSE(CONTROL!$C$42, 51.5041, 51.5041)*CHOOSE(CONTROL!$C$21, $C$9, 100%, $E$9)</f>
        <v>51.504100000000001</v>
      </c>
      <c r="G766" s="14">
        <f>CHOOSE(CONTROL!$C$42, 51.5198, 51.5198)*CHOOSE(CONTROL!$C$21, $C$9, 100%, $E$9)</f>
        <v>51.519799999999996</v>
      </c>
      <c r="H766" s="14">
        <f>CHOOSE(CONTROL!$C$42, 51.7539, 51.7539) * CHOOSE(CONTROL!$C$21, $C$9, 100%, $E$9)</f>
        <v>51.753900000000002</v>
      </c>
      <c r="I766" s="14">
        <f>CHOOSE(CONTROL!$C$42, 51.6887, 51.6887)* CHOOSE(CONTROL!$C$21, $C$9, 100%, $E$9)</f>
        <v>51.688699999999997</v>
      </c>
      <c r="J766" s="14">
        <f>CHOOSE(CONTROL!$C$42, 51.4971, 51.4971)* CHOOSE(CONTROL!$C$21, $C$9, 100%, $E$9)</f>
        <v>51.497100000000003</v>
      </c>
      <c r="K766" s="53">
        <f>CHOOSE(CONTROL!$C$42, 51.6848, 51.6848) * CHOOSE(CONTROL!$C$21, $C$9, 100%, $E$9)</f>
        <v>51.684800000000003</v>
      </c>
      <c r="L766" s="14">
        <f>CHOOSE(CONTROL!$C$42, 52.3409, 52.3409) * CHOOSE(CONTROL!$C$21, $C$9, 100%, $E$9)</f>
        <v>52.340899999999998</v>
      </c>
      <c r="M766" s="14">
        <f>CHOOSE(CONTROL!$C$42, 50.4497, 50.4497) * CHOOSE(CONTROL!$C$21, $C$9, 100%, $E$9)</f>
        <v>50.4497</v>
      </c>
      <c r="N766" s="14">
        <f>CHOOSE(CONTROL!$C$42, 50.465, 50.465) * CHOOSE(CONTROL!$C$21, $C$9, 100%, $E$9)</f>
        <v>50.465000000000003</v>
      </c>
      <c r="O766" s="14">
        <f>CHOOSE(CONTROL!$C$42, 50.7012, 50.7012) * CHOOSE(CONTROL!$C$21, $C$9, 100%, $E$9)</f>
        <v>50.7012</v>
      </c>
      <c r="P766" s="14">
        <f>CHOOSE(CONTROL!$C$42, 50.6341, 50.6341) * CHOOSE(CONTROL!$C$21, $C$9, 100%, $E$9)</f>
        <v>50.634099999999997</v>
      </c>
      <c r="Q766" s="14">
        <f>CHOOSE(CONTROL!$C$42, 51.2959, 51.2959) * CHOOSE(CONTROL!$C$21, $C$9, 100%, $E$9)</f>
        <v>51.295900000000003</v>
      </c>
      <c r="R766" s="14">
        <f>CHOOSE(CONTROL!$C$42, 52.0112, 52.0112) * CHOOSE(CONTROL!$C$21, $C$9, 100%, $E$9)</f>
        <v>52.011200000000002</v>
      </c>
      <c r="S766" s="14">
        <f>CHOOSE(CONTROL!$C$42, 49.4967, 49.4967) * CHOOSE(CONTROL!$C$21, $C$9, 100%, $E$9)</f>
        <v>49.496699999999997</v>
      </c>
      <c r="T76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66" s="57">
        <f>(1000*CHOOSE(CONTROL!$C$42, 695, 695)*CHOOSE(CONTROL!$C$42, 0.5599, 0.5599)*CHOOSE(CONTROL!$C$42, 31, 31))/1000000</f>
        <v>12.063045499999998</v>
      </c>
      <c r="V766" s="57">
        <f>(1000*CHOOSE(CONTROL!$C$42, 500, 500)*CHOOSE(CONTROL!$C$42, 0.275, 0.275)*CHOOSE(CONTROL!$C$42, 31, 31))/1000000</f>
        <v>4.2625000000000002</v>
      </c>
      <c r="W766" s="57">
        <f>(1000*CHOOSE(CONTROL!$C$42, 0.1146, 0.1146)*CHOOSE(CONTROL!$C$42, 121.5, 121.5)*CHOOSE(CONTROL!$C$42, 31, 31))/1000000</f>
        <v>0.43164089999999994</v>
      </c>
      <c r="X766" s="57">
        <f>(31*0.1790888*245000/1000000)+(31*0.2374*100000/1000000)</f>
        <v>2.0961194359999999</v>
      </c>
      <c r="Y766" s="57"/>
      <c r="Z766" s="14"/>
      <c r="AA766" s="56"/>
      <c r="AB766" s="50">
        <f>(B766*131.881+C766*277.167+D766*79.08+E766*125.872+F766*40+G766*185+H766*0+I766*100+J766*300)/(131.881+277.167+79.08+125.872+0+40+185+100+300)</f>
        <v>51.567161877239712</v>
      </c>
      <c r="AC766" s="45">
        <f>(M766*'RAP TEMPLATE-GAS AVAILABILITY'!O765+N766*'RAP TEMPLATE-GAS AVAILABILITY'!P765+O766*'RAP TEMPLATE-GAS AVAILABILITY'!Q765+P766*'RAP TEMPLATE-GAS AVAILABILITY'!R765)/('RAP TEMPLATE-GAS AVAILABILITY'!O765+'RAP TEMPLATE-GAS AVAILABILITY'!P765+'RAP TEMPLATE-GAS AVAILABILITY'!Q765+'RAP TEMPLATE-GAS AVAILABILITY'!R765)</f>
        <v>50.591102158273387</v>
      </c>
    </row>
    <row r="767" spans="1:29" ht="15.75" x14ac:dyDescent="0.25">
      <c r="A767" s="32">
        <v>64253</v>
      </c>
      <c r="B767" s="14">
        <f>CHOOSE(CONTROL!$C$42, 52.8767, 52.8767) * CHOOSE(CONTROL!$C$21, $C$9, 100%, $E$9)</f>
        <v>52.8767</v>
      </c>
      <c r="C767" s="14">
        <f>CHOOSE(CONTROL!$C$42, 52.8818, 52.8818) * CHOOSE(CONTROL!$C$21, $C$9, 100%, $E$9)</f>
        <v>52.881799999999998</v>
      </c>
      <c r="D767" s="14">
        <f>CHOOSE(CONTROL!$C$42, 52.9456, 52.9456) * CHOOSE(CONTROL!$C$21, $C$9, 100%, $E$9)</f>
        <v>52.945599999999999</v>
      </c>
      <c r="E767" s="14">
        <f>CHOOSE(CONTROL!$C$42, 52.9797, 52.9797) * CHOOSE(CONTROL!$C$21, $C$9, 100%, $E$9)</f>
        <v>52.979700000000001</v>
      </c>
      <c r="F767" s="14">
        <f>CHOOSE(CONTROL!$C$42, 52.8791, 52.8791)*CHOOSE(CONTROL!$C$21, $C$9, 100%, $E$9)</f>
        <v>52.879100000000001</v>
      </c>
      <c r="G767" s="14">
        <f>CHOOSE(CONTROL!$C$42, 52.8951, 52.8951)*CHOOSE(CONTROL!$C$21, $C$9, 100%, $E$9)</f>
        <v>52.895099999999999</v>
      </c>
      <c r="H767" s="14">
        <f>CHOOSE(CONTROL!$C$42, 52.9689, 52.9689) * CHOOSE(CONTROL!$C$21, $C$9, 100%, $E$9)</f>
        <v>52.968899999999998</v>
      </c>
      <c r="I767" s="14">
        <f>CHOOSE(CONTROL!$C$42, 53.0552, 53.0552)* CHOOSE(CONTROL!$C$21, $C$9, 100%, $E$9)</f>
        <v>53.055199999999999</v>
      </c>
      <c r="J767" s="14">
        <f>CHOOSE(CONTROL!$C$42, 52.8721, 52.8721)* CHOOSE(CONTROL!$C$21, $C$9, 100%, $E$9)</f>
        <v>52.872100000000003</v>
      </c>
      <c r="K767" s="53">
        <f>CHOOSE(CONTROL!$C$42, 53.0513, 53.0513) * CHOOSE(CONTROL!$C$21, $C$9, 100%, $E$9)</f>
        <v>53.051299999999998</v>
      </c>
      <c r="L767" s="14">
        <f>CHOOSE(CONTROL!$C$42, 53.5559, 53.5559) * CHOOSE(CONTROL!$C$21, $C$9, 100%, $E$9)</f>
        <v>53.555900000000001</v>
      </c>
      <c r="M767" s="14">
        <f>CHOOSE(CONTROL!$C$42, 51.7965, 51.7965) * CHOOSE(CONTROL!$C$21, $C$9, 100%, $E$9)</f>
        <v>51.796500000000002</v>
      </c>
      <c r="N767" s="14">
        <f>CHOOSE(CONTROL!$C$42, 51.8122, 51.8122) * CHOOSE(CONTROL!$C$21, $C$9, 100%, $E$9)</f>
        <v>51.812199999999997</v>
      </c>
      <c r="O767" s="14">
        <f>CHOOSE(CONTROL!$C$42, 51.8913, 51.8913) * CHOOSE(CONTROL!$C$21, $C$9, 100%, $E$9)</f>
        <v>51.891300000000001</v>
      </c>
      <c r="P767" s="14">
        <f>CHOOSE(CONTROL!$C$42, 51.9725, 51.9725) * CHOOSE(CONTROL!$C$21, $C$9, 100%, $E$9)</f>
        <v>51.972499999999997</v>
      </c>
      <c r="Q767" s="14">
        <f>CHOOSE(CONTROL!$C$42, 52.486, 52.486) * CHOOSE(CONTROL!$C$21, $C$9, 100%, $E$9)</f>
        <v>52.485999999999997</v>
      </c>
      <c r="R767" s="14">
        <f>CHOOSE(CONTROL!$C$42, 53.2042, 53.2042) * CHOOSE(CONTROL!$C$21, $C$9, 100%, $E$9)</f>
        <v>53.2042</v>
      </c>
      <c r="S767" s="14">
        <f>CHOOSE(CONTROL!$C$42, 50.8007, 50.8007) * CHOOSE(CONTROL!$C$21, $C$9, 100%, $E$9)</f>
        <v>50.800699999999999</v>
      </c>
      <c r="T76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67" s="57">
        <f>(1000*CHOOSE(CONTROL!$C$42, 695, 695)*CHOOSE(CONTROL!$C$42, 0.5599, 0.5599)*CHOOSE(CONTROL!$C$42, 30, 30))/1000000</f>
        <v>11.673914999999997</v>
      </c>
      <c r="V767" s="57">
        <f>(1000*CHOOSE(CONTROL!$C$42, 500, 500)*CHOOSE(CONTROL!$C$42, 0.275, 0.275)*CHOOSE(CONTROL!$C$42, 30, 30))/1000000</f>
        <v>4.125</v>
      </c>
      <c r="W767" s="57">
        <f>(1000*CHOOSE(CONTROL!$C$42, 0.1146, 0.1146)*CHOOSE(CONTROL!$C$42, 121.5, 121.5)*CHOOSE(CONTROL!$C$42, 30, 30))/1000000</f>
        <v>0.417717</v>
      </c>
      <c r="X767" s="57">
        <f>(30*0.1790888*100000/1000000)+(30*0.2374*100000/1000000)</f>
        <v>1.2494664</v>
      </c>
      <c r="Y767" s="57"/>
      <c r="Z767" s="14"/>
      <c r="AA767" s="56"/>
      <c r="AB767" s="50">
        <f>(B767*122.58+C767*297.941+D767*89.177+E767*40.302+F767*40+G767*160+H767*0+I767*100+J767*300)/(122.58+297.941+89.177+40.302+0+40+160+100+300)</f>
        <v>52.903939043826085</v>
      </c>
      <c r="AC767" s="45">
        <f>(M767*'RAP TEMPLATE-GAS AVAILABILITY'!O766+N767*'RAP TEMPLATE-GAS AVAILABILITY'!P766+O767*'RAP TEMPLATE-GAS AVAILABILITY'!Q766+P767*'RAP TEMPLATE-GAS AVAILABILITY'!R766)/('RAP TEMPLATE-GAS AVAILABILITY'!O766+'RAP TEMPLATE-GAS AVAILABILITY'!P766+'RAP TEMPLATE-GAS AVAILABILITY'!Q766+'RAP TEMPLATE-GAS AVAILABILITY'!R766)</f>
        <v>51.86569424460432</v>
      </c>
    </row>
    <row r="768" spans="1:29" ht="15.75" x14ac:dyDescent="0.25">
      <c r="A768" s="32">
        <v>64284</v>
      </c>
      <c r="B768" s="14">
        <f>CHOOSE(CONTROL!$C$42, 56.4812, 56.4812) * CHOOSE(CONTROL!$C$21, $C$9, 100%, $E$9)</f>
        <v>56.481200000000001</v>
      </c>
      <c r="C768" s="14">
        <f>CHOOSE(CONTROL!$C$42, 56.4862, 56.4862) * CHOOSE(CONTROL!$C$21, $C$9, 100%, $E$9)</f>
        <v>56.486199999999997</v>
      </c>
      <c r="D768" s="14">
        <f>CHOOSE(CONTROL!$C$42, 56.5501, 56.5501) * CHOOSE(CONTROL!$C$21, $C$9, 100%, $E$9)</f>
        <v>56.5501</v>
      </c>
      <c r="E768" s="14">
        <f>CHOOSE(CONTROL!$C$42, 56.5842, 56.5842) * CHOOSE(CONTROL!$C$21, $C$9, 100%, $E$9)</f>
        <v>56.584200000000003</v>
      </c>
      <c r="F768" s="14">
        <f>CHOOSE(CONTROL!$C$42, 56.4858, 56.4858)*CHOOSE(CONTROL!$C$21, $C$9, 100%, $E$9)</f>
        <v>56.485799999999998</v>
      </c>
      <c r="G768" s="14">
        <f>CHOOSE(CONTROL!$C$42, 56.5024, 56.5024)*CHOOSE(CONTROL!$C$21, $C$9, 100%, $E$9)</f>
        <v>56.502400000000002</v>
      </c>
      <c r="H768" s="14">
        <f>CHOOSE(CONTROL!$C$42, 56.5734, 56.5734) * CHOOSE(CONTROL!$C$21, $C$9, 100%, $E$9)</f>
        <v>56.573399999999999</v>
      </c>
      <c r="I768" s="14">
        <f>CHOOSE(CONTROL!$C$42, 56.6709, 56.6709)* CHOOSE(CONTROL!$C$21, $C$9, 100%, $E$9)</f>
        <v>56.670900000000003</v>
      </c>
      <c r="J768" s="14">
        <f>CHOOSE(CONTROL!$C$42, 56.4788, 56.4788)* CHOOSE(CONTROL!$C$21, $C$9, 100%, $E$9)</f>
        <v>56.4788</v>
      </c>
      <c r="K768" s="53">
        <f>CHOOSE(CONTROL!$C$42, 56.667, 56.667) * CHOOSE(CONTROL!$C$21, $C$9, 100%, $E$9)</f>
        <v>56.667000000000002</v>
      </c>
      <c r="L768" s="14">
        <f>CHOOSE(CONTROL!$C$42, 57.1604, 57.1604) * CHOOSE(CONTROL!$C$21, $C$9, 100%, $E$9)</f>
        <v>57.160400000000003</v>
      </c>
      <c r="M768" s="14">
        <f>CHOOSE(CONTROL!$C$42, 55.3293, 55.3293) * CHOOSE(CONTROL!$C$21, $C$9, 100%, $E$9)</f>
        <v>55.329300000000003</v>
      </c>
      <c r="N768" s="14">
        <f>CHOOSE(CONTROL!$C$42, 55.3456, 55.3456) * CHOOSE(CONTROL!$C$21, $C$9, 100%, $E$9)</f>
        <v>55.345599999999997</v>
      </c>
      <c r="O768" s="14">
        <f>CHOOSE(CONTROL!$C$42, 55.4219, 55.4219) * CHOOSE(CONTROL!$C$21, $C$9, 100%, $E$9)</f>
        <v>55.421900000000001</v>
      </c>
      <c r="P768" s="14">
        <f>CHOOSE(CONTROL!$C$42, 55.514, 55.514) * CHOOSE(CONTROL!$C$21, $C$9, 100%, $E$9)</f>
        <v>55.514000000000003</v>
      </c>
      <c r="Q768" s="14">
        <f>CHOOSE(CONTROL!$C$42, 56.0166, 56.0166) * CHOOSE(CONTROL!$C$21, $C$9, 100%, $E$9)</f>
        <v>56.016599999999997</v>
      </c>
      <c r="R768" s="14">
        <f>CHOOSE(CONTROL!$C$42, 56.7436, 56.7436) * CHOOSE(CONTROL!$C$21, $C$9, 100%, $E$9)</f>
        <v>56.743600000000001</v>
      </c>
      <c r="S768" s="14">
        <f>CHOOSE(CONTROL!$C$42, 54.2642, 54.2642) * CHOOSE(CONTROL!$C$21, $C$9, 100%, $E$9)</f>
        <v>54.264200000000002</v>
      </c>
      <c r="T76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68" s="57">
        <f>(1000*CHOOSE(CONTROL!$C$42, 695, 695)*CHOOSE(CONTROL!$C$42, 0.5599, 0.5599)*CHOOSE(CONTROL!$C$42, 31, 31))/1000000</f>
        <v>12.063045499999998</v>
      </c>
      <c r="V768" s="57">
        <f>(1000*CHOOSE(CONTROL!$C$42, 500, 500)*CHOOSE(CONTROL!$C$42, 0.275, 0.275)*CHOOSE(CONTROL!$C$42, 31, 31))/1000000</f>
        <v>4.2625000000000002</v>
      </c>
      <c r="W768" s="57">
        <f>(1000*CHOOSE(CONTROL!$C$42, 0.1146, 0.1146)*CHOOSE(CONTROL!$C$42, 121.5, 121.5)*CHOOSE(CONTROL!$C$42, 31, 31))/1000000</f>
        <v>0.43164089999999994</v>
      </c>
      <c r="X768" s="57">
        <f>(31*0.1790888*100000/1000000)+(31*0.2374*100000/1000000)</f>
        <v>1.2911152800000001</v>
      </c>
      <c r="Y768" s="57"/>
      <c r="Z768" s="14"/>
      <c r="AA768" s="56"/>
      <c r="AB768" s="50">
        <f>(B768*122.58+C768*297.941+D768*89.177+E768*40.302+F768*40+G768*160+H768*0+I768*100+J768*300)/(122.58+297.941+89.177+40.302+0+40+160+100+300)</f>
        <v>56.510427048956522</v>
      </c>
      <c r="AC768" s="45">
        <f>(M768*'RAP TEMPLATE-GAS AVAILABILITY'!O767+N768*'RAP TEMPLATE-GAS AVAILABILITY'!P767+O768*'RAP TEMPLATE-GAS AVAILABILITY'!Q767+P768*'RAP TEMPLATE-GAS AVAILABILITY'!R767)/('RAP TEMPLATE-GAS AVAILABILITY'!O767+'RAP TEMPLATE-GAS AVAILABILITY'!P767+'RAP TEMPLATE-GAS AVAILABILITY'!Q767+'RAP TEMPLATE-GAS AVAILABILITY'!R767)</f>
        <v>55.398783453237414</v>
      </c>
    </row>
    <row r="769" spans="1:29" ht="15.75" x14ac:dyDescent="0.25">
      <c r="A769" s="32">
        <v>64315</v>
      </c>
      <c r="B769" s="14">
        <f>CHOOSE(CONTROL!$C$42, 61.107, 61.107) * CHOOSE(CONTROL!$C$21, $C$9, 100%, $E$9)</f>
        <v>61.106999999999999</v>
      </c>
      <c r="C769" s="14">
        <f>CHOOSE(CONTROL!$C$42, 61.1121, 61.1121) * CHOOSE(CONTROL!$C$21, $C$9, 100%, $E$9)</f>
        <v>61.112099999999998</v>
      </c>
      <c r="D769" s="14">
        <f>CHOOSE(CONTROL!$C$42, 61.1785, 61.1785) * CHOOSE(CONTROL!$C$21, $C$9, 100%, $E$9)</f>
        <v>61.1785</v>
      </c>
      <c r="E769" s="14">
        <f>CHOOSE(CONTROL!$C$42, 61.2126, 61.2126) * CHOOSE(CONTROL!$C$21, $C$9, 100%, $E$9)</f>
        <v>61.212600000000002</v>
      </c>
      <c r="F769" s="14">
        <f>CHOOSE(CONTROL!$C$42, 61.0943, 61.0943)*CHOOSE(CONTROL!$C$21, $C$9, 100%, $E$9)</f>
        <v>61.094299999999997</v>
      </c>
      <c r="G769" s="14">
        <f>CHOOSE(CONTROL!$C$42, 61.1098, 61.1098)*CHOOSE(CONTROL!$C$21, $C$9, 100%, $E$9)</f>
        <v>61.1098</v>
      </c>
      <c r="H769" s="14">
        <f>CHOOSE(CONTROL!$C$42, 61.2018, 61.2018) * CHOOSE(CONTROL!$C$21, $C$9, 100%, $E$9)</f>
        <v>61.201799999999999</v>
      </c>
      <c r="I769" s="14">
        <f>CHOOSE(CONTROL!$C$42, 61.306, 61.306)* CHOOSE(CONTROL!$C$21, $C$9, 100%, $E$9)</f>
        <v>61.305999999999997</v>
      </c>
      <c r="J769" s="14">
        <f>CHOOSE(CONTROL!$C$42, 61.0873, 61.0873)* CHOOSE(CONTROL!$C$21, $C$9, 100%, $E$9)</f>
        <v>61.087299999999999</v>
      </c>
      <c r="K769" s="53">
        <f>CHOOSE(CONTROL!$C$42, 61.3021, 61.3021) * CHOOSE(CONTROL!$C$21, $C$9, 100%, $E$9)</f>
        <v>61.302100000000003</v>
      </c>
      <c r="L769" s="14">
        <f>CHOOSE(CONTROL!$C$42, 61.7888, 61.7888) * CHOOSE(CONTROL!$C$21, $C$9, 100%, $E$9)</f>
        <v>61.788800000000002</v>
      </c>
      <c r="M769" s="14">
        <f>CHOOSE(CONTROL!$C$42, 59.8434, 59.8434) * CHOOSE(CONTROL!$C$21, $C$9, 100%, $E$9)</f>
        <v>59.843400000000003</v>
      </c>
      <c r="N769" s="14">
        <f>CHOOSE(CONTROL!$C$42, 59.8585, 59.8585) * CHOOSE(CONTROL!$C$21, $C$9, 100%, $E$9)</f>
        <v>59.858499999999999</v>
      </c>
      <c r="O769" s="14">
        <f>CHOOSE(CONTROL!$C$42, 59.9555, 59.9555) * CHOOSE(CONTROL!$C$21, $C$9, 100%, $E$9)</f>
        <v>59.955500000000001</v>
      </c>
      <c r="P769" s="14">
        <f>CHOOSE(CONTROL!$C$42, 60.0538, 60.0538) * CHOOSE(CONTROL!$C$21, $C$9, 100%, $E$9)</f>
        <v>60.053800000000003</v>
      </c>
      <c r="Q769" s="14">
        <f>CHOOSE(CONTROL!$C$42, 60.5502, 60.5502) * CHOOSE(CONTROL!$C$21, $C$9, 100%, $E$9)</f>
        <v>60.550199999999997</v>
      </c>
      <c r="R769" s="14">
        <f>CHOOSE(CONTROL!$C$42, 61.2886, 61.2886) * CHOOSE(CONTROL!$C$21, $C$9, 100%, $E$9)</f>
        <v>61.288600000000002</v>
      </c>
      <c r="S769" s="14">
        <f>CHOOSE(CONTROL!$C$42, 58.7092, 58.7092) * CHOOSE(CONTROL!$C$21, $C$9, 100%, $E$9)</f>
        <v>58.709200000000003</v>
      </c>
      <c r="T76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69" s="57">
        <f>(1000*CHOOSE(CONTROL!$C$42, 695, 695)*CHOOSE(CONTROL!$C$42, 0.5599, 0.5599)*CHOOSE(CONTROL!$C$42, 31, 31))/1000000</f>
        <v>12.063045499999998</v>
      </c>
      <c r="V769" s="57">
        <f>(1000*CHOOSE(CONTROL!$C$42, 500, 500)*CHOOSE(CONTROL!$C$42, 0.275, 0.275)*CHOOSE(CONTROL!$C$42, 31, 31))/1000000</f>
        <v>4.2625000000000002</v>
      </c>
      <c r="W769" s="57">
        <f>(1000*CHOOSE(CONTROL!$C$42, 0.1146, 0.1146)*CHOOSE(CONTROL!$C$42, 121.5, 121.5)*CHOOSE(CONTROL!$C$42, 31, 31))/1000000</f>
        <v>0.43164089999999994</v>
      </c>
      <c r="X769" s="57">
        <f>(31*0.1790888*100000/1000000)+(31*0.2374*100000/1000000)</f>
        <v>1.2911152800000001</v>
      </c>
      <c r="Y769" s="57"/>
      <c r="Z769" s="14"/>
      <c r="AA769" s="56"/>
      <c r="AB769" s="50">
        <f>(B769*122.58+C769*297.941+D769*89.177+E769*40.302+F769*40+G769*160+H769*0+I769*100+J769*300)/(122.58+297.941+89.177+40.302+0+40+160+100+300)</f>
        <v>61.129679605043471</v>
      </c>
      <c r="AC769" s="45">
        <f>(M769*'RAP TEMPLATE-GAS AVAILABILITY'!O768+N769*'RAP TEMPLATE-GAS AVAILABILITY'!P768+O769*'RAP TEMPLATE-GAS AVAILABILITY'!Q768+P769*'RAP TEMPLATE-GAS AVAILABILITY'!R768)/('RAP TEMPLATE-GAS AVAILABILITY'!O768+'RAP TEMPLATE-GAS AVAILABILITY'!P768+'RAP TEMPLATE-GAS AVAILABILITY'!Q768+'RAP TEMPLATE-GAS AVAILABILITY'!R768)</f>
        <v>59.925350359712233</v>
      </c>
    </row>
    <row r="770" spans="1:29" ht="15.75" x14ac:dyDescent="0.25">
      <c r="A770" s="32">
        <v>64344</v>
      </c>
      <c r="B770" s="14">
        <f>CHOOSE(CONTROL!$C$42, 62.1946, 62.1946) * CHOOSE(CONTROL!$C$21, $C$9, 100%, $E$9)</f>
        <v>62.194600000000001</v>
      </c>
      <c r="C770" s="14">
        <f>CHOOSE(CONTROL!$C$42, 62.1997, 62.1997) * CHOOSE(CONTROL!$C$21, $C$9, 100%, $E$9)</f>
        <v>62.1997</v>
      </c>
      <c r="D770" s="14">
        <f>CHOOSE(CONTROL!$C$42, 62.2661, 62.2661) * CHOOSE(CONTROL!$C$21, $C$9, 100%, $E$9)</f>
        <v>62.266100000000002</v>
      </c>
      <c r="E770" s="14">
        <f>CHOOSE(CONTROL!$C$42, 62.3002, 62.3002) * CHOOSE(CONTROL!$C$21, $C$9, 100%, $E$9)</f>
        <v>62.300199999999997</v>
      </c>
      <c r="F770" s="14">
        <f>CHOOSE(CONTROL!$C$42, 62.182, 62.182)*CHOOSE(CONTROL!$C$21, $C$9, 100%, $E$9)</f>
        <v>62.182000000000002</v>
      </c>
      <c r="G770" s="14">
        <f>CHOOSE(CONTROL!$C$42, 62.1975, 62.1975)*CHOOSE(CONTROL!$C$21, $C$9, 100%, $E$9)</f>
        <v>62.197499999999998</v>
      </c>
      <c r="H770" s="14">
        <f>CHOOSE(CONTROL!$C$42, 62.2894, 62.2894) * CHOOSE(CONTROL!$C$21, $C$9, 100%, $E$9)</f>
        <v>62.289400000000001</v>
      </c>
      <c r="I770" s="14">
        <f>CHOOSE(CONTROL!$C$42, 62.397, 62.397)* CHOOSE(CONTROL!$C$21, $C$9, 100%, $E$9)</f>
        <v>62.396999999999998</v>
      </c>
      <c r="J770" s="14">
        <f>CHOOSE(CONTROL!$C$42, 62.175, 62.175)* CHOOSE(CONTROL!$C$21, $C$9, 100%, $E$9)</f>
        <v>62.174999999999997</v>
      </c>
      <c r="K770" s="53">
        <f>CHOOSE(CONTROL!$C$42, 62.3931, 62.3931) * CHOOSE(CONTROL!$C$21, $C$9, 100%, $E$9)</f>
        <v>62.393099999999997</v>
      </c>
      <c r="L770" s="14">
        <f>CHOOSE(CONTROL!$C$42, 62.8764, 62.8764) * CHOOSE(CONTROL!$C$21, $C$9, 100%, $E$9)</f>
        <v>62.876399999999997</v>
      </c>
      <c r="M770" s="14">
        <f>CHOOSE(CONTROL!$C$42, 60.9088, 60.9088) * CHOOSE(CONTROL!$C$21, $C$9, 100%, $E$9)</f>
        <v>60.908799999999999</v>
      </c>
      <c r="N770" s="14">
        <f>CHOOSE(CONTROL!$C$42, 60.924, 60.924) * CHOOSE(CONTROL!$C$21, $C$9, 100%, $E$9)</f>
        <v>60.923999999999999</v>
      </c>
      <c r="O770" s="14">
        <f>CHOOSE(CONTROL!$C$42, 61.0208, 61.0208) * CHOOSE(CONTROL!$C$21, $C$9, 100%, $E$9)</f>
        <v>61.020800000000001</v>
      </c>
      <c r="P770" s="14">
        <f>CHOOSE(CONTROL!$C$42, 61.1224, 61.1224) * CHOOSE(CONTROL!$C$21, $C$9, 100%, $E$9)</f>
        <v>61.122399999999999</v>
      </c>
      <c r="Q770" s="14">
        <f>CHOOSE(CONTROL!$C$42, 61.6155, 61.6155) * CHOOSE(CONTROL!$C$21, $C$9, 100%, $E$9)</f>
        <v>61.615499999999997</v>
      </c>
      <c r="R770" s="14">
        <f>CHOOSE(CONTROL!$C$42, 62.3566, 62.3566) * CHOOSE(CONTROL!$C$21, $C$9, 100%, $E$9)</f>
        <v>62.3566</v>
      </c>
      <c r="S770" s="14">
        <f>CHOOSE(CONTROL!$C$42, 59.7543, 59.7543) * CHOOSE(CONTROL!$C$21, $C$9, 100%, $E$9)</f>
        <v>59.754300000000001</v>
      </c>
      <c r="T770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770" s="57">
        <f>(1000*CHOOSE(CONTROL!$C$42, 695, 695)*CHOOSE(CONTROL!$C$42, 0.5599, 0.5599)*CHOOSE(CONTROL!$C$42, 29, 29))/1000000</f>
        <v>11.284784499999999</v>
      </c>
      <c r="V770" s="57">
        <f>(1000*CHOOSE(CONTROL!$C$42, 500, 500)*CHOOSE(CONTROL!$C$42, 0.275, 0.275)*CHOOSE(CONTROL!$C$42, 29, 29))/1000000</f>
        <v>3.9874999999999998</v>
      </c>
      <c r="W770" s="57">
        <f>(1000*CHOOSE(CONTROL!$C$42, 0.1146, 0.1146)*CHOOSE(CONTROL!$C$42, 121.5, 121.5)*CHOOSE(CONTROL!$C$42, 29, 29))/1000000</f>
        <v>0.40379309999999996</v>
      </c>
      <c r="X770" s="57">
        <f>(29*0.1790888*100000/1000000)+(29*0.2374*100000/1000000)</f>
        <v>1.2078175199999999</v>
      </c>
      <c r="Y770" s="57"/>
      <c r="Z770" s="14"/>
      <c r="AA770" s="56"/>
      <c r="AB770" s="50">
        <f>(B770*122.58+C770*297.941+D770*89.177+E770*40.302+F770*40+G770*160+H770*0+I770*100+J770*300)/(122.58+297.941+89.177+40.302+0+40+160+100+300)</f>
        <v>62.217618735478254</v>
      </c>
      <c r="AC770" s="45">
        <f>(M770*'RAP TEMPLATE-GAS AVAILABILITY'!O769+N770*'RAP TEMPLATE-GAS AVAILABILITY'!P769+O770*'RAP TEMPLATE-GAS AVAILABILITY'!Q769+P770*'RAP TEMPLATE-GAS AVAILABILITY'!R769)/('RAP TEMPLATE-GAS AVAILABILITY'!O769+'RAP TEMPLATE-GAS AVAILABILITY'!P769+'RAP TEMPLATE-GAS AVAILABILITY'!Q769+'RAP TEMPLATE-GAS AVAILABILITY'!R769)</f>
        <v>60.991171223021574</v>
      </c>
    </row>
    <row r="771" spans="1:29" ht="15.75" x14ac:dyDescent="0.25">
      <c r="A771" s="32">
        <v>64375</v>
      </c>
      <c r="B771" s="14">
        <f>CHOOSE(CONTROL!$C$42, 60.4291, 60.4291) * CHOOSE(CONTROL!$C$21, $C$9, 100%, $E$9)</f>
        <v>60.429099999999998</v>
      </c>
      <c r="C771" s="14">
        <f>CHOOSE(CONTROL!$C$42, 60.4342, 60.4342) * CHOOSE(CONTROL!$C$21, $C$9, 100%, $E$9)</f>
        <v>60.434199999999997</v>
      </c>
      <c r="D771" s="14">
        <f>CHOOSE(CONTROL!$C$42, 60.5006, 60.5006) * CHOOSE(CONTROL!$C$21, $C$9, 100%, $E$9)</f>
        <v>60.500599999999999</v>
      </c>
      <c r="E771" s="14">
        <f>CHOOSE(CONTROL!$C$42, 60.5347, 60.5347) * CHOOSE(CONTROL!$C$21, $C$9, 100%, $E$9)</f>
        <v>60.534700000000001</v>
      </c>
      <c r="F771" s="14">
        <f>CHOOSE(CONTROL!$C$42, 60.4161, 60.4161)*CHOOSE(CONTROL!$C$21, $C$9, 100%, $E$9)</f>
        <v>60.4161</v>
      </c>
      <c r="G771" s="14">
        <f>CHOOSE(CONTROL!$C$42, 60.4315, 60.4315)*CHOOSE(CONTROL!$C$21, $C$9, 100%, $E$9)</f>
        <v>60.4315</v>
      </c>
      <c r="H771" s="14">
        <f>CHOOSE(CONTROL!$C$42, 60.5239, 60.5239) * CHOOSE(CONTROL!$C$21, $C$9, 100%, $E$9)</f>
        <v>60.523899999999998</v>
      </c>
      <c r="I771" s="14">
        <f>CHOOSE(CONTROL!$C$42, 60.626, 60.626)* CHOOSE(CONTROL!$C$21, $C$9, 100%, $E$9)</f>
        <v>60.625999999999998</v>
      </c>
      <c r="J771" s="14">
        <f>CHOOSE(CONTROL!$C$42, 60.4091, 60.4091)* CHOOSE(CONTROL!$C$21, $C$9, 100%, $E$9)</f>
        <v>60.409100000000002</v>
      </c>
      <c r="K771" s="53">
        <f>CHOOSE(CONTROL!$C$42, 60.6221, 60.6221) * CHOOSE(CONTROL!$C$21, $C$9, 100%, $E$9)</f>
        <v>60.622100000000003</v>
      </c>
      <c r="L771" s="14">
        <f>CHOOSE(CONTROL!$C$42, 61.1109, 61.1109) * CHOOSE(CONTROL!$C$21, $C$9, 100%, $E$9)</f>
        <v>61.110900000000001</v>
      </c>
      <c r="M771" s="14">
        <f>CHOOSE(CONTROL!$C$42, 59.1791, 59.1791) * CHOOSE(CONTROL!$C$21, $C$9, 100%, $E$9)</f>
        <v>59.179099999999998</v>
      </c>
      <c r="N771" s="14">
        <f>CHOOSE(CONTROL!$C$42, 59.1942, 59.1942) * CHOOSE(CONTROL!$C$21, $C$9, 100%, $E$9)</f>
        <v>59.194200000000002</v>
      </c>
      <c r="O771" s="14">
        <f>CHOOSE(CONTROL!$C$42, 59.2915, 59.2915) * CHOOSE(CONTROL!$C$21, $C$9, 100%, $E$9)</f>
        <v>59.291499999999999</v>
      </c>
      <c r="P771" s="14">
        <f>CHOOSE(CONTROL!$C$42, 59.3878, 59.3878) * CHOOSE(CONTROL!$C$21, $C$9, 100%, $E$9)</f>
        <v>59.387799999999999</v>
      </c>
      <c r="Q771" s="14">
        <f>CHOOSE(CONTROL!$C$42, 59.8862, 59.8862) * CHOOSE(CONTROL!$C$21, $C$9, 100%, $E$9)</f>
        <v>59.886200000000002</v>
      </c>
      <c r="R771" s="14">
        <f>CHOOSE(CONTROL!$C$42, 60.6229, 60.6229) * CHOOSE(CONTROL!$C$21, $C$9, 100%, $E$9)</f>
        <v>60.622900000000001</v>
      </c>
      <c r="S771" s="14">
        <f>CHOOSE(CONTROL!$C$42, 58.0578, 58.0578) * CHOOSE(CONTROL!$C$21, $C$9, 100%, $E$9)</f>
        <v>58.0578</v>
      </c>
      <c r="T77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71" s="57">
        <f>(1000*CHOOSE(CONTROL!$C$42, 695, 695)*CHOOSE(CONTROL!$C$42, 0.5599, 0.5599)*CHOOSE(CONTROL!$C$42, 31, 31))/1000000</f>
        <v>12.063045499999998</v>
      </c>
      <c r="V771" s="57">
        <f>(1000*CHOOSE(CONTROL!$C$42, 500, 500)*CHOOSE(CONTROL!$C$42, 0.275, 0.275)*CHOOSE(CONTROL!$C$42, 31, 31))/1000000</f>
        <v>4.2625000000000002</v>
      </c>
      <c r="W771" s="57">
        <f>(1000*CHOOSE(CONTROL!$C$42, 0.1146, 0.1146)*CHOOSE(CONTROL!$C$42, 121.5, 121.5)*CHOOSE(CONTROL!$C$42, 31, 31))/1000000</f>
        <v>0.43164089999999994</v>
      </c>
      <c r="X771" s="57">
        <f>(31*0.1790888*100000/1000000)+(31*0.2374*100000/1000000)</f>
        <v>1.2911152800000001</v>
      </c>
      <c r="Y771" s="57"/>
      <c r="Z771" s="14"/>
      <c r="AA771" s="56"/>
      <c r="AB771" s="50">
        <f>(B771*122.58+C771*297.941+D771*89.177+E771*40.302+F771*40+G771*160+H771*0+I771*100+J771*300)/(122.58+297.941+89.177+40.302+0+40+160+100+300)</f>
        <v>60.45145264852173</v>
      </c>
      <c r="AC771" s="45">
        <f>(M771*'RAP TEMPLATE-GAS AVAILABILITY'!O770+N771*'RAP TEMPLATE-GAS AVAILABILITY'!P770+O771*'RAP TEMPLATE-GAS AVAILABILITY'!Q770+P771*'RAP TEMPLATE-GAS AVAILABILITY'!R770)/('RAP TEMPLATE-GAS AVAILABILITY'!O770+'RAP TEMPLATE-GAS AVAILABILITY'!P770+'RAP TEMPLATE-GAS AVAILABILITY'!Q770+'RAP TEMPLATE-GAS AVAILABILITY'!R770)</f>
        <v>59.260941726618704</v>
      </c>
    </row>
    <row r="772" spans="1:29" ht="15.75" x14ac:dyDescent="0.25">
      <c r="A772" s="32">
        <v>64405</v>
      </c>
      <c r="B772" s="14">
        <f>CHOOSE(CONTROL!$C$42, 60.2494, 60.2494) * CHOOSE(CONTROL!$C$21, $C$9, 100%, $E$9)</f>
        <v>60.249400000000001</v>
      </c>
      <c r="C772" s="14">
        <f>CHOOSE(CONTROL!$C$42, 60.2539, 60.2539) * CHOOSE(CONTROL!$C$21, $C$9, 100%, $E$9)</f>
        <v>60.253900000000002</v>
      </c>
      <c r="D772" s="14">
        <f>CHOOSE(CONTROL!$C$42, 60.461, 60.461) * CHOOSE(CONTROL!$C$21, $C$9, 100%, $E$9)</f>
        <v>60.460999999999999</v>
      </c>
      <c r="E772" s="14">
        <f>CHOOSE(CONTROL!$C$42, 60.4931, 60.4931) * CHOOSE(CONTROL!$C$21, $C$9, 100%, $E$9)</f>
        <v>60.493099999999998</v>
      </c>
      <c r="F772" s="14">
        <f>CHOOSE(CONTROL!$C$42, 60.2313, 60.2313)*CHOOSE(CONTROL!$C$21, $C$9, 100%, $E$9)</f>
        <v>60.231299999999997</v>
      </c>
      <c r="G772" s="14">
        <f>CHOOSE(CONTROL!$C$42, 60.2465, 60.2465)*CHOOSE(CONTROL!$C$21, $C$9, 100%, $E$9)</f>
        <v>60.246499999999997</v>
      </c>
      <c r="H772" s="14">
        <f>CHOOSE(CONTROL!$C$42, 60.4829, 60.4829) * CHOOSE(CONTROL!$C$21, $C$9, 100%, $E$9)</f>
        <v>60.482900000000001</v>
      </c>
      <c r="I772" s="14">
        <f>CHOOSE(CONTROL!$C$42, 60.4449, 60.4449)* CHOOSE(CONTROL!$C$21, $C$9, 100%, $E$9)</f>
        <v>60.444899999999997</v>
      </c>
      <c r="J772" s="14">
        <f>CHOOSE(CONTROL!$C$42, 60.2243, 60.2243)* CHOOSE(CONTROL!$C$21, $C$9, 100%, $E$9)</f>
        <v>60.224299999999999</v>
      </c>
      <c r="K772" s="53">
        <f>CHOOSE(CONTROL!$C$42, 60.441, 60.441) * CHOOSE(CONTROL!$C$21, $C$9, 100%, $E$9)</f>
        <v>60.441000000000003</v>
      </c>
      <c r="L772" s="14">
        <f>CHOOSE(CONTROL!$C$42, 61.0699, 61.0699) * CHOOSE(CONTROL!$C$21, $C$9, 100%, $E$9)</f>
        <v>61.069899999999997</v>
      </c>
      <c r="M772" s="14">
        <f>CHOOSE(CONTROL!$C$42, 58.998, 58.998) * CHOOSE(CONTROL!$C$21, $C$9, 100%, $E$9)</f>
        <v>58.997999999999998</v>
      </c>
      <c r="N772" s="14">
        <f>CHOOSE(CONTROL!$C$42, 59.0129, 59.0129) * CHOOSE(CONTROL!$C$21, $C$9, 100%, $E$9)</f>
        <v>59.012900000000002</v>
      </c>
      <c r="O772" s="14">
        <f>CHOOSE(CONTROL!$C$42, 59.2513, 59.2513) * CHOOSE(CONTROL!$C$21, $C$9, 100%, $E$9)</f>
        <v>59.251300000000001</v>
      </c>
      <c r="P772" s="14">
        <f>CHOOSE(CONTROL!$C$42, 59.2104, 59.2104) * CHOOSE(CONTROL!$C$21, $C$9, 100%, $E$9)</f>
        <v>59.2104</v>
      </c>
      <c r="Q772" s="14">
        <f>CHOOSE(CONTROL!$C$42, 59.846, 59.846) * CHOOSE(CONTROL!$C$21, $C$9, 100%, $E$9)</f>
        <v>59.845999999999997</v>
      </c>
      <c r="R772" s="14">
        <f>CHOOSE(CONTROL!$C$42, 60.5826, 60.5826) * CHOOSE(CONTROL!$C$21, $C$9, 100%, $E$9)</f>
        <v>60.582599999999999</v>
      </c>
      <c r="S772" s="14">
        <f>CHOOSE(CONTROL!$C$42, 57.8844, 57.8844) * CHOOSE(CONTROL!$C$21, $C$9, 100%, $E$9)</f>
        <v>57.884399999999999</v>
      </c>
      <c r="T77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72" s="57">
        <f>(1000*CHOOSE(CONTROL!$C$42, 695, 695)*CHOOSE(CONTROL!$C$42, 0.5599, 0.5599)*CHOOSE(CONTROL!$C$42, 30, 30))/1000000</f>
        <v>11.673914999999997</v>
      </c>
      <c r="V772" s="57">
        <f>(1000*CHOOSE(CONTROL!$C$42, 500, 500)*CHOOSE(CONTROL!$C$42, 0.275, 0.275)*CHOOSE(CONTROL!$C$42, 30, 30))/1000000</f>
        <v>4.125</v>
      </c>
      <c r="W772" s="57">
        <f>(1000*CHOOSE(CONTROL!$C$42, 0.1146, 0.1146)*CHOOSE(CONTROL!$C$42, 121.5, 121.5)*CHOOSE(CONTROL!$C$42, 30, 30))/1000000</f>
        <v>0.417717</v>
      </c>
      <c r="X772" s="57">
        <f>(30*0.1790888*245000/1000000)+(30*0.2374*100000/1000000)</f>
        <v>2.0285026799999999</v>
      </c>
      <c r="Y772" s="57"/>
      <c r="Z772" s="14"/>
      <c r="AA772" s="56"/>
      <c r="AB772" s="50">
        <f>(B772*141.293+C772*267.993+D772*115.016+E772*89.698+F772*40+G772*185+H772*0+I772*100+J772*300)/(141.293+267.993+115.016+89.698+0+40+185+100+300)</f>
        <v>60.296342902905579</v>
      </c>
      <c r="AC772" s="45">
        <f>(M772*'RAP TEMPLATE-GAS AVAILABILITY'!O771+N772*'RAP TEMPLATE-GAS AVAILABILITY'!P771+O772*'RAP TEMPLATE-GAS AVAILABILITY'!Q771+P772*'RAP TEMPLATE-GAS AVAILABILITY'!R771)/('RAP TEMPLATE-GAS AVAILABILITY'!O771+'RAP TEMPLATE-GAS AVAILABILITY'!P771+'RAP TEMPLATE-GAS AVAILABILITY'!Q771+'RAP TEMPLATE-GAS AVAILABILITY'!R771)</f>
        <v>59.144223741007195</v>
      </c>
    </row>
    <row r="773" spans="1:29" ht="15.75" x14ac:dyDescent="0.25">
      <c r="A773" s="32">
        <v>64436</v>
      </c>
      <c r="B773" s="14">
        <f>CHOOSE(CONTROL!$C$42, 60.7825, 60.7825) * CHOOSE(CONTROL!$C$21, $C$9, 100%, $E$9)</f>
        <v>60.782499999999999</v>
      </c>
      <c r="C773" s="14">
        <f>CHOOSE(CONTROL!$C$42, 60.7905, 60.7905) * CHOOSE(CONTROL!$C$21, $C$9, 100%, $E$9)</f>
        <v>60.790500000000002</v>
      </c>
      <c r="D773" s="14">
        <f>CHOOSE(CONTROL!$C$42, 60.9944, 60.9944) * CHOOSE(CONTROL!$C$21, $C$9, 100%, $E$9)</f>
        <v>60.994399999999999</v>
      </c>
      <c r="E773" s="14">
        <f>CHOOSE(CONTROL!$C$42, 61.0259, 61.0259) * CHOOSE(CONTROL!$C$21, $C$9, 100%, $E$9)</f>
        <v>61.0259</v>
      </c>
      <c r="F773" s="14">
        <f>CHOOSE(CONTROL!$C$42, 60.7632, 60.7632)*CHOOSE(CONTROL!$C$21, $C$9, 100%, $E$9)</f>
        <v>60.763199999999998</v>
      </c>
      <c r="G773" s="14">
        <f>CHOOSE(CONTROL!$C$42, 60.7789, 60.7789)*CHOOSE(CONTROL!$C$21, $C$9, 100%, $E$9)</f>
        <v>60.7789</v>
      </c>
      <c r="H773" s="14">
        <f>CHOOSE(CONTROL!$C$42, 61.0145, 61.0145) * CHOOSE(CONTROL!$C$21, $C$9, 100%, $E$9)</f>
        <v>61.014499999999998</v>
      </c>
      <c r="I773" s="14">
        <f>CHOOSE(CONTROL!$C$42, 60.9783, 60.9783)* CHOOSE(CONTROL!$C$21, $C$9, 100%, $E$9)</f>
        <v>60.978299999999997</v>
      </c>
      <c r="J773" s="14">
        <f>CHOOSE(CONTROL!$C$42, 60.7562, 60.7562)* CHOOSE(CONTROL!$C$21, $C$9, 100%, $E$9)</f>
        <v>60.7562</v>
      </c>
      <c r="K773" s="53">
        <f>CHOOSE(CONTROL!$C$42, 60.9744, 60.9744) * CHOOSE(CONTROL!$C$21, $C$9, 100%, $E$9)</f>
        <v>60.974400000000003</v>
      </c>
      <c r="L773" s="14">
        <f>CHOOSE(CONTROL!$C$42, 61.6015, 61.6015) * CHOOSE(CONTROL!$C$21, $C$9, 100%, $E$9)</f>
        <v>61.601500000000001</v>
      </c>
      <c r="M773" s="14">
        <f>CHOOSE(CONTROL!$C$42, 59.5191, 59.5191) * CHOOSE(CONTROL!$C$21, $C$9, 100%, $E$9)</f>
        <v>59.519100000000002</v>
      </c>
      <c r="N773" s="14">
        <f>CHOOSE(CONTROL!$C$42, 59.5344, 59.5344) * CHOOSE(CONTROL!$C$21, $C$9, 100%, $E$9)</f>
        <v>59.534399999999998</v>
      </c>
      <c r="O773" s="14">
        <f>CHOOSE(CONTROL!$C$42, 59.7721, 59.7721) * CHOOSE(CONTROL!$C$21, $C$9, 100%, $E$9)</f>
        <v>59.772100000000002</v>
      </c>
      <c r="P773" s="14">
        <f>CHOOSE(CONTROL!$C$42, 59.7328, 59.7328) * CHOOSE(CONTROL!$C$21, $C$9, 100%, $E$9)</f>
        <v>59.732799999999997</v>
      </c>
      <c r="Q773" s="14">
        <f>CHOOSE(CONTROL!$C$42, 60.3668, 60.3668) * CHOOSE(CONTROL!$C$21, $C$9, 100%, $E$9)</f>
        <v>60.366799999999998</v>
      </c>
      <c r="R773" s="14">
        <f>CHOOSE(CONTROL!$C$42, 61.1047, 61.1047) * CHOOSE(CONTROL!$C$21, $C$9, 100%, $E$9)</f>
        <v>61.104700000000001</v>
      </c>
      <c r="S773" s="14">
        <f>CHOOSE(CONTROL!$C$42, 58.3952, 58.3952) * CHOOSE(CONTROL!$C$21, $C$9, 100%, $E$9)</f>
        <v>58.395200000000003</v>
      </c>
      <c r="T77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73" s="57">
        <f>(1000*CHOOSE(CONTROL!$C$42, 695, 695)*CHOOSE(CONTROL!$C$42, 0.5599, 0.5599)*CHOOSE(CONTROL!$C$42, 31, 31))/1000000</f>
        <v>12.063045499999998</v>
      </c>
      <c r="V773" s="57">
        <f>(1000*CHOOSE(CONTROL!$C$42, 500, 500)*CHOOSE(CONTROL!$C$42, 0.275, 0.275)*CHOOSE(CONTROL!$C$42, 31, 31))/1000000</f>
        <v>4.2625000000000002</v>
      </c>
      <c r="W773" s="57">
        <f>(1000*CHOOSE(CONTROL!$C$42, 0.1146, 0.1146)*CHOOSE(CONTROL!$C$42, 121.5, 121.5)*CHOOSE(CONTROL!$C$42, 31, 31))/1000000</f>
        <v>0.43164089999999994</v>
      </c>
      <c r="X773" s="57">
        <f>(31*0.1790888*245000/1000000)+(31*0.2374*100000/1000000)</f>
        <v>2.0961194359999999</v>
      </c>
      <c r="Y773" s="57"/>
      <c r="Z773" s="14"/>
      <c r="AA773" s="56"/>
      <c r="AB773" s="50">
        <f>(B773*194.205+C773*267.466+D773*133.845+E773*53.484+F773*40+G773*185+H773*0+I773*100+J773*300)/(194.205+267.466+133.845+53.484+0+40+185+100+300)</f>
        <v>60.824706820329673</v>
      </c>
      <c r="AC773" s="45">
        <f>(M773*'RAP TEMPLATE-GAS AVAILABILITY'!O772+N773*'RAP TEMPLATE-GAS AVAILABILITY'!P772+O773*'RAP TEMPLATE-GAS AVAILABILITY'!Q772+P773*'RAP TEMPLATE-GAS AVAILABILITY'!R772)/('RAP TEMPLATE-GAS AVAILABILITY'!O772+'RAP TEMPLATE-GAS AVAILABILITY'!P772+'RAP TEMPLATE-GAS AVAILABILITY'!Q772+'RAP TEMPLATE-GAS AVAILABILITY'!R772)</f>
        <v>59.665397841726609</v>
      </c>
    </row>
    <row r="774" spans="1:29" ht="15.75" x14ac:dyDescent="0.25">
      <c r="A774" s="32">
        <v>64466</v>
      </c>
      <c r="B774" s="14">
        <f>CHOOSE(CONTROL!$C$42, 62.5063, 62.5063) * CHOOSE(CONTROL!$C$21, $C$9, 100%, $E$9)</f>
        <v>62.506300000000003</v>
      </c>
      <c r="C774" s="14">
        <f>CHOOSE(CONTROL!$C$42, 62.5143, 62.5143) * CHOOSE(CONTROL!$C$21, $C$9, 100%, $E$9)</f>
        <v>62.514299999999999</v>
      </c>
      <c r="D774" s="14">
        <f>CHOOSE(CONTROL!$C$42, 62.7183, 62.7183) * CHOOSE(CONTROL!$C$21, $C$9, 100%, $E$9)</f>
        <v>62.718299999999999</v>
      </c>
      <c r="E774" s="14">
        <f>CHOOSE(CONTROL!$C$42, 62.7497, 62.7497) * CHOOSE(CONTROL!$C$21, $C$9, 100%, $E$9)</f>
        <v>62.749699999999997</v>
      </c>
      <c r="F774" s="14">
        <f>CHOOSE(CONTROL!$C$42, 62.4875, 62.4875)*CHOOSE(CONTROL!$C$21, $C$9, 100%, $E$9)</f>
        <v>62.487499999999997</v>
      </c>
      <c r="G774" s="14">
        <f>CHOOSE(CONTROL!$C$42, 62.5033, 62.5033)*CHOOSE(CONTROL!$C$21, $C$9, 100%, $E$9)</f>
        <v>62.503300000000003</v>
      </c>
      <c r="H774" s="14">
        <f>CHOOSE(CONTROL!$C$42, 62.7384, 62.7384) * CHOOSE(CONTROL!$C$21, $C$9, 100%, $E$9)</f>
        <v>62.738399999999999</v>
      </c>
      <c r="I774" s="14">
        <f>CHOOSE(CONTROL!$C$42, 62.7075, 62.7075)* CHOOSE(CONTROL!$C$21, $C$9, 100%, $E$9)</f>
        <v>62.707500000000003</v>
      </c>
      <c r="J774" s="14">
        <f>CHOOSE(CONTROL!$C$42, 62.4805, 62.4805)* CHOOSE(CONTROL!$C$21, $C$9, 100%, $E$9)</f>
        <v>62.480499999999999</v>
      </c>
      <c r="K774" s="53">
        <f>CHOOSE(CONTROL!$C$42, 62.7036, 62.7036) * CHOOSE(CONTROL!$C$21, $C$9, 100%, $E$9)</f>
        <v>62.703600000000002</v>
      </c>
      <c r="L774" s="14">
        <f>CHOOSE(CONTROL!$C$42, 63.3254, 63.3254) * CHOOSE(CONTROL!$C$21, $C$9, 100%, $E$9)</f>
        <v>63.325400000000002</v>
      </c>
      <c r="M774" s="14">
        <f>CHOOSE(CONTROL!$C$42, 61.208, 61.208) * CHOOSE(CONTROL!$C$21, $C$9, 100%, $E$9)</f>
        <v>61.207999999999998</v>
      </c>
      <c r="N774" s="14">
        <f>CHOOSE(CONTROL!$C$42, 61.2234, 61.2234) * CHOOSE(CONTROL!$C$21, $C$9, 100%, $E$9)</f>
        <v>61.223399999999998</v>
      </c>
      <c r="O774" s="14">
        <f>CHOOSE(CONTROL!$C$42, 61.4606, 61.4606) * CHOOSE(CONTROL!$C$21, $C$9, 100%, $E$9)</f>
        <v>61.460599999999999</v>
      </c>
      <c r="P774" s="14">
        <f>CHOOSE(CONTROL!$C$42, 61.4265, 61.4265) * CHOOSE(CONTROL!$C$21, $C$9, 100%, $E$9)</f>
        <v>61.426499999999997</v>
      </c>
      <c r="Q774" s="14">
        <f>CHOOSE(CONTROL!$C$42, 62.0553, 62.0553) * CHOOSE(CONTROL!$C$21, $C$9, 100%, $E$9)</f>
        <v>62.055300000000003</v>
      </c>
      <c r="R774" s="14">
        <f>CHOOSE(CONTROL!$C$42, 62.7974, 62.7974) * CHOOSE(CONTROL!$C$21, $C$9, 100%, $E$9)</f>
        <v>62.797400000000003</v>
      </c>
      <c r="S774" s="14">
        <f>CHOOSE(CONTROL!$C$42, 60.0517, 60.0517) * CHOOSE(CONTROL!$C$21, $C$9, 100%, $E$9)</f>
        <v>60.051699999999997</v>
      </c>
      <c r="T77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74" s="57">
        <f>(1000*CHOOSE(CONTROL!$C$42, 695, 695)*CHOOSE(CONTROL!$C$42, 0.5599, 0.5599)*CHOOSE(CONTROL!$C$42, 30, 30))/1000000</f>
        <v>11.673914999999997</v>
      </c>
      <c r="V774" s="57">
        <f>(1000*CHOOSE(CONTROL!$C$42, 500, 500)*CHOOSE(CONTROL!$C$42, 0.275, 0.275)*CHOOSE(CONTROL!$C$42, 30, 30))/1000000</f>
        <v>4.125</v>
      </c>
      <c r="W774" s="57">
        <f>(1000*CHOOSE(CONTROL!$C$42, 0.1146, 0.1146)*CHOOSE(CONTROL!$C$42, 121.5, 121.5)*CHOOSE(CONTROL!$C$42, 30, 30))/1000000</f>
        <v>0.417717</v>
      </c>
      <c r="X774" s="57">
        <f>(30*0.1790888*245000/1000000)+(30*0.2374*100000/1000000)</f>
        <v>2.0285026799999999</v>
      </c>
      <c r="Y774" s="57"/>
      <c r="Z774" s="14"/>
      <c r="AA774" s="56"/>
      <c r="AB774" s="50">
        <f>(B774*194.205+C774*267.466+D774*133.845+E774*53.484+F774*40+G774*185+H774*0+I774*100+J774*300)/(194.205+267.466+133.845+53.484+0+40+185+100+300)</f>
        <v>62.549161753218215</v>
      </c>
      <c r="AC774" s="45">
        <f>(M774*'RAP TEMPLATE-GAS AVAILABILITY'!O773+N774*'RAP TEMPLATE-GAS AVAILABILITY'!P773+O774*'RAP TEMPLATE-GAS AVAILABILITY'!Q773+P774*'RAP TEMPLATE-GAS AVAILABILITY'!R773)/('RAP TEMPLATE-GAS AVAILABILITY'!O773+'RAP TEMPLATE-GAS AVAILABILITY'!P773+'RAP TEMPLATE-GAS AVAILABILITY'!Q773+'RAP TEMPLATE-GAS AVAILABILITY'!R773)</f>
        <v>61.354812949640291</v>
      </c>
    </row>
    <row r="775" spans="1:29" ht="15.75" x14ac:dyDescent="0.25">
      <c r="A775" s="32">
        <v>64497</v>
      </c>
      <c r="B775" s="14">
        <f>CHOOSE(CONTROL!$C$42, 61.3074, 61.3074) * CHOOSE(CONTROL!$C$21, $C$9, 100%, $E$9)</f>
        <v>61.307400000000001</v>
      </c>
      <c r="C775" s="14">
        <f>CHOOSE(CONTROL!$C$42, 61.3154, 61.3154) * CHOOSE(CONTROL!$C$21, $C$9, 100%, $E$9)</f>
        <v>61.315399999999997</v>
      </c>
      <c r="D775" s="14">
        <f>CHOOSE(CONTROL!$C$42, 61.5193, 61.5193) * CHOOSE(CONTROL!$C$21, $C$9, 100%, $E$9)</f>
        <v>61.519300000000001</v>
      </c>
      <c r="E775" s="14">
        <f>CHOOSE(CONTROL!$C$42, 61.5508, 61.5508) * CHOOSE(CONTROL!$C$21, $C$9, 100%, $E$9)</f>
        <v>61.550800000000002</v>
      </c>
      <c r="F775" s="14">
        <f>CHOOSE(CONTROL!$C$42, 61.289, 61.289)*CHOOSE(CONTROL!$C$21, $C$9, 100%, $E$9)</f>
        <v>61.289000000000001</v>
      </c>
      <c r="G775" s="14">
        <f>CHOOSE(CONTROL!$C$42, 61.3049, 61.3049)*CHOOSE(CONTROL!$C$21, $C$9, 100%, $E$9)</f>
        <v>61.304900000000004</v>
      </c>
      <c r="H775" s="14">
        <f>CHOOSE(CONTROL!$C$42, 61.5394, 61.5394) * CHOOSE(CONTROL!$C$21, $C$9, 100%, $E$9)</f>
        <v>61.539400000000001</v>
      </c>
      <c r="I775" s="14">
        <f>CHOOSE(CONTROL!$C$42, 61.5048, 61.5048)* CHOOSE(CONTROL!$C$21, $C$9, 100%, $E$9)</f>
        <v>61.504800000000003</v>
      </c>
      <c r="J775" s="14">
        <f>CHOOSE(CONTROL!$C$42, 61.282, 61.282)* CHOOSE(CONTROL!$C$21, $C$9, 100%, $E$9)</f>
        <v>61.281999999999996</v>
      </c>
      <c r="K775" s="53">
        <f>CHOOSE(CONTROL!$C$42, 61.5009, 61.5009) * CHOOSE(CONTROL!$C$21, $C$9, 100%, $E$9)</f>
        <v>61.500900000000001</v>
      </c>
      <c r="L775" s="14">
        <f>CHOOSE(CONTROL!$C$42, 62.1264, 62.1264) * CHOOSE(CONTROL!$C$21, $C$9, 100%, $E$9)</f>
        <v>62.126399999999997</v>
      </c>
      <c r="M775" s="14">
        <f>CHOOSE(CONTROL!$C$42, 60.0341, 60.0341) * CHOOSE(CONTROL!$C$21, $C$9, 100%, $E$9)</f>
        <v>60.034100000000002</v>
      </c>
      <c r="N775" s="14">
        <f>CHOOSE(CONTROL!$C$42, 60.0496, 60.0496) * CHOOSE(CONTROL!$C$21, $C$9, 100%, $E$9)</f>
        <v>60.049599999999998</v>
      </c>
      <c r="O775" s="14">
        <f>CHOOSE(CONTROL!$C$42, 60.2862, 60.2862) * CHOOSE(CONTROL!$C$21, $C$9, 100%, $E$9)</f>
        <v>60.286200000000001</v>
      </c>
      <c r="P775" s="14">
        <f>CHOOSE(CONTROL!$C$42, 60.2485, 60.2485) * CHOOSE(CONTROL!$C$21, $C$9, 100%, $E$9)</f>
        <v>60.2485</v>
      </c>
      <c r="Q775" s="14">
        <f>CHOOSE(CONTROL!$C$42, 60.8809, 60.8809) * CHOOSE(CONTROL!$C$21, $C$9, 100%, $E$9)</f>
        <v>60.880899999999997</v>
      </c>
      <c r="R775" s="14">
        <f>CHOOSE(CONTROL!$C$42, 61.6201, 61.6201) * CHOOSE(CONTROL!$C$21, $C$9, 100%, $E$9)</f>
        <v>61.620100000000001</v>
      </c>
      <c r="S775" s="14">
        <f>CHOOSE(CONTROL!$C$42, 58.8996, 58.8996) * CHOOSE(CONTROL!$C$21, $C$9, 100%, $E$9)</f>
        <v>58.8996</v>
      </c>
      <c r="T77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75" s="57">
        <f>(1000*CHOOSE(CONTROL!$C$42, 695, 695)*CHOOSE(CONTROL!$C$42, 0.5599, 0.5599)*CHOOSE(CONTROL!$C$42, 31, 31))/1000000</f>
        <v>12.063045499999998</v>
      </c>
      <c r="V775" s="57">
        <f>(1000*CHOOSE(CONTROL!$C$42, 500, 500)*CHOOSE(CONTROL!$C$42, 0.275, 0.275)*CHOOSE(CONTROL!$C$42, 31, 31))/1000000</f>
        <v>4.2625000000000002</v>
      </c>
      <c r="W775" s="57">
        <f>(1000*CHOOSE(CONTROL!$C$42, 0.1146, 0.1146)*CHOOSE(CONTROL!$C$42, 121.5, 121.5)*CHOOSE(CONTROL!$C$42, 31, 31))/1000000</f>
        <v>0.43164089999999994</v>
      </c>
      <c r="X775" s="57">
        <f>(31*0.1790888*245000/1000000)+(31*0.2374*100000/1000000)</f>
        <v>2.0961194359999999</v>
      </c>
      <c r="Y775" s="57"/>
      <c r="Z775" s="14"/>
      <c r="AA775" s="56"/>
      <c r="AB775" s="50">
        <f>(B775*194.205+C775*267.466+D775*133.845+E775*53.484+F775*40+G775*185+H775*0+I775*100+J775*300)/(194.205+267.466+133.845+53.484+0+40+185+100+300)</f>
        <v>61.350132330533754</v>
      </c>
      <c r="AC775" s="45">
        <f>(M775*'RAP TEMPLATE-GAS AVAILABILITY'!O774+N775*'RAP TEMPLATE-GAS AVAILABILITY'!P774+O775*'RAP TEMPLATE-GAS AVAILABILITY'!Q774+P775*'RAP TEMPLATE-GAS AVAILABILITY'!R774)/('RAP TEMPLATE-GAS AVAILABILITY'!O774+'RAP TEMPLATE-GAS AVAILABILITY'!P774+'RAP TEMPLATE-GAS AVAILABILITY'!Q774+'RAP TEMPLATE-GAS AVAILABILITY'!R774)</f>
        <v>60.180102158273385</v>
      </c>
    </row>
    <row r="776" spans="1:29" ht="15.75" x14ac:dyDescent="0.25">
      <c r="A776" s="32">
        <v>64528</v>
      </c>
      <c r="B776" s="14">
        <f>CHOOSE(CONTROL!$C$42, 58.2797, 58.2797) * CHOOSE(CONTROL!$C$21, $C$9, 100%, $E$9)</f>
        <v>58.279699999999998</v>
      </c>
      <c r="C776" s="14">
        <f>CHOOSE(CONTROL!$C$42, 58.2877, 58.2877) * CHOOSE(CONTROL!$C$21, $C$9, 100%, $E$9)</f>
        <v>58.287700000000001</v>
      </c>
      <c r="D776" s="14">
        <f>CHOOSE(CONTROL!$C$42, 58.4916, 58.4916) * CHOOSE(CONTROL!$C$21, $C$9, 100%, $E$9)</f>
        <v>58.491599999999998</v>
      </c>
      <c r="E776" s="14">
        <f>CHOOSE(CONTROL!$C$42, 58.5231, 58.5231) * CHOOSE(CONTROL!$C$21, $C$9, 100%, $E$9)</f>
        <v>58.523099999999999</v>
      </c>
      <c r="F776" s="14">
        <f>CHOOSE(CONTROL!$C$42, 58.2615, 58.2615)*CHOOSE(CONTROL!$C$21, $C$9, 100%, $E$9)</f>
        <v>58.261499999999998</v>
      </c>
      <c r="G776" s="14">
        <f>CHOOSE(CONTROL!$C$42, 58.2775, 58.2775)*CHOOSE(CONTROL!$C$21, $C$9, 100%, $E$9)</f>
        <v>58.277500000000003</v>
      </c>
      <c r="H776" s="14">
        <f>CHOOSE(CONTROL!$C$42, 58.5117, 58.5117) * CHOOSE(CONTROL!$C$21, $C$9, 100%, $E$9)</f>
        <v>58.511699999999998</v>
      </c>
      <c r="I776" s="14">
        <f>CHOOSE(CONTROL!$C$42, 58.4676, 58.4676)* CHOOSE(CONTROL!$C$21, $C$9, 100%, $E$9)</f>
        <v>58.467599999999997</v>
      </c>
      <c r="J776" s="14">
        <f>CHOOSE(CONTROL!$C$42, 58.2545, 58.2545)* CHOOSE(CONTROL!$C$21, $C$9, 100%, $E$9)</f>
        <v>58.2545</v>
      </c>
      <c r="K776" s="53">
        <f>CHOOSE(CONTROL!$C$42, 58.4638, 58.4638) * CHOOSE(CONTROL!$C$21, $C$9, 100%, $E$9)</f>
        <v>58.463799999999999</v>
      </c>
      <c r="L776" s="14">
        <f>CHOOSE(CONTROL!$C$42, 59.0987, 59.0987) * CHOOSE(CONTROL!$C$21, $C$9, 100%, $E$9)</f>
        <v>59.098700000000001</v>
      </c>
      <c r="M776" s="14">
        <f>CHOOSE(CONTROL!$C$42, 57.0686, 57.0686) * CHOOSE(CONTROL!$C$21, $C$9, 100%, $E$9)</f>
        <v>57.068600000000004</v>
      </c>
      <c r="N776" s="14">
        <f>CHOOSE(CONTROL!$C$42, 57.0843, 57.0843) * CHOOSE(CONTROL!$C$21, $C$9, 100%, $E$9)</f>
        <v>57.084299999999999</v>
      </c>
      <c r="O776" s="14">
        <f>CHOOSE(CONTROL!$C$42, 57.3206, 57.3206) * CHOOSE(CONTROL!$C$21, $C$9, 100%, $E$9)</f>
        <v>57.320599999999999</v>
      </c>
      <c r="P776" s="14">
        <f>CHOOSE(CONTROL!$C$42, 57.2738, 57.2738) * CHOOSE(CONTROL!$C$21, $C$9, 100%, $E$9)</f>
        <v>57.273800000000001</v>
      </c>
      <c r="Q776" s="14">
        <f>CHOOSE(CONTROL!$C$42, 57.9153, 57.9153) * CHOOSE(CONTROL!$C$21, $C$9, 100%, $E$9)</f>
        <v>57.915300000000002</v>
      </c>
      <c r="R776" s="14">
        <f>CHOOSE(CONTROL!$C$42, 58.6471, 58.6471) * CHOOSE(CONTROL!$C$21, $C$9, 100%, $E$9)</f>
        <v>58.647100000000002</v>
      </c>
      <c r="S776" s="14">
        <f>CHOOSE(CONTROL!$C$42, 55.9903, 55.9903) * CHOOSE(CONTROL!$C$21, $C$9, 100%, $E$9)</f>
        <v>55.990299999999998</v>
      </c>
      <c r="T77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76" s="57">
        <f>(1000*CHOOSE(CONTROL!$C$42, 695, 695)*CHOOSE(CONTROL!$C$42, 0.5599, 0.5599)*CHOOSE(CONTROL!$C$42, 31, 31))/1000000</f>
        <v>12.063045499999998</v>
      </c>
      <c r="V776" s="57">
        <f>(1000*CHOOSE(CONTROL!$C$42, 500, 500)*CHOOSE(CONTROL!$C$42, 0.275, 0.275)*CHOOSE(CONTROL!$C$42, 31, 31))/1000000</f>
        <v>4.2625000000000002</v>
      </c>
      <c r="W776" s="57">
        <f>(1000*CHOOSE(CONTROL!$C$42, 0.1146, 0.1146)*CHOOSE(CONTROL!$C$42, 121.5, 121.5)*CHOOSE(CONTROL!$C$42, 31, 31))/1000000</f>
        <v>0.43164089999999994</v>
      </c>
      <c r="X776" s="57">
        <f>(31*0.1790888*245000/1000000)+(31*0.2374*100000/1000000)</f>
        <v>2.0961194359999999</v>
      </c>
      <c r="Y776" s="57"/>
      <c r="Z776" s="14"/>
      <c r="AA776" s="56"/>
      <c r="AB776" s="50">
        <f>(B776*194.205+C776*267.466+D776*133.845+E776*53.484+F776*40+G776*185+H776*0+I776*100+J776*300)/(194.205+267.466+133.845+53.484+0+40+185+100+300)</f>
        <v>58.321783586420729</v>
      </c>
      <c r="AC776" s="45">
        <f>(M776*'RAP TEMPLATE-GAS AVAILABILITY'!O775+N776*'RAP TEMPLATE-GAS AVAILABILITY'!P775+O776*'RAP TEMPLATE-GAS AVAILABILITY'!Q775+P776*'RAP TEMPLATE-GAS AVAILABILITY'!R775)/('RAP TEMPLATE-GAS AVAILABILITY'!O775+'RAP TEMPLATE-GAS AVAILABILITY'!P775+'RAP TEMPLATE-GAS AVAILABILITY'!Q775+'RAP TEMPLATE-GAS AVAILABILITY'!R775)</f>
        <v>57.213244604316536</v>
      </c>
    </row>
    <row r="777" spans="1:29" ht="15.75" x14ac:dyDescent="0.25">
      <c r="A777" s="32">
        <v>64558</v>
      </c>
      <c r="B777" s="14">
        <f>CHOOSE(CONTROL!$C$42, 54.58, 54.58) * CHOOSE(CONTROL!$C$21, $C$9, 100%, $E$9)</f>
        <v>54.58</v>
      </c>
      <c r="C777" s="14">
        <f>CHOOSE(CONTROL!$C$42, 54.588, 54.588) * CHOOSE(CONTROL!$C$21, $C$9, 100%, $E$9)</f>
        <v>54.588000000000001</v>
      </c>
      <c r="D777" s="14">
        <f>CHOOSE(CONTROL!$C$42, 54.792, 54.792) * CHOOSE(CONTROL!$C$21, $C$9, 100%, $E$9)</f>
        <v>54.792000000000002</v>
      </c>
      <c r="E777" s="14">
        <f>CHOOSE(CONTROL!$C$42, 54.8234, 54.8234) * CHOOSE(CONTROL!$C$21, $C$9, 100%, $E$9)</f>
        <v>54.823399999999999</v>
      </c>
      <c r="F777" s="14">
        <f>CHOOSE(CONTROL!$C$42, 54.5619, 54.5619)*CHOOSE(CONTROL!$C$21, $C$9, 100%, $E$9)</f>
        <v>54.561900000000001</v>
      </c>
      <c r="G777" s="14">
        <f>CHOOSE(CONTROL!$C$42, 54.5779, 54.5779)*CHOOSE(CONTROL!$C$21, $C$9, 100%, $E$9)</f>
        <v>54.5779</v>
      </c>
      <c r="H777" s="14">
        <f>CHOOSE(CONTROL!$C$42, 54.8121, 54.8121) * CHOOSE(CONTROL!$C$21, $C$9, 100%, $E$9)</f>
        <v>54.812100000000001</v>
      </c>
      <c r="I777" s="14">
        <f>CHOOSE(CONTROL!$C$42, 54.7564, 54.7564)* CHOOSE(CONTROL!$C$21, $C$9, 100%, $E$9)</f>
        <v>54.756399999999999</v>
      </c>
      <c r="J777" s="14">
        <f>CHOOSE(CONTROL!$C$42, 54.5549, 54.5549)* CHOOSE(CONTROL!$C$21, $C$9, 100%, $E$9)</f>
        <v>54.554900000000004</v>
      </c>
      <c r="K777" s="53">
        <f>CHOOSE(CONTROL!$C$42, 54.7525, 54.7525) * CHOOSE(CONTROL!$C$21, $C$9, 100%, $E$9)</f>
        <v>54.752499999999998</v>
      </c>
      <c r="L777" s="14">
        <f>CHOOSE(CONTROL!$C$42, 55.3991, 55.3991) * CHOOSE(CONTROL!$C$21, $C$9, 100%, $E$9)</f>
        <v>55.399099999999997</v>
      </c>
      <c r="M777" s="14">
        <f>CHOOSE(CONTROL!$C$42, 53.4448, 53.4448) * CHOOSE(CONTROL!$C$21, $C$9, 100%, $E$9)</f>
        <v>53.444800000000001</v>
      </c>
      <c r="N777" s="14">
        <f>CHOOSE(CONTROL!$C$42, 53.4604, 53.4604) * CHOOSE(CONTROL!$C$21, $C$9, 100%, $E$9)</f>
        <v>53.4604</v>
      </c>
      <c r="O777" s="14">
        <f>CHOOSE(CONTROL!$C$42, 53.6967, 53.6967) * CHOOSE(CONTROL!$C$21, $C$9, 100%, $E$9)</f>
        <v>53.6967</v>
      </c>
      <c r="P777" s="14">
        <f>CHOOSE(CONTROL!$C$42, 53.6388, 53.6388) * CHOOSE(CONTROL!$C$21, $C$9, 100%, $E$9)</f>
        <v>53.638800000000003</v>
      </c>
      <c r="Q777" s="14">
        <f>CHOOSE(CONTROL!$C$42, 54.2914, 54.2914) * CHOOSE(CONTROL!$C$21, $C$9, 100%, $E$9)</f>
        <v>54.291400000000003</v>
      </c>
      <c r="R777" s="14">
        <f>CHOOSE(CONTROL!$C$42, 55.0141, 55.0141) * CHOOSE(CONTROL!$C$21, $C$9, 100%, $E$9)</f>
        <v>55.014099999999999</v>
      </c>
      <c r="S777" s="14">
        <f>CHOOSE(CONTROL!$C$42, 52.4353, 52.4353) * CHOOSE(CONTROL!$C$21, $C$9, 100%, $E$9)</f>
        <v>52.435299999999998</v>
      </c>
      <c r="T77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77" s="57">
        <f>(1000*CHOOSE(CONTROL!$C$42, 695, 695)*CHOOSE(CONTROL!$C$42, 0.5599, 0.5599)*CHOOSE(CONTROL!$C$42, 30, 30))/1000000</f>
        <v>11.673914999999997</v>
      </c>
      <c r="V777" s="57">
        <f>(1000*CHOOSE(CONTROL!$C$42, 500, 500)*CHOOSE(CONTROL!$C$42, 0.275, 0.275)*CHOOSE(CONTROL!$C$42, 30, 30))/1000000</f>
        <v>4.125</v>
      </c>
      <c r="W777" s="57">
        <f>(1000*CHOOSE(CONTROL!$C$42, 0.1146, 0.1146)*CHOOSE(CONTROL!$C$42, 121.5, 121.5)*CHOOSE(CONTROL!$C$42, 30, 30))/1000000</f>
        <v>0.417717</v>
      </c>
      <c r="X777" s="57">
        <f>(30*0.1790888*245000/1000000)+(30*0.2374*100000/1000000)</f>
        <v>2.0285026799999999</v>
      </c>
      <c r="Y777" s="57"/>
      <c r="Z777" s="14"/>
      <c r="AA777" s="56"/>
      <c r="AB777" s="50">
        <f>(B777*194.205+C777*267.466+D777*133.845+E777*53.484+F777*40+G777*185+H777*0+I777*100+J777*300)/(194.205+267.466+133.845+53.484+0+40+185+100+300)</f>
        <v>54.621232632339094</v>
      </c>
      <c r="AC777" s="45">
        <f>(M777*'RAP TEMPLATE-GAS AVAILABILITY'!O776+N777*'RAP TEMPLATE-GAS AVAILABILITY'!P776+O777*'RAP TEMPLATE-GAS AVAILABILITY'!Q776+P777*'RAP TEMPLATE-GAS AVAILABILITY'!R776)/('RAP TEMPLATE-GAS AVAILABILITY'!O776+'RAP TEMPLATE-GAS AVAILABILITY'!P776+'RAP TEMPLATE-GAS AVAILABILITY'!Q776+'RAP TEMPLATE-GAS AVAILABILITY'!R776)</f>
        <v>53.587782014388495</v>
      </c>
    </row>
    <row r="778" spans="1:29" ht="15.75" x14ac:dyDescent="0.25">
      <c r="A778" s="32">
        <v>64589</v>
      </c>
      <c r="B778" s="14">
        <f>CHOOSE(CONTROL!$C$42, 53.4703, 53.4703) * CHOOSE(CONTROL!$C$21, $C$9, 100%, $E$9)</f>
        <v>53.470300000000002</v>
      </c>
      <c r="C778" s="14">
        <f>CHOOSE(CONTROL!$C$42, 53.4756, 53.4756) * CHOOSE(CONTROL!$C$21, $C$9, 100%, $E$9)</f>
        <v>53.4756</v>
      </c>
      <c r="D778" s="14">
        <f>CHOOSE(CONTROL!$C$42, 53.6845, 53.6845) * CHOOSE(CONTROL!$C$21, $C$9, 100%, $E$9)</f>
        <v>53.6845</v>
      </c>
      <c r="E778" s="14">
        <f>CHOOSE(CONTROL!$C$42, 53.7136, 53.7136) * CHOOSE(CONTROL!$C$21, $C$9, 100%, $E$9)</f>
        <v>53.7136</v>
      </c>
      <c r="F778" s="14">
        <f>CHOOSE(CONTROL!$C$42, 53.4543, 53.4543)*CHOOSE(CONTROL!$C$21, $C$9, 100%, $E$9)</f>
        <v>53.454300000000003</v>
      </c>
      <c r="G778" s="14">
        <f>CHOOSE(CONTROL!$C$42, 53.4699, 53.4699)*CHOOSE(CONTROL!$C$21, $C$9, 100%, $E$9)</f>
        <v>53.469900000000003</v>
      </c>
      <c r="H778" s="14">
        <f>CHOOSE(CONTROL!$C$42, 53.7041, 53.7041) * CHOOSE(CONTROL!$C$21, $C$9, 100%, $E$9)</f>
        <v>53.704099999999997</v>
      </c>
      <c r="I778" s="14">
        <f>CHOOSE(CONTROL!$C$42, 53.645, 53.645)* CHOOSE(CONTROL!$C$21, $C$9, 100%, $E$9)</f>
        <v>53.645000000000003</v>
      </c>
      <c r="J778" s="14">
        <f>CHOOSE(CONTROL!$C$42, 53.4473, 53.4473)* CHOOSE(CONTROL!$C$21, $C$9, 100%, $E$9)</f>
        <v>53.447299999999998</v>
      </c>
      <c r="K778" s="53">
        <f>CHOOSE(CONTROL!$C$42, 53.6411, 53.6411) * CHOOSE(CONTROL!$C$21, $C$9, 100%, $E$9)</f>
        <v>53.641100000000002</v>
      </c>
      <c r="L778" s="14">
        <f>CHOOSE(CONTROL!$C$42, 54.2911, 54.2911) * CHOOSE(CONTROL!$C$21, $C$9, 100%, $E$9)</f>
        <v>54.2911</v>
      </c>
      <c r="M778" s="14">
        <f>CHOOSE(CONTROL!$C$42, 52.3599, 52.3599) * CHOOSE(CONTROL!$C$21, $C$9, 100%, $E$9)</f>
        <v>52.359900000000003</v>
      </c>
      <c r="N778" s="14">
        <f>CHOOSE(CONTROL!$C$42, 52.3752, 52.3752) * CHOOSE(CONTROL!$C$21, $C$9, 100%, $E$9)</f>
        <v>52.3752</v>
      </c>
      <c r="O778" s="14">
        <f>CHOOSE(CONTROL!$C$42, 52.6114, 52.6114) * CHOOSE(CONTROL!$C$21, $C$9, 100%, $E$9)</f>
        <v>52.611400000000003</v>
      </c>
      <c r="P778" s="14">
        <f>CHOOSE(CONTROL!$C$42, 52.5502, 52.5502) * CHOOSE(CONTROL!$C$21, $C$9, 100%, $E$9)</f>
        <v>52.550199999999997</v>
      </c>
      <c r="Q778" s="14">
        <f>CHOOSE(CONTROL!$C$42, 53.2061, 53.2061) * CHOOSE(CONTROL!$C$21, $C$9, 100%, $E$9)</f>
        <v>53.206099999999999</v>
      </c>
      <c r="R778" s="14">
        <f>CHOOSE(CONTROL!$C$42, 53.9262, 53.9262) * CHOOSE(CONTROL!$C$21, $C$9, 100%, $E$9)</f>
        <v>53.926200000000001</v>
      </c>
      <c r="S778" s="14">
        <f>CHOOSE(CONTROL!$C$42, 51.3707, 51.3707) * CHOOSE(CONTROL!$C$21, $C$9, 100%, $E$9)</f>
        <v>51.370699999999999</v>
      </c>
      <c r="T77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78" s="57">
        <f>(1000*CHOOSE(CONTROL!$C$42, 695, 695)*CHOOSE(CONTROL!$C$42, 0.5599, 0.5599)*CHOOSE(CONTROL!$C$42, 31, 31))/1000000</f>
        <v>12.063045499999998</v>
      </c>
      <c r="V778" s="57">
        <f>(1000*CHOOSE(CONTROL!$C$42, 500, 500)*CHOOSE(CONTROL!$C$42, 0.275, 0.275)*CHOOSE(CONTROL!$C$42, 31, 31))/1000000</f>
        <v>4.2625000000000002</v>
      </c>
      <c r="W778" s="57">
        <f>(1000*CHOOSE(CONTROL!$C$42, 0.1146, 0.1146)*CHOOSE(CONTROL!$C$42, 121.5, 121.5)*CHOOSE(CONTROL!$C$42, 31, 31))/1000000</f>
        <v>0.43164089999999994</v>
      </c>
      <c r="X778" s="57">
        <f>(31*0.1790888*245000/1000000)+(31*0.2374*100000/1000000)</f>
        <v>2.0961194359999999</v>
      </c>
      <c r="Y778" s="57"/>
      <c r="Z778" s="14"/>
      <c r="AA778" s="56"/>
      <c r="AB778" s="50">
        <f>(B778*131.881+C778*277.167+D778*79.08+E778*125.872+F778*40+G778*185+H778*0+I778*100+J778*300)/(131.881+277.167+79.08+125.872+0+40+185+100+300)</f>
        <v>53.517829119209033</v>
      </c>
      <c r="AC778" s="45">
        <f>(M778*'RAP TEMPLATE-GAS AVAILABILITY'!O777+N778*'RAP TEMPLATE-GAS AVAILABILITY'!P777+O778*'RAP TEMPLATE-GAS AVAILABILITY'!Q777+P778*'RAP TEMPLATE-GAS AVAILABILITY'!R777)/('RAP TEMPLATE-GAS AVAILABILITY'!O777+'RAP TEMPLATE-GAS AVAILABILITY'!P777+'RAP TEMPLATE-GAS AVAILABILITY'!Q777+'RAP TEMPLATE-GAS AVAILABILITY'!R777)</f>
        <v>52.502151079136681</v>
      </c>
    </row>
    <row r="779" spans="1:29" ht="15.75" x14ac:dyDescent="0.25">
      <c r="A779" s="32">
        <v>64619</v>
      </c>
      <c r="B779" s="14">
        <f>CHOOSE(CONTROL!$C$42, 54.8783, 54.8783) * CHOOSE(CONTROL!$C$21, $C$9, 100%, $E$9)</f>
        <v>54.878300000000003</v>
      </c>
      <c r="C779" s="14">
        <f>CHOOSE(CONTROL!$C$42, 54.8833, 54.8833) * CHOOSE(CONTROL!$C$21, $C$9, 100%, $E$9)</f>
        <v>54.883299999999998</v>
      </c>
      <c r="D779" s="14">
        <f>CHOOSE(CONTROL!$C$42, 54.9471, 54.9471) * CHOOSE(CONTROL!$C$21, $C$9, 100%, $E$9)</f>
        <v>54.947099999999999</v>
      </c>
      <c r="E779" s="14">
        <f>CHOOSE(CONTROL!$C$42, 54.9813, 54.9813) * CHOOSE(CONTROL!$C$21, $C$9, 100%, $E$9)</f>
        <v>54.981299999999997</v>
      </c>
      <c r="F779" s="14">
        <f>CHOOSE(CONTROL!$C$42, 54.8807, 54.8807)*CHOOSE(CONTROL!$C$21, $C$9, 100%, $E$9)</f>
        <v>54.880699999999997</v>
      </c>
      <c r="G779" s="14">
        <f>CHOOSE(CONTROL!$C$42, 54.8967, 54.8967)*CHOOSE(CONTROL!$C$21, $C$9, 100%, $E$9)</f>
        <v>54.896700000000003</v>
      </c>
      <c r="H779" s="14">
        <f>CHOOSE(CONTROL!$C$42, 54.9705, 54.9705) * CHOOSE(CONTROL!$C$21, $C$9, 100%, $E$9)</f>
        <v>54.970500000000001</v>
      </c>
      <c r="I779" s="14">
        <f>CHOOSE(CONTROL!$C$42, 55.063, 55.063)* CHOOSE(CONTROL!$C$21, $C$9, 100%, $E$9)</f>
        <v>55.063000000000002</v>
      </c>
      <c r="J779" s="14">
        <f>CHOOSE(CONTROL!$C$42, 54.8737, 54.8737)* CHOOSE(CONTROL!$C$21, $C$9, 100%, $E$9)</f>
        <v>54.873699999999999</v>
      </c>
      <c r="K779" s="53">
        <f>CHOOSE(CONTROL!$C$42, 55.0591, 55.0591) * CHOOSE(CONTROL!$C$21, $C$9, 100%, $E$9)</f>
        <v>55.059100000000001</v>
      </c>
      <c r="L779" s="14">
        <f>CHOOSE(CONTROL!$C$42, 55.5575, 55.5575) * CHOOSE(CONTROL!$C$21, $C$9, 100%, $E$9)</f>
        <v>55.557499999999997</v>
      </c>
      <c r="M779" s="14">
        <f>CHOOSE(CONTROL!$C$42, 53.757, 53.757) * CHOOSE(CONTROL!$C$21, $C$9, 100%, $E$9)</f>
        <v>53.756999999999998</v>
      </c>
      <c r="N779" s="14">
        <f>CHOOSE(CONTROL!$C$42, 53.7727, 53.7727) * CHOOSE(CONTROL!$C$21, $C$9, 100%, $E$9)</f>
        <v>53.7727</v>
      </c>
      <c r="O779" s="14">
        <f>CHOOSE(CONTROL!$C$42, 53.8518, 53.8518) * CHOOSE(CONTROL!$C$21, $C$9, 100%, $E$9)</f>
        <v>53.851799999999997</v>
      </c>
      <c r="P779" s="14">
        <f>CHOOSE(CONTROL!$C$42, 53.9391, 53.9391) * CHOOSE(CONTROL!$C$21, $C$9, 100%, $E$9)</f>
        <v>53.939100000000003</v>
      </c>
      <c r="Q779" s="14">
        <f>CHOOSE(CONTROL!$C$42, 54.4465, 54.4465) * CHOOSE(CONTROL!$C$21, $C$9, 100%, $E$9)</f>
        <v>54.4465</v>
      </c>
      <c r="R779" s="14">
        <f>CHOOSE(CONTROL!$C$42, 55.1697, 55.1697) * CHOOSE(CONTROL!$C$21, $C$9, 100%, $E$9)</f>
        <v>55.169699999999999</v>
      </c>
      <c r="S779" s="14">
        <f>CHOOSE(CONTROL!$C$42, 52.724, 52.724) * CHOOSE(CONTROL!$C$21, $C$9, 100%, $E$9)</f>
        <v>52.723999999999997</v>
      </c>
      <c r="T77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79" s="57">
        <f>(1000*CHOOSE(CONTROL!$C$42, 695, 695)*CHOOSE(CONTROL!$C$42, 0.5599, 0.5599)*CHOOSE(CONTROL!$C$42, 30, 30))/1000000</f>
        <v>11.673914999999997</v>
      </c>
      <c r="V779" s="57">
        <f>(1000*CHOOSE(CONTROL!$C$42, 500, 500)*CHOOSE(CONTROL!$C$42, 0.275, 0.275)*CHOOSE(CONTROL!$C$42, 30, 30))/1000000</f>
        <v>4.125</v>
      </c>
      <c r="W779" s="57">
        <f>(1000*CHOOSE(CONTROL!$C$42, 0.1146, 0.1146)*CHOOSE(CONTROL!$C$42, 121.5, 121.5)*CHOOSE(CONTROL!$C$42, 30, 30))/1000000</f>
        <v>0.417717</v>
      </c>
      <c r="X779" s="57">
        <f>(30*0.1790888*100000/1000000)+(30*0.2374*100000/1000000)</f>
        <v>1.2494664</v>
      </c>
      <c r="Y779" s="57"/>
      <c r="Z779" s="14"/>
      <c r="AA779" s="56"/>
      <c r="AB779" s="50">
        <f>(B779*122.58+C779*297.941+D779*89.177+E779*40.302+F779*40+G779*160+H779*0+I779*100+J779*300)/(122.58+297.941+89.177+40.302+0+40+160+100+300)</f>
        <v>54.906044511826089</v>
      </c>
      <c r="AC779" s="45">
        <f>(M779*'RAP TEMPLATE-GAS AVAILABILITY'!O778+N779*'RAP TEMPLATE-GAS AVAILABILITY'!P778+O779*'RAP TEMPLATE-GAS AVAILABILITY'!Q778+P779*'RAP TEMPLATE-GAS AVAILABILITY'!R778)/('RAP TEMPLATE-GAS AVAILABILITY'!O778+'RAP TEMPLATE-GAS AVAILABILITY'!P778+'RAP TEMPLATE-GAS AVAILABILITY'!Q778+'RAP TEMPLATE-GAS AVAILABILITY'!R778)</f>
        <v>53.827071942446047</v>
      </c>
    </row>
    <row r="780" spans="1:29" ht="15.75" x14ac:dyDescent="0.25">
      <c r="A780" s="32">
        <v>64650</v>
      </c>
      <c r="B780" s="14">
        <f>CHOOSE(CONTROL!$C$42, 58.6192, 58.6192) * CHOOSE(CONTROL!$C$21, $C$9, 100%, $E$9)</f>
        <v>58.619199999999999</v>
      </c>
      <c r="C780" s="14">
        <f>CHOOSE(CONTROL!$C$42, 58.6243, 58.6243) * CHOOSE(CONTROL!$C$21, $C$9, 100%, $E$9)</f>
        <v>58.624299999999998</v>
      </c>
      <c r="D780" s="14">
        <f>CHOOSE(CONTROL!$C$42, 58.6881, 58.6881) * CHOOSE(CONTROL!$C$21, $C$9, 100%, $E$9)</f>
        <v>58.688099999999999</v>
      </c>
      <c r="E780" s="14">
        <f>CHOOSE(CONTROL!$C$42, 58.7222, 58.7222) * CHOOSE(CONTROL!$C$21, $C$9, 100%, $E$9)</f>
        <v>58.722200000000001</v>
      </c>
      <c r="F780" s="14">
        <f>CHOOSE(CONTROL!$C$42, 58.6238, 58.6238)*CHOOSE(CONTROL!$C$21, $C$9, 100%, $E$9)</f>
        <v>58.623800000000003</v>
      </c>
      <c r="G780" s="14">
        <f>CHOOSE(CONTROL!$C$42, 58.6404, 58.6404)*CHOOSE(CONTROL!$C$21, $C$9, 100%, $E$9)</f>
        <v>58.6404</v>
      </c>
      <c r="H780" s="14">
        <f>CHOOSE(CONTROL!$C$42, 58.7114, 58.7114) * CHOOSE(CONTROL!$C$21, $C$9, 100%, $E$9)</f>
        <v>58.711399999999998</v>
      </c>
      <c r="I780" s="14">
        <f>CHOOSE(CONTROL!$C$42, 58.8156, 58.8156)* CHOOSE(CONTROL!$C$21, $C$9, 100%, $E$9)</f>
        <v>58.815600000000003</v>
      </c>
      <c r="J780" s="14">
        <f>CHOOSE(CONTROL!$C$42, 58.6168, 58.6168)* CHOOSE(CONTROL!$C$21, $C$9, 100%, $E$9)</f>
        <v>58.616799999999998</v>
      </c>
      <c r="K780" s="53">
        <f>CHOOSE(CONTROL!$C$42, 58.8117, 58.8117) * CHOOSE(CONTROL!$C$21, $C$9, 100%, $E$9)</f>
        <v>58.811700000000002</v>
      </c>
      <c r="L780" s="14">
        <f>CHOOSE(CONTROL!$C$42, 59.2984, 59.2984) * CHOOSE(CONTROL!$C$21, $C$9, 100%, $E$9)</f>
        <v>59.298400000000001</v>
      </c>
      <c r="M780" s="14">
        <f>CHOOSE(CONTROL!$C$42, 57.4235, 57.4235) * CHOOSE(CONTROL!$C$21, $C$9, 100%, $E$9)</f>
        <v>57.423499999999997</v>
      </c>
      <c r="N780" s="14">
        <f>CHOOSE(CONTROL!$C$42, 57.4398, 57.4398) * CHOOSE(CONTROL!$C$21, $C$9, 100%, $E$9)</f>
        <v>57.439799999999998</v>
      </c>
      <c r="O780" s="14">
        <f>CHOOSE(CONTROL!$C$42, 57.5161, 57.5161) * CHOOSE(CONTROL!$C$21, $C$9, 100%, $E$9)</f>
        <v>57.516100000000002</v>
      </c>
      <c r="P780" s="14">
        <f>CHOOSE(CONTROL!$C$42, 57.6146, 57.6146) * CHOOSE(CONTROL!$C$21, $C$9, 100%, $E$9)</f>
        <v>57.614600000000003</v>
      </c>
      <c r="Q780" s="14">
        <f>CHOOSE(CONTROL!$C$42, 58.1108, 58.1108) * CHOOSE(CONTROL!$C$21, $C$9, 100%, $E$9)</f>
        <v>58.110799999999998</v>
      </c>
      <c r="R780" s="14">
        <f>CHOOSE(CONTROL!$C$42, 58.8431, 58.8431) * CHOOSE(CONTROL!$C$21, $C$9, 100%, $E$9)</f>
        <v>58.8431</v>
      </c>
      <c r="S780" s="14">
        <f>CHOOSE(CONTROL!$C$42, 56.3186, 56.3186) * CHOOSE(CONTROL!$C$21, $C$9, 100%, $E$9)</f>
        <v>56.318600000000004</v>
      </c>
      <c r="T78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80" s="57">
        <f>(1000*CHOOSE(CONTROL!$C$42, 695, 695)*CHOOSE(CONTROL!$C$42, 0.5599, 0.5599)*CHOOSE(CONTROL!$C$42, 31, 31))/1000000</f>
        <v>12.063045499999998</v>
      </c>
      <c r="V780" s="57">
        <f>(1000*CHOOSE(CONTROL!$C$42, 500, 500)*CHOOSE(CONTROL!$C$42, 0.275, 0.275)*CHOOSE(CONTROL!$C$42, 31, 31))/1000000</f>
        <v>4.2625000000000002</v>
      </c>
      <c r="W780" s="57">
        <f>(1000*CHOOSE(CONTROL!$C$42, 0.1146, 0.1146)*CHOOSE(CONTROL!$C$42, 121.5, 121.5)*CHOOSE(CONTROL!$C$42, 31, 31))/1000000</f>
        <v>0.43164089999999994</v>
      </c>
      <c r="X780" s="57">
        <f>(31*0.1790888*100000/1000000)+(31*0.2374*100000/1000000)</f>
        <v>1.2911152800000001</v>
      </c>
      <c r="Y780" s="57"/>
      <c r="Z780" s="14"/>
      <c r="AA780" s="56"/>
      <c r="AB780" s="50">
        <f>(B780*122.58+C780*297.941+D780*89.177+E780*40.302+F780*40+G780*160+H780*0+I780*100+J780*300)/(122.58+297.941+89.177+40.302+0+40+160+100+300)</f>
        <v>58.649035565565221</v>
      </c>
      <c r="AC780" s="45">
        <f>(M780*'RAP TEMPLATE-GAS AVAILABILITY'!O779+N780*'RAP TEMPLATE-GAS AVAILABILITY'!P779+O780*'RAP TEMPLATE-GAS AVAILABILITY'!Q779+P780*'RAP TEMPLATE-GAS AVAILABILITY'!R779)/('RAP TEMPLATE-GAS AVAILABILITY'!O779+'RAP TEMPLATE-GAS AVAILABILITY'!P779+'RAP TEMPLATE-GAS AVAILABILITY'!Q779+'RAP TEMPLATE-GAS AVAILABILITY'!R779)</f>
        <v>57.493904316546761</v>
      </c>
    </row>
    <row r="781" spans="1:29" ht="15.75" x14ac:dyDescent="0.25">
      <c r="A781" s="32">
        <v>64681</v>
      </c>
      <c r="B781" s="14">
        <f>CHOOSE(CONTROL!$C$42, 63.4201, 63.4201) * CHOOSE(CONTROL!$C$21, $C$9, 100%, $E$9)</f>
        <v>63.420099999999998</v>
      </c>
      <c r="C781" s="14">
        <f>CHOOSE(CONTROL!$C$42, 63.4252, 63.4252) * CHOOSE(CONTROL!$C$21, $C$9, 100%, $E$9)</f>
        <v>63.425199999999997</v>
      </c>
      <c r="D781" s="14">
        <f>CHOOSE(CONTROL!$C$42, 63.4916, 63.4916) * CHOOSE(CONTROL!$C$21, $C$9, 100%, $E$9)</f>
        <v>63.491599999999998</v>
      </c>
      <c r="E781" s="14">
        <f>CHOOSE(CONTROL!$C$42, 63.5257, 63.5257) * CHOOSE(CONTROL!$C$21, $C$9, 100%, $E$9)</f>
        <v>63.525700000000001</v>
      </c>
      <c r="F781" s="14">
        <f>CHOOSE(CONTROL!$C$42, 63.4075, 63.4075)*CHOOSE(CONTROL!$C$21, $C$9, 100%, $E$9)</f>
        <v>63.407499999999999</v>
      </c>
      <c r="G781" s="14">
        <f>CHOOSE(CONTROL!$C$42, 63.4229, 63.4229)*CHOOSE(CONTROL!$C$21, $C$9, 100%, $E$9)</f>
        <v>63.422899999999998</v>
      </c>
      <c r="H781" s="14">
        <f>CHOOSE(CONTROL!$C$42, 63.5149, 63.5149) * CHOOSE(CONTROL!$C$21, $C$9, 100%, $E$9)</f>
        <v>63.514899999999997</v>
      </c>
      <c r="I781" s="14">
        <f>CHOOSE(CONTROL!$C$42, 63.6264, 63.6264)* CHOOSE(CONTROL!$C$21, $C$9, 100%, $E$9)</f>
        <v>63.626399999999997</v>
      </c>
      <c r="J781" s="14">
        <f>CHOOSE(CONTROL!$C$42, 63.4005, 63.4005)* CHOOSE(CONTROL!$C$21, $C$9, 100%, $E$9)</f>
        <v>63.400500000000001</v>
      </c>
      <c r="K781" s="53">
        <f>CHOOSE(CONTROL!$C$42, 63.6225, 63.6225) * CHOOSE(CONTROL!$C$21, $C$9, 100%, $E$9)</f>
        <v>63.622500000000002</v>
      </c>
      <c r="L781" s="14">
        <f>CHOOSE(CONTROL!$C$42, 64.1019, 64.1019) * CHOOSE(CONTROL!$C$21, $C$9, 100%, $E$9)</f>
        <v>64.101900000000001</v>
      </c>
      <c r="M781" s="14">
        <f>CHOOSE(CONTROL!$C$42, 62.1091, 62.1091) * CHOOSE(CONTROL!$C$21, $C$9, 100%, $E$9)</f>
        <v>62.109099999999998</v>
      </c>
      <c r="N781" s="14">
        <f>CHOOSE(CONTROL!$C$42, 62.1243, 62.1243) * CHOOSE(CONTROL!$C$21, $C$9, 100%, $E$9)</f>
        <v>62.124299999999998</v>
      </c>
      <c r="O781" s="14">
        <f>CHOOSE(CONTROL!$C$42, 62.2212, 62.2212) * CHOOSE(CONTROL!$C$21, $C$9, 100%, $E$9)</f>
        <v>62.221200000000003</v>
      </c>
      <c r="P781" s="14">
        <f>CHOOSE(CONTROL!$C$42, 62.3265, 62.3265) * CHOOSE(CONTROL!$C$21, $C$9, 100%, $E$9)</f>
        <v>62.326500000000003</v>
      </c>
      <c r="Q781" s="14">
        <f>CHOOSE(CONTROL!$C$42, 62.8159, 62.8159) * CHOOSE(CONTROL!$C$21, $C$9, 100%, $E$9)</f>
        <v>62.815899999999999</v>
      </c>
      <c r="R781" s="14">
        <f>CHOOSE(CONTROL!$C$42, 63.56, 63.56) * CHOOSE(CONTROL!$C$21, $C$9, 100%, $E$9)</f>
        <v>63.56</v>
      </c>
      <c r="S781" s="14">
        <f>CHOOSE(CONTROL!$C$42, 60.9319, 60.9319) * CHOOSE(CONTROL!$C$21, $C$9, 100%, $E$9)</f>
        <v>60.931899999999999</v>
      </c>
      <c r="T78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81" s="57">
        <f>(1000*CHOOSE(CONTROL!$C$42, 695, 695)*CHOOSE(CONTROL!$C$42, 0.5599, 0.5599)*CHOOSE(CONTROL!$C$42, 31, 31))/1000000</f>
        <v>12.063045499999998</v>
      </c>
      <c r="V781" s="57">
        <f>(1000*CHOOSE(CONTROL!$C$42, 500, 500)*CHOOSE(CONTROL!$C$42, 0.275, 0.275)*CHOOSE(CONTROL!$C$42, 31, 31))/1000000</f>
        <v>4.2625000000000002</v>
      </c>
      <c r="W781" s="57">
        <f>(1000*CHOOSE(CONTROL!$C$42, 0.1146, 0.1146)*CHOOSE(CONTROL!$C$42, 121.5, 121.5)*CHOOSE(CONTROL!$C$42, 31, 31))/1000000</f>
        <v>0.43164089999999994</v>
      </c>
      <c r="X781" s="57">
        <f>(31*0.1790888*100000/1000000)+(31*0.2374*100000/1000000)</f>
        <v>1.2911152800000001</v>
      </c>
      <c r="Y781" s="57"/>
      <c r="Z781" s="14"/>
      <c r="AA781" s="56"/>
      <c r="AB781" s="50">
        <f>(B781*122.58+C781*297.941+D781*89.177+E781*40.302+F781*40+G781*160+H781*0+I781*100+J781*300)/(122.58+297.941+89.177+40.302+0+40+160+100+300)</f>
        <v>63.443443952869579</v>
      </c>
      <c r="AC781" s="45">
        <f>(M781*'RAP TEMPLATE-GAS AVAILABILITY'!O780+N781*'RAP TEMPLATE-GAS AVAILABILITY'!P780+O781*'RAP TEMPLATE-GAS AVAILABILITY'!Q780+P781*'RAP TEMPLATE-GAS AVAILABILITY'!R780)/('RAP TEMPLATE-GAS AVAILABILITY'!O780+'RAP TEMPLATE-GAS AVAILABILITY'!P780+'RAP TEMPLATE-GAS AVAILABILITY'!Q780+'RAP TEMPLATE-GAS AVAILABILITY'!R780)</f>
        <v>62.192063309352527</v>
      </c>
    </row>
    <row r="782" spans="1:29" ht="15.75" x14ac:dyDescent="0.25">
      <c r="A782" s="32">
        <v>64709</v>
      </c>
      <c r="B782" s="14">
        <f>CHOOSE(CONTROL!$C$42, 64.5489, 64.5489) * CHOOSE(CONTROL!$C$21, $C$9, 100%, $E$9)</f>
        <v>64.548900000000003</v>
      </c>
      <c r="C782" s="14">
        <f>CHOOSE(CONTROL!$C$42, 64.554, 64.554) * CHOOSE(CONTROL!$C$21, $C$9, 100%, $E$9)</f>
        <v>64.554000000000002</v>
      </c>
      <c r="D782" s="14">
        <f>CHOOSE(CONTROL!$C$42, 64.6204, 64.6204) * CHOOSE(CONTROL!$C$21, $C$9, 100%, $E$9)</f>
        <v>64.620400000000004</v>
      </c>
      <c r="E782" s="14">
        <f>CHOOSE(CONTROL!$C$42, 64.6545, 64.6545) * CHOOSE(CONTROL!$C$21, $C$9, 100%, $E$9)</f>
        <v>64.654499999999999</v>
      </c>
      <c r="F782" s="14">
        <f>CHOOSE(CONTROL!$C$42, 64.5363, 64.5363)*CHOOSE(CONTROL!$C$21, $C$9, 100%, $E$9)</f>
        <v>64.536299999999997</v>
      </c>
      <c r="G782" s="14">
        <f>CHOOSE(CONTROL!$C$42, 64.5518, 64.5518)*CHOOSE(CONTROL!$C$21, $C$9, 100%, $E$9)</f>
        <v>64.5518</v>
      </c>
      <c r="H782" s="14">
        <f>CHOOSE(CONTROL!$C$42, 64.6437, 64.6437) * CHOOSE(CONTROL!$C$21, $C$9, 100%, $E$9)</f>
        <v>64.643699999999995</v>
      </c>
      <c r="I782" s="14">
        <f>CHOOSE(CONTROL!$C$42, 64.7587, 64.7587)* CHOOSE(CONTROL!$C$21, $C$9, 100%, $E$9)</f>
        <v>64.758700000000005</v>
      </c>
      <c r="J782" s="14">
        <f>CHOOSE(CONTROL!$C$42, 64.5293, 64.5293)* CHOOSE(CONTROL!$C$21, $C$9, 100%, $E$9)</f>
        <v>64.529300000000006</v>
      </c>
      <c r="K782" s="53">
        <f>CHOOSE(CONTROL!$C$42, 64.7548, 64.7548) * CHOOSE(CONTROL!$C$21, $C$9, 100%, $E$9)</f>
        <v>64.754800000000003</v>
      </c>
      <c r="L782" s="14">
        <f>CHOOSE(CONTROL!$C$42, 65.2307, 65.2307) * CHOOSE(CONTROL!$C$21, $C$9, 100%, $E$9)</f>
        <v>65.230699999999999</v>
      </c>
      <c r="M782" s="14">
        <f>CHOOSE(CONTROL!$C$42, 63.2149, 63.2149) * CHOOSE(CONTROL!$C$21, $C$9, 100%, $E$9)</f>
        <v>63.2149</v>
      </c>
      <c r="N782" s="14">
        <f>CHOOSE(CONTROL!$C$42, 63.23, 63.23) * CHOOSE(CONTROL!$C$21, $C$9, 100%, $E$9)</f>
        <v>63.23</v>
      </c>
      <c r="O782" s="14">
        <f>CHOOSE(CONTROL!$C$42, 63.3269, 63.3269) * CHOOSE(CONTROL!$C$21, $C$9, 100%, $E$9)</f>
        <v>63.326900000000002</v>
      </c>
      <c r="P782" s="14">
        <f>CHOOSE(CONTROL!$C$42, 63.4356, 63.4356) * CHOOSE(CONTROL!$C$21, $C$9, 100%, $E$9)</f>
        <v>63.435600000000001</v>
      </c>
      <c r="Q782" s="14">
        <f>CHOOSE(CONTROL!$C$42, 63.9216, 63.9216) * CHOOSE(CONTROL!$C$21, $C$9, 100%, $E$9)</f>
        <v>63.921599999999998</v>
      </c>
      <c r="R782" s="14">
        <f>CHOOSE(CONTROL!$C$42, 64.6684, 64.6684) * CHOOSE(CONTROL!$C$21, $C$9, 100%, $E$9)</f>
        <v>64.668400000000005</v>
      </c>
      <c r="S782" s="14">
        <f>CHOOSE(CONTROL!$C$42, 62.0165, 62.0165) * CHOOSE(CONTROL!$C$21, $C$9, 100%, $E$9)</f>
        <v>62.016500000000001</v>
      </c>
      <c r="T78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82" s="57">
        <f>(1000*CHOOSE(CONTROL!$C$42, 695, 695)*CHOOSE(CONTROL!$C$42, 0.5599, 0.5599)*CHOOSE(CONTROL!$C$42, 28, 28))/1000000</f>
        <v>10.895653999999999</v>
      </c>
      <c r="V782" s="57">
        <f>(1000*CHOOSE(CONTROL!$C$42, 500, 500)*CHOOSE(CONTROL!$C$42, 0.275, 0.275)*CHOOSE(CONTROL!$C$42, 28, 28))/1000000</f>
        <v>3.85</v>
      </c>
      <c r="W782" s="57">
        <f>(1000*CHOOSE(CONTROL!$C$42, 0.1146, 0.1146)*CHOOSE(CONTROL!$C$42, 121.5, 121.5)*CHOOSE(CONTROL!$C$42, 28, 28))/1000000</f>
        <v>0.38986920000000003</v>
      </c>
      <c r="X782" s="57">
        <f>(28*0.1790888*100000/1000000)+(28*0.2374*100000/1000000)</f>
        <v>1.16616864</v>
      </c>
      <c r="Y782" s="57"/>
      <c r="Z782" s="14"/>
      <c r="AA782" s="56"/>
      <c r="AB782" s="50">
        <f>(B782*122.58+C782*297.941+D782*89.177+E782*40.302+F782*40+G782*160+H782*0+I782*100+J782*300)/(122.58+297.941+89.177+40.302+0+40+160+100+300)</f>
        <v>64.572562213739118</v>
      </c>
      <c r="AC782" s="45">
        <f>(M782*'RAP TEMPLATE-GAS AVAILABILITY'!O781+N782*'RAP TEMPLATE-GAS AVAILABILITY'!P781+O782*'RAP TEMPLATE-GAS AVAILABILITY'!Q781+P782*'RAP TEMPLATE-GAS AVAILABILITY'!R781)/('RAP TEMPLATE-GAS AVAILABILITY'!O781+'RAP TEMPLATE-GAS AVAILABILITY'!P781+'RAP TEMPLATE-GAS AVAILABILITY'!Q781+'RAP TEMPLATE-GAS AVAILABILITY'!R781)</f>
        <v>63.298287050359718</v>
      </c>
    </row>
    <row r="783" spans="1:29" ht="15.75" x14ac:dyDescent="0.25">
      <c r="A783" s="32">
        <v>64740</v>
      </c>
      <c r="B783" s="14">
        <f>CHOOSE(CONTROL!$C$42, 62.7166, 62.7166) * CHOOSE(CONTROL!$C$21, $C$9, 100%, $E$9)</f>
        <v>62.7166</v>
      </c>
      <c r="C783" s="14">
        <f>CHOOSE(CONTROL!$C$42, 62.7217, 62.7217) * CHOOSE(CONTROL!$C$21, $C$9, 100%, $E$9)</f>
        <v>62.721699999999998</v>
      </c>
      <c r="D783" s="14">
        <f>CHOOSE(CONTROL!$C$42, 62.7881, 62.7881) * CHOOSE(CONTROL!$C$21, $C$9, 100%, $E$9)</f>
        <v>62.7881</v>
      </c>
      <c r="E783" s="14">
        <f>CHOOSE(CONTROL!$C$42, 62.8222, 62.8222) * CHOOSE(CONTROL!$C$21, $C$9, 100%, $E$9)</f>
        <v>62.822200000000002</v>
      </c>
      <c r="F783" s="14">
        <f>CHOOSE(CONTROL!$C$42, 62.7036, 62.7036)*CHOOSE(CONTROL!$C$21, $C$9, 100%, $E$9)</f>
        <v>62.703600000000002</v>
      </c>
      <c r="G783" s="14">
        <f>CHOOSE(CONTROL!$C$42, 62.719, 62.719)*CHOOSE(CONTROL!$C$21, $C$9, 100%, $E$9)</f>
        <v>62.719000000000001</v>
      </c>
      <c r="H783" s="14">
        <f>CHOOSE(CONTROL!$C$42, 62.8114, 62.8114) * CHOOSE(CONTROL!$C$21, $C$9, 100%, $E$9)</f>
        <v>62.811399999999999</v>
      </c>
      <c r="I783" s="14">
        <f>CHOOSE(CONTROL!$C$42, 62.9207, 62.9207)* CHOOSE(CONTROL!$C$21, $C$9, 100%, $E$9)</f>
        <v>62.920699999999997</v>
      </c>
      <c r="J783" s="14">
        <f>CHOOSE(CONTROL!$C$42, 62.6966, 62.6966)* CHOOSE(CONTROL!$C$21, $C$9, 100%, $E$9)</f>
        <v>62.696599999999997</v>
      </c>
      <c r="K783" s="53">
        <f>CHOOSE(CONTROL!$C$42, 62.9168, 62.9168) * CHOOSE(CONTROL!$C$21, $C$9, 100%, $E$9)</f>
        <v>62.916800000000002</v>
      </c>
      <c r="L783" s="14">
        <f>CHOOSE(CONTROL!$C$42, 63.3984, 63.3984) * CHOOSE(CONTROL!$C$21, $C$9, 100%, $E$9)</f>
        <v>63.398400000000002</v>
      </c>
      <c r="M783" s="14">
        <f>CHOOSE(CONTROL!$C$42, 61.4197, 61.4197) * CHOOSE(CONTROL!$C$21, $C$9, 100%, $E$9)</f>
        <v>61.419699999999999</v>
      </c>
      <c r="N783" s="14">
        <f>CHOOSE(CONTROL!$C$42, 61.4348, 61.4348) * CHOOSE(CONTROL!$C$21, $C$9, 100%, $E$9)</f>
        <v>61.434800000000003</v>
      </c>
      <c r="O783" s="14">
        <f>CHOOSE(CONTROL!$C$42, 61.5321, 61.5321) * CHOOSE(CONTROL!$C$21, $C$9, 100%, $E$9)</f>
        <v>61.5321</v>
      </c>
      <c r="P783" s="14">
        <f>CHOOSE(CONTROL!$C$42, 61.6353, 61.6353) * CHOOSE(CONTROL!$C$21, $C$9, 100%, $E$9)</f>
        <v>61.635300000000001</v>
      </c>
      <c r="Q783" s="14">
        <f>CHOOSE(CONTROL!$C$42, 62.1268, 62.1268) * CHOOSE(CONTROL!$C$21, $C$9, 100%, $E$9)</f>
        <v>62.126800000000003</v>
      </c>
      <c r="R783" s="14">
        <f>CHOOSE(CONTROL!$C$42, 62.8691, 62.8691) * CHOOSE(CONTROL!$C$21, $C$9, 100%, $E$9)</f>
        <v>62.869100000000003</v>
      </c>
      <c r="S783" s="14">
        <f>CHOOSE(CONTROL!$C$42, 60.2559, 60.2559) * CHOOSE(CONTROL!$C$21, $C$9, 100%, $E$9)</f>
        <v>60.255899999999997</v>
      </c>
      <c r="T78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83" s="57">
        <f>(1000*CHOOSE(CONTROL!$C$42, 695, 695)*CHOOSE(CONTROL!$C$42, 0.5599, 0.5599)*CHOOSE(CONTROL!$C$42, 31, 31))/1000000</f>
        <v>12.063045499999998</v>
      </c>
      <c r="V783" s="57">
        <f>(1000*CHOOSE(CONTROL!$C$42, 500, 500)*CHOOSE(CONTROL!$C$42, 0.275, 0.275)*CHOOSE(CONTROL!$C$42, 31, 31))/1000000</f>
        <v>4.2625000000000002</v>
      </c>
      <c r="W783" s="57">
        <f>(1000*CHOOSE(CONTROL!$C$42, 0.1146, 0.1146)*CHOOSE(CONTROL!$C$42, 121.5, 121.5)*CHOOSE(CONTROL!$C$42, 31, 31))/1000000</f>
        <v>0.43164089999999994</v>
      </c>
      <c r="X783" s="57">
        <f>(31*0.1790888*100000/1000000)+(31*0.2374*100000/1000000)</f>
        <v>1.2911152800000001</v>
      </c>
      <c r="Y783" s="57"/>
      <c r="Z783" s="14"/>
      <c r="AA783" s="56"/>
      <c r="AB783" s="50">
        <f>(B783*122.58+C783*297.941+D783*89.177+E783*40.302+F783*40+G783*160+H783*0+I783*100+J783*300)/(122.58+297.941+89.177+40.302+0+40+160+100+300)</f>
        <v>62.739578735478254</v>
      </c>
      <c r="AC783" s="45">
        <f>(M783*'RAP TEMPLATE-GAS AVAILABILITY'!O782+N783*'RAP TEMPLATE-GAS AVAILABILITY'!P782+O783*'RAP TEMPLATE-GAS AVAILABILITY'!Q782+P783*'RAP TEMPLATE-GAS AVAILABILITY'!R782)/('RAP TEMPLATE-GAS AVAILABILITY'!O782+'RAP TEMPLATE-GAS AVAILABILITY'!P782+'RAP TEMPLATE-GAS AVAILABILITY'!Q782+'RAP TEMPLATE-GAS AVAILABILITY'!R782)</f>
        <v>61.502534532374092</v>
      </c>
    </row>
    <row r="784" spans="1:29" ht="15.75" x14ac:dyDescent="0.25">
      <c r="A784" s="32">
        <v>64770</v>
      </c>
      <c r="B784" s="14">
        <f>CHOOSE(CONTROL!$C$42, 62.53, 62.53) * CHOOSE(CONTROL!$C$21, $C$9, 100%, $E$9)</f>
        <v>62.53</v>
      </c>
      <c r="C784" s="14">
        <f>CHOOSE(CONTROL!$C$42, 62.5345, 62.5345) * CHOOSE(CONTROL!$C$21, $C$9, 100%, $E$9)</f>
        <v>62.534500000000001</v>
      </c>
      <c r="D784" s="14">
        <f>CHOOSE(CONTROL!$C$42, 62.7416, 62.7416) * CHOOSE(CONTROL!$C$21, $C$9, 100%, $E$9)</f>
        <v>62.741599999999998</v>
      </c>
      <c r="E784" s="14">
        <f>CHOOSE(CONTROL!$C$42, 62.7737, 62.7737) * CHOOSE(CONTROL!$C$21, $C$9, 100%, $E$9)</f>
        <v>62.773699999999998</v>
      </c>
      <c r="F784" s="14">
        <f>CHOOSE(CONTROL!$C$42, 62.5119, 62.5119)*CHOOSE(CONTROL!$C$21, $C$9, 100%, $E$9)</f>
        <v>62.511899999999997</v>
      </c>
      <c r="G784" s="14">
        <f>CHOOSE(CONTROL!$C$42, 62.5271, 62.5271)*CHOOSE(CONTROL!$C$21, $C$9, 100%, $E$9)</f>
        <v>62.527099999999997</v>
      </c>
      <c r="H784" s="14">
        <f>CHOOSE(CONTROL!$C$42, 62.7635, 62.7635) * CHOOSE(CONTROL!$C$21, $C$9, 100%, $E$9)</f>
        <v>62.763500000000001</v>
      </c>
      <c r="I784" s="14">
        <f>CHOOSE(CONTROL!$C$42, 62.7327, 62.7327)* CHOOSE(CONTROL!$C$21, $C$9, 100%, $E$9)</f>
        <v>62.732700000000001</v>
      </c>
      <c r="J784" s="14">
        <f>CHOOSE(CONTROL!$C$42, 62.5049, 62.5049)* CHOOSE(CONTROL!$C$21, $C$9, 100%, $E$9)</f>
        <v>62.504899999999999</v>
      </c>
      <c r="K784" s="53">
        <f>CHOOSE(CONTROL!$C$42, 62.7288, 62.7288) * CHOOSE(CONTROL!$C$21, $C$9, 100%, $E$9)</f>
        <v>62.7288</v>
      </c>
      <c r="L784" s="14">
        <f>CHOOSE(CONTROL!$C$42, 63.3505, 63.3505) * CHOOSE(CONTROL!$C$21, $C$9, 100%, $E$9)</f>
        <v>63.350499999999997</v>
      </c>
      <c r="M784" s="14">
        <f>CHOOSE(CONTROL!$C$42, 61.2319, 61.2319) * CHOOSE(CONTROL!$C$21, $C$9, 100%, $E$9)</f>
        <v>61.231900000000003</v>
      </c>
      <c r="N784" s="14">
        <f>CHOOSE(CONTROL!$C$42, 61.2468, 61.2468) * CHOOSE(CONTROL!$C$21, $C$9, 100%, $E$9)</f>
        <v>61.2468</v>
      </c>
      <c r="O784" s="14">
        <f>CHOOSE(CONTROL!$C$42, 61.4852, 61.4852) * CHOOSE(CONTROL!$C$21, $C$9, 100%, $E$9)</f>
        <v>61.485199999999999</v>
      </c>
      <c r="P784" s="14">
        <f>CHOOSE(CONTROL!$C$42, 61.4512, 61.4512) * CHOOSE(CONTROL!$C$21, $C$9, 100%, $E$9)</f>
        <v>61.4512</v>
      </c>
      <c r="Q784" s="14">
        <f>CHOOSE(CONTROL!$C$42, 62.0799, 62.0799) * CHOOSE(CONTROL!$C$21, $C$9, 100%, $E$9)</f>
        <v>62.079900000000002</v>
      </c>
      <c r="R784" s="14">
        <f>CHOOSE(CONTROL!$C$42, 62.8221, 62.8221) * CHOOSE(CONTROL!$C$21, $C$9, 100%, $E$9)</f>
        <v>62.822099999999999</v>
      </c>
      <c r="S784" s="14">
        <f>CHOOSE(CONTROL!$C$42, 60.0758, 60.0758) * CHOOSE(CONTROL!$C$21, $C$9, 100%, $E$9)</f>
        <v>60.075800000000001</v>
      </c>
      <c r="T78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84" s="57">
        <f>(1000*CHOOSE(CONTROL!$C$42, 695, 695)*CHOOSE(CONTROL!$C$42, 0.5599, 0.5599)*CHOOSE(CONTROL!$C$42, 30, 30))/1000000</f>
        <v>11.673914999999997</v>
      </c>
      <c r="V784" s="57">
        <f>(1000*CHOOSE(CONTROL!$C$42, 500, 500)*CHOOSE(CONTROL!$C$42, 0.275, 0.275)*CHOOSE(CONTROL!$C$42, 30, 30))/1000000</f>
        <v>4.125</v>
      </c>
      <c r="W784" s="57">
        <f>(1000*CHOOSE(CONTROL!$C$42, 0.1146, 0.1146)*CHOOSE(CONTROL!$C$42, 121.5, 121.5)*CHOOSE(CONTROL!$C$42, 30, 30))/1000000</f>
        <v>0.417717</v>
      </c>
      <c r="X784" s="57">
        <f>(30*0.1790888*245000/1000000)+(30*0.2374*100000/1000000)</f>
        <v>2.0285026799999999</v>
      </c>
      <c r="Y784" s="57"/>
      <c r="Z784" s="14"/>
      <c r="AA784" s="56"/>
      <c r="AB784" s="50">
        <f>(B784*141.293+C784*267.993+D784*115.016+E784*89.698+F784*40+G784*185+H784*0+I784*100+J784*300)/(141.293+267.993+115.016+89.698+0+40+185+100+300)</f>
        <v>62.577524016707031</v>
      </c>
      <c r="AC784" s="45">
        <f>(M784*'RAP TEMPLATE-GAS AVAILABILITY'!O783+N784*'RAP TEMPLATE-GAS AVAILABILITY'!P783+O784*'RAP TEMPLATE-GAS AVAILABILITY'!Q783+P784*'RAP TEMPLATE-GAS AVAILABILITY'!R783)/('RAP TEMPLATE-GAS AVAILABILITY'!O783+'RAP TEMPLATE-GAS AVAILABILITY'!P783+'RAP TEMPLATE-GAS AVAILABILITY'!Q783+'RAP TEMPLATE-GAS AVAILABILITY'!R783)</f>
        <v>61.379116546762596</v>
      </c>
    </row>
    <row r="785" spans="1:29" ht="15.75" x14ac:dyDescent="0.25">
      <c r="A785" s="32">
        <v>64801</v>
      </c>
      <c r="B785" s="14">
        <f>CHOOSE(CONTROL!$C$42, 63.0832, 63.0832) * CHOOSE(CONTROL!$C$21, $C$9, 100%, $E$9)</f>
        <v>63.083199999999998</v>
      </c>
      <c r="C785" s="14">
        <f>CHOOSE(CONTROL!$C$42, 63.0913, 63.0913) * CHOOSE(CONTROL!$C$21, $C$9, 100%, $E$9)</f>
        <v>63.091299999999997</v>
      </c>
      <c r="D785" s="14">
        <f>CHOOSE(CONTROL!$C$42, 63.2952, 63.2952) * CHOOSE(CONTROL!$C$21, $C$9, 100%, $E$9)</f>
        <v>63.295200000000001</v>
      </c>
      <c r="E785" s="14">
        <f>CHOOSE(CONTROL!$C$42, 63.3267, 63.3267) * CHOOSE(CONTROL!$C$21, $C$9, 100%, $E$9)</f>
        <v>63.326700000000002</v>
      </c>
      <c r="F785" s="14">
        <f>CHOOSE(CONTROL!$C$42, 63.064, 63.064)*CHOOSE(CONTROL!$C$21, $C$9, 100%, $E$9)</f>
        <v>63.064</v>
      </c>
      <c r="G785" s="14">
        <f>CHOOSE(CONTROL!$C$42, 63.0796, 63.0796)*CHOOSE(CONTROL!$C$21, $C$9, 100%, $E$9)</f>
        <v>63.079599999999999</v>
      </c>
      <c r="H785" s="14">
        <f>CHOOSE(CONTROL!$C$42, 63.3153, 63.3153) * CHOOSE(CONTROL!$C$21, $C$9, 100%, $E$9)</f>
        <v>63.315300000000001</v>
      </c>
      <c r="I785" s="14">
        <f>CHOOSE(CONTROL!$C$42, 63.2862, 63.2862)* CHOOSE(CONTROL!$C$21, $C$9, 100%, $E$9)</f>
        <v>63.286200000000001</v>
      </c>
      <c r="J785" s="14">
        <f>CHOOSE(CONTROL!$C$42, 63.057, 63.057)* CHOOSE(CONTROL!$C$21, $C$9, 100%, $E$9)</f>
        <v>63.057000000000002</v>
      </c>
      <c r="K785" s="53">
        <f>CHOOSE(CONTROL!$C$42, 63.2824, 63.2824) * CHOOSE(CONTROL!$C$21, $C$9, 100%, $E$9)</f>
        <v>63.282400000000003</v>
      </c>
      <c r="L785" s="14">
        <f>CHOOSE(CONTROL!$C$42, 63.9023, 63.9023) * CHOOSE(CONTROL!$C$21, $C$9, 100%, $E$9)</f>
        <v>63.902299999999997</v>
      </c>
      <c r="M785" s="14">
        <f>CHOOSE(CONTROL!$C$42, 61.7727, 61.7727) * CHOOSE(CONTROL!$C$21, $C$9, 100%, $E$9)</f>
        <v>61.7727</v>
      </c>
      <c r="N785" s="14">
        <f>CHOOSE(CONTROL!$C$42, 61.788, 61.788) * CHOOSE(CONTROL!$C$21, $C$9, 100%, $E$9)</f>
        <v>61.787999999999997</v>
      </c>
      <c r="O785" s="14">
        <f>CHOOSE(CONTROL!$C$42, 62.0257, 62.0257) * CHOOSE(CONTROL!$C$21, $C$9, 100%, $E$9)</f>
        <v>62.025700000000001</v>
      </c>
      <c r="P785" s="14">
        <f>CHOOSE(CONTROL!$C$42, 61.9933, 61.9933) * CHOOSE(CONTROL!$C$21, $C$9, 100%, $E$9)</f>
        <v>61.993299999999998</v>
      </c>
      <c r="Q785" s="14">
        <f>CHOOSE(CONTROL!$C$42, 62.6204, 62.6204) * CHOOSE(CONTROL!$C$21, $C$9, 100%, $E$9)</f>
        <v>62.620399999999997</v>
      </c>
      <c r="R785" s="14">
        <f>CHOOSE(CONTROL!$C$42, 63.3639, 63.3639) * CHOOSE(CONTROL!$C$21, $C$9, 100%, $E$9)</f>
        <v>63.363900000000001</v>
      </c>
      <c r="S785" s="14">
        <f>CHOOSE(CONTROL!$C$42, 60.606, 60.606) * CHOOSE(CONTROL!$C$21, $C$9, 100%, $E$9)</f>
        <v>60.606000000000002</v>
      </c>
      <c r="T78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85" s="57">
        <f>(1000*CHOOSE(CONTROL!$C$42, 695, 695)*CHOOSE(CONTROL!$C$42, 0.5599, 0.5599)*CHOOSE(CONTROL!$C$42, 31, 31))/1000000</f>
        <v>12.063045499999998</v>
      </c>
      <c r="V785" s="57">
        <f>(1000*CHOOSE(CONTROL!$C$42, 500, 500)*CHOOSE(CONTROL!$C$42, 0.275, 0.275)*CHOOSE(CONTROL!$C$42, 31, 31))/1000000</f>
        <v>4.2625000000000002</v>
      </c>
      <c r="W785" s="57">
        <f>(1000*CHOOSE(CONTROL!$C$42, 0.1146, 0.1146)*CHOOSE(CONTROL!$C$42, 121.5, 121.5)*CHOOSE(CONTROL!$C$42, 31, 31))/1000000</f>
        <v>0.43164089999999994</v>
      </c>
      <c r="X785" s="57">
        <f>(31*0.1790888*245000/1000000)+(31*0.2374*100000/1000000)</f>
        <v>2.0961194359999999</v>
      </c>
      <c r="Y785" s="57"/>
      <c r="Z785" s="14"/>
      <c r="AA785" s="56"/>
      <c r="AB785" s="50">
        <f>(B785*194.205+C785*267.466+D785*133.845+E785*53.484+F785*40+G785*185+H785*0+I785*100+J785*300)/(194.205+267.466+133.845+53.484+0+40+185+100+300)</f>
        <v>63.126034355259023</v>
      </c>
      <c r="AC785" s="45">
        <f>(M785*'RAP TEMPLATE-GAS AVAILABILITY'!O784+N785*'RAP TEMPLATE-GAS AVAILABILITY'!P784+O785*'RAP TEMPLATE-GAS AVAILABILITY'!Q784+P785*'RAP TEMPLATE-GAS AVAILABILITY'!R784)/('RAP TEMPLATE-GAS AVAILABILITY'!O784+'RAP TEMPLATE-GAS AVAILABILITY'!P784+'RAP TEMPLATE-GAS AVAILABILITY'!Q784+'RAP TEMPLATE-GAS AVAILABILITY'!R784)</f>
        <v>61.919990647482024</v>
      </c>
    </row>
    <row r="786" spans="1:29" ht="15.75" x14ac:dyDescent="0.25">
      <c r="A786" s="32">
        <v>64831</v>
      </c>
      <c r="B786" s="14">
        <f>CHOOSE(CONTROL!$C$42, 64.8723, 64.8723) * CHOOSE(CONTROL!$C$21, $C$9, 100%, $E$9)</f>
        <v>64.872299999999996</v>
      </c>
      <c r="C786" s="14">
        <f>CHOOSE(CONTROL!$C$42, 64.8804, 64.8804) * CHOOSE(CONTROL!$C$21, $C$9, 100%, $E$9)</f>
        <v>64.880399999999995</v>
      </c>
      <c r="D786" s="14">
        <f>CHOOSE(CONTROL!$C$42, 65.0843, 65.0843) * CHOOSE(CONTROL!$C$21, $C$9, 100%, $E$9)</f>
        <v>65.084299999999999</v>
      </c>
      <c r="E786" s="14">
        <f>CHOOSE(CONTROL!$C$42, 65.1158, 65.1158) * CHOOSE(CONTROL!$C$21, $C$9, 100%, $E$9)</f>
        <v>65.115799999999993</v>
      </c>
      <c r="F786" s="14">
        <f>CHOOSE(CONTROL!$C$42, 64.8535, 64.8535)*CHOOSE(CONTROL!$C$21, $C$9, 100%, $E$9)</f>
        <v>64.853499999999997</v>
      </c>
      <c r="G786" s="14">
        <f>CHOOSE(CONTROL!$C$42, 64.8693, 64.8693)*CHOOSE(CONTROL!$C$21, $C$9, 100%, $E$9)</f>
        <v>64.869299999999996</v>
      </c>
      <c r="H786" s="14">
        <f>CHOOSE(CONTROL!$C$42, 65.1044, 65.1044) * CHOOSE(CONTROL!$C$21, $C$9, 100%, $E$9)</f>
        <v>65.104399999999998</v>
      </c>
      <c r="I786" s="14">
        <f>CHOOSE(CONTROL!$C$42, 65.0809, 65.0809)* CHOOSE(CONTROL!$C$21, $C$9, 100%, $E$9)</f>
        <v>65.0809</v>
      </c>
      <c r="J786" s="14">
        <f>CHOOSE(CONTROL!$C$42, 64.8465, 64.8465)* CHOOSE(CONTROL!$C$21, $C$9, 100%, $E$9)</f>
        <v>64.846500000000006</v>
      </c>
      <c r="K786" s="53">
        <f>CHOOSE(CONTROL!$C$42, 65.0771, 65.0771) * CHOOSE(CONTROL!$C$21, $C$9, 100%, $E$9)</f>
        <v>65.077100000000002</v>
      </c>
      <c r="L786" s="14">
        <f>CHOOSE(CONTROL!$C$42, 65.6914, 65.6914) * CHOOSE(CONTROL!$C$21, $C$9, 100%, $E$9)</f>
        <v>65.691400000000002</v>
      </c>
      <c r="M786" s="14">
        <f>CHOOSE(CONTROL!$C$42, 63.5255, 63.5255) * CHOOSE(CONTROL!$C$21, $C$9, 100%, $E$9)</f>
        <v>63.525500000000001</v>
      </c>
      <c r="N786" s="14">
        <f>CHOOSE(CONTROL!$C$42, 63.541, 63.541) * CHOOSE(CONTROL!$C$21, $C$9, 100%, $E$9)</f>
        <v>63.540999999999997</v>
      </c>
      <c r="O786" s="14">
        <f>CHOOSE(CONTROL!$C$42, 63.7781, 63.7781) * CHOOSE(CONTROL!$C$21, $C$9, 100%, $E$9)</f>
        <v>63.778100000000002</v>
      </c>
      <c r="P786" s="14">
        <f>CHOOSE(CONTROL!$C$42, 63.7512, 63.7512) * CHOOSE(CONTROL!$C$21, $C$9, 100%, $E$9)</f>
        <v>63.751199999999997</v>
      </c>
      <c r="Q786" s="14">
        <f>CHOOSE(CONTROL!$C$42, 64.3728, 64.3728) * CHOOSE(CONTROL!$C$21, $C$9, 100%, $E$9)</f>
        <v>64.372799999999998</v>
      </c>
      <c r="R786" s="14">
        <f>CHOOSE(CONTROL!$C$42, 65.1208, 65.1208) * CHOOSE(CONTROL!$C$21, $C$9, 100%, $E$9)</f>
        <v>65.120800000000003</v>
      </c>
      <c r="S786" s="14">
        <f>CHOOSE(CONTROL!$C$42, 62.3252, 62.3252) * CHOOSE(CONTROL!$C$21, $C$9, 100%, $E$9)</f>
        <v>62.325200000000002</v>
      </c>
      <c r="T78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86" s="57">
        <f>(1000*CHOOSE(CONTROL!$C$42, 695, 695)*CHOOSE(CONTROL!$C$42, 0.5599, 0.5599)*CHOOSE(CONTROL!$C$42, 30, 30))/1000000</f>
        <v>11.673914999999997</v>
      </c>
      <c r="V786" s="57">
        <f>(1000*CHOOSE(CONTROL!$C$42, 500, 500)*CHOOSE(CONTROL!$C$42, 0.275, 0.275)*CHOOSE(CONTROL!$C$42, 30, 30))/1000000</f>
        <v>4.125</v>
      </c>
      <c r="W786" s="57">
        <f>(1000*CHOOSE(CONTROL!$C$42, 0.1146, 0.1146)*CHOOSE(CONTROL!$C$42, 121.5, 121.5)*CHOOSE(CONTROL!$C$42, 30, 30))/1000000</f>
        <v>0.417717</v>
      </c>
      <c r="X786" s="57">
        <f>(30*0.1790888*245000/1000000)+(30*0.2374*100000/1000000)</f>
        <v>2.0285026799999999</v>
      </c>
      <c r="Y786" s="57"/>
      <c r="Z786" s="14"/>
      <c r="AA786" s="56"/>
      <c r="AB786" s="50">
        <f>(B786*194.205+C786*267.466+D786*133.845+E786*53.484+F786*40+G786*185+H786*0+I786*100+J786*300)/(194.205+267.466+133.845+53.484+0+40+185+100+300)</f>
        <v>64.9157677932496</v>
      </c>
      <c r="AC786" s="45">
        <f>(M786*'RAP TEMPLATE-GAS AVAILABILITY'!O785+N786*'RAP TEMPLATE-GAS AVAILABILITY'!P785+O786*'RAP TEMPLATE-GAS AVAILABILITY'!Q785+P786*'RAP TEMPLATE-GAS AVAILABILITY'!R785)/('RAP TEMPLATE-GAS AVAILABILITY'!O785+'RAP TEMPLATE-GAS AVAILABILITY'!P785+'RAP TEMPLATE-GAS AVAILABILITY'!Q785+'RAP TEMPLATE-GAS AVAILABILITY'!R785)</f>
        <v>63.673354676258995</v>
      </c>
    </row>
    <row r="787" spans="1:29" ht="15.75" x14ac:dyDescent="0.25">
      <c r="A787" s="32">
        <v>64862</v>
      </c>
      <c r="B787" s="14">
        <f>CHOOSE(CONTROL!$C$42, 63.628, 63.628) * CHOOSE(CONTROL!$C$21, $C$9, 100%, $E$9)</f>
        <v>63.628</v>
      </c>
      <c r="C787" s="14">
        <f>CHOOSE(CONTROL!$C$42, 63.636, 63.636) * CHOOSE(CONTROL!$C$21, $C$9, 100%, $E$9)</f>
        <v>63.636000000000003</v>
      </c>
      <c r="D787" s="14">
        <f>CHOOSE(CONTROL!$C$42, 63.84, 63.84) * CHOOSE(CONTROL!$C$21, $C$9, 100%, $E$9)</f>
        <v>63.84</v>
      </c>
      <c r="E787" s="14">
        <f>CHOOSE(CONTROL!$C$42, 63.8714, 63.8714) * CHOOSE(CONTROL!$C$21, $C$9, 100%, $E$9)</f>
        <v>63.871400000000001</v>
      </c>
      <c r="F787" s="14">
        <f>CHOOSE(CONTROL!$C$42, 63.6096, 63.6096)*CHOOSE(CONTROL!$C$21, $C$9, 100%, $E$9)</f>
        <v>63.6096</v>
      </c>
      <c r="G787" s="14">
        <f>CHOOSE(CONTROL!$C$42, 63.6255, 63.6255)*CHOOSE(CONTROL!$C$21, $C$9, 100%, $E$9)</f>
        <v>63.625500000000002</v>
      </c>
      <c r="H787" s="14">
        <f>CHOOSE(CONTROL!$C$42, 63.8601, 63.8601) * CHOOSE(CONTROL!$C$21, $C$9, 100%, $E$9)</f>
        <v>63.860100000000003</v>
      </c>
      <c r="I787" s="14">
        <f>CHOOSE(CONTROL!$C$42, 63.8327, 63.8327)* CHOOSE(CONTROL!$C$21, $C$9, 100%, $E$9)</f>
        <v>63.832700000000003</v>
      </c>
      <c r="J787" s="14">
        <f>CHOOSE(CONTROL!$C$42, 63.6026, 63.6026)* CHOOSE(CONTROL!$C$21, $C$9, 100%, $E$9)</f>
        <v>63.602600000000002</v>
      </c>
      <c r="K787" s="53">
        <f>CHOOSE(CONTROL!$C$42, 63.8288, 63.8288) * CHOOSE(CONTROL!$C$21, $C$9, 100%, $E$9)</f>
        <v>63.828800000000001</v>
      </c>
      <c r="L787" s="14">
        <f>CHOOSE(CONTROL!$C$42, 64.4471, 64.4471) * CHOOSE(CONTROL!$C$21, $C$9, 100%, $E$9)</f>
        <v>64.447100000000006</v>
      </c>
      <c r="M787" s="14">
        <f>CHOOSE(CONTROL!$C$42, 62.3071, 62.3071) * CHOOSE(CONTROL!$C$21, $C$9, 100%, $E$9)</f>
        <v>62.307099999999998</v>
      </c>
      <c r="N787" s="14">
        <f>CHOOSE(CONTROL!$C$42, 62.3227, 62.3227) * CHOOSE(CONTROL!$C$21, $C$9, 100%, $E$9)</f>
        <v>62.322699999999998</v>
      </c>
      <c r="O787" s="14">
        <f>CHOOSE(CONTROL!$C$42, 62.5593, 62.5593) * CHOOSE(CONTROL!$C$21, $C$9, 100%, $E$9)</f>
        <v>62.5593</v>
      </c>
      <c r="P787" s="14">
        <f>CHOOSE(CONTROL!$C$42, 62.5286, 62.5286) * CHOOSE(CONTROL!$C$21, $C$9, 100%, $E$9)</f>
        <v>62.528599999999997</v>
      </c>
      <c r="Q787" s="14">
        <f>CHOOSE(CONTROL!$C$42, 63.154, 63.154) * CHOOSE(CONTROL!$C$21, $C$9, 100%, $E$9)</f>
        <v>63.154000000000003</v>
      </c>
      <c r="R787" s="14">
        <f>CHOOSE(CONTROL!$C$42, 63.8989, 63.8989) * CHOOSE(CONTROL!$C$21, $C$9, 100%, $E$9)</f>
        <v>63.898899999999998</v>
      </c>
      <c r="S787" s="14">
        <f>CHOOSE(CONTROL!$C$42, 61.1295, 61.1295) * CHOOSE(CONTROL!$C$21, $C$9, 100%, $E$9)</f>
        <v>61.1295</v>
      </c>
      <c r="T78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87" s="57">
        <f>(1000*CHOOSE(CONTROL!$C$42, 695, 695)*CHOOSE(CONTROL!$C$42, 0.5599, 0.5599)*CHOOSE(CONTROL!$C$42, 31, 31))/1000000</f>
        <v>12.063045499999998</v>
      </c>
      <c r="V787" s="57">
        <f>(1000*CHOOSE(CONTROL!$C$42, 500, 500)*CHOOSE(CONTROL!$C$42, 0.275, 0.275)*CHOOSE(CONTROL!$C$42, 31, 31))/1000000</f>
        <v>4.2625000000000002</v>
      </c>
      <c r="W787" s="57">
        <f>(1000*CHOOSE(CONTROL!$C$42, 0.1146, 0.1146)*CHOOSE(CONTROL!$C$42, 121.5, 121.5)*CHOOSE(CONTROL!$C$42, 31, 31))/1000000</f>
        <v>0.43164089999999994</v>
      </c>
      <c r="X787" s="57">
        <f>(31*0.1790888*245000/1000000)+(31*0.2374*100000/1000000)</f>
        <v>2.0961194359999999</v>
      </c>
      <c r="Y787" s="57"/>
      <c r="Z787" s="14"/>
      <c r="AA787" s="56"/>
      <c r="AB787" s="50">
        <f>(B787*194.205+C787*267.466+D787*133.845+E787*53.484+F787*40+G787*185+H787*0+I787*100+J787*300)/(194.205+267.466+133.845+53.484+0+40+185+100+300)</f>
        <v>63.671315834850866</v>
      </c>
      <c r="AC787" s="45">
        <f>(M787*'RAP TEMPLATE-GAS AVAILABILITY'!O786+N787*'RAP TEMPLATE-GAS AVAILABILITY'!P786+O787*'RAP TEMPLATE-GAS AVAILABILITY'!Q786+P787*'RAP TEMPLATE-GAS AVAILABILITY'!R786)/('RAP TEMPLATE-GAS AVAILABILITY'!O786+'RAP TEMPLATE-GAS AVAILABILITY'!P786+'RAP TEMPLATE-GAS AVAILABILITY'!Q786+'RAP TEMPLATE-GAS AVAILABILITY'!R786)</f>
        <v>62.454174820143884</v>
      </c>
    </row>
    <row r="788" spans="1:29" ht="15.75" x14ac:dyDescent="0.25">
      <c r="A788" s="32">
        <v>64893</v>
      </c>
      <c r="B788" s="14">
        <f>CHOOSE(CONTROL!$C$42, 60.4857, 60.4857) * CHOOSE(CONTROL!$C$21, $C$9, 100%, $E$9)</f>
        <v>60.485700000000001</v>
      </c>
      <c r="C788" s="14">
        <f>CHOOSE(CONTROL!$C$42, 60.4937, 60.4937) * CHOOSE(CONTROL!$C$21, $C$9, 100%, $E$9)</f>
        <v>60.493699999999997</v>
      </c>
      <c r="D788" s="14">
        <f>CHOOSE(CONTROL!$C$42, 60.6976, 60.6976) * CHOOSE(CONTROL!$C$21, $C$9, 100%, $E$9)</f>
        <v>60.697600000000001</v>
      </c>
      <c r="E788" s="14">
        <f>CHOOSE(CONTROL!$C$42, 60.7291, 60.7291) * CHOOSE(CONTROL!$C$21, $C$9, 100%, $E$9)</f>
        <v>60.729100000000003</v>
      </c>
      <c r="F788" s="14">
        <f>CHOOSE(CONTROL!$C$42, 60.4675, 60.4675)*CHOOSE(CONTROL!$C$21, $C$9, 100%, $E$9)</f>
        <v>60.467500000000001</v>
      </c>
      <c r="G788" s="14">
        <f>CHOOSE(CONTROL!$C$42, 60.4835, 60.4835)*CHOOSE(CONTROL!$C$21, $C$9, 100%, $E$9)</f>
        <v>60.483499999999999</v>
      </c>
      <c r="H788" s="14">
        <f>CHOOSE(CONTROL!$C$42, 60.7177, 60.7177) * CHOOSE(CONTROL!$C$21, $C$9, 100%, $E$9)</f>
        <v>60.717700000000001</v>
      </c>
      <c r="I788" s="14">
        <f>CHOOSE(CONTROL!$C$42, 60.6806, 60.6806)* CHOOSE(CONTROL!$C$21, $C$9, 100%, $E$9)</f>
        <v>60.680599999999998</v>
      </c>
      <c r="J788" s="14">
        <f>CHOOSE(CONTROL!$C$42, 60.4605, 60.4605)* CHOOSE(CONTROL!$C$21, $C$9, 100%, $E$9)</f>
        <v>60.460500000000003</v>
      </c>
      <c r="K788" s="53">
        <f>CHOOSE(CONTROL!$C$42, 60.6767, 60.6767) * CHOOSE(CONTROL!$C$21, $C$9, 100%, $E$9)</f>
        <v>60.676699999999997</v>
      </c>
      <c r="L788" s="14">
        <f>CHOOSE(CONTROL!$C$42, 61.3047, 61.3047) * CHOOSE(CONTROL!$C$21, $C$9, 100%, $E$9)</f>
        <v>61.304699999999997</v>
      </c>
      <c r="M788" s="14">
        <f>CHOOSE(CONTROL!$C$42, 59.2294, 59.2294) * CHOOSE(CONTROL!$C$21, $C$9, 100%, $E$9)</f>
        <v>59.229399999999998</v>
      </c>
      <c r="N788" s="14">
        <f>CHOOSE(CONTROL!$C$42, 59.2451, 59.2451) * CHOOSE(CONTROL!$C$21, $C$9, 100%, $E$9)</f>
        <v>59.245100000000001</v>
      </c>
      <c r="O788" s="14">
        <f>CHOOSE(CONTROL!$C$42, 59.4814, 59.4814) * CHOOSE(CONTROL!$C$21, $C$9, 100%, $E$9)</f>
        <v>59.481400000000001</v>
      </c>
      <c r="P788" s="14">
        <f>CHOOSE(CONTROL!$C$42, 59.4412, 59.4412) * CHOOSE(CONTROL!$C$21, $C$9, 100%, $E$9)</f>
        <v>59.441200000000002</v>
      </c>
      <c r="Q788" s="14">
        <f>CHOOSE(CONTROL!$C$42, 60.0761, 60.0761) * CHOOSE(CONTROL!$C$21, $C$9, 100%, $E$9)</f>
        <v>60.076099999999997</v>
      </c>
      <c r="R788" s="14">
        <f>CHOOSE(CONTROL!$C$42, 60.8133, 60.8133) * CHOOSE(CONTROL!$C$21, $C$9, 100%, $E$9)</f>
        <v>60.813299999999998</v>
      </c>
      <c r="S788" s="14">
        <f>CHOOSE(CONTROL!$C$42, 58.1101, 58.1101) * CHOOSE(CONTROL!$C$21, $C$9, 100%, $E$9)</f>
        <v>58.110100000000003</v>
      </c>
      <c r="T78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88" s="57">
        <f>(1000*CHOOSE(CONTROL!$C$42, 695, 695)*CHOOSE(CONTROL!$C$42, 0.5599, 0.5599)*CHOOSE(CONTROL!$C$42, 31, 31))/1000000</f>
        <v>12.063045499999998</v>
      </c>
      <c r="V788" s="57">
        <f>(1000*CHOOSE(CONTROL!$C$42, 500, 500)*CHOOSE(CONTROL!$C$42, 0.275, 0.275)*CHOOSE(CONTROL!$C$42, 31, 31))/1000000</f>
        <v>4.2625000000000002</v>
      </c>
      <c r="W788" s="57">
        <f>(1000*CHOOSE(CONTROL!$C$42, 0.1146, 0.1146)*CHOOSE(CONTROL!$C$42, 121.5, 121.5)*CHOOSE(CONTROL!$C$42, 31, 31))/1000000</f>
        <v>0.43164089999999994</v>
      </c>
      <c r="X788" s="57">
        <f>(31*0.1790888*245000/1000000)+(31*0.2374*100000/1000000)</f>
        <v>2.0961194359999999</v>
      </c>
      <c r="Y788" s="57"/>
      <c r="Z788" s="14"/>
      <c r="AA788" s="56"/>
      <c r="AB788" s="50">
        <f>(B788*194.205+C788*267.466+D788*133.845+E788*53.484+F788*40+G788*185+H788*0+I788*100+J788*300)/(194.205+267.466+133.845+53.484+0+40+185+100+300)</f>
        <v>60.528333036970182</v>
      </c>
      <c r="AC788" s="45">
        <f>(M788*'RAP TEMPLATE-GAS AVAILABILITY'!O787+N788*'RAP TEMPLATE-GAS AVAILABILITY'!P787+O788*'RAP TEMPLATE-GAS AVAILABILITY'!Q787+P788*'RAP TEMPLATE-GAS AVAILABILITY'!R787)/('RAP TEMPLATE-GAS AVAILABILITY'!O787+'RAP TEMPLATE-GAS AVAILABILITY'!P787+'RAP TEMPLATE-GAS AVAILABILITY'!Q787+'RAP TEMPLATE-GAS AVAILABILITY'!R787)</f>
        <v>59.374994244604324</v>
      </c>
    </row>
    <row r="789" spans="1:29" ht="15.75" x14ac:dyDescent="0.25">
      <c r="A789" s="32">
        <v>64923</v>
      </c>
      <c r="B789" s="14">
        <f>CHOOSE(CONTROL!$C$42, 56.646, 56.646) * CHOOSE(CONTROL!$C$21, $C$9, 100%, $E$9)</f>
        <v>56.646000000000001</v>
      </c>
      <c r="C789" s="14">
        <f>CHOOSE(CONTROL!$C$42, 56.654, 56.654) * CHOOSE(CONTROL!$C$21, $C$9, 100%, $E$9)</f>
        <v>56.654000000000003</v>
      </c>
      <c r="D789" s="14">
        <f>CHOOSE(CONTROL!$C$42, 56.8579, 56.8579) * CHOOSE(CONTROL!$C$21, $C$9, 100%, $E$9)</f>
        <v>56.857900000000001</v>
      </c>
      <c r="E789" s="14">
        <f>CHOOSE(CONTROL!$C$42, 56.8894, 56.8894) * CHOOSE(CONTROL!$C$21, $C$9, 100%, $E$9)</f>
        <v>56.889400000000002</v>
      </c>
      <c r="F789" s="14">
        <f>CHOOSE(CONTROL!$C$42, 56.6279, 56.6279)*CHOOSE(CONTROL!$C$21, $C$9, 100%, $E$9)</f>
        <v>56.627899999999997</v>
      </c>
      <c r="G789" s="14">
        <f>CHOOSE(CONTROL!$C$42, 56.6438, 56.6438)*CHOOSE(CONTROL!$C$21, $C$9, 100%, $E$9)</f>
        <v>56.643799999999999</v>
      </c>
      <c r="H789" s="14">
        <f>CHOOSE(CONTROL!$C$42, 56.878, 56.878) * CHOOSE(CONTROL!$C$21, $C$9, 100%, $E$9)</f>
        <v>56.878</v>
      </c>
      <c r="I789" s="14">
        <f>CHOOSE(CONTROL!$C$42, 56.8288, 56.8288)* CHOOSE(CONTROL!$C$21, $C$9, 100%, $E$9)</f>
        <v>56.828800000000001</v>
      </c>
      <c r="J789" s="14">
        <f>CHOOSE(CONTROL!$C$42, 56.6209, 56.6209)* CHOOSE(CONTROL!$C$21, $C$9, 100%, $E$9)</f>
        <v>56.620899999999999</v>
      </c>
      <c r="K789" s="53">
        <f>CHOOSE(CONTROL!$C$42, 56.8249, 56.8249) * CHOOSE(CONTROL!$C$21, $C$9, 100%, $E$9)</f>
        <v>56.8249</v>
      </c>
      <c r="L789" s="14">
        <f>CHOOSE(CONTROL!$C$42, 57.465, 57.465) * CHOOSE(CONTROL!$C$21, $C$9, 100%, $E$9)</f>
        <v>57.465000000000003</v>
      </c>
      <c r="M789" s="14">
        <f>CHOOSE(CONTROL!$C$42, 55.4684, 55.4684) * CHOOSE(CONTROL!$C$21, $C$9, 100%, $E$9)</f>
        <v>55.468400000000003</v>
      </c>
      <c r="N789" s="14">
        <f>CHOOSE(CONTROL!$C$42, 55.4841, 55.4841) * CHOOSE(CONTROL!$C$21, $C$9, 100%, $E$9)</f>
        <v>55.484099999999998</v>
      </c>
      <c r="O789" s="14">
        <f>CHOOSE(CONTROL!$C$42, 55.7203, 55.7203) * CHOOSE(CONTROL!$C$21, $C$9, 100%, $E$9)</f>
        <v>55.720300000000002</v>
      </c>
      <c r="P789" s="14">
        <f>CHOOSE(CONTROL!$C$42, 55.6686, 55.6686) * CHOOSE(CONTROL!$C$21, $C$9, 100%, $E$9)</f>
        <v>55.668599999999998</v>
      </c>
      <c r="Q789" s="14">
        <f>CHOOSE(CONTROL!$C$42, 56.315, 56.315) * CHOOSE(CONTROL!$C$21, $C$9, 100%, $E$9)</f>
        <v>56.314999999999998</v>
      </c>
      <c r="R789" s="14">
        <f>CHOOSE(CONTROL!$C$42, 57.0428, 57.0428) * CHOOSE(CONTROL!$C$21, $C$9, 100%, $E$9)</f>
        <v>57.0428</v>
      </c>
      <c r="S789" s="14">
        <f>CHOOSE(CONTROL!$C$42, 54.4205, 54.4205) * CHOOSE(CONTROL!$C$21, $C$9, 100%, $E$9)</f>
        <v>54.420499999999997</v>
      </c>
      <c r="T78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89" s="57">
        <f>(1000*CHOOSE(CONTROL!$C$42, 695, 695)*CHOOSE(CONTROL!$C$42, 0.5599, 0.5599)*CHOOSE(CONTROL!$C$42, 30, 30))/1000000</f>
        <v>11.673914999999997</v>
      </c>
      <c r="V789" s="57">
        <f>(1000*CHOOSE(CONTROL!$C$42, 500, 500)*CHOOSE(CONTROL!$C$42, 0.275, 0.275)*CHOOSE(CONTROL!$C$42, 30, 30))/1000000</f>
        <v>4.125</v>
      </c>
      <c r="W789" s="57">
        <f>(1000*CHOOSE(CONTROL!$C$42, 0.1146, 0.1146)*CHOOSE(CONTROL!$C$42, 121.5, 121.5)*CHOOSE(CONTROL!$C$42, 30, 30))/1000000</f>
        <v>0.417717</v>
      </c>
      <c r="X789" s="57">
        <f>(30*0.1790888*245000/1000000)+(30*0.2374*100000/1000000)</f>
        <v>2.0285026799999999</v>
      </c>
      <c r="Y789" s="57"/>
      <c r="Z789" s="14"/>
      <c r="AA789" s="56"/>
      <c r="AB789" s="50">
        <f>(B789*194.205+C789*267.466+D789*133.845+E789*53.484+F789*40+G789*185+H789*0+I789*100+J789*300)/(194.205+267.466+133.845+53.484+0+40+185+100+300)</f>
        <v>56.687709960047087</v>
      </c>
      <c r="AC789" s="45">
        <f>(M789*'RAP TEMPLATE-GAS AVAILABILITY'!O788+N789*'RAP TEMPLATE-GAS AVAILABILITY'!P788+O789*'RAP TEMPLATE-GAS AVAILABILITY'!Q788+P789*'RAP TEMPLATE-GAS AVAILABILITY'!R788)/('RAP TEMPLATE-GAS AVAILABILITY'!O788+'RAP TEMPLATE-GAS AVAILABILITY'!P788+'RAP TEMPLATE-GAS AVAILABILITY'!Q788+'RAP TEMPLATE-GAS AVAILABILITY'!R788)</f>
        <v>55.612279856115109</v>
      </c>
    </row>
    <row r="790" spans="1:29" ht="15.75" x14ac:dyDescent="0.25">
      <c r="A790" s="32">
        <v>64954</v>
      </c>
      <c r="B790" s="14">
        <f>CHOOSE(CONTROL!$C$42, 55.4943, 55.4943) * CHOOSE(CONTROL!$C$21, $C$9, 100%, $E$9)</f>
        <v>55.494300000000003</v>
      </c>
      <c r="C790" s="14">
        <f>CHOOSE(CONTROL!$C$42, 55.4996, 55.4996) * CHOOSE(CONTROL!$C$21, $C$9, 100%, $E$9)</f>
        <v>55.499600000000001</v>
      </c>
      <c r="D790" s="14">
        <f>CHOOSE(CONTROL!$C$42, 55.7085, 55.7085) * CHOOSE(CONTROL!$C$21, $C$9, 100%, $E$9)</f>
        <v>55.708500000000001</v>
      </c>
      <c r="E790" s="14">
        <f>CHOOSE(CONTROL!$C$42, 55.7376, 55.7376) * CHOOSE(CONTROL!$C$21, $C$9, 100%, $E$9)</f>
        <v>55.7376</v>
      </c>
      <c r="F790" s="14">
        <f>CHOOSE(CONTROL!$C$42, 55.4783, 55.4783)*CHOOSE(CONTROL!$C$21, $C$9, 100%, $E$9)</f>
        <v>55.478299999999997</v>
      </c>
      <c r="G790" s="14">
        <f>CHOOSE(CONTROL!$C$42, 55.4939, 55.4939)*CHOOSE(CONTROL!$C$21, $C$9, 100%, $E$9)</f>
        <v>55.493899999999996</v>
      </c>
      <c r="H790" s="14">
        <f>CHOOSE(CONTROL!$C$42, 55.7281, 55.7281) * CHOOSE(CONTROL!$C$21, $C$9, 100%, $E$9)</f>
        <v>55.728099999999998</v>
      </c>
      <c r="I790" s="14">
        <f>CHOOSE(CONTROL!$C$42, 55.6753, 55.6753)* CHOOSE(CONTROL!$C$21, $C$9, 100%, $E$9)</f>
        <v>55.6753</v>
      </c>
      <c r="J790" s="14">
        <f>CHOOSE(CONTROL!$C$42, 55.4713, 55.4713)* CHOOSE(CONTROL!$C$21, $C$9, 100%, $E$9)</f>
        <v>55.471299999999999</v>
      </c>
      <c r="K790" s="53">
        <f>CHOOSE(CONTROL!$C$42, 55.6714, 55.6714) * CHOOSE(CONTROL!$C$21, $C$9, 100%, $E$9)</f>
        <v>55.671399999999998</v>
      </c>
      <c r="L790" s="14">
        <f>CHOOSE(CONTROL!$C$42, 56.3151, 56.3151) * CHOOSE(CONTROL!$C$21, $C$9, 100%, $E$9)</f>
        <v>56.315100000000001</v>
      </c>
      <c r="M790" s="14">
        <f>CHOOSE(CONTROL!$C$42, 54.3424, 54.3424) * CHOOSE(CONTROL!$C$21, $C$9, 100%, $E$9)</f>
        <v>54.342399999999998</v>
      </c>
      <c r="N790" s="14">
        <f>CHOOSE(CONTROL!$C$42, 54.3577, 54.3577) * CHOOSE(CONTROL!$C$21, $C$9, 100%, $E$9)</f>
        <v>54.357700000000001</v>
      </c>
      <c r="O790" s="14">
        <f>CHOOSE(CONTROL!$C$42, 54.594, 54.594) * CHOOSE(CONTROL!$C$21, $C$9, 100%, $E$9)</f>
        <v>54.594000000000001</v>
      </c>
      <c r="P790" s="14">
        <f>CHOOSE(CONTROL!$C$42, 54.5388, 54.5388) * CHOOSE(CONTROL!$C$21, $C$9, 100%, $E$9)</f>
        <v>54.538800000000002</v>
      </c>
      <c r="Q790" s="14">
        <f>CHOOSE(CONTROL!$C$42, 55.1887, 55.1887) * CHOOSE(CONTROL!$C$21, $C$9, 100%, $E$9)</f>
        <v>55.188699999999997</v>
      </c>
      <c r="R790" s="14">
        <f>CHOOSE(CONTROL!$C$42, 55.9136, 55.9136) * CHOOSE(CONTROL!$C$21, $C$9, 100%, $E$9)</f>
        <v>55.913600000000002</v>
      </c>
      <c r="S790" s="14">
        <f>CHOOSE(CONTROL!$C$42, 53.3155, 53.3155) * CHOOSE(CONTROL!$C$21, $C$9, 100%, $E$9)</f>
        <v>53.3155</v>
      </c>
      <c r="T79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90" s="57">
        <f>(1000*CHOOSE(CONTROL!$C$42, 695, 695)*CHOOSE(CONTROL!$C$42, 0.5599, 0.5599)*CHOOSE(CONTROL!$C$42, 31, 31))/1000000</f>
        <v>12.063045499999998</v>
      </c>
      <c r="V790" s="57">
        <f>(1000*CHOOSE(CONTROL!$C$42, 500, 500)*CHOOSE(CONTROL!$C$42, 0.275, 0.275)*CHOOSE(CONTROL!$C$42, 31, 31))/1000000</f>
        <v>4.2625000000000002</v>
      </c>
      <c r="W790" s="57">
        <f>(1000*CHOOSE(CONTROL!$C$42, 0.1146, 0.1146)*CHOOSE(CONTROL!$C$42, 121.5, 121.5)*CHOOSE(CONTROL!$C$42, 31, 31))/1000000</f>
        <v>0.43164089999999994</v>
      </c>
      <c r="X790" s="57">
        <f>(31*0.1790888*245000/1000000)+(31*0.2374*100000/1000000)</f>
        <v>2.0961194359999999</v>
      </c>
      <c r="Y790" s="57"/>
      <c r="Z790" s="14"/>
      <c r="AA790" s="56"/>
      <c r="AB790" s="50">
        <f>(B790*131.881+C790*277.167+D790*79.08+E790*125.872+F790*40+G790*185+H790*0+I790*100+J790*300)/(131.881+277.167+79.08+125.872+0+40+185+100+300)</f>
        <v>55.542337593785312</v>
      </c>
      <c r="AC790" s="45">
        <f>(M790*'RAP TEMPLATE-GAS AVAILABILITY'!O789+N790*'RAP TEMPLATE-GAS AVAILABILITY'!P789+O790*'RAP TEMPLATE-GAS AVAILABILITY'!Q789+P790*'RAP TEMPLATE-GAS AVAILABILITY'!R789)/('RAP TEMPLATE-GAS AVAILABILITY'!O789+'RAP TEMPLATE-GAS AVAILABILITY'!P789+'RAP TEMPLATE-GAS AVAILABILITY'!Q789+'RAP TEMPLATE-GAS AVAILABILITY'!R789)</f>
        <v>54.485574100719425</v>
      </c>
    </row>
    <row r="791" spans="1:29" ht="15.75" x14ac:dyDescent="0.25">
      <c r="A791" s="32">
        <v>64984</v>
      </c>
      <c r="B791" s="14">
        <f>CHOOSE(CONTROL!$C$42, 56.9556, 56.9556) * CHOOSE(CONTROL!$C$21, $C$9, 100%, $E$9)</f>
        <v>56.955599999999997</v>
      </c>
      <c r="C791" s="14">
        <f>CHOOSE(CONTROL!$C$42, 56.9607, 56.9607) * CHOOSE(CONTROL!$C$21, $C$9, 100%, $E$9)</f>
        <v>56.960700000000003</v>
      </c>
      <c r="D791" s="14">
        <f>CHOOSE(CONTROL!$C$42, 57.0245, 57.0245) * CHOOSE(CONTROL!$C$21, $C$9, 100%, $E$9)</f>
        <v>57.024500000000003</v>
      </c>
      <c r="E791" s="14">
        <f>CHOOSE(CONTROL!$C$42, 57.0586, 57.0586) * CHOOSE(CONTROL!$C$21, $C$9, 100%, $E$9)</f>
        <v>57.058599999999998</v>
      </c>
      <c r="F791" s="14">
        <f>CHOOSE(CONTROL!$C$42, 56.958, 56.958)*CHOOSE(CONTROL!$C$21, $C$9, 100%, $E$9)</f>
        <v>56.957999999999998</v>
      </c>
      <c r="G791" s="14">
        <f>CHOOSE(CONTROL!$C$42, 56.974, 56.974)*CHOOSE(CONTROL!$C$21, $C$9, 100%, $E$9)</f>
        <v>56.973999999999997</v>
      </c>
      <c r="H791" s="14">
        <f>CHOOSE(CONTROL!$C$42, 57.0478, 57.0478) * CHOOSE(CONTROL!$C$21, $C$9, 100%, $E$9)</f>
        <v>57.047800000000002</v>
      </c>
      <c r="I791" s="14">
        <f>CHOOSE(CONTROL!$C$42, 57.1468, 57.1468)* CHOOSE(CONTROL!$C$21, $C$9, 100%, $E$9)</f>
        <v>57.146799999999999</v>
      </c>
      <c r="J791" s="14">
        <f>CHOOSE(CONTROL!$C$42, 56.951, 56.951)* CHOOSE(CONTROL!$C$21, $C$9, 100%, $E$9)</f>
        <v>56.951000000000001</v>
      </c>
      <c r="K791" s="53">
        <f>CHOOSE(CONTROL!$C$42, 57.1429, 57.1429) * CHOOSE(CONTROL!$C$21, $C$9, 100%, $E$9)</f>
        <v>57.142899999999997</v>
      </c>
      <c r="L791" s="14">
        <f>CHOOSE(CONTROL!$C$42, 57.6348, 57.6348) * CHOOSE(CONTROL!$C$21, $C$9, 100%, $E$9)</f>
        <v>57.634799999999998</v>
      </c>
      <c r="M791" s="14">
        <f>CHOOSE(CONTROL!$C$42, 55.7918, 55.7918) * CHOOSE(CONTROL!$C$21, $C$9, 100%, $E$9)</f>
        <v>55.791800000000002</v>
      </c>
      <c r="N791" s="14">
        <f>CHOOSE(CONTROL!$C$42, 55.8075, 55.8075) * CHOOSE(CONTROL!$C$21, $C$9, 100%, $E$9)</f>
        <v>55.807499999999997</v>
      </c>
      <c r="O791" s="14">
        <f>CHOOSE(CONTROL!$C$42, 55.8866, 55.8866) * CHOOSE(CONTROL!$C$21, $C$9, 100%, $E$9)</f>
        <v>55.886600000000001</v>
      </c>
      <c r="P791" s="14">
        <f>CHOOSE(CONTROL!$C$42, 55.9801, 55.9801) * CHOOSE(CONTROL!$C$21, $C$9, 100%, $E$9)</f>
        <v>55.9801</v>
      </c>
      <c r="Q791" s="14">
        <f>CHOOSE(CONTROL!$C$42, 56.4813, 56.4813) * CHOOSE(CONTROL!$C$21, $C$9, 100%, $E$9)</f>
        <v>56.481299999999997</v>
      </c>
      <c r="R791" s="14">
        <f>CHOOSE(CONTROL!$C$42, 57.2095, 57.2095) * CHOOSE(CONTROL!$C$21, $C$9, 100%, $E$9)</f>
        <v>57.209499999999998</v>
      </c>
      <c r="S791" s="14">
        <f>CHOOSE(CONTROL!$C$42, 54.7201, 54.7201) * CHOOSE(CONTROL!$C$21, $C$9, 100%, $E$9)</f>
        <v>54.720100000000002</v>
      </c>
      <c r="T79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91" s="57">
        <f>(1000*CHOOSE(CONTROL!$C$42, 695, 695)*CHOOSE(CONTROL!$C$42, 0.5599, 0.5599)*CHOOSE(CONTROL!$C$42, 30, 30))/1000000</f>
        <v>11.673914999999997</v>
      </c>
      <c r="V791" s="57">
        <f>(1000*CHOOSE(CONTROL!$C$42, 500, 500)*CHOOSE(CONTROL!$C$42, 0.275, 0.275)*CHOOSE(CONTROL!$C$42, 30, 30))/1000000</f>
        <v>4.125</v>
      </c>
      <c r="W791" s="57">
        <f>(1000*CHOOSE(CONTROL!$C$42, 0.1146, 0.1146)*CHOOSE(CONTROL!$C$42, 121.5, 121.5)*CHOOSE(CONTROL!$C$42, 30, 30))/1000000</f>
        <v>0.417717</v>
      </c>
      <c r="X791" s="57">
        <f>(30*0.1790888*100000/1000000)+(30*0.2374*100000/1000000)</f>
        <v>1.2494664</v>
      </c>
      <c r="Y791" s="57"/>
      <c r="Z791" s="14"/>
      <c r="AA791" s="56"/>
      <c r="AB791" s="50">
        <f>(B791*122.58+C791*297.941+D791*89.177+E791*40.302+F791*40+G791*160+H791*0+I791*100+J791*300)/(122.58+297.941+89.177+40.302+0+40+160+100+300)</f>
        <v>56.983943391652176</v>
      </c>
      <c r="AC791" s="45">
        <f>(M791*'RAP TEMPLATE-GAS AVAILABILITY'!O790+N791*'RAP TEMPLATE-GAS AVAILABILITY'!P790+O791*'RAP TEMPLATE-GAS AVAILABILITY'!Q790+P791*'RAP TEMPLATE-GAS AVAILABILITY'!R790)/('RAP TEMPLATE-GAS AVAILABILITY'!O790+'RAP TEMPLATE-GAS AVAILABILITY'!P790+'RAP TEMPLATE-GAS AVAILABILITY'!Q790+'RAP TEMPLATE-GAS AVAILABILITY'!R790)</f>
        <v>55.862764028776979</v>
      </c>
    </row>
    <row r="792" spans="1:29" ht="15.75" x14ac:dyDescent="0.25">
      <c r="A792" s="32">
        <v>65015</v>
      </c>
      <c r="B792" s="14">
        <f>CHOOSE(CONTROL!$C$42, 60.8381, 60.8381) * CHOOSE(CONTROL!$C$21, $C$9, 100%, $E$9)</f>
        <v>60.838099999999997</v>
      </c>
      <c r="C792" s="14">
        <f>CHOOSE(CONTROL!$C$42, 60.8432, 60.8432) * CHOOSE(CONTROL!$C$21, $C$9, 100%, $E$9)</f>
        <v>60.843200000000003</v>
      </c>
      <c r="D792" s="14">
        <f>CHOOSE(CONTROL!$C$42, 60.907, 60.907) * CHOOSE(CONTROL!$C$21, $C$9, 100%, $E$9)</f>
        <v>60.906999999999996</v>
      </c>
      <c r="E792" s="14">
        <f>CHOOSE(CONTROL!$C$42, 60.9411, 60.9411) * CHOOSE(CONTROL!$C$21, $C$9, 100%, $E$9)</f>
        <v>60.941099999999999</v>
      </c>
      <c r="F792" s="14">
        <f>CHOOSE(CONTROL!$C$42, 60.8428, 60.8428)*CHOOSE(CONTROL!$C$21, $C$9, 100%, $E$9)</f>
        <v>60.842799999999997</v>
      </c>
      <c r="G792" s="14">
        <f>CHOOSE(CONTROL!$C$42, 60.8594, 60.8594)*CHOOSE(CONTROL!$C$21, $C$9, 100%, $E$9)</f>
        <v>60.859400000000001</v>
      </c>
      <c r="H792" s="14">
        <f>CHOOSE(CONTROL!$C$42, 60.9303, 60.9303) * CHOOSE(CONTROL!$C$21, $C$9, 100%, $E$9)</f>
        <v>60.930300000000003</v>
      </c>
      <c r="I792" s="14">
        <f>CHOOSE(CONTROL!$C$42, 61.0415, 61.0415)* CHOOSE(CONTROL!$C$21, $C$9, 100%, $E$9)</f>
        <v>61.041499999999999</v>
      </c>
      <c r="J792" s="14">
        <f>CHOOSE(CONTROL!$C$42, 60.8358, 60.8358)* CHOOSE(CONTROL!$C$21, $C$9, 100%, $E$9)</f>
        <v>60.835799999999999</v>
      </c>
      <c r="K792" s="53">
        <f>CHOOSE(CONTROL!$C$42, 61.0376, 61.0376) * CHOOSE(CONTROL!$C$21, $C$9, 100%, $E$9)</f>
        <v>61.037599999999998</v>
      </c>
      <c r="L792" s="14">
        <f>CHOOSE(CONTROL!$C$42, 61.5173, 61.5173) * CHOOSE(CONTROL!$C$21, $C$9, 100%, $E$9)</f>
        <v>61.517299999999999</v>
      </c>
      <c r="M792" s="14">
        <f>CHOOSE(CONTROL!$C$42, 59.597, 59.597) * CHOOSE(CONTROL!$C$21, $C$9, 100%, $E$9)</f>
        <v>59.597000000000001</v>
      </c>
      <c r="N792" s="14">
        <f>CHOOSE(CONTROL!$C$42, 59.6133, 59.6133) * CHOOSE(CONTROL!$C$21, $C$9, 100%, $E$9)</f>
        <v>59.613300000000002</v>
      </c>
      <c r="O792" s="14">
        <f>CHOOSE(CONTROL!$C$42, 59.6896, 59.6896) * CHOOSE(CONTROL!$C$21, $C$9, 100%, $E$9)</f>
        <v>59.689599999999999</v>
      </c>
      <c r="P792" s="14">
        <f>CHOOSE(CONTROL!$C$42, 59.7948, 59.7948) * CHOOSE(CONTROL!$C$21, $C$9, 100%, $E$9)</f>
        <v>59.794800000000002</v>
      </c>
      <c r="Q792" s="14">
        <f>CHOOSE(CONTROL!$C$42, 60.2843, 60.2843) * CHOOSE(CONTROL!$C$21, $C$9, 100%, $E$9)</f>
        <v>60.284300000000002</v>
      </c>
      <c r="R792" s="14">
        <f>CHOOSE(CONTROL!$C$42, 61.022, 61.022) * CHOOSE(CONTROL!$C$21, $C$9, 100%, $E$9)</f>
        <v>61.021999999999998</v>
      </c>
      <c r="S792" s="14">
        <f>CHOOSE(CONTROL!$C$42, 58.4508, 58.4508) * CHOOSE(CONTROL!$C$21, $C$9, 100%, $E$9)</f>
        <v>58.450800000000001</v>
      </c>
      <c r="T79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92" s="57">
        <f>(1000*CHOOSE(CONTROL!$C$42, 695, 695)*CHOOSE(CONTROL!$C$42, 0.5599, 0.5599)*CHOOSE(CONTROL!$C$42, 31, 31))/1000000</f>
        <v>12.063045499999998</v>
      </c>
      <c r="V792" s="57">
        <f>(1000*CHOOSE(CONTROL!$C$42, 500, 500)*CHOOSE(CONTROL!$C$42, 0.275, 0.275)*CHOOSE(CONTROL!$C$42, 31, 31))/1000000</f>
        <v>4.2625000000000002</v>
      </c>
      <c r="W792" s="57">
        <f>(1000*CHOOSE(CONTROL!$C$42, 0.1146, 0.1146)*CHOOSE(CONTROL!$C$42, 121.5, 121.5)*CHOOSE(CONTROL!$C$42, 31, 31))/1000000</f>
        <v>0.43164089999999994</v>
      </c>
      <c r="X792" s="57">
        <f>(31*0.1790888*100000/1000000)+(31*0.2374*100000/1000000)</f>
        <v>1.2911152800000001</v>
      </c>
      <c r="Y792" s="57"/>
      <c r="Z792" s="14"/>
      <c r="AA792" s="56"/>
      <c r="AB792" s="50">
        <f>(B792*122.58+C792*297.941+D792*89.177+E792*40.302+F792*40+G792*160+H792*0+I792*100+J792*300)/(122.58+297.941+89.177+40.302+0+40+160+100+300)</f>
        <v>60.868587739478265</v>
      </c>
      <c r="AC792" s="45">
        <f>(M792*'RAP TEMPLATE-GAS AVAILABILITY'!O791+N792*'RAP TEMPLATE-GAS AVAILABILITY'!P791+O792*'RAP TEMPLATE-GAS AVAILABILITY'!Q791+P792*'RAP TEMPLATE-GAS AVAILABILITY'!R791)/('RAP TEMPLATE-GAS AVAILABILITY'!O791+'RAP TEMPLATE-GAS AVAILABILITY'!P791+'RAP TEMPLATE-GAS AVAILABILITY'!Q791+'RAP TEMPLATE-GAS AVAILABILITY'!R791)</f>
        <v>59.668368345323749</v>
      </c>
    </row>
    <row r="793" spans="1:29" ht="15.75" x14ac:dyDescent="0.25">
      <c r="A793" s="32">
        <v>65046</v>
      </c>
      <c r="B793" s="14">
        <f>CHOOSE(CONTROL!$C$42, 65.8209, 65.8209) * CHOOSE(CONTROL!$C$21, $C$9, 100%, $E$9)</f>
        <v>65.820899999999995</v>
      </c>
      <c r="C793" s="14">
        <f>CHOOSE(CONTROL!$C$42, 65.8259, 65.8259) * CHOOSE(CONTROL!$C$21, $C$9, 100%, $E$9)</f>
        <v>65.825900000000004</v>
      </c>
      <c r="D793" s="14">
        <f>CHOOSE(CONTROL!$C$42, 65.8923, 65.8923) * CHOOSE(CONTROL!$C$21, $C$9, 100%, $E$9)</f>
        <v>65.892300000000006</v>
      </c>
      <c r="E793" s="14">
        <f>CHOOSE(CONTROL!$C$42, 65.9264, 65.9264) * CHOOSE(CONTROL!$C$21, $C$9, 100%, $E$9)</f>
        <v>65.926400000000001</v>
      </c>
      <c r="F793" s="14">
        <f>CHOOSE(CONTROL!$C$42, 65.8082, 65.8082)*CHOOSE(CONTROL!$C$21, $C$9, 100%, $E$9)</f>
        <v>65.808199999999999</v>
      </c>
      <c r="G793" s="14">
        <f>CHOOSE(CONTROL!$C$42, 65.8236, 65.8236)*CHOOSE(CONTROL!$C$21, $C$9, 100%, $E$9)</f>
        <v>65.823599999999999</v>
      </c>
      <c r="H793" s="14">
        <f>CHOOSE(CONTROL!$C$42, 65.9156, 65.9156) * CHOOSE(CONTROL!$C$21, $C$9, 100%, $E$9)</f>
        <v>65.915599999999998</v>
      </c>
      <c r="I793" s="14">
        <f>CHOOSE(CONTROL!$C$42, 66.0346, 66.0346)* CHOOSE(CONTROL!$C$21, $C$9, 100%, $E$9)</f>
        <v>66.034599999999998</v>
      </c>
      <c r="J793" s="14">
        <f>CHOOSE(CONTROL!$C$42, 65.8012, 65.8012)* CHOOSE(CONTROL!$C$21, $C$9, 100%, $E$9)</f>
        <v>65.801199999999994</v>
      </c>
      <c r="K793" s="53">
        <f>CHOOSE(CONTROL!$C$42, 66.0307, 66.0307) * CHOOSE(CONTROL!$C$21, $C$9, 100%, $E$9)</f>
        <v>66.030699999999996</v>
      </c>
      <c r="L793" s="14">
        <f>CHOOSE(CONTROL!$C$42, 66.5026, 66.5026) * CHOOSE(CONTROL!$C$21, $C$9, 100%, $E$9)</f>
        <v>66.502600000000001</v>
      </c>
      <c r="M793" s="14">
        <f>CHOOSE(CONTROL!$C$42, 64.4607, 64.4607) * CHOOSE(CONTROL!$C$21, $C$9, 100%, $E$9)</f>
        <v>64.460700000000003</v>
      </c>
      <c r="N793" s="14">
        <f>CHOOSE(CONTROL!$C$42, 64.4758, 64.4758) * CHOOSE(CONTROL!$C$21, $C$9, 100%, $E$9)</f>
        <v>64.475800000000007</v>
      </c>
      <c r="O793" s="14">
        <f>CHOOSE(CONTROL!$C$42, 64.5728, 64.5728) * CHOOSE(CONTROL!$C$21, $C$9, 100%, $E$9)</f>
        <v>64.572800000000001</v>
      </c>
      <c r="P793" s="14">
        <f>CHOOSE(CONTROL!$C$42, 64.6852, 64.6852) * CHOOSE(CONTROL!$C$21, $C$9, 100%, $E$9)</f>
        <v>64.685199999999995</v>
      </c>
      <c r="Q793" s="14">
        <f>CHOOSE(CONTROL!$C$42, 65.1675, 65.1675) * CHOOSE(CONTROL!$C$21, $C$9, 100%, $E$9)</f>
        <v>65.167500000000004</v>
      </c>
      <c r="R793" s="14">
        <f>CHOOSE(CONTROL!$C$42, 65.9174, 65.9174) * CHOOSE(CONTROL!$C$21, $C$9, 100%, $E$9)</f>
        <v>65.917400000000001</v>
      </c>
      <c r="S793" s="14">
        <f>CHOOSE(CONTROL!$C$42, 63.2387, 63.2387) * CHOOSE(CONTROL!$C$21, $C$9, 100%, $E$9)</f>
        <v>63.238700000000001</v>
      </c>
      <c r="T79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93" s="57">
        <f>(1000*CHOOSE(CONTROL!$C$42, 695, 695)*CHOOSE(CONTROL!$C$42, 0.5599, 0.5599)*CHOOSE(CONTROL!$C$42, 31, 31))/1000000</f>
        <v>12.063045499999998</v>
      </c>
      <c r="V793" s="57">
        <f>(1000*CHOOSE(CONTROL!$C$42, 500, 500)*CHOOSE(CONTROL!$C$42, 0.275, 0.275)*CHOOSE(CONTROL!$C$42, 31, 31))/1000000</f>
        <v>4.2625000000000002</v>
      </c>
      <c r="W793" s="57">
        <f>(1000*CHOOSE(CONTROL!$C$42, 0.1146, 0.1146)*CHOOSE(CONTROL!$C$42, 121.5, 121.5)*CHOOSE(CONTROL!$C$42, 31, 31))/1000000</f>
        <v>0.43164089999999994</v>
      </c>
      <c r="X793" s="57">
        <f>(31*0.1790888*100000/1000000)+(31*0.2374*100000/1000000)</f>
        <v>1.2911152800000001</v>
      </c>
      <c r="Y793" s="57"/>
      <c r="Z793" s="14"/>
      <c r="AA793" s="56"/>
      <c r="AB793" s="50">
        <f>(B793*122.58+C793*297.941+D793*89.177+E793*40.302+F793*40+G793*160+H793*0+I793*100+J793*300)/(122.58+297.941+89.177+40.302+0+40+160+100+300)</f>
        <v>65.844806785913036</v>
      </c>
      <c r="AC793" s="45">
        <f>(M793*'RAP TEMPLATE-GAS AVAILABILITY'!O792+N793*'RAP TEMPLATE-GAS AVAILABILITY'!P792+O793*'RAP TEMPLATE-GAS AVAILABILITY'!Q792+P793*'RAP TEMPLATE-GAS AVAILABILITY'!R792)/('RAP TEMPLATE-GAS AVAILABILITY'!O792+'RAP TEMPLATE-GAS AVAILABILITY'!P792+'RAP TEMPLATE-GAS AVAILABILITY'!Q792+'RAP TEMPLATE-GAS AVAILABILITY'!R792)</f>
        <v>64.544679136690647</v>
      </c>
    </row>
    <row r="794" spans="1:29" ht="15.75" x14ac:dyDescent="0.25">
      <c r="A794" s="32">
        <v>65074</v>
      </c>
      <c r="B794" s="14">
        <f>CHOOSE(CONTROL!$C$42, 66.9924, 66.9924) * CHOOSE(CONTROL!$C$21, $C$9, 100%, $E$9)</f>
        <v>66.992400000000004</v>
      </c>
      <c r="C794" s="14">
        <f>CHOOSE(CONTROL!$C$42, 66.9975, 66.9975) * CHOOSE(CONTROL!$C$21, $C$9, 100%, $E$9)</f>
        <v>66.997500000000002</v>
      </c>
      <c r="D794" s="14">
        <f>CHOOSE(CONTROL!$C$42, 67.0639, 67.0639) * CHOOSE(CONTROL!$C$21, $C$9, 100%, $E$9)</f>
        <v>67.063900000000004</v>
      </c>
      <c r="E794" s="14">
        <f>CHOOSE(CONTROL!$C$42, 67.098, 67.098) * CHOOSE(CONTROL!$C$21, $C$9, 100%, $E$9)</f>
        <v>67.097999999999999</v>
      </c>
      <c r="F794" s="14">
        <f>CHOOSE(CONTROL!$C$42, 66.9798, 66.9798)*CHOOSE(CONTROL!$C$21, $C$9, 100%, $E$9)</f>
        <v>66.979799999999997</v>
      </c>
      <c r="G794" s="14">
        <f>CHOOSE(CONTROL!$C$42, 66.9953, 66.9953)*CHOOSE(CONTROL!$C$21, $C$9, 100%, $E$9)</f>
        <v>66.9953</v>
      </c>
      <c r="H794" s="14">
        <f>CHOOSE(CONTROL!$C$42, 67.0872, 67.0872) * CHOOSE(CONTROL!$C$21, $C$9, 100%, $E$9)</f>
        <v>67.087199999999996</v>
      </c>
      <c r="I794" s="14">
        <f>CHOOSE(CONTROL!$C$42, 67.2098, 67.2098)* CHOOSE(CONTROL!$C$21, $C$9, 100%, $E$9)</f>
        <v>67.209800000000001</v>
      </c>
      <c r="J794" s="14">
        <f>CHOOSE(CONTROL!$C$42, 66.9728, 66.9728)* CHOOSE(CONTROL!$C$21, $C$9, 100%, $E$9)</f>
        <v>66.972800000000007</v>
      </c>
      <c r="K794" s="53">
        <f>CHOOSE(CONTROL!$C$42, 67.2059, 67.2059) * CHOOSE(CONTROL!$C$21, $C$9, 100%, $E$9)</f>
        <v>67.2059</v>
      </c>
      <c r="L794" s="14">
        <f>CHOOSE(CONTROL!$C$42, 67.6742, 67.6742) * CHOOSE(CONTROL!$C$21, $C$9, 100%, $E$9)</f>
        <v>67.674199999999999</v>
      </c>
      <c r="M794" s="14">
        <f>CHOOSE(CONTROL!$C$42, 65.6083, 65.6083) * CHOOSE(CONTROL!$C$21, $C$9, 100%, $E$9)</f>
        <v>65.6083</v>
      </c>
      <c r="N794" s="14">
        <f>CHOOSE(CONTROL!$C$42, 65.6234, 65.6234) * CHOOSE(CONTROL!$C$21, $C$9, 100%, $E$9)</f>
        <v>65.623400000000004</v>
      </c>
      <c r="O794" s="14">
        <f>CHOOSE(CONTROL!$C$42, 65.7203, 65.7203) * CHOOSE(CONTROL!$C$21, $C$9, 100%, $E$9)</f>
        <v>65.720299999999995</v>
      </c>
      <c r="P794" s="14">
        <f>CHOOSE(CONTROL!$C$42, 65.8363, 65.8363) * CHOOSE(CONTROL!$C$21, $C$9, 100%, $E$9)</f>
        <v>65.836299999999994</v>
      </c>
      <c r="Q794" s="14">
        <f>CHOOSE(CONTROL!$C$42, 66.315, 66.315) * CHOOSE(CONTROL!$C$21, $C$9, 100%, $E$9)</f>
        <v>66.314999999999998</v>
      </c>
      <c r="R794" s="14">
        <f>CHOOSE(CONTROL!$C$42, 67.0678, 67.0678) * CHOOSE(CONTROL!$C$21, $C$9, 100%, $E$9)</f>
        <v>67.067800000000005</v>
      </c>
      <c r="S794" s="14">
        <f>CHOOSE(CONTROL!$C$42, 64.3644, 64.3644) * CHOOSE(CONTROL!$C$21, $C$9, 100%, $E$9)</f>
        <v>64.364400000000003</v>
      </c>
      <c r="T79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94" s="57">
        <f>(1000*CHOOSE(CONTROL!$C$42, 695, 695)*CHOOSE(CONTROL!$C$42, 0.5599, 0.5599)*CHOOSE(CONTROL!$C$42, 28, 28))/1000000</f>
        <v>10.895653999999999</v>
      </c>
      <c r="V794" s="57">
        <f>(1000*CHOOSE(CONTROL!$C$42, 500, 500)*CHOOSE(CONTROL!$C$42, 0.275, 0.275)*CHOOSE(CONTROL!$C$42, 28, 28))/1000000</f>
        <v>3.85</v>
      </c>
      <c r="W794" s="57">
        <f>(1000*CHOOSE(CONTROL!$C$42, 0.1146, 0.1146)*CHOOSE(CONTROL!$C$42, 121.5, 121.5)*CHOOSE(CONTROL!$C$42, 28, 28))/1000000</f>
        <v>0.38986920000000003</v>
      </c>
      <c r="X794" s="57">
        <f>(28*0.1790888*100000/1000000)+(28*0.2374*100000/1000000)</f>
        <v>1.16616864</v>
      </c>
      <c r="Y794" s="57"/>
      <c r="Z794" s="14"/>
      <c r="AA794" s="56"/>
      <c r="AB794" s="50">
        <f>(B794*122.58+C794*297.941+D794*89.177+E794*40.302+F794*40+G794*160+H794*0+I794*100+J794*300)/(122.58+297.941+89.177+40.302+0+40+160+100+300)</f>
        <v>67.01672308330437</v>
      </c>
      <c r="AC794" s="45">
        <f>(M794*'RAP TEMPLATE-GAS AVAILABILITY'!O793+N794*'RAP TEMPLATE-GAS AVAILABILITY'!P793+O794*'RAP TEMPLATE-GAS AVAILABILITY'!Q793+P794*'RAP TEMPLATE-GAS AVAILABILITY'!R793)/('RAP TEMPLATE-GAS AVAILABILITY'!O793+'RAP TEMPLATE-GAS AVAILABILITY'!P793+'RAP TEMPLATE-GAS AVAILABILITY'!Q793+'RAP TEMPLATE-GAS AVAILABILITY'!R793)</f>
        <v>65.692737410071928</v>
      </c>
    </row>
    <row r="795" spans="1:29" ht="15.75" x14ac:dyDescent="0.25">
      <c r="A795" s="32">
        <v>65105</v>
      </c>
      <c r="B795" s="14">
        <f>CHOOSE(CONTROL!$C$42, 65.0907, 65.0907) * CHOOSE(CONTROL!$C$21, $C$9, 100%, $E$9)</f>
        <v>65.090699999999998</v>
      </c>
      <c r="C795" s="14">
        <f>CHOOSE(CONTROL!$C$42, 65.0958, 65.0958) * CHOOSE(CONTROL!$C$21, $C$9, 100%, $E$9)</f>
        <v>65.095799999999997</v>
      </c>
      <c r="D795" s="14">
        <f>CHOOSE(CONTROL!$C$42, 65.1622, 65.1622) * CHOOSE(CONTROL!$C$21, $C$9, 100%, $E$9)</f>
        <v>65.162199999999999</v>
      </c>
      <c r="E795" s="14">
        <f>CHOOSE(CONTROL!$C$42, 65.1963, 65.1963) * CHOOSE(CONTROL!$C$21, $C$9, 100%, $E$9)</f>
        <v>65.196299999999994</v>
      </c>
      <c r="F795" s="14">
        <f>CHOOSE(CONTROL!$C$42, 65.0777, 65.0777)*CHOOSE(CONTROL!$C$21, $C$9, 100%, $E$9)</f>
        <v>65.077699999999993</v>
      </c>
      <c r="G795" s="14">
        <f>CHOOSE(CONTROL!$C$42, 65.0931, 65.0931)*CHOOSE(CONTROL!$C$21, $C$9, 100%, $E$9)</f>
        <v>65.093100000000007</v>
      </c>
      <c r="H795" s="14">
        <f>CHOOSE(CONTROL!$C$42, 65.1855, 65.1855) * CHOOSE(CONTROL!$C$21, $C$9, 100%, $E$9)</f>
        <v>65.185500000000005</v>
      </c>
      <c r="I795" s="14">
        <f>CHOOSE(CONTROL!$C$42, 65.3022, 65.3022)* CHOOSE(CONTROL!$C$21, $C$9, 100%, $E$9)</f>
        <v>65.302199999999999</v>
      </c>
      <c r="J795" s="14">
        <f>CHOOSE(CONTROL!$C$42, 65.0707, 65.0707)* CHOOSE(CONTROL!$C$21, $C$9, 100%, $E$9)</f>
        <v>65.070700000000002</v>
      </c>
      <c r="K795" s="53">
        <f>CHOOSE(CONTROL!$C$42, 65.2983, 65.2983) * CHOOSE(CONTROL!$C$21, $C$9, 100%, $E$9)</f>
        <v>65.298299999999998</v>
      </c>
      <c r="L795" s="14">
        <f>CHOOSE(CONTROL!$C$42, 65.7725, 65.7725) * CHOOSE(CONTROL!$C$21, $C$9, 100%, $E$9)</f>
        <v>65.772499999999994</v>
      </c>
      <c r="M795" s="14">
        <f>CHOOSE(CONTROL!$C$42, 63.7451, 63.7451) * CHOOSE(CONTROL!$C$21, $C$9, 100%, $E$9)</f>
        <v>63.745100000000001</v>
      </c>
      <c r="N795" s="14">
        <f>CHOOSE(CONTROL!$C$42, 63.7602, 63.7602) * CHOOSE(CONTROL!$C$21, $C$9, 100%, $E$9)</f>
        <v>63.760199999999998</v>
      </c>
      <c r="O795" s="14">
        <f>CHOOSE(CONTROL!$C$42, 63.8576, 63.8576) * CHOOSE(CONTROL!$C$21, $C$9, 100%, $E$9)</f>
        <v>63.857599999999998</v>
      </c>
      <c r="P795" s="14">
        <f>CHOOSE(CONTROL!$C$42, 63.9679, 63.9679) * CHOOSE(CONTROL!$C$21, $C$9, 100%, $E$9)</f>
        <v>63.9679</v>
      </c>
      <c r="Q795" s="14">
        <f>CHOOSE(CONTROL!$C$42, 64.4523, 64.4523) * CHOOSE(CONTROL!$C$21, $C$9, 100%, $E$9)</f>
        <v>64.452299999999994</v>
      </c>
      <c r="R795" s="14">
        <f>CHOOSE(CONTROL!$C$42, 65.2004, 65.2004) * CHOOSE(CONTROL!$C$21, $C$9, 100%, $E$9)</f>
        <v>65.200400000000002</v>
      </c>
      <c r="S795" s="14">
        <f>CHOOSE(CONTROL!$C$42, 62.5371, 62.5371) * CHOOSE(CONTROL!$C$21, $C$9, 100%, $E$9)</f>
        <v>62.537100000000002</v>
      </c>
      <c r="T79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95" s="57">
        <f>(1000*CHOOSE(CONTROL!$C$42, 695, 695)*CHOOSE(CONTROL!$C$42, 0.5599, 0.5599)*CHOOSE(CONTROL!$C$42, 31, 31))/1000000</f>
        <v>12.063045499999998</v>
      </c>
      <c r="V795" s="57">
        <f>(1000*CHOOSE(CONTROL!$C$42, 500, 500)*CHOOSE(CONTROL!$C$42, 0.275, 0.275)*CHOOSE(CONTROL!$C$42, 31, 31))/1000000</f>
        <v>4.2625000000000002</v>
      </c>
      <c r="W795" s="57">
        <f>(1000*CHOOSE(CONTROL!$C$42, 0.1146, 0.1146)*CHOOSE(CONTROL!$C$42, 121.5, 121.5)*CHOOSE(CONTROL!$C$42, 31, 31))/1000000</f>
        <v>0.43164089999999994</v>
      </c>
      <c r="X795" s="57">
        <f>(31*0.1790888*100000/1000000)+(31*0.2374*100000/1000000)</f>
        <v>1.2911152800000001</v>
      </c>
      <c r="Y795" s="57"/>
      <c r="Z795" s="14"/>
      <c r="AA795" s="56"/>
      <c r="AB795" s="50">
        <f>(B795*122.58+C795*297.941+D795*89.177+E795*40.302+F795*40+G795*160+H795*0+I795*100+J795*300)/(122.58+297.941+89.177+40.302+0+40+160+100+300)</f>
        <v>65.114322213739129</v>
      </c>
      <c r="AC795" s="45">
        <f>(M795*'RAP TEMPLATE-GAS AVAILABILITY'!O794+N795*'RAP TEMPLATE-GAS AVAILABILITY'!P794+O795*'RAP TEMPLATE-GAS AVAILABILITY'!Q794+P795*'RAP TEMPLATE-GAS AVAILABILITY'!R794)/('RAP TEMPLATE-GAS AVAILABILITY'!O794+'RAP TEMPLATE-GAS AVAILABILITY'!P794+'RAP TEMPLATE-GAS AVAILABILITY'!Q794+'RAP TEMPLATE-GAS AVAILABILITY'!R794)</f>
        <v>63.829015827338139</v>
      </c>
    </row>
    <row r="796" spans="1:29" ht="15.75" x14ac:dyDescent="0.25">
      <c r="A796" s="32">
        <v>65135</v>
      </c>
      <c r="B796" s="14">
        <f>CHOOSE(CONTROL!$C$42, 64.897, 64.897) * CHOOSE(CONTROL!$C$21, $C$9, 100%, $E$9)</f>
        <v>64.897000000000006</v>
      </c>
      <c r="C796" s="14">
        <f>CHOOSE(CONTROL!$C$42, 64.9015, 64.9015) * CHOOSE(CONTROL!$C$21, $C$9, 100%, $E$9)</f>
        <v>64.901499999999999</v>
      </c>
      <c r="D796" s="14">
        <f>CHOOSE(CONTROL!$C$42, 65.1086, 65.1086) * CHOOSE(CONTROL!$C$21, $C$9, 100%, $E$9)</f>
        <v>65.108599999999996</v>
      </c>
      <c r="E796" s="14">
        <f>CHOOSE(CONTROL!$C$42, 65.1407, 65.1407) * CHOOSE(CONTROL!$C$21, $C$9, 100%, $E$9)</f>
        <v>65.140699999999995</v>
      </c>
      <c r="F796" s="14">
        <f>CHOOSE(CONTROL!$C$42, 64.8789, 64.8789)*CHOOSE(CONTROL!$C$21, $C$9, 100%, $E$9)</f>
        <v>64.878900000000002</v>
      </c>
      <c r="G796" s="14">
        <f>CHOOSE(CONTROL!$C$42, 64.8941, 64.8941)*CHOOSE(CONTROL!$C$21, $C$9, 100%, $E$9)</f>
        <v>64.894099999999995</v>
      </c>
      <c r="H796" s="14">
        <f>CHOOSE(CONTROL!$C$42, 65.1305, 65.1305) * CHOOSE(CONTROL!$C$21, $C$9, 100%, $E$9)</f>
        <v>65.130499999999998</v>
      </c>
      <c r="I796" s="14">
        <f>CHOOSE(CONTROL!$C$42, 65.1071, 65.1071)* CHOOSE(CONTROL!$C$21, $C$9, 100%, $E$9)</f>
        <v>65.107100000000003</v>
      </c>
      <c r="J796" s="14">
        <f>CHOOSE(CONTROL!$C$42, 64.8719, 64.8719)* CHOOSE(CONTROL!$C$21, $C$9, 100%, $E$9)</f>
        <v>64.871899999999997</v>
      </c>
      <c r="K796" s="53">
        <f>CHOOSE(CONTROL!$C$42, 65.1032, 65.1032) * CHOOSE(CONTROL!$C$21, $C$9, 100%, $E$9)</f>
        <v>65.103200000000001</v>
      </c>
      <c r="L796" s="14">
        <f>CHOOSE(CONTROL!$C$42, 65.7175, 65.7175) * CHOOSE(CONTROL!$C$21, $C$9, 100%, $E$9)</f>
        <v>65.717500000000001</v>
      </c>
      <c r="M796" s="14">
        <f>CHOOSE(CONTROL!$C$42, 63.5504, 63.5504) * CHOOSE(CONTROL!$C$21, $C$9, 100%, $E$9)</f>
        <v>63.550400000000003</v>
      </c>
      <c r="N796" s="14">
        <f>CHOOSE(CONTROL!$C$42, 63.5653, 63.5653) * CHOOSE(CONTROL!$C$21, $C$9, 100%, $E$9)</f>
        <v>63.565300000000001</v>
      </c>
      <c r="O796" s="14">
        <f>CHOOSE(CONTROL!$C$42, 63.8037, 63.8037) * CHOOSE(CONTROL!$C$21, $C$9, 100%, $E$9)</f>
        <v>63.803699999999999</v>
      </c>
      <c r="P796" s="14">
        <f>CHOOSE(CONTROL!$C$42, 63.7768, 63.7768) * CHOOSE(CONTROL!$C$21, $C$9, 100%, $E$9)</f>
        <v>63.776800000000001</v>
      </c>
      <c r="Q796" s="14">
        <f>CHOOSE(CONTROL!$C$42, 64.3984, 64.3984) * CHOOSE(CONTROL!$C$21, $C$9, 100%, $E$9)</f>
        <v>64.398399999999995</v>
      </c>
      <c r="R796" s="14">
        <f>CHOOSE(CONTROL!$C$42, 65.1464, 65.1464) * CHOOSE(CONTROL!$C$21, $C$9, 100%, $E$9)</f>
        <v>65.1464</v>
      </c>
      <c r="S796" s="14">
        <f>CHOOSE(CONTROL!$C$42, 62.3502, 62.3502) * CHOOSE(CONTROL!$C$21, $C$9, 100%, $E$9)</f>
        <v>62.350200000000001</v>
      </c>
      <c r="T79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96" s="57">
        <f>(1000*CHOOSE(CONTROL!$C$42, 695, 695)*CHOOSE(CONTROL!$C$42, 0.5599, 0.5599)*CHOOSE(CONTROL!$C$42, 30, 30))/1000000</f>
        <v>11.673914999999997</v>
      </c>
      <c r="V796" s="57">
        <f>(1000*CHOOSE(CONTROL!$C$42, 500, 500)*CHOOSE(CONTROL!$C$42, 0.275, 0.275)*CHOOSE(CONTROL!$C$42, 30, 30))/1000000</f>
        <v>4.125</v>
      </c>
      <c r="W796" s="57">
        <f>(1000*CHOOSE(CONTROL!$C$42, 0.1146, 0.1146)*CHOOSE(CONTROL!$C$42, 121.5, 121.5)*CHOOSE(CONTROL!$C$42, 30, 30))/1000000</f>
        <v>0.417717</v>
      </c>
      <c r="X796" s="57">
        <f>(30*0.1790888*245000/1000000)+(30*0.2374*100000/1000000)</f>
        <v>2.0285026799999999</v>
      </c>
      <c r="Y796" s="57"/>
      <c r="Z796" s="14"/>
      <c r="AA796" s="56"/>
      <c r="AB796" s="50">
        <f>(B796*141.293+C796*267.993+D796*115.016+E796*89.698+F796*40+G796*185+H796*0+I796*100+J796*300)/(141.293+267.993+115.016+89.698+0+40+185+100+300)</f>
        <v>64.945121272558509</v>
      </c>
      <c r="AC796" s="45">
        <f>(M796*'RAP TEMPLATE-GAS AVAILABILITY'!O795+N796*'RAP TEMPLATE-GAS AVAILABILITY'!P795+O796*'RAP TEMPLATE-GAS AVAILABILITY'!Q795+P796*'RAP TEMPLATE-GAS AVAILABILITY'!R795)/('RAP TEMPLATE-GAS AVAILABILITY'!O795+'RAP TEMPLATE-GAS AVAILABILITY'!P795+'RAP TEMPLATE-GAS AVAILABILITY'!Q795+'RAP TEMPLATE-GAS AVAILABILITY'!R795)</f>
        <v>63.698638129496409</v>
      </c>
    </row>
    <row r="797" spans="1:29" ht="15.75" x14ac:dyDescent="0.25">
      <c r="A797" s="32">
        <v>65166</v>
      </c>
      <c r="B797" s="14">
        <f>CHOOSE(CONTROL!$C$42, 65.4711, 65.4711) * CHOOSE(CONTROL!$C$21, $C$9, 100%, $E$9)</f>
        <v>65.471100000000007</v>
      </c>
      <c r="C797" s="14">
        <f>CHOOSE(CONTROL!$C$42, 65.4791, 65.4791) * CHOOSE(CONTROL!$C$21, $C$9, 100%, $E$9)</f>
        <v>65.479100000000003</v>
      </c>
      <c r="D797" s="14">
        <f>CHOOSE(CONTROL!$C$42, 65.6831, 65.6831) * CHOOSE(CONTROL!$C$21, $C$9, 100%, $E$9)</f>
        <v>65.683099999999996</v>
      </c>
      <c r="E797" s="14">
        <f>CHOOSE(CONTROL!$C$42, 65.7145, 65.7145) * CHOOSE(CONTROL!$C$21, $C$9, 100%, $E$9)</f>
        <v>65.714500000000001</v>
      </c>
      <c r="F797" s="14">
        <f>CHOOSE(CONTROL!$C$42, 65.4518, 65.4518)*CHOOSE(CONTROL!$C$21, $C$9, 100%, $E$9)</f>
        <v>65.451800000000006</v>
      </c>
      <c r="G797" s="14">
        <f>CHOOSE(CONTROL!$C$42, 65.4675, 65.4675)*CHOOSE(CONTROL!$C$21, $C$9, 100%, $E$9)</f>
        <v>65.467500000000001</v>
      </c>
      <c r="H797" s="14">
        <f>CHOOSE(CONTROL!$C$42, 65.7032, 65.7032) * CHOOSE(CONTROL!$C$21, $C$9, 100%, $E$9)</f>
        <v>65.703199999999995</v>
      </c>
      <c r="I797" s="14">
        <f>CHOOSE(CONTROL!$C$42, 65.6816, 65.6816)* CHOOSE(CONTROL!$C$21, $C$9, 100%, $E$9)</f>
        <v>65.681600000000003</v>
      </c>
      <c r="J797" s="14">
        <f>CHOOSE(CONTROL!$C$42, 65.4448, 65.4448)* CHOOSE(CONTROL!$C$21, $C$9, 100%, $E$9)</f>
        <v>65.444800000000001</v>
      </c>
      <c r="K797" s="53">
        <f>CHOOSE(CONTROL!$C$42, 65.6777, 65.6777) * CHOOSE(CONTROL!$C$21, $C$9, 100%, $E$9)</f>
        <v>65.677700000000002</v>
      </c>
      <c r="L797" s="14">
        <f>CHOOSE(CONTROL!$C$42, 66.2902, 66.2902) * CHOOSE(CONTROL!$C$21, $C$9, 100%, $E$9)</f>
        <v>66.290199999999999</v>
      </c>
      <c r="M797" s="14">
        <f>CHOOSE(CONTROL!$C$42, 64.1116, 64.1116) * CHOOSE(CONTROL!$C$21, $C$9, 100%, $E$9)</f>
        <v>64.111599999999996</v>
      </c>
      <c r="N797" s="14">
        <f>CHOOSE(CONTROL!$C$42, 64.127, 64.127) * CHOOSE(CONTROL!$C$21, $C$9, 100%, $E$9)</f>
        <v>64.126999999999995</v>
      </c>
      <c r="O797" s="14">
        <f>CHOOSE(CONTROL!$C$42, 64.3646, 64.3646) * CHOOSE(CONTROL!$C$21, $C$9, 100%, $E$9)</f>
        <v>64.364599999999996</v>
      </c>
      <c r="P797" s="14">
        <f>CHOOSE(CONTROL!$C$42, 64.3395, 64.3395) * CHOOSE(CONTROL!$C$21, $C$9, 100%, $E$9)</f>
        <v>64.339500000000001</v>
      </c>
      <c r="Q797" s="14">
        <f>CHOOSE(CONTROL!$C$42, 64.9593, 64.9593) * CHOOSE(CONTROL!$C$21, $C$9, 100%, $E$9)</f>
        <v>64.959299999999999</v>
      </c>
      <c r="R797" s="14">
        <f>CHOOSE(CONTROL!$C$42, 65.7087, 65.7087) * CHOOSE(CONTROL!$C$21, $C$9, 100%, $E$9)</f>
        <v>65.708699999999993</v>
      </c>
      <c r="S797" s="14">
        <f>CHOOSE(CONTROL!$C$42, 62.9005, 62.9005) * CHOOSE(CONTROL!$C$21, $C$9, 100%, $E$9)</f>
        <v>62.900500000000001</v>
      </c>
      <c r="T79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97" s="57">
        <f>(1000*CHOOSE(CONTROL!$C$42, 695, 695)*CHOOSE(CONTROL!$C$42, 0.5599, 0.5599)*CHOOSE(CONTROL!$C$42, 31, 31))/1000000</f>
        <v>12.063045499999998</v>
      </c>
      <c r="V797" s="57">
        <f>(1000*CHOOSE(CONTROL!$C$42, 500, 500)*CHOOSE(CONTROL!$C$42, 0.275, 0.275)*CHOOSE(CONTROL!$C$42, 31, 31))/1000000</f>
        <v>4.2625000000000002</v>
      </c>
      <c r="W797" s="57">
        <f>(1000*CHOOSE(CONTROL!$C$42, 0.1146, 0.1146)*CHOOSE(CONTROL!$C$42, 121.5, 121.5)*CHOOSE(CONTROL!$C$42, 31, 31))/1000000</f>
        <v>0.43164089999999994</v>
      </c>
      <c r="X797" s="57">
        <f>(31*0.1790888*245000/1000000)+(31*0.2374*100000/1000000)</f>
        <v>2.0961194359999999</v>
      </c>
      <c r="Y797" s="57"/>
      <c r="Z797" s="14"/>
      <c r="AA797" s="56"/>
      <c r="AB797" s="50">
        <f>(B797*194.205+C797*267.466+D797*133.845+E797*53.484+F797*40+G797*185+H797*0+I797*100+J797*300)/(194.205+267.466+133.845+53.484+0+40+185+100+300)</f>
        <v>65.514471172370492</v>
      </c>
      <c r="AC797" s="45">
        <f>(M797*'RAP TEMPLATE-GAS AVAILABILITY'!O796+N797*'RAP TEMPLATE-GAS AVAILABILITY'!P796+O797*'RAP TEMPLATE-GAS AVAILABILITY'!Q796+P797*'RAP TEMPLATE-GAS AVAILABILITY'!R796)/('RAP TEMPLATE-GAS AVAILABILITY'!O796+'RAP TEMPLATE-GAS AVAILABILITY'!P796+'RAP TEMPLATE-GAS AVAILABILITY'!Q796+'RAP TEMPLATE-GAS AVAILABILITY'!R796)</f>
        <v>64.259946762589934</v>
      </c>
    </row>
    <row r="798" spans="1:29" ht="15.75" x14ac:dyDescent="0.25">
      <c r="A798" s="32">
        <v>65196</v>
      </c>
      <c r="B798" s="14">
        <f>CHOOSE(CONTROL!$C$42, 67.3279, 67.3279) * CHOOSE(CONTROL!$C$21, $C$9, 100%, $E$9)</f>
        <v>67.3279</v>
      </c>
      <c r="C798" s="14">
        <f>CHOOSE(CONTROL!$C$42, 67.336, 67.336) * CHOOSE(CONTROL!$C$21, $C$9, 100%, $E$9)</f>
        <v>67.335999999999999</v>
      </c>
      <c r="D798" s="14">
        <f>CHOOSE(CONTROL!$C$42, 67.5399, 67.5399) * CHOOSE(CONTROL!$C$21, $C$9, 100%, $E$9)</f>
        <v>67.539900000000003</v>
      </c>
      <c r="E798" s="14">
        <f>CHOOSE(CONTROL!$C$42, 67.5714, 67.5714) * CHOOSE(CONTROL!$C$21, $C$9, 100%, $E$9)</f>
        <v>67.571399999999997</v>
      </c>
      <c r="F798" s="14">
        <f>CHOOSE(CONTROL!$C$42, 67.3091, 67.3091)*CHOOSE(CONTROL!$C$21, $C$9, 100%, $E$9)</f>
        <v>67.309100000000001</v>
      </c>
      <c r="G798" s="14">
        <f>CHOOSE(CONTROL!$C$42, 67.3249, 67.3249)*CHOOSE(CONTROL!$C$21, $C$9, 100%, $E$9)</f>
        <v>67.3249</v>
      </c>
      <c r="H798" s="14">
        <f>CHOOSE(CONTROL!$C$42, 67.56, 67.56) * CHOOSE(CONTROL!$C$21, $C$9, 100%, $E$9)</f>
        <v>67.56</v>
      </c>
      <c r="I798" s="14">
        <f>CHOOSE(CONTROL!$C$42, 67.5442, 67.5442)* CHOOSE(CONTROL!$C$21, $C$9, 100%, $E$9)</f>
        <v>67.544200000000004</v>
      </c>
      <c r="J798" s="14">
        <f>CHOOSE(CONTROL!$C$42, 67.3021, 67.3021)* CHOOSE(CONTROL!$C$21, $C$9, 100%, $E$9)</f>
        <v>67.302099999999996</v>
      </c>
      <c r="K798" s="53">
        <f>CHOOSE(CONTROL!$C$42, 67.5403, 67.5403) * CHOOSE(CONTROL!$C$21, $C$9, 100%, $E$9)</f>
        <v>67.540300000000002</v>
      </c>
      <c r="L798" s="14">
        <f>CHOOSE(CONTROL!$C$42, 68.147, 68.147) * CHOOSE(CONTROL!$C$21, $C$9, 100%, $E$9)</f>
        <v>68.147000000000006</v>
      </c>
      <c r="M798" s="14">
        <f>CHOOSE(CONTROL!$C$42, 65.9308, 65.9308) * CHOOSE(CONTROL!$C$21, $C$9, 100%, $E$9)</f>
        <v>65.930800000000005</v>
      </c>
      <c r="N798" s="14">
        <f>CHOOSE(CONTROL!$C$42, 65.9463, 65.9463) * CHOOSE(CONTROL!$C$21, $C$9, 100%, $E$9)</f>
        <v>65.946299999999994</v>
      </c>
      <c r="O798" s="14">
        <f>CHOOSE(CONTROL!$C$42, 66.1834, 66.1834) * CHOOSE(CONTROL!$C$21, $C$9, 100%, $E$9)</f>
        <v>66.183400000000006</v>
      </c>
      <c r="P798" s="14">
        <f>CHOOSE(CONTROL!$C$42, 66.1638, 66.1638) * CHOOSE(CONTROL!$C$21, $C$9, 100%, $E$9)</f>
        <v>66.163799999999995</v>
      </c>
      <c r="Q798" s="14">
        <f>CHOOSE(CONTROL!$C$42, 66.7781, 66.7781) * CHOOSE(CONTROL!$C$21, $C$9, 100%, $E$9)</f>
        <v>66.778099999999995</v>
      </c>
      <c r="R798" s="14">
        <f>CHOOSE(CONTROL!$C$42, 67.5321, 67.5321) * CHOOSE(CONTROL!$C$21, $C$9, 100%, $E$9)</f>
        <v>67.5321</v>
      </c>
      <c r="S798" s="14">
        <f>CHOOSE(CONTROL!$C$42, 64.6848, 64.6848) * CHOOSE(CONTROL!$C$21, $C$9, 100%, $E$9)</f>
        <v>64.684799999999996</v>
      </c>
      <c r="T79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98" s="57">
        <f>(1000*CHOOSE(CONTROL!$C$42, 695, 695)*CHOOSE(CONTROL!$C$42, 0.5599, 0.5599)*CHOOSE(CONTROL!$C$42, 30, 30))/1000000</f>
        <v>11.673914999999997</v>
      </c>
      <c r="V798" s="57">
        <f>(1000*CHOOSE(CONTROL!$C$42, 500, 500)*CHOOSE(CONTROL!$C$42, 0.275, 0.275)*CHOOSE(CONTROL!$C$42, 30, 30))/1000000</f>
        <v>4.125</v>
      </c>
      <c r="W798" s="57">
        <f>(1000*CHOOSE(CONTROL!$C$42, 0.1146, 0.1146)*CHOOSE(CONTROL!$C$42, 121.5, 121.5)*CHOOSE(CONTROL!$C$42, 30, 30))/1000000</f>
        <v>0.417717</v>
      </c>
      <c r="X798" s="57">
        <f>(30*0.1790888*245000/1000000)+(30*0.2374*100000/1000000)</f>
        <v>2.0285026799999999</v>
      </c>
      <c r="Y798" s="57"/>
      <c r="Z798" s="14"/>
      <c r="AA798" s="56"/>
      <c r="AB798" s="50">
        <f>(B798*194.205+C798*267.466+D798*133.845+E798*53.484+F798*40+G798*185+H798*0+I798*100+J798*300)/(194.205+267.466+133.845+53.484+0+40+185+100+300)</f>
        <v>67.371972188854016</v>
      </c>
      <c r="AC798" s="45">
        <f>(M798*'RAP TEMPLATE-GAS AVAILABILITY'!O797+N798*'RAP TEMPLATE-GAS AVAILABILITY'!P797+O798*'RAP TEMPLATE-GAS AVAILABILITY'!Q797+P798*'RAP TEMPLATE-GAS AVAILABILITY'!R797)/('RAP TEMPLATE-GAS AVAILABILITY'!O797+'RAP TEMPLATE-GAS AVAILABILITY'!P797+'RAP TEMPLATE-GAS AVAILABILITY'!Q797+'RAP TEMPLATE-GAS AVAILABILITY'!R797)</f>
        <v>66.079705035971216</v>
      </c>
    </row>
    <row r="799" spans="1:29" ht="15.75" x14ac:dyDescent="0.25">
      <c r="A799" s="32">
        <v>65227</v>
      </c>
      <c r="B799" s="14">
        <f>CHOOSE(CONTROL!$C$42, 66.0365, 66.0365) * CHOOSE(CONTROL!$C$21, $C$9, 100%, $E$9)</f>
        <v>66.036500000000004</v>
      </c>
      <c r="C799" s="14">
        <f>CHOOSE(CONTROL!$C$42, 66.0445, 66.0445) * CHOOSE(CONTROL!$C$21, $C$9, 100%, $E$9)</f>
        <v>66.044499999999999</v>
      </c>
      <c r="D799" s="14">
        <f>CHOOSE(CONTROL!$C$42, 66.2485, 66.2485) * CHOOSE(CONTROL!$C$21, $C$9, 100%, $E$9)</f>
        <v>66.248500000000007</v>
      </c>
      <c r="E799" s="14">
        <f>CHOOSE(CONTROL!$C$42, 66.2799, 66.2799) * CHOOSE(CONTROL!$C$21, $C$9, 100%, $E$9)</f>
        <v>66.279899999999998</v>
      </c>
      <c r="F799" s="14">
        <f>CHOOSE(CONTROL!$C$42, 66.0181, 66.0181)*CHOOSE(CONTROL!$C$21, $C$9, 100%, $E$9)</f>
        <v>66.018100000000004</v>
      </c>
      <c r="G799" s="14">
        <f>CHOOSE(CONTROL!$C$42, 66.034, 66.034)*CHOOSE(CONTROL!$C$21, $C$9, 100%, $E$9)</f>
        <v>66.034000000000006</v>
      </c>
      <c r="H799" s="14">
        <f>CHOOSE(CONTROL!$C$42, 66.2686, 66.2686) * CHOOSE(CONTROL!$C$21, $C$9, 100%, $E$9)</f>
        <v>66.268600000000006</v>
      </c>
      <c r="I799" s="14">
        <f>CHOOSE(CONTROL!$C$42, 66.2488, 66.2488)* CHOOSE(CONTROL!$C$21, $C$9, 100%, $E$9)</f>
        <v>66.248800000000003</v>
      </c>
      <c r="J799" s="14">
        <f>CHOOSE(CONTROL!$C$42, 66.0111, 66.0111)* CHOOSE(CONTROL!$C$21, $C$9, 100%, $E$9)</f>
        <v>66.011099999999999</v>
      </c>
      <c r="K799" s="53">
        <f>CHOOSE(CONTROL!$C$42, 66.2449, 66.2449) * CHOOSE(CONTROL!$C$21, $C$9, 100%, $E$9)</f>
        <v>66.244900000000001</v>
      </c>
      <c r="L799" s="14">
        <f>CHOOSE(CONTROL!$C$42, 66.8556, 66.8556) * CHOOSE(CONTROL!$C$21, $C$9, 100%, $E$9)</f>
        <v>66.855599999999995</v>
      </c>
      <c r="M799" s="14">
        <f>CHOOSE(CONTROL!$C$42, 64.6663, 64.6663) * CHOOSE(CONTROL!$C$21, $C$9, 100%, $E$9)</f>
        <v>64.666300000000007</v>
      </c>
      <c r="N799" s="14">
        <f>CHOOSE(CONTROL!$C$42, 64.6819, 64.6819) * CHOOSE(CONTROL!$C$21, $C$9, 100%, $E$9)</f>
        <v>64.681899999999999</v>
      </c>
      <c r="O799" s="14">
        <f>CHOOSE(CONTROL!$C$42, 64.9184, 64.9184) * CHOOSE(CONTROL!$C$21, $C$9, 100%, $E$9)</f>
        <v>64.918400000000005</v>
      </c>
      <c r="P799" s="14">
        <f>CHOOSE(CONTROL!$C$42, 64.895, 64.895) * CHOOSE(CONTROL!$C$21, $C$9, 100%, $E$9)</f>
        <v>64.894999999999996</v>
      </c>
      <c r="Q799" s="14">
        <f>CHOOSE(CONTROL!$C$42, 65.5131, 65.5131) * CHOOSE(CONTROL!$C$21, $C$9, 100%, $E$9)</f>
        <v>65.513099999999994</v>
      </c>
      <c r="R799" s="14">
        <f>CHOOSE(CONTROL!$C$42, 66.2639, 66.2639) * CHOOSE(CONTROL!$C$21, $C$9, 100%, $E$9)</f>
        <v>66.263900000000007</v>
      </c>
      <c r="S799" s="14">
        <f>CHOOSE(CONTROL!$C$42, 63.4438, 63.4438) * CHOOSE(CONTROL!$C$21, $C$9, 100%, $E$9)</f>
        <v>63.443800000000003</v>
      </c>
      <c r="T79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99" s="57">
        <f>(1000*CHOOSE(CONTROL!$C$42, 695, 695)*CHOOSE(CONTROL!$C$42, 0.5599, 0.5599)*CHOOSE(CONTROL!$C$42, 31, 31))/1000000</f>
        <v>12.063045499999998</v>
      </c>
      <c r="V799" s="57">
        <f>(1000*CHOOSE(CONTROL!$C$42, 500, 500)*CHOOSE(CONTROL!$C$42, 0.275, 0.275)*CHOOSE(CONTROL!$C$42, 31, 31))/1000000</f>
        <v>4.2625000000000002</v>
      </c>
      <c r="W799" s="57">
        <f>(1000*CHOOSE(CONTROL!$C$42, 0.1146, 0.1146)*CHOOSE(CONTROL!$C$42, 121.5, 121.5)*CHOOSE(CONTROL!$C$42, 31, 31))/1000000</f>
        <v>0.43164089999999994</v>
      </c>
      <c r="X799" s="57">
        <f>(31*0.1790888*245000/1000000)+(31*0.2374*100000/1000000)</f>
        <v>2.0961194359999999</v>
      </c>
      <c r="Y799" s="57"/>
      <c r="Z799" s="14"/>
      <c r="AA799" s="56"/>
      <c r="AB799" s="50">
        <f>(B799*194.205+C799*267.466+D799*133.845+E799*53.484+F799*40+G799*185+H799*0+I799*100+J799*300)/(194.205+267.466+133.845+53.484+0+40+185+100+300)</f>
        <v>66.080412381161693</v>
      </c>
      <c r="AC799" s="45">
        <f>(M799*'RAP TEMPLATE-GAS AVAILABILITY'!O798+N799*'RAP TEMPLATE-GAS AVAILABILITY'!P798+O799*'RAP TEMPLATE-GAS AVAILABILITY'!Q798+P799*'RAP TEMPLATE-GAS AVAILABILITY'!R798)/('RAP TEMPLATE-GAS AVAILABILITY'!O798+'RAP TEMPLATE-GAS AVAILABILITY'!P798+'RAP TEMPLATE-GAS AVAILABILITY'!Q798+'RAP TEMPLATE-GAS AVAILABILITY'!R798)</f>
        <v>64.814365467625905</v>
      </c>
    </row>
    <row r="800" spans="1:29" ht="15.75" x14ac:dyDescent="0.25">
      <c r="A800" s="32">
        <v>65258</v>
      </c>
      <c r="B800" s="14">
        <f>CHOOSE(CONTROL!$C$42, 62.7752, 62.7752) * CHOOSE(CONTROL!$C$21, $C$9, 100%, $E$9)</f>
        <v>62.775199999999998</v>
      </c>
      <c r="C800" s="14">
        <f>CHOOSE(CONTROL!$C$42, 62.7832, 62.7832) * CHOOSE(CONTROL!$C$21, $C$9, 100%, $E$9)</f>
        <v>62.783200000000001</v>
      </c>
      <c r="D800" s="14">
        <f>CHOOSE(CONTROL!$C$42, 62.9872, 62.9872) * CHOOSE(CONTROL!$C$21, $C$9, 100%, $E$9)</f>
        <v>62.987200000000001</v>
      </c>
      <c r="E800" s="14">
        <f>CHOOSE(CONTROL!$C$42, 63.0186, 63.0186) * CHOOSE(CONTROL!$C$21, $C$9, 100%, $E$9)</f>
        <v>63.018599999999999</v>
      </c>
      <c r="F800" s="14">
        <f>CHOOSE(CONTROL!$C$42, 62.7571, 62.7571)*CHOOSE(CONTROL!$C$21, $C$9, 100%, $E$9)</f>
        <v>62.757100000000001</v>
      </c>
      <c r="G800" s="14">
        <f>CHOOSE(CONTROL!$C$42, 62.773, 62.773)*CHOOSE(CONTROL!$C$21, $C$9, 100%, $E$9)</f>
        <v>62.773000000000003</v>
      </c>
      <c r="H800" s="14">
        <f>CHOOSE(CONTROL!$C$42, 63.0073, 63.0073) * CHOOSE(CONTROL!$C$21, $C$9, 100%, $E$9)</f>
        <v>63.007300000000001</v>
      </c>
      <c r="I800" s="14">
        <f>CHOOSE(CONTROL!$C$42, 62.9772, 62.9772)* CHOOSE(CONTROL!$C$21, $C$9, 100%, $E$9)</f>
        <v>62.977200000000003</v>
      </c>
      <c r="J800" s="14">
        <f>CHOOSE(CONTROL!$C$42, 62.7501, 62.7501)* CHOOSE(CONTROL!$C$21, $C$9, 100%, $E$9)</f>
        <v>62.750100000000003</v>
      </c>
      <c r="K800" s="53">
        <f>CHOOSE(CONTROL!$C$42, 62.9734, 62.9734) * CHOOSE(CONTROL!$C$21, $C$9, 100%, $E$9)</f>
        <v>62.973399999999998</v>
      </c>
      <c r="L800" s="14">
        <f>CHOOSE(CONTROL!$C$42, 63.5943, 63.5943) * CHOOSE(CONTROL!$C$21, $C$9, 100%, $E$9)</f>
        <v>63.594299999999997</v>
      </c>
      <c r="M800" s="14">
        <f>CHOOSE(CONTROL!$C$42, 61.472, 61.472) * CHOOSE(CONTROL!$C$21, $C$9, 100%, $E$9)</f>
        <v>61.472000000000001</v>
      </c>
      <c r="N800" s="14">
        <f>CHOOSE(CONTROL!$C$42, 61.4877, 61.4877) * CHOOSE(CONTROL!$C$21, $C$9, 100%, $E$9)</f>
        <v>61.487699999999997</v>
      </c>
      <c r="O800" s="14">
        <f>CHOOSE(CONTROL!$C$42, 61.724, 61.724) * CHOOSE(CONTROL!$C$21, $C$9, 100%, $E$9)</f>
        <v>61.723999999999997</v>
      </c>
      <c r="P800" s="14">
        <f>CHOOSE(CONTROL!$C$42, 61.6907, 61.6907) * CHOOSE(CONTROL!$C$21, $C$9, 100%, $E$9)</f>
        <v>61.6907</v>
      </c>
      <c r="Q800" s="14">
        <f>CHOOSE(CONTROL!$C$42, 62.3187, 62.3187) * CHOOSE(CONTROL!$C$21, $C$9, 100%, $E$9)</f>
        <v>62.3187</v>
      </c>
      <c r="R800" s="14">
        <f>CHOOSE(CONTROL!$C$42, 63.0615, 63.0615) * CHOOSE(CONTROL!$C$21, $C$9, 100%, $E$9)</f>
        <v>63.061500000000002</v>
      </c>
      <c r="S800" s="14">
        <f>CHOOSE(CONTROL!$C$42, 60.3101, 60.3101) * CHOOSE(CONTROL!$C$21, $C$9, 100%, $E$9)</f>
        <v>60.310099999999998</v>
      </c>
      <c r="T80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00" s="57">
        <f>(1000*CHOOSE(CONTROL!$C$42, 695, 695)*CHOOSE(CONTROL!$C$42, 0.5599, 0.5599)*CHOOSE(CONTROL!$C$42, 31, 31))/1000000</f>
        <v>12.063045499999998</v>
      </c>
      <c r="V800" s="57">
        <f>(1000*CHOOSE(CONTROL!$C$42, 500, 500)*CHOOSE(CONTROL!$C$42, 0.275, 0.275)*CHOOSE(CONTROL!$C$42, 31, 31))/1000000</f>
        <v>4.2625000000000002</v>
      </c>
      <c r="W800" s="57">
        <f>(1000*CHOOSE(CONTROL!$C$42, 0.1146, 0.1146)*CHOOSE(CONTROL!$C$42, 121.5, 121.5)*CHOOSE(CONTROL!$C$42, 31, 31))/1000000</f>
        <v>0.43164089999999994</v>
      </c>
      <c r="X800" s="57">
        <f>(31*0.1790888*245000/1000000)+(31*0.2374*100000/1000000)</f>
        <v>2.0961194359999999</v>
      </c>
      <c r="Y800" s="57"/>
      <c r="Z800" s="14"/>
      <c r="AA800" s="56"/>
      <c r="AB800" s="50">
        <f>(B800*194.205+C800*267.466+D800*133.845+E800*53.484+F800*40+G800*185+H800*0+I800*100+J800*300)/(194.205+267.466+133.845+53.484+0+40+185+100+300)</f>
        <v>62.818427530298273</v>
      </c>
      <c r="AC800" s="45">
        <f>(M800*'RAP TEMPLATE-GAS AVAILABILITY'!O799+N800*'RAP TEMPLATE-GAS AVAILABILITY'!P799+O800*'RAP TEMPLATE-GAS AVAILABILITY'!Q799+P800*'RAP TEMPLATE-GAS AVAILABILITY'!R799)/('RAP TEMPLATE-GAS AVAILABILITY'!O799+'RAP TEMPLATE-GAS AVAILABILITY'!P799+'RAP TEMPLATE-GAS AVAILABILITY'!Q799+'RAP TEMPLATE-GAS AVAILABILITY'!R799)</f>
        <v>61.618587050359707</v>
      </c>
    </row>
    <row r="801" spans="1:29" ht="15.75" x14ac:dyDescent="0.25">
      <c r="A801" s="32">
        <v>65288</v>
      </c>
      <c r="B801" s="14">
        <f>CHOOSE(CONTROL!$C$42, 58.7901, 58.7901) * CHOOSE(CONTROL!$C$21, $C$9, 100%, $E$9)</f>
        <v>58.790100000000002</v>
      </c>
      <c r="C801" s="14">
        <f>CHOOSE(CONTROL!$C$42, 58.7981, 58.7981) * CHOOSE(CONTROL!$C$21, $C$9, 100%, $E$9)</f>
        <v>58.798099999999998</v>
      </c>
      <c r="D801" s="14">
        <f>CHOOSE(CONTROL!$C$42, 59.0021, 59.0021) * CHOOSE(CONTROL!$C$21, $C$9, 100%, $E$9)</f>
        <v>59.002099999999999</v>
      </c>
      <c r="E801" s="14">
        <f>CHOOSE(CONTROL!$C$42, 59.0335, 59.0335) * CHOOSE(CONTROL!$C$21, $C$9, 100%, $E$9)</f>
        <v>59.033499999999997</v>
      </c>
      <c r="F801" s="14">
        <f>CHOOSE(CONTROL!$C$42, 58.772, 58.772)*CHOOSE(CONTROL!$C$21, $C$9, 100%, $E$9)</f>
        <v>58.771999999999998</v>
      </c>
      <c r="G801" s="14">
        <f>CHOOSE(CONTROL!$C$42, 58.788, 58.788)*CHOOSE(CONTROL!$C$21, $C$9, 100%, $E$9)</f>
        <v>58.787999999999997</v>
      </c>
      <c r="H801" s="14">
        <f>CHOOSE(CONTROL!$C$42, 59.0222, 59.0222) * CHOOSE(CONTROL!$C$21, $C$9, 100%, $E$9)</f>
        <v>59.022199999999998</v>
      </c>
      <c r="I801" s="14">
        <f>CHOOSE(CONTROL!$C$42, 58.9797, 58.9797)* CHOOSE(CONTROL!$C$21, $C$9, 100%, $E$9)</f>
        <v>58.979700000000001</v>
      </c>
      <c r="J801" s="14">
        <f>CHOOSE(CONTROL!$C$42, 58.765, 58.765)* CHOOSE(CONTROL!$C$21, $C$9, 100%, $E$9)</f>
        <v>58.765000000000001</v>
      </c>
      <c r="K801" s="53">
        <f>CHOOSE(CONTROL!$C$42, 58.9758, 58.9758) * CHOOSE(CONTROL!$C$21, $C$9, 100%, $E$9)</f>
        <v>58.9758</v>
      </c>
      <c r="L801" s="14">
        <f>CHOOSE(CONTROL!$C$42, 59.6092, 59.6092) * CHOOSE(CONTROL!$C$21, $C$9, 100%, $E$9)</f>
        <v>59.609200000000001</v>
      </c>
      <c r="M801" s="14">
        <f>CHOOSE(CONTROL!$C$42, 57.5687, 57.5687) * CHOOSE(CONTROL!$C$21, $C$9, 100%, $E$9)</f>
        <v>57.5687</v>
      </c>
      <c r="N801" s="14">
        <f>CHOOSE(CONTROL!$C$42, 57.5843, 57.5843) * CHOOSE(CONTROL!$C$21, $C$9, 100%, $E$9)</f>
        <v>57.584299999999999</v>
      </c>
      <c r="O801" s="14">
        <f>CHOOSE(CONTROL!$C$42, 57.8205, 57.8205) * CHOOSE(CONTROL!$C$21, $C$9, 100%, $E$9)</f>
        <v>57.820500000000003</v>
      </c>
      <c r="P801" s="14">
        <f>CHOOSE(CONTROL!$C$42, 57.7753, 57.7753) * CHOOSE(CONTROL!$C$21, $C$9, 100%, $E$9)</f>
        <v>57.775300000000001</v>
      </c>
      <c r="Q801" s="14">
        <f>CHOOSE(CONTROL!$C$42, 58.4152, 58.4152) * CHOOSE(CONTROL!$C$21, $C$9, 100%, $E$9)</f>
        <v>58.415199999999999</v>
      </c>
      <c r="R801" s="14">
        <f>CHOOSE(CONTROL!$C$42, 59.1483, 59.1483) * CHOOSE(CONTROL!$C$21, $C$9, 100%, $E$9)</f>
        <v>59.148299999999999</v>
      </c>
      <c r="S801" s="14">
        <f>CHOOSE(CONTROL!$C$42, 56.4808, 56.4808) * CHOOSE(CONTROL!$C$21, $C$9, 100%, $E$9)</f>
        <v>56.480800000000002</v>
      </c>
      <c r="T80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01" s="57">
        <f>(1000*CHOOSE(CONTROL!$C$42, 695, 695)*CHOOSE(CONTROL!$C$42, 0.5599, 0.5599)*CHOOSE(CONTROL!$C$42, 30, 30))/1000000</f>
        <v>11.673914999999997</v>
      </c>
      <c r="V801" s="57">
        <f>(1000*CHOOSE(CONTROL!$C$42, 500, 500)*CHOOSE(CONTROL!$C$42, 0.275, 0.275)*CHOOSE(CONTROL!$C$42, 30, 30))/1000000</f>
        <v>4.125</v>
      </c>
      <c r="W801" s="57">
        <f>(1000*CHOOSE(CONTROL!$C$42, 0.1146, 0.1146)*CHOOSE(CONTROL!$C$42, 121.5, 121.5)*CHOOSE(CONTROL!$C$42, 30, 30))/1000000</f>
        <v>0.417717</v>
      </c>
      <c r="X801" s="57">
        <f>(30*0.1790888*245000/1000000)+(30*0.2374*100000/1000000)</f>
        <v>2.0285026799999999</v>
      </c>
      <c r="Y801" s="57"/>
      <c r="Z801" s="14"/>
      <c r="AA801" s="56"/>
      <c r="AB801" s="50">
        <f>(B801*194.205+C801*267.466+D801*133.845+E801*53.484+F801*40+G801*185+H801*0+I801*100+J801*300)/(194.205+267.466+133.845+53.484+0+40+185+100+300)</f>
        <v>58.832368739089482</v>
      </c>
      <c r="AC801" s="45">
        <f>(M801*'RAP TEMPLATE-GAS AVAILABILITY'!O800+N801*'RAP TEMPLATE-GAS AVAILABILITY'!P800+O801*'RAP TEMPLATE-GAS AVAILABILITY'!Q800+P801*'RAP TEMPLATE-GAS AVAILABILITY'!R800)/('RAP TEMPLATE-GAS AVAILABILITY'!O800+'RAP TEMPLATE-GAS AVAILABILITY'!P800+'RAP TEMPLATE-GAS AVAILABILITY'!Q800+'RAP TEMPLATE-GAS AVAILABILITY'!R800)</f>
        <v>57.713449640287763</v>
      </c>
    </row>
    <row r="802" spans="1:29" ht="15.75" x14ac:dyDescent="0.25">
      <c r="A802" s="32">
        <v>65319</v>
      </c>
      <c r="B802" s="14">
        <f>CHOOSE(CONTROL!$C$42, 57.5949, 57.5949) * CHOOSE(CONTROL!$C$21, $C$9, 100%, $E$9)</f>
        <v>57.594900000000003</v>
      </c>
      <c r="C802" s="14">
        <f>CHOOSE(CONTROL!$C$42, 57.6002, 57.6002) * CHOOSE(CONTROL!$C$21, $C$9, 100%, $E$9)</f>
        <v>57.600200000000001</v>
      </c>
      <c r="D802" s="14">
        <f>CHOOSE(CONTROL!$C$42, 57.8091, 57.8091) * CHOOSE(CONTROL!$C$21, $C$9, 100%, $E$9)</f>
        <v>57.809100000000001</v>
      </c>
      <c r="E802" s="14">
        <f>CHOOSE(CONTROL!$C$42, 57.8383, 57.8383) * CHOOSE(CONTROL!$C$21, $C$9, 100%, $E$9)</f>
        <v>57.838299999999997</v>
      </c>
      <c r="F802" s="14">
        <f>CHOOSE(CONTROL!$C$42, 57.5789, 57.5789)*CHOOSE(CONTROL!$C$21, $C$9, 100%, $E$9)</f>
        <v>57.578899999999997</v>
      </c>
      <c r="G802" s="14">
        <f>CHOOSE(CONTROL!$C$42, 57.5946, 57.5946)*CHOOSE(CONTROL!$C$21, $C$9, 100%, $E$9)</f>
        <v>57.5946</v>
      </c>
      <c r="H802" s="14">
        <f>CHOOSE(CONTROL!$C$42, 57.8287, 57.8287) * CHOOSE(CONTROL!$C$21, $C$9, 100%, $E$9)</f>
        <v>57.828699999999998</v>
      </c>
      <c r="I802" s="14">
        <f>CHOOSE(CONTROL!$C$42, 57.7825, 57.7825)* CHOOSE(CONTROL!$C$21, $C$9, 100%, $E$9)</f>
        <v>57.782499999999999</v>
      </c>
      <c r="J802" s="14">
        <f>CHOOSE(CONTROL!$C$42, 57.5719, 57.5719)* CHOOSE(CONTROL!$C$21, $C$9, 100%, $E$9)</f>
        <v>57.571899999999999</v>
      </c>
      <c r="K802" s="53">
        <f>CHOOSE(CONTROL!$C$42, 57.7786, 57.7786) * CHOOSE(CONTROL!$C$21, $C$9, 100%, $E$9)</f>
        <v>57.778599999999997</v>
      </c>
      <c r="L802" s="14">
        <f>CHOOSE(CONTROL!$C$42, 58.4157, 58.4157) * CHOOSE(CONTROL!$C$21, $C$9, 100%, $E$9)</f>
        <v>58.415700000000001</v>
      </c>
      <c r="M802" s="14">
        <f>CHOOSE(CONTROL!$C$42, 56.4, 56.4) * CHOOSE(CONTROL!$C$21, $C$9, 100%, $E$9)</f>
        <v>56.4</v>
      </c>
      <c r="N802" s="14">
        <f>CHOOSE(CONTROL!$C$42, 56.4153, 56.4153) * CHOOSE(CONTROL!$C$21, $C$9, 100%, $E$9)</f>
        <v>56.415300000000002</v>
      </c>
      <c r="O802" s="14">
        <f>CHOOSE(CONTROL!$C$42, 56.6516, 56.6516) * CHOOSE(CONTROL!$C$21, $C$9, 100%, $E$9)</f>
        <v>56.651600000000002</v>
      </c>
      <c r="P802" s="14">
        <f>CHOOSE(CONTROL!$C$42, 56.6027, 56.6027) * CHOOSE(CONTROL!$C$21, $C$9, 100%, $E$9)</f>
        <v>56.602699999999999</v>
      </c>
      <c r="Q802" s="14">
        <f>CHOOSE(CONTROL!$C$42, 57.2463, 57.2463) * CHOOSE(CONTROL!$C$21, $C$9, 100%, $E$9)</f>
        <v>57.246299999999998</v>
      </c>
      <c r="R802" s="14">
        <f>CHOOSE(CONTROL!$C$42, 57.9764, 57.9764) * CHOOSE(CONTROL!$C$21, $C$9, 100%, $E$9)</f>
        <v>57.976399999999998</v>
      </c>
      <c r="S802" s="14">
        <f>CHOOSE(CONTROL!$C$42, 55.334, 55.334) * CHOOSE(CONTROL!$C$21, $C$9, 100%, $E$9)</f>
        <v>55.334000000000003</v>
      </c>
      <c r="T80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02" s="57">
        <f>(1000*CHOOSE(CONTROL!$C$42, 695, 695)*CHOOSE(CONTROL!$C$42, 0.5599, 0.5599)*CHOOSE(CONTROL!$C$42, 31, 31))/1000000</f>
        <v>12.063045499999998</v>
      </c>
      <c r="V802" s="57">
        <f>(1000*CHOOSE(CONTROL!$C$42, 500, 500)*CHOOSE(CONTROL!$C$42, 0.275, 0.275)*CHOOSE(CONTROL!$C$42, 31, 31))/1000000</f>
        <v>4.2625000000000002</v>
      </c>
      <c r="W802" s="57">
        <f>(1000*CHOOSE(CONTROL!$C$42, 0.1146, 0.1146)*CHOOSE(CONTROL!$C$42, 121.5, 121.5)*CHOOSE(CONTROL!$C$42, 31, 31))/1000000</f>
        <v>0.43164089999999994</v>
      </c>
      <c r="X802" s="57">
        <f>(31*0.1790888*245000/1000000)+(31*0.2374*100000/1000000)</f>
        <v>2.0961194359999999</v>
      </c>
      <c r="Y802" s="57"/>
      <c r="Z802" s="14"/>
      <c r="AA802" s="56"/>
      <c r="AB802" s="50">
        <f>(B802*131.881+C802*277.167+D802*79.08+E802*125.872+F802*40+G802*185+H802*0+I802*100+J802*300)/(131.881+277.167+79.08+125.872+0+40+185+100+300)</f>
        <v>57.643495371993538</v>
      </c>
      <c r="AC802" s="45">
        <f>(M802*'RAP TEMPLATE-GAS AVAILABILITY'!O801+N802*'RAP TEMPLATE-GAS AVAILABILITY'!P801+O802*'RAP TEMPLATE-GAS AVAILABILITY'!Q801+P802*'RAP TEMPLATE-GAS AVAILABILITY'!R801)/('RAP TEMPLATE-GAS AVAILABILITY'!O801+'RAP TEMPLATE-GAS AVAILABILITY'!P801+'RAP TEMPLATE-GAS AVAILABILITY'!Q801+'RAP TEMPLATE-GAS AVAILABILITY'!R801)</f>
        <v>56.544080575539567</v>
      </c>
    </row>
    <row r="803" spans="1:29" ht="15.75" x14ac:dyDescent="0.25">
      <c r="A803" s="32">
        <v>65349</v>
      </c>
      <c r="B803" s="14">
        <f>CHOOSE(CONTROL!$C$42, 59.1116, 59.1116) * CHOOSE(CONTROL!$C$21, $C$9, 100%, $E$9)</f>
        <v>59.111600000000003</v>
      </c>
      <c r="C803" s="14">
        <f>CHOOSE(CONTROL!$C$42, 59.1166, 59.1166) * CHOOSE(CONTROL!$C$21, $C$9, 100%, $E$9)</f>
        <v>59.116599999999998</v>
      </c>
      <c r="D803" s="14">
        <f>CHOOSE(CONTROL!$C$42, 59.1804, 59.1804) * CHOOSE(CONTROL!$C$21, $C$9, 100%, $E$9)</f>
        <v>59.180399999999999</v>
      </c>
      <c r="E803" s="14">
        <f>CHOOSE(CONTROL!$C$42, 59.2145, 59.2145) * CHOOSE(CONTROL!$C$21, $C$9, 100%, $E$9)</f>
        <v>59.214500000000001</v>
      </c>
      <c r="F803" s="14">
        <f>CHOOSE(CONTROL!$C$42, 59.114, 59.114)*CHOOSE(CONTROL!$C$21, $C$9, 100%, $E$9)</f>
        <v>59.113999999999997</v>
      </c>
      <c r="G803" s="14">
        <f>CHOOSE(CONTROL!$C$42, 59.13, 59.13)*CHOOSE(CONTROL!$C$21, $C$9, 100%, $E$9)</f>
        <v>59.13</v>
      </c>
      <c r="H803" s="14">
        <f>CHOOSE(CONTROL!$C$42, 59.2037, 59.2037) * CHOOSE(CONTROL!$C$21, $C$9, 100%, $E$9)</f>
        <v>59.203699999999998</v>
      </c>
      <c r="I803" s="14">
        <f>CHOOSE(CONTROL!$C$42, 59.3095, 59.3095)* CHOOSE(CONTROL!$C$21, $C$9, 100%, $E$9)</f>
        <v>59.3095</v>
      </c>
      <c r="J803" s="14">
        <f>CHOOSE(CONTROL!$C$42, 59.107, 59.107)* CHOOSE(CONTROL!$C$21, $C$9, 100%, $E$9)</f>
        <v>59.106999999999999</v>
      </c>
      <c r="K803" s="53">
        <f>CHOOSE(CONTROL!$C$42, 59.3056, 59.3056) * CHOOSE(CONTROL!$C$21, $C$9, 100%, $E$9)</f>
        <v>59.305599999999998</v>
      </c>
      <c r="L803" s="14">
        <f>CHOOSE(CONTROL!$C$42, 59.7907, 59.7907) * CHOOSE(CONTROL!$C$21, $C$9, 100%, $E$9)</f>
        <v>59.790700000000001</v>
      </c>
      <c r="M803" s="14">
        <f>CHOOSE(CONTROL!$C$42, 57.9036, 57.9036) * CHOOSE(CONTROL!$C$21, $C$9, 100%, $E$9)</f>
        <v>57.903599999999997</v>
      </c>
      <c r="N803" s="14">
        <f>CHOOSE(CONTROL!$C$42, 57.9193, 57.9193) * CHOOSE(CONTROL!$C$21, $C$9, 100%, $E$9)</f>
        <v>57.9193</v>
      </c>
      <c r="O803" s="14">
        <f>CHOOSE(CONTROL!$C$42, 57.9984, 57.9984) * CHOOSE(CONTROL!$C$21, $C$9, 100%, $E$9)</f>
        <v>57.998399999999997</v>
      </c>
      <c r="P803" s="14">
        <f>CHOOSE(CONTROL!$C$42, 58.0984, 58.0984) * CHOOSE(CONTROL!$C$21, $C$9, 100%, $E$9)</f>
        <v>58.098399999999998</v>
      </c>
      <c r="Q803" s="14">
        <f>CHOOSE(CONTROL!$C$42, 58.5931, 58.5931) * CHOOSE(CONTROL!$C$21, $C$9, 100%, $E$9)</f>
        <v>58.5931</v>
      </c>
      <c r="R803" s="14">
        <f>CHOOSE(CONTROL!$C$42, 59.3266, 59.3266) * CHOOSE(CONTROL!$C$21, $C$9, 100%, $E$9)</f>
        <v>59.326599999999999</v>
      </c>
      <c r="S803" s="14">
        <f>CHOOSE(CONTROL!$C$42, 56.7918, 56.7918) * CHOOSE(CONTROL!$C$21, $C$9, 100%, $E$9)</f>
        <v>56.791800000000002</v>
      </c>
      <c r="T80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03" s="57">
        <f>(1000*CHOOSE(CONTROL!$C$42, 695, 695)*CHOOSE(CONTROL!$C$42, 0.5599, 0.5599)*CHOOSE(CONTROL!$C$42, 30, 30))/1000000</f>
        <v>11.673914999999997</v>
      </c>
      <c r="V803" s="57">
        <f>(1000*CHOOSE(CONTROL!$C$42, 500, 500)*CHOOSE(CONTROL!$C$42, 0.275, 0.275)*CHOOSE(CONTROL!$C$42, 30, 30))/1000000</f>
        <v>4.125</v>
      </c>
      <c r="W803" s="57">
        <f>(1000*CHOOSE(CONTROL!$C$42, 0.1146, 0.1146)*CHOOSE(CONTROL!$C$42, 121.5, 121.5)*CHOOSE(CONTROL!$C$42, 30, 30))/1000000</f>
        <v>0.417717</v>
      </c>
      <c r="X803" s="57">
        <f>(30*0.1790888*100000/1000000)+(30*0.2374*100000/1000000)</f>
        <v>1.2494664</v>
      </c>
      <c r="Y803" s="57"/>
      <c r="Z803" s="14"/>
      <c r="AA803" s="56"/>
      <c r="AB803" s="50">
        <f>(B803*122.58+C803*297.941+D803*89.177+E803*40.302+F803*40+G803*160+H803*0+I803*100+J803*300)/(122.58+297.941+89.177+40.302+0+40+160+100+300)</f>
        <v>59.140488833391295</v>
      </c>
      <c r="AC803" s="45">
        <f>(M803*'RAP TEMPLATE-GAS AVAILABILITY'!O802+N803*'RAP TEMPLATE-GAS AVAILABILITY'!P802+O803*'RAP TEMPLATE-GAS AVAILABILITY'!Q802+P803*'RAP TEMPLATE-GAS AVAILABILITY'!R802)/('RAP TEMPLATE-GAS AVAILABILITY'!O802+'RAP TEMPLATE-GAS AVAILABILITY'!P802+'RAP TEMPLATE-GAS AVAILABILITY'!Q802+'RAP TEMPLATE-GAS AVAILABILITY'!R802)</f>
        <v>57.975499280575534</v>
      </c>
    </row>
    <row r="804" spans="1:29" ht="15.75" x14ac:dyDescent="0.25">
      <c r="A804" s="32">
        <v>65380</v>
      </c>
      <c r="B804" s="14">
        <f>CHOOSE(CONTROL!$C$42, 63.1411, 63.1411) * CHOOSE(CONTROL!$C$21, $C$9, 100%, $E$9)</f>
        <v>63.141100000000002</v>
      </c>
      <c r="C804" s="14">
        <f>CHOOSE(CONTROL!$C$42, 63.1462, 63.1462) * CHOOSE(CONTROL!$C$21, $C$9, 100%, $E$9)</f>
        <v>63.1462</v>
      </c>
      <c r="D804" s="14">
        <f>CHOOSE(CONTROL!$C$42, 63.21, 63.21) * CHOOSE(CONTROL!$C$21, $C$9, 100%, $E$9)</f>
        <v>63.21</v>
      </c>
      <c r="E804" s="14">
        <f>CHOOSE(CONTROL!$C$42, 63.2441, 63.2441) * CHOOSE(CONTROL!$C$21, $C$9, 100%, $E$9)</f>
        <v>63.244100000000003</v>
      </c>
      <c r="F804" s="14">
        <f>CHOOSE(CONTROL!$C$42, 63.1457, 63.1457)*CHOOSE(CONTROL!$C$21, $C$9, 100%, $E$9)</f>
        <v>63.145699999999998</v>
      </c>
      <c r="G804" s="14">
        <f>CHOOSE(CONTROL!$C$42, 63.1624, 63.1624)*CHOOSE(CONTROL!$C$21, $C$9, 100%, $E$9)</f>
        <v>63.162399999999998</v>
      </c>
      <c r="H804" s="14">
        <f>CHOOSE(CONTROL!$C$42, 63.2333, 63.2333) * CHOOSE(CONTROL!$C$21, $C$9, 100%, $E$9)</f>
        <v>63.2333</v>
      </c>
      <c r="I804" s="14">
        <f>CHOOSE(CONTROL!$C$42, 63.3517, 63.3517)* CHOOSE(CONTROL!$C$21, $C$9, 100%, $E$9)</f>
        <v>63.351700000000001</v>
      </c>
      <c r="J804" s="14">
        <f>CHOOSE(CONTROL!$C$42, 63.1387, 63.1387)* CHOOSE(CONTROL!$C$21, $C$9, 100%, $E$9)</f>
        <v>63.1387</v>
      </c>
      <c r="K804" s="53">
        <f>CHOOSE(CONTROL!$C$42, 63.3478, 63.3478) * CHOOSE(CONTROL!$C$21, $C$9, 100%, $E$9)</f>
        <v>63.347799999999999</v>
      </c>
      <c r="L804" s="14">
        <f>CHOOSE(CONTROL!$C$42, 63.8203, 63.8203) * CHOOSE(CONTROL!$C$21, $C$9, 100%, $E$9)</f>
        <v>63.820300000000003</v>
      </c>
      <c r="M804" s="14">
        <f>CHOOSE(CONTROL!$C$42, 61.8528, 61.8528) * CHOOSE(CONTROL!$C$21, $C$9, 100%, $E$9)</f>
        <v>61.852800000000002</v>
      </c>
      <c r="N804" s="14">
        <f>CHOOSE(CONTROL!$C$42, 61.869, 61.869) * CHOOSE(CONTROL!$C$21, $C$9, 100%, $E$9)</f>
        <v>61.869</v>
      </c>
      <c r="O804" s="14">
        <f>CHOOSE(CONTROL!$C$42, 61.9454, 61.9454) * CHOOSE(CONTROL!$C$21, $C$9, 100%, $E$9)</f>
        <v>61.945399999999999</v>
      </c>
      <c r="P804" s="14">
        <f>CHOOSE(CONTROL!$C$42, 62.0575, 62.0575) * CHOOSE(CONTROL!$C$21, $C$9, 100%, $E$9)</f>
        <v>62.057499999999997</v>
      </c>
      <c r="Q804" s="14">
        <f>CHOOSE(CONTROL!$C$42, 62.5401, 62.5401) * CHOOSE(CONTROL!$C$21, $C$9, 100%, $E$9)</f>
        <v>62.540100000000002</v>
      </c>
      <c r="R804" s="14">
        <f>CHOOSE(CONTROL!$C$42, 63.2834, 63.2834) * CHOOSE(CONTROL!$C$21, $C$9, 100%, $E$9)</f>
        <v>63.2834</v>
      </c>
      <c r="S804" s="14">
        <f>CHOOSE(CONTROL!$C$42, 60.6637, 60.6637) * CHOOSE(CONTROL!$C$21, $C$9, 100%, $E$9)</f>
        <v>60.663699999999999</v>
      </c>
      <c r="T80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04" s="57">
        <f>(1000*CHOOSE(CONTROL!$C$42, 695, 695)*CHOOSE(CONTROL!$C$42, 0.5599, 0.5599)*CHOOSE(CONTROL!$C$42, 31, 31))/1000000</f>
        <v>12.063045499999998</v>
      </c>
      <c r="V804" s="57">
        <f>(1000*CHOOSE(CONTROL!$C$42, 500, 500)*CHOOSE(CONTROL!$C$42, 0.275, 0.275)*CHOOSE(CONTROL!$C$42, 31, 31))/1000000</f>
        <v>4.2625000000000002</v>
      </c>
      <c r="W804" s="57">
        <f>(1000*CHOOSE(CONTROL!$C$42, 0.1146, 0.1146)*CHOOSE(CONTROL!$C$42, 121.5, 121.5)*CHOOSE(CONTROL!$C$42, 31, 31))/1000000</f>
        <v>0.43164089999999994</v>
      </c>
      <c r="X804" s="57">
        <f>(31*0.1790888*100000/1000000)+(31*0.2374*100000/1000000)</f>
        <v>1.2911152800000001</v>
      </c>
      <c r="Y804" s="57"/>
      <c r="Z804" s="14"/>
      <c r="AA804" s="56"/>
      <c r="AB804" s="50">
        <f>(B804*122.58+C804*297.941+D804*89.177+E804*40.302+F804*40+G804*160+H804*0+I804*100+J804*300)/(122.58+297.941+89.177+40.302+0+40+160+100+300)</f>
        <v>63.172184261217389</v>
      </c>
      <c r="AC804" s="45">
        <f>(M804*'RAP TEMPLATE-GAS AVAILABILITY'!O803+N804*'RAP TEMPLATE-GAS AVAILABILITY'!P803+O804*'RAP TEMPLATE-GAS AVAILABILITY'!Q803+P804*'RAP TEMPLATE-GAS AVAILABILITY'!R803)/('RAP TEMPLATE-GAS AVAILABILITY'!O803+'RAP TEMPLATE-GAS AVAILABILITY'!P803+'RAP TEMPLATE-GAS AVAILABILITY'!Q803+'RAP TEMPLATE-GAS AVAILABILITY'!R803)</f>
        <v>61.925155395683454</v>
      </c>
    </row>
    <row r="805" spans="1:29" ht="15.75" x14ac:dyDescent="0.25">
      <c r="A805" s="32">
        <v>65411</v>
      </c>
      <c r="B805" s="14">
        <f>CHOOSE(CONTROL!$C$42, 68.3125, 68.3125) * CHOOSE(CONTROL!$C$21, $C$9, 100%, $E$9)</f>
        <v>68.3125</v>
      </c>
      <c r="C805" s="14">
        <f>CHOOSE(CONTROL!$C$42, 68.3175, 68.3175) * CHOOSE(CONTROL!$C$21, $C$9, 100%, $E$9)</f>
        <v>68.317499999999995</v>
      </c>
      <c r="D805" s="14">
        <f>CHOOSE(CONTROL!$C$42, 68.3839, 68.3839) * CHOOSE(CONTROL!$C$21, $C$9, 100%, $E$9)</f>
        <v>68.383899999999997</v>
      </c>
      <c r="E805" s="14">
        <f>CHOOSE(CONTROL!$C$42, 68.418, 68.418) * CHOOSE(CONTROL!$C$21, $C$9, 100%, $E$9)</f>
        <v>68.418000000000006</v>
      </c>
      <c r="F805" s="14">
        <f>CHOOSE(CONTROL!$C$42, 68.2998, 68.2998)*CHOOSE(CONTROL!$C$21, $C$9, 100%, $E$9)</f>
        <v>68.299800000000005</v>
      </c>
      <c r="G805" s="14">
        <f>CHOOSE(CONTROL!$C$42, 68.3153, 68.3153)*CHOOSE(CONTROL!$C$21, $C$9, 100%, $E$9)</f>
        <v>68.315299999999993</v>
      </c>
      <c r="H805" s="14">
        <f>CHOOSE(CONTROL!$C$42, 68.4072, 68.4072) * CHOOSE(CONTROL!$C$21, $C$9, 100%, $E$9)</f>
        <v>68.407200000000003</v>
      </c>
      <c r="I805" s="14">
        <f>CHOOSE(CONTROL!$C$42, 68.534, 68.534)* CHOOSE(CONTROL!$C$21, $C$9, 100%, $E$9)</f>
        <v>68.534000000000006</v>
      </c>
      <c r="J805" s="14">
        <f>CHOOSE(CONTROL!$C$42, 68.2928, 68.2928)* CHOOSE(CONTROL!$C$21, $C$9, 100%, $E$9)</f>
        <v>68.2928</v>
      </c>
      <c r="K805" s="53">
        <f>CHOOSE(CONTROL!$C$42, 68.5301, 68.5301) * CHOOSE(CONTROL!$C$21, $C$9, 100%, $E$9)</f>
        <v>68.530100000000004</v>
      </c>
      <c r="L805" s="14">
        <f>CHOOSE(CONTROL!$C$42, 68.9942, 68.9942) * CHOOSE(CONTROL!$C$21, $C$9, 100%, $E$9)</f>
        <v>68.994200000000006</v>
      </c>
      <c r="M805" s="14">
        <f>CHOOSE(CONTROL!$C$42, 66.9012, 66.9012) * CHOOSE(CONTROL!$C$21, $C$9, 100%, $E$9)</f>
        <v>66.901200000000003</v>
      </c>
      <c r="N805" s="14">
        <f>CHOOSE(CONTROL!$C$42, 66.9164, 66.9164) * CHOOSE(CONTROL!$C$21, $C$9, 100%, $E$9)</f>
        <v>66.916399999999996</v>
      </c>
      <c r="O805" s="14">
        <f>CHOOSE(CONTROL!$C$42, 67.0133, 67.0133) * CHOOSE(CONTROL!$C$21, $C$9, 100%, $E$9)</f>
        <v>67.013300000000001</v>
      </c>
      <c r="P805" s="14">
        <f>CHOOSE(CONTROL!$C$42, 67.1333, 67.1333) * CHOOSE(CONTROL!$C$21, $C$9, 100%, $E$9)</f>
        <v>67.133300000000006</v>
      </c>
      <c r="Q805" s="14">
        <f>CHOOSE(CONTROL!$C$42, 67.608, 67.608) * CHOOSE(CONTROL!$C$21, $C$9, 100%, $E$9)</f>
        <v>67.608000000000004</v>
      </c>
      <c r="R805" s="14">
        <f>CHOOSE(CONTROL!$C$42, 68.364, 68.364) * CHOOSE(CONTROL!$C$21, $C$9, 100%, $E$9)</f>
        <v>68.364000000000004</v>
      </c>
      <c r="S805" s="14">
        <f>CHOOSE(CONTROL!$C$42, 65.6329, 65.6329) * CHOOSE(CONTROL!$C$21, $C$9, 100%, $E$9)</f>
        <v>65.632900000000006</v>
      </c>
      <c r="T80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05" s="57">
        <f>(1000*CHOOSE(CONTROL!$C$42, 695, 695)*CHOOSE(CONTROL!$C$42, 0.5599, 0.5599)*CHOOSE(CONTROL!$C$42, 31, 31))/1000000</f>
        <v>12.063045499999998</v>
      </c>
      <c r="V805" s="57">
        <f>(1000*CHOOSE(CONTROL!$C$42, 500, 500)*CHOOSE(CONTROL!$C$42, 0.275, 0.275)*CHOOSE(CONTROL!$C$42, 31, 31))/1000000</f>
        <v>4.2625000000000002</v>
      </c>
      <c r="W805" s="57">
        <f>(1000*CHOOSE(CONTROL!$C$42, 0.1146, 0.1146)*CHOOSE(CONTROL!$C$42, 121.5, 121.5)*CHOOSE(CONTROL!$C$42, 31, 31))/1000000</f>
        <v>0.43164089999999994</v>
      </c>
      <c r="X805" s="57">
        <f>(31*0.1790888*100000/1000000)+(31*0.2374*100000/1000000)</f>
        <v>1.2911152800000001</v>
      </c>
      <c r="Y805" s="57"/>
      <c r="Z805" s="14"/>
      <c r="AA805" s="56"/>
      <c r="AB805" s="50">
        <f>(B805*122.58+C805*297.941+D805*89.177+E805*40.302+F805*40+G805*160+H805*0+I805*100+J805*300)/(122.58+297.941+89.177+40.302+0+40+160+100+300)</f>
        <v>68.337098959826079</v>
      </c>
      <c r="AC805" s="45">
        <f>(M805*'RAP TEMPLATE-GAS AVAILABILITY'!O804+N805*'RAP TEMPLATE-GAS AVAILABILITY'!P804+O805*'RAP TEMPLATE-GAS AVAILABILITY'!Q804+P805*'RAP TEMPLATE-GAS AVAILABILITY'!R804)/('RAP TEMPLATE-GAS AVAILABILITY'!O804+'RAP TEMPLATE-GAS AVAILABILITY'!P804+'RAP TEMPLATE-GAS AVAILABILITY'!Q804+'RAP TEMPLATE-GAS AVAILABILITY'!R804)</f>
        <v>66.986278417266178</v>
      </c>
    </row>
    <row r="806" spans="1:29" ht="15.75" x14ac:dyDescent="0.25">
      <c r="A806" s="32">
        <v>65439</v>
      </c>
      <c r="B806" s="14">
        <f>CHOOSE(CONTROL!$C$42, 69.5284, 69.5284) * CHOOSE(CONTROL!$C$21, $C$9, 100%, $E$9)</f>
        <v>69.528400000000005</v>
      </c>
      <c r="C806" s="14">
        <f>CHOOSE(CONTROL!$C$42, 69.5334, 69.5334) * CHOOSE(CONTROL!$C$21, $C$9, 100%, $E$9)</f>
        <v>69.5334</v>
      </c>
      <c r="D806" s="14">
        <f>CHOOSE(CONTROL!$C$42, 69.5998, 69.5998) * CHOOSE(CONTROL!$C$21, $C$9, 100%, $E$9)</f>
        <v>69.599800000000002</v>
      </c>
      <c r="E806" s="14">
        <f>CHOOSE(CONTROL!$C$42, 69.6339, 69.6339) * CHOOSE(CONTROL!$C$21, $C$9, 100%, $E$9)</f>
        <v>69.633899999999997</v>
      </c>
      <c r="F806" s="14">
        <f>CHOOSE(CONTROL!$C$42, 69.5158, 69.5158)*CHOOSE(CONTROL!$C$21, $C$9, 100%, $E$9)</f>
        <v>69.515799999999999</v>
      </c>
      <c r="G806" s="14">
        <f>CHOOSE(CONTROL!$C$42, 69.5313, 69.5313)*CHOOSE(CONTROL!$C$21, $C$9, 100%, $E$9)</f>
        <v>69.531300000000002</v>
      </c>
      <c r="H806" s="14">
        <f>CHOOSE(CONTROL!$C$42, 69.6231, 69.6231) * CHOOSE(CONTROL!$C$21, $C$9, 100%, $E$9)</f>
        <v>69.623099999999994</v>
      </c>
      <c r="I806" s="14">
        <f>CHOOSE(CONTROL!$C$42, 69.7537, 69.7537)* CHOOSE(CONTROL!$C$21, $C$9, 100%, $E$9)</f>
        <v>69.753699999999995</v>
      </c>
      <c r="J806" s="14">
        <f>CHOOSE(CONTROL!$C$42, 69.5088, 69.5088)* CHOOSE(CONTROL!$C$21, $C$9, 100%, $E$9)</f>
        <v>69.508799999999994</v>
      </c>
      <c r="K806" s="53">
        <f>CHOOSE(CONTROL!$C$42, 69.7498, 69.7498) * CHOOSE(CONTROL!$C$21, $C$9, 100%, $E$9)</f>
        <v>69.749799999999993</v>
      </c>
      <c r="L806" s="14">
        <f>CHOOSE(CONTROL!$C$42, 70.2101, 70.2101) * CHOOSE(CONTROL!$C$21, $C$9, 100%, $E$9)</f>
        <v>70.210099999999997</v>
      </c>
      <c r="M806" s="14">
        <f>CHOOSE(CONTROL!$C$42, 68.0923, 68.0923) * CHOOSE(CONTROL!$C$21, $C$9, 100%, $E$9)</f>
        <v>68.092299999999994</v>
      </c>
      <c r="N806" s="14">
        <f>CHOOSE(CONTROL!$C$42, 68.1074, 68.1074) * CHOOSE(CONTROL!$C$21, $C$9, 100%, $E$9)</f>
        <v>68.107399999999998</v>
      </c>
      <c r="O806" s="14">
        <f>CHOOSE(CONTROL!$C$42, 68.2043, 68.2043) * CHOOSE(CONTROL!$C$21, $C$9, 100%, $E$9)</f>
        <v>68.204300000000003</v>
      </c>
      <c r="P806" s="14">
        <f>CHOOSE(CONTROL!$C$42, 68.3279, 68.3279) * CHOOSE(CONTROL!$C$21, $C$9, 100%, $E$9)</f>
        <v>68.3279</v>
      </c>
      <c r="Q806" s="14">
        <f>CHOOSE(CONTROL!$C$42, 68.799, 68.799) * CHOOSE(CONTROL!$C$21, $C$9, 100%, $E$9)</f>
        <v>68.799000000000007</v>
      </c>
      <c r="R806" s="14">
        <f>CHOOSE(CONTROL!$C$42, 69.558, 69.558) * CHOOSE(CONTROL!$C$21, $C$9, 100%, $E$9)</f>
        <v>69.558000000000007</v>
      </c>
      <c r="S806" s="14">
        <f>CHOOSE(CONTROL!$C$42, 66.8013, 66.8013) * CHOOSE(CONTROL!$C$21, $C$9, 100%, $E$9)</f>
        <v>66.801299999999998</v>
      </c>
      <c r="T80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06" s="57">
        <f>(1000*CHOOSE(CONTROL!$C$42, 695, 695)*CHOOSE(CONTROL!$C$42, 0.5599, 0.5599)*CHOOSE(CONTROL!$C$42, 28, 28))/1000000</f>
        <v>10.895653999999999</v>
      </c>
      <c r="V806" s="57">
        <f>(1000*CHOOSE(CONTROL!$C$42, 500, 500)*CHOOSE(CONTROL!$C$42, 0.275, 0.275)*CHOOSE(CONTROL!$C$42, 28, 28))/1000000</f>
        <v>3.85</v>
      </c>
      <c r="W806" s="57">
        <f>(1000*CHOOSE(CONTROL!$C$42, 0.1146, 0.1146)*CHOOSE(CONTROL!$C$42, 121.5, 121.5)*CHOOSE(CONTROL!$C$42, 28, 28))/1000000</f>
        <v>0.38986920000000003</v>
      </c>
      <c r="X806" s="57">
        <f>(28*0.1790888*100000/1000000)+(28*0.2374*100000/1000000)</f>
        <v>1.16616864</v>
      </c>
      <c r="Y806" s="57"/>
      <c r="Z806" s="14"/>
      <c r="AA806" s="56"/>
      <c r="AB806" s="50">
        <f>(B806*122.58+C806*297.941+D806*89.177+E806*40.302+F806*40+G806*160+H806*0+I806*100+J806*300)/(122.58+297.941+89.177+40.302+0+40+160+100+300)</f>
        <v>69.553372872869573</v>
      </c>
      <c r="AC806" s="45">
        <f>(M806*'RAP TEMPLATE-GAS AVAILABILITY'!O805+N806*'RAP TEMPLATE-GAS AVAILABILITY'!P805+O806*'RAP TEMPLATE-GAS AVAILABILITY'!Q805+P806*'RAP TEMPLATE-GAS AVAILABILITY'!R805)/('RAP TEMPLATE-GAS AVAILABILITY'!O805+'RAP TEMPLATE-GAS AVAILABILITY'!P805+'RAP TEMPLATE-GAS AVAILABILITY'!Q805+'RAP TEMPLATE-GAS AVAILABILITY'!R805)</f>
        <v>68.177830935251791</v>
      </c>
    </row>
    <row r="807" spans="1:29" ht="15.75" x14ac:dyDescent="0.25">
      <c r="A807" s="32">
        <v>65470</v>
      </c>
      <c r="B807" s="14">
        <f>CHOOSE(CONTROL!$C$42, 67.5547, 67.5547) * CHOOSE(CONTROL!$C$21, $C$9, 100%, $E$9)</f>
        <v>67.554699999999997</v>
      </c>
      <c r="C807" s="14">
        <f>CHOOSE(CONTROL!$C$42, 67.5597, 67.5597) * CHOOSE(CONTROL!$C$21, $C$9, 100%, $E$9)</f>
        <v>67.559700000000007</v>
      </c>
      <c r="D807" s="14">
        <f>CHOOSE(CONTROL!$C$42, 67.6261, 67.6261) * CHOOSE(CONTROL!$C$21, $C$9, 100%, $E$9)</f>
        <v>67.626099999999994</v>
      </c>
      <c r="E807" s="14">
        <f>CHOOSE(CONTROL!$C$42, 67.6603, 67.6603) * CHOOSE(CONTROL!$C$21, $C$9, 100%, $E$9)</f>
        <v>67.660300000000007</v>
      </c>
      <c r="F807" s="14">
        <f>CHOOSE(CONTROL!$C$42, 67.5417, 67.5417)*CHOOSE(CONTROL!$C$21, $C$9, 100%, $E$9)</f>
        <v>67.541700000000006</v>
      </c>
      <c r="G807" s="14">
        <f>CHOOSE(CONTROL!$C$42, 67.5571, 67.5571)*CHOOSE(CONTROL!$C$21, $C$9, 100%, $E$9)</f>
        <v>67.557100000000005</v>
      </c>
      <c r="H807" s="14">
        <f>CHOOSE(CONTROL!$C$42, 67.6494, 67.6494) * CHOOSE(CONTROL!$C$21, $C$9, 100%, $E$9)</f>
        <v>67.6494</v>
      </c>
      <c r="I807" s="14">
        <f>CHOOSE(CONTROL!$C$42, 67.7739, 67.7739)* CHOOSE(CONTROL!$C$21, $C$9, 100%, $E$9)</f>
        <v>67.773899999999998</v>
      </c>
      <c r="J807" s="14">
        <f>CHOOSE(CONTROL!$C$42, 67.5347, 67.5347)* CHOOSE(CONTROL!$C$21, $C$9, 100%, $E$9)</f>
        <v>67.534700000000001</v>
      </c>
      <c r="K807" s="53">
        <f>CHOOSE(CONTROL!$C$42, 67.77, 67.77) * CHOOSE(CONTROL!$C$21, $C$9, 100%, $E$9)</f>
        <v>67.77</v>
      </c>
      <c r="L807" s="14">
        <f>CHOOSE(CONTROL!$C$42, 68.2364, 68.2364) * CHOOSE(CONTROL!$C$21, $C$9, 100%, $E$9)</f>
        <v>68.236400000000003</v>
      </c>
      <c r="M807" s="14">
        <f>CHOOSE(CONTROL!$C$42, 66.1586, 66.1586) * CHOOSE(CONTROL!$C$21, $C$9, 100%, $E$9)</f>
        <v>66.158600000000007</v>
      </c>
      <c r="N807" s="14">
        <f>CHOOSE(CONTROL!$C$42, 66.1737, 66.1737) * CHOOSE(CONTROL!$C$21, $C$9, 100%, $E$9)</f>
        <v>66.173699999999997</v>
      </c>
      <c r="O807" s="14">
        <f>CHOOSE(CONTROL!$C$42, 66.2711, 66.2711) * CHOOSE(CONTROL!$C$21, $C$9, 100%, $E$9)</f>
        <v>66.271100000000004</v>
      </c>
      <c r="P807" s="14">
        <f>CHOOSE(CONTROL!$C$42, 66.3887, 66.3887) * CHOOSE(CONTROL!$C$21, $C$9, 100%, $E$9)</f>
        <v>66.3887</v>
      </c>
      <c r="Q807" s="14">
        <f>CHOOSE(CONTROL!$C$42, 66.8658, 66.8658) * CHOOSE(CONTROL!$C$21, $C$9, 100%, $E$9)</f>
        <v>66.865799999999993</v>
      </c>
      <c r="R807" s="14">
        <f>CHOOSE(CONTROL!$C$42, 67.6199, 67.6199) * CHOOSE(CONTROL!$C$21, $C$9, 100%, $E$9)</f>
        <v>67.619900000000001</v>
      </c>
      <c r="S807" s="14">
        <f>CHOOSE(CONTROL!$C$42, 64.9047, 64.9047) * CHOOSE(CONTROL!$C$21, $C$9, 100%, $E$9)</f>
        <v>64.904700000000005</v>
      </c>
      <c r="T80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07" s="57">
        <f>(1000*CHOOSE(CONTROL!$C$42, 695, 695)*CHOOSE(CONTROL!$C$42, 0.5599, 0.5599)*CHOOSE(CONTROL!$C$42, 31, 31))/1000000</f>
        <v>12.063045499999998</v>
      </c>
      <c r="V807" s="57">
        <f>(1000*CHOOSE(CONTROL!$C$42, 500, 500)*CHOOSE(CONTROL!$C$42, 0.275, 0.275)*CHOOSE(CONTROL!$C$42, 31, 31))/1000000</f>
        <v>4.2625000000000002</v>
      </c>
      <c r="W807" s="57">
        <f>(1000*CHOOSE(CONTROL!$C$42, 0.1146, 0.1146)*CHOOSE(CONTROL!$C$42, 121.5, 121.5)*CHOOSE(CONTROL!$C$42, 31, 31))/1000000</f>
        <v>0.43164089999999994</v>
      </c>
      <c r="X807" s="57">
        <f>(31*0.1790888*100000/1000000)+(31*0.2374*100000/1000000)</f>
        <v>1.2911152800000001</v>
      </c>
      <c r="Y807" s="57"/>
      <c r="Z807" s="14"/>
      <c r="AA807" s="56"/>
      <c r="AB807" s="50">
        <f>(B807*122.58+C807*297.941+D807*89.177+E807*40.302+F807*40+G807*160+H807*0+I807*100+J807*300)/(122.58+297.941+89.177+40.302+0+40+160+100+300)</f>
        <v>67.578958116521733</v>
      </c>
      <c r="AC807" s="45">
        <f>(M807*'RAP TEMPLATE-GAS AVAILABILITY'!O806+N807*'RAP TEMPLATE-GAS AVAILABILITY'!P806+O807*'RAP TEMPLATE-GAS AVAILABILITY'!Q806+P807*'RAP TEMPLATE-GAS AVAILABILITY'!R806)/('RAP TEMPLATE-GAS AVAILABILITY'!O806+'RAP TEMPLATE-GAS AVAILABILITY'!P806+'RAP TEMPLATE-GAS AVAILABILITY'!Q806+'RAP TEMPLATE-GAS AVAILABILITY'!R806)</f>
        <v>66.243566187050376</v>
      </c>
    </row>
    <row r="808" spans="1:29" ht="15.75" x14ac:dyDescent="0.25">
      <c r="A808" s="32">
        <v>65500</v>
      </c>
      <c r="B808" s="14">
        <f>CHOOSE(CONTROL!$C$42, 67.3536, 67.3536) * CHOOSE(CONTROL!$C$21, $C$9, 100%, $E$9)</f>
        <v>67.3536</v>
      </c>
      <c r="C808" s="14">
        <f>CHOOSE(CONTROL!$C$42, 67.3581, 67.3581) * CHOOSE(CONTROL!$C$21, $C$9, 100%, $E$9)</f>
        <v>67.358099999999993</v>
      </c>
      <c r="D808" s="14">
        <f>CHOOSE(CONTROL!$C$42, 67.5652, 67.5652) * CHOOSE(CONTROL!$C$21, $C$9, 100%, $E$9)</f>
        <v>67.565200000000004</v>
      </c>
      <c r="E808" s="14">
        <f>CHOOSE(CONTROL!$C$42, 67.5973, 67.5973) * CHOOSE(CONTROL!$C$21, $C$9, 100%, $E$9)</f>
        <v>67.597300000000004</v>
      </c>
      <c r="F808" s="14">
        <f>CHOOSE(CONTROL!$C$42, 67.3355, 67.3355)*CHOOSE(CONTROL!$C$21, $C$9, 100%, $E$9)</f>
        <v>67.335499999999996</v>
      </c>
      <c r="G808" s="14">
        <f>CHOOSE(CONTROL!$C$42, 67.3507, 67.3507)*CHOOSE(CONTROL!$C$21, $C$9, 100%, $E$9)</f>
        <v>67.350700000000003</v>
      </c>
      <c r="H808" s="14">
        <f>CHOOSE(CONTROL!$C$42, 67.5871, 67.5871) * CHOOSE(CONTROL!$C$21, $C$9, 100%, $E$9)</f>
        <v>67.587100000000007</v>
      </c>
      <c r="I808" s="14">
        <f>CHOOSE(CONTROL!$C$42, 67.5714, 67.5714)* CHOOSE(CONTROL!$C$21, $C$9, 100%, $E$9)</f>
        <v>67.571399999999997</v>
      </c>
      <c r="J808" s="14">
        <f>CHOOSE(CONTROL!$C$42, 67.3285, 67.3285)* CHOOSE(CONTROL!$C$21, $C$9, 100%, $E$9)</f>
        <v>67.328500000000005</v>
      </c>
      <c r="K808" s="53">
        <f>CHOOSE(CONTROL!$C$42, 67.5675, 67.5675) * CHOOSE(CONTROL!$C$21, $C$9, 100%, $E$9)</f>
        <v>67.567499999999995</v>
      </c>
      <c r="L808" s="14">
        <f>CHOOSE(CONTROL!$C$42, 68.1741, 68.1741) * CHOOSE(CONTROL!$C$21, $C$9, 100%, $E$9)</f>
        <v>68.174099999999996</v>
      </c>
      <c r="M808" s="14">
        <f>CHOOSE(CONTROL!$C$42, 65.9567, 65.9567) * CHOOSE(CONTROL!$C$21, $C$9, 100%, $E$9)</f>
        <v>65.956699999999998</v>
      </c>
      <c r="N808" s="14">
        <f>CHOOSE(CONTROL!$C$42, 65.9715, 65.9715) * CHOOSE(CONTROL!$C$21, $C$9, 100%, $E$9)</f>
        <v>65.971500000000006</v>
      </c>
      <c r="O808" s="14">
        <f>CHOOSE(CONTROL!$C$42, 66.2099, 66.2099) * CHOOSE(CONTROL!$C$21, $C$9, 100%, $E$9)</f>
        <v>66.209900000000005</v>
      </c>
      <c r="P808" s="14">
        <f>CHOOSE(CONTROL!$C$42, 66.1904, 66.1904) * CHOOSE(CONTROL!$C$21, $C$9, 100%, $E$9)</f>
        <v>66.190399999999997</v>
      </c>
      <c r="Q808" s="14">
        <f>CHOOSE(CONTROL!$C$42, 66.8046, 66.8046) * CHOOSE(CONTROL!$C$21, $C$9, 100%, $E$9)</f>
        <v>66.804599999999994</v>
      </c>
      <c r="R808" s="14">
        <f>CHOOSE(CONTROL!$C$42, 67.5586, 67.5586) * CHOOSE(CONTROL!$C$21, $C$9, 100%, $E$9)</f>
        <v>67.558599999999998</v>
      </c>
      <c r="S808" s="14">
        <f>CHOOSE(CONTROL!$C$42, 64.7108, 64.7108) * CHOOSE(CONTROL!$C$21, $C$9, 100%, $E$9)</f>
        <v>64.710800000000006</v>
      </c>
      <c r="T80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08" s="57">
        <f>(1000*CHOOSE(CONTROL!$C$42, 695, 695)*CHOOSE(CONTROL!$C$42, 0.5599, 0.5599)*CHOOSE(CONTROL!$C$42, 30, 30))/1000000</f>
        <v>11.673914999999997</v>
      </c>
      <c r="V808" s="57">
        <f>(1000*CHOOSE(CONTROL!$C$42, 500, 500)*CHOOSE(CONTROL!$C$42, 0.275, 0.275)*CHOOSE(CONTROL!$C$42, 30, 30))/1000000</f>
        <v>4.125</v>
      </c>
      <c r="W808" s="57">
        <f>(1000*CHOOSE(CONTROL!$C$42, 0.1146, 0.1146)*CHOOSE(CONTROL!$C$42, 121.5, 121.5)*CHOOSE(CONTROL!$C$42, 30, 30))/1000000</f>
        <v>0.417717</v>
      </c>
      <c r="X808" s="57">
        <f>(30*0.1790888*245000/1000000)+(30*0.2374*100000/1000000)</f>
        <v>2.0285026799999999</v>
      </c>
      <c r="Y808" s="57"/>
      <c r="Z808" s="14"/>
      <c r="AA808" s="56"/>
      <c r="AB808" s="50">
        <f>(B808*141.293+C808*267.993+D808*115.016+E808*89.698+F808*40+G808*185+H808*0+I808*100+J808*300)/(141.293+267.993+115.016+89.698+0+40+185+100+300)</f>
        <v>67.402342741485072</v>
      </c>
      <c r="AC808" s="45">
        <f>(M808*'RAP TEMPLATE-GAS AVAILABILITY'!O807+N808*'RAP TEMPLATE-GAS AVAILABILITY'!P807+O808*'RAP TEMPLATE-GAS AVAILABILITY'!Q807+P808*'RAP TEMPLATE-GAS AVAILABILITY'!R807)/('RAP TEMPLATE-GAS AVAILABILITY'!O807+'RAP TEMPLATE-GAS AVAILABILITY'!P807+'RAP TEMPLATE-GAS AVAILABILITY'!Q807+'RAP TEMPLATE-GAS AVAILABILITY'!R807)</f>
        <v>66.105937410071945</v>
      </c>
    </row>
    <row r="809" spans="1:29" ht="15.75" x14ac:dyDescent="0.25">
      <c r="A809" s="32">
        <v>65531</v>
      </c>
      <c r="B809" s="14">
        <f>CHOOSE(CONTROL!$C$42, 67.9494, 67.9494) * CHOOSE(CONTROL!$C$21, $C$9, 100%, $E$9)</f>
        <v>67.949399999999997</v>
      </c>
      <c r="C809" s="14">
        <f>CHOOSE(CONTROL!$C$42, 67.9574, 67.9574) * CHOOSE(CONTROL!$C$21, $C$9, 100%, $E$9)</f>
        <v>67.957400000000007</v>
      </c>
      <c r="D809" s="14">
        <f>CHOOSE(CONTROL!$C$42, 68.1613, 68.1613) * CHOOSE(CONTROL!$C$21, $C$9, 100%, $E$9)</f>
        <v>68.161299999999997</v>
      </c>
      <c r="E809" s="14">
        <f>CHOOSE(CONTROL!$C$42, 68.1928, 68.1928) * CHOOSE(CONTROL!$C$21, $C$9, 100%, $E$9)</f>
        <v>68.192800000000005</v>
      </c>
      <c r="F809" s="14">
        <f>CHOOSE(CONTROL!$C$42, 67.9301, 67.9301)*CHOOSE(CONTROL!$C$21, $C$9, 100%, $E$9)</f>
        <v>67.930099999999996</v>
      </c>
      <c r="G809" s="14">
        <f>CHOOSE(CONTROL!$C$42, 67.9458, 67.9458)*CHOOSE(CONTROL!$C$21, $C$9, 100%, $E$9)</f>
        <v>67.945800000000006</v>
      </c>
      <c r="H809" s="14">
        <f>CHOOSE(CONTROL!$C$42, 68.1814, 68.1814) * CHOOSE(CONTROL!$C$21, $C$9, 100%, $E$9)</f>
        <v>68.181399999999996</v>
      </c>
      <c r="I809" s="14">
        <f>CHOOSE(CONTROL!$C$42, 68.1676, 68.1676)* CHOOSE(CONTROL!$C$21, $C$9, 100%, $E$9)</f>
        <v>68.167599999999993</v>
      </c>
      <c r="J809" s="14">
        <f>CHOOSE(CONTROL!$C$42, 67.9231, 67.9231)* CHOOSE(CONTROL!$C$21, $C$9, 100%, $E$9)</f>
        <v>67.923100000000005</v>
      </c>
      <c r="K809" s="53">
        <f>CHOOSE(CONTROL!$C$42, 68.1637, 68.1637) * CHOOSE(CONTROL!$C$21, $C$9, 100%, $E$9)</f>
        <v>68.163700000000006</v>
      </c>
      <c r="L809" s="14">
        <f>CHOOSE(CONTROL!$C$42, 68.7684, 68.7684) * CHOOSE(CONTROL!$C$21, $C$9, 100%, $E$9)</f>
        <v>68.7684</v>
      </c>
      <c r="M809" s="14">
        <f>CHOOSE(CONTROL!$C$42, 66.5391, 66.5391) * CHOOSE(CONTROL!$C$21, $C$9, 100%, $E$9)</f>
        <v>66.539100000000005</v>
      </c>
      <c r="N809" s="14">
        <f>CHOOSE(CONTROL!$C$42, 66.5544, 66.5544) * CHOOSE(CONTROL!$C$21, $C$9, 100%, $E$9)</f>
        <v>66.554400000000001</v>
      </c>
      <c r="O809" s="14">
        <f>CHOOSE(CONTROL!$C$42, 66.7921, 66.7921) * CHOOSE(CONTROL!$C$21, $C$9, 100%, $E$9)</f>
        <v>66.792100000000005</v>
      </c>
      <c r="P809" s="14">
        <f>CHOOSE(CONTROL!$C$42, 66.7744, 66.7744) * CHOOSE(CONTROL!$C$21, $C$9, 100%, $E$9)</f>
        <v>66.7744</v>
      </c>
      <c r="Q809" s="14">
        <f>CHOOSE(CONTROL!$C$42, 67.3868, 67.3868) * CHOOSE(CONTROL!$C$21, $C$9, 100%, $E$9)</f>
        <v>67.386799999999994</v>
      </c>
      <c r="R809" s="14">
        <f>CHOOSE(CONTROL!$C$42, 68.1423, 68.1423) * CHOOSE(CONTROL!$C$21, $C$9, 100%, $E$9)</f>
        <v>68.142300000000006</v>
      </c>
      <c r="S809" s="14">
        <f>CHOOSE(CONTROL!$C$42, 65.2819, 65.2819) * CHOOSE(CONTROL!$C$21, $C$9, 100%, $E$9)</f>
        <v>65.281899999999993</v>
      </c>
      <c r="T80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09" s="57">
        <f>(1000*CHOOSE(CONTROL!$C$42, 695, 695)*CHOOSE(CONTROL!$C$42, 0.5599, 0.5599)*CHOOSE(CONTROL!$C$42, 31, 31))/1000000</f>
        <v>12.063045499999998</v>
      </c>
      <c r="V809" s="57">
        <f>(1000*CHOOSE(CONTROL!$C$42, 500, 500)*CHOOSE(CONTROL!$C$42, 0.275, 0.275)*CHOOSE(CONTROL!$C$42, 31, 31))/1000000</f>
        <v>4.2625000000000002</v>
      </c>
      <c r="W809" s="57">
        <f>(1000*CHOOSE(CONTROL!$C$42, 0.1146, 0.1146)*CHOOSE(CONTROL!$C$42, 121.5, 121.5)*CHOOSE(CONTROL!$C$42, 31, 31))/1000000</f>
        <v>0.43164089999999994</v>
      </c>
      <c r="X809" s="57">
        <f>(31*0.1790888*245000/1000000)+(31*0.2374*100000/1000000)</f>
        <v>2.0961194359999999</v>
      </c>
      <c r="Y809" s="57"/>
      <c r="Z809" s="14"/>
      <c r="AA809" s="56"/>
      <c r="AB809" s="50">
        <f>(B809*194.205+C809*267.466+D809*133.845+E809*53.484+F809*40+G809*185+H809*0+I809*100+J809*300)/(194.205+267.466+133.845+53.484+0+40+185+100+300)</f>
        <v>67.993365062087918</v>
      </c>
      <c r="AC809" s="45">
        <f>(M809*'RAP TEMPLATE-GAS AVAILABILITY'!O808+N809*'RAP TEMPLATE-GAS AVAILABILITY'!P808+O809*'RAP TEMPLATE-GAS AVAILABILITY'!Q808+P809*'RAP TEMPLATE-GAS AVAILABILITY'!R808)/('RAP TEMPLATE-GAS AVAILABILITY'!O808+'RAP TEMPLATE-GAS AVAILABILITY'!P808+'RAP TEMPLATE-GAS AVAILABILITY'!Q808+'RAP TEMPLATE-GAS AVAILABILITY'!R808)</f>
        <v>66.688505755395695</v>
      </c>
    </row>
    <row r="810" spans="1:29" ht="15.75" x14ac:dyDescent="0.25">
      <c r="A810" s="32">
        <v>65561</v>
      </c>
      <c r="B810" s="14">
        <f>CHOOSE(CONTROL!$C$42, 69.8765, 69.8765) * CHOOSE(CONTROL!$C$21, $C$9, 100%, $E$9)</f>
        <v>69.876499999999993</v>
      </c>
      <c r="C810" s="14">
        <f>CHOOSE(CONTROL!$C$42, 69.8845, 69.8845) * CHOOSE(CONTROL!$C$21, $C$9, 100%, $E$9)</f>
        <v>69.884500000000003</v>
      </c>
      <c r="D810" s="14">
        <f>CHOOSE(CONTROL!$C$42, 70.0885, 70.0885) * CHOOSE(CONTROL!$C$21, $C$9, 100%, $E$9)</f>
        <v>70.088499999999996</v>
      </c>
      <c r="E810" s="14">
        <f>CHOOSE(CONTROL!$C$42, 70.1199, 70.1199) * CHOOSE(CONTROL!$C$21, $C$9, 100%, $E$9)</f>
        <v>70.119900000000001</v>
      </c>
      <c r="F810" s="14">
        <f>CHOOSE(CONTROL!$C$42, 69.8577, 69.8577)*CHOOSE(CONTROL!$C$21, $C$9, 100%, $E$9)</f>
        <v>69.857699999999994</v>
      </c>
      <c r="G810" s="14">
        <f>CHOOSE(CONTROL!$C$42, 69.8735, 69.8735)*CHOOSE(CONTROL!$C$21, $C$9, 100%, $E$9)</f>
        <v>69.873500000000007</v>
      </c>
      <c r="H810" s="14">
        <f>CHOOSE(CONTROL!$C$42, 70.1086, 70.1086) * CHOOSE(CONTROL!$C$21, $C$9, 100%, $E$9)</f>
        <v>70.108599999999996</v>
      </c>
      <c r="I810" s="14">
        <f>CHOOSE(CONTROL!$C$42, 70.1008, 70.1008)* CHOOSE(CONTROL!$C$21, $C$9, 100%, $E$9)</f>
        <v>70.100800000000007</v>
      </c>
      <c r="J810" s="14">
        <f>CHOOSE(CONTROL!$C$42, 69.8507, 69.8507)* CHOOSE(CONTROL!$C$21, $C$9, 100%, $E$9)</f>
        <v>69.850700000000003</v>
      </c>
      <c r="K810" s="53">
        <f>CHOOSE(CONTROL!$C$42, 70.0969, 70.0969) * CHOOSE(CONTROL!$C$21, $C$9, 100%, $E$9)</f>
        <v>70.096900000000005</v>
      </c>
      <c r="L810" s="14">
        <f>CHOOSE(CONTROL!$C$42, 70.6956, 70.6956) * CHOOSE(CONTROL!$C$21, $C$9, 100%, $E$9)</f>
        <v>70.695599999999999</v>
      </c>
      <c r="M810" s="14">
        <f>CHOOSE(CONTROL!$C$42, 68.4272, 68.4272) * CHOOSE(CONTROL!$C$21, $C$9, 100%, $E$9)</f>
        <v>68.427199999999999</v>
      </c>
      <c r="N810" s="14">
        <f>CHOOSE(CONTROL!$C$42, 68.4426, 68.4426) * CHOOSE(CONTROL!$C$21, $C$9, 100%, $E$9)</f>
        <v>68.442599999999999</v>
      </c>
      <c r="O810" s="14">
        <f>CHOOSE(CONTROL!$C$42, 68.6798, 68.6798) * CHOOSE(CONTROL!$C$21, $C$9, 100%, $E$9)</f>
        <v>68.6798</v>
      </c>
      <c r="P810" s="14">
        <f>CHOOSE(CONTROL!$C$42, 68.6678, 68.6678) * CHOOSE(CONTROL!$C$21, $C$9, 100%, $E$9)</f>
        <v>68.6678</v>
      </c>
      <c r="Q810" s="14">
        <f>CHOOSE(CONTROL!$C$42, 69.2745, 69.2745) * CHOOSE(CONTROL!$C$21, $C$9, 100%, $E$9)</f>
        <v>69.274500000000003</v>
      </c>
      <c r="R810" s="14">
        <f>CHOOSE(CONTROL!$C$42, 70.0347, 70.0347) * CHOOSE(CONTROL!$C$21, $C$9, 100%, $E$9)</f>
        <v>70.034700000000001</v>
      </c>
      <c r="S810" s="14">
        <f>CHOOSE(CONTROL!$C$42, 67.1337, 67.1337) * CHOOSE(CONTROL!$C$21, $C$9, 100%, $E$9)</f>
        <v>67.133700000000005</v>
      </c>
      <c r="T81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10" s="57">
        <f>(1000*CHOOSE(CONTROL!$C$42, 695, 695)*CHOOSE(CONTROL!$C$42, 0.5599, 0.5599)*CHOOSE(CONTROL!$C$42, 30, 30))/1000000</f>
        <v>11.673914999999997</v>
      </c>
      <c r="V810" s="57">
        <f>(1000*CHOOSE(CONTROL!$C$42, 500, 500)*CHOOSE(CONTROL!$C$42, 0.275, 0.275)*CHOOSE(CONTROL!$C$42, 30, 30))/1000000</f>
        <v>4.125</v>
      </c>
      <c r="W810" s="57">
        <f>(1000*CHOOSE(CONTROL!$C$42, 0.1146, 0.1146)*CHOOSE(CONTROL!$C$42, 121.5, 121.5)*CHOOSE(CONTROL!$C$42, 30, 30))/1000000</f>
        <v>0.417717</v>
      </c>
      <c r="X810" s="57">
        <f>(30*0.1790888*245000/1000000)+(30*0.2374*100000/1000000)</f>
        <v>2.0285026799999999</v>
      </c>
      <c r="Y810" s="57"/>
      <c r="Z810" s="14"/>
      <c r="AA810" s="56"/>
      <c r="AB810" s="50">
        <f>(B810*194.205+C810*267.466+D810*133.845+E810*53.484+F810*40+G810*185+H810*0+I810*100+J810*300)/(194.205+267.466+133.845+53.484+0+40+185+100+300)</f>
        <v>69.921174940031406</v>
      </c>
      <c r="AC810" s="45">
        <f>(M810*'RAP TEMPLATE-GAS AVAILABILITY'!O809+N810*'RAP TEMPLATE-GAS AVAILABILITY'!P809+O810*'RAP TEMPLATE-GAS AVAILABILITY'!Q809+P810*'RAP TEMPLATE-GAS AVAILABILITY'!R809)/('RAP TEMPLATE-GAS AVAILABILITY'!O809+'RAP TEMPLATE-GAS AVAILABILITY'!P809+'RAP TEMPLATE-GAS AVAILABILITY'!Q809+'RAP TEMPLATE-GAS AVAILABILITY'!R809)</f>
        <v>68.577192805755388</v>
      </c>
    </row>
    <row r="811" spans="1:29" ht="15.75" x14ac:dyDescent="0.25">
      <c r="A811" s="32">
        <v>65592</v>
      </c>
      <c r="B811" s="14">
        <f>CHOOSE(CONTROL!$C$42, 68.5362, 68.5362) * CHOOSE(CONTROL!$C$21, $C$9, 100%, $E$9)</f>
        <v>68.536199999999994</v>
      </c>
      <c r="C811" s="14">
        <f>CHOOSE(CONTROL!$C$42, 68.5442, 68.5442) * CHOOSE(CONTROL!$C$21, $C$9, 100%, $E$9)</f>
        <v>68.544200000000004</v>
      </c>
      <c r="D811" s="14">
        <f>CHOOSE(CONTROL!$C$42, 68.7481, 68.7481) * CHOOSE(CONTROL!$C$21, $C$9, 100%, $E$9)</f>
        <v>68.748099999999994</v>
      </c>
      <c r="E811" s="14">
        <f>CHOOSE(CONTROL!$C$42, 68.7796, 68.7796) * CHOOSE(CONTROL!$C$21, $C$9, 100%, $E$9)</f>
        <v>68.779600000000002</v>
      </c>
      <c r="F811" s="14">
        <f>CHOOSE(CONTROL!$C$42, 68.5178, 68.5178)*CHOOSE(CONTROL!$C$21, $C$9, 100%, $E$9)</f>
        <v>68.517799999999994</v>
      </c>
      <c r="G811" s="14">
        <f>CHOOSE(CONTROL!$C$42, 68.5337, 68.5337)*CHOOSE(CONTROL!$C$21, $C$9, 100%, $E$9)</f>
        <v>68.533699999999996</v>
      </c>
      <c r="H811" s="14">
        <f>CHOOSE(CONTROL!$C$42, 68.7682, 68.7682) * CHOOSE(CONTROL!$C$21, $C$9, 100%, $E$9)</f>
        <v>68.768199999999993</v>
      </c>
      <c r="I811" s="14">
        <f>CHOOSE(CONTROL!$C$42, 68.7563, 68.7563)* CHOOSE(CONTROL!$C$21, $C$9, 100%, $E$9)</f>
        <v>68.756299999999996</v>
      </c>
      <c r="J811" s="14">
        <f>CHOOSE(CONTROL!$C$42, 68.5108, 68.5108)* CHOOSE(CONTROL!$C$21, $C$9, 100%, $E$9)</f>
        <v>68.510800000000003</v>
      </c>
      <c r="K811" s="53">
        <f>CHOOSE(CONTROL!$C$42, 68.7524, 68.7524) * CHOOSE(CONTROL!$C$21, $C$9, 100%, $E$9)</f>
        <v>68.752399999999994</v>
      </c>
      <c r="L811" s="14">
        <f>CHOOSE(CONTROL!$C$42, 69.3552, 69.3552) * CHOOSE(CONTROL!$C$21, $C$9, 100%, $E$9)</f>
        <v>69.355199999999996</v>
      </c>
      <c r="M811" s="14">
        <f>CHOOSE(CONTROL!$C$42, 67.1147, 67.1147) * CHOOSE(CONTROL!$C$21, $C$9, 100%, $E$9)</f>
        <v>67.114699999999999</v>
      </c>
      <c r="N811" s="14">
        <f>CHOOSE(CONTROL!$C$42, 67.1303, 67.1303) * CHOOSE(CONTROL!$C$21, $C$9, 100%, $E$9)</f>
        <v>67.130300000000005</v>
      </c>
      <c r="O811" s="14">
        <f>CHOOSE(CONTROL!$C$42, 67.3669, 67.3669) * CHOOSE(CONTROL!$C$21, $C$9, 100%, $E$9)</f>
        <v>67.366900000000001</v>
      </c>
      <c r="P811" s="14">
        <f>CHOOSE(CONTROL!$C$42, 67.3509, 67.3509) * CHOOSE(CONTROL!$C$21, $C$9, 100%, $E$9)</f>
        <v>67.350899999999996</v>
      </c>
      <c r="Q811" s="14">
        <f>CHOOSE(CONTROL!$C$42, 67.9616, 67.9616) * CHOOSE(CONTROL!$C$21, $C$9, 100%, $E$9)</f>
        <v>67.961600000000004</v>
      </c>
      <c r="R811" s="14">
        <f>CHOOSE(CONTROL!$C$42, 68.7185, 68.7185) * CHOOSE(CONTROL!$C$21, $C$9, 100%, $E$9)</f>
        <v>68.718500000000006</v>
      </c>
      <c r="S811" s="14">
        <f>CHOOSE(CONTROL!$C$42, 65.8458, 65.8458) * CHOOSE(CONTROL!$C$21, $C$9, 100%, $E$9)</f>
        <v>65.845799999999997</v>
      </c>
      <c r="T81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11" s="57">
        <f>(1000*CHOOSE(CONTROL!$C$42, 695, 695)*CHOOSE(CONTROL!$C$42, 0.5599, 0.5599)*CHOOSE(CONTROL!$C$42, 31, 31))/1000000</f>
        <v>12.063045499999998</v>
      </c>
      <c r="V811" s="57">
        <f>(1000*CHOOSE(CONTROL!$C$42, 500, 500)*CHOOSE(CONTROL!$C$42, 0.275, 0.275)*CHOOSE(CONTROL!$C$42, 31, 31))/1000000</f>
        <v>4.2625000000000002</v>
      </c>
      <c r="W811" s="57">
        <f>(1000*CHOOSE(CONTROL!$C$42, 0.1146, 0.1146)*CHOOSE(CONTROL!$C$42, 121.5, 121.5)*CHOOSE(CONTROL!$C$42, 31, 31))/1000000</f>
        <v>0.43164089999999994</v>
      </c>
      <c r="X811" s="57">
        <f>(31*0.1790888*245000/1000000)+(31*0.2374*100000/1000000)</f>
        <v>2.0961194359999999</v>
      </c>
      <c r="Y811" s="57"/>
      <c r="Z811" s="14"/>
      <c r="AA811" s="56"/>
      <c r="AB811" s="50">
        <f>(B811*194.205+C811*267.466+D811*133.845+E811*53.484+F811*40+G811*185+H811*0+I811*100+J811*300)/(194.205+267.466+133.845+53.484+0+40+185+100+300)</f>
        <v>68.580714120172686</v>
      </c>
      <c r="AC811" s="45">
        <f>(M811*'RAP TEMPLATE-GAS AVAILABILITY'!O810+N811*'RAP TEMPLATE-GAS AVAILABILITY'!P810+O811*'RAP TEMPLATE-GAS AVAILABILITY'!Q810+P811*'RAP TEMPLATE-GAS AVAILABILITY'!R810)/('RAP TEMPLATE-GAS AVAILABILITY'!O810+'RAP TEMPLATE-GAS AVAILABILITY'!P810+'RAP TEMPLATE-GAS AVAILABILITY'!Q810+'RAP TEMPLATE-GAS AVAILABILITY'!R810)</f>
        <v>67.263889928057552</v>
      </c>
    </row>
    <row r="812" spans="1:29" ht="15.75" x14ac:dyDescent="0.25">
      <c r="A812" s="32">
        <v>65623</v>
      </c>
      <c r="B812" s="14">
        <f>CHOOSE(CONTROL!$C$42, 65.1514, 65.1514) * CHOOSE(CONTROL!$C$21, $C$9, 100%, $E$9)</f>
        <v>65.151399999999995</v>
      </c>
      <c r="C812" s="14">
        <f>CHOOSE(CONTROL!$C$42, 65.1594, 65.1594) * CHOOSE(CONTROL!$C$21, $C$9, 100%, $E$9)</f>
        <v>65.159400000000005</v>
      </c>
      <c r="D812" s="14">
        <f>CHOOSE(CONTROL!$C$42, 65.3634, 65.3634) * CHOOSE(CONTROL!$C$21, $C$9, 100%, $E$9)</f>
        <v>65.363399999999999</v>
      </c>
      <c r="E812" s="14">
        <f>CHOOSE(CONTROL!$C$42, 65.3948, 65.3948) * CHOOSE(CONTROL!$C$21, $C$9, 100%, $E$9)</f>
        <v>65.394800000000004</v>
      </c>
      <c r="F812" s="14">
        <f>CHOOSE(CONTROL!$C$42, 65.1333, 65.1333)*CHOOSE(CONTROL!$C$21, $C$9, 100%, $E$9)</f>
        <v>65.133300000000006</v>
      </c>
      <c r="G812" s="14">
        <f>CHOOSE(CONTROL!$C$42, 65.1492, 65.1492)*CHOOSE(CONTROL!$C$21, $C$9, 100%, $E$9)</f>
        <v>65.149199999999993</v>
      </c>
      <c r="H812" s="14">
        <f>CHOOSE(CONTROL!$C$42, 65.3835, 65.3835) * CHOOSE(CONTROL!$C$21, $C$9, 100%, $E$9)</f>
        <v>65.383499999999998</v>
      </c>
      <c r="I812" s="14">
        <f>CHOOSE(CONTROL!$C$42, 65.3609, 65.3609)* CHOOSE(CONTROL!$C$21, $C$9, 100%, $E$9)</f>
        <v>65.360900000000001</v>
      </c>
      <c r="J812" s="14">
        <f>CHOOSE(CONTROL!$C$42, 65.1263, 65.1263)* CHOOSE(CONTROL!$C$21, $C$9, 100%, $E$9)</f>
        <v>65.126300000000001</v>
      </c>
      <c r="K812" s="53">
        <f>CHOOSE(CONTROL!$C$42, 65.357, 65.357) * CHOOSE(CONTROL!$C$21, $C$9, 100%, $E$9)</f>
        <v>65.356999999999999</v>
      </c>
      <c r="L812" s="14">
        <f>CHOOSE(CONTROL!$C$42, 65.9705, 65.9705) * CHOOSE(CONTROL!$C$21, $C$9, 100%, $E$9)</f>
        <v>65.970500000000001</v>
      </c>
      <c r="M812" s="14">
        <f>CHOOSE(CONTROL!$C$42, 63.7996, 63.7996) * CHOOSE(CONTROL!$C$21, $C$9, 100%, $E$9)</f>
        <v>63.799599999999998</v>
      </c>
      <c r="N812" s="14">
        <f>CHOOSE(CONTROL!$C$42, 63.8152, 63.8152) * CHOOSE(CONTROL!$C$21, $C$9, 100%, $E$9)</f>
        <v>63.815199999999997</v>
      </c>
      <c r="O812" s="14">
        <f>CHOOSE(CONTROL!$C$42, 64.0515, 64.0515) * CHOOSE(CONTROL!$C$21, $C$9, 100%, $E$9)</f>
        <v>64.051500000000004</v>
      </c>
      <c r="P812" s="14">
        <f>CHOOSE(CONTROL!$C$42, 64.0254, 64.0254) * CHOOSE(CONTROL!$C$21, $C$9, 100%, $E$9)</f>
        <v>64.025400000000005</v>
      </c>
      <c r="Q812" s="14">
        <f>CHOOSE(CONTROL!$C$42, 64.6462, 64.6462) * CHOOSE(CONTROL!$C$21, $C$9, 100%, $E$9)</f>
        <v>64.646199999999993</v>
      </c>
      <c r="R812" s="14">
        <f>CHOOSE(CONTROL!$C$42, 65.3948, 65.3948) * CHOOSE(CONTROL!$C$21, $C$9, 100%, $E$9)</f>
        <v>65.394800000000004</v>
      </c>
      <c r="S812" s="14">
        <f>CHOOSE(CONTROL!$C$42, 62.5934, 62.5934) * CHOOSE(CONTROL!$C$21, $C$9, 100%, $E$9)</f>
        <v>62.593400000000003</v>
      </c>
      <c r="T81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12" s="57">
        <f>(1000*CHOOSE(CONTROL!$C$42, 695, 695)*CHOOSE(CONTROL!$C$42, 0.5599, 0.5599)*CHOOSE(CONTROL!$C$42, 31, 31))/1000000</f>
        <v>12.063045499999998</v>
      </c>
      <c r="V812" s="57">
        <f>(1000*CHOOSE(CONTROL!$C$42, 500, 500)*CHOOSE(CONTROL!$C$42, 0.275, 0.275)*CHOOSE(CONTROL!$C$42, 31, 31))/1000000</f>
        <v>4.2625000000000002</v>
      </c>
      <c r="W812" s="57">
        <f>(1000*CHOOSE(CONTROL!$C$42, 0.1146, 0.1146)*CHOOSE(CONTROL!$C$42, 121.5, 121.5)*CHOOSE(CONTROL!$C$42, 31, 31))/1000000</f>
        <v>0.43164089999999994</v>
      </c>
      <c r="X812" s="57">
        <f>(31*0.1790888*245000/1000000)+(31*0.2374*100000/1000000)</f>
        <v>2.0961194359999999</v>
      </c>
      <c r="Y812" s="57"/>
      <c r="Z812" s="14"/>
      <c r="AA812" s="56"/>
      <c r="AB812" s="50">
        <f>(B812*194.205+C812*267.466+D812*133.845+E812*53.484+F812*40+G812*185+H812*0+I812*100+J812*300)/(194.205+267.466+133.845+53.484+0+40+185+100+300)</f>
        <v>65.195216227315541</v>
      </c>
      <c r="AC812" s="45">
        <f>(M812*'RAP TEMPLATE-GAS AVAILABILITY'!O811+N812*'RAP TEMPLATE-GAS AVAILABILITY'!P811+O812*'RAP TEMPLATE-GAS AVAILABILITY'!Q811+P812*'RAP TEMPLATE-GAS AVAILABILITY'!R811)/('RAP TEMPLATE-GAS AVAILABILITY'!O811+'RAP TEMPLATE-GAS AVAILABILITY'!P811+'RAP TEMPLATE-GAS AVAILABILITY'!Q811+'RAP TEMPLATE-GAS AVAILABILITY'!R811)</f>
        <v>63.947157553956835</v>
      </c>
    </row>
    <row r="813" spans="1:29" ht="15.75" x14ac:dyDescent="0.25">
      <c r="A813" s="32">
        <v>65653</v>
      </c>
      <c r="B813" s="14">
        <f>CHOOSE(CONTROL!$C$42, 61.0155, 61.0155) * CHOOSE(CONTROL!$C$21, $C$9, 100%, $E$9)</f>
        <v>61.015500000000003</v>
      </c>
      <c r="C813" s="14">
        <f>CHOOSE(CONTROL!$C$42, 61.0235, 61.0235) * CHOOSE(CONTROL!$C$21, $C$9, 100%, $E$9)</f>
        <v>61.023499999999999</v>
      </c>
      <c r="D813" s="14">
        <f>CHOOSE(CONTROL!$C$42, 61.2274, 61.2274) * CHOOSE(CONTROL!$C$21, $C$9, 100%, $E$9)</f>
        <v>61.227400000000003</v>
      </c>
      <c r="E813" s="14">
        <f>CHOOSE(CONTROL!$C$42, 61.2589, 61.2589) * CHOOSE(CONTROL!$C$21, $C$9, 100%, $E$9)</f>
        <v>61.258899999999997</v>
      </c>
      <c r="F813" s="14">
        <f>CHOOSE(CONTROL!$C$42, 60.9974, 60.9974)*CHOOSE(CONTROL!$C$21, $C$9, 100%, $E$9)</f>
        <v>60.997399999999999</v>
      </c>
      <c r="G813" s="14">
        <f>CHOOSE(CONTROL!$C$42, 61.0133, 61.0133)*CHOOSE(CONTROL!$C$21, $C$9, 100%, $E$9)</f>
        <v>61.013300000000001</v>
      </c>
      <c r="H813" s="14">
        <f>CHOOSE(CONTROL!$C$42, 61.2475, 61.2475) * CHOOSE(CONTROL!$C$21, $C$9, 100%, $E$9)</f>
        <v>61.247500000000002</v>
      </c>
      <c r="I813" s="14">
        <f>CHOOSE(CONTROL!$C$42, 61.212, 61.212)* CHOOSE(CONTROL!$C$21, $C$9, 100%, $E$9)</f>
        <v>61.212000000000003</v>
      </c>
      <c r="J813" s="14">
        <f>CHOOSE(CONTROL!$C$42, 60.9904, 60.9904)* CHOOSE(CONTROL!$C$21, $C$9, 100%, $E$9)</f>
        <v>60.990400000000001</v>
      </c>
      <c r="K813" s="53">
        <f>CHOOSE(CONTROL!$C$42, 61.2081, 61.2081) * CHOOSE(CONTROL!$C$21, $C$9, 100%, $E$9)</f>
        <v>61.208100000000002</v>
      </c>
      <c r="L813" s="14">
        <f>CHOOSE(CONTROL!$C$42, 61.8345, 61.8345) * CHOOSE(CONTROL!$C$21, $C$9, 100%, $E$9)</f>
        <v>61.834499999999998</v>
      </c>
      <c r="M813" s="14">
        <f>CHOOSE(CONTROL!$C$42, 59.7484, 59.7484) * CHOOSE(CONTROL!$C$21, $C$9, 100%, $E$9)</f>
        <v>59.748399999999997</v>
      </c>
      <c r="N813" s="14">
        <f>CHOOSE(CONTROL!$C$42, 59.764, 59.764) * CHOOSE(CONTROL!$C$21, $C$9, 100%, $E$9)</f>
        <v>59.764000000000003</v>
      </c>
      <c r="O813" s="14">
        <f>CHOOSE(CONTROL!$C$42, 60.0003, 60.0003) * CHOOSE(CONTROL!$C$21, $C$9, 100%, $E$9)</f>
        <v>60.000300000000003</v>
      </c>
      <c r="P813" s="14">
        <f>CHOOSE(CONTROL!$C$42, 59.9617, 59.9617) * CHOOSE(CONTROL!$C$21, $C$9, 100%, $E$9)</f>
        <v>59.9617</v>
      </c>
      <c r="Q813" s="14">
        <f>CHOOSE(CONTROL!$C$42, 60.595, 60.595) * CHOOSE(CONTROL!$C$21, $C$9, 100%, $E$9)</f>
        <v>60.594999999999999</v>
      </c>
      <c r="R813" s="14">
        <f>CHOOSE(CONTROL!$C$42, 61.3335, 61.3335) * CHOOSE(CONTROL!$C$21, $C$9, 100%, $E$9)</f>
        <v>61.333500000000001</v>
      </c>
      <c r="S813" s="14">
        <f>CHOOSE(CONTROL!$C$42, 58.6191, 58.6191) * CHOOSE(CONTROL!$C$21, $C$9, 100%, $E$9)</f>
        <v>58.619100000000003</v>
      </c>
      <c r="T81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13" s="57">
        <f>(1000*CHOOSE(CONTROL!$C$42, 695, 695)*CHOOSE(CONTROL!$C$42, 0.5599, 0.5599)*CHOOSE(CONTROL!$C$42, 30, 30))/1000000</f>
        <v>11.673914999999997</v>
      </c>
      <c r="V813" s="57">
        <f>(1000*CHOOSE(CONTROL!$C$42, 500, 500)*CHOOSE(CONTROL!$C$42, 0.275, 0.275)*CHOOSE(CONTROL!$C$42, 30, 30))/1000000</f>
        <v>4.125</v>
      </c>
      <c r="W813" s="57">
        <f>(1000*CHOOSE(CONTROL!$C$42, 0.1146, 0.1146)*CHOOSE(CONTROL!$C$42, 121.5, 121.5)*CHOOSE(CONTROL!$C$42, 30, 30))/1000000</f>
        <v>0.417717</v>
      </c>
      <c r="X813" s="57">
        <f>(30*0.1790888*245000/1000000)+(30*0.2374*100000/1000000)</f>
        <v>2.0285026799999999</v>
      </c>
      <c r="Y813" s="57"/>
      <c r="Z813" s="14"/>
      <c r="AA813" s="56"/>
      <c r="AB813" s="50">
        <f>(B813*194.205+C813*267.466+D813*133.845+E813*53.484+F813*40+G813*185+H813*0+I813*100+J813*300)/(194.205+267.466+133.845+53.484+0+40+185+100+300)</f>
        <v>61.058285313265309</v>
      </c>
      <c r="AC813" s="45">
        <f>(M813*'RAP TEMPLATE-GAS AVAILABILITY'!O812+N813*'RAP TEMPLATE-GAS AVAILABILITY'!P812+O813*'RAP TEMPLATE-GAS AVAILABILITY'!Q812+P813*'RAP TEMPLATE-GAS AVAILABILITY'!R812)/('RAP TEMPLATE-GAS AVAILABILITY'!O812+'RAP TEMPLATE-GAS AVAILABILITY'!P812+'RAP TEMPLATE-GAS AVAILABILITY'!Q812+'RAP TEMPLATE-GAS AVAILABILITY'!R812)</f>
        <v>59.89415899280575</v>
      </c>
    </row>
    <row r="814" spans="1:29" ht="15.75" x14ac:dyDescent="0.25">
      <c r="A814" s="32">
        <v>65684</v>
      </c>
      <c r="B814" s="14">
        <f>CHOOSE(CONTROL!$C$42, 59.7751, 59.7751) * CHOOSE(CONTROL!$C$21, $C$9, 100%, $E$9)</f>
        <v>59.775100000000002</v>
      </c>
      <c r="C814" s="14">
        <f>CHOOSE(CONTROL!$C$42, 59.7804, 59.7804) * CHOOSE(CONTROL!$C$21, $C$9, 100%, $E$9)</f>
        <v>59.7804</v>
      </c>
      <c r="D814" s="14">
        <f>CHOOSE(CONTROL!$C$42, 59.9893, 59.9893) * CHOOSE(CONTROL!$C$21, $C$9, 100%, $E$9)</f>
        <v>59.9893</v>
      </c>
      <c r="E814" s="14">
        <f>CHOOSE(CONTROL!$C$42, 60.0184, 60.0184) * CHOOSE(CONTROL!$C$21, $C$9, 100%, $E$9)</f>
        <v>60.0184</v>
      </c>
      <c r="F814" s="14">
        <f>CHOOSE(CONTROL!$C$42, 59.7591, 59.7591)*CHOOSE(CONTROL!$C$21, $C$9, 100%, $E$9)</f>
        <v>59.759099999999997</v>
      </c>
      <c r="G814" s="14">
        <f>CHOOSE(CONTROL!$C$42, 59.7747, 59.7747)*CHOOSE(CONTROL!$C$21, $C$9, 100%, $E$9)</f>
        <v>59.774700000000003</v>
      </c>
      <c r="H814" s="14">
        <f>CHOOSE(CONTROL!$C$42, 60.0089, 60.0089) * CHOOSE(CONTROL!$C$21, $C$9, 100%, $E$9)</f>
        <v>60.008899999999997</v>
      </c>
      <c r="I814" s="14">
        <f>CHOOSE(CONTROL!$C$42, 59.9695, 59.9695)* CHOOSE(CONTROL!$C$21, $C$9, 100%, $E$9)</f>
        <v>59.969499999999996</v>
      </c>
      <c r="J814" s="14">
        <f>CHOOSE(CONTROL!$C$42, 59.7521, 59.7521)* CHOOSE(CONTROL!$C$21, $C$9, 100%, $E$9)</f>
        <v>59.752099999999999</v>
      </c>
      <c r="K814" s="53">
        <f>CHOOSE(CONTROL!$C$42, 59.9656, 59.9656) * CHOOSE(CONTROL!$C$21, $C$9, 100%, $E$9)</f>
        <v>59.965600000000002</v>
      </c>
      <c r="L814" s="14">
        <f>CHOOSE(CONTROL!$C$42, 60.5959, 60.5959) * CHOOSE(CONTROL!$C$21, $C$9, 100%, $E$9)</f>
        <v>60.5959</v>
      </c>
      <c r="M814" s="14">
        <f>CHOOSE(CONTROL!$C$42, 58.5355, 58.5355) * CHOOSE(CONTROL!$C$21, $C$9, 100%, $E$9)</f>
        <v>58.535499999999999</v>
      </c>
      <c r="N814" s="14">
        <f>CHOOSE(CONTROL!$C$42, 58.5508, 58.5508) * CHOOSE(CONTROL!$C$21, $C$9, 100%, $E$9)</f>
        <v>58.550800000000002</v>
      </c>
      <c r="O814" s="14">
        <f>CHOOSE(CONTROL!$C$42, 58.7871, 58.7871) * CHOOSE(CONTROL!$C$21, $C$9, 100%, $E$9)</f>
        <v>58.787100000000002</v>
      </c>
      <c r="P814" s="14">
        <f>CHOOSE(CONTROL!$C$42, 58.7448, 58.7448) * CHOOSE(CONTROL!$C$21, $C$9, 100%, $E$9)</f>
        <v>58.744799999999998</v>
      </c>
      <c r="Q814" s="14">
        <f>CHOOSE(CONTROL!$C$42, 59.3818, 59.3818) * CHOOSE(CONTROL!$C$21, $C$9, 100%, $E$9)</f>
        <v>59.381799999999998</v>
      </c>
      <c r="R814" s="14">
        <f>CHOOSE(CONTROL!$C$42, 60.1172, 60.1172) * CHOOSE(CONTROL!$C$21, $C$9, 100%, $E$9)</f>
        <v>60.117199999999997</v>
      </c>
      <c r="S814" s="14">
        <f>CHOOSE(CONTROL!$C$42, 57.4289, 57.4289) * CHOOSE(CONTROL!$C$21, $C$9, 100%, $E$9)</f>
        <v>57.428899999999999</v>
      </c>
      <c r="T81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14" s="57">
        <f>(1000*CHOOSE(CONTROL!$C$42, 695, 695)*CHOOSE(CONTROL!$C$42, 0.5599, 0.5599)*CHOOSE(CONTROL!$C$42, 31, 31))/1000000</f>
        <v>12.063045499999998</v>
      </c>
      <c r="V814" s="57">
        <f>(1000*CHOOSE(CONTROL!$C$42, 500, 500)*CHOOSE(CONTROL!$C$42, 0.275, 0.275)*CHOOSE(CONTROL!$C$42, 31, 31))/1000000</f>
        <v>4.2625000000000002</v>
      </c>
      <c r="W814" s="57">
        <f>(1000*CHOOSE(CONTROL!$C$42, 0.1146, 0.1146)*CHOOSE(CONTROL!$C$42, 121.5, 121.5)*CHOOSE(CONTROL!$C$42, 31, 31))/1000000</f>
        <v>0.43164089999999994</v>
      </c>
      <c r="X814" s="57">
        <f>(31*0.1790888*245000/1000000)+(31*0.2374*100000/1000000)</f>
        <v>2.0961194359999999</v>
      </c>
      <c r="Y814" s="57"/>
      <c r="Z814" s="14"/>
      <c r="AA814" s="56"/>
      <c r="AB814" s="50">
        <f>(B814*131.881+C814*277.167+D814*79.08+E814*125.872+F814*40+G814*185+H814*0+I814*100+J814*300)/(131.881+277.167+79.08+125.872+0+40+185+100+300)</f>
        <v>59.824219111138014</v>
      </c>
      <c r="AC814" s="45">
        <f>(M814*'RAP TEMPLATE-GAS AVAILABILITY'!O813+N814*'RAP TEMPLATE-GAS AVAILABILITY'!P813+O814*'RAP TEMPLATE-GAS AVAILABILITY'!Q813+P814*'RAP TEMPLATE-GAS AVAILABILITY'!R813)/('RAP TEMPLATE-GAS AVAILABILITY'!O813+'RAP TEMPLATE-GAS AVAILABILITY'!P813+'RAP TEMPLATE-GAS AVAILABILITY'!Q813+'RAP TEMPLATE-GAS AVAILABILITY'!R813)</f>
        <v>58.680530215827339</v>
      </c>
    </row>
    <row r="815" spans="1:29" ht="15.75" x14ac:dyDescent="0.25">
      <c r="A815" s="32">
        <v>65714</v>
      </c>
      <c r="B815" s="14">
        <f>CHOOSE(CONTROL!$C$42, 61.3492, 61.3492) * CHOOSE(CONTROL!$C$21, $C$9, 100%, $E$9)</f>
        <v>61.349200000000003</v>
      </c>
      <c r="C815" s="14">
        <f>CHOOSE(CONTROL!$C$42, 61.3542, 61.3542) * CHOOSE(CONTROL!$C$21, $C$9, 100%, $E$9)</f>
        <v>61.354199999999999</v>
      </c>
      <c r="D815" s="14">
        <f>CHOOSE(CONTROL!$C$42, 61.418, 61.418) * CHOOSE(CONTROL!$C$21, $C$9, 100%, $E$9)</f>
        <v>61.417999999999999</v>
      </c>
      <c r="E815" s="14">
        <f>CHOOSE(CONTROL!$C$42, 61.4521, 61.4521) * CHOOSE(CONTROL!$C$21, $C$9, 100%, $E$9)</f>
        <v>61.452100000000002</v>
      </c>
      <c r="F815" s="14">
        <f>CHOOSE(CONTROL!$C$42, 61.3516, 61.3516)*CHOOSE(CONTROL!$C$21, $C$9, 100%, $E$9)</f>
        <v>61.351599999999998</v>
      </c>
      <c r="G815" s="14">
        <f>CHOOSE(CONTROL!$C$42, 61.3676, 61.3676)*CHOOSE(CONTROL!$C$21, $C$9, 100%, $E$9)</f>
        <v>61.367600000000003</v>
      </c>
      <c r="H815" s="14">
        <f>CHOOSE(CONTROL!$C$42, 61.4413, 61.4413) * CHOOSE(CONTROL!$C$21, $C$9, 100%, $E$9)</f>
        <v>61.441299999999998</v>
      </c>
      <c r="I815" s="14">
        <f>CHOOSE(CONTROL!$C$42, 61.5541, 61.5541)* CHOOSE(CONTROL!$C$21, $C$9, 100%, $E$9)</f>
        <v>61.554099999999998</v>
      </c>
      <c r="J815" s="14">
        <f>CHOOSE(CONTROL!$C$42, 61.3446, 61.3446)* CHOOSE(CONTROL!$C$21, $C$9, 100%, $E$9)</f>
        <v>61.3446</v>
      </c>
      <c r="K815" s="53">
        <f>CHOOSE(CONTROL!$C$42, 61.5503, 61.5503) * CHOOSE(CONTROL!$C$21, $C$9, 100%, $E$9)</f>
        <v>61.5503</v>
      </c>
      <c r="L815" s="14">
        <f>CHOOSE(CONTROL!$C$42, 62.0283, 62.0283) * CHOOSE(CONTROL!$C$21, $C$9, 100%, $E$9)</f>
        <v>62.028300000000002</v>
      </c>
      <c r="M815" s="14">
        <f>CHOOSE(CONTROL!$C$42, 60.0953, 60.0953) * CHOOSE(CONTROL!$C$21, $C$9, 100%, $E$9)</f>
        <v>60.095300000000002</v>
      </c>
      <c r="N815" s="14">
        <f>CHOOSE(CONTROL!$C$42, 60.111, 60.111) * CHOOSE(CONTROL!$C$21, $C$9, 100%, $E$9)</f>
        <v>60.110999999999997</v>
      </c>
      <c r="O815" s="14">
        <f>CHOOSE(CONTROL!$C$42, 60.1901, 60.1901) * CHOOSE(CONTROL!$C$21, $C$9, 100%, $E$9)</f>
        <v>60.190100000000001</v>
      </c>
      <c r="P815" s="14">
        <f>CHOOSE(CONTROL!$C$42, 60.2968, 60.2968) * CHOOSE(CONTROL!$C$21, $C$9, 100%, $E$9)</f>
        <v>60.296799999999998</v>
      </c>
      <c r="Q815" s="14">
        <f>CHOOSE(CONTROL!$C$42, 60.7848, 60.7848) * CHOOSE(CONTROL!$C$21, $C$9, 100%, $E$9)</f>
        <v>60.784799999999997</v>
      </c>
      <c r="R815" s="14">
        <f>CHOOSE(CONTROL!$C$42, 61.5238, 61.5238) * CHOOSE(CONTROL!$C$21, $C$9, 100%, $E$9)</f>
        <v>61.523800000000001</v>
      </c>
      <c r="S815" s="14">
        <f>CHOOSE(CONTROL!$C$42, 58.9419, 58.9419) * CHOOSE(CONTROL!$C$21, $C$9, 100%, $E$9)</f>
        <v>58.941899999999997</v>
      </c>
      <c r="T81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15" s="57">
        <f>(1000*CHOOSE(CONTROL!$C$42, 695, 695)*CHOOSE(CONTROL!$C$42, 0.5599, 0.5599)*CHOOSE(CONTROL!$C$42, 30, 30))/1000000</f>
        <v>11.673914999999997</v>
      </c>
      <c r="V815" s="57">
        <f>(1000*CHOOSE(CONTROL!$C$42, 500, 500)*CHOOSE(CONTROL!$C$42, 0.275, 0.275)*CHOOSE(CONTROL!$C$42, 30, 30))/1000000</f>
        <v>4.125</v>
      </c>
      <c r="W815" s="57">
        <f>(1000*CHOOSE(CONTROL!$C$42, 0.1146, 0.1146)*CHOOSE(CONTROL!$C$42, 121.5, 121.5)*CHOOSE(CONTROL!$C$42, 30, 30))/1000000</f>
        <v>0.417717</v>
      </c>
      <c r="X815" s="57">
        <f>(30*0.1790888*100000/1000000)+(30*0.2374*100000/1000000)</f>
        <v>1.2494664</v>
      </c>
      <c r="Y815" s="57"/>
      <c r="Z815" s="14"/>
      <c r="AA815" s="56"/>
      <c r="AB815" s="50">
        <f>(B815*122.58+C815*297.941+D815*89.177+E815*40.302+F815*40+G815*160+H815*0+I815*100+J815*300)/(122.58+297.941+89.177+40.302+0+40+160+100+300)</f>
        <v>61.378697529043485</v>
      </c>
      <c r="AC815" s="45">
        <f>(M815*'RAP TEMPLATE-GAS AVAILABILITY'!O814+N815*'RAP TEMPLATE-GAS AVAILABILITY'!P814+O815*'RAP TEMPLATE-GAS AVAILABILITY'!Q814+P815*'RAP TEMPLATE-GAS AVAILABILITY'!R814)/('RAP TEMPLATE-GAS AVAILABILITY'!O814+'RAP TEMPLATE-GAS AVAILABILITY'!P814+'RAP TEMPLATE-GAS AVAILABILITY'!Q814+'RAP TEMPLATE-GAS AVAILABILITY'!R814)</f>
        <v>60.168163309352522</v>
      </c>
    </row>
    <row r="816" spans="1:29" ht="15.75" x14ac:dyDescent="0.25">
      <c r="A816" s="32">
        <v>65745</v>
      </c>
      <c r="B816" s="14">
        <f>CHOOSE(CONTROL!$C$42, 65.5313, 65.5313) * CHOOSE(CONTROL!$C$21, $C$9, 100%, $E$9)</f>
        <v>65.531300000000002</v>
      </c>
      <c r="C816" s="14">
        <f>CHOOSE(CONTROL!$C$42, 65.5363, 65.5363) * CHOOSE(CONTROL!$C$21, $C$9, 100%, $E$9)</f>
        <v>65.536299999999997</v>
      </c>
      <c r="D816" s="14">
        <f>CHOOSE(CONTROL!$C$42, 65.6001, 65.6001) * CHOOSE(CONTROL!$C$21, $C$9, 100%, $E$9)</f>
        <v>65.600099999999998</v>
      </c>
      <c r="E816" s="14">
        <f>CHOOSE(CONTROL!$C$42, 65.6342, 65.6342) * CHOOSE(CONTROL!$C$21, $C$9, 100%, $E$9)</f>
        <v>65.634200000000007</v>
      </c>
      <c r="F816" s="14">
        <f>CHOOSE(CONTROL!$C$42, 65.5359, 65.5359)*CHOOSE(CONTROL!$C$21, $C$9, 100%, $E$9)</f>
        <v>65.535899999999998</v>
      </c>
      <c r="G816" s="14">
        <f>CHOOSE(CONTROL!$C$42, 65.5525, 65.5525)*CHOOSE(CONTROL!$C$21, $C$9, 100%, $E$9)</f>
        <v>65.552499999999995</v>
      </c>
      <c r="H816" s="14">
        <f>CHOOSE(CONTROL!$C$42, 65.6234, 65.6234) * CHOOSE(CONTROL!$C$21, $C$9, 100%, $E$9)</f>
        <v>65.623400000000004</v>
      </c>
      <c r="I816" s="14">
        <f>CHOOSE(CONTROL!$C$42, 65.7493, 65.7493)* CHOOSE(CONTROL!$C$21, $C$9, 100%, $E$9)</f>
        <v>65.749300000000005</v>
      </c>
      <c r="J816" s="14">
        <f>CHOOSE(CONTROL!$C$42, 65.5289, 65.5289)* CHOOSE(CONTROL!$C$21, $C$9, 100%, $E$9)</f>
        <v>65.528899999999993</v>
      </c>
      <c r="K816" s="53">
        <f>CHOOSE(CONTROL!$C$42, 65.7454, 65.7454) * CHOOSE(CONTROL!$C$21, $C$9, 100%, $E$9)</f>
        <v>65.745400000000004</v>
      </c>
      <c r="L816" s="14">
        <f>CHOOSE(CONTROL!$C$42, 66.2104, 66.2104) * CHOOSE(CONTROL!$C$21, $C$9, 100%, $E$9)</f>
        <v>66.210400000000007</v>
      </c>
      <c r="M816" s="14">
        <f>CHOOSE(CONTROL!$C$42, 64.194, 64.194) * CHOOSE(CONTROL!$C$21, $C$9, 100%, $E$9)</f>
        <v>64.194000000000003</v>
      </c>
      <c r="N816" s="14">
        <f>CHOOSE(CONTROL!$C$42, 64.2102, 64.2102) * CHOOSE(CONTROL!$C$21, $C$9, 100%, $E$9)</f>
        <v>64.2102</v>
      </c>
      <c r="O816" s="14">
        <f>CHOOSE(CONTROL!$C$42, 64.2866, 64.2866) * CHOOSE(CONTROL!$C$21, $C$9, 100%, $E$9)</f>
        <v>64.286600000000007</v>
      </c>
      <c r="P816" s="14">
        <f>CHOOSE(CONTROL!$C$42, 64.4058, 64.4058) * CHOOSE(CONTROL!$C$21, $C$9, 100%, $E$9)</f>
        <v>64.405799999999999</v>
      </c>
      <c r="Q816" s="14">
        <f>CHOOSE(CONTROL!$C$42, 64.8813, 64.8813) * CHOOSE(CONTROL!$C$21, $C$9, 100%, $E$9)</f>
        <v>64.881299999999996</v>
      </c>
      <c r="R816" s="14">
        <f>CHOOSE(CONTROL!$C$42, 65.6305, 65.6305) * CHOOSE(CONTROL!$C$21, $C$9, 100%, $E$9)</f>
        <v>65.630499999999998</v>
      </c>
      <c r="S816" s="14">
        <f>CHOOSE(CONTROL!$C$42, 62.9604, 62.9604) * CHOOSE(CONTROL!$C$21, $C$9, 100%, $E$9)</f>
        <v>62.9604</v>
      </c>
      <c r="T81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16" s="57">
        <f>(1000*CHOOSE(CONTROL!$C$42, 695, 695)*CHOOSE(CONTROL!$C$42, 0.5599, 0.5599)*CHOOSE(CONTROL!$C$42, 31, 31))/1000000</f>
        <v>12.063045499999998</v>
      </c>
      <c r="V816" s="57">
        <f>(1000*CHOOSE(CONTROL!$C$42, 500, 500)*CHOOSE(CONTROL!$C$42, 0.275, 0.275)*CHOOSE(CONTROL!$C$42, 31, 31))/1000000</f>
        <v>4.2625000000000002</v>
      </c>
      <c r="W816" s="57">
        <f>(1000*CHOOSE(CONTROL!$C$42, 0.1146, 0.1146)*CHOOSE(CONTROL!$C$42, 121.5, 121.5)*CHOOSE(CONTROL!$C$42, 31, 31))/1000000</f>
        <v>0.43164089999999994</v>
      </c>
      <c r="X816" s="57">
        <f>(31*0.1790888*100000/1000000)+(31*0.2374*100000/1000000)</f>
        <v>1.2911152800000001</v>
      </c>
      <c r="Y816" s="57"/>
      <c r="Z816" s="14"/>
      <c r="AA816" s="56"/>
      <c r="AB816" s="50">
        <f>(B816*122.58+C816*297.941+D816*89.177+E816*40.302+F816*40+G816*160+H816*0+I816*100+J816*300)/(122.58+297.941+89.177+40.302+0+40+160+100+300)</f>
        <v>65.562976659478252</v>
      </c>
      <c r="AC816" s="45">
        <f>(M816*'RAP TEMPLATE-GAS AVAILABILITY'!O815+N816*'RAP TEMPLATE-GAS AVAILABILITY'!P815+O816*'RAP TEMPLATE-GAS AVAILABILITY'!Q815+P816*'RAP TEMPLATE-GAS AVAILABILITY'!R815)/('RAP TEMPLATE-GAS AVAILABILITY'!O815+'RAP TEMPLATE-GAS AVAILABILITY'!P815+'RAP TEMPLATE-GAS AVAILABILITY'!Q815+'RAP TEMPLATE-GAS AVAILABILITY'!R815)</f>
        <v>64.267376978417275</v>
      </c>
    </row>
    <row r="817" spans="1:29" ht="15.75" x14ac:dyDescent="0.25">
      <c r="A817" s="32">
        <v>65776</v>
      </c>
      <c r="B817" s="14">
        <f>CHOOSE(CONTROL!$C$42, 70.8984, 70.8984) * CHOOSE(CONTROL!$C$21, $C$9, 100%, $E$9)</f>
        <v>70.898399999999995</v>
      </c>
      <c r="C817" s="14">
        <f>CHOOSE(CONTROL!$C$42, 70.9035, 70.9035) * CHOOSE(CONTROL!$C$21, $C$9, 100%, $E$9)</f>
        <v>70.903499999999994</v>
      </c>
      <c r="D817" s="14">
        <f>CHOOSE(CONTROL!$C$42, 70.9699, 70.9699) * CHOOSE(CONTROL!$C$21, $C$9, 100%, $E$9)</f>
        <v>70.969899999999996</v>
      </c>
      <c r="E817" s="14">
        <f>CHOOSE(CONTROL!$C$42, 71.004, 71.004) * CHOOSE(CONTROL!$C$21, $C$9, 100%, $E$9)</f>
        <v>71.004000000000005</v>
      </c>
      <c r="F817" s="14">
        <f>CHOOSE(CONTROL!$C$42, 70.8857, 70.8857)*CHOOSE(CONTROL!$C$21, $C$9, 100%, $E$9)</f>
        <v>70.8857</v>
      </c>
      <c r="G817" s="14">
        <f>CHOOSE(CONTROL!$C$42, 70.9012, 70.9012)*CHOOSE(CONTROL!$C$21, $C$9, 100%, $E$9)</f>
        <v>70.901200000000003</v>
      </c>
      <c r="H817" s="14">
        <f>CHOOSE(CONTROL!$C$42, 70.9932, 70.9932) * CHOOSE(CONTROL!$C$21, $C$9, 100%, $E$9)</f>
        <v>70.993200000000002</v>
      </c>
      <c r="I817" s="14">
        <f>CHOOSE(CONTROL!$C$42, 71.1281, 71.1281)* CHOOSE(CONTROL!$C$21, $C$9, 100%, $E$9)</f>
        <v>71.128100000000003</v>
      </c>
      <c r="J817" s="14">
        <f>CHOOSE(CONTROL!$C$42, 70.8787, 70.8787)* CHOOSE(CONTROL!$C$21, $C$9, 100%, $E$9)</f>
        <v>70.878699999999995</v>
      </c>
      <c r="K817" s="53">
        <f>CHOOSE(CONTROL!$C$42, 71.1242, 71.1242) * CHOOSE(CONTROL!$C$21, $C$9, 100%, $E$9)</f>
        <v>71.124200000000002</v>
      </c>
      <c r="L817" s="14">
        <f>CHOOSE(CONTROL!$C$42, 71.5802, 71.5802) * CHOOSE(CONTROL!$C$21, $C$9, 100%, $E$9)</f>
        <v>71.580200000000005</v>
      </c>
      <c r="M817" s="14">
        <f>CHOOSE(CONTROL!$C$42, 69.4342, 69.4342) * CHOOSE(CONTROL!$C$21, $C$9, 100%, $E$9)</f>
        <v>69.434200000000004</v>
      </c>
      <c r="N817" s="14">
        <f>CHOOSE(CONTROL!$C$42, 69.4493, 69.4493) * CHOOSE(CONTROL!$C$21, $C$9, 100%, $E$9)</f>
        <v>69.449299999999994</v>
      </c>
      <c r="O817" s="14">
        <f>CHOOSE(CONTROL!$C$42, 69.5463, 69.5463) * CHOOSE(CONTROL!$C$21, $C$9, 100%, $E$9)</f>
        <v>69.546300000000002</v>
      </c>
      <c r="P817" s="14">
        <f>CHOOSE(CONTROL!$C$42, 69.674, 69.674) * CHOOSE(CONTROL!$C$21, $C$9, 100%, $E$9)</f>
        <v>69.674000000000007</v>
      </c>
      <c r="Q817" s="14">
        <f>CHOOSE(CONTROL!$C$42, 70.141, 70.141) * CHOOSE(CONTROL!$C$21, $C$9, 100%, $E$9)</f>
        <v>70.141000000000005</v>
      </c>
      <c r="R817" s="14">
        <f>CHOOSE(CONTROL!$C$42, 70.9033, 70.9033) * CHOOSE(CONTROL!$C$21, $C$9, 100%, $E$9)</f>
        <v>70.903300000000002</v>
      </c>
      <c r="S817" s="14">
        <f>CHOOSE(CONTROL!$C$42, 68.1177, 68.1177) * CHOOSE(CONTROL!$C$21, $C$9, 100%, $E$9)</f>
        <v>68.117699999999999</v>
      </c>
      <c r="T81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17" s="57">
        <f>(1000*CHOOSE(CONTROL!$C$42, 695, 695)*CHOOSE(CONTROL!$C$42, 0.5599, 0.5599)*CHOOSE(CONTROL!$C$42, 31, 31))/1000000</f>
        <v>12.063045499999998</v>
      </c>
      <c r="V817" s="57">
        <f>(1000*CHOOSE(CONTROL!$C$42, 500, 500)*CHOOSE(CONTROL!$C$42, 0.275, 0.275)*CHOOSE(CONTROL!$C$42, 31, 31))/1000000</f>
        <v>4.2625000000000002</v>
      </c>
      <c r="W817" s="57">
        <f>(1000*CHOOSE(CONTROL!$C$42, 0.1146, 0.1146)*CHOOSE(CONTROL!$C$42, 121.5, 121.5)*CHOOSE(CONTROL!$C$42, 31, 31))/1000000</f>
        <v>0.43164089999999994</v>
      </c>
      <c r="X817" s="57">
        <f>(31*0.1790888*100000/1000000)+(31*0.2374*100000/1000000)</f>
        <v>1.2911152800000001</v>
      </c>
      <c r="Y817" s="57"/>
      <c r="Z817" s="14"/>
      <c r="AA817" s="56"/>
      <c r="AB817" s="50">
        <f>(B817*122.58+C817*297.941+D817*89.177+E817*40.302+F817*40+G817*160+H817*0+I817*100+J817*300)/(122.58+297.941+89.177+40.302+0+40+160+100+300)</f>
        <v>70.923749170260862</v>
      </c>
      <c r="AC817" s="45">
        <f>(M817*'RAP TEMPLATE-GAS AVAILABILITY'!O816+N817*'RAP TEMPLATE-GAS AVAILABILITY'!P816+O817*'RAP TEMPLATE-GAS AVAILABILITY'!Q816+P817*'RAP TEMPLATE-GAS AVAILABILITY'!R816)/('RAP TEMPLATE-GAS AVAILABILITY'!O816+'RAP TEMPLATE-GAS AVAILABILITY'!P816+'RAP TEMPLATE-GAS AVAILABILITY'!Q816+'RAP TEMPLATE-GAS AVAILABILITY'!R816)</f>
        <v>69.520380575539576</v>
      </c>
    </row>
    <row r="818" spans="1:29" ht="15.75" x14ac:dyDescent="0.25">
      <c r="A818" s="32">
        <v>65805</v>
      </c>
      <c r="B818" s="14">
        <f>CHOOSE(CONTROL!$C$42, 72.1603, 72.1603) * CHOOSE(CONTROL!$C$21, $C$9, 100%, $E$9)</f>
        <v>72.160300000000007</v>
      </c>
      <c r="C818" s="14">
        <f>CHOOSE(CONTROL!$C$42, 72.1654, 72.1654) * CHOOSE(CONTROL!$C$21, $C$9, 100%, $E$9)</f>
        <v>72.165400000000005</v>
      </c>
      <c r="D818" s="14">
        <f>CHOOSE(CONTROL!$C$42, 72.2318, 72.2318) * CHOOSE(CONTROL!$C$21, $C$9, 100%, $E$9)</f>
        <v>72.231800000000007</v>
      </c>
      <c r="E818" s="14">
        <f>CHOOSE(CONTROL!$C$42, 72.2659, 72.2659) * CHOOSE(CONTROL!$C$21, $C$9, 100%, $E$9)</f>
        <v>72.265900000000002</v>
      </c>
      <c r="F818" s="14">
        <f>CHOOSE(CONTROL!$C$42, 72.1477, 72.1477)*CHOOSE(CONTROL!$C$21, $C$9, 100%, $E$9)</f>
        <v>72.1477</v>
      </c>
      <c r="G818" s="14">
        <f>CHOOSE(CONTROL!$C$42, 72.1632, 72.1632)*CHOOSE(CONTROL!$C$21, $C$9, 100%, $E$9)</f>
        <v>72.163200000000003</v>
      </c>
      <c r="H818" s="14">
        <f>CHOOSE(CONTROL!$C$42, 72.2551, 72.2551) * CHOOSE(CONTROL!$C$21, $C$9, 100%, $E$9)</f>
        <v>72.255099999999999</v>
      </c>
      <c r="I818" s="14">
        <f>CHOOSE(CONTROL!$C$42, 72.3939, 72.3939)* CHOOSE(CONTROL!$C$21, $C$9, 100%, $E$9)</f>
        <v>72.393900000000002</v>
      </c>
      <c r="J818" s="14">
        <f>CHOOSE(CONTROL!$C$42, 72.1407, 72.1407)* CHOOSE(CONTROL!$C$21, $C$9, 100%, $E$9)</f>
        <v>72.140699999999995</v>
      </c>
      <c r="K818" s="53">
        <f>CHOOSE(CONTROL!$C$42, 72.3901, 72.3901) * CHOOSE(CONTROL!$C$21, $C$9, 100%, $E$9)</f>
        <v>72.390100000000004</v>
      </c>
      <c r="L818" s="14">
        <f>CHOOSE(CONTROL!$C$42, 72.8421, 72.8421) * CHOOSE(CONTROL!$C$21, $C$9, 100%, $E$9)</f>
        <v>72.842100000000002</v>
      </c>
      <c r="M818" s="14">
        <f>CHOOSE(CONTROL!$C$42, 70.6703, 70.6703) * CHOOSE(CONTROL!$C$21, $C$9, 100%, $E$9)</f>
        <v>70.670299999999997</v>
      </c>
      <c r="N818" s="14">
        <f>CHOOSE(CONTROL!$C$42, 70.6855, 70.6855) * CHOOSE(CONTROL!$C$21, $C$9, 100%, $E$9)</f>
        <v>70.685500000000005</v>
      </c>
      <c r="O818" s="14">
        <f>CHOOSE(CONTROL!$C$42, 70.7823, 70.7823) * CHOOSE(CONTROL!$C$21, $C$9, 100%, $E$9)</f>
        <v>70.782300000000006</v>
      </c>
      <c r="P818" s="14">
        <f>CHOOSE(CONTROL!$C$42, 70.9139, 70.9139) * CHOOSE(CONTROL!$C$21, $C$9, 100%, $E$9)</f>
        <v>70.913899999999998</v>
      </c>
      <c r="Q818" s="14">
        <f>CHOOSE(CONTROL!$C$42, 71.377, 71.377) * CHOOSE(CONTROL!$C$21, $C$9, 100%, $E$9)</f>
        <v>71.376999999999995</v>
      </c>
      <c r="R818" s="14">
        <f>CHOOSE(CONTROL!$C$42, 72.1425, 72.1425) * CHOOSE(CONTROL!$C$21, $C$9, 100%, $E$9)</f>
        <v>72.142499999999998</v>
      </c>
      <c r="S818" s="14">
        <f>CHOOSE(CONTROL!$C$42, 69.3303, 69.3303) * CHOOSE(CONTROL!$C$21, $C$9, 100%, $E$9)</f>
        <v>69.330299999999994</v>
      </c>
      <c r="T818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818" s="57">
        <f>(1000*CHOOSE(CONTROL!$C$42, 695, 695)*CHOOSE(CONTROL!$C$42, 0.5599, 0.5599)*CHOOSE(CONTROL!$C$42, 29, 29))/1000000</f>
        <v>11.284784499999999</v>
      </c>
      <c r="V818" s="57">
        <f>(1000*CHOOSE(CONTROL!$C$42, 500, 500)*CHOOSE(CONTROL!$C$42, 0.275, 0.275)*CHOOSE(CONTROL!$C$42, 29, 29))/1000000</f>
        <v>3.9874999999999998</v>
      </c>
      <c r="W818" s="57">
        <f>(1000*CHOOSE(CONTROL!$C$42, 0.1146, 0.1146)*CHOOSE(CONTROL!$C$42, 121.5, 121.5)*CHOOSE(CONTROL!$C$42, 29, 29))/1000000</f>
        <v>0.40379309999999996</v>
      </c>
      <c r="X818" s="57">
        <f>(29*0.1790888*100000/1000000)+(29*0.2374*100000/1000000)</f>
        <v>1.2078175199999999</v>
      </c>
      <c r="Y818" s="57"/>
      <c r="Z818" s="14"/>
      <c r="AA818" s="56"/>
      <c r="AB818" s="50">
        <f>(B818*122.58+C818*297.941+D818*89.177+E818*40.302+F818*40+G818*160+H818*0+I818*100+J818*300)/(122.58+297.941+89.177+40.302+0+40+160+100+300)</f>
        <v>72.186031778956533</v>
      </c>
      <c r="AC818" s="45">
        <f>(M818*'RAP TEMPLATE-GAS AVAILABILITY'!O817+N818*'RAP TEMPLATE-GAS AVAILABILITY'!P817+O818*'RAP TEMPLATE-GAS AVAILABILITY'!Q817+P818*'RAP TEMPLATE-GAS AVAILABILITY'!R817)/('RAP TEMPLATE-GAS AVAILABILITY'!O817+'RAP TEMPLATE-GAS AVAILABILITY'!P817+'RAP TEMPLATE-GAS AVAILABILITY'!Q817+'RAP TEMPLATE-GAS AVAILABILITY'!R817)</f>
        <v>70.756987769784175</v>
      </c>
    </row>
    <row r="819" spans="1:29" ht="15.75" x14ac:dyDescent="0.25">
      <c r="A819" s="32">
        <v>65836</v>
      </c>
      <c r="B819" s="14">
        <f>CHOOSE(CONTROL!$C$42, 70.1119, 70.1119) * CHOOSE(CONTROL!$C$21, $C$9, 100%, $E$9)</f>
        <v>70.111900000000006</v>
      </c>
      <c r="C819" s="14">
        <f>CHOOSE(CONTROL!$C$42, 70.117, 70.117) * CHOOSE(CONTROL!$C$21, $C$9, 100%, $E$9)</f>
        <v>70.117000000000004</v>
      </c>
      <c r="D819" s="14">
        <f>CHOOSE(CONTROL!$C$42, 70.1834, 70.1834) * CHOOSE(CONTROL!$C$21, $C$9, 100%, $E$9)</f>
        <v>70.183400000000006</v>
      </c>
      <c r="E819" s="14">
        <f>CHOOSE(CONTROL!$C$42, 70.2175, 70.2175) * CHOOSE(CONTROL!$C$21, $C$9, 100%, $E$9)</f>
        <v>70.217500000000001</v>
      </c>
      <c r="F819" s="14">
        <f>CHOOSE(CONTROL!$C$42, 70.0989, 70.0989)*CHOOSE(CONTROL!$C$21, $C$9, 100%, $E$9)</f>
        <v>70.0989</v>
      </c>
      <c r="G819" s="14">
        <f>CHOOSE(CONTROL!$C$42, 70.1143, 70.1143)*CHOOSE(CONTROL!$C$21, $C$9, 100%, $E$9)</f>
        <v>70.1143</v>
      </c>
      <c r="H819" s="14">
        <f>CHOOSE(CONTROL!$C$42, 70.2067, 70.2067) * CHOOSE(CONTROL!$C$21, $C$9, 100%, $E$9)</f>
        <v>70.206699999999998</v>
      </c>
      <c r="I819" s="14">
        <f>CHOOSE(CONTROL!$C$42, 70.3391, 70.3391)* CHOOSE(CONTROL!$C$21, $C$9, 100%, $E$9)</f>
        <v>70.339100000000002</v>
      </c>
      <c r="J819" s="14">
        <f>CHOOSE(CONTROL!$C$42, 70.0919, 70.0919)* CHOOSE(CONTROL!$C$21, $C$9, 100%, $E$9)</f>
        <v>70.091899999999995</v>
      </c>
      <c r="K819" s="53">
        <f>CHOOSE(CONTROL!$C$42, 70.3352, 70.3352) * CHOOSE(CONTROL!$C$21, $C$9, 100%, $E$9)</f>
        <v>70.3352</v>
      </c>
      <c r="L819" s="14">
        <f>CHOOSE(CONTROL!$C$42, 70.7937, 70.7937) * CHOOSE(CONTROL!$C$21, $C$9, 100%, $E$9)</f>
        <v>70.793700000000001</v>
      </c>
      <c r="M819" s="14">
        <f>CHOOSE(CONTROL!$C$42, 68.6635, 68.6635) * CHOOSE(CONTROL!$C$21, $C$9, 100%, $E$9)</f>
        <v>68.663499999999999</v>
      </c>
      <c r="N819" s="14">
        <f>CHOOSE(CONTROL!$C$42, 68.6786, 68.6786) * CHOOSE(CONTROL!$C$21, $C$9, 100%, $E$9)</f>
        <v>68.678600000000003</v>
      </c>
      <c r="O819" s="14">
        <f>CHOOSE(CONTROL!$C$42, 68.7759, 68.7759) * CHOOSE(CONTROL!$C$21, $C$9, 100%, $E$9)</f>
        <v>68.775899999999993</v>
      </c>
      <c r="P819" s="14">
        <f>CHOOSE(CONTROL!$C$42, 68.9013, 68.9013) * CHOOSE(CONTROL!$C$21, $C$9, 100%, $E$9)</f>
        <v>68.901300000000006</v>
      </c>
      <c r="Q819" s="14">
        <f>CHOOSE(CONTROL!$C$42, 69.3706, 69.3706) * CHOOSE(CONTROL!$C$21, $C$9, 100%, $E$9)</f>
        <v>69.370599999999996</v>
      </c>
      <c r="R819" s="14">
        <f>CHOOSE(CONTROL!$C$42, 70.131, 70.131) * CHOOSE(CONTROL!$C$21, $C$9, 100%, $E$9)</f>
        <v>70.131</v>
      </c>
      <c r="S819" s="14">
        <f>CHOOSE(CONTROL!$C$42, 67.362, 67.362) * CHOOSE(CONTROL!$C$21, $C$9, 100%, $E$9)</f>
        <v>67.361999999999995</v>
      </c>
      <c r="T81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19" s="57">
        <f>(1000*CHOOSE(CONTROL!$C$42, 695, 695)*CHOOSE(CONTROL!$C$42, 0.5599, 0.5599)*CHOOSE(CONTROL!$C$42, 31, 31))/1000000</f>
        <v>12.063045499999998</v>
      </c>
      <c r="V819" s="57">
        <f>(1000*CHOOSE(CONTROL!$C$42, 500, 500)*CHOOSE(CONTROL!$C$42, 0.275, 0.275)*CHOOSE(CONTROL!$C$42, 31, 31))/1000000</f>
        <v>4.2625000000000002</v>
      </c>
      <c r="W819" s="57">
        <f>(1000*CHOOSE(CONTROL!$C$42, 0.1146, 0.1146)*CHOOSE(CONTROL!$C$42, 121.5, 121.5)*CHOOSE(CONTROL!$C$42, 31, 31))/1000000</f>
        <v>0.43164089999999994</v>
      </c>
      <c r="X819" s="57">
        <f>(31*0.1790888*100000/1000000)+(31*0.2374*100000/1000000)</f>
        <v>1.2911152800000001</v>
      </c>
      <c r="Y819" s="57"/>
      <c r="Z819" s="14"/>
      <c r="AA819" s="56"/>
      <c r="AB819" s="50">
        <f>(B819*122.58+C819*297.941+D819*89.177+E819*40.302+F819*40+G819*160+H819*0+I819*100+J819*300)/(122.58+297.941+89.177+40.302+0+40+160+100+300)</f>
        <v>70.136887431130447</v>
      </c>
      <c r="AC819" s="45">
        <f>(M819*'RAP TEMPLATE-GAS AVAILABILITY'!O818+N819*'RAP TEMPLATE-GAS AVAILABILITY'!P818+O819*'RAP TEMPLATE-GAS AVAILABILITY'!Q818+P819*'RAP TEMPLATE-GAS AVAILABILITY'!R818)/('RAP TEMPLATE-GAS AVAILABILITY'!O818+'RAP TEMPLATE-GAS AVAILABILITY'!P818+'RAP TEMPLATE-GAS AVAILABILITY'!Q818+'RAP TEMPLATE-GAS AVAILABILITY'!R818)</f>
        <v>68.749528776978423</v>
      </c>
    </row>
    <row r="820" spans="1:29" ht="15.75" x14ac:dyDescent="0.25">
      <c r="A820" s="32">
        <v>65866</v>
      </c>
      <c r="B820" s="14">
        <f>CHOOSE(CONTROL!$C$42, 69.9032, 69.9032) * CHOOSE(CONTROL!$C$21, $C$9, 100%, $E$9)</f>
        <v>69.903199999999998</v>
      </c>
      <c r="C820" s="14">
        <f>CHOOSE(CONTROL!$C$42, 69.9077, 69.9077) * CHOOSE(CONTROL!$C$21, $C$9, 100%, $E$9)</f>
        <v>69.907700000000006</v>
      </c>
      <c r="D820" s="14">
        <f>CHOOSE(CONTROL!$C$42, 70.1148, 70.1148) * CHOOSE(CONTROL!$C$21, $C$9, 100%, $E$9)</f>
        <v>70.114800000000002</v>
      </c>
      <c r="E820" s="14">
        <f>CHOOSE(CONTROL!$C$42, 70.1469, 70.1469) * CHOOSE(CONTROL!$C$21, $C$9, 100%, $E$9)</f>
        <v>70.146900000000002</v>
      </c>
      <c r="F820" s="14">
        <f>CHOOSE(CONTROL!$C$42, 69.8851, 69.8851)*CHOOSE(CONTROL!$C$21, $C$9, 100%, $E$9)</f>
        <v>69.885099999999994</v>
      </c>
      <c r="G820" s="14">
        <f>CHOOSE(CONTROL!$C$42, 69.9003, 69.9003)*CHOOSE(CONTROL!$C$21, $C$9, 100%, $E$9)</f>
        <v>69.900300000000001</v>
      </c>
      <c r="H820" s="14">
        <f>CHOOSE(CONTROL!$C$42, 70.1366, 70.1366) * CHOOSE(CONTROL!$C$21, $C$9, 100%, $E$9)</f>
        <v>70.136600000000001</v>
      </c>
      <c r="I820" s="14">
        <f>CHOOSE(CONTROL!$C$42, 70.129, 70.129)* CHOOSE(CONTROL!$C$21, $C$9, 100%, $E$9)</f>
        <v>70.129000000000005</v>
      </c>
      <c r="J820" s="14">
        <f>CHOOSE(CONTROL!$C$42, 69.8781, 69.8781)* CHOOSE(CONTROL!$C$21, $C$9, 100%, $E$9)</f>
        <v>69.878100000000003</v>
      </c>
      <c r="K820" s="53">
        <f>CHOOSE(CONTROL!$C$42, 70.1251, 70.1251) * CHOOSE(CONTROL!$C$21, $C$9, 100%, $E$9)</f>
        <v>70.125100000000003</v>
      </c>
      <c r="L820" s="14">
        <f>CHOOSE(CONTROL!$C$42, 70.7236, 70.7236) * CHOOSE(CONTROL!$C$21, $C$9, 100%, $E$9)</f>
        <v>70.723600000000005</v>
      </c>
      <c r="M820" s="14">
        <f>CHOOSE(CONTROL!$C$42, 68.454, 68.454) * CHOOSE(CONTROL!$C$21, $C$9, 100%, $E$9)</f>
        <v>68.453999999999994</v>
      </c>
      <c r="N820" s="14">
        <f>CHOOSE(CONTROL!$C$42, 68.4689, 68.4689) * CHOOSE(CONTROL!$C$21, $C$9, 100%, $E$9)</f>
        <v>68.468900000000005</v>
      </c>
      <c r="O820" s="14">
        <f>CHOOSE(CONTROL!$C$42, 68.7073, 68.7073) * CHOOSE(CONTROL!$C$21, $C$9, 100%, $E$9)</f>
        <v>68.707300000000004</v>
      </c>
      <c r="P820" s="14">
        <f>CHOOSE(CONTROL!$C$42, 68.6954, 68.6954) * CHOOSE(CONTROL!$C$21, $C$9, 100%, $E$9)</f>
        <v>68.695400000000006</v>
      </c>
      <c r="Q820" s="14">
        <f>CHOOSE(CONTROL!$C$42, 69.302, 69.302) * CHOOSE(CONTROL!$C$21, $C$9, 100%, $E$9)</f>
        <v>69.302000000000007</v>
      </c>
      <c r="R820" s="14">
        <f>CHOOSE(CONTROL!$C$42, 70.0622, 70.0622) * CHOOSE(CONTROL!$C$21, $C$9, 100%, $E$9)</f>
        <v>70.062200000000004</v>
      </c>
      <c r="S820" s="14">
        <f>CHOOSE(CONTROL!$C$42, 67.1607, 67.1607) * CHOOSE(CONTROL!$C$21, $C$9, 100%, $E$9)</f>
        <v>67.160700000000006</v>
      </c>
      <c r="T82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20" s="57">
        <f>(1000*CHOOSE(CONTROL!$C$42, 695, 695)*CHOOSE(CONTROL!$C$42, 0.5599, 0.5599)*CHOOSE(CONTROL!$C$42, 30, 30))/1000000</f>
        <v>11.673914999999997</v>
      </c>
      <c r="V820" s="57">
        <f>(1000*CHOOSE(CONTROL!$C$42, 500, 500)*CHOOSE(CONTROL!$C$42, 0.275, 0.275)*CHOOSE(CONTROL!$C$42, 30, 30))/1000000</f>
        <v>4.125</v>
      </c>
      <c r="W820" s="57">
        <f>(1000*CHOOSE(CONTROL!$C$42, 0.1146, 0.1146)*CHOOSE(CONTROL!$C$42, 121.5, 121.5)*CHOOSE(CONTROL!$C$42, 30, 30))/1000000</f>
        <v>0.417717</v>
      </c>
      <c r="X820" s="57">
        <f>(30*0.1790888*245000/1000000)+(30*0.2374*100000/1000000)</f>
        <v>2.0285026799999999</v>
      </c>
      <c r="Y820" s="57"/>
      <c r="Z820" s="14"/>
      <c r="AA820" s="56"/>
      <c r="AB820" s="50">
        <f>(B820*141.293+C820*267.993+D820*115.016+E820*89.698+F820*40+G820*185+H820*0+I820*100+J820*300)/(141.293+267.993+115.016+89.698+0+40+185+100+300)</f>
        <v>69.952588423486688</v>
      </c>
      <c r="AC820" s="45">
        <f>(M820*'RAP TEMPLATE-GAS AVAILABILITY'!O819+N820*'RAP TEMPLATE-GAS AVAILABILITY'!P819+O820*'RAP TEMPLATE-GAS AVAILABILITY'!Q819+P820*'RAP TEMPLATE-GAS AVAILABILITY'!R819)/('RAP TEMPLATE-GAS AVAILABILITY'!O819+'RAP TEMPLATE-GAS AVAILABILITY'!P819+'RAP TEMPLATE-GAS AVAILABILITY'!Q819+'RAP TEMPLATE-GAS AVAILABILITY'!R819)</f>
        <v>68.604396402877697</v>
      </c>
    </row>
    <row r="821" spans="1:29" ht="15.75" x14ac:dyDescent="0.25">
      <c r="A821" s="32">
        <v>65897</v>
      </c>
      <c r="B821" s="14">
        <f>CHOOSE(CONTROL!$C$42, 70.5215, 70.5215) * CHOOSE(CONTROL!$C$21, $C$9, 100%, $E$9)</f>
        <v>70.521500000000003</v>
      </c>
      <c r="C821" s="14">
        <f>CHOOSE(CONTROL!$C$42, 70.5295, 70.5295) * CHOOSE(CONTROL!$C$21, $C$9, 100%, $E$9)</f>
        <v>70.529499999999999</v>
      </c>
      <c r="D821" s="14">
        <f>CHOOSE(CONTROL!$C$42, 70.7334, 70.7334) * CHOOSE(CONTROL!$C$21, $C$9, 100%, $E$9)</f>
        <v>70.733400000000003</v>
      </c>
      <c r="E821" s="14">
        <f>CHOOSE(CONTROL!$C$42, 70.7649, 70.7649) * CHOOSE(CONTROL!$C$21, $C$9, 100%, $E$9)</f>
        <v>70.764899999999997</v>
      </c>
      <c r="F821" s="14">
        <f>CHOOSE(CONTROL!$C$42, 70.5022, 70.5022)*CHOOSE(CONTROL!$C$21, $C$9, 100%, $E$9)</f>
        <v>70.502200000000002</v>
      </c>
      <c r="G821" s="14">
        <f>CHOOSE(CONTROL!$C$42, 70.5179, 70.5179)*CHOOSE(CONTROL!$C$21, $C$9, 100%, $E$9)</f>
        <v>70.517899999999997</v>
      </c>
      <c r="H821" s="14">
        <f>CHOOSE(CONTROL!$C$42, 70.7535, 70.7535) * CHOOSE(CONTROL!$C$21, $C$9, 100%, $E$9)</f>
        <v>70.753500000000003</v>
      </c>
      <c r="I821" s="14">
        <f>CHOOSE(CONTROL!$C$42, 70.7478, 70.7478)* CHOOSE(CONTROL!$C$21, $C$9, 100%, $E$9)</f>
        <v>70.747799999999998</v>
      </c>
      <c r="J821" s="14">
        <f>CHOOSE(CONTROL!$C$42, 70.4952, 70.4952)* CHOOSE(CONTROL!$C$21, $C$9, 100%, $E$9)</f>
        <v>70.495199999999997</v>
      </c>
      <c r="K821" s="53">
        <f>CHOOSE(CONTROL!$C$42, 70.7439, 70.7439) * CHOOSE(CONTROL!$C$21, $C$9, 100%, $E$9)</f>
        <v>70.743899999999996</v>
      </c>
      <c r="L821" s="14">
        <f>CHOOSE(CONTROL!$C$42, 71.3405, 71.3405) * CHOOSE(CONTROL!$C$21, $C$9, 100%, $E$9)</f>
        <v>71.340500000000006</v>
      </c>
      <c r="M821" s="14">
        <f>CHOOSE(CONTROL!$C$42, 69.0585, 69.0585) * CHOOSE(CONTROL!$C$21, $C$9, 100%, $E$9)</f>
        <v>69.058499999999995</v>
      </c>
      <c r="N821" s="14">
        <f>CHOOSE(CONTROL!$C$42, 69.0738, 69.0738) * CHOOSE(CONTROL!$C$21, $C$9, 100%, $E$9)</f>
        <v>69.073800000000006</v>
      </c>
      <c r="O821" s="14">
        <f>CHOOSE(CONTROL!$C$42, 69.3115, 69.3115) * CHOOSE(CONTROL!$C$21, $C$9, 100%, $E$9)</f>
        <v>69.311499999999995</v>
      </c>
      <c r="P821" s="14">
        <f>CHOOSE(CONTROL!$C$42, 69.3015, 69.3015) * CHOOSE(CONTROL!$C$21, $C$9, 100%, $E$9)</f>
        <v>69.301500000000004</v>
      </c>
      <c r="Q821" s="14">
        <f>CHOOSE(CONTROL!$C$42, 69.9062, 69.9062) * CHOOSE(CONTROL!$C$21, $C$9, 100%, $E$9)</f>
        <v>69.906199999999998</v>
      </c>
      <c r="R821" s="14">
        <f>CHOOSE(CONTROL!$C$42, 70.668, 70.668) * CHOOSE(CONTROL!$C$21, $C$9, 100%, $E$9)</f>
        <v>70.668000000000006</v>
      </c>
      <c r="S821" s="14">
        <f>CHOOSE(CONTROL!$C$42, 67.7534, 67.7534) * CHOOSE(CONTROL!$C$21, $C$9, 100%, $E$9)</f>
        <v>67.753399999999999</v>
      </c>
      <c r="T82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21" s="57">
        <f>(1000*CHOOSE(CONTROL!$C$42, 695, 695)*CHOOSE(CONTROL!$C$42, 0.5599, 0.5599)*CHOOSE(CONTROL!$C$42, 31, 31))/1000000</f>
        <v>12.063045499999998</v>
      </c>
      <c r="V821" s="57">
        <f>(1000*CHOOSE(CONTROL!$C$42, 500, 500)*CHOOSE(CONTROL!$C$42, 0.275, 0.275)*CHOOSE(CONTROL!$C$42, 31, 31))/1000000</f>
        <v>4.2625000000000002</v>
      </c>
      <c r="W821" s="57">
        <f>(1000*CHOOSE(CONTROL!$C$42, 0.1146, 0.1146)*CHOOSE(CONTROL!$C$42, 121.5, 121.5)*CHOOSE(CONTROL!$C$42, 31, 31))/1000000</f>
        <v>0.43164089999999994</v>
      </c>
      <c r="X821" s="57">
        <f>(31*0.1790888*245000/1000000)+(31*0.2374*100000/1000000)</f>
        <v>2.0961194359999999</v>
      </c>
      <c r="Y821" s="57"/>
      <c r="Z821" s="14"/>
      <c r="AA821" s="56"/>
      <c r="AB821" s="50">
        <f>(B821*194.205+C821*267.466+D821*133.845+E821*53.484+F821*40+G821*185+H821*0+I821*100+J821*300)/(194.205+267.466+133.845+53.484+0+40+185+100+300)</f>
        <v>70.566100854866562</v>
      </c>
      <c r="AC821" s="45">
        <f>(M821*'RAP TEMPLATE-GAS AVAILABILITY'!O820+N821*'RAP TEMPLATE-GAS AVAILABILITY'!P820+O821*'RAP TEMPLATE-GAS AVAILABILITY'!Q820+P821*'RAP TEMPLATE-GAS AVAILABILITY'!R820)/('RAP TEMPLATE-GAS AVAILABILITY'!O820+'RAP TEMPLATE-GAS AVAILABILITY'!P820+'RAP TEMPLATE-GAS AVAILABILITY'!Q820+'RAP TEMPLATE-GAS AVAILABILITY'!R820)</f>
        <v>69.209013669064745</v>
      </c>
    </row>
    <row r="822" spans="1:29" ht="15.75" x14ac:dyDescent="0.25">
      <c r="A822" s="32">
        <v>65927</v>
      </c>
      <c r="B822" s="14">
        <f>CHOOSE(CONTROL!$C$42, 72.5216, 72.5216) * CHOOSE(CONTROL!$C$21, $C$9, 100%, $E$9)</f>
        <v>72.521600000000007</v>
      </c>
      <c r="C822" s="14">
        <f>CHOOSE(CONTROL!$C$42, 72.5296, 72.5296) * CHOOSE(CONTROL!$C$21, $C$9, 100%, $E$9)</f>
        <v>72.529600000000002</v>
      </c>
      <c r="D822" s="14">
        <f>CHOOSE(CONTROL!$C$42, 72.7335, 72.7335) * CHOOSE(CONTROL!$C$21, $C$9, 100%, $E$9)</f>
        <v>72.733500000000006</v>
      </c>
      <c r="E822" s="14">
        <f>CHOOSE(CONTROL!$C$42, 72.765, 72.765) * CHOOSE(CONTROL!$C$21, $C$9, 100%, $E$9)</f>
        <v>72.765000000000001</v>
      </c>
      <c r="F822" s="14">
        <f>CHOOSE(CONTROL!$C$42, 72.5027, 72.5027)*CHOOSE(CONTROL!$C$21, $C$9, 100%, $E$9)</f>
        <v>72.502700000000004</v>
      </c>
      <c r="G822" s="14">
        <f>CHOOSE(CONTROL!$C$42, 72.5185, 72.5185)*CHOOSE(CONTROL!$C$21, $C$9, 100%, $E$9)</f>
        <v>72.518500000000003</v>
      </c>
      <c r="H822" s="14">
        <f>CHOOSE(CONTROL!$C$42, 72.7536, 72.7536) * CHOOSE(CONTROL!$C$21, $C$9, 100%, $E$9)</f>
        <v>72.753600000000006</v>
      </c>
      <c r="I822" s="14">
        <f>CHOOSE(CONTROL!$C$42, 72.7541, 72.7541)* CHOOSE(CONTROL!$C$21, $C$9, 100%, $E$9)</f>
        <v>72.754099999999994</v>
      </c>
      <c r="J822" s="14">
        <f>CHOOSE(CONTROL!$C$42, 72.4957, 72.4957)* CHOOSE(CONTROL!$C$21, $C$9, 100%, $E$9)</f>
        <v>72.495699999999999</v>
      </c>
      <c r="K822" s="53">
        <f>CHOOSE(CONTROL!$C$42, 72.7502, 72.7502) * CHOOSE(CONTROL!$C$21, $C$9, 100%, $E$9)</f>
        <v>72.750200000000007</v>
      </c>
      <c r="L822" s="14">
        <f>CHOOSE(CONTROL!$C$42, 73.3406, 73.3406) * CHOOSE(CONTROL!$C$21, $C$9, 100%, $E$9)</f>
        <v>73.340599999999995</v>
      </c>
      <c r="M822" s="14">
        <f>CHOOSE(CONTROL!$C$42, 71.018, 71.018) * CHOOSE(CONTROL!$C$21, $C$9, 100%, $E$9)</f>
        <v>71.018000000000001</v>
      </c>
      <c r="N822" s="14">
        <f>CHOOSE(CONTROL!$C$42, 71.0335, 71.0335) * CHOOSE(CONTROL!$C$21, $C$9, 100%, $E$9)</f>
        <v>71.033500000000004</v>
      </c>
      <c r="O822" s="14">
        <f>CHOOSE(CONTROL!$C$42, 71.2706, 71.2706) * CHOOSE(CONTROL!$C$21, $C$9, 100%, $E$9)</f>
        <v>71.270600000000002</v>
      </c>
      <c r="P822" s="14">
        <f>CHOOSE(CONTROL!$C$42, 71.2667, 71.2667) * CHOOSE(CONTROL!$C$21, $C$9, 100%, $E$9)</f>
        <v>71.2667</v>
      </c>
      <c r="Q822" s="14">
        <f>CHOOSE(CONTROL!$C$42, 71.8653, 71.8653) * CHOOSE(CONTROL!$C$21, $C$9, 100%, $E$9)</f>
        <v>71.865300000000005</v>
      </c>
      <c r="R822" s="14">
        <f>CHOOSE(CONTROL!$C$42, 72.632, 72.632) * CHOOSE(CONTROL!$C$21, $C$9, 100%, $E$9)</f>
        <v>72.632000000000005</v>
      </c>
      <c r="S822" s="14">
        <f>CHOOSE(CONTROL!$C$42, 69.6753, 69.6753) * CHOOSE(CONTROL!$C$21, $C$9, 100%, $E$9)</f>
        <v>69.675299999999993</v>
      </c>
      <c r="T82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22" s="57">
        <f>(1000*CHOOSE(CONTROL!$C$42, 695, 695)*CHOOSE(CONTROL!$C$42, 0.5599, 0.5599)*CHOOSE(CONTROL!$C$42, 30, 30))/1000000</f>
        <v>11.673914999999997</v>
      </c>
      <c r="V822" s="57">
        <f>(1000*CHOOSE(CONTROL!$C$42, 500, 500)*CHOOSE(CONTROL!$C$42, 0.275, 0.275)*CHOOSE(CONTROL!$C$42, 30, 30))/1000000</f>
        <v>4.125</v>
      </c>
      <c r="W822" s="57">
        <f>(1000*CHOOSE(CONTROL!$C$42, 0.1146, 0.1146)*CHOOSE(CONTROL!$C$42, 121.5, 121.5)*CHOOSE(CONTROL!$C$42, 30, 30))/1000000</f>
        <v>0.417717</v>
      </c>
      <c r="X822" s="57">
        <f>(30*0.1790888*245000/1000000)+(30*0.2374*100000/1000000)</f>
        <v>2.0285026799999999</v>
      </c>
      <c r="Y822" s="57"/>
      <c r="Z822" s="14"/>
      <c r="AA822" s="56"/>
      <c r="AB822" s="50">
        <f>(B822*194.205+C822*267.466+D822*133.845+E822*53.484+F822*40+G822*185+H822*0+I822*100+J822*300)/(194.205+267.466+133.845+53.484+0+40+185+100+300)</f>
        <v>72.566866867425446</v>
      </c>
      <c r="AC822" s="45">
        <f>(M822*'RAP TEMPLATE-GAS AVAILABILITY'!O821+N822*'RAP TEMPLATE-GAS AVAILABILITY'!P821+O822*'RAP TEMPLATE-GAS AVAILABILITY'!Q821+P822*'RAP TEMPLATE-GAS AVAILABILITY'!R821)/('RAP TEMPLATE-GAS AVAILABILITY'!O821+'RAP TEMPLATE-GAS AVAILABILITY'!P821+'RAP TEMPLATE-GAS AVAILABILITY'!Q821+'RAP TEMPLATE-GAS AVAILABILITY'!R821)</f>
        <v>71.16916402877699</v>
      </c>
    </row>
    <row r="823" spans="1:29" ht="15.75" x14ac:dyDescent="0.25">
      <c r="A823" s="32">
        <v>65958</v>
      </c>
      <c r="B823" s="14">
        <f>CHOOSE(CONTROL!$C$42, 71.1305, 71.1305) * CHOOSE(CONTROL!$C$21, $C$9, 100%, $E$9)</f>
        <v>71.130499999999998</v>
      </c>
      <c r="C823" s="14">
        <f>CHOOSE(CONTROL!$C$42, 71.1385, 71.1385) * CHOOSE(CONTROL!$C$21, $C$9, 100%, $E$9)</f>
        <v>71.138499999999993</v>
      </c>
      <c r="D823" s="14">
        <f>CHOOSE(CONTROL!$C$42, 71.3424, 71.3424) * CHOOSE(CONTROL!$C$21, $C$9, 100%, $E$9)</f>
        <v>71.342399999999998</v>
      </c>
      <c r="E823" s="14">
        <f>CHOOSE(CONTROL!$C$42, 71.3739, 71.3739) * CHOOSE(CONTROL!$C$21, $C$9, 100%, $E$9)</f>
        <v>71.373900000000006</v>
      </c>
      <c r="F823" s="14">
        <f>CHOOSE(CONTROL!$C$42, 71.1121, 71.1121)*CHOOSE(CONTROL!$C$21, $C$9, 100%, $E$9)</f>
        <v>71.112099999999998</v>
      </c>
      <c r="G823" s="14">
        <f>CHOOSE(CONTROL!$C$42, 71.128, 71.128)*CHOOSE(CONTROL!$C$21, $C$9, 100%, $E$9)</f>
        <v>71.128</v>
      </c>
      <c r="H823" s="14">
        <f>CHOOSE(CONTROL!$C$42, 71.3625, 71.3625) * CHOOSE(CONTROL!$C$21, $C$9, 100%, $E$9)</f>
        <v>71.362499999999997</v>
      </c>
      <c r="I823" s="14">
        <f>CHOOSE(CONTROL!$C$42, 71.3587, 71.3587)* CHOOSE(CONTROL!$C$21, $C$9, 100%, $E$9)</f>
        <v>71.358699999999999</v>
      </c>
      <c r="J823" s="14">
        <f>CHOOSE(CONTROL!$C$42, 71.1051, 71.1051)* CHOOSE(CONTROL!$C$21, $C$9, 100%, $E$9)</f>
        <v>71.105099999999993</v>
      </c>
      <c r="K823" s="53">
        <f>CHOOSE(CONTROL!$C$42, 71.3548, 71.3548) * CHOOSE(CONTROL!$C$21, $C$9, 100%, $E$9)</f>
        <v>71.354799999999997</v>
      </c>
      <c r="L823" s="14">
        <f>CHOOSE(CONTROL!$C$42, 71.9495, 71.9495) * CHOOSE(CONTROL!$C$21, $C$9, 100%, $E$9)</f>
        <v>71.9495</v>
      </c>
      <c r="M823" s="14">
        <f>CHOOSE(CONTROL!$C$42, 69.6559, 69.6559) * CHOOSE(CONTROL!$C$21, $C$9, 100%, $E$9)</f>
        <v>69.655900000000003</v>
      </c>
      <c r="N823" s="14">
        <f>CHOOSE(CONTROL!$C$42, 69.6715, 69.6715) * CHOOSE(CONTROL!$C$21, $C$9, 100%, $E$9)</f>
        <v>69.671499999999995</v>
      </c>
      <c r="O823" s="14">
        <f>CHOOSE(CONTROL!$C$42, 69.9081, 69.9081) * CHOOSE(CONTROL!$C$21, $C$9, 100%, $E$9)</f>
        <v>69.908100000000005</v>
      </c>
      <c r="P823" s="14">
        <f>CHOOSE(CONTROL!$C$42, 69.8999, 69.8999) * CHOOSE(CONTROL!$C$21, $C$9, 100%, $E$9)</f>
        <v>69.899900000000002</v>
      </c>
      <c r="Q823" s="14">
        <f>CHOOSE(CONTROL!$C$42, 70.5028, 70.5028) * CHOOSE(CONTROL!$C$21, $C$9, 100%, $E$9)</f>
        <v>70.502799999999993</v>
      </c>
      <c r="R823" s="14">
        <f>CHOOSE(CONTROL!$C$42, 71.266, 71.266) * CHOOSE(CONTROL!$C$21, $C$9, 100%, $E$9)</f>
        <v>71.266000000000005</v>
      </c>
      <c r="S823" s="14">
        <f>CHOOSE(CONTROL!$C$42, 68.3387, 68.3387) * CHOOSE(CONTROL!$C$21, $C$9, 100%, $E$9)</f>
        <v>68.338700000000003</v>
      </c>
      <c r="T82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23" s="57">
        <f>(1000*CHOOSE(CONTROL!$C$42, 695, 695)*CHOOSE(CONTROL!$C$42, 0.5599, 0.5599)*CHOOSE(CONTROL!$C$42, 31, 31))/1000000</f>
        <v>12.063045499999998</v>
      </c>
      <c r="V823" s="57">
        <f>(1000*CHOOSE(CONTROL!$C$42, 500, 500)*CHOOSE(CONTROL!$C$42, 0.275, 0.275)*CHOOSE(CONTROL!$C$42, 31, 31))/1000000</f>
        <v>4.2625000000000002</v>
      </c>
      <c r="W823" s="57">
        <f>(1000*CHOOSE(CONTROL!$C$42, 0.1146, 0.1146)*CHOOSE(CONTROL!$C$42, 121.5, 121.5)*CHOOSE(CONTROL!$C$42, 31, 31))/1000000</f>
        <v>0.43164089999999994</v>
      </c>
      <c r="X823" s="57">
        <f>(31*0.1790888*245000/1000000)+(31*0.2374*100000/1000000)</f>
        <v>2.0961194359999999</v>
      </c>
      <c r="Y823" s="57"/>
      <c r="Z823" s="14"/>
      <c r="AA823" s="56"/>
      <c r="AB823" s="50">
        <f>(B823*194.205+C823*267.466+D823*133.845+E823*53.484+F823*40+G823*185+H823*0+I823*100+J823*300)/(194.205+267.466+133.845+53.484+0+40+185+100+300)</f>
        <v>71.175649912951329</v>
      </c>
      <c r="AC823" s="45">
        <f>(M823*'RAP TEMPLATE-GAS AVAILABILITY'!O822+N823*'RAP TEMPLATE-GAS AVAILABILITY'!P822+O823*'RAP TEMPLATE-GAS AVAILABILITY'!Q822+P823*'RAP TEMPLATE-GAS AVAILABILITY'!R822)/('RAP TEMPLATE-GAS AVAILABILITY'!O822+'RAP TEMPLATE-GAS AVAILABILITY'!P822+'RAP TEMPLATE-GAS AVAILABILITY'!Q822+'RAP TEMPLATE-GAS AVAILABILITY'!R822)</f>
        <v>69.80621223021582</v>
      </c>
    </row>
    <row r="824" spans="1:29" ht="15.75" x14ac:dyDescent="0.25">
      <c r="A824" s="32">
        <v>65989</v>
      </c>
      <c r="B824" s="14">
        <f>CHOOSE(CONTROL!$C$42, 67.6176, 67.6176) * CHOOSE(CONTROL!$C$21, $C$9, 100%, $E$9)</f>
        <v>67.617599999999996</v>
      </c>
      <c r="C824" s="14">
        <f>CHOOSE(CONTROL!$C$42, 67.6256, 67.6256) * CHOOSE(CONTROL!$C$21, $C$9, 100%, $E$9)</f>
        <v>67.625600000000006</v>
      </c>
      <c r="D824" s="14">
        <f>CHOOSE(CONTROL!$C$42, 67.8295, 67.8295) * CHOOSE(CONTROL!$C$21, $C$9, 100%, $E$9)</f>
        <v>67.829499999999996</v>
      </c>
      <c r="E824" s="14">
        <f>CHOOSE(CONTROL!$C$42, 67.861, 67.861) * CHOOSE(CONTROL!$C$21, $C$9, 100%, $E$9)</f>
        <v>67.861000000000004</v>
      </c>
      <c r="F824" s="14">
        <f>CHOOSE(CONTROL!$C$42, 67.5994, 67.5994)*CHOOSE(CONTROL!$C$21, $C$9, 100%, $E$9)</f>
        <v>67.599400000000003</v>
      </c>
      <c r="G824" s="14">
        <f>CHOOSE(CONTROL!$C$42, 67.6154, 67.6154)*CHOOSE(CONTROL!$C$21, $C$9, 100%, $E$9)</f>
        <v>67.615399999999994</v>
      </c>
      <c r="H824" s="14">
        <f>CHOOSE(CONTROL!$C$42, 67.8496, 67.8496) * CHOOSE(CONTROL!$C$21, $C$9, 100%, $E$9)</f>
        <v>67.849599999999995</v>
      </c>
      <c r="I824" s="14">
        <f>CHOOSE(CONTROL!$C$42, 67.8348, 67.8348)* CHOOSE(CONTROL!$C$21, $C$9, 100%, $E$9)</f>
        <v>67.834800000000001</v>
      </c>
      <c r="J824" s="14">
        <f>CHOOSE(CONTROL!$C$42, 67.5924, 67.5924)* CHOOSE(CONTROL!$C$21, $C$9, 100%, $E$9)</f>
        <v>67.592399999999998</v>
      </c>
      <c r="K824" s="53">
        <f>CHOOSE(CONTROL!$C$42, 67.8309, 67.8309) * CHOOSE(CONTROL!$C$21, $C$9, 100%, $E$9)</f>
        <v>67.8309</v>
      </c>
      <c r="L824" s="14">
        <f>CHOOSE(CONTROL!$C$42, 68.4366, 68.4366) * CHOOSE(CONTROL!$C$21, $C$9, 100%, $E$9)</f>
        <v>68.436599999999999</v>
      </c>
      <c r="M824" s="14">
        <f>CHOOSE(CONTROL!$C$42, 66.2152, 66.2152) * CHOOSE(CONTROL!$C$21, $C$9, 100%, $E$9)</f>
        <v>66.215199999999996</v>
      </c>
      <c r="N824" s="14">
        <f>CHOOSE(CONTROL!$C$42, 66.2308, 66.2308) * CHOOSE(CONTROL!$C$21, $C$9, 100%, $E$9)</f>
        <v>66.230800000000002</v>
      </c>
      <c r="O824" s="14">
        <f>CHOOSE(CONTROL!$C$42, 66.4671, 66.4671) * CHOOSE(CONTROL!$C$21, $C$9, 100%, $E$9)</f>
        <v>66.467100000000002</v>
      </c>
      <c r="P824" s="14">
        <f>CHOOSE(CONTROL!$C$42, 66.4484, 66.4484) * CHOOSE(CONTROL!$C$21, $C$9, 100%, $E$9)</f>
        <v>66.448400000000007</v>
      </c>
      <c r="Q824" s="14">
        <f>CHOOSE(CONTROL!$C$42, 67.0618, 67.0618) * CHOOSE(CONTROL!$C$21, $C$9, 100%, $E$9)</f>
        <v>67.061800000000005</v>
      </c>
      <c r="R824" s="14">
        <f>CHOOSE(CONTROL!$C$42, 67.8165, 67.8165) * CHOOSE(CONTROL!$C$21, $C$9, 100%, $E$9)</f>
        <v>67.816500000000005</v>
      </c>
      <c r="S824" s="14">
        <f>CHOOSE(CONTROL!$C$42, 64.9631, 64.9631) * CHOOSE(CONTROL!$C$21, $C$9, 100%, $E$9)</f>
        <v>64.963099999999997</v>
      </c>
      <c r="T82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24" s="57">
        <f>(1000*CHOOSE(CONTROL!$C$42, 695, 695)*CHOOSE(CONTROL!$C$42, 0.5599, 0.5599)*CHOOSE(CONTROL!$C$42, 31, 31))/1000000</f>
        <v>12.063045499999998</v>
      </c>
      <c r="V824" s="57">
        <f>(1000*CHOOSE(CONTROL!$C$42, 500, 500)*CHOOSE(CONTROL!$C$42, 0.275, 0.275)*CHOOSE(CONTROL!$C$42, 31, 31))/1000000</f>
        <v>4.2625000000000002</v>
      </c>
      <c r="W824" s="57">
        <f>(1000*CHOOSE(CONTROL!$C$42, 0.1146, 0.1146)*CHOOSE(CONTROL!$C$42, 121.5, 121.5)*CHOOSE(CONTROL!$C$42, 31, 31))/1000000</f>
        <v>0.43164089999999994</v>
      </c>
      <c r="X824" s="57">
        <f>(31*0.1790888*245000/1000000)+(31*0.2374*100000/1000000)</f>
        <v>2.0961194359999999</v>
      </c>
      <c r="Y824" s="57"/>
      <c r="Z824" s="14"/>
      <c r="AA824" s="56"/>
      <c r="AB824" s="50">
        <f>(B824*194.205+C824*267.466+D824*133.845+E824*53.484+F824*40+G824*185+H824*0+I824*100+J824*300)/(194.205+267.466+133.845+53.484+0+40+185+100+300)</f>
        <v>67.661983429434855</v>
      </c>
      <c r="AC824" s="45">
        <f>(M824*'RAP TEMPLATE-GAS AVAILABILITY'!O823+N824*'RAP TEMPLATE-GAS AVAILABILITY'!P823+O824*'RAP TEMPLATE-GAS AVAILABILITY'!Q823+P824*'RAP TEMPLATE-GAS AVAILABILITY'!R823)/('RAP TEMPLATE-GAS AVAILABILITY'!O823+'RAP TEMPLATE-GAS AVAILABILITY'!P823+'RAP TEMPLATE-GAS AVAILABILITY'!Q823+'RAP TEMPLATE-GAS AVAILABILITY'!R823)</f>
        <v>66.363822302158269</v>
      </c>
    </row>
    <row r="825" spans="1:29" ht="15.75" x14ac:dyDescent="0.25">
      <c r="A825" s="32">
        <v>66019</v>
      </c>
      <c r="B825" s="14">
        <f>CHOOSE(CONTROL!$C$42, 63.3251, 63.3251) * CHOOSE(CONTROL!$C$21, $C$9, 100%, $E$9)</f>
        <v>63.325099999999999</v>
      </c>
      <c r="C825" s="14">
        <f>CHOOSE(CONTROL!$C$42, 63.3331, 63.3331) * CHOOSE(CONTROL!$C$21, $C$9, 100%, $E$9)</f>
        <v>63.333100000000002</v>
      </c>
      <c r="D825" s="14">
        <f>CHOOSE(CONTROL!$C$42, 63.537, 63.537) * CHOOSE(CONTROL!$C$21, $C$9, 100%, $E$9)</f>
        <v>63.536999999999999</v>
      </c>
      <c r="E825" s="14">
        <f>CHOOSE(CONTROL!$C$42, 63.5685, 63.5685) * CHOOSE(CONTROL!$C$21, $C$9, 100%, $E$9)</f>
        <v>63.5685</v>
      </c>
      <c r="F825" s="14">
        <f>CHOOSE(CONTROL!$C$42, 63.307, 63.307)*CHOOSE(CONTROL!$C$21, $C$9, 100%, $E$9)</f>
        <v>63.307000000000002</v>
      </c>
      <c r="G825" s="14">
        <f>CHOOSE(CONTROL!$C$42, 63.3229, 63.3229)*CHOOSE(CONTROL!$C$21, $C$9, 100%, $E$9)</f>
        <v>63.322899999999997</v>
      </c>
      <c r="H825" s="14">
        <f>CHOOSE(CONTROL!$C$42, 63.5571, 63.5571) * CHOOSE(CONTROL!$C$21, $C$9, 100%, $E$9)</f>
        <v>63.557099999999998</v>
      </c>
      <c r="I825" s="14">
        <f>CHOOSE(CONTROL!$C$42, 63.5288, 63.5288)* CHOOSE(CONTROL!$C$21, $C$9, 100%, $E$9)</f>
        <v>63.528799999999997</v>
      </c>
      <c r="J825" s="14">
        <f>CHOOSE(CONTROL!$C$42, 63.3, 63.3)* CHOOSE(CONTROL!$C$21, $C$9, 100%, $E$9)</f>
        <v>63.3</v>
      </c>
      <c r="K825" s="53">
        <f>CHOOSE(CONTROL!$C$42, 63.5249, 63.5249) * CHOOSE(CONTROL!$C$21, $C$9, 100%, $E$9)</f>
        <v>63.524900000000002</v>
      </c>
      <c r="L825" s="14">
        <f>CHOOSE(CONTROL!$C$42, 64.1441, 64.1441) * CHOOSE(CONTROL!$C$21, $C$9, 100%, $E$9)</f>
        <v>64.144099999999995</v>
      </c>
      <c r="M825" s="14">
        <f>CHOOSE(CONTROL!$C$42, 62.0107, 62.0107) * CHOOSE(CONTROL!$C$21, $C$9, 100%, $E$9)</f>
        <v>62.0107</v>
      </c>
      <c r="N825" s="14">
        <f>CHOOSE(CONTROL!$C$42, 62.0263, 62.0263) * CHOOSE(CONTROL!$C$21, $C$9, 100%, $E$9)</f>
        <v>62.026299999999999</v>
      </c>
      <c r="O825" s="14">
        <f>CHOOSE(CONTROL!$C$42, 62.2626, 62.2626) * CHOOSE(CONTROL!$C$21, $C$9, 100%, $E$9)</f>
        <v>62.262599999999999</v>
      </c>
      <c r="P825" s="14">
        <f>CHOOSE(CONTROL!$C$42, 62.2309, 62.2309) * CHOOSE(CONTROL!$C$21, $C$9, 100%, $E$9)</f>
        <v>62.230899999999998</v>
      </c>
      <c r="Q825" s="14">
        <f>CHOOSE(CONTROL!$C$42, 62.8573, 62.8573) * CHOOSE(CONTROL!$C$21, $C$9, 100%, $E$9)</f>
        <v>62.857300000000002</v>
      </c>
      <c r="R825" s="14">
        <f>CHOOSE(CONTROL!$C$42, 63.6014, 63.6014) * CHOOSE(CONTROL!$C$21, $C$9, 100%, $E$9)</f>
        <v>63.601399999999998</v>
      </c>
      <c r="S825" s="14">
        <f>CHOOSE(CONTROL!$C$42, 60.8384, 60.8384) * CHOOSE(CONTROL!$C$21, $C$9, 100%, $E$9)</f>
        <v>60.8384</v>
      </c>
      <c r="T82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25" s="57">
        <f>(1000*CHOOSE(CONTROL!$C$42, 695, 695)*CHOOSE(CONTROL!$C$42, 0.5599, 0.5599)*CHOOSE(CONTROL!$C$42, 30, 30))/1000000</f>
        <v>11.673914999999997</v>
      </c>
      <c r="V825" s="57">
        <f>(1000*CHOOSE(CONTROL!$C$42, 500, 500)*CHOOSE(CONTROL!$C$42, 0.275, 0.275)*CHOOSE(CONTROL!$C$42, 30, 30))/1000000</f>
        <v>4.125</v>
      </c>
      <c r="W825" s="57">
        <f>(1000*CHOOSE(CONTROL!$C$42, 0.1146, 0.1146)*CHOOSE(CONTROL!$C$42, 121.5, 121.5)*CHOOSE(CONTROL!$C$42, 30, 30))/1000000</f>
        <v>0.417717</v>
      </c>
      <c r="X825" s="57">
        <f>(30*0.1790888*245000/1000000)+(30*0.2374*100000/1000000)</f>
        <v>2.0285026799999999</v>
      </c>
      <c r="Y825" s="57"/>
      <c r="Z825" s="14"/>
      <c r="AA825" s="56"/>
      <c r="AB825" s="50">
        <f>(B825*194.205+C825*267.466+D825*133.845+E825*53.484+F825*40+G825*185+H825*0+I825*100+J825*300)/(194.205+267.466+133.845+53.484+0+40+185+100+300)</f>
        <v>63.368450462401874</v>
      </c>
      <c r="AC825" s="45">
        <f>(M825*'RAP TEMPLATE-GAS AVAILABILITY'!O824+N825*'RAP TEMPLATE-GAS AVAILABILITY'!P824+O825*'RAP TEMPLATE-GAS AVAILABILITY'!Q824+P825*'RAP TEMPLATE-GAS AVAILABILITY'!R824)/('RAP TEMPLATE-GAS AVAILABILITY'!O824+'RAP TEMPLATE-GAS AVAILABILITY'!P824+'RAP TEMPLATE-GAS AVAILABILITY'!Q824+'RAP TEMPLATE-GAS AVAILABILITY'!R824)</f>
        <v>62.157451798561155</v>
      </c>
    </row>
    <row r="826" spans="1:29" ht="15.75" x14ac:dyDescent="0.25">
      <c r="A826" s="32">
        <v>66050</v>
      </c>
      <c r="B826" s="14">
        <f>CHOOSE(CONTROL!$C$42, 62.0378, 62.0378) * CHOOSE(CONTROL!$C$21, $C$9, 100%, $E$9)</f>
        <v>62.037799999999997</v>
      </c>
      <c r="C826" s="14">
        <f>CHOOSE(CONTROL!$C$42, 62.0431, 62.0431) * CHOOSE(CONTROL!$C$21, $C$9, 100%, $E$9)</f>
        <v>62.043100000000003</v>
      </c>
      <c r="D826" s="14">
        <f>CHOOSE(CONTROL!$C$42, 62.252, 62.252) * CHOOSE(CONTROL!$C$21, $C$9, 100%, $E$9)</f>
        <v>62.252000000000002</v>
      </c>
      <c r="E826" s="14">
        <f>CHOOSE(CONTROL!$C$42, 62.2811, 62.2811) * CHOOSE(CONTROL!$C$21, $C$9, 100%, $E$9)</f>
        <v>62.281100000000002</v>
      </c>
      <c r="F826" s="14">
        <f>CHOOSE(CONTROL!$C$42, 62.0218, 62.0218)*CHOOSE(CONTROL!$C$21, $C$9, 100%, $E$9)</f>
        <v>62.021799999999999</v>
      </c>
      <c r="G826" s="14">
        <f>CHOOSE(CONTROL!$C$42, 62.0374, 62.0374)*CHOOSE(CONTROL!$C$21, $C$9, 100%, $E$9)</f>
        <v>62.037399999999998</v>
      </c>
      <c r="H826" s="14">
        <f>CHOOSE(CONTROL!$C$42, 62.2716, 62.2716) * CHOOSE(CONTROL!$C$21, $C$9, 100%, $E$9)</f>
        <v>62.271599999999999</v>
      </c>
      <c r="I826" s="14">
        <f>CHOOSE(CONTROL!$C$42, 62.2393, 62.2393)* CHOOSE(CONTROL!$C$21, $C$9, 100%, $E$9)</f>
        <v>62.2393</v>
      </c>
      <c r="J826" s="14">
        <f>CHOOSE(CONTROL!$C$42, 62.0148, 62.0148)* CHOOSE(CONTROL!$C$21, $C$9, 100%, $E$9)</f>
        <v>62.014800000000001</v>
      </c>
      <c r="K826" s="53">
        <f>CHOOSE(CONTROL!$C$42, 62.2354, 62.2354) * CHOOSE(CONTROL!$C$21, $C$9, 100%, $E$9)</f>
        <v>62.235399999999998</v>
      </c>
      <c r="L826" s="14">
        <f>CHOOSE(CONTROL!$C$42, 62.8586, 62.8586) * CHOOSE(CONTROL!$C$21, $C$9, 100%, $E$9)</f>
        <v>62.858600000000003</v>
      </c>
      <c r="M826" s="14">
        <f>CHOOSE(CONTROL!$C$42, 60.7518, 60.7518) * CHOOSE(CONTROL!$C$21, $C$9, 100%, $E$9)</f>
        <v>60.751800000000003</v>
      </c>
      <c r="N826" s="14">
        <f>CHOOSE(CONTROL!$C$42, 60.7672, 60.7672) * CHOOSE(CONTROL!$C$21, $C$9, 100%, $E$9)</f>
        <v>60.767200000000003</v>
      </c>
      <c r="O826" s="14">
        <f>CHOOSE(CONTROL!$C$42, 61.0034, 61.0034) * CHOOSE(CONTROL!$C$21, $C$9, 100%, $E$9)</f>
        <v>61.003399999999999</v>
      </c>
      <c r="P826" s="14">
        <f>CHOOSE(CONTROL!$C$42, 60.9679, 60.9679) * CHOOSE(CONTROL!$C$21, $C$9, 100%, $E$9)</f>
        <v>60.9679</v>
      </c>
      <c r="Q826" s="14">
        <f>CHOOSE(CONTROL!$C$42, 61.5981, 61.5981) * CHOOSE(CONTROL!$C$21, $C$9, 100%, $E$9)</f>
        <v>61.598100000000002</v>
      </c>
      <c r="R826" s="14">
        <f>CHOOSE(CONTROL!$C$42, 62.3391, 62.3391) * CHOOSE(CONTROL!$C$21, $C$9, 100%, $E$9)</f>
        <v>62.339100000000002</v>
      </c>
      <c r="S826" s="14">
        <f>CHOOSE(CONTROL!$C$42, 59.6032, 59.6032) * CHOOSE(CONTROL!$C$21, $C$9, 100%, $E$9)</f>
        <v>59.603200000000001</v>
      </c>
      <c r="T82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26" s="57">
        <f>(1000*CHOOSE(CONTROL!$C$42, 695, 695)*CHOOSE(CONTROL!$C$42, 0.5599, 0.5599)*CHOOSE(CONTROL!$C$42, 31, 31))/1000000</f>
        <v>12.063045499999998</v>
      </c>
      <c r="V826" s="57">
        <f>(1000*CHOOSE(CONTROL!$C$42, 500, 500)*CHOOSE(CONTROL!$C$42, 0.275, 0.275)*CHOOSE(CONTROL!$C$42, 31, 31))/1000000</f>
        <v>4.2625000000000002</v>
      </c>
      <c r="W826" s="57">
        <f>(1000*CHOOSE(CONTROL!$C$42, 0.1146, 0.1146)*CHOOSE(CONTROL!$C$42, 121.5, 121.5)*CHOOSE(CONTROL!$C$42, 31, 31))/1000000</f>
        <v>0.43164089999999994</v>
      </c>
      <c r="X826" s="57">
        <f>(31*0.1790888*245000/1000000)+(31*0.2374*100000/1000000)</f>
        <v>2.0961194359999999</v>
      </c>
      <c r="Y826" s="57"/>
      <c r="Z826" s="14"/>
      <c r="AA826" s="56"/>
      <c r="AB826" s="50">
        <f>(B826*131.881+C826*277.167+D826*79.08+E826*125.872+F826*40+G826*185+H826*0+I826*100+J826*300)/(131.881+277.167+79.08+125.872+0+40+185+100+300)</f>
        <v>62.087492153914454</v>
      </c>
      <c r="AC826" s="45">
        <f>(M826*'RAP TEMPLATE-GAS AVAILABILITY'!O825+N826*'RAP TEMPLATE-GAS AVAILABILITY'!P825+O826*'RAP TEMPLATE-GAS AVAILABILITY'!Q825+P826*'RAP TEMPLATE-GAS AVAILABILITY'!R825)/('RAP TEMPLATE-GAS AVAILABILITY'!O825+'RAP TEMPLATE-GAS AVAILABILITY'!P825+'RAP TEMPLATE-GAS AVAILABILITY'!Q825+'RAP TEMPLATE-GAS AVAILABILITY'!R825)</f>
        <v>60.897814388489216</v>
      </c>
    </row>
    <row r="827" spans="1:29" ht="15.75" x14ac:dyDescent="0.25">
      <c r="A827" s="32">
        <v>66080</v>
      </c>
      <c r="B827" s="14">
        <f>CHOOSE(CONTROL!$C$42, 63.6715, 63.6715) * CHOOSE(CONTROL!$C$21, $C$9, 100%, $E$9)</f>
        <v>63.671500000000002</v>
      </c>
      <c r="C827" s="14">
        <f>CHOOSE(CONTROL!$C$42, 63.6765, 63.6765) * CHOOSE(CONTROL!$C$21, $C$9, 100%, $E$9)</f>
        <v>63.676499999999997</v>
      </c>
      <c r="D827" s="14">
        <f>CHOOSE(CONTROL!$C$42, 63.7404, 63.7404) * CHOOSE(CONTROL!$C$21, $C$9, 100%, $E$9)</f>
        <v>63.740400000000001</v>
      </c>
      <c r="E827" s="14">
        <f>CHOOSE(CONTROL!$C$42, 63.7745, 63.7745) * CHOOSE(CONTROL!$C$21, $C$9, 100%, $E$9)</f>
        <v>63.774500000000003</v>
      </c>
      <c r="F827" s="14">
        <f>CHOOSE(CONTROL!$C$42, 63.6739, 63.6739)*CHOOSE(CONTROL!$C$21, $C$9, 100%, $E$9)</f>
        <v>63.673900000000003</v>
      </c>
      <c r="G827" s="14">
        <f>CHOOSE(CONTROL!$C$42, 63.6899, 63.6899)*CHOOSE(CONTROL!$C$21, $C$9, 100%, $E$9)</f>
        <v>63.689900000000002</v>
      </c>
      <c r="H827" s="14">
        <f>CHOOSE(CONTROL!$C$42, 63.7637, 63.7637) * CHOOSE(CONTROL!$C$21, $C$9, 100%, $E$9)</f>
        <v>63.7637</v>
      </c>
      <c r="I827" s="14">
        <f>CHOOSE(CONTROL!$C$42, 63.8837, 63.8837)* CHOOSE(CONTROL!$C$21, $C$9, 100%, $E$9)</f>
        <v>63.883699999999997</v>
      </c>
      <c r="J827" s="14">
        <f>CHOOSE(CONTROL!$C$42, 63.6669, 63.6669)* CHOOSE(CONTROL!$C$21, $C$9, 100%, $E$9)</f>
        <v>63.666899999999998</v>
      </c>
      <c r="K827" s="53">
        <f>CHOOSE(CONTROL!$C$42, 63.8798, 63.8798) * CHOOSE(CONTROL!$C$21, $C$9, 100%, $E$9)</f>
        <v>63.879800000000003</v>
      </c>
      <c r="L827" s="14">
        <f>CHOOSE(CONTROL!$C$42, 64.3507, 64.3507) * CHOOSE(CONTROL!$C$21, $C$9, 100%, $E$9)</f>
        <v>64.350700000000003</v>
      </c>
      <c r="M827" s="14">
        <f>CHOOSE(CONTROL!$C$42, 62.3701, 62.3701) * CHOOSE(CONTROL!$C$21, $C$9, 100%, $E$9)</f>
        <v>62.370100000000001</v>
      </c>
      <c r="N827" s="14">
        <f>CHOOSE(CONTROL!$C$42, 62.3858, 62.3858) * CHOOSE(CONTROL!$C$21, $C$9, 100%, $E$9)</f>
        <v>62.385800000000003</v>
      </c>
      <c r="O827" s="14">
        <f>CHOOSE(CONTROL!$C$42, 62.4649, 62.4649) * CHOOSE(CONTROL!$C$21, $C$9, 100%, $E$9)</f>
        <v>62.4649</v>
      </c>
      <c r="P827" s="14">
        <f>CHOOSE(CONTROL!$C$42, 62.5786, 62.5786) * CHOOSE(CONTROL!$C$21, $C$9, 100%, $E$9)</f>
        <v>62.578600000000002</v>
      </c>
      <c r="Q827" s="14">
        <f>CHOOSE(CONTROL!$C$42, 63.0596, 63.0596) * CHOOSE(CONTROL!$C$21, $C$9, 100%, $E$9)</f>
        <v>63.059600000000003</v>
      </c>
      <c r="R827" s="14">
        <f>CHOOSE(CONTROL!$C$42, 63.8042, 63.8042) * CHOOSE(CONTROL!$C$21, $C$9, 100%, $E$9)</f>
        <v>63.804200000000002</v>
      </c>
      <c r="S827" s="14">
        <f>CHOOSE(CONTROL!$C$42, 61.1734, 61.1734) * CHOOSE(CONTROL!$C$21, $C$9, 100%, $E$9)</f>
        <v>61.173400000000001</v>
      </c>
      <c r="T82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27" s="57">
        <f>(1000*CHOOSE(CONTROL!$C$42, 695, 695)*CHOOSE(CONTROL!$C$42, 0.5599, 0.5599)*CHOOSE(CONTROL!$C$42, 30, 30))/1000000</f>
        <v>11.673914999999997</v>
      </c>
      <c r="V827" s="57">
        <f>(1000*CHOOSE(CONTROL!$C$42, 500, 500)*CHOOSE(CONTROL!$C$42, 0.275, 0.275)*CHOOSE(CONTROL!$C$42, 30, 30))/1000000</f>
        <v>4.125</v>
      </c>
      <c r="W827" s="57">
        <f>(1000*CHOOSE(CONTROL!$C$42, 0.1146, 0.1146)*CHOOSE(CONTROL!$C$42, 121.5, 121.5)*CHOOSE(CONTROL!$C$42, 30, 30))/1000000</f>
        <v>0.417717</v>
      </c>
      <c r="X827" s="57">
        <f>(30*0.1790888*100000/1000000)+(30*0.2374*100000/1000000)</f>
        <v>1.2494664</v>
      </c>
      <c r="Y827" s="57"/>
      <c r="Z827" s="14"/>
      <c r="AA827" s="56"/>
      <c r="AB827" s="50">
        <f>(B827*122.58+C827*297.941+D827*89.177+E827*40.302+F827*40+G827*160+H827*0+I827*100+J827*300)/(122.58+297.941+89.177+40.302+0+40+160+100+300)</f>
        <v>63.701643570695644</v>
      </c>
      <c r="AC827" s="45">
        <f>(M827*'RAP TEMPLATE-GAS AVAILABILITY'!O826+N827*'RAP TEMPLATE-GAS AVAILABILITY'!P826+O827*'RAP TEMPLATE-GAS AVAILABILITY'!Q826+P827*'RAP TEMPLATE-GAS AVAILABILITY'!R826)/('RAP TEMPLATE-GAS AVAILABILITY'!O826+'RAP TEMPLATE-GAS AVAILABILITY'!P826+'RAP TEMPLATE-GAS AVAILABILITY'!Q826+'RAP TEMPLATE-GAS AVAILABILITY'!R826)</f>
        <v>62.443970503597129</v>
      </c>
    </row>
    <row r="828" spans="1:29" ht="15.75" x14ac:dyDescent="0.25">
      <c r="A828" s="32">
        <v>66111</v>
      </c>
      <c r="B828" s="14">
        <f>CHOOSE(CONTROL!$C$42, 68.0119, 68.0119) * CHOOSE(CONTROL!$C$21, $C$9, 100%, $E$9)</f>
        <v>68.011899999999997</v>
      </c>
      <c r="C828" s="14">
        <f>CHOOSE(CONTROL!$C$42, 68.017, 68.017) * CHOOSE(CONTROL!$C$21, $C$9, 100%, $E$9)</f>
        <v>68.016999999999996</v>
      </c>
      <c r="D828" s="14">
        <f>CHOOSE(CONTROL!$C$42, 68.0808, 68.0808) * CHOOSE(CONTROL!$C$21, $C$9, 100%, $E$9)</f>
        <v>68.080799999999996</v>
      </c>
      <c r="E828" s="14">
        <f>CHOOSE(CONTROL!$C$42, 68.1149, 68.1149) * CHOOSE(CONTROL!$C$21, $C$9, 100%, $E$9)</f>
        <v>68.114900000000006</v>
      </c>
      <c r="F828" s="14">
        <f>CHOOSE(CONTROL!$C$42, 68.0165, 68.0165)*CHOOSE(CONTROL!$C$21, $C$9, 100%, $E$9)</f>
        <v>68.016499999999994</v>
      </c>
      <c r="G828" s="14">
        <f>CHOOSE(CONTROL!$C$42, 68.0332, 68.0332)*CHOOSE(CONTROL!$C$21, $C$9, 100%, $E$9)</f>
        <v>68.033199999999994</v>
      </c>
      <c r="H828" s="14">
        <f>CHOOSE(CONTROL!$C$42, 68.1041, 68.1041) * CHOOSE(CONTROL!$C$21, $C$9, 100%, $E$9)</f>
        <v>68.104100000000003</v>
      </c>
      <c r="I828" s="14">
        <f>CHOOSE(CONTROL!$C$42, 68.2378, 68.2378)* CHOOSE(CONTROL!$C$21, $C$9, 100%, $E$9)</f>
        <v>68.237799999999993</v>
      </c>
      <c r="J828" s="14">
        <f>CHOOSE(CONTROL!$C$42, 68.0095, 68.0095)* CHOOSE(CONTROL!$C$21, $C$9, 100%, $E$9)</f>
        <v>68.009500000000003</v>
      </c>
      <c r="K828" s="53">
        <f>CHOOSE(CONTROL!$C$42, 68.2339, 68.2339) * CHOOSE(CONTROL!$C$21, $C$9, 100%, $E$9)</f>
        <v>68.233900000000006</v>
      </c>
      <c r="L828" s="14">
        <f>CHOOSE(CONTROL!$C$42, 68.6911, 68.6911) * CHOOSE(CONTROL!$C$21, $C$9, 100%, $E$9)</f>
        <v>68.691100000000006</v>
      </c>
      <c r="M828" s="14">
        <f>CHOOSE(CONTROL!$C$42, 66.6238, 66.6238) * CHOOSE(CONTROL!$C$21, $C$9, 100%, $E$9)</f>
        <v>66.623800000000003</v>
      </c>
      <c r="N828" s="14">
        <f>CHOOSE(CONTROL!$C$42, 66.64, 66.64) * CHOOSE(CONTROL!$C$21, $C$9, 100%, $E$9)</f>
        <v>66.64</v>
      </c>
      <c r="O828" s="14">
        <f>CHOOSE(CONTROL!$C$42, 66.7164, 66.7164) * CHOOSE(CONTROL!$C$21, $C$9, 100%, $E$9)</f>
        <v>66.716399999999993</v>
      </c>
      <c r="P828" s="14">
        <f>CHOOSE(CONTROL!$C$42, 66.8431, 66.8431) * CHOOSE(CONTROL!$C$21, $C$9, 100%, $E$9)</f>
        <v>66.843100000000007</v>
      </c>
      <c r="Q828" s="14">
        <f>CHOOSE(CONTROL!$C$42, 67.3111, 67.3111) * CHOOSE(CONTROL!$C$21, $C$9, 100%, $E$9)</f>
        <v>67.311099999999996</v>
      </c>
      <c r="R828" s="14">
        <f>CHOOSE(CONTROL!$C$42, 68.0664, 68.0664) * CHOOSE(CONTROL!$C$21, $C$9, 100%, $E$9)</f>
        <v>68.066400000000002</v>
      </c>
      <c r="S828" s="14">
        <f>CHOOSE(CONTROL!$C$42, 65.3441, 65.3441) * CHOOSE(CONTROL!$C$21, $C$9, 100%, $E$9)</f>
        <v>65.344099999999997</v>
      </c>
      <c r="T82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28" s="57">
        <f>(1000*CHOOSE(CONTROL!$C$42, 695, 695)*CHOOSE(CONTROL!$C$42, 0.5599, 0.5599)*CHOOSE(CONTROL!$C$42, 31, 31))/1000000</f>
        <v>12.063045499999998</v>
      </c>
      <c r="V828" s="57">
        <f>(1000*CHOOSE(CONTROL!$C$42, 500, 500)*CHOOSE(CONTROL!$C$42, 0.275, 0.275)*CHOOSE(CONTROL!$C$42, 31, 31))/1000000</f>
        <v>4.2625000000000002</v>
      </c>
      <c r="W828" s="57">
        <f>(1000*CHOOSE(CONTROL!$C$42, 0.1146, 0.1146)*CHOOSE(CONTROL!$C$42, 121.5, 121.5)*CHOOSE(CONTROL!$C$42, 31, 31))/1000000</f>
        <v>0.43164089999999994</v>
      </c>
      <c r="X828" s="57">
        <f>(31*0.1790888*100000/1000000)+(31*0.2374*100000/1000000)</f>
        <v>1.2911152800000001</v>
      </c>
      <c r="Y828" s="57"/>
      <c r="Z828" s="14"/>
      <c r="AA828" s="56"/>
      <c r="AB828" s="50">
        <f>(B828*122.58+C828*297.941+D828*89.177+E828*40.302+F828*40+G828*160+H828*0+I828*100+J828*300)/(122.58+297.941+89.177+40.302+0+40+160+100+300)</f>
        <v>68.044314696000001</v>
      </c>
      <c r="AC828" s="45">
        <f>(M828*'RAP TEMPLATE-GAS AVAILABILITY'!O827+N828*'RAP TEMPLATE-GAS AVAILABILITY'!P827+O828*'RAP TEMPLATE-GAS AVAILABILITY'!Q827+P828*'RAP TEMPLATE-GAS AVAILABILITY'!R827)/('RAP TEMPLATE-GAS AVAILABILITY'!O827+'RAP TEMPLATE-GAS AVAILABILITY'!P827+'RAP TEMPLATE-GAS AVAILABILITY'!Q827+'RAP TEMPLATE-GAS AVAILABILITY'!R827)</f>
        <v>66.69825611510791</v>
      </c>
    </row>
    <row r="829" spans="1:29" ht="15.75" x14ac:dyDescent="0.25">
      <c r="A829" s="32">
        <v>66142</v>
      </c>
      <c r="B829" s="14">
        <f>CHOOSE(CONTROL!$C$42, 73.5823, 73.5823) * CHOOSE(CONTROL!$C$21, $C$9, 100%, $E$9)</f>
        <v>73.582300000000004</v>
      </c>
      <c r="C829" s="14">
        <f>CHOOSE(CONTROL!$C$42, 73.5873, 73.5873) * CHOOSE(CONTROL!$C$21, $C$9, 100%, $E$9)</f>
        <v>73.587299999999999</v>
      </c>
      <c r="D829" s="14">
        <f>CHOOSE(CONTROL!$C$42, 73.6537, 73.6537) * CHOOSE(CONTROL!$C$21, $C$9, 100%, $E$9)</f>
        <v>73.653700000000001</v>
      </c>
      <c r="E829" s="14">
        <f>CHOOSE(CONTROL!$C$42, 73.6878, 73.6878) * CHOOSE(CONTROL!$C$21, $C$9, 100%, $E$9)</f>
        <v>73.687799999999996</v>
      </c>
      <c r="F829" s="14">
        <f>CHOOSE(CONTROL!$C$42, 73.5696, 73.5696)*CHOOSE(CONTROL!$C$21, $C$9, 100%, $E$9)</f>
        <v>73.569599999999994</v>
      </c>
      <c r="G829" s="14">
        <f>CHOOSE(CONTROL!$C$42, 73.585, 73.585)*CHOOSE(CONTROL!$C$21, $C$9, 100%, $E$9)</f>
        <v>73.584999999999994</v>
      </c>
      <c r="H829" s="14">
        <f>CHOOSE(CONTROL!$C$42, 73.677, 73.677) * CHOOSE(CONTROL!$C$21, $C$9, 100%, $E$9)</f>
        <v>73.677000000000007</v>
      </c>
      <c r="I829" s="14">
        <f>CHOOSE(CONTROL!$C$42, 73.8203, 73.8203)* CHOOSE(CONTROL!$C$21, $C$9, 100%, $E$9)</f>
        <v>73.820300000000003</v>
      </c>
      <c r="J829" s="14">
        <f>CHOOSE(CONTROL!$C$42, 73.5626, 73.5626)* CHOOSE(CONTROL!$C$21, $C$9, 100%, $E$9)</f>
        <v>73.562600000000003</v>
      </c>
      <c r="K829" s="53">
        <f>CHOOSE(CONTROL!$C$42, 73.8164, 73.8164) * CHOOSE(CONTROL!$C$21, $C$9, 100%, $E$9)</f>
        <v>73.816400000000002</v>
      </c>
      <c r="L829" s="14">
        <f>CHOOSE(CONTROL!$C$42, 74.264, 74.264) * CHOOSE(CONTROL!$C$21, $C$9, 100%, $E$9)</f>
        <v>74.263999999999996</v>
      </c>
      <c r="M829" s="14">
        <f>CHOOSE(CONTROL!$C$42, 72.063, 72.063) * CHOOSE(CONTROL!$C$21, $C$9, 100%, $E$9)</f>
        <v>72.063000000000002</v>
      </c>
      <c r="N829" s="14">
        <f>CHOOSE(CONTROL!$C$42, 72.0782, 72.0782) * CHOOSE(CONTROL!$C$21, $C$9, 100%, $E$9)</f>
        <v>72.078199999999995</v>
      </c>
      <c r="O829" s="14">
        <f>CHOOSE(CONTROL!$C$42, 72.1751, 72.1751) * CHOOSE(CONTROL!$C$21, $C$9, 100%, $E$9)</f>
        <v>72.1751</v>
      </c>
      <c r="P829" s="14">
        <f>CHOOSE(CONTROL!$C$42, 72.3109, 72.3109) * CHOOSE(CONTROL!$C$21, $C$9, 100%, $E$9)</f>
        <v>72.310900000000004</v>
      </c>
      <c r="Q829" s="14">
        <f>CHOOSE(CONTROL!$C$42, 72.7698, 72.7698) * CHOOSE(CONTROL!$C$21, $C$9, 100%, $E$9)</f>
        <v>72.769800000000004</v>
      </c>
      <c r="R829" s="14">
        <f>CHOOSE(CONTROL!$C$42, 73.5388, 73.5388) * CHOOSE(CONTROL!$C$21, $C$9, 100%, $E$9)</f>
        <v>73.538799999999995</v>
      </c>
      <c r="S829" s="14">
        <f>CHOOSE(CONTROL!$C$42, 70.6966, 70.6966) * CHOOSE(CONTROL!$C$21, $C$9, 100%, $E$9)</f>
        <v>70.696600000000004</v>
      </c>
      <c r="T82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29" s="57">
        <f>(1000*CHOOSE(CONTROL!$C$42, 695, 695)*CHOOSE(CONTROL!$C$42, 0.5599, 0.5599)*CHOOSE(CONTROL!$C$42, 31, 31))/1000000</f>
        <v>12.063045499999998</v>
      </c>
      <c r="V829" s="57">
        <f>(1000*CHOOSE(CONTROL!$C$42, 500, 500)*CHOOSE(CONTROL!$C$42, 0.275, 0.275)*CHOOSE(CONTROL!$C$42, 31, 31))/1000000</f>
        <v>4.2625000000000002</v>
      </c>
      <c r="W829" s="57">
        <f>(1000*CHOOSE(CONTROL!$C$42, 0.1146, 0.1146)*CHOOSE(CONTROL!$C$42, 121.5, 121.5)*CHOOSE(CONTROL!$C$42, 31, 31))/1000000</f>
        <v>0.43164089999999994</v>
      </c>
      <c r="X829" s="57">
        <f>(31*0.1790888*100000/1000000)+(31*0.2374*100000/1000000)</f>
        <v>1.2911152800000001</v>
      </c>
      <c r="Y829" s="57"/>
      <c r="Z829" s="14"/>
      <c r="AA829" s="56"/>
      <c r="AB829" s="50">
        <f>(B829*122.58+C829*297.941+D829*89.177+E829*40.302+F829*40+G829*160+H829*0+I829*100+J829*300)/(122.58+297.941+89.177+40.302+0+40+160+100+300)</f>
        <v>73.608319829391291</v>
      </c>
      <c r="AC829" s="45">
        <f>(M829*'RAP TEMPLATE-GAS AVAILABILITY'!O828+N829*'RAP TEMPLATE-GAS AVAILABILITY'!P828+O829*'RAP TEMPLATE-GAS AVAILABILITY'!Q828+P829*'RAP TEMPLATE-GAS AVAILABILITY'!R828)/('RAP TEMPLATE-GAS AVAILABILITY'!O828+'RAP TEMPLATE-GAS AVAILABILITY'!P828+'RAP TEMPLATE-GAS AVAILABILITY'!Q828+'RAP TEMPLATE-GAS AVAILABILITY'!R828)</f>
        <v>72.150351798561147</v>
      </c>
    </row>
    <row r="830" spans="1:29" ht="15.75" x14ac:dyDescent="0.25">
      <c r="A830" s="32">
        <v>66170</v>
      </c>
      <c r="B830" s="14">
        <f>CHOOSE(CONTROL!$C$42, 74.892, 74.892) * CHOOSE(CONTROL!$C$21, $C$9, 100%, $E$9)</f>
        <v>74.891999999999996</v>
      </c>
      <c r="C830" s="14">
        <f>CHOOSE(CONTROL!$C$42, 74.897, 74.897) * CHOOSE(CONTROL!$C$21, $C$9, 100%, $E$9)</f>
        <v>74.897000000000006</v>
      </c>
      <c r="D830" s="14">
        <f>CHOOSE(CONTROL!$C$42, 74.9634, 74.9634) * CHOOSE(CONTROL!$C$21, $C$9, 100%, $E$9)</f>
        <v>74.963399999999993</v>
      </c>
      <c r="E830" s="14">
        <f>CHOOSE(CONTROL!$C$42, 74.9975, 74.9975) * CHOOSE(CONTROL!$C$21, $C$9, 100%, $E$9)</f>
        <v>74.997500000000002</v>
      </c>
      <c r="F830" s="14">
        <f>CHOOSE(CONTROL!$C$42, 74.8794, 74.8794)*CHOOSE(CONTROL!$C$21, $C$9, 100%, $E$9)</f>
        <v>74.879400000000004</v>
      </c>
      <c r="G830" s="14">
        <f>CHOOSE(CONTROL!$C$42, 74.8948, 74.8948)*CHOOSE(CONTROL!$C$21, $C$9, 100%, $E$9)</f>
        <v>74.894800000000004</v>
      </c>
      <c r="H830" s="14">
        <f>CHOOSE(CONTROL!$C$42, 74.9867, 74.9867) * CHOOSE(CONTROL!$C$21, $C$9, 100%, $E$9)</f>
        <v>74.986699999999999</v>
      </c>
      <c r="I830" s="14">
        <f>CHOOSE(CONTROL!$C$42, 75.1341, 75.1341)* CHOOSE(CONTROL!$C$21, $C$9, 100%, $E$9)</f>
        <v>75.134100000000004</v>
      </c>
      <c r="J830" s="14">
        <f>CHOOSE(CONTROL!$C$42, 74.8724, 74.8724)* CHOOSE(CONTROL!$C$21, $C$9, 100%, $E$9)</f>
        <v>74.872399999999999</v>
      </c>
      <c r="K830" s="53">
        <f>CHOOSE(CONTROL!$C$42, 75.1302, 75.1302) * CHOOSE(CONTROL!$C$21, $C$9, 100%, $E$9)</f>
        <v>75.130200000000002</v>
      </c>
      <c r="L830" s="14">
        <f>CHOOSE(CONTROL!$C$42, 75.5737, 75.5737) * CHOOSE(CONTROL!$C$21, $C$9, 100%, $E$9)</f>
        <v>75.573700000000002</v>
      </c>
      <c r="M830" s="14">
        <f>CHOOSE(CONTROL!$C$42, 73.346, 73.346) * CHOOSE(CONTROL!$C$21, $C$9, 100%, $E$9)</f>
        <v>73.346000000000004</v>
      </c>
      <c r="N830" s="14">
        <f>CHOOSE(CONTROL!$C$42, 73.3611, 73.3611) * CHOOSE(CONTROL!$C$21, $C$9, 100%, $E$9)</f>
        <v>73.361099999999993</v>
      </c>
      <c r="O830" s="14">
        <f>CHOOSE(CONTROL!$C$42, 73.458, 73.458) * CHOOSE(CONTROL!$C$21, $C$9, 100%, $E$9)</f>
        <v>73.457999999999998</v>
      </c>
      <c r="P830" s="14">
        <f>CHOOSE(CONTROL!$C$42, 73.5977, 73.5977) * CHOOSE(CONTROL!$C$21, $C$9, 100%, $E$9)</f>
        <v>73.597700000000003</v>
      </c>
      <c r="Q830" s="14">
        <f>CHOOSE(CONTROL!$C$42, 74.0527, 74.0527) * CHOOSE(CONTROL!$C$21, $C$9, 100%, $E$9)</f>
        <v>74.052700000000002</v>
      </c>
      <c r="R830" s="14">
        <f>CHOOSE(CONTROL!$C$42, 74.8248, 74.8248) * CHOOSE(CONTROL!$C$21, $C$9, 100%, $E$9)</f>
        <v>74.824799999999996</v>
      </c>
      <c r="S830" s="14">
        <f>CHOOSE(CONTROL!$C$42, 71.9551, 71.9551) * CHOOSE(CONTROL!$C$21, $C$9, 100%, $E$9)</f>
        <v>71.955100000000002</v>
      </c>
      <c r="T83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30" s="57">
        <f>(1000*CHOOSE(CONTROL!$C$42, 695, 695)*CHOOSE(CONTROL!$C$42, 0.5599, 0.5599)*CHOOSE(CONTROL!$C$42, 28, 28))/1000000</f>
        <v>10.895653999999999</v>
      </c>
      <c r="V830" s="57">
        <f>(1000*CHOOSE(CONTROL!$C$42, 500, 500)*CHOOSE(CONTROL!$C$42, 0.275, 0.275)*CHOOSE(CONTROL!$C$42, 28, 28))/1000000</f>
        <v>3.85</v>
      </c>
      <c r="W830" s="57">
        <f>(1000*CHOOSE(CONTROL!$C$42, 0.1146, 0.1146)*CHOOSE(CONTROL!$C$42, 121.5, 121.5)*CHOOSE(CONTROL!$C$42, 28, 28))/1000000</f>
        <v>0.38986920000000003</v>
      </c>
      <c r="X830" s="57">
        <f>(28*0.1790888*100000/1000000)+(28*0.2374*100000/1000000)</f>
        <v>1.16616864</v>
      </c>
      <c r="Y830" s="57"/>
      <c r="Z830" s="14"/>
      <c r="AA830" s="56"/>
      <c r="AB830" s="50">
        <f>(B830*122.58+C830*297.941+D830*89.177+E830*40.302+F830*40+G830*160+H830*0+I830*100+J830*300)/(122.58+297.941+89.177+40.302+0+40+160+100+300)</f>
        <v>74.918419829391311</v>
      </c>
      <c r="AC830" s="45">
        <f>(M830*'RAP TEMPLATE-GAS AVAILABILITY'!O829+N830*'RAP TEMPLATE-GAS AVAILABILITY'!P829+O830*'RAP TEMPLATE-GAS AVAILABILITY'!Q829+P830*'RAP TEMPLATE-GAS AVAILABILITY'!R829)/('RAP TEMPLATE-GAS AVAILABILITY'!O829+'RAP TEMPLATE-GAS AVAILABILITY'!P829+'RAP TEMPLATE-GAS AVAILABILITY'!Q829+'RAP TEMPLATE-GAS AVAILABILITY'!R829)</f>
        <v>73.4338474820144</v>
      </c>
    </row>
    <row r="831" spans="1:29" ht="15.75" x14ac:dyDescent="0.25">
      <c r="A831" s="32">
        <v>66201</v>
      </c>
      <c r="B831" s="14">
        <f>CHOOSE(CONTROL!$C$42, 72.766, 72.766) * CHOOSE(CONTROL!$C$21, $C$9, 100%, $E$9)</f>
        <v>72.766000000000005</v>
      </c>
      <c r="C831" s="14">
        <f>CHOOSE(CONTROL!$C$42, 72.7711, 72.7711) * CHOOSE(CONTROL!$C$21, $C$9, 100%, $E$9)</f>
        <v>72.771100000000004</v>
      </c>
      <c r="D831" s="14">
        <f>CHOOSE(CONTROL!$C$42, 72.8375, 72.8375) * CHOOSE(CONTROL!$C$21, $C$9, 100%, $E$9)</f>
        <v>72.837500000000006</v>
      </c>
      <c r="E831" s="14">
        <f>CHOOSE(CONTROL!$C$42, 72.8716, 72.8716) * CHOOSE(CONTROL!$C$21, $C$9, 100%, $E$9)</f>
        <v>72.871600000000001</v>
      </c>
      <c r="F831" s="14">
        <f>CHOOSE(CONTROL!$C$42, 72.753, 72.753)*CHOOSE(CONTROL!$C$21, $C$9, 100%, $E$9)</f>
        <v>72.753</v>
      </c>
      <c r="G831" s="14">
        <f>CHOOSE(CONTROL!$C$42, 72.7684, 72.7684)*CHOOSE(CONTROL!$C$21, $C$9, 100%, $E$9)</f>
        <v>72.7684</v>
      </c>
      <c r="H831" s="14">
        <f>CHOOSE(CONTROL!$C$42, 72.8608, 72.8608) * CHOOSE(CONTROL!$C$21, $C$9, 100%, $E$9)</f>
        <v>72.860799999999998</v>
      </c>
      <c r="I831" s="14">
        <f>CHOOSE(CONTROL!$C$42, 73.0015, 73.0015)* CHOOSE(CONTROL!$C$21, $C$9, 100%, $E$9)</f>
        <v>73.001499999999993</v>
      </c>
      <c r="J831" s="14">
        <f>CHOOSE(CONTROL!$C$42, 72.746, 72.746)* CHOOSE(CONTROL!$C$21, $C$9, 100%, $E$9)</f>
        <v>72.745999999999995</v>
      </c>
      <c r="K831" s="53">
        <f>CHOOSE(CONTROL!$C$42, 72.9976, 72.9976) * CHOOSE(CONTROL!$C$21, $C$9, 100%, $E$9)</f>
        <v>72.997600000000006</v>
      </c>
      <c r="L831" s="14">
        <f>CHOOSE(CONTROL!$C$42, 73.4478, 73.4478) * CHOOSE(CONTROL!$C$21, $C$9, 100%, $E$9)</f>
        <v>73.447800000000001</v>
      </c>
      <c r="M831" s="14">
        <f>CHOOSE(CONTROL!$C$42, 71.2632, 71.2632) * CHOOSE(CONTROL!$C$21, $C$9, 100%, $E$9)</f>
        <v>71.263199999999998</v>
      </c>
      <c r="N831" s="14">
        <f>CHOOSE(CONTROL!$C$42, 71.2782, 71.2782) * CHOOSE(CONTROL!$C$21, $C$9, 100%, $E$9)</f>
        <v>71.278199999999998</v>
      </c>
      <c r="O831" s="14">
        <f>CHOOSE(CONTROL!$C$42, 71.3756, 71.3756) * CHOOSE(CONTROL!$C$21, $C$9, 100%, $E$9)</f>
        <v>71.375600000000006</v>
      </c>
      <c r="P831" s="14">
        <f>CHOOSE(CONTROL!$C$42, 71.5089, 71.5089) * CHOOSE(CONTROL!$C$21, $C$9, 100%, $E$9)</f>
        <v>71.508899999999997</v>
      </c>
      <c r="Q831" s="14">
        <f>CHOOSE(CONTROL!$C$42, 71.9703, 71.9703) * CHOOSE(CONTROL!$C$21, $C$9, 100%, $E$9)</f>
        <v>71.970299999999995</v>
      </c>
      <c r="R831" s="14">
        <f>CHOOSE(CONTROL!$C$42, 72.7372, 72.7372) * CHOOSE(CONTROL!$C$21, $C$9, 100%, $E$9)</f>
        <v>72.737200000000001</v>
      </c>
      <c r="S831" s="14">
        <f>CHOOSE(CONTROL!$C$42, 69.9123, 69.9123) * CHOOSE(CONTROL!$C$21, $C$9, 100%, $E$9)</f>
        <v>69.912300000000002</v>
      </c>
      <c r="T83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31" s="57">
        <f>(1000*CHOOSE(CONTROL!$C$42, 695, 695)*CHOOSE(CONTROL!$C$42, 0.5599, 0.5599)*CHOOSE(CONTROL!$C$42, 31, 31))/1000000</f>
        <v>12.063045499999998</v>
      </c>
      <c r="V831" s="57">
        <f>(1000*CHOOSE(CONTROL!$C$42, 500, 500)*CHOOSE(CONTROL!$C$42, 0.275, 0.275)*CHOOSE(CONTROL!$C$42, 31, 31))/1000000</f>
        <v>4.2625000000000002</v>
      </c>
      <c r="W831" s="57">
        <f>(1000*CHOOSE(CONTROL!$C$42, 0.1146, 0.1146)*CHOOSE(CONTROL!$C$42, 121.5, 121.5)*CHOOSE(CONTROL!$C$42, 31, 31))/1000000</f>
        <v>0.43164089999999994</v>
      </c>
      <c r="X831" s="57">
        <f>(31*0.1790888*100000/1000000)+(31*0.2374*100000/1000000)</f>
        <v>1.2911152800000001</v>
      </c>
      <c r="Y831" s="57"/>
      <c r="Z831" s="14"/>
      <c r="AA831" s="56"/>
      <c r="AB831" s="50">
        <f>(B831*122.58+C831*297.941+D831*89.177+E831*40.302+F831*40+G831*160+H831*0+I831*100+J831*300)/(122.58+297.941+89.177+40.302+0+40+160+100+300)</f>
        <v>72.791709170260873</v>
      </c>
      <c r="AC831" s="45">
        <f>(M831*'RAP TEMPLATE-GAS AVAILABILITY'!O830+N831*'RAP TEMPLATE-GAS AVAILABILITY'!P830+O831*'RAP TEMPLATE-GAS AVAILABILITY'!Q830+P831*'RAP TEMPLATE-GAS AVAILABILITY'!R830)/('RAP TEMPLATE-GAS AVAILABILITY'!O830+'RAP TEMPLATE-GAS AVAILABILITY'!P830+'RAP TEMPLATE-GAS AVAILABILITY'!Q830+'RAP TEMPLATE-GAS AVAILABILITY'!R830)</f>
        <v>71.350359712230215</v>
      </c>
    </row>
    <row r="832" spans="1:29" ht="15.75" x14ac:dyDescent="0.25">
      <c r="A832" s="32">
        <v>66231</v>
      </c>
      <c r="B832" s="14">
        <f>CHOOSE(CONTROL!$C$42, 72.5493, 72.5493) * CHOOSE(CONTROL!$C$21, $C$9, 100%, $E$9)</f>
        <v>72.549300000000002</v>
      </c>
      <c r="C832" s="14">
        <f>CHOOSE(CONTROL!$C$42, 72.5538, 72.5538) * CHOOSE(CONTROL!$C$21, $C$9, 100%, $E$9)</f>
        <v>72.553799999999995</v>
      </c>
      <c r="D832" s="14">
        <f>CHOOSE(CONTROL!$C$42, 72.7609, 72.7609) * CHOOSE(CONTROL!$C$21, $C$9, 100%, $E$9)</f>
        <v>72.760900000000007</v>
      </c>
      <c r="E832" s="14">
        <f>CHOOSE(CONTROL!$C$42, 72.793, 72.793) * CHOOSE(CONTROL!$C$21, $C$9, 100%, $E$9)</f>
        <v>72.793000000000006</v>
      </c>
      <c r="F832" s="14">
        <f>CHOOSE(CONTROL!$C$42, 72.5312, 72.5312)*CHOOSE(CONTROL!$C$21, $C$9, 100%, $E$9)</f>
        <v>72.531199999999998</v>
      </c>
      <c r="G832" s="14">
        <f>CHOOSE(CONTROL!$C$42, 72.5464, 72.5464)*CHOOSE(CONTROL!$C$21, $C$9, 100%, $E$9)</f>
        <v>72.546400000000006</v>
      </c>
      <c r="H832" s="14">
        <f>CHOOSE(CONTROL!$C$42, 72.7828, 72.7828) * CHOOSE(CONTROL!$C$21, $C$9, 100%, $E$9)</f>
        <v>72.782799999999995</v>
      </c>
      <c r="I832" s="14">
        <f>CHOOSE(CONTROL!$C$42, 72.7834, 72.7834)* CHOOSE(CONTROL!$C$21, $C$9, 100%, $E$9)</f>
        <v>72.7834</v>
      </c>
      <c r="J832" s="14">
        <f>CHOOSE(CONTROL!$C$42, 72.5242, 72.5242)* CHOOSE(CONTROL!$C$21, $C$9, 100%, $E$9)</f>
        <v>72.524199999999993</v>
      </c>
      <c r="K832" s="53">
        <f>CHOOSE(CONTROL!$C$42, 72.7795, 72.7795) * CHOOSE(CONTROL!$C$21, $C$9, 100%, $E$9)</f>
        <v>72.779499999999999</v>
      </c>
      <c r="L832" s="14">
        <f>CHOOSE(CONTROL!$C$42, 73.3698, 73.3698) * CHOOSE(CONTROL!$C$21, $C$9, 100%, $E$9)</f>
        <v>73.369799999999998</v>
      </c>
      <c r="M832" s="14">
        <f>CHOOSE(CONTROL!$C$42, 71.0459, 71.0459) * CHOOSE(CONTROL!$C$21, $C$9, 100%, $E$9)</f>
        <v>71.045900000000003</v>
      </c>
      <c r="N832" s="14">
        <f>CHOOSE(CONTROL!$C$42, 71.0608, 71.0608) * CHOOSE(CONTROL!$C$21, $C$9, 100%, $E$9)</f>
        <v>71.0608</v>
      </c>
      <c r="O832" s="14">
        <f>CHOOSE(CONTROL!$C$42, 71.2992, 71.2992) * CHOOSE(CONTROL!$C$21, $C$9, 100%, $E$9)</f>
        <v>71.299199999999999</v>
      </c>
      <c r="P832" s="14">
        <f>CHOOSE(CONTROL!$C$42, 71.2953, 71.2953) * CHOOSE(CONTROL!$C$21, $C$9, 100%, $E$9)</f>
        <v>71.295299999999997</v>
      </c>
      <c r="Q832" s="14">
        <f>CHOOSE(CONTROL!$C$42, 71.8939, 71.8939) * CHOOSE(CONTROL!$C$21, $C$9, 100%, $E$9)</f>
        <v>71.893900000000002</v>
      </c>
      <c r="R832" s="14">
        <f>CHOOSE(CONTROL!$C$42, 72.6606, 72.6606) * CHOOSE(CONTROL!$C$21, $C$9, 100%, $E$9)</f>
        <v>72.660600000000002</v>
      </c>
      <c r="S832" s="14">
        <f>CHOOSE(CONTROL!$C$42, 69.7033, 69.7033) * CHOOSE(CONTROL!$C$21, $C$9, 100%, $E$9)</f>
        <v>69.703299999999999</v>
      </c>
      <c r="T83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32" s="57">
        <f>(1000*CHOOSE(CONTROL!$C$42, 695, 695)*CHOOSE(CONTROL!$C$42, 0.5599, 0.5599)*CHOOSE(CONTROL!$C$42, 30, 30))/1000000</f>
        <v>11.673914999999997</v>
      </c>
      <c r="V832" s="57">
        <f>(1000*CHOOSE(CONTROL!$C$42, 500, 500)*CHOOSE(CONTROL!$C$42, 0.275, 0.275)*CHOOSE(CONTROL!$C$42, 30, 30))/1000000</f>
        <v>4.125</v>
      </c>
      <c r="W832" s="57">
        <f>(1000*CHOOSE(CONTROL!$C$42, 0.1146, 0.1146)*CHOOSE(CONTROL!$C$42, 121.5, 121.5)*CHOOSE(CONTROL!$C$42, 30, 30))/1000000</f>
        <v>0.417717</v>
      </c>
      <c r="X832" s="57">
        <f>(30*0.1790888*245000/1000000)+(30*0.2374*100000/1000000)</f>
        <v>2.0285026799999999</v>
      </c>
      <c r="Y832" s="57"/>
      <c r="Z832" s="14"/>
      <c r="AA832" s="56"/>
      <c r="AB832" s="50">
        <f>(B832*141.293+C832*267.993+D832*115.016+E832*89.698+F832*40+G832*185+H832*0+I832*100+J832*300)/(141.293+267.993+115.016+89.698+0+40+185+100+300)</f>
        <v>72.599358318563361</v>
      </c>
      <c r="AC832" s="45">
        <f>(M832*'RAP TEMPLATE-GAS AVAILABILITY'!O831+N832*'RAP TEMPLATE-GAS AVAILABILITY'!P831+O832*'RAP TEMPLATE-GAS AVAILABILITY'!Q831+P832*'RAP TEMPLATE-GAS AVAILABILITY'!R831)/('RAP TEMPLATE-GAS AVAILABILITY'!O831+'RAP TEMPLATE-GAS AVAILABILITY'!P831+'RAP TEMPLATE-GAS AVAILABILITY'!Q831+'RAP TEMPLATE-GAS AVAILABILITY'!R831)</f>
        <v>71.197447482014383</v>
      </c>
    </row>
    <row r="833" spans="1:29" ht="15.75" x14ac:dyDescent="0.25">
      <c r="A833" s="32">
        <v>66262</v>
      </c>
      <c r="B833" s="14">
        <f>CHOOSE(CONTROL!$C$42, 73.1909, 73.1909) * CHOOSE(CONTROL!$C$21, $C$9, 100%, $E$9)</f>
        <v>73.190899999999999</v>
      </c>
      <c r="C833" s="14">
        <f>CHOOSE(CONTROL!$C$42, 73.199, 73.199) * CHOOSE(CONTROL!$C$21, $C$9, 100%, $E$9)</f>
        <v>73.198999999999998</v>
      </c>
      <c r="D833" s="14">
        <f>CHOOSE(CONTROL!$C$42, 73.4029, 73.4029) * CHOOSE(CONTROL!$C$21, $C$9, 100%, $E$9)</f>
        <v>73.402900000000002</v>
      </c>
      <c r="E833" s="14">
        <f>CHOOSE(CONTROL!$C$42, 73.4344, 73.4344) * CHOOSE(CONTROL!$C$21, $C$9, 100%, $E$9)</f>
        <v>73.434399999999997</v>
      </c>
      <c r="F833" s="14">
        <f>CHOOSE(CONTROL!$C$42, 73.1717, 73.1717)*CHOOSE(CONTROL!$C$21, $C$9, 100%, $E$9)</f>
        <v>73.171700000000001</v>
      </c>
      <c r="G833" s="14">
        <f>CHOOSE(CONTROL!$C$42, 73.1873, 73.1873)*CHOOSE(CONTROL!$C$21, $C$9, 100%, $E$9)</f>
        <v>73.187299999999993</v>
      </c>
      <c r="H833" s="14">
        <f>CHOOSE(CONTROL!$C$42, 73.423, 73.423) * CHOOSE(CONTROL!$C$21, $C$9, 100%, $E$9)</f>
        <v>73.423000000000002</v>
      </c>
      <c r="I833" s="14">
        <f>CHOOSE(CONTROL!$C$42, 73.4256, 73.4256)* CHOOSE(CONTROL!$C$21, $C$9, 100%, $E$9)</f>
        <v>73.425600000000003</v>
      </c>
      <c r="J833" s="14">
        <f>CHOOSE(CONTROL!$C$42, 73.1647, 73.1647)* CHOOSE(CONTROL!$C$21, $C$9, 100%, $E$9)</f>
        <v>73.164699999999996</v>
      </c>
      <c r="K833" s="53">
        <f>CHOOSE(CONTROL!$C$42, 73.4217, 73.4217) * CHOOSE(CONTROL!$C$21, $C$9, 100%, $E$9)</f>
        <v>73.421700000000001</v>
      </c>
      <c r="L833" s="14">
        <f>CHOOSE(CONTROL!$C$42, 74.01, 74.01) * CHOOSE(CONTROL!$C$21, $C$9, 100%, $E$9)</f>
        <v>74.010000000000005</v>
      </c>
      <c r="M833" s="14">
        <f>CHOOSE(CONTROL!$C$42, 71.6733, 71.6733) * CHOOSE(CONTROL!$C$21, $C$9, 100%, $E$9)</f>
        <v>71.673299999999998</v>
      </c>
      <c r="N833" s="14">
        <f>CHOOSE(CONTROL!$C$42, 71.6886, 71.6886) * CHOOSE(CONTROL!$C$21, $C$9, 100%, $E$9)</f>
        <v>71.688599999999994</v>
      </c>
      <c r="O833" s="14">
        <f>CHOOSE(CONTROL!$C$42, 71.9263, 71.9263) * CHOOSE(CONTROL!$C$21, $C$9, 100%, $E$9)</f>
        <v>71.926299999999998</v>
      </c>
      <c r="P833" s="14">
        <f>CHOOSE(CONTROL!$C$42, 71.9243, 71.9243) * CHOOSE(CONTROL!$C$21, $C$9, 100%, $E$9)</f>
        <v>71.924300000000002</v>
      </c>
      <c r="Q833" s="14">
        <f>CHOOSE(CONTROL!$C$42, 72.521, 72.521) * CHOOSE(CONTROL!$C$21, $C$9, 100%, $E$9)</f>
        <v>72.521000000000001</v>
      </c>
      <c r="R833" s="14">
        <f>CHOOSE(CONTROL!$C$42, 73.2893, 73.2893) * CHOOSE(CONTROL!$C$21, $C$9, 100%, $E$9)</f>
        <v>73.289299999999997</v>
      </c>
      <c r="S833" s="14">
        <f>CHOOSE(CONTROL!$C$42, 70.3185, 70.3185) * CHOOSE(CONTROL!$C$21, $C$9, 100%, $E$9)</f>
        <v>70.3185</v>
      </c>
      <c r="T83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33" s="57">
        <f>(1000*CHOOSE(CONTROL!$C$42, 695, 695)*CHOOSE(CONTROL!$C$42, 0.5599, 0.5599)*CHOOSE(CONTROL!$C$42, 31, 31))/1000000</f>
        <v>12.063045499999998</v>
      </c>
      <c r="V833" s="57">
        <f>(1000*CHOOSE(CONTROL!$C$42, 500, 500)*CHOOSE(CONTROL!$C$42, 0.275, 0.275)*CHOOSE(CONTROL!$C$42, 31, 31))/1000000</f>
        <v>4.2625000000000002</v>
      </c>
      <c r="W833" s="57">
        <f>(1000*CHOOSE(CONTROL!$C$42, 0.1146, 0.1146)*CHOOSE(CONTROL!$C$42, 121.5, 121.5)*CHOOSE(CONTROL!$C$42, 31, 31))/1000000</f>
        <v>0.43164089999999994</v>
      </c>
      <c r="X833" s="57">
        <f>(31*0.1790888*245000/1000000)+(31*0.2374*100000/1000000)</f>
        <v>2.0961194359999999</v>
      </c>
      <c r="Y833" s="57"/>
      <c r="Z833" s="14"/>
      <c r="AA833" s="56"/>
      <c r="AB833" s="50">
        <f>(B833*194.205+C833*267.466+D833*133.845+E833*53.484+F833*40+G833*185+H833*0+I833*100+J833*300)/(194.205+267.466+133.845+53.484+0+40+185+100+300)</f>
        <v>73.236222581318685</v>
      </c>
      <c r="AC833" s="45">
        <f>(M833*'RAP TEMPLATE-GAS AVAILABILITY'!O832+N833*'RAP TEMPLATE-GAS AVAILABILITY'!P832+O833*'RAP TEMPLATE-GAS AVAILABILITY'!Q832+P833*'RAP TEMPLATE-GAS AVAILABILITY'!R832)/('RAP TEMPLATE-GAS AVAILABILITY'!O832+'RAP TEMPLATE-GAS AVAILABILITY'!P832+'RAP TEMPLATE-GAS AVAILABILITY'!Q832+'RAP TEMPLATE-GAS AVAILABILITY'!R832)</f>
        <v>71.824964748201424</v>
      </c>
    </row>
    <row r="834" spans="1:29" ht="15.75" x14ac:dyDescent="0.25">
      <c r="A834" s="32">
        <v>66292</v>
      </c>
      <c r="B834" s="14">
        <f>CHOOSE(CONTROL!$C$42, 75.2668, 75.2668) * CHOOSE(CONTROL!$C$21, $C$9, 100%, $E$9)</f>
        <v>75.266800000000003</v>
      </c>
      <c r="C834" s="14">
        <f>CHOOSE(CONTROL!$C$42, 75.2748, 75.2748) * CHOOSE(CONTROL!$C$21, $C$9, 100%, $E$9)</f>
        <v>75.274799999999999</v>
      </c>
      <c r="D834" s="14">
        <f>CHOOSE(CONTROL!$C$42, 75.4787, 75.4787) * CHOOSE(CONTROL!$C$21, $C$9, 100%, $E$9)</f>
        <v>75.478700000000003</v>
      </c>
      <c r="E834" s="14">
        <f>CHOOSE(CONTROL!$C$42, 75.5102, 75.5102) * CHOOSE(CONTROL!$C$21, $C$9, 100%, $E$9)</f>
        <v>75.510199999999998</v>
      </c>
      <c r="F834" s="14">
        <f>CHOOSE(CONTROL!$C$42, 75.2479, 75.2479)*CHOOSE(CONTROL!$C$21, $C$9, 100%, $E$9)</f>
        <v>75.247900000000001</v>
      </c>
      <c r="G834" s="14">
        <f>CHOOSE(CONTROL!$C$42, 75.2637, 75.2637)*CHOOSE(CONTROL!$C$21, $C$9, 100%, $E$9)</f>
        <v>75.2637</v>
      </c>
      <c r="H834" s="14">
        <f>CHOOSE(CONTROL!$C$42, 75.4988, 75.4988) * CHOOSE(CONTROL!$C$21, $C$9, 100%, $E$9)</f>
        <v>75.498800000000003</v>
      </c>
      <c r="I834" s="14">
        <f>CHOOSE(CONTROL!$C$42, 75.5079, 75.5079)* CHOOSE(CONTROL!$C$21, $C$9, 100%, $E$9)</f>
        <v>75.507900000000006</v>
      </c>
      <c r="J834" s="14">
        <f>CHOOSE(CONTROL!$C$42, 75.2409, 75.2409)* CHOOSE(CONTROL!$C$21, $C$9, 100%, $E$9)</f>
        <v>75.240899999999996</v>
      </c>
      <c r="K834" s="53">
        <f>CHOOSE(CONTROL!$C$42, 75.504, 75.504) * CHOOSE(CONTROL!$C$21, $C$9, 100%, $E$9)</f>
        <v>75.504000000000005</v>
      </c>
      <c r="L834" s="14">
        <f>CHOOSE(CONTROL!$C$42, 76.0858, 76.0858) * CHOOSE(CONTROL!$C$21, $C$9, 100%, $E$9)</f>
        <v>76.085800000000006</v>
      </c>
      <c r="M834" s="14">
        <f>CHOOSE(CONTROL!$C$42, 73.707, 73.707) * CHOOSE(CONTROL!$C$21, $C$9, 100%, $E$9)</f>
        <v>73.706999999999994</v>
      </c>
      <c r="N834" s="14">
        <f>CHOOSE(CONTROL!$C$42, 73.7224, 73.7224) * CHOOSE(CONTROL!$C$21, $C$9, 100%, $E$9)</f>
        <v>73.722399999999993</v>
      </c>
      <c r="O834" s="14">
        <f>CHOOSE(CONTROL!$C$42, 73.9596, 73.9596) * CHOOSE(CONTROL!$C$21, $C$9, 100%, $E$9)</f>
        <v>73.959599999999995</v>
      </c>
      <c r="P834" s="14">
        <f>CHOOSE(CONTROL!$C$42, 73.9639, 73.9639) * CHOOSE(CONTROL!$C$21, $C$9, 100%, $E$9)</f>
        <v>73.963899999999995</v>
      </c>
      <c r="Q834" s="14">
        <f>CHOOSE(CONTROL!$C$42, 74.5543, 74.5543) * CHOOSE(CONTROL!$C$21, $C$9, 100%, $E$9)</f>
        <v>74.554299999999998</v>
      </c>
      <c r="R834" s="14">
        <f>CHOOSE(CONTROL!$C$42, 75.3277, 75.3277) * CHOOSE(CONTROL!$C$21, $C$9, 100%, $E$9)</f>
        <v>75.327699999999993</v>
      </c>
      <c r="S834" s="14">
        <f>CHOOSE(CONTROL!$C$42, 72.3132, 72.3132) * CHOOSE(CONTROL!$C$21, $C$9, 100%, $E$9)</f>
        <v>72.313199999999995</v>
      </c>
      <c r="T83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34" s="57">
        <f>(1000*CHOOSE(CONTROL!$C$42, 695, 695)*CHOOSE(CONTROL!$C$42, 0.5599, 0.5599)*CHOOSE(CONTROL!$C$42, 30, 30))/1000000</f>
        <v>11.673914999999997</v>
      </c>
      <c r="V834" s="57">
        <f>(1000*CHOOSE(CONTROL!$C$42, 500, 500)*CHOOSE(CONTROL!$C$42, 0.275, 0.275)*CHOOSE(CONTROL!$C$42, 30, 30))/1000000</f>
        <v>4.125</v>
      </c>
      <c r="W834" s="57">
        <f>(1000*CHOOSE(CONTROL!$C$42, 0.1146, 0.1146)*CHOOSE(CONTROL!$C$42, 121.5, 121.5)*CHOOSE(CONTROL!$C$42, 30, 30))/1000000</f>
        <v>0.417717</v>
      </c>
      <c r="X834" s="57">
        <f>(30*0.1790888*245000/1000000)+(30*0.2374*100000/1000000)</f>
        <v>2.0285026799999999</v>
      </c>
      <c r="Y834" s="57"/>
      <c r="Z834" s="14"/>
      <c r="AA834" s="56"/>
      <c r="AB834" s="50">
        <f>(B834*194.205+C834*267.466+D834*133.845+E834*53.484+F834*40+G834*185+H834*0+I834*100+J834*300)/(194.205+267.466+133.845+53.484+0+40+185+100+300)</f>
        <v>75.312741906671889</v>
      </c>
      <c r="AC834" s="45">
        <f>(M834*'RAP TEMPLATE-GAS AVAILABILITY'!O833+N834*'RAP TEMPLATE-GAS AVAILABILITY'!P833+O834*'RAP TEMPLATE-GAS AVAILABILITY'!Q833+P834*'RAP TEMPLATE-GAS AVAILABILITY'!R833)/('RAP TEMPLATE-GAS AVAILABILITY'!O833+'RAP TEMPLATE-GAS AVAILABILITY'!P833+'RAP TEMPLATE-GAS AVAILABILITY'!Q833+'RAP TEMPLATE-GAS AVAILABILITY'!R833)</f>
        <v>73.859338129496393</v>
      </c>
    </row>
    <row r="835" spans="1:29" ht="15.75" x14ac:dyDescent="0.25">
      <c r="A835" s="32">
        <v>66323</v>
      </c>
      <c r="B835" s="14">
        <f>CHOOSE(CONTROL!$C$42, 73.823, 73.823) * CHOOSE(CONTROL!$C$21, $C$9, 100%, $E$9)</f>
        <v>73.822999999999993</v>
      </c>
      <c r="C835" s="14">
        <f>CHOOSE(CONTROL!$C$42, 73.8311, 73.8311) * CHOOSE(CONTROL!$C$21, $C$9, 100%, $E$9)</f>
        <v>73.831100000000006</v>
      </c>
      <c r="D835" s="14">
        <f>CHOOSE(CONTROL!$C$42, 74.035, 74.035) * CHOOSE(CONTROL!$C$21, $C$9, 100%, $E$9)</f>
        <v>74.034999999999997</v>
      </c>
      <c r="E835" s="14">
        <f>CHOOSE(CONTROL!$C$42, 74.0664, 74.0664) * CHOOSE(CONTROL!$C$21, $C$9, 100%, $E$9)</f>
        <v>74.066400000000002</v>
      </c>
      <c r="F835" s="14">
        <f>CHOOSE(CONTROL!$C$42, 73.8046, 73.8046)*CHOOSE(CONTROL!$C$21, $C$9, 100%, $E$9)</f>
        <v>73.804599999999994</v>
      </c>
      <c r="G835" s="14">
        <f>CHOOSE(CONTROL!$C$42, 73.8205, 73.8205)*CHOOSE(CONTROL!$C$21, $C$9, 100%, $E$9)</f>
        <v>73.820499999999996</v>
      </c>
      <c r="H835" s="14">
        <f>CHOOSE(CONTROL!$C$42, 74.0551, 74.0551) * CHOOSE(CONTROL!$C$21, $C$9, 100%, $E$9)</f>
        <v>74.055099999999996</v>
      </c>
      <c r="I835" s="14">
        <f>CHOOSE(CONTROL!$C$42, 74.0597, 74.0597)* CHOOSE(CONTROL!$C$21, $C$9, 100%, $E$9)</f>
        <v>74.059700000000007</v>
      </c>
      <c r="J835" s="14">
        <f>CHOOSE(CONTROL!$C$42, 73.7976, 73.7976)* CHOOSE(CONTROL!$C$21, $C$9, 100%, $E$9)</f>
        <v>73.797600000000003</v>
      </c>
      <c r="K835" s="53">
        <f>CHOOSE(CONTROL!$C$42, 74.0558, 74.0558) * CHOOSE(CONTROL!$C$21, $C$9, 100%, $E$9)</f>
        <v>74.055800000000005</v>
      </c>
      <c r="L835" s="14">
        <f>CHOOSE(CONTROL!$C$42, 74.6421, 74.6421) * CHOOSE(CONTROL!$C$21, $C$9, 100%, $E$9)</f>
        <v>74.642099999999999</v>
      </c>
      <c r="M835" s="14">
        <f>CHOOSE(CONTROL!$C$42, 72.2933, 72.2933) * CHOOSE(CONTROL!$C$21, $C$9, 100%, $E$9)</f>
        <v>72.293300000000002</v>
      </c>
      <c r="N835" s="14">
        <f>CHOOSE(CONTROL!$C$42, 72.3088, 72.3088) * CHOOSE(CONTROL!$C$21, $C$9, 100%, $E$9)</f>
        <v>72.308800000000005</v>
      </c>
      <c r="O835" s="14">
        <f>CHOOSE(CONTROL!$C$42, 72.5454, 72.5454) * CHOOSE(CONTROL!$C$21, $C$9, 100%, $E$9)</f>
        <v>72.545400000000001</v>
      </c>
      <c r="P835" s="14">
        <f>CHOOSE(CONTROL!$C$42, 72.5454, 72.5454) * CHOOSE(CONTROL!$C$21, $C$9, 100%, $E$9)</f>
        <v>72.545400000000001</v>
      </c>
      <c r="Q835" s="14">
        <f>CHOOSE(CONTROL!$C$42, 73.1401, 73.1401) * CHOOSE(CONTROL!$C$21, $C$9, 100%, $E$9)</f>
        <v>73.140100000000004</v>
      </c>
      <c r="R835" s="14">
        <f>CHOOSE(CONTROL!$C$42, 73.91, 73.91) * CHOOSE(CONTROL!$C$21, $C$9, 100%, $E$9)</f>
        <v>73.91</v>
      </c>
      <c r="S835" s="14">
        <f>CHOOSE(CONTROL!$C$42, 70.9259, 70.9259) * CHOOSE(CONTROL!$C$21, $C$9, 100%, $E$9)</f>
        <v>70.925899999999999</v>
      </c>
      <c r="T83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35" s="57">
        <f>(1000*CHOOSE(CONTROL!$C$42, 695, 695)*CHOOSE(CONTROL!$C$42, 0.5599, 0.5599)*CHOOSE(CONTROL!$C$42, 31, 31))/1000000</f>
        <v>12.063045499999998</v>
      </c>
      <c r="V835" s="57">
        <f>(1000*CHOOSE(CONTROL!$C$42, 500, 500)*CHOOSE(CONTROL!$C$42, 0.275, 0.275)*CHOOSE(CONTROL!$C$42, 31, 31))/1000000</f>
        <v>4.2625000000000002</v>
      </c>
      <c r="W835" s="57">
        <f>(1000*CHOOSE(CONTROL!$C$42, 0.1146, 0.1146)*CHOOSE(CONTROL!$C$42, 121.5, 121.5)*CHOOSE(CONTROL!$C$42, 31, 31))/1000000</f>
        <v>0.43164089999999994</v>
      </c>
      <c r="X835" s="57">
        <f>(31*0.1790888*245000/1000000)+(31*0.2374*100000/1000000)</f>
        <v>2.0961194359999999</v>
      </c>
      <c r="Y835" s="57"/>
      <c r="Z835" s="14"/>
      <c r="AA835" s="56"/>
      <c r="AB835" s="50">
        <f>(B835*194.205+C835*267.466+D835*133.845+E835*53.484+F835*40+G835*185+H835*0+I835*100+J835*300)/(194.205+267.466+133.845+53.484+0+40+185+100+300)</f>
        <v>73.868848602982737</v>
      </c>
      <c r="AC835" s="45">
        <f>(M835*'RAP TEMPLATE-GAS AVAILABILITY'!O834+N835*'RAP TEMPLATE-GAS AVAILABILITY'!P834+O835*'RAP TEMPLATE-GAS AVAILABILITY'!Q834+P835*'RAP TEMPLATE-GAS AVAILABILITY'!R834)/('RAP TEMPLATE-GAS AVAILABILITY'!O834+'RAP TEMPLATE-GAS AVAILABILITY'!P834+'RAP TEMPLATE-GAS AVAILABILITY'!Q834+'RAP TEMPLATE-GAS AVAILABILITY'!R834)</f>
        <v>72.444726618705033</v>
      </c>
    </row>
    <row r="836" spans="1:29" ht="15.75" x14ac:dyDescent="0.25">
      <c r="A836" s="32">
        <v>66354</v>
      </c>
      <c r="B836" s="14">
        <f>CHOOSE(CONTROL!$C$42, 70.1771, 70.1771) * CHOOSE(CONTROL!$C$21, $C$9, 100%, $E$9)</f>
        <v>70.177099999999996</v>
      </c>
      <c r="C836" s="14">
        <f>CHOOSE(CONTROL!$C$42, 70.1851, 70.1851) * CHOOSE(CONTROL!$C$21, $C$9, 100%, $E$9)</f>
        <v>70.185100000000006</v>
      </c>
      <c r="D836" s="14">
        <f>CHOOSE(CONTROL!$C$42, 70.3891, 70.3891) * CHOOSE(CONTROL!$C$21, $C$9, 100%, $E$9)</f>
        <v>70.389099999999999</v>
      </c>
      <c r="E836" s="14">
        <f>CHOOSE(CONTROL!$C$42, 70.4205, 70.4205) * CHOOSE(CONTROL!$C$21, $C$9, 100%, $E$9)</f>
        <v>70.420500000000004</v>
      </c>
      <c r="F836" s="14">
        <f>CHOOSE(CONTROL!$C$42, 70.159, 70.159)*CHOOSE(CONTROL!$C$21, $C$9, 100%, $E$9)</f>
        <v>70.159000000000006</v>
      </c>
      <c r="G836" s="14">
        <f>CHOOSE(CONTROL!$C$42, 70.1749, 70.1749)*CHOOSE(CONTROL!$C$21, $C$9, 100%, $E$9)</f>
        <v>70.174899999999994</v>
      </c>
      <c r="H836" s="14">
        <f>CHOOSE(CONTROL!$C$42, 70.4092, 70.4092) * CHOOSE(CONTROL!$C$21, $C$9, 100%, $E$9)</f>
        <v>70.409199999999998</v>
      </c>
      <c r="I836" s="14">
        <f>CHOOSE(CONTROL!$C$42, 70.4023, 70.4023)* CHOOSE(CONTROL!$C$21, $C$9, 100%, $E$9)</f>
        <v>70.402299999999997</v>
      </c>
      <c r="J836" s="14">
        <f>CHOOSE(CONTROL!$C$42, 70.152, 70.152)* CHOOSE(CONTROL!$C$21, $C$9, 100%, $E$9)</f>
        <v>70.152000000000001</v>
      </c>
      <c r="K836" s="53">
        <f>CHOOSE(CONTROL!$C$42, 70.3984, 70.3984) * CHOOSE(CONTROL!$C$21, $C$9, 100%, $E$9)</f>
        <v>70.398399999999995</v>
      </c>
      <c r="L836" s="14">
        <f>CHOOSE(CONTROL!$C$42, 70.9962, 70.9962) * CHOOSE(CONTROL!$C$21, $C$9, 100%, $E$9)</f>
        <v>70.996200000000002</v>
      </c>
      <c r="M836" s="14">
        <f>CHOOSE(CONTROL!$C$42, 68.7223, 68.7223) * CHOOSE(CONTROL!$C$21, $C$9, 100%, $E$9)</f>
        <v>68.722300000000004</v>
      </c>
      <c r="N836" s="14">
        <f>CHOOSE(CONTROL!$C$42, 68.7379, 68.7379) * CHOOSE(CONTROL!$C$21, $C$9, 100%, $E$9)</f>
        <v>68.737899999999996</v>
      </c>
      <c r="O836" s="14">
        <f>CHOOSE(CONTROL!$C$42, 68.9742, 68.9742) * CHOOSE(CONTROL!$C$21, $C$9, 100%, $E$9)</f>
        <v>68.974199999999996</v>
      </c>
      <c r="P836" s="14">
        <f>CHOOSE(CONTROL!$C$42, 68.9632, 68.9632) * CHOOSE(CONTROL!$C$21, $C$9, 100%, $E$9)</f>
        <v>68.963200000000001</v>
      </c>
      <c r="Q836" s="14">
        <f>CHOOSE(CONTROL!$C$42, 69.5689, 69.5689) * CHOOSE(CONTROL!$C$21, $C$9, 100%, $E$9)</f>
        <v>69.568899999999999</v>
      </c>
      <c r="R836" s="14">
        <f>CHOOSE(CONTROL!$C$42, 70.3298, 70.3298) * CHOOSE(CONTROL!$C$21, $C$9, 100%, $E$9)</f>
        <v>70.329800000000006</v>
      </c>
      <c r="S836" s="14">
        <f>CHOOSE(CONTROL!$C$42, 67.4226, 67.4226) * CHOOSE(CONTROL!$C$21, $C$9, 100%, $E$9)</f>
        <v>67.422600000000003</v>
      </c>
      <c r="T83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36" s="57">
        <f>(1000*CHOOSE(CONTROL!$C$42, 695, 695)*CHOOSE(CONTROL!$C$42, 0.5599, 0.5599)*CHOOSE(CONTROL!$C$42, 31, 31))/1000000</f>
        <v>12.063045499999998</v>
      </c>
      <c r="V836" s="57">
        <f>(1000*CHOOSE(CONTROL!$C$42, 500, 500)*CHOOSE(CONTROL!$C$42, 0.275, 0.275)*CHOOSE(CONTROL!$C$42, 31, 31))/1000000</f>
        <v>4.2625000000000002</v>
      </c>
      <c r="W836" s="57">
        <f>(1000*CHOOSE(CONTROL!$C$42, 0.1146, 0.1146)*CHOOSE(CONTROL!$C$42, 121.5, 121.5)*CHOOSE(CONTROL!$C$42, 31, 31))/1000000</f>
        <v>0.43164089999999994</v>
      </c>
      <c r="X836" s="57">
        <f>(31*0.1790888*245000/1000000)+(31*0.2374*100000/1000000)</f>
        <v>2.0961194359999999</v>
      </c>
      <c r="Y836" s="57"/>
      <c r="Z836" s="14"/>
      <c r="AA836" s="56"/>
      <c r="AB836" s="50">
        <f>(B836*194.205+C836*267.466+D836*133.845+E836*53.484+F836*40+G836*185+H836*0+I836*100+J836*300)/(194.205+267.466+133.845+53.484+0+40+185+100+300)</f>
        <v>70.222148566405025</v>
      </c>
      <c r="AC836" s="45">
        <f>(M836*'RAP TEMPLATE-GAS AVAILABILITY'!O835+N836*'RAP TEMPLATE-GAS AVAILABILITY'!P835+O836*'RAP TEMPLATE-GAS AVAILABILITY'!Q835+P836*'RAP TEMPLATE-GAS AVAILABILITY'!R835)/('RAP TEMPLATE-GAS AVAILABILITY'!O835+'RAP TEMPLATE-GAS AVAILABILITY'!P835+'RAP TEMPLATE-GAS AVAILABILITY'!Q835+'RAP TEMPLATE-GAS AVAILABILITY'!R835)</f>
        <v>68.872030215827337</v>
      </c>
    </row>
    <row r="837" spans="1:29" ht="15.75" x14ac:dyDescent="0.25">
      <c r="A837" s="32">
        <v>66384</v>
      </c>
      <c r="B837" s="14">
        <f>CHOOSE(CONTROL!$C$42, 65.7221, 65.7221) * CHOOSE(CONTROL!$C$21, $C$9, 100%, $E$9)</f>
        <v>65.722099999999998</v>
      </c>
      <c r="C837" s="14">
        <f>CHOOSE(CONTROL!$C$42, 65.7301, 65.7301) * CHOOSE(CONTROL!$C$21, $C$9, 100%, $E$9)</f>
        <v>65.730099999999993</v>
      </c>
      <c r="D837" s="14">
        <f>CHOOSE(CONTROL!$C$42, 65.9341, 65.9341) * CHOOSE(CONTROL!$C$21, $C$9, 100%, $E$9)</f>
        <v>65.934100000000001</v>
      </c>
      <c r="E837" s="14">
        <f>CHOOSE(CONTROL!$C$42, 65.9655, 65.9655) * CHOOSE(CONTROL!$C$21, $C$9, 100%, $E$9)</f>
        <v>65.965500000000006</v>
      </c>
      <c r="F837" s="14">
        <f>CHOOSE(CONTROL!$C$42, 65.704, 65.704)*CHOOSE(CONTROL!$C$21, $C$9, 100%, $E$9)</f>
        <v>65.703999999999994</v>
      </c>
      <c r="G837" s="14">
        <f>CHOOSE(CONTROL!$C$42, 65.72, 65.72)*CHOOSE(CONTROL!$C$21, $C$9, 100%, $E$9)</f>
        <v>65.72</v>
      </c>
      <c r="H837" s="14">
        <f>CHOOSE(CONTROL!$C$42, 65.9542, 65.9542) * CHOOSE(CONTROL!$C$21, $C$9, 100%, $E$9)</f>
        <v>65.9542</v>
      </c>
      <c r="I837" s="14">
        <f>CHOOSE(CONTROL!$C$42, 65.9334, 65.9334)* CHOOSE(CONTROL!$C$21, $C$9, 100%, $E$9)</f>
        <v>65.933400000000006</v>
      </c>
      <c r="J837" s="14">
        <f>CHOOSE(CONTROL!$C$42, 65.697, 65.697)* CHOOSE(CONTROL!$C$21, $C$9, 100%, $E$9)</f>
        <v>65.697000000000003</v>
      </c>
      <c r="K837" s="53">
        <f>CHOOSE(CONTROL!$C$42, 65.9295, 65.9295) * CHOOSE(CONTROL!$C$21, $C$9, 100%, $E$9)</f>
        <v>65.929500000000004</v>
      </c>
      <c r="L837" s="14">
        <f>CHOOSE(CONTROL!$C$42, 66.5412, 66.5412) * CHOOSE(CONTROL!$C$21, $C$9, 100%, $E$9)</f>
        <v>66.541200000000003</v>
      </c>
      <c r="M837" s="14">
        <f>CHOOSE(CONTROL!$C$42, 64.3586, 64.3586) * CHOOSE(CONTROL!$C$21, $C$9, 100%, $E$9)</f>
        <v>64.358599999999996</v>
      </c>
      <c r="N837" s="14">
        <f>CHOOSE(CONTROL!$C$42, 64.3742, 64.3742) * CHOOSE(CONTROL!$C$21, $C$9, 100%, $E$9)</f>
        <v>64.374200000000002</v>
      </c>
      <c r="O837" s="14">
        <f>CHOOSE(CONTROL!$C$42, 64.6105, 64.6105) * CHOOSE(CONTROL!$C$21, $C$9, 100%, $E$9)</f>
        <v>64.610500000000002</v>
      </c>
      <c r="P837" s="14">
        <f>CHOOSE(CONTROL!$C$42, 64.5861, 64.5861) * CHOOSE(CONTROL!$C$21, $C$9, 100%, $E$9)</f>
        <v>64.586100000000002</v>
      </c>
      <c r="Q837" s="14">
        <f>CHOOSE(CONTROL!$C$42, 65.2052, 65.2052) * CHOOSE(CONTROL!$C$21, $C$9, 100%, $E$9)</f>
        <v>65.205200000000005</v>
      </c>
      <c r="R837" s="14">
        <f>CHOOSE(CONTROL!$C$42, 65.9552, 65.9552) * CHOOSE(CONTROL!$C$21, $C$9, 100%, $E$9)</f>
        <v>65.955200000000005</v>
      </c>
      <c r="S837" s="14">
        <f>CHOOSE(CONTROL!$C$42, 63.1417, 63.1417) * CHOOSE(CONTROL!$C$21, $C$9, 100%, $E$9)</f>
        <v>63.1417</v>
      </c>
      <c r="T83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37" s="57">
        <f>(1000*CHOOSE(CONTROL!$C$42, 695, 695)*CHOOSE(CONTROL!$C$42, 0.5599, 0.5599)*CHOOSE(CONTROL!$C$42, 30, 30))/1000000</f>
        <v>11.673914999999997</v>
      </c>
      <c r="V837" s="57">
        <f>(1000*CHOOSE(CONTROL!$C$42, 500, 500)*CHOOSE(CONTROL!$C$42, 0.275, 0.275)*CHOOSE(CONTROL!$C$42, 30, 30))/1000000</f>
        <v>4.125</v>
      </c>
      <c r="W837" s="57">
        <f>(1000*CHOOSE(CONTROL!$C$42, 0.1146, 0.1146)*CHOOSE(CONTROL!$C$42, 121.5, 121.5)*CHOOSE(CONTROL!$C$42, 30, 30))/1000000</f>
        <v>0.417717</v>
      </c>
      <c r="X837" s="57">
        <f>(30*0.1790888*245000/1000000)+(30*0.2374*100000/1000000)</f>
        <v>2.0285026799999999</v>
      </c>
      <c r="Y837" s="57"/>
      <c r="Z837" s="14"/>
      <c r="AA837" s="56"/>
      <c r="AB837" s="50">
        <f>(B837*194.205+C837*267.466+D837*133.845+E837*53.484+F837*40+G837*185+H837*0+I837*100+J837*300)/(194.205+267.466+133.845+53.484+0+40+185+100+300)</f>
        <v>65.766072035792774</v>
      </c>
      <c r="AC837" s="45">
        <f>(M837*'RAP TEMPLATE-GAS AVAILABILITY'!O836+N837*'RAP TEMPLATE-GAS AVAILABILITY'!P836+O837*'RAP TEMPLATE-GAS AVAILABILITY'!Q836+P837*'RAP TEMPLATE-GAS AVAILABILITY'!R836)/('RAP TEMPLATE-GAS AVAILABILITY'!O836+'RAP TEMPLATE-GAS AVAILABILITY'!P836+'RAP TEMPLATE-GAS AVAILABILITY'!Q836+'RAP TEMPLATE-GAS AVAILABILITY'!R836)</f>
        <v>64.506402158273389</v>
      </c>
    </row>
    <row r="838" spans="1:29" ht="15.75" x14ac:dyDescent="0.25">
      <c r="A838" s="32">
        <v>66415</v>
      </c>
      <c r="B838" s="14">
        <f>CHOOSE(CONTROL!$C$42, 64.3862, 64.3862) * CHOOSE(CONTROL!$C$21, $C$9, 100%, $E$9)</f>
        <v>64.386200000000002</v>
      </c>
      <c r="C838" s="14">
        <f>CHOOSE(CONTROL!$C$42, 64.3915, 64.3915) * CHOOSE(CONTROL!$C$21, $C$9, 100%, $E$9)</f>
        <v>64.391499999999994</v>
      </c>
      <c r="D838" s="14">
        <f>CHOOSE(CONTROL!$C$42, 64.6004, 64.6004) * CHOOSE(CONTROL!$C$21, $C$9, 100%, $E$9)</f>
        <v>64.600399999999993</v>
      </c>
      <c r="E838" s="14">
        <f>CHOOSE(CONTROL!$C$42, 64.6295, 64.6295) * CHOOSE(CONTROL!$C$21, $C$9, 100%, $E$9)</f>
        <v>64.629499999999993</v>
      </c>
      <c r="F838" s="14">
        <f>CHOOSE(CONTROL!$C$42, 64.3701, 64.3701)*CHOOSE(CONTROL!$C$21, $C$9, 100%, $E$9)</f>
        <v>64.370099999999994</v>
      </c>
      <c r="G838" s="14">
        <f>CHOOSE(CONTROL!$C$42, 64.3858, 64.3858)*CHOOSE(CONTROL!$C$21, $C$9, 100%, $E$9)</f>
        <v>64.385800000000003</v>
      </c>
      <c r="H838" s="14">
        <f>CHOOSE(CONTROL!$C$42, 64.62, 64.62) * CHOOSE(CONTROL!$C$21, $C$9, 100%, $E$9)</f>
        <v>64.62</v>
      </c>
      <c r="I838" s="14">
        <f>CHOOSE(CONTROL!$C$42, 64.595, 64.595)* CHOOSE(CONTROL!$C$21, $C$9, 100%, $E$9)</f>
        <v>64.594999999999999</v>
      </c>
      <c r="J838" s="14">
        <f>CHOOSE(CONTROL!$C$42, 64.3631, 64.3631)* CHOOSE(CONTROL!$C$21, $C$9, 100%, $E$9)</f>
        <v>64.363100000000003</v>
      </c>
      <c r="K838" s="53">
        <f>CHOOSE(CONTROL!$C$42, 64.5911, 64.5911) * CHOOSE(CONTROL!$C$21, $C$9, 100%, $E$9)</f>
        <v>64.591099999999997</v>
      </c>
      <c r="L838" s="14">
        <f>CHOOSE(CONTROL!$C$42, 65.207, 65.207) * CHOOSE(CONTROL!$C$21, $C$9, 100%, $E$9)</f>
        <v>65.206999999999994</v>
      </c>
      <c r="M838" s="14">
        <f>CHOOSE(CONTROL!$C$42, 63.0521, 63.0521) * CHOOSE(CONTROL!$C$21, $C$9, 100%, $E$9)</f>
        <v>63.052100000000003</v>
      </c>
      <c r="N838" s="14">
        <f>CHOOSE(CONTROL!$C$42, 63.0674, 63.0674) * CHOOSE(CONTROL!$C$21, $C$9, 100%, $E$9)</f>
        <v>63.067399999999999</v>
      </c>
      <c r="O838" s="14">
        <f>CHOOSE(CONTROL!$C$42, 63.3036, 63.3036) * CHOOSE(CONTROL!$C$21, $C$9, 100%, $E$9)</f>
        <v>63.303600000000003</v>
      </c>
      <c r="P838" s="14">
        <f>CHOOSE(CONTROL!$C$42, 63.2752, 63.2752) * CHOOSE(CONTROL!$C$21, $C$9, 100%, $E$9)</f>
        <v>63.275199999999998</v>
      </c>
      <c r="Q838" s="14">
        <f>CHOOSE(CONTROL!$C$42, 63.8983, 63.8983) * CHOOSE(CONTROL!$C$21, $C$9, 100%, $E$9)</f>
        <v>63.898299999999999</v>
      </c>
      <c r="R838" s="14">
        <f>CHOOSE(CONTROL!$C$42, 64.6451, 64.6451) * CHOOSE(CONTROL!$C$21, $C$9, 100%, $E$9)</f>
        <v>64.645099999999999</v>
      </c>
      <c r="S838" s="14">
        <f>CHOOSE(CONTROL!$C$42, 61.8597, 61.8597) * CHOOSE(CONTROL!$C$21, $C$9, 100%, $E$9)</f>
        <v>61.859699999999997</v>
      </c>
      <c r="T83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38" s="57">
        <f>(1000*CHOOSE(CONTROL!$C$42, 695, 695)*CHOOSE(CONTROL!$C$42, 0.5599, 0.5599)*CHOOSE(CONTROL!$C$42, 31, 31))/1000000</f>
        <v>12.063045499999998</v>
      </c>
      <c r="V838" s="57">
        <f>(1000*CHOOSE(CONTROL!$C$42, 500, 500)*CHOOSE(CONTROL!$C$42, 0.275, 0.275)*CHOOSE(CONTROL!$C$42, 31, 31))/1000000</f>
        <v>4.2625000000000002</v>
      </c>
      <c r="W838" s="57">
        <f>(1000*CHOOSE(CONTROL!$C$42, 0.1146, 0.1146)*CHOOSE(CONTROL!$C$42, 121.5, 121.5)*CHOOSE(CONTROL!$C$42, 31, 31))/1000000</f>
        <v>0.43164089999999994</v>
      </c>
      <c r="X838" s="57">
        <f>(31*0.1790888*245000/1000000)+(31*0.2374*100000/1000000)</f>
        <v>2.0961194359999999</v>
      </c>
      <c r="Y838" s="57"/>
      <c r="Z838" s="14"/>
      <c r="AA838" s="56"/>
      <c r="AB838" s="50">
        <f>(B838*131.881+C838*277.167+D838*79.08+E838*125.872+F838*40+G838*185+H838*0+I838*100+J838*300)/(131.881+277.167+79.08+125.872+0+40+185+100+300)</f>
        <v>64.436453897255845</v>
      </c>
      <c r="AC838" s="45">
        <f>(M838*'RAP TEMPLATE-GAS AVAILABILITY'!O837+N838*'RAP TEMPLATE-GAS AVAILABILITY'!P837+O838*'RAP TEMPLATE-GAS AVAILABILITY'!Q837+P838*'RAP TEMPLATE-GAS AVAILABILITY'!R837)/('RAP TEMPLATE-GAS AVAILABILITY'!O837+'RAP TEMPLATE-GAS AVAILABILITY'!P837+'RAP TEMPLATE-GAS AVAILABILITY'!Q837+'RAP TEMPLATE-GAS AVAILABILITY'!R837)</f>
        <v>63.19907050359712</v>
      </c>
    </row>
    <row r="839" spans="1:29" ht="15.75" x14ac:dyDescent="0.25">
      <c r="A839" s="32">
        <v>66445</v>
      </c>
      <c r="B839" s="14">
        <f>CHOOSE(CONTROL!$C$42, 66.0817, 66.0817) * CHOOSE(CONTROL!$C$21, $C$9, 100%, $E$9)</f>
        <v>66.081699999999998</v>
      </c>
      <c r="C839" s="14">
        <f>CHOOSE(CONTROL!$C$42, 66.0868, 66.0868) * CHOOSE(CONTROL!$C$21, $C$9, 100%, $E$9)</f>
        <v>66.086799999999997</v>
      </c>
      <c r="D839" s="14">
        <f>CHOOSE(CONTROL!$C$42, 66.1506, 66.1506) * CHOOSE(CONTROL!$C$21, $C$9, 100%, $E$9)</f>
        <v>66.150599999999997</v>
      </c>
      <c r="E839" s="14">
        <f>CHOOSE(CONTROL!$C$42, 66.1847, 66.1847) * CHOOSE(CONTROL!$C$21, $C$9, 100%, $E$9)</f>
        <v>66.184700000000007</v>
      </c>
      <c r="F839" s="14">
        <f>CHOOSE(CONTROL!$C$42, 66.0841, 66.0841)*CHOOSE(CONTROL!$C$21, $C$9, 100%, $E$9)</f>
        <v>66.084100000000007</v>
      </c>
      <c r="G839" s="14">
        <f>CHOOSE(CONTROL!$C$42, 66.1001, 66.1001)*CHOOSE(CONTROL!$C$21, $C$9, 100%, $E$9)</f>
        <v>66.100099999999998</v>
      </c>
      <c r="H839" s="14">
        <f>CHOOSE(CONTROL!$C$42, 66.1739, 66.1739) * CHOOSE(CONTROL!$C$21, $C$9, 100%, $E$9)</f>
        <v>66.173900000000003</v>
      </c>
      <c r="I839" s="14">
        <f>CHOOSE(CONTROL!$C$42, 66.3015, 66.3015)* CHOOSE(CONTROL!$C$21, $C$9, 100%, $E$9)</f>
        <v>66.301500000000004</v>
      </c>
      <c r="J839" s="14">
        <f>CHOOSE(CONTROL!$C$42, 66.0771, 66.0771)* CHOOSE(CONTROL!$C$21, $C$9, 100%, $E$9)</f>
        <v>66.077100000000002</v>
      </c>
      <c r="K839" s="53">
        <f>CHOOSE(CONTROL!$C$42, 66.2976, 66.2976) * CHOOSE(CONTROL!$C$21, $C$9, 100%, $E$9)</f>
        <v>66.297600000000003</v>
      </c>
      <c r="L839" s="14">
        <f>CHOOSE(CONTROL!$C$42, 66.7609, 66.7609) * CHOOSE(CONTROL!$C$21, $C$9, 100%, $E$9)</f>
        <v>66.760900000000007</v>
      </c>
      <c r="M839" s="14">
        <f>CHOOSE(CONTROL!$C$42, 64.7309, 64.7309) * CHOOSE(CONTROL!$C$21, $C$9, 100%, $E$9)</f>
        <v>64.730900000000005</v>
      </c>
      <c r="N839" s="14">
        <f>CHOOSE(CONTROL!$C$42, 64.7466, 64.7466) * CHOOSE(CONTROL!$C$21, $C$9, 100%, $E$9)</f>
        <v>64.746600000000001</v>
      </c>
      <c r="O839" s="14">
        <f>CHOOSE(CONTROL!$C$42, 64.8257, 64.8257) * CHOOSE(CONTROL!$C$21, $C$9, 100%, $E$9)</f>
        <v>64.825699999999998</v>
      </c>
      <c r="P839" s="14">
        <f>CHOOSE(CONTROL!$C$42, 64.9466, 64.9466) * CHOOSE(CONTROL!$C$21, $C$9, 100%, $E$9)</f>
        <v>64.946600000000004</v>
      </c>
      <c r="Q839" s="14">
        <f>CHOOSE(CONTROL!$C$42, 65.4204, 65.4204) * CHOOSE(CONTROL!$C$21, $C$9, 100%, $E$9)</f>
        <v>65.420400000000001</v>
      </c>
      <c r="R839" s="14">
        <f>CHOOSE(CONTROL!$C$42, 66.171, 66.171) * CHOOSE(CONTROL!$C$21, $C$9, 100%, $E$9)</f>
        <v>66.171000000000006</v>
      </c>
      <c r="S839" s="14">
        <f>CHOOSE(CONTROL!$C$42, 63.4894, 63.4894) * CHOOSE(CONTROL!$C$21, $C$9, 100%, $E$9)</f>
        <v>63.489400000000003</v>
      </c>
      <c r="T83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39" s="57">
        <f>(1000*CHOOSE(CONTROL!$C$42, 695, 695)*CHOOSE(CONTROL!$C$42, 0.5599, 0.5599)*CHOOSE(CONTROL!$C$42, 30, 30))/1000000</f>
        <v>11.673914999999997</v>
      </c>
      <c r="V839" s="57">
        <f>(1000*CHOOSE(CONTROL!$C$42, 500, 500)*CHOOSE(CONTROL!$C$42, 0.275, 0.275)*CHOOSE(CONTROL!$C$42, 30, 30))/1000000</f>
        <v>4.125</v>
      </c>
      <c r="W839" s="57">
        <f>(1000*CHOOSE(CONTROL!$C$42, 0.1146, 0.1146)*CHOOSE(CONTROL!$C$42, 121.5, 121.5)*CHOOSE(CONTROL!$C$42, 30, 30))/1000000</f>
        <v>0.417717</v>
      </c>
      <c r="X839" s="57">
        <f>(30*0.1790888*100000/1000000)+(30*0.2374*100000/1000000)</f>
        <v>1.2494664</v>
      </c>
      <c r="Y839" s="57"/>
      <c r="Z839" s="14"/>
      <c r="AA839" s="56"/>
      <c r="AB839" s="50">
        <f>(B839*122.58+C839*297.941+D839*89.177+E839*40.302+F839*40+G839*160+H839*0+I839*100+J839*300)/(122.58+297.941+89.177+40.302+0+40+160+100+300)</f>
        <v>66.112530348173919</v>
      </c>
      <c r="AC839" s="45">
        <f>(M839*'RAP TEMPLATE-GAS AVAILABILITY'!O838+N839*'RAP TEMPLATE-GAS AVAILABILITY'!P838+O839*'RAP TEMPLATE-GAS AVAILABILITY'!Q838+P839*'RAP TEMPLATE-GAS AVAILABILITY'!R838)/('RAP TEMPLATE-GAS AVAILABILITY'!O838+'RAP TEMPLATE-GAS AVAILABILITY'!P838+'RAP TEMPLATE-GAS AVAILABILITY'!Q838+'RAP TEMPLATE-GAS AVAILABILITY'!R838)</f>
        <v>64.805806474820159</v>
      </c>
    </row>
    <row r="840" spans="1:29" ht="15.75" x14ac:dyDescent="0.25">
      <c r="A840" s="32">
        <v>66476</v>
      </c>
      <c r="B840" s="14">
        <f>CHOOSE(CONTROL!$C$42, 70.5865, 70.5865) * CHOOSE(CONTROL!$C$21, $C$9, 100%, $E$9)</f>
        <v>70.586500000000001</v>
      </c>
      <c r="C840" s="14">
        <f>CHOOSE(CONTROL!$C$42, 70.5915, 70.5915) * CHOOSE(CONTROL!$C$21, $C$9, 100%, $E$9)</f>
        <v>70.591499999999996</v>
      </c>
      <c r="D840" s="14">
        <f>CHOOSE(CONTROL!$C$42, 70.6553, 70.6553) * CHOOSE(CONTROL!$C$21, $C$9, 100%, $E$9)</f>
        <v>70.655299999999997</v>
      </c>
      <c r="E840" s="14">
        <f>CHOOSE(CONTROL!$C$42, 70.6895, 70.6895) * CHOOSE(CONTROL!$C$21, $C$9, 100%, $E$9)</f>
        <v>70.689499999999995</v>
      </c>
      <c r="F840" s="14">
        <f>CHOOSE(CONTROL!$C$42, 70.5911, 70.5911)*CHOOSE(CONTROL!$C$21, $C$9, 100%, $E$9)</f>
        <v>70.591099999999997</v>
      </c>
      <c r="G840" s="14">
        <f>CHOOSE(CONTROL!$C$42, 70.6077, 70.6077)*CHOOSE(CONTROL!$C$21, $C$9, 100%, $E$9)</f>
        <v>70.607699999999994</v>
      </c>
      <c r="H840" s="14">
        <f>CHOOSE(CONTROL!$C$42, 70.6786, 70.6786) * CHOOSE(CONTROL!$C$21, $C$9, 100%, $E$9)</f>
        <v>70.678600000000003</v>
      </c>
      <c r="I840" s="14">
        <f>CHOOSE(CONTROL!$C$42, 70.8204, 70.8204)* CHOOSE(CONTROL!$C$21, $C$9, 100%, $E$9)</f>
        <v>70.820400000000006</v>
      </c>
      <c r="J840" s="14">
        <f>CHOOSE(CONTROL!$C$42, 70.5841, 70.5841)* CHOOSE(CONTROL!$C$21, $C$9, 100%, $E$9)</f>
        <v>70.584100000000007</v>
      </c>
      <c r="K840" s="53">
        <f>CHOOSE(CONTROL!$C$42, 70.8165, 70.8165) * CHOOSE(CONTROL!$C$21, $C$9, 100%, $E$9)</f>
        <v>70.816500000000005</v>
      </c>
      <c r="L840" s="14">
        <f>CHOOSE(CONTROL!$C$42, 71.2656, 71.2656) * CHOOSE(CONTROL!$C$21, $C$9, 100%, $E$9)</f>
        <v>71.265600000000006</v>
      </c>
      <c r="M840" s="14">
        <f>CHOOSE(CONTROL!$C$42, 69.1456, 69.1456) * CHOOSE(CONTROL!$C$21, $C$9, 100%, $E$9)</f>
        <v>69.145600000000002</v>
      </c>
      <c r="N840" s="14">
        <f>CHOOSE(CONTROL!$C$42, 69.1618, 69.1618) * CHOOSE(CONTROL!$C$21, $C$9, 100%, $E$9)</f>
        <v>69.161799999999999</v>
      </c>
      <c r="O840" s="14">
        <f>CHOOSE(CONTROL!$C$42, 69.2382, 69.2382) * CHOOSE(CONTROL!$C$21, $C$9, 100%, $E$9)</f>
        <v>69.238200000000006</v>
      </c>
      <c r="P840" s="14">
        <f>CHOOSE(CONTROL!$C$42, 69.3726, 69.3726) * CHOOSE(CONTROL!$C$21, $C$9, 100%, $E$9)</f>
        <v>69.372600000000006</v>
      </c>
      <c r="Q840" s="14">
        <f>CHOOSE(CONTROL!$C$42, 69.8329, 69.8329) * CHOOSE(CONTROL!$C$21, $C$9, 100%, $E$9)</f>
        <v>69.832899999999995</v>
      </c>
      <c r="R840" s="14">
        <f>CHOOSE(CONTROL!$C$42, 70.5945, 70.5945) * CHOOSE(CONTROL!$C$21, $C$9, 100%, $E$9)</f>
        <v>70.594499999999996</v>
      </c>
      <c r="S840" s="14">
        <f>CHOOSE(CONTROL!$C$42, 67.818, 67.818) * CHOOSE(CONTROL!$C$21, $C$9, 100%, $E$9)</f>
        <v>67.817999999999998</v>
      </c>
      <c r="T84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40" s="57">
        <f>(1000*CHOOSE(CONTROL!$C$42, 695, 695)*CHOOSE(CONTROL!$C$42, 0.5599, 0.5599)*CHOOSE(CONTROL!$C$42, 31, 31))/1000000</f>
        <v>12.063045499999998</v>
      </c>
      <c r="V840" s="57">
        <f>(1000*CHOOSE(CONTROL!$C$42, 500, 500)*CHOOSE(CONTROL!$C$42, 0.275, 0.275)*CHOOSE(CONTROL!$C$42, 31, 31))/1000000</f>
        <v>4.2625000000000002</v>
      </c>
      <c r="W840" s="57">
        <f>(1000*CHOOSE(CONTROL!$C$42, 0.1146, 0.1146)*CHOOSE(CONTROL!$C$42, 121.5, 121.5)*CHOOSE(CONTROL!$C$42, 31, 31))/1000000</f>
        <v>0.43164089999999994</v>
      </c>
      <c r="X840" s="57">
        <f>(31*0.1790888*100000/1000000)+(31*0.2374*100000/1000000)</f>
        <v>1.2911152800000001</v>
      </c>
      <c r="Y840" s="57"/>
      <c r="Z840" s="14"/>
      <c r="AA840" s="56"/>
      <c r="AB840" s="50">
        <f>(B840*122.58+C840*297.941+D840*89.177+E840*40.302+F840*40+G840*160+H840*0+I840*100+J840*300)/(122.58+297.941+89.177+40.302+0+40+160+100+300)</f>
        <v>70.619562772695645</v>
      </c>
      <c r="AC840" s="45">
        <f>(M840*'RAP TEMPLATE-GAS AVAILABILITY'!O839+N840*'RAP TEMPLATE-GAS AVAILABILITY'!P839+O840*'RAP TEMPLATE-GAS AVAILABILITY'!Q839+P840*'RAP TEMPLATE-GAS AVAILABILITY'!R839)/('RAP TEMPLATE-GAS AVAILABILITY'!O839+'RAP TEMPLATE-GAS AVAILABILITY'!P839+'RAP TEMPLATE-GAS AVAILABILITY'!Q839+'RAP TEMPLATE-GAS AVAILABILITY'!R839)</f>
        <v>69.221164028776982</v>
      </c>
    </row>
    <row r="841" spans="1:29" ht="15.75" x14ac:dyDescent="0.25">
      <c r="A841" s="32">
        <v>66507</v>
      </c>
      <c r="B841" s="14">
        <f>CHOOSE(CONTROL!$C$42, 76.3677, 76.3677) * CHOOSE(CONTROL!$C$21, $C$9, 100%, $E$9)</f>
        <v>76.367699999999999</v>
      </c>
      <c r="C841" s="14">
        <f>CHOOSE(CONTROL!$C$42, 76.3728, 76.3728) * CHOOSE(CONTROL!$C$21, $C$9, 100%, $E$9)</f>
        <v>76.372799999999998</v>
      </c>
      <c r="D841" s="14">
        <f>CHOOSE(CONTROL!$C$42, 76.4392, 76.4392) * CHOOSE(CONTROL!$C$21, $C$9, 100%, $E$9)</f>
        <v>76.4392</v>
      </c>
      <c r="E841" s="14">
        <f>CHOOSE(CONTROL!$C$42, 76.4733, 76.4733) * CHOOSE(CONTROL!$C$21, $C$9, 100%, $E$9)</f>
        <v>76.473299999999995</v>
      </c>
      <c r="F841" s="14">
        <f>CHOOSE(CONTROL!$C$42, 76.355, 76.355)*CHOOSE(CONTROL!$C$21, $C$9, 100%, $E$9)</f>
        <v>76.355000000000004</v>
      </c>
      <c r="G841" s="14">
        <f>CHOOSE(CONTROL!$C$42, 76.3705, 76.3705)*CHOOSE(CONTROL!$C$21, $C$9, 100%, $E$9)</f>
        <v>76.370500000000007</v>
      </c>
      <c r="H841" s="14">
        <f>CHOOSE(CONTROL!$C$42, 76.4625, 76.4625) * CHOOSE(CONTROL!$C$21, $C$9, 100%, $E$9)</f>
        <v>76.462500000000006</v>
      </c>
      <c r="I841" s="14">
        <f>CHOOSE(CONTROL!$C$42, 76.6145, 76.6145)* CHOOSE(CONTROL!$C$21, $C$9, 100%, $E$9)</f>
        <v>76.614500000000007</v>
      </c>
      <c r="J841" s="14">
        <f>CHOOSE(CONTROL!$C$42, 76.348, 76.348)* CHOOSE(CONTROL!$C$21, $C$9, 100%, $E$9)</f>
        <v>76.347999999999999</v>
      </c>
      <c r="K841" s="53">
        <f>CHOOSE(CONTROL!$C$42, 76.6106, 76.6106) * CHOOSE(CONTROL!$C$21, $C$9, 100%, $E$9)</f>
        <v>76.610600000000005</v>
      </c>
      <c r="L841" s="14">
        <f>CHOOSE(CONTROL!$C$42, 77.0495, 77.0495) * CHOOSE(CONTROL!$C$21, $C$9, 100%, $E$9)</f>
        <v>77.049499999999995</v>
      </c>
      <c r="M841" s="14">
        <f>CHOOSE(CONTROL!$C$42, 74.7914, 74.7914) * CHOOSE(CONTROL!$C$21, $C$9, 100%, $E$9)</f>
        <v>74.791399999999996</v>
      </c>
      <c r="N841" s="14">
        <f>CHOOSE(CONTROL!$C$42, 74.8066, 74.8066) * CHOOSE(CONTROL!$C$21, $C$9, 100%, $E$9)</f>
        <v>74.806600000000003</v>
      </c>
      <c r="O841" s="14">
        <f>CHOOSE(CONTROL!$C$42, 74.9035, 74.9035) * CHOOSE(CONTROL!$C$21, $C$9, 100%, $E$9)</f>
        <v>74.903499999999994</v>
      </c>
      <c r="P841" s="14">
        <f>CHOOSE(CONTROL!$C$42, 75.0477, 75.0477) * CHOOSE(CONTROL!$C$21, $C$9, 100%, $E$9)</f>
        <v>75.047700000000006</v>
      </c>
      <c r="Q841" s="14">
        <f>CHOOSE(CONTROL!$C$42, 75.4982, 75.4982) * CHOOSE(CONTROL!$C$21, $C$9, 100%, $E$9)</f>
        <v>75.498199999999997</v>
      </c>
      <c r="R841" s="14">
        <f>CHOOSE(CONTROL!$C$42, 76.274, 76.274) * CHOOSE(CONTROL!$C$21, $C$9, 100%, $E$9)</f>
        <v>76.274000000000001</v>
      </c>
      <c r="S841" s="14">
        <f>CHOOSE(CONTROL!$C$42, 73.3732, 73.3732) * CHOOSE(CONTROL!$C$21, $C$9, 100%, $E$9)</f>
        <v>73.373199999999997</v>
      </c>
      <c r="T84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41" s="57">
        <f>(1000*CHOOSE(CONTROL!$C$42, 695, 695)*CHOOSE(CONTROL!$C$42, 0.5599, 0.5599)*CHOOSE(CONTROL!$C$42, 31, 31))/1000000</f>
        <v>12.063045499999998</v>
      </c>
      <c r="V841" s="57">
        <f>(1000*CHOOSE(CONTROL!$C$42, 500, 500)*CHOOSE(CONTROL!$C$42, 0.275, 0.275)*CHOOSE(CONTROL!$C$42, 31, 31))/1000000</f>
        <v>4.2625000000000002</v>
      </c>
      <c r="W841" s="57">
        <f>(1000*CHOOSE(CONTROL!$C$42, 0.1146, 0.1146)*CHOOSE(CONTROL!$C$42, 121.5, 121.5)*CHOOSE(CONTROL!$C$42, 31, 31))/1000000</f>
        <v>0.43164089999999994</v>
      </c>
      <c r="X841" s="57">
        <f>(31*0.1790888*100000/1000000)+(31*0.2374*100000/1000000)</f>
        <v>1.2911152800000001</v>
      </c>
      <c r="Y841" s="57"/>
      <c r="Z841" s="14"/>
      <c r="AA841" s="56"/>
      <c r="AB841" s="50">
        <f>(B841*122.58+C841*297.941+D841*89.177+E841*40.302+F841*40+G841*160+H841*0+I841*100+J841*300)/(122.58+297.941+89.177+40.302+0+40+160+100+300)</f>
        <v>76.394536126782597</v>
      </c>
      <c r="AC841" s="45">
        <f>(M841*'RAP TEMPLATE-GAS AVAILABILITY'!O840+N841*'RAP TEMPLATE-GAS AVAILABILITY'!P840+O841*'RAP TEMPLATE-GAS AVAILABILITY'!Q840+P841*'RAP TEMPLATE-GAS AVAILABILITY'!R840)/('RAP TEMPLATE-GAS AVAILABILITY'!O840+'RAP TEMPLATE-GAS AVAILABILITY'!P840+'RAP TEMPLATE-GAS AVAILABILITY'!Q840+'RAP TEMPLATE-GAS AVAILABILITY'!R840)</f>
        <v>74.879960431654666</v>
      </c>
    </row>
    <row r="842" spans="1:29" ht="15.75" x14ac:dyDescent="0.25">
      <c r="A842" s="32">
        <v>66535</v>
      </c>
      <c r="B842" s="14">
        <f>CHOOSE(CONTROL!$C$42, 77.727, 77.727) * CHOOSE(CONTROL!$C$21, $C$9, 100%, $E$9)</f>
        <v>77.727000000000004</v>
      </c>
      <c r="C842" s="14">
        <f>CHOOSE(CONTROL!$C$42, 77.7321, 77.7321) * CHOOSE(CONTROL!$C$21, $C$9, 100%, $E$9)</f>
        <v>77.732100000000003</v>
      </c>
      <c r="D842" s="14">
        <f>CHOOSE(CONTROL!$C$42, 77.7985, 77.7985) * CHOOSE(CONTROL!$C$21, $C$9, 100%, $E$9)</f>
        <v>77.798500000000004</v>
      </c>
      <c r="E842" s="14">
        <f>CHOOSE(CONTROL!$C$42, 77.8326, 77.8326) * CHOOSE(CONTROL!$C$21, $C$9, 100%, $E$9)</f>
        <v>77.832599999999999</v>
      </c>
      <c r="F842" s="14">
        <f>CHOOSE(CONTROL!$C$42, 77.7144, 77.7144)*CHOOSE(CONTROL!$C$21, $C$9, 100%, $E$9)</f>
        <v>77.714399999999998</v>
      </c>
      <c r="G842" s="14">
        <f>CHOOSE(CONTROL!$C$42, 77.7299, 77.7299)*CHOOSE(CONTROL!$C$21, $C$9, 100%, $E$9)</f>
        <v>77.729900000000001</v>
      </c>
      <c r="H842" s="14">
        <f>CHOOSE(CONTROL!$C$42, 77.8218, 77.8218) * CHOOSE(CONTROL!$C$21, $C$9, 100%, $E$9)</f>
        <v>77.821799999999996</v>
      </c>
      <c r="I842" s="14">
        <f>CHOOSE(CONTROL!$C$42, 77.978, 77.978)* CHOOSE(CONTROL!$C$21, $C$9, 100%, $E$9)</f>
        <v>77.977999999999994</v>
      </c>
      <c r="J842" s="14">
        <f>CHOOSE(CONTROL!$C$42, 77.7074, 77.7074)* CHOOSE(CONTROL!$C$21, $C$9, 100%, $E$9)</f>
        <v>77.707400000000007</v>
      </c>
      <c r="K842" s="53">
        <f>CHOOSE(CONTROL!$C$42, 77.9742, 77.9742) * CHOOSE(CONTROL!$C$21, $C$9, 100%, $E$9)</f>
        <v>77.974199999999996</v>
      </c>
      <c r="L842" s="14">
        <f>CHOOSE(CONTROL!$C$42, 78.4088, 78.4088) * CHOOSE(CONTROL!$C$21, $C$9, 100%, $E$9)</f>
        <v>78.408799999999999</v>
      </c>
      <c r="M842" s="14">
        <f>CHOOSE(CONTROL!$C$42, 76.1229, 76.1229) * CHOOSE(CONTROL!$C$21, $C$9, 100%, $E$9)</f>
        <v>76.122900000000001</v>
      </c>
      <c r="N842" s="14">
        <f>CHOOSE(CONTROL!$C$42, 76.1381, 76.1381) * CHOOSE(CONTROL!$C$21, $C$9, 100%, $E$9)</f>
        <v>76.138099999999994</v>
      </c>
      <c r="O842" s="14">
        <f>CHOOSE(CONTROL!$C$42, 76.235, 76.235) * CHOOSE(CONTROL!$C$21, $C$9, 100%, $E$9)</f>
        <v>76.234999999999999</v>
      </c>
      <c r="P842" s="14">
        <f>CHOOSE(CONTROL!$C$42, 76.3832, 76.3832) * CHOOSE(CONTROL!$C$21, $C$9, 100%, $E$9)</f>
        <v>76.383200000000002</v>
      </c>
      <c r="Q842" s="14">
        <f>CHOOSE(CONTROL!$C$42, 76.8297, 76.8297) * CHOOSE(CONTROL!$C$21, $C$9, 100%, $E$9)</f>
        <v>76.829700000000003</v>
      </c>
      <c r="R842" s="14">
        <f>CHOOSE(CONTROL!$C$42, 77.6087, 77.6087) * CHOOSE(CONTROL!$C$21, $C$9, 100%, $E$9)</f>
        <v>77.608699999999999</v>
      </c>
      <c r="S842" s="14">
        <f>CHOOSE(CONTROL!$C$42, 74.6793, 74.6793) * CHOOSE(CONTROL!$C$21, $C$9, 100%, $E$9)</f>
        <v>74.679299999999998</v>
      </c>
      <c r="T84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42" s="57">
        <f>(1000*CHOOSE(CONTROL!$C$42, 695, 695)*CHOOSE(CONTROL!$C$42, 0.5599, 0.5599)*CHOOSE(CONTROL!$C$42, 28, 28))/1000000</f>
        <v>10.895653999999999</v>
      </c>
      <c r="V842" s="57">
        <f>(1000*CHOOSE(CONTROL!$C$42, 500, 500)*CHOOSE(CONTROL!$C$42, 0.275, 0.275)*CHOOSE(CONTROL!$C$42, 28, 28))/1000000</f>
        <v>3.85</v>
      </c>
      <c r="W842" s="57">
        <f>(1000*CHOOSE(CONTROL!$C$42, 0.1146, 0.1146)*CHOOSE(CONTROL!$C$42, 121.5, 121.5)*CHOOSE(CONTROL!$C$42, 28, 28))/1000000</f>
        <v>0.38986920000000003</v>
      </c>
      <c r="X842" s="57">
        <f>(28*0.1790888*100000/1000000)+(28*0.2374*100000/1000000)</f>
        <v>1.16616864</v>
      </c>
      <c r="Y842" s="57"/>
      <c r="Z842" s="14"/>
      <c r="AA842" s="56"/>
      <c r="AB842" s="50">
        <f>(B842*122.58+C842*297.941+D842*89.177+E842*40.302+F842*40+G842*160+H842*0+I842*100+J842*300)/(122.58+297.941+89.177+40.302+0+40+160+100+300)</f>
        <v>77.754244822434785</v>
      </c>
      <c r="AC842" s="45">
        <f>(M842*'RAP TEMPLATE-GAS AVAILABILITY'!O841+N842*'RAP TEMPLATE-GAS AVAILABILITY'!P841+O842*'RAP TEMPLATE-GAS AVAILABILITY'!Q841+P842*'RAP TEMPLATE-GAS AVAILABILITY'!R841)/('RAP TEMPLATE-GAS AVAILABILITY'!O841+'RAP TEMPLATE-GAS AVAILABILITY'!P841+'RAP TEMPLATE-GAS AVAILABILITY'!Q841+'RAP TEMPLATE-GAS AVAILABILITY'!R841)</f>
        <v>76.212035971223017</v>
      </c>
    </row>
    <row r="843" spans="1:29" ht="15.75" x14ac:dyDescent="0.25">
      <c r="A843" s="32">
        <v>66566</v>
      </c>
      <c r="B843" s="14">
        <f>CHOOSE(CONTROL!$C$42, 75.5205, 75.5205) * CHOOSE(CONTROL!$C$21, $C$9, 100%, $E$9)</f>
        <v>75.520499999999998</v>
      </c>
      <c r="C843" s="14">
        <f>CHOOSE(CONTROL!$C$42, 75.5256, 75.5256) * CHOOSE(CONTROL!$C$21, $C$9, 100%, $E$9)</f>
        <v>75.525599999999997</v>
      </c>
      <c r="D843" s="14">
        <f>CHOOSE(CONTROL!$C$42, 75.592, 75.592) * CHOOSE(CONTROL!$C$21, $C$9, 100%, $E$9)</f>
        <v>75.591999999999999</v>
      </c>
      <c r="E843" s="14">
        <f>CHOOSE(CONTROL!$C$42, 75.6261, 75.6261) * CHOOSE(CONTROL!$C$21, $C$9, 100%, $E$9)</f>
        <v>75.626099999999994</v>
      </c>
      <c r="F843" s="14">
        <f>CHOOSE(CONTROL!$C$42, 75.5075, 75.5075)*CHOOSE(CONTROL!$C$21, $C$9, 100%, $E$9)</f>
        <v>75.507499999999993</v>
      </c>
      <c r="G843" s="14">
        <f>CHOOSE(CONTROL!$C$42, 75.5229, 75.5229)*CHOOSE(CONTROL!$C$21, $C$9, 100%, $E$9)</f>
        <v>75.522900000000007</v>
      </c>
      <c r="H843" s="14">
        <f>CHOOSE(CONTROL!$C$42, 75.6153, 75.6153) * CHOOSE(CONTROL!$C$21, $C$9, 100%, $E$9)</f>
        <v>75.615300000000005</v>
      </c>
      <c r="I843" s="14">
        <f>CHOOSE(CONTROL!$C$42, 75.7647, 75.7647)* CHOOSE(CONTROL!$C$21, $C$9, 100%, $E$9)</f>
        <v>75.764700000000005</v>
      </c>
      <c r="J843" s="14">
        <f>CHOOSE(CONTROL!$C$42, 75.5005, 75.5005)* CHOOSE(CONTROL!$C$21, $C$9, 100%, $E$9)</f>
        <v>75.500500000000002</v>
      </c>
      <c r="K843" s="53">
        <f>CHOOSE(CONTROL!$C$42, 75.7608, 75.7608) * CHOOSE(CONTROL!$C$21, $C$9, 100%, $E$9)</f>
        <v>75.760800000000003</v>
      </c>
      <c r="L843" s="14">
        <f>CHOOSE(CONTROL!$C$42, 76.2023, 76.2023) * CHOOSE(CONTROL!$C$21, $C$9, 100%, $E$9)</f>
        <v>76.202299999999994</v>
      </c>
      <c r="M843" s="14">
        <f>CHOOSE(CONTROL!$C$42, 73.9613, 73.9613) * CHOOSE(CONTROL!$C$21, $C$9, 100%, $E$9)</f>
        <v>73.961299999999994</v>
      </c>
      <c r="N843" s="14">
        <f>CHOOSE(CONTROL!$C$42, 73.9764, 73.9764) * CHOOSE(CONTROL!$C$21, $C$9, 100%, $E$9)</f>
        <v>73.976399999999998</v>
      </c>
      <c r="O843" s="14">
        <f>CHOOSE(CONTROL!$C$42, 74.0737, 74.0737) * CHOOSE(CONTROL!$C$21, $C$9, 100%, $E$9)</f>
        <v>74.073700000000002</v>
      </c>
      <c r="P843" s="14">
        <f>CHOOSE(CONTROL!$C$42, 74.2153, 74.2153) * CHOOSE(CONTROL!$C$21, $C$9, 100%, $E$9)</f>
        <v>74.215299999999999</v>
      </c>
      <c r="Q843" s="14">
        <f>CHOOSE(CONTROL!$C$42, 74.6684, 74.6684) * CHOOSE(CONTROL!$C$21, $C$9, 100%, $E$9)</f>
        <v>74.668400000000005</v>
      </c>
      <c r="R843" s="14">
        <f>CHOOSE(CONTROL!$C$42, 75.4421, 75.4421) * CHOOSE(CONTROL!$C$21, $C$9, 100%, $E$9)</f>
        <v>75.442099999999996</v>
      </c>
      <c r="S843" s="14">
        <f>CHOOSE(CONTROL!$C$42, 72.5591, 72.5591) * CHOOSE(CONTROL!$C$21, $C$9, 100%, $E$9)</f>
        <v>72.559100000000001</v>
      </c>
      <c r="T84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43" s="57">
        <f>(1000*CHOOSE(CONTROL!$C$42, 695, 695)*CHOOSE(CONTROL!$C$42, 0.5599, 0.5599)*CHOOSE(CONTROL!$C$42, 31, 31))/1000000</f>
        <v>12.063045499999998</v>
      </c>
      <c r="V843" s="57">
        <f>(1000*CHOOSE(CONTROL!$C$42, 500, 500)*CHOOSE(CONTROL!$C$42, 0.275, 0.275)*CHOOSE(CONTROL!$C$42, 31, 31))/1000000</f>
        <v>4.2625000000000002</v>
      </c>
      <c r="W843" s="57">
        <f>(1000*CHOOSE(CONTROL!$C$42, 0.1146, 0.1146)*CHOOSE(CONTROL!$C$42, 121.5, 121.5)*CHOOSE(CONTROL!$C$42, 31, 31))/1000000</f>
        <v>0.43164089999999994</v>
      </c>
      <c r="X843" s="57">
        <f>(31*0.1790888*100000/1000000)+(31*0.2374*100000/1000000)</f>
        <v>1.2911152800000001</v>
      </c>
      <c r="Y843" s="57"/>
      <c r="Z843" s="14"/>
      <c r="AA843" s="56"/>
      <c r="AB843" s="50">
        <f>(B843*122.58+C843*297.941+D843*89.177+E843*40.302+F843*40+G843*160+H843*0+I843*100+J843*300)/(122.58+297.941+89.177+40.302+0+40+160+100+300)</f>
        <v>75.546965692000001</v>
      </c>
      <c r="AC843" s="45">
        <f>(M843*'RAP TEMPLATE-GAS AVAILABILITY'!O842+N843*'RAP TEMPLATE-GAS AVAILABILITY'!P842+O843*'RAP TEMPLATE-GAS AVAILABILITY'!Q842+P843*'RAP TEMPLATE-GAS AVAILABILITY'!R842)/('RAP TEMPLATE-GAS AVAILABILITY'!O842+'RAP TEMPLATE-GAS AVAILABILITY'!P842+'RAP TEMPLATE-GAS AVAILABILITY'!Q842+'RAP TEMPLATE-GAS AVAILABILITY'!R842)</f>
        <v>74.049659712230223</v>
      </c>
    </row>
    <row r="844" spans="1:29" ht="15.75" x14ac:dyDescent="0.25">
      <c r="A844" s="32">
        <v>66596</v>
      </c>
      <c r="B844" s="14">
        <f>CHOOSE(CONTROL!$C$42, 75.2956, 75.2956) * CHOOSE(CONTROL!$C$21, $C$9, 100%, $E$9)</f>
        <v>75.295599999999993</v>
      </c>
      <c r="C844" s="14">
        <f>CHOOSE(CONTROL!$C$42, 75.3001, 75.3001) * CHOOSE(CONTROL!$C$21, $C$9, 100%, $E$9)</f>
        <v>75.3001</v>
      </c>
      <c r="D844" s="14">
        <f>CHOOSE(CONTROL!$C$42, 75.5072, 75.5072) * CHOOSE(CONTROL!$C$21, $C$9, 100%, $E$9)</f>
        <v>75.507199999999997</v>
      </c>
      <c r="E844" s="14">
        <f>CHOOSE(CONTROL!$C$42, 75.5393, 75.5393) * CHOOSE(CONTROL!$C$21, $C$9, 100%, $E$9)</f>
        <v>75.539299999999997</v>
      </c>
      <c r="F844" s="14">
        <f>CHOOSE(CONTROL!$C$42, 75.2775, 75.2775)*CHOOSE(CONTROL!$C$21, $C$9, 100%, $E$9)</f>
        <v>75.277500000000003</v>
      </c>
      <c r="G844" s="14">
        <f>CHOOSE(CONTROL!$C$42, 75.2927, 75.2927)*CHOOSE(CONTROL!$C$21, $C$9, 100%, $E$9)</f>
        <v>75.292699999999996</v>
      </c>
      <c r="H844" s="14">
        <f>CHOOSE(CONTROL!$C$42, 75.5291, 75.5291) * CHOOSE(CONTROL!$C$21, $C$9, 100%, $E$9)</f>
        <v>75.5291</v>
      </c>
      <c r="I844" s="14">
        <f>CHOOSE(CONTROL!$C$42, 75.5383, 75.5383)* CHOOSE(CONTROL!$C$21, $C$9, 100%, $E$9)</f>
        <v>75.538300000000007</v>
      </c>
      <c r="J844" s="14">
        <f>CHOOSE(CONTROL!$C$42, 75.2705, 75.2705)* CHOOSE(CONTROL!$C$21, $C$9, 100%, $E$9)</f>
        <v>75.270499999999998</v>
      </c>
      <c r="K844" s="53">
        <f>CHOOSE(CONTROL!$C$42, 75.5344, 75.5344) * CHOOSE(CONTROL!$C$21, $C$9, 100%, $E$9)</f>
        <v>75.534400000000005</v>
      </c>
      <c r="L844" s="14">
        <f>CHOOSE(CONTROL!$C$42, 76.1161, 76.1161) * CHOOSE(CONTROL!$C$21, $C$9, 100%, $E$9)</f>
        <v>76.116100000000003</v>
      </c>
      <c r="M844" s="14">
        <f>CHOOSE(CONTROL!$C$42, 73.736, 73.736) * CHOOSE(CONTROL!$C$21, $C$9, 100%, $E$9)</f>
        <v>73.736000000000004</v>
      </c>
      <c r="N844" s="14">
        <f>CHOOSE(CONTROL!$C$42, 73.7508, 73.7508) * CHOOSE(CONTROL!$C$21, $C$9, 100%, $E$9)</f>
        <v>73.750799999999998</v>
      </c>
      <c r="O844" s="14">
        <f>CHOOSE(CONTROL!$C$42, 73.9892, 73.9892) * CHOOSE(CONTROL!$C$21, $C$9, 100%, $E$9)</f>
        <v>73.989199999999997</v>
      </c>
      <c r="P844" s="14">
        <f>CHOOSE(CONTROL!$C$42, 73.9936, 73.9936) * CHOOSE(CONTROL!$C$21, $C$9, 100%, $E$9)</f>
        <v>73.993600000000001</v>
      </c>
      <c r="Q844" s="14">
        <f>CHOOSE(CONTROL!$C$42, 74.5839, 74.5839) * CHOOSE(CONTROL!$C$21, $C$9, 100%, $E$9)</f>
        <v>74.5839</v>
      </c>
      <c r="R844" s="14">
        <f>CHOOSE(CONTROL!$C$42, 75.3574, 75.3574) * CHOOSE(CONTROL!$C$21, $C$9, 100%, $E$9)</f>
        <v>75.357399999999998</v>
      </c>
      <c r="S844" s="14">
        <f>CHOOSE(CONTROL!$C$42, 72.3423, 72.3423) * CHOOSE(CONTROL!$C$21, $C$9, 100%, $E$9)</f>
        <v>72.342299999999994</v>
      </c>
      <c r="T84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44" s="57">
        <f>(1000*CHOOSE(CONTROL!$C$42, 695, 695)*CHOOSE(CONTROL!$C$42, 0.5599, 0.5599)*CHOOSE(CONTROL!$C$42, 30, 30))/1000000</f>
        <v>11.673914999999997</v>
      </c>
      <c r="V844" s="57">
        <f>(1000*CHOOSE(CONTROL!$C$42, 500, 500)*CHOOSE(CONTROL!$C$42, 0.275, 0.275)*CHOOSE(CONTROL!$C$42, 30, 30))/1000000</f>
        <v>4.125</v>
      </c>
      <c r="W844" s="57">
        <f>(1000*CHOOSE(CONTROL!$C$42, 0.1146, 0.1146)*CHOOSE(CONTROL!$C$42, 121.5, 121.5)*CHOOSE(CONTROL!$C$42, 30, 30))/1000000</f>
        <v>0.417717</v>
      </c>
      <c r="X844" s="57">
        <f>(30*0.1790888*245000/1000000)+(30*0.2374*100000/1000000)</f>
        <v>2.0285026799999999</v>
      </c>
      <c r="Y844" s="57"/>
      <c r="Z844" s="14"/>
      <c r="AA844" s="56"/>
      <c r="AB844" s="50">
        <f>(B844*141.293+C844*267.993+D844*115.016+E844*89.698+F844*40+G844*185+H844*0+I844*100+J844*300)/(141.293+267.993+115.016+89.698+0+40+185+100+300)</f>
        <v>75.346352426715086</v>
      </c>
      <c r="AC844" s="45">
        <f>(M844*'RAP TEMPLATE-GAS AVAILABILITY'!O843+N844*'RAP TEMPLATE-GAS AVAILABILITY'!P843+O844*'RAP TEMPLATE-GAS AVAILABILITY'!Q843+P844*'RAP TEMPLATE-GAS AVAILABILITY'!R843)/('RAP TEMPLATE-GAS AVAILABILITY'!O843+'RAP TEMPLATE-GAS AVAILABILITY'!P843+'RAP TEMPLATE-GAS AVAILABILITY'!Q843+'RAP TEMPLATE-GAS AVAILABILITY'!R843)</f>
        <v>73.888676258992803</v>
      </c>
    </row>
    <row r="845" spans="1:29" ht="15.75" x14ac:dyDescent="0.25">
      <c r="A845" s="32">
        <v>66627</v>
      </c>
      <c r="B845" s="14">
        <f>CHOOSE(CONTROL!$C$42, 75.9615, 75.9615) * CHOOSE(CONTROL!$C$21, $C$9, 100%, $E$9)</f>
        <v>75.961500000000001</v>
      </c>
      <c r="C845" s="14">
        <f>CHOOSE(CONTROL!$C$42, 75.9695, 75.9695) * CHOOSE(CONTROL!$C$21, $C$9, 100%, $E$9)</f>
        <v>75.969499999999996</v>
      </c>
      <c r="D845" s="14">
        <f>CHOOSE(CONTROL!$C$42, 76.1735, 76.1735) * CHOOSE(CONTROL!$C$21, $C$9, 100%, $E$9)</f>
        <v>76.173500000000004</v>
      </c>
      <c r="E845" s="14">
        <f>CHOOSE(CONTROL!$C$42, 76.2049, 76.2049) * CHOOSE(CONTROL!$C$21, $C$9, 100%, $E$9)</f>
        <v>76.204899999999995</v>
      </c>
      <c r="F845" s="14">
        <f>CHOOSE(CONTROL!$C$42, 75.9422, 75.9422)*CHOOSE(CONTROL!$C$21, $C$9, 100%, $E$9)</f>
        <v>75.9422</v>
      </c>
      <c r="G845" s="14">
        <f>CHOOSE(CONTROL!$C$42, 75.9579, 75.9579)*CHOOSE(CONTROL!$C$21, $C$9, 100%, $E$9)</f>
        <v>75.957899999999995</v>
      </c>
      <c r="H845" s="14">
        <f>CHOOSE(CONTROL!$C$42, 76.1935, 76.1935) * CHOOSE(CONTROL!$C$21, $C$9, 100%, $E$9)</f>
        <v>76.1935</v>
      </c>
      <c r="I845" s="14">
        <f>CHOOSE(CONTROL!$C$42, 76.2048, 76.2048)* CHOOSE(CONTROL!$C$21, $C$9, 100%, $E$9)</f>
        <v>76.204800000000006</v>
      </c>
      <c r="J845" s="14">
        <f>CHOOSE(CONTROL!$C$42, 75.9352, 75.9352)* CHOOSE(CONTROL!$C$21, $C$9, 100%, $E$9)</f>
        <v>75.935199999999995</v>
      </c>
      <c r="K845" s="53">
        <f>CHOOSE(CONTROL!$C$42, 76.2009, 76.2009) * CHOOSE(CONTROL!$C$21, $C$9, 100%, $E$9)</f>
        <v>76.200900000000004</v>
      </c>
      <c r="L845" s="14">
        <f>CHOOSE(CONTROL!$C$42, 76.7805, 76.7805) * CHOOSE(CONTROL!$C$21, $C$9, 100%, $E$9)</f>
        <v>76.780500000000004</v>
      </c>
      <c r="M845" s="14">
        <f>CHOOSE(CONTROL!$C$42, 74.3871, 74.3871) * CHOOSE(CONTROL!$C$21, $C$9, 100%, $E$9)</f>
        <v>74.387100000000004</v>
      </c>
      <c r="N845" s="14">
        <f>CHOOSE(CONTROL!$C$42, 74.4024, 74.4024) * CHOOSE(CONTROL!$C$21, $C$9, 100%, $E$9)</f>
        <v>74.4024</v>
      </c>
      <c r="O845" s="14">
        <f>CHOOSE(CONTROL!$C$42, 74.6401, 74.6401) * CHOOSE(CONTROL!$C$21, $C$9, 100%, $E$9)</f>
        <v>74.640100000000004</v>
      </c>
      <c r="P845" s="14">
        <f>CHOOSE(CONTROL!$C$42, 74.6464, 74.6464) * CHOOSE(CONTROL!$C$21, $C$9, 100%, $E$9)</f>
        <v>74.6464</v>
      </c>
      <c r="Q845" s="14">
        <f>CHOOSE(CONTROL!$C$42, 75.2348, 75.2348) * CHOOSE(CONTROL!$C$21, $C$9, 100%, $E$9)</f>
        <v>75.234800000000007</v>
      </c>
      <c r="R845" s="14">
        <f>CHOOSE(CONTROL!$C$42, 76.0099, 76.0099) * CHOOSE(CONTROL!$C$21, $C$9, 100%, $E$9)</f>
        <v>76.009900000000002</v>
      </c>
      <c r="S845" s="14">
        <f>CHOOSE(CONTROL!$C$42, 72.9808, 72.9808) * CHOOSE(CONTROL!$C$21, $C$9, 100%, $E$9)</f>
        <v>72.980800000000002</v>
      </c>
      <c r="T84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45" s="57">
        <f>(1000*CHOOSE(CONTROL!$C$42, 695, 695)*CHOOSE(CONTROL!$C$42, 0.5599, 0.5599)*CHOOSE(CONTROL!$C$42, 31, 31))/1000000</f>
        <v>12.063045499999998</v>
      </c>
      <c r="V845" s="57">
        <f>(1000*CHOOSE(CONTROL!$C$42, 500, 500)*CHOOSE(CONTROL!$C$42, 0.275, 0.275)*CHOOSE(CONTROL!$C$42, 31, 31))/1000000</f>
        <v>4.2625000000000002</v>
      </c>
      <c r="W845" s="57">
        <f>(1000*CHOOSE(CONTROL!$C$42, 0.1146, 0.1146)*CHOOSE(CONTROL!$C$42, 121.5, 121.5)*CHOOSE(CONTROL!$C$42, 31, 31))/1000000</f>
        <v>0.43164089999999994</v>
      </c>
      <c r="X845" s="57">
        <f>(31*0.1790888*245000/1000000)+(31*0.2374*100000/1000000)</f>
        <v>2.0961194359999999</v>
      </c>
      <c r="Y845" s="57"/>
      <c r="Z845" s="14"/>
      <c r="AA845" s="56"/>
      <c r="AB845" s="50">
        <f>(B845*194.205+C845*267.466+D845*133.845+E845*53.484+F845*40+G845*185+H845*0+I845*100+J845*300)/(194.205+267.466+133.845+53.484+0+40+185+100+300)</f>
        <v>76.00744574065935</v>
      </c>
      <c r="AC845" s="45">
        <f>(M845*'RAP TEMPLATE-GAS AVAILABILITY'!O844+N845*'RAP TEMPLATE-GAS AVAILABILITY'!P844+O845*'RAP TEMPLATE-GAS AVAILABILITY'!Q844+P845*'RAP TEMPLATE-GAS AVAILABILITY'!R844)/('RAP TEMPLATE-GAS AVAILABILITY'!O844+'RAP TEMPLATE-GAS AVAILABILITY'!P844+'RAP TEMPLATE-GAS AVAILABILITY'!Q844+'RAP TEMPLATE-GAS AVAILABILITY'!R844)</f>
        <v>74.539958992805765</v>
      </c>
    </row>
    <row r="846" spans="1:29" ht="15.75" x14ac:dyDescent="0.25">
      <c r="A846" s="32">
        <v>66657</v>
      </c>
      <c r="B846" s="14">
        <f>CHOOSE(CONTROL!$C$42, 78.1159, 78.1159) * CHOOSE(CONTROL!$C$21, $C$9, 100%, $E$9)</f>
        <v>78.115899999999996</v>
      </c>
      <c r="C846" s="14">
        <f>CHOOSE(CONTROL!$C$42, 78.1239, 78.1239) * CHOOSE(CONTROL!$C$21, $C$9, 100%, $E$9)</f>
        <v>78.123900000000006</v>
      </c>
      <c r="D846" s="14">
        <f>CHOOSE(CONTROL!$C$42, 78.3279, 78.3279) * CHOOSE(CONTROL!$C$21, $C$9, 100%, $E$9)</f>
        <v>78.3279</v>
      </c>
      <c r="E846" s="14">
        <f>CHOOSE(CONTROL!$C$42, 78.3593, 78.3593) * CHOOSE(CONTROL!$C$21, $C$9, 100%, $E$9)</f>
        <v>78.359300000000005</v>
      </c>
      <c r="F846" s="14">
        <f>CHOOSE(CONTROL!$C$42, 78.0971, 78.0971)*CHOOSE(CONTROL!$C$21, $C$9, 100%, $E$9)</f>
        <v>78.097099999999998</v>
      </c>
      <c r="G846" s="14">
        <f>CHOOSE(CONTROL!$C$42, 78.1128, 78.1128)*CHOOSE(CONTROL!$C$21, $C$9, 100%, $E$9)</f>
        <v>78.112799999999993</v>
      </c>
      <c r="H846" s="14">
        <f>CHOOSE(CONTROL!$C$42, 78.348, 78.348) * CHOOSE(CONTROL!$C$21, $C$9, 100%, $E$9)</f>
        <v>78.347999999999999</v>
      </c>
      <c r="I846" s="14">
        <f>CHOOSE(CONTROL!$C$42, 78.366, 78.366)* CHOOSE(CONTROL!$C$21, $C$9, 100%, $E$9)</f>
        <v>78.366</v>
      </c>
      <c r="J846" s="14">
        <f>CHOOSE(CONTROL!$C$42, 78.0901, 78.0901)* CHOOSE(CONTROL!$C$21, $C$9, 100%, $E$9)</f>
        <v>78.090100000000007</v>
      </c>
      <c r="K846" s="53">
        <f>CHOOSE(CONTROL!$C$42, 78.3621, 78.3621) * CHOOSE(CONTROL!$C$21, $C$9, 100%, $E$9)</f>
        <v>78.362099999999998</v>
      </c>
      <c r="L846" s="14">
        <f>CHOOSE(CONTROL!$C$42, 78.935, 78.935) * CHOOSE(CONTROL!$C$21, $C$9, 100%, $E$9)</f>
        <v>78.935000000000002</v>
      </c>
      <c r="M846" s="14">
        <f>CHOOSE(CONTROL!$C$42, 76.4978, 76.4978) * CHOOSE(CONTROL!$C$21, $C$9, 100%, $E$9)</f>
        <v>76.497799999999998</v>
      </c>
      <c r="N846" s="14">
        <f>CHOOSE(CONTROL!$C$42, 76.5132, 76.5132) * CHOOSE(CONTROL!$C$21, $C$9, 100%, $E$9)</f>
        <v>76.513199999999998</v>
      </c>
      <c r="O846" s="14">
        <f>CHOOSE(CONTROL!$C$42, 76.7504, 76.7504) * CHOOSE(CONTROL!$C$21, $C$9, 100%, $E$9)</f>
        <v>76.750399999999999</v>
      </c>
      <c r="P846" s="14">
        <f>CHOOSE(CONTROL!$C$42, 76.7632, 76.7632) * CHOOSE(CONTROL!$C$21, $C$9, 100%, $E$9)</f>
        <v>76.763199999999998</v>
      </c>
      <c r="Q846" s="14">
        <f>CHOOSE(CONTROL!$C$42, 77.3451, 77.3451) * CHOOSE(CONTROL!$C$21, $C$9, 100%, $E$9)</f>
        <v>77.345100000000002</v>
      </c>
      <c r="R846" s="14">
        <f>CHOOSE(CONTROL!$C$42, 78.1254, 78.1254) * CHOOSE(CONTROL!$C$21, $C$9, 100%, $E$9)</f>
        <v>78.125399999999999</v>
      </c>
      <c r="S846" s="14">
        <f>CHOOSE(CONTROL!$C$42, 75.0509, 75.0509) * CHOOSE(CONTROL!$C$21, $C$9, 100%, $E$9)</f>
        <v>75.050899999999999</v>
      </c>
      <c r="T84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46" s="57">
        <f>(1000*CHOOSE(CONTROL!$C$42, 695, 695)*CHOOSE(CONTROL!$C$42, 0.5599, 0.5599)*CHOOSE(CONTROL!$C$42, 30, 30))/1000000</f>
        <v>11.673914999999997</v>
      </c>
      <c r="V846" s="57">
        <f>(1000*CHOOSE(CONTROL!$C$42, 500, 500)*CHOOSE(CONTROL!$C$42, 0.275, 0.275)*CHOOSE(CONTROL!$C$42, 30, 30))/1000000</f>
        <v>4.125</v>
      </c>
      <c r="W846" s="57">
        <f>(1000*CHOOSE(CONTROL!$C$42, 0.1146, 0.1146)*CHOOSE(CONTROL!$C$42, 121.5, 121.5)*CHOOSE(CONTROL!$C$42, 30, 30))/1000000</f>
        <v>0.417717</v>
      </c>
      <c r="X846" s="57">
        <f>(30*0.1790888*245000/1000000)+(30*0.2374*100000/1000000)</f>
        <v>2.0285026799999999</v>
      </c>
      <c r="Y846" s="57"/>
      <c r="Z846" s="14"/>
      <c r="AA846" s="56"/>
      <c r="AB846" s="50">
        <f>(B846*194.205+C846*267.466+D846*133.845+E846*53.484+F846*40+G846*185+H846*0+I846*100+J846*300)/(194.205+267.466+133.845+53.484+0+40+185+100+300)</f>
        <v>78.162585536577708</v>
      </c>
      <c r="AC846" s="45">
        <f>(M846*'RAP TEMPLATE-GAS AVAILABILITY'!O845+N846*'RAP TEMPLATE-GAS AVAILABILITY'!P845+O846*'RAP TEMPLATE-GAS AVAILABILITY'!Q845+P846*'RAP TEMPLATE-GAS AVAILABILITY'!R845)/('RAP TEMPLATE-GAS AVAILABILITY'!O845+'RAP TEMPLATE-GAS AVAILABILITY'!P845+'RAP TEMPLATE-GAS AVAILABILITY'!Q845+'RAP TEMPLATE-GAS AVAILABILITY'!R845)</f>
        <v>76.651361151079129</v>
      </c>
    </row>
    <row r="847" spans="1:29" ht="15.75" x14ac:dyDescent="0.25">
      <c r="A847" s="32">
        <v>66688</v>
      </c>
      <c r="B847" s="14">
        <f>CHOOSE(CONTROL!$C$42, 76.6175, 76.6175) * CHOOSE(CONTROL!$C$21, $C$9, 100%, $E$9)</f>
        <v>76.617500000000007</v>
      </c>
      <c r="C847" s="14">
        <f>CHOOSE(CONTROL!$C$42, 76.6255, 76.6255) * CHOOSE(CONTROL!$C$21, $C$9, 100%, $E$9)</f>
        <v>76.625500000000002</v>
      </c>
      <c r="D847" s="14">
        <f>CHOOSE(CONTROL!$C$42, 76.8295, 76.8295) * CHOOSE(CONTROL!$C$21, $C$9, 100%, $E$9)</f>
        <v>76.829499999999996</v>
      </c>
      <c r="E847" s="14">
        <f>CHOOSE(CONTROL!$C$42, 76.8609, 76.8609) * CHOOSE(CONTROL!$C$21, $C$9, 100%, $E$9)</f>
        <v>76.860900000000001</v>
      </c>
      <c r="F847" s="14">
        <f>CHOOSE(CONTROL!$C$42, 76.5991, 76.5991)*CHOOSE(CONTROL!$C$21, $C$9, 100%, $E$9)</f>
        <v>76.599100000000007</v>
      </c>
      <c r="G847" s="14">
        <f>CHOOSE(CONTROL!$C$42, 76.615, 76.615)*CHOOSE(CONTROL!$C$21, $C$9, 100%, $E$9)</f>
        <v>76.614999999999995</v>
      </c>
      <c r="H847" s="14">
        <f>CHOOSE(CONTROL!$C$42, 76.8496, 76.8496) * CHOOSE(CONTROL!$C$21, $C$9, 100%, $E$9)</f>
        <v>76.849599999999995</v>
      </c>
      <c r="I847" s="14">
        <f>CHOOSE(CONTROL!$C$42, 76.8629, 76.8629)* CHOOSE(CONTROL!$C$21, $C$9, 100%, $E$9)</f>
        <v>76.862899999999996</v>
      </c>
      <c r="J847" s="14">
        <f>CHOOSE(CONTROL!$C$42, 76.5921, 76.5921)* CHOOSE(CONTROL!$C$21, $C$9, 100%, $E$9)</f>
        <v>76.592100000000002</v>
      </c>
      <c r="K847" s="53">
        <f>CHOOSE(CONTROL!$C$42, 76.859, 76.859) * CHOOSE(CONTROL!$C$21, $C$9, 100%, $E$9)</f>
        <v>76.858999999999995</v>
      </c>
      <c r="L847" s="14">
        <f>CHOOSE(CONTROL!$C$42, 77.4366, 77.4366) * CHOOSE(CONTROL!$C$21, $C$9, 100%, $E$9)</f>
        <v>77.436599999999999</v>
      </c>
      <c r="M847" s="14">
        <f>CHOOSE(CONTROL!$C$42, 75.0305, 75.0305) * CHOOSE(CONTROL!$C$21, $C$9, 100%, $E$9)</f>
        <v>75.030500000000004</v>
      </c>
      <c r="N847" s="14">
        <f>CHOOSE(CONTROL!$C$42, 75.0461, 75.0461) * CHOOSE(CONTROL!$C$21, $C$9, 100%, $E$9)</f>
        <v>75.046099999999996</v>
      </c>
      <c r="O847" s="14">
        <f>CHOOSE(CONTROL!$C$42, 75.2827, 75.2827) * CHOOSE(CONTROL!$C$21, $C$9, 100%, $E$9)</f>
        <v>75.282700000000006</v>
      </c>
      <c r="P847" s="14">
        <f>CHOOSE(CONTROL!$C$42, 75.291, 75.291) * CHOOSE(CONTROL!$C$21, $C$9, 100%, $E$9)</f>
        <v>75.290999999999997</v>
      </c>
      <c r="Q847" s="14">
        <f>CHOOSE(CONTROL!$C$42, 75.8774, 75.8774) * CHOOSE(CONTROL!$C$21, $C$9, 100%, $E$9)</f>
        <v>75.877399999999994</v>
      </c>
      <c r="R847" s="14">
        <f>CHOOSE(CONTROL!$C$42, 76.654, 76.654) * CHOOSE(CONTROL!$C$21, $C$9, 100%, $E$9)</f>
        <v>76.653999999999996</v>
      </c>
      <c r="S847" s="14">
        <f>CHOOSE(CONTROL!$C$42, 73.6111, 73.6111) * CHOOSE(CONTROL!$C$21, $C$9, 100%, $E$9)</f>
        <v>73.611099999999993</v>
      </c>
      <c r="T84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47" s="57">
        <f>(1000*CHOOSE(CONTROL!$C$42, 695, 695)*CHOOSE(CONTROL!$C$42, 0.5599, 0.5599)*CHOOSE(CONTROL!$C$42, 31, 31))/1000000</f>
        <v>12.063045499999998</v>
      </c>
      <c r="V847" s="57">
        <f>(1000*CHOOSE(CONTROL!$C$42, 500, 500)*CHOOSE(CONTROL!$C$42, 0.275, 0.275)*CHOOSE(CONTROL!$C$42, 31, 31))/1000000</f>
        <v>4.2625000000000002</v>
      </c>
      <c r="W847" s="57">
        <f>(1000*CHOOSE(CONTROL!$C$42, 0.1146, 0.1146)*CHOOSE(CONTROL!$C$42, 121.5, 121.5)*CHOOSE(CONTROL!$C$42, 31, 31))/1000000</f>
        <v>0.43164089999999994</v>
      </c>
      <c r="X847" s="57">
        <f>(31*0.1790888*245000/1000000)+(31*0.2374*100000/1000000)</f>
        <v>2.0961194359999999</v>
      </c>
      <c r="Y847" s="57"/>
      <c r="Z847" s="14"/>
      <c r="AA847" s="56"/>
      <c r="AB847" s="50">
        <f>(B847*194.205+C847*267.466+D847*133.845+E847*53.484+F847*40+G847*185+H847*0+I847*100+J847*300)/(194.205+267.466+133.845+53.484+0+40+185+100+300)</f>
        <v>76.664010497331248</v>
      </c>
      <c r="AC847" s="45">
        <f>(M847*'RAP TEMPLATE-GAS AVAILABILITY'!O846+N847*'RAP TEMPLATE-GAS AVAILABILITY'!P846+O847*'RAP TEMPLATE-GAS AVAILABILITY'!Q846+P847*'RAP TEMPLATE-GAS AVAILABILITY'!R846)/('RAP TEMPLATE-GAS AVAILABILITY'!O846+'RAP TEMPLATE-GAS AVAILABILITY'!P846+'RAP TEMPLATE-GAS AVAILABILITY'!Q846+'RAP TEMPLATE-GAS AVAILABILITY'!R846)</f>
        <v>75.183186330935257</v>
      </c>
    </row>
    <row r="848" spans="1:29" ht="15.75" x14ac:dyDescent="0.25">
      <c r="A848" s="32">
        <v>66719</v>
      </c>
      <c r="B848" s="14">
        <f>CHOOSE(CONTROL!$C$42, 72.8336, 72.8336) * CHOOSE(CONTROL!$C$21, $C$9, 100%, $E$9)</f>
        <v>72.833600000000004</v>
      </c>
      <c r="C848" s="14">
        <f>CHOOSE(CONTROL!$C$42, 72.8416, 72.8416) * CHOOSE(CONTROL!$C$21, $C$9, 100%, $E$9)</f>
        <v>72.8416</v>
      </c>
      <c r="D848" s="14">
        <f>CHOOSE(CONTROL!$C$42, 73.0455, 73.0455) * CHOOSE(CONTROL!$C$21, $C$9, 100%, $E$9)</f>
        <v>73.045500000000004</v>
      </c>
      <c r="E848" s="14">
        <f>CHOOSE(CONTROL!$C$42, 73.077, 73.077) * CHOOSE(CONTROL!$C$21, $C$9, 100%, $E$9)</f>
        <v>73.076999999999998</v>
      </c>
      <c r="F848" s="14">
        <f>CHOOSE(CONTROL!$C$42, 72.8154, 72.8154)*CHOOSE(CONTROL!$C$21, $C$9, 100%, $E$9)</f>
        <v>72.815399999999997</v>
      </c>
      <c r="G848" s="14">
        <f>CHOOSE(CONTROL!$C$42, 72.8314, 72.8314)*CHOOSE(CONTROL!$C$21, $C$9, 100%, $E$9)</f>
        <v>72.831400000000002</v>
      </c>
      <c r="H848" s="14">
        <f>CHOOSE(CONTROL!$C$42, 73.0656, 73.0656) * CHOOSE(CONTROL!$C$21, $C$9, 100%, $E$9)</f>
        <v>73.065600000000003</v>
      </c>
      <c r="I848" s="14">
        <f>CHOOSE(CONTROL!$C$42, 73.0671, 73.0671)* CHOOSE(CONTROL!$C$21, $C$9, 100%, $E$9)</f>
        <v>73.067099999999996</v>
      </c>
      <c r="J848" s="14">
        <f>CHOOSE(CONTROL!$C$42, 72.8084, 72.8084)* CHOOSE(CONTROL!$C$21, $C$9, 100%, $E$9)</f>
        <v>72.808400000000006</v>
      </c>
      <c r="K848" s="53">
        <f>CHOOSE(CONTROL!$C$42, 73.0632, 73.0632) * CHOOSE(CONTROL!$C$21, $C$9, 100%, $E$9)</f>
        <v>73.063199999999995</v>
      </c>
      <c r="L848" s="14">
        <f>CHOOSE(CONTROL!$C$42, 73.6526, 73.6526) * CHOOSE(CONTROL!$C$21, $C$9, 100%, $E$9)</f>
        <v>73.652600000000007</v>
      </c>
      <c r="M848" s="14">
        <f>CHOOSE(CONTROL!$C$42, 71.3243, 71.3243) * CHOOSE(CONTROL!$C$21, $C$9, 100%, $E$9)</f>
        <v>71.324299999999994</v>
      </c>
      <c r="N848" s="14">
        <f>CHOOSE(CONTROL!$C$42, 71.3399, 71.3399) * CHOOSE(CONTROL!$C$21, $C$9, 100%, $E$9)</f>
        <v>71.3399</v>
      </c>
      <c r="O848" s="14">
        <f>CHOOSE(CONTROL!$C$42, 71.5762, 71.5762) * CHOOSE(CONTROL!$C$21, $C$9, 100%, $E$9)</f>
        <v>71.5762</v>
      </c>
      <c r="P848" s="14">
        <f>CHOOSE(CONTROL!$C$42, 71.5732, 71.5732) * CHOOSE(CONTROL!$C$21, $C$9, 100%, $E$9)</f>
        <v>71.5732</v>
      </c>
      <c r="Q848" s="14">
        <f>CHOOSE(CONTROL!$C$42, 72.1709, 72.1709) * CHOOSE(CONTROL!$C$21, $C$9, 100%, $E$9)</f>
        <v>72.170900000000003</v>
      </c>
      <c r="R848" s="14">
        <f>CHOOSE(CONTROL!$C$42, 72.9384, 72.9384) * CHOOSE(CONTROL!$C$21, $C$9, 100%, $E$9)</f>
        <v>72.938400000000001</v>
      </c>
      <c r="S848" s="14">
        <f>CHOOSE(CONTROL!$C$42, 69.9751, 69.9751) * CHOOSE(CONTROL!$C$21, $C$9, 100%, $E$9)</f>
        <v>69.975099999999998</v>
      </c>
      <c r="T84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48" s="57">
        <f>(1000*CHOOSE(CONTROL!$C$42, 695, 695)*CHOOSE(CONTROL!$C$42, 0.5599, 0.5599)*CHOOSE(CONTROL!$C$42, 31, 31))/1000000</f>
        <v>12.063045499999998</v>
      </c>
      <c r="V848" s="57">
        <f>(1000*CHOOSE(CONTROL!$C$42, 500, 500)*CHOOSE(CONTROL!$C$42, 0.275, 0.275)*CHOOSE(CONTROL!$C$42, 31, 31))/1000000</f>
        <v>4.2625000000000002</v>
      </c>
      <c r="W848" s="57">
        <f>(1000*CHOOSE(CONTROL!$C$42, 0.1146, 0.1146)*CHOOSE(CONTROL!$C$42, 121.5, 121.5)*CHOOSE(CONTROL!$C$42, 31, 31))/1000000</f>
        <v>0.43164089999999994</v>
      </c>
      <c r="X848" s="57">
        <f>(31*0.1790888*245000/1000000)+(31*0.2374*100000/1000000)</f>
        <v>2.0961194359999999</v>
      </c>
      <c r="Y848" s="57"/>
      <c r="Z848" s="14"/>
      <c r="AA848" s="56"/>
      <c r="AB848" s="50">
        <f>(B848*194.205+C848*267.466+D848*133.845+E848*53.484+F848*40+G848*185+H848*0+I848*100+J848*300)/(194.205+267.466+133.845+53.484+0+40+185+100+300)</f>
        <v>72.879262864285721</v>
      </c>
      <c r="AC848" s="45">
        <f>(M848*'RAP TEMPLATE-GAS AVAILABILITY'!O847+N848*'RAP TEMPLATE-GAS AVAILABILITY'!P847+O848*'RAP TEMPLATE-GAS AVAILABILITY'!Q847+P848*'RAP TEMPLATE-GAS AVAILABILITY'!R847)/('RAP TEMPLATE-GAS AVAILABILITY'!O847+'RAP TEMPLATE-GAS AVAILABILITY'!P847+'RAP TEMPLATE-GAS AVAILABILITY'!Q847+'RAP TEMPLATE-GAS AVAILABILITY'!R847)</f>
        <v>71.475181294964017</v>
      </c>
    </row>
    <row r="849" spans="1:29" ht="15.75" x14ac:dyDescent="0.25">
      <c r="A849" s="32">
        <v>66749</v>
      </c>
      <c r="B849" s="14">
        <f>CHOOSE(CONTROL!$C$42, 68.2099, 68.2099) * CHOOSE(CONTROL!$C$21, $C$9, 100%, $E$9)</f>
        <v>68.209900000000005</v>
      </c>
      <c r="C849" s="14">
        <f>CHOOSE(CONTROL!$C$42, 68.2179, 68.2179) * CHOOSE(CONTROL!$C$21, $C$9, 100%, $E$9)</f>
        <v>68.2179</v>
      </c>
      <c r="D849" s="14">
        <f>CHOOSE(CONTROL!$C$42, 68.4218, 68.4218) * CHOOSE(CONTROL!$C$21, $C$9, 100%, $E$9)</f>
        <v>68.421800000000005</v>
      </c>
      <c r="E849" s="14">
        <f>CHOOSE(CONTROL!$C$42, 68.4533, 68.4533) * CHOOSE(CONTROL!$C$21, $C$9, 100%, $E$9)</f>
        <v>68.453299999999999</v>
      </c>
      <c r="F849" s="14">
        <f>CHOOSE(CONTROL!$C$42, 68.1918, 68.1918)*CHOOSE(CONTROL!$C$21, $C$9, 100%, $E$9)</f>
        <v>68.191800000000001</v>
      </c>
      <c r="G849" s="14">
        <f>CHOOSE(CONTROL!$C$42, 68.2078, 68.2078)*CHOOSE(CONTROL!$C$21, $C$9, 100%, $E$9)</f>
        <v>68.207800000000006</v>
      </c>
      <c r="H849" s="14">
        <f>CHOOSE(CONTROL!$C$42, 68.4419, 68.4419) * CHOOSE(CONTROL!$C$21, $C$9, 100%, $E$9)</f>
        <v>68.441900000000004</v>
      </c>
      <c r="I849" s="14">
        <f>CHOOSE(CONTROL!$C$42, 68.4289, 68.4289)* CHOOSE(CONTROL!$C$21, $C$9, 100%, $E$9)</f>
        <v>68.428899999999999</v>
      </c>
      <c r="J849" s="14">
        <f>CHOOSE(CONTROL!$C$42, 68.1848, 68.1848)* CHOOSE(CONTROL!$C$21, $C$9, 100%, $E$9)</f>
        <v>68.184799999999996</v>
      </c>
      <c r="K849" s="53">
        <f>CHOOSE(CONTROL!$C$42, 68.4251, 68.4251) * CHOOSE(CONTROL!$C$21, $C$9, 100%, $E$9)</f>
        <v>68.4251</v>
      </c>
      <c r="L849" s="14">
        <f>CHOOSE(CONTROL!$C$42, 69.0289, 69.0289) * CHOOSE(CONTROL!$C$21, $C$9, 100%, $E$9)</f>
        <v>69.028899999999993</v>
      </c>
      <c r="M849" s="14">
        <f>CHOOSE(CONTROL!$C$42, 66.7954, 66.7954) * CHOOSE(CONTROL!$C$21, $C$9, 100%, $E$9)</f>
        <v>66.795400000000001</v>
      </c>
      <c r="N849" s="14">
        <f>CHOOSE(CONTROL!$C$42, 66.8111, 66.8111) * CHOOSE(CONTROL!$C$21, $C$9, 100%, $E$9)</f>
        <v>66.811099999999996</v>
      </c>
      <c r="O849" s="14">
        <f>CHOOSE(CONTROL!$C$42, 67.0473, 67.0473) * CHOOSE(CONTROL!$C$21, $C$9, 100%, $E$9)</f>
        <v>67.047300000000007</v>
      </c>
      <c r="P849" s="14">
        <f>CHOOSE(CONTROL!$C$42, 67.0304, 67.0304) * CHOOSE(CONTROL!$C$21, $C$9, 100%, $E$9)</f>
        <v>67.0304</v>
      </c>
      <c r="Q849" s="14">
        <f>CHOOSE(CONTROL!$C$42, 67.642, 67.642) * CHOOSE(CONTROL!$C$21, $C$9, 100%, $E$9)</f>
        <v>67.641999999999996</v>
      </c>
      <c r="R849" s="14">
        <f>CHOOSE(CONTROL!$C$42, 68.3981, 68.3981) * CHOOSE(CONTROL!$C$21, $C$9, 100%, $E$9)</f>
        <v>68.398099999999999</v>
      </c>
      <c r="S849" s="14">
        <f>CHOOSE(CONTROL!$C$42, 65.5322, 65.5322) * CHOOSE(CONTROL!$C$21, $C$9, 100%, $E$9)</f>
        <v>65.532200000000003</v>
      </c>
      <c r="T84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49" s="57">
        <f>(1000*CHOOSE(CONTROL!$C$42, 695, 695)*CHOOSE(CONTROL!$C$42, 0.5599, 0.5599)*CHOOSE(CONTROL!$C$42, 30, 30))/1000000</f>
        <v>11.673914999999997</v>
      </c>
      <c r="V849" s="57">
        <f>(1000*CHOOSE(CONTROL!$C$42, 500, 500)*CHOOSE(CONTROL!$C$42, 0.275, 0.275)*CHOOSE(CONTROL!$C$42, 30, 30))/1000000</f>
        <v>4.125</v>
      </c>
      <c r="W849" s="57">
        <f>(1000*CHOOSE(CONTROL!$C$42, 0.1146, 0.1146)*CHOOSE(CONTROL!$C$42, 121.5, 121.5)*CHOOSE(CONTROL!$C$42, 30, 30))/1000000</f>
        <v>0.417717</v>
      </c>
      <c r="X849" s="57">
        <f>(30*0.1790888*245000/1000000)+(30*0.2374*100000/1000000)</f>
        <v>2.0285026799999999</v>
      </c>
      <c r="Y849" s="57"/>
      <c r="Z849" s="14"/>
      <c r="AA849" s="56"/>
      <c r="AB849" s="50">
        <f>(B849*194.205+C849*267.466+D849*133.845+E849*53.484+F849*40+G849*185+H849*0+I849*100+J849*300)/(194.205+267.466+133.845+53.484+0+40+185+100+300)</f>
        <v>68.254465925510218</v>
      </c>
      <c r="AC849" s="45">
        <f>(M849*'RAP TEMPLATE-GAS AVAILABILITY'!O848+N849*'RAP TEMPLATE-GAS AVAILABILITY'!P848+O849*'RAP TEMPLATE-GAS AVAILABILITY'!Q848+P849*'RAP TEMPLATE-GAS AVAILABILITY'!R848)/('RAP TEMPLATE-GAS AVAILABILITY'!O848+'RAP TEMPLATE-GAS AVAILABILITY'!P848+'RAP TEMPLATE-GAS AVAILABILITY'!Q848+'RAP TEMPLATE-GAS AVAILABILITY'!R848)</f>
        <v>66.944287050359719</v>
      </c>
    </row>
    <row r="850" spans="1:29" ht="15.75" x14ac:dyDescent="0.25">
      <c r="A850" s="32">
        <v>66780</v>
      </c>
      <c r="B850" s="14">
        <f>CHOOSE(CONTROL!$C$42, 66.8234, 66.8234) * CHOOSE(CONTROL!$C$21, $C$9, 100%, $E$9)</f>
        <v>66.823400000000007</v>
      </c>
      <c r="C850" s="14">
        <f>CHOOSE(CONTROL!$C$42, 66.8287, 66.8287) * CHOOSE(CONTROL!$C$21, $C$9, 100%, $E$9)</f>
        <v>66.828699999999998</v>
      </c>
      <c r="D850" s="14">
        <f>CHOOSE(CONTROL!$C$42, 67.0377, 67.0377) * CHOOSE(CONTROL!$C$21, $C$9, 100%, $E$9)</f>
        <v>67.037700000000001</v>
      </c>
      <c r="E850" s="14">
        <f>CHOOSE(CONTROL!$C$42, 67.0668, 67.0668) * CHOOSE(CONTROL!$C$21, $C$9, 100%, $E$9)</f>
        <v>67.066800000000001</v>
      </c>
      <c r="F850" s="14">
        <f>CHOOSE(CONTROL!$C$42, 66.8074, 66.8074)*CHOOSE(CONTROL!$C$21, $C$9, 100%, $E$9)</f>
        <v>66.807400000000001</v>
      </c>
      <c r="G850" s="14">
        <f>CHOOSE(CONTROL!$C$42, 66.8231, 66.8231)*CHOOSE(CONTROL!$C$21, $C$9, 100%, $E$9)</f>
        <v>66.823099999999997</v>
      </c>
      <c r="H850" s="14">
        <f>CHOOSE(CONTROL!$C$42, 67.0572, 67.0572) * CHOOSE(CONTROL!$C$21, $C$9, 100%, $E$9)</f>
        <v>67.057199999999995</v>
      </c>
      <c r="I850" s="14">
        <f>CHOOSE(CONTROL!$C$42, 67.0399, 67.0399)* CHOOSE(CONTROL!$C$21, $C$9, 100%, $E$9)</f>
        <v>67.039900000000003</v>
      </c>
      <c r="J850" s="14">
        <f>CHOOSE(CONTROL!$C$42, 66.8004, 66.8004)* CHOOSE(CONTROL!$C$21, $C$9, 100%, $E$9)</f>
        <v>66.800399999999996</v>
      </c>
      <c r="K850" s="53">
        <f>CHOOSE(CONTROL!$C$42, 67.036, 67.036) * CHOOSE(CONTROL!$C$21, $C$9, 100%, $E$9)</f>
        <v>67.036000000000001</v>
      </c>
      <c r="L850" s="14">
        <f>CHOOSE(CONTROL!$C$42, 67.6442, 67.6442) * CHOOSE(CONTROL!$C$21, $C$9, 100%, $E$9)</f>
        <v>67.644199999999998</v>
      </c>
      <c r="M850" s="14">
        <f>CHOOSE(CONTROL!$C$42, 65.4394, 65.4394) * CHOOSE(CONTROL!$C$21, $C$9, 100%, $E$9)</f>
        <v>65.439400000000006</v>
      </c>
      <c r="N850" s="14">
        <f>CHOOSE(CONTROL!$C$42, 65.4547, 65.4547) * CHOOSE(CONTROL!$C$21, $C$9, 100%, $E$9)</f>
        <v>65.454700000000003</v>
      </c>
      <c r="O850" s="14">
        <f>CHOOSE(CONTROL!$C$42, 65.691, 65.691) * CHOOSE(CONTROL!$C$21, $C$9, 100%, $E$9)</f>
        <v>65.691000000000003</v>
      </c>
      <c r="P850" s="14">
        <f>CHOOSE(CONTROL!$C$42, 65.6699, 65.6699) * CHOOSE(CONTROL!$C$21, $C$9, 100%, $E$9)</f>
        <v>65.669899999999998</v>
      </c>
      <c r="Q850" s="14">
        <f>CHOOSE(CONTROL!$C$42, 66.2857, 66.2857) * CHOOSE(CONTROL!$C$21, $C$9, 100%, $E$9)</f>
        <v>66.285700000000006</v>
      </c>
      <c r="R850" s="14">
        <f>CHOOSE(CONTROL!$C$42, 67.0384, 67.0384) * CHOOSE(CONTROL!$C$21, $C$9, 100%, $E$9)</f>
        <v>67.038399999999996</v>
      </c>
      <c r="S850" s="14">
        <f>CHOOSE(CONTROL!$C$42, 64.2017, 64.2017) * CHOOSE(CONTROL!$C$21, $C$9, 100%, $E$9)</f>
        <v>64.201700000000002</v>
      </c>
      <c r="T85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50" s="57">
        <f>(1000*CHOOSE(CONTROL!$C$42, 695, 695)*CHOOSE(CONTROL!$C$42, 0.5599, 0.5599)*CHOOSE(CONTROL!$C$42, 31, 31))/1000000</f>
        <v>12.063045499999998</v>
      </c>
      <c r="V850" s="57">
        <f>(1000*CHOOSE(CONTROL!$C$42, 500, 500)*CHOOSE(CONTROL!$C$42, 0.275, 0.275)*CHOOSE(CONTROL!$C$42, 31, 31))/1000000</f>
        <v>4.2625000000000002</v>
      </c>
      <c r="W850" s="57">
        <f>(1000*CHOOSE(CONTROL!$C$42, 0.1146, 0.1146)*CHOOSE(CONTROL!$C$42, 121.5, 121.5)*CHOOSE(CONTROL!$C$42, 31, 31))/1000000</f>
        <v>0.43164089999999994</v>
      </c>
      <c r="X850" s="57">
        <f>(31*0.1790888*245000/1000000)+(31*0.2374*100000/1000000)</f>
        <v>2.0961194359999999</v>
      </c>
      <c r="Y850" s="57"/>
      <c r="Z850" s="14"/>
      <c r="AA850" s="56"/>
      <c r="AB850" s="50">
        <f>(B850*131.881+C850*277.167+D850*79.08+E850*125.872+F850*40+G850*185+H850*0+I850*100+J850*300)/(131.881+277.167+79.08+125.872+0+40+185+100+300)</f>
        <v>66.874334280790961</v>
      </c>
      <c r="AC850" s="45">
        <f>(M850*'RAP TEMPLATE-GAS AVAILABILITY'!O849+N850*'RAP TEMPLATE-GAS AVAILABILITY'!P849+O850*'RAP TEMPLATE-GAS AVAILABILITY'!Q849+P850*'RAP TEMPLATE-GAS AVAILABILITY'!R849)/('RAP TEMPLATE-GAS AVAILABILITY'!O849+'RAP TEMPLATE-GAS AVAILABILITY'!P849+'RAP TEMPLATE-GAS AVAILABILITY'!Q849+'RAP TEMPLATE-GAS AVAILABILITY'!R849)</f>
        <v>65.587480575539573</v>
      </c>
    </row>
    <row r="851" spans="1:29" ht="15.75" x14ac:dyDescent="0.25">
      <c r="A851" s="32">
        <v>66810</v>
      </c>
      <c r="B851" s="14">
        <f>CHOOSE(CONTROL!$C$42, 68.5832, 68.5832) * CHOOSE(CONTROL!$C$21, $C$9, 100%, $E$9)</f>
        <v>68.583200000000005</v>
      </c>
      <c r="C851" s="14">
        <f>CHOOSE(CONTROL!$C$42, 68.5883, 68.5883) * CHOOSE(CONTROL!$C$21, $C$9, 100%, $E$9)</f>
        <v>68.588300000000004</v>
      </c>
      <c r="D851" s="14">
        <f>CHOOSE(CONTROL!$C$42, 68.6521, 68.6521) * CHOOSE(CONTROL!$C$21, $C$9, 100%, $E$9)</f>
        <v>68.652100000000004</v>
      </c>
      <c r="E851" s="14">
        <f>CHOOSE(CONTROL!$C$42, 68.6862, 68.6862) * CHOOSE(CONTROL!$C$21, $C$9, 100%, $E$9)</f>
        <v>68.686199999999999</v>
      </c>
      <c r="F851" s="14">
        <f>CHOOSE(CONTROL!$C$42, 68.5856, 68.5856)*CHOOSE(CONTROL!$C$21, $C$9, 100%, $E$9)</f>
        <v>68.585599999999999</v>
      </c>
      <c r="G851" s="14">
        <f>CHOOSE(CONTROL!$C$42, 68.6016, 68.6016)*CHOOSE(CONTROL!$C$21, $C$9, 100%, $E$9)</f>
        <v>68.601600000000005</v>
      </c>
      <c r="H851" s="14">
        <f>CHOOSE(CONTROL!$C$42, 68.6754, 68.6754) * CHOOSE(CONTROL!$C$21, $C$9, 100%, $E$9)</f>
        <v>68.675399999999996</v>
      </c>
      <c r="I851" s="14">
        <f>CHOOSE(CONTROL!$C$42, 68.8108, 68.8108)* CHOOSE(CONTROL!$C$21, $C$9, 100%, $E$9)</f>
        <v>68.8108</v>
      </c>
      <c r="J851" s="14">
        <f>CHOOSE(CONTROL!$C$42, 68.5786, 68.5786)* CHOOSE(CONTROL!$C$21, $C$9, 100%, $E$9)</f>
        <v>68.578599999999994</v>
      </c>
      <c r="K851" s="53">
        <f>CHOOSE(CONTROL!$C$42, 68.8069, 68.8069) * CHOOSE(CONTROL!$C$21, $C$9, 100%, $E$9)</f>
        <v>68.806899999999999</v>
      </c>
      <c r="L851" s="14">
        <f>CHOOSE(CONTROL!$C$42, 69.2624, 69.2624) * CHOOSE(CONTROL!$C$21, $C$9, 100%, $E$9)</f>
        <v>69.2624</v>
      </c>
      <c r="M851" s="14">
        <f>CHOOSE(CONTROL!$C$42, 67.1811, 67.1811) * CHOOSE(CONTROL!$C$21, $C$9, 100%, $E$9)</f>
        <v>67.181100000000001</v>
      </c>
      <c r="N851" s="14">
        <f>CHOOSE(CONTROL!$C$42, 67.1968, 67.1968) * CHOOSE(CONTROL!$C$21, $C$9, 100%, $E$9)</f>
        <v>67.196799999999996</v>
      </c>
      <c r="O851" s="14">
        <f>CHOOSE(CONTROL!$C$42, 67.276, 67.276) * CHOOSE(CONTROL!$C$21, $C$9, 100%, $E$9)</f>
        <v>67.275999999999996</v>
      </c>
      <c r="P851" s="14">
        <f>CHOOSE(CONTROL!$C$42, 67.4044, 67.4044) * CHOOSE(CONTROL!$C$21, $C$9, 100%, $E$9)</f>
        <v>67.404399999999995</v>
      </c>
      <c r="Q851" s="14">
        <f>CHOOSE(CONTROL!$C$42, 67.8707, 67.8707) * CHOOSE(CONTROL!$C$21, $C$9, 100%, $E$9)</f>
        <v>67.870699999999999</v>
      </c>
      <c r="R851" s="14">
        <f>CHOOSE(CONTROL!$C$42, 68.6273, 68.6273) * CHOOSE(CONTROL!$C$21, $C$9, 100%, $E$9)</f>
        <v>68.627300000000005</v>
      </c>
      <c r="S851" s="14">
        <f>CHOOSE(CONTROL!$C$42, 65.8931, 65.8931) * CHOOSE(CONTROL!$C$21, $C$9, 100%, $E$9)</f>
        <v>65.893100000000004</v>
      </c>
      <c r="T85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51" s="57">
        <f>(1000*CHOOSE(CONTROL!$C$42, 695, 695)*CHOOSE(CONTROL!$C$42, 0.5599, 0.5599)*CHOOSE(CONTROL!$C$42, 30, 30))/1000000</f>
        <v>11.673914999999997</v>
      </c>
      <c r="V851" s="57">
        <f>(1000*CHOOSE(CONTROL!$C$42, 500, 500)*CHOOSE(CONTROL!$C$42, 0.275, 0.275)*CHOOSE(CONTROL!$C$42, 30, 30))/1000000</f>
        <v>4.125</v>
      </c>
      <c r="W851" s="57">
        <f>(1000*CHOOSE(CONTROL!$C$42, 0.1146, 0.1146)*CHOOSE(CONTROL!$C$42, 121.5, 121.5)*CHOOSE(CONTROL!$C$42, 30, 30))/1000000</f>
        <v>0.417717</v>
      </c>
      <c r="X851" s="57">
        <f>(30*0.1790888*100000/1000000)+(30*0.2374*100000/1000000)</f>
        <v>1.2494664</v>
      </c>
      <c r="Y851" s="57"/>
      <c r="Z851" s="14"/>
      <c r="AA851" s="56"/>
      <c r="AB851" s="50">
        <f>(B851*122.58+C851*297.941+D851*89.177+E851*40.302+F851*40+G851*160+H851*0+I851*100+J851*300)/(122.58+297.941+89.177+40.302+0+40+160+100+300)</f>
        <v>68.61470860904349</v>
      </c>
      <c r="AC851" s="45">
        <f>(M851*'RAP TEMPLATE-GAS AVAILABILITY'!O850+N851*'RAP TEMPLATE-GAS AVAILABILITY'!P850+O851*'RAP TEMPLATE-GAS AVAILABILITY'!Q850+P851*'RAP TEMPLATE-GAS AVAILABILITY'!R850)/('RAP TEMPLATE-GAS AVAILABILITY'!O850+'RAP TEMPLATE-GAS AVAILABILITY'!P850+'RAP TEMPLATE-GAS AVAILABILITY'!Q850+'RAP TEMPLATE-GAS AVAILABILITY'!R850)</f>
        <v>67.257145323741014</v>
      </c>
    </row>
    <row r="852" spans="1:29" ht="15.75" x14ac:dyDescent="0.25">
      <c r="A852" s="32">
        <v>66841</v>
      </c>
      <c r="B852" s="14">
        <f>CHOOSE(CONTROL!$C$42, 73.2585, 73.2585) * CHOOSE(CONTROL!$C$21, $C$9, 100%, $E$9)</f>
        <v>73.258499999999998</v>
      </c>
      <c r="C852" s="14">
        <f>CHOOSE(CONTROL!$C$42, 73.2636, 73.2636) * CHOOSE(CONTROL!$C$21, $C$9, 100%, $E$9)</f>
        <v>73.263599999999997</v>
      </c>
      <c r="D852" s="14">
        <f>CHOOSE(CONTROL!$C$42, 73.3274, 73.3274) * CHOOSE(CONTROL!$C$21, $C$9, 100%, $E$9)</f>
        <v>73.327399999999997</v>
      </c>
      <c r="E852" s="14">
        <f>CHOOSE(CONTROL!$C$42, 73.3615, 73.3615) * CHOOSE(CONTROL!$C$21, $C$9, 100%, $E$9)</f>
        <v>73.361500000000007</v>
      </c>
      <c r="F852" s="14">
        <f>CHOOSE(CONTROL!$C$42, 73.2631, 73.2631)*CHOOSE(CONTROL!$C$21, $C$9, 100%, $E$9)</f>
        <v>73.263099999999994</v>
      </c>
      <c r="G852" s="14">
        <f>CHOOSE(CONTROL!$C$42, 73.2798, 73.2798)*CHOOSE(CONTROL!$C$21, $C$9, 100%, $E$9)</f>
        <v>73.279799999999994</v>
      </c>
      <c r="H852" s="14">
        <f>CHOOSE(CONTROL!$C$42, 73.3507, 73.3507) * CHOOSE(CONTROL!$C$21, $C$9, 100%, $E$9)</f>
        <v>73.350700000000003</v>
      </c>
      <c r="I852" s="14">
        <f>CHOOSE(CONTROL!$C$42, 73.5008, 73.5008)* CHOOSE(CONTROL!$C$21, $C$9, 100%, $E$9)</f>
        <v>73.500799999999998</v>
      </c>
      <c r="J852" s="14">
        <f>CHOOSE(CONTROL!$C$42, 73.2561, 73.2561)* CHOOSE(CONTROL!$C$21, $C$9, 100%, $E$9)</f>
        <v>73.256100000000004</v>
      </c>
      <c r="K852" s="53">
        <f>CHOOSE(CONTROL!$C$42, 73.4969, 73.4969) * CHOOSE(CONTROL!$C$21, $C$9, 100%, $E$9)</f>
        <v>73.496899999999997</v>
      </c>
      <c r="L852" s="14">
        <f>CHOOSE(CONTROL!$C$42, 73.9377, 73.9377) * CHOOSE(CONTROL!$C$21, $C$9, 100%, $E$9)</f>
        <v>73.937700000000007</v>
      </c>
      <c r="M852" s="14">
        <f>CHOOSE(CONTROL!$C$42, 71.7629, 71.7629) * CHOOSE(CONTROL!$C$21, $C$9, 100%, $E$9)</f>
        <v>71.762900000000002</v>
      </c>
      <c r="N852" s="14">
        <f>CHOOSE(CONTROL!$C$42, 71.7791, 71.7791) * CHOOSE(CONTROL!$C$21, $C$9, 100%, $E$9)</f>
        <v>71.7791</v>
      </c>
      <c r="O852" s="14">
        <f>CHOOSE(CONTROL!$C$42, 71.8555, 71.8555) * CHOOSE(CONTROL!$C$21, $C$9, 100%, $E$9)</f>
        <v>71.855500000000006</v>
      </c>
      <c r="P852" s="14">
        <f>CHOOSE(CONTROL!$C$42, 71.998, 71.998) * CHOOSE(CONTROL!$C$21, $C$9, 100%, $E$9)</f>
        <v>71.998000000000005</v>
      </c>
      <c r="Q852" s="14">
        <f>CHOOSE(CONTROL!$C$42, 72.4502, 72.4502) * CHOOSE(CONTROL!$C$21, $C$9, 100%, $E$9)</f>
        <v>72.450199999999995</v>
      </c>
      <c r="R852" s="14">
        <f>CHOOSE(CONTROL!$C$42, 73.2183, 73.2183) * CHOOSE(CONTROL!$C$21, $C$9, 100%, $E$9)</f>
        <v>73.218299999999999</v>
      </c>
      <c r="S852" s="14">
        <f>CHOOSE(CONTROL!$C$42, 70.3856, 70.3856) * CHOOSE(CONTROL!$C$21, $C$9, 100%, $E$9)</f>
        <v>70.385599999999997</v>
      </c>
      <c r="T85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52" s="57">
        <f>(1000*CHOOSE(CONTROL!$C$42, 695, 695)*CHOOSE(CONTROL!$C$42, 0.5599, 0.5599)*CHOOSE(CONTROL!$C$42, 31, 31))/1000000</f>
        <v>12.063045499999998</v>
      </c>
      <c r="V852" s="57">
        <f>(1000*CHOOSE(CONTROL!$C$42, 500, 500)*CHOOSE(CONTROL!$C$42, 0.275, 0.275)*CHOOSE(CONTROL!$C$42, 31, 31))/1000000</f>
        <v>4.2625000000000002</v>
      </c>
      <c r="W852" s="57">
        <f>(1000*CHOOSE(CONTROL!$C$42, 0.1146, 0.1146)*CHOOSE(CONTROL!$C$42, 121.5, 121.5)*CHOOSE(CONTROL!$C$42, 31, 31))/1000000</f>
        <v>0.43164089999999994</v>
      </c>
      <c r="X852" s="57">
        <f>(31*0.1790888*100000/1000000)+(31*0.2374*100000/1000000)</f>
        <v>1.2911152800000001</v>
      </c>
      <c r="Y852" s="57"/>
      <c r="Z852" s="14"/>
      <c r="AA852" s="56"/>
      <c r="AB852" s="50">
        <f>(B852*122.58+C852*297.941+D852*89.177+E852*40.302+F852*40+G852*160+H852*0+I852*100+J852*300)/(122.58+297.941+89.177+40.302+0+40+160+100+300)</f>
        <v>73.292340782956515</v>
      </c>
      <c r="AC852" s="45">
        <f>(M852*'RAP TEMPLATE-GAS AVAILABILITY'!O851+N852*'RAP TEMPLATE-GAS AVAILABILITY'!P851+O852*'RAP TEMPLATE-GAS AVAILABILITY'!Q851+P852*'RAP TEMPLATE-GAS AVAILABILITY'!R851)/('RAP TEMPLATE-GAS AVAILABILITY'!O851+'RAP TEMPLATE-GAS AVAILABILITY'!P851+'RAP TEMPLATE-GAS AVAILABILITY'!Q851+'RAP TEMPLATE-GAS AVAILABILITY'!R851)</f>
        <v>71.839629496402893</v>
      </c>
    </row>
    <row r="853" spans="1:29" ht="15.75" x14ac:dyDescent="0.25">
      <c r="A853" s="32">
        <v>66872</v>
      </c>
      <c r="B853" s="14">
        <f>CHOOSE(CONTROL!$C$42, 79.2586, 79.2586) * CHOOSE(CONTROL!$C$21, $C$9, 100%, $E$9)</f>
        <v>79.258600000000001</v>
      </c>
      <c r="C853" s="14">
        <f>CHOOSE(CONTROL!$C$42, 79.2637, 79.2637) * CHOOSE(CONTROL!$C$21, $C$9, 100%, $E$9)</f>
        <v>79.2637</v>
      </c>
      <c r="D853" s="14">
        <f>CHOOSE(CONTROL!$C$42, 79.3301, 79.3301) * CHOOSE(CONTROL!$C$21, $C$9, 100%, $E$9)</f>
        <v>79.330100000000002</v>
      </c>
      <c r="E853" s="14">
        <f>CHOOSE(CONTROL!$C$42, 79.3642, 79.3642) * CHOOSE(CONTROL!$C$21, $C$9, 100%, $E$9)</f>
        <v>79.364199999999997</v>
      </c>
      <c r="F853" s="14">
        <f>CHOOSE(CONTROL!$C$42, 79.2459, 79.2459)*CHOOSE(CONTROL!$C$21, $C$9, 100%, $E$9)</f>
        <v>79.245900000000006</v>
      </c>
      <c r="G853" s="14">
        <f>CHOOSE(CONTROL!$C$42, 79.2614, 79.2614)*CHOOSE(CONTROL!$C$21, $C$9, 100%, $E$9)</f>
        <v>79.261399999999995</v>
      </c>
      <c r="H853" s="14">
        <f>CHOOSE(CONTROL!$C$42, 79.3534, 79.3534) * CHOOSE(CONTROL!$C$21, $C$9, 100%, $E$9)</f>
        <v>79.353399999999993</v>
      </c>
      <c r="I853" s="14">
        <f>CHOOSE(CONTROL!$C$42, 79.5145, 79.5145)* CHOOSE(CONTROL!$C$21, $C$9, 100%, $E$9)</f>
        <v>79.514499999999998</v>
      </c>
      <c r="J853" s="14">
        <f>CHOOSE(CONTROL!$C$42, 79.2389, 79.2389)* CHOOSE(CONTROL!$C$21, $C$9, 100%, $E$9)</f>
        <v>79.238900000000001</v>
      </c>
      <c r="K853" s="53">
        <f>CHOOSE(CONTROL!$C$42, 79.5106, 79.5106) * CHOOSE(CONTROL!$C$21, $C$9, 100%, $E$9)</f>
        <v>79.510599999999997</v>
      </c>
      <c r="L853" s="14">
        <f>CHOOSE(CONTROL!$C$42, 79.9404, 79.9404) * CHOOSE(CONTROL!$C$21, $C$9, 100%, $E$9)</f>
        <v>79.940399999999997</v>
      </c>
      <c r="M853" s="14">
        <f>CHOOSE(CONTROL!$C$42, 77.6231, 77.6231) * CHOOSE(CONTROL!$C$21, $C$9, 100%, $E$9)</f>
        <v>77.623099999999994</v>
      </c>
      <c r="N853" s="14">
        <f>CHOOSE(CONTROL!$C$42, 77.6382, 77.6382) * CHOOSE(CONTROL!$C$21, $C$9, 100%, $E$9)</f>
        <v>77.638199999999998</v>
      </c>
      <c r="O853" s="14">
        <f>CHOOSE(CONTROL!$C$42, 77.7352, 77.7352) * CHOOSE(CONTROL!$C$21, $C$9, 100%, $E$9)</f>
        <v>77.735200000000006</v>
      </c>
      <c r="P853" s="14">
        <f>CHOOSE(CONTROL!$C$42, 77.888, 77.888) * CHOOSE(CONTROL!$C$21, $C$9, 100%, $E$9)</f>
        <v>77.888000000000005</v>
      </c>
      <c r="Q853" s="14">
        <f>CHOOSE(CONTROL!$C$42, 78.3299, 78.3299) * CHOOSE(CONTROL!$C$21, $C$9, 100%, $E$9)</f>
        <v>78.329899999999995</v>
      </c>
      <c r="R853" s="14">
        <f>CHOOSE(CONTROL!$C$42, 79.1127, 79.1127) * CHOOSE(CONTROL!$C$21, $C$9, 100%, $E$9)</f>
        <v>79.112700000000004</v>
      </c>
      <c r="S853" s="14">
        <f>CHOOSE(CONTROL!$C$42, 76.1511, 76.1511) * CHOOSE(CONTROL!$C$21, $C$9, 100%, $E$9)</f>
        <v>76.1511</v>
      </c>
      <c r="T85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53" s="57">
        <f>(1000*CHOOSE(CONTROL!$C$42, 695, 695)*CHOOSE(CONTROL!$C$42, 0.5599, 0.5599)*CHOOSE(CONTROL!$C$42, 31, 31))/1000000</f>
        <v>12.063045499999998</v>
      </c>
      <c r="V853" s="57">
        <f>(1000*CHOOSE(CONTROL!$C$42, 500, 500)*CHOOSE(CONTROL!$C$42, 0.275, 0.275)*CHOOSE(CONTROL!$C$42, 31, 31))/1000000</f>
        <v>4.2625000000000002</v>
      </c>
      <c r="W853" s="57">
        <f>(1000*CHOOSE(CONTROL!$C$42, 0.1146, 0.1146)*CHOOSE(CONTROL!$C$42, 121.5, 121.5)*CHOOSE(CONTROL!$C$42, 31, 31))/1000000</f>
        <v>0.43164089999999994</v>
      </c>
      <c r="X853" s="57">
        <f>(31*0.1790888*100000/1000000)+(31*0.2374*100000/1000000)</f>
        <v>1.2911152800000001</v>
      </c>
      <c r="Y853" s="57"/>
      <c r="Z853" s="14"/>
      <c r="AA853" s="56"/>
      <c r="AB853" s="50">
        <f>(B853*122.58+C853*297.941+D853*89.177+E853*40.302+F853*40+G853*160+H853*0+I853*100+J853*300)/(122.58+297.941+89.177+40.302+0+40+160+100+300)</f>
        <v>79.286227431130442</v>
      </c>
      <c r="AC853" s="45">
        <f>(M853*'RAP TEMPLATE-GAS AVAILABILITY'!O852+N853*'RAP TEMPLATE-GAS AVAILABILITY'!P852+O853*'RAP TEMPLATE-GAS AVAILABILITY'!Q852+P853*'RAP TEMPLATE-GAS AVAILABILITY'!R852)/('RAP TEMPLATE-GAS AVAILABILITY'!O852+'RAP TEMPLATE-GAS AVAILABILITY'!P852+'RAP TEMPLATE-GAS AVAILABILITY'!Q852+'RAP TEMPLATE-GAS AVAILABILITY'!R852)</f>
        <v>77.712892086330939</v>
      </c>
    </row>
    <row r="854" spans="1:29" ht="15.75" x14ac:dyDescent="0.25">
      <c r="A854" s="32">
        <v>66900</v>
      </c>
      <c r="B854" s="14">
        <f>CHOOSE(CONTROL!$C$42, 80.6694, 80.6694) * CHOOSE(CONTROL!$C$21, $C$9, 100%, $E$9)</f>
        <v>80.669399999999996</v>
      </c>
      <c r="C854" s="14">
        <f>CHOOSE(CONTROL!$C$42, 80.6744, 80.6744) * CHOOSE(CONTROL!$C$21, $C$9, 100%, $E$9)</f>
        <v>80.674400000000006</v>
      </c>
      <c r="D854" s="14">
        <f>CHOOSE(CONTROL!$C$42, 80.7408, 80.7408) * CHOOSE(CONTROL!$C$21, $C$9, 100%, $E$9)</f>
        <v>80.740799999999993</v>
      </c>
      <c r="E854" s="14">
        <f>CHOOSE(CONTROL!$C$42, 80.775, 80.775) * CHOOSE(CONTROL!$C$21, $C$9, 100%, $E$9)</f>
        <v>80.775000000000006</v>
      </c>
      <c r="F854" s="14">
        <f>CHOOSE(CONTROL!$C$42, 80.6568, 80.6568)*CHOOSE(CONTROL!$C$21, $C$9, 100%, $E$9)</f>
        <v>80.656800000000004</v>
      </c>
      <c r="G854" s="14">
        <f>CHOOSE(CONTROL!$C$42, 80.6723, 80.6723)*CHOOSE(CONTROL!$C$21, $C$9, 100%, $E$9)</f>
        <v>80.672300000000007</v>
      </c>
      <c r="H854" s="14">
        <f>CHOOSE(CONTROL!$C$42, 80.7641, 80.7641) * CHOOSE(CONTROL!$C$21, $C$9, 100%, $E$9)</f>
        <v>80.764099999999999</v>
      </c>
      <c r="I854" s="14">
        <f>CHOOSE(CONTROL!$C$42, 80.9296, 80.9296)* CHOOSE(CONTROL!$C$21, $C$9, 100%, $E$9)</f>
        <v>80.929599999999994</v>
      </c>
      <c r="J854" s="14">
        <f>CHOOSE(CONTROL!$C$42, 80.6498, 80.6498)* CHOOSE(CONTROL!$C$21, $C$9, 100%, $E$9)</f>
        <v>80.649799999999999</v>
      </c>
      <c r="K854" s="53">
        <f>CHOOSE(CONTROL!$C$42, 80.9257, 80.9257) * CHOOSE(CONTROL!$C$21, $C$9, 100%, $E$9)</f>
        <v>80.925700000000006</v>
      </c>
      <c r="L854" s="14">
        <f>CHOOSE(CONTROL!$C$42, 81.3511, 81.3511) * CHOOSE(CONTROL!$C$21, $C$9, 100%, $E$9)</f>
        <v>81.351100000000002</v>
      </c>
      <c r="M854" s="14">
        <f>CHOOSE(CONTROL!$C$42, 79.005, 79.005) * CHOOSE(CONTROL!$C$21, $C$9, 100%, $E$9)</f>
        <v>79.004999999999995</v>
      </c>
      <c r="N854" s="14">
        <f>CHOOSE(CONTROL!$C$42, 79.0202, 79.0202) * CHOOSE(CONTROL!$C$21, $C$9, 100%, $E$9)</f>
        <v>79.020200000000003</v>
      </c>
      <c r="O854" s="14">
        <f>CHOOSE(CONTROL!$C$42, 79.117, 79.117) * CHOOSE(CONTROL!$C$21, $C$9, 100%, $E$9)</f>
        <v>79.117000000000004</v>
      </c>
      <c r="P854" s="14">
        <f>CHOOSE(CONTROL!$C$42, 79.2741, 79.2741) * CHOOSE(CONTROL!$C$21, $C$9, 100%, $E$9)</f>
        <v>79.274100000000004</v>
      </c>
      <c r="Q854" s="14">
        <f>CHOOSE(CONTROL!$C$42, 79.7117, 79.7117) * CHOOSE(CONTROL!$C$21, $C$9, 100%, $E$9)</f>
        <v>79.711699999999993</v>
      </c>
      <c r="R854" s="14">
        <f>CHOOSE(CONTROL!$C$42, 80.498, 80.498) * CHOOSE(CONTROL!$C$21, $C$9, 100%, $E$9)</f>
        <v>80.498000000000005</v>
      </c>
      <c r="S854" s="14">
        <f>CHOOSE(CONTROL!$C$42, 77.5067, 77.5067) * CHOOSE(CONTROL!$C$21, $C$9, 100%, $E$9)</f>
        <v>77.506699999999995</v>
      </c>
      <c r="T85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54" s="57">
        <f>(1000*CHOOSE(CONTROL!$C$42, 695, 695)*CHOOSE(CONTROL!$C$42, 0.5599, 0.5599)*CHOOSE(CONTROL!$C$42, 28, 28))/1000000</f>
        <v>10.895653999999999</v>
      </c>
      <c r="V854" s="57">
        <f>(1000*CHOOSE(CONTROL!$C$42, 500, 500)*CHOOSE(CONTROL!$C$42, 0.275, 0.275)*CHOOSE(CONTROL!$C$42, 28, 28))/1000000</f>
        <v>3.85</v>
      </c>
      <c r="W854" s="57">
        <f>(1000*CHOOSE(CONTROL!$C$42, 0.1146, 0.1146)*CHOOSE(CONTROL!$C$42, 121.5, 121.5)*CHOOSE(CONTROL!$C$42, 28, 28))/1000000</f>
        <v>0.38986920000000003</v>
      </c>
      <c r="X854" s="57">
        <f>(28*0.1790888*100000/1000000)+(28*0.2374*100000/1000000)</f>
        <v>1.16616864</v>
      </c>
      <c r="Y854" s="57"/>
      <c r="Z854" s="14"/>
      <c r="AA854" s="56"/>
      <c r="AB854" s="50">
        <f>(B854*122.58+C854*297.941+D854*89.177+E854*40.302+F854*40+G854*160+H854*0+I854*100+J854*300)/(122.58+297.941+89.177+40.302+0+40+160+100+300)</f>
        <v>80.697411160000001</v>
      </c>
      <c r="AC854" s="45">
        <f>(M854*'RAP TEMPLATE-GAS AVAILABILITY'!O853+N854*'RAP TEMPLATE-GAS AVAILABILITY'!P853+O854*'RAP TEMPLATE-GAS AVAILABILITY'!Q853+P854*'RAP TEMPLATE-GAS AVAILABILITY'!R853)/('RAP TEMPLATE-GAS AVAILABILITY'!O853+'RAP TEMPLATE-GAS AVAILABILITY'!P853+'RAP TEMPLATE-GAS AVAILABILITY'!Q853+'RAP TEMPLATE-GAS AVAILABILITY'!R853)</f>
        <v>79.095356834532382</v>
      </c>
    </row>
    <row r="855" spans="1:29" ht="15.75" x14ac:dyDescent="0.25">
      <c r="A855" s="32">
        <v>66931</v>
      </c>
      <c r="B855" s="14">
        <f>CHOOSE(CONTROL!$C$42, 78.3794, 78.3794) * CHOOSE(CONTROL!$C$21, $C$9, 100%, $E$9)</f>
        <v>78.379400000000004</v>
      </c>
      <c r="C855" s="14">
        <f>CHOOSE(CONTROL!$C$42, 78.3844, 78.3844) * CHOOSE(CONTROL!$C$21, $C$9, 100%, $E$9)</f>
        <v>78.384399999999999</v>
      </c>
      <c r="D855" s="14">
        <f>CHOOSE(CONTROL!$C$42, 78.4509, 78.4509) * CHOOSE(CONTROL!$C$21, $C$9, 100%, $E$9)</f>
        <v>78.450900000000004</v>
      </c>
      <c r="E855" s="14">
        <f>CHOOSE(CONTROL!$C$42, 78.485, 78.485) * CHOOSE(CONTROL!$C$21, $C$9, 100%, $E$9)</f>
        <v>78.484999999999999</v>
      </c>
      <c r="F855" s="14">
        <f>CHOOSE(CONTROL!$C$42, 78.3664, 78.3664)*CHOOSE(CONTROL!$C$21, $C$9, 100%, $E$9)</f>
        <v>78.366399999999999</v>
      </c>
      <c r="G855" s="14">
        <f>CHOOSE(CONTROL!$C$42, 78.3818, 78.3818)*CHOOSE(CONTROL!$C$21, $C$9, 100%, $E$9)</f>
        <v>78.381799999999998</v>
      </c>
      <c r="H855" s="14">
        <f>CHOOSE(CONTROL!$C$42, 78.4742, 78.4742) * CHOOSE(CONTROL!$C$21, $C$9, 100%, $E$9)</f>
        <v>78.474199999999996</v>
      </c>
      <c r="I855" s="14">
        <f>CHOOSE(CONTROL!$C$42, 78.6325, 78.6325)* CHOOSE(CONTROL!$C$21, $C$9, 100%, $E$9)</f>
        <v>78.632499999999993</v>
      </c>
      <c r="J855" s="14">
        <f>CHOOSE(CONTROL!$C$42, 78.3594, 78.3594)* CHOOSE(CONTROL!$C$21, $C$9, 100%, $E$9)</f>
        <v>78.359399999999994</v>
      </c>
      <c r="K855" s="53">
        <f>CHOOSE(CONTROL!$C$42, 78.6286, 78.6286) * CHOOSE(CONTROL!$C$21, $C$9, 100%, $E$9)</f>
        <v>78.628600000000006</v>
      </c>
      <c r="L855" s="14">
        <f>CHOOSE(CONTROL!$C$42, 79.0612, 79.0612) * CHOOSE(CONTROL!$C$21, $C$9, 100%, $E$9)</f>
        <v>79.061199999999999</v>
      </c>
      <c r="M855" s="14">
        <f>CHOOSE(CONTROL!$C$42, 76.7615, 76.7615) * CHOOSE(CONTROL!$C$21, $C$9, 100%, $E$9)</f>
        <v>76.761499999999998</v>
      </c>
      <c r="N855" s="14">
        <f>CHOOSE(CONTROL!$C$42, 76.7766, 76.7766) * CHOOSE(CONTROL!$C$21, $C$9, 100%, $E$9)</f>
        <v>76.776600000000002</v>
      </c>
      <c r="O855" s="14">
        <f>CHOOSE(CONTROL!$C$42, 76.874, 76.874) * CHOOSE(CONTROL!$C$21, $C$9, 100%, $E$9)</f>
        <v>76.873999999999995</v>
      </c>
      <c r="P855" s="14">
        <f>CHOOSE(CONTROL!$C$42, 77.0242, 77.0242) * CHOOSE(CONTROL!$C$21, $C$9, 100%, $E$9)</f>
        <v>77.024199999999993</v>
      </c>
      <c r="Q855" s="14">
        <f>CHOOSE(CONTROL!$C$42, 77.4687, 77.4687) * CHOOSE(CONTROL!$C$21, $C$9, 100%, $E$9)</f>
        <v>77.468699999999998</v>
      </c>
      <c r="R855" s="14">
        <f>CHOOSE(CONTROL!$C$42, 78.2493, 78.2493) * CHOOSE(CONTROL!$C$21, $C$9, 100%, $E$9)</f>
        <v>78.249300000000005</v>
      </c>
      <c r="S855" s="14">
        <f>CHOOSE(CONTROL!$C$42, 75.3062, 75.3062) * CHOOSE(CONTROL!$C$21, $C$9, 100%, $E$9)</f>
        <v>75.306200000000004</v>
      </c>
      <c r="T85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55" s="57">
        <f>(1000*CHOOSE(CONTROL!$C$42, 695, 695)*CHOOSE(CONTROL!$C$42, 0.5599, 0.5599)*CHOOSE(CONTROL!$C$42, 31, 31))/1000000</f>
        <v>12.063045499999998</v>
      </c>
      <c r="V855" s="57">
        <f>(1000*CHOOSE(CONTROL!$C$42, 500, 500)*CHOOSE(CONTROL!$C$42, 0.275, 0.275)*CHOOSE(CONTROL!$C$42, 31, 31))/1000000</f>
        <v>4.2625000000000002</v>
      </c>
      <c r="W855" s="57">
        <f>(1000*CHOOSE(CONTROL!$C$42, 0.1146, 0.1146)*CHOOSE(CONTROL!$C$42, 121.5, 121.5)*CHOOSE(CONTROL!$C$42, 31, 31))/1000000</f>
        <v>0.43164089999999994</v>
      </c>
      <c r="X855" s="57">
        <f>(31*0.1790888*100000/1000000)+(31*0.2374*100000/1000000)</f>
        <v>1.2911152800000001</v>
      </c>
      <c r="Y855" s="57"/>
      <c r="Z855" s="14"/>
      <c r="AA855" s="56"/>
      <c r="AB855" s="50">
        <f>(B855*122.58+C855*297.941+D855*89.177+E855*40.302+F855*40+G855*160+H855*0+I855*100+J855*300)/(122.58+297.941+89.177+40.302+0+40+160+100+300)</f>
        <v>78.406613697130439</v>
      </c>
      <c r="AC855" s="45">
        <f>(M855*'RAP TEMPLATE-GAS AVAILABILITY'!O854+N855*'RAP TEMPLATE-GAS AVAILABILITY'!P854+O855*'RAP TEMPLATE-GAS AVAILABILITY'!Q854+P855*'RAP TEMPLATE-GAS AVAILABILITY'!R854)/('RAP TEMPLATE-GAS AVAILABILITY'!O854+'RAP TEMPLATE-GAS AVAILABILITY'!P854+'RAP TEMPLATE-GAS AVAILABILITY'!Q854+'RAP TEMPLATE-GAS AVAILABILITY'!R854)</f>
        <v>76.851156834532375</v>
      </c>
    </row>
    <row r="856" spans="1:29" ht="15.75" x14ac:dyDescent="0.25">
      <c r="A856" s="32">
        <v>66961</v>
      </c>
      <c r="B856" s="14">
        <f>CHOOSE(CONTROL!$C$42, 78.1459, 78.1459) * CHOOSE(CONTROL!$C$21, $C$9, 100%, $E$9)</f>
        <v>78.145899999999997</v>
      </c>
      <c r="C856" s="14">
        <f>CHOOSE(CONTROL!$C$42, 78.1504, 78.1504) * CHOOSE(CONTROL!$C$21, $C$9, 100%, $E$9)</f>
        <v>78.150400000000005</v>
      </c>
      <c r="D856" s="14">
        <f>CHOOSE(CONTROL!$C$42, 78.3575, 78.3575) * CHOOSE(CONTROL!$C$21, $C$9, 100%, $E$9)</f>
        <v>78.357500000000002</v>
      </c>
      <c r="E856" s="14">
        <f>CHOOSE(CONTROL!$C$42, 78.3896, 78.3896) * CHOOSE(CONTROL!$C$21, $C$9, 100%, $E$9)</f>
        <v>78.389600000000002</v>
      </c>
      <c r="F856" s="14">
        <f>CHOOSE(CONTROL!$C$42, 78.1278, 78.1278)*CHOOSE(CONTROL!$C$21, $C$9, 100%, $E$9)</f>
        <v>78.127799999999993</v>
      </c>
      <c r="G856" s="14">
        <f>CHOOSE(CONTROL!$C$42, 78.143, 78.143)*CHOOSE(CONTROL!$C$21, $C$9, 100%, $E$9)</f>
        <v>78.143000000000001</v>
      </c>
      <c r="H856" s="14">
        <f>CHOOSE(CONTROL!$C$42, 78.3794, 78.3794) * CHOOSE(CONTROL!$C$21, $C$9, 100%, $E$9)</f>
        <v>78.379400000000004</v>
      </c>
      <c r="I856" s="14">
        <f>CHOOSE(CONTROL!$C$42, 78.3975, 78.3975)* CHOOSE(CONTROL!$C$21, $C$9, 100%, $E$9)</f>
        <v>78.397499999999994</v>
      </c>
      <c r="J856" s="14">
        <f>CHOOSE(CONTROL!$C$42, 78.1208, 78.1208)* CHOOSE(CONTROL!$C$21, $C$9, 100%, $E$9)</f>
        <v>78.120800000000003</v>
      </c>
      <c r="K856" s="53">
        <f>CHOOSE(CONTROL!$C$42, 78.3936, 78.3936) * CHOOSE(CONTROL!$C$21, $C$9, 100%, $E$9)</f>
        <v>78.393600000000006</v>
      </c>
      <c r="L856" s="14">
        <f>CHOOSE(CONTROL!$C$42, 78.9664, 78.9664) * CHOOSE(CONTROL!$C$21, $C$9, 100%, $E$9)</f>
        <v>78.966399999999993</v>
      </c>
      <c r="M856" s="14">
        <f>CHOOSE(CONTROL!$C$42, 76.5278, 76.5278) * CHOOSE(CONTROL!$C$21, $C$9, 100%, $E$9)</f>
        <v>76.527799999999999</v>
      </c>
      <c r="N856" s="14">
        <f>CHOOSE(CONTROL!$C$42, 76.5427, 76.5427) * CHOOSE(CONTROL!$C$21, $C$9, 100%, $E$9)</f>
        <v>76.542699999999996</v>
      </c>
      <c r="O856" s="14">
        <f>CHOOSE(CONTROL!$C$42, 76.7811, 76.7811) * CHOOSE(CONTROL!$C$21, $C$9, 100%, $E$9)</f>
        <v>76.781099999999995</v>
      </c>
      <c r="P856" s="14">
        <f>CHOOSE(CONTROL!$C$42, 76.794, 76.794) * CHOOSE(CONTROL!$C$21, $C$9, 100%, $E$9)</f>
        <v>76.793999999999997</v>
      </c>
      <c r="Q856" s="14">
        <f>CHOOSE(CONTROL!$C$42, 77.3758, 77.3758) * CHOOSE(CONTROL!$C$21, $C$9, 100%, $E$9)</f>
        <v>77.375799999999998</v>
      </c>
      <c r="R856" s="14">
        <f>CHOOSE(CONTROL!$C$42, 78.1562, 78.1562) * CHOOSE(CONTROL!$C$21, $C$9, 100%, $E$9)</f>
        <v>78.156199999999998</v>
      </c>
      <c r="S856" s="14">
        <f>CHOOSE(CONTROL!$C$42, 75.0811, 75.0811) * CHOOSE(CONTROL!$C$21, $C$9, 100%, $E$9)</f>
        <v>75.081100000000006</v>
      </c>
      <c r="T85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56" s="57">
        <f>(1000*CHOOSE(CONTROL!$C$42, 695, 695)*CHOOSE(CONTROL!$C$42, 0.5599, 0.5599)*CHOOSE(CONTROL!$C$42, 30, 30))/1000000</f>
        <v>11.673914999999997</v>
      </c>
      <c r="V856" s="57">
        <f>(1000*CHOOSE(CONTROL!$C$42, 500, 500)*CHOOSE(CONTROL!$C$42, 0.275, 0.275)*CHOOSE(CONTROL!$C$42, 30, 30))/1000000</f>
        <v>4.125</v>
      </c>
      <c r="W856" s="57">
        <f>(1000*CHOOSE(CONTROL!$C$42, 0.1146, 0.1146)*CHOOSE(CONTROL!$C$42, 121.5, 121.5)*CHOOSE(CONTROL!$C$42, 30, 30))/1000000</f>
        <v>0.417717</v>
      </c>
      <c r="X856" s="57">
        <f>(30*0.1790888*245000/1000000)+(30*0.2374*100000/1000000)</f>
        <v>2.0285026799999999</v>
      </c>
      <c r="Y856" s="57"/>
      <c r="Z856" s="14"/>
      <c r="AA856" s="56"/>
      <c r="AB856" s="50">
        <f>(B856*141.293+C856*267.993+D856*115.016+E856*89.698+F856*40+G856*185+H856*0+I856*100+J856*300)/(141.293+267.993+115.016+89.698+0+40+185+100+300)</f>
        <v>78.197370747941903</v>
      </c>
      <c r="AC856" s="45">
        <f>(M856*'RAP TEMPLATE-GAS AVAILABILITY'!O855+N856*'RAP TEMPLATE-GAS AVAILABILITY'!P855+O856*'RAP TEMPLATE-GAS AVAILABILITY'!Q855+P856*'RAP TEMPLATE-GAS AVAILABILITY'!R855)/('RAP TEMPLATE-GAS AVAILABILITY'!O855+'RAP TEMPLATE-GAS AVAILABILITY'!P855+'RAP TEMPLATE-GAS AVAILABILITY'!Q855+'RAP TEMPLATE-GAS AVAILABILITY'!R855)</f>
        <v>76.681764748201431</v>
      </c>
    </row>
    <row r="857" spans="1:29" ht="15.75" x14ac:dyDescent="0.25">
      <c r="A857" s="32">
        <v>66992</v>
      </c>
      <c r="B857" s="14">
        <f>CHOOSE(CONTROL!$C$42, 78.8369, 78.8369) * CHOOSE(CONTROL!$C$21, $C$9, 100%, $E$9)</f>
        <v>78.8369</v>
      </c>
      <c r="C857" s="14">
        <f>CHOOSE(CONTROL!$C$42, 78.845, 78.845) * CHOOSE(CONTROL!$C$21, $C$9, 100%, $E$9)</f>
        <v>78.844999999999999</v>
      </c>
      <c r="D857" s="14">
        <f>CHOOSE(CONTROL!$C$42, 79.0489, 79.0489) * CHOOSE(CONTROL!$C$21, $C$9, 100%, $E$9)</f>
        <v>79.048900000000003</v>
      </c>
      <c r="E857" s="14">
        <f>CHOOSE(CONTROL!$C$42, 79.0804, 79.0804) * CHOOSE(CONTROL!$C$21, $C$9, 100%, $E$9)</f>
        <v>79.080399999999997</v>
      </c>
      <c r="F857" s="14">
        <f>CHOOSE(CONTROL!$C$42, 78.8177, 78.8177)*CHOOSE(CONTROL!$C$21, $C$9, 100%, $E$9)</f>
        <v>78.817700000000002</v>
      </c>
      <c r="G857" s="14">
        <f>CHOOSE(CONTROL!$C$42, 78.8333, 78.8333)*CHOOSE(CONTROL!$C$21, $C$9, 100%, $E$9)</f>
        <v>78.833299999999994</v>
      </c>
      <c r="H857" s="14">
        <f>CHOOSE(CONTROL!$C$42, 79.069, 79.069) * CHOOSE(CONTROL!$C$21, $C$9, 100%, $E$9)</f>
        <v>79.069000000000003</v>
      </c>
      <c r="I857" s="14">
        <f>CHOOSE(CONTROL!$C$42, 79.0893, 79.0893)* CHOOSE(CONTROL!$C$21, $C$9, 100%, $E$9)</f>
        <v>79.089299999999994</v>
      </c>
      <c r="J857" s="14">
        <f>CHOOSE(CONTROL!$C$42, 78.8107, 78.8107)* CHOOSE(CONTROL!$C$21, $C$9, 100%, $E$9)</f>
        <v>78.810699999999997</v>
      </c>
      <c r="K857" s="53">
        <f>CHOOSE(CONTROL!$C$42, 79.0854, 79.0854) * CHOOSE(CONTROL!$C$21, $C$9, 100%, $E$9)</f>
        <v>79.085400000000007</v>
      </c>
      <c r="L857" s="14">
        <f>CHOOSE(CONTROL!$C$42, 79.656, 79.656) * CHOOSE(CONTROL!$C$21, $C$9, 100%, $E$9)</f>
        <v>79.656000000000006</v>
      </c>
      <c r="M857" s="14">
        <f>CHOOSE(CONTROL!$C$42, 77.2036, 77.2036) * CHOOSE(CONTROL!$C$21, $C$9, 100%, $E$9)</f>
        <v>77.203599999999994</v>
      </c>
      <c r="N857" s="14">
        <f>CHOOSE(CONTROL!$C$42, 77.2189, 77.2189) * CHOOSE(CONTROL!$C$21, $C$9, 100%, $E$9)</f>
        <v>77.218900000000005</v>
      </c>
      <c r="O857" s="14">
        <f>CHOOSE(CONTROL!$C$42, 77.4566, 77.4566) * CHOOSE(CONTROL!$C$21, $C$9, 100%, $E$9)</f>
        <v>77.456599999999995</v>
      </c>
      <c r="P857" s="14">
        <f>CHOOSE(CONTROL!$C$42, 77.4716, 77.4716) * CHOOSE(CONTROL!$C$21, $C$9, 100%, $E$9)</f>
        <v>77.471599999999995</v>
      </c>
      <c r="Q857" s="14">
        <f>CHOOSE(CONTROL!$C$42, 78.0513, 78.0513) * CHOOSE(CONTROL!$C$21, $C$9, 100%, $E$9)</f>
        <v>78.051299999999998</v>
      </c>
      <c r="R857" s="14">
        <f>CHOOSE(CONTROL!$C$42, 78.8334, 78.8334) * CHOOSE(CONTROL!$C$21, $C$9, 100%, $E$9)</f>
        <v>78.833399999999997</v>
      </c>
      <c r="S857" s="14">
        <f>CHOOSE(CONTROL!$C$42, 75.7438, 75.7438) * CHOOSE(CONTROL!$C$21, $C$9, 100%, $E$9)</f>
        <v>75.743799999999993</v>
      </c>
      <c r="T85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57" s="57">
        <f>(1000*CHOOSE(CONTROL!$C$42, 695, 695)*CHOOSE(CONTROL!$C$42, 0.5599, 0.5599)*CHOOSE(CONTROL!$C$42, 31, 31))/1000000</f>
        <v>12.063045499999998</v>
      </c>
      <c r="V857" s="57">
        <f>(1000*CHOOSE(CONTROL!$C$42, 500, 500)*CHOOSE(CONTROL!$C$42, 0.275, 0.275)*CHOOSE(CONTROL!$C$42, 31, 31))/1000000</f>
        <v>4.2625000000000002</v>
      </c>
      <c r="W857" s="57">
        <f>(1000*CHOOSE(CONTROL!$C$42, 0.1146, 0.1146)*CHOOSE(CONTROL!$C$42, 121.5, 121.5)*CHOOSE(CONTROL!$C$42, 31, 31))/1000000</f>
        <v>0.43164089999999994</v>
      </c>
      <c r="X857" s="57">
        <f>(31*0.1790888*245000/1000000)+(31*0.2374*100000/1000000)</f>
        <v>2.0961194359999999</v>
      </c>
      <c r="Y857" s="57"/>
      <c r="Z857" s="14"/>
      <c r="AA857" s="56"/>
      <c r="AB857" s="50">
        <f>(B857*194.205+C857*267.466+D857*133.845+E857*53.484+F857*40+G857*185+H857*0+I857*100+J857*300)/(194.205+267.466+133.845+53.484+0+40+185+100+300)</f>
        <v>78.883611906279427</v>
      </c>
      <c r="AC857" s="45">
        <f>(M857*'RAP TEMPLATE-GAS AVAILABILITY'!O856+N857*'RAP TEMPLATE-GAS AVAILABILITY'!P856+O857*'RAP TEMPLATE-GAS AVAILABILITY'!Q856+P857*'RAP TEMPLATE-GAS AVAILABILITY'!R856)/('RAP TEMPLATE-GAS AVAILABILITY'!O856+'RAP TEMPLATE-GAS AVAILABILITY'!P856+'RAP TEMPLATE-GAS AVAILABILITY'!Q856+'RAP TEMPLATE-GAS AVAILABILITY'!R856)</f>
        <v>77.357710791366898</v>
      </c>
    </row>
    <row r="858" spans="1:29" ht="15.75" x14ac:dyDescent="0.25">
      <c r="A858" s="32">
        <v>67022</v>
      </c>
      <c r="B858" s="14">
        <f>CHOOSE(CONTROL!$C$42, 81.0729, 81.0729) * CHOOSE(CONTROL!$C$21, $C$9, 100%, $E$9)</f>
        <v>81.072900000000004</v>
      </c>
      <c r="C858" s="14">
        <f>CHOOSE(CONTROL!$C$42, 81.0809, 81.0809) * CHOOSE(CONTROL!$C$21, $C$9, 100%, $E$9)</f>
        <v>81.0809</v>
      </c>
      <c r="D858" s="14">
        <f>CHOOSE(CONTROL!$C$42, 81.2849, 81.2849) * CHOOSE(CONTROL!$C$21, $C$9, 100%, $E$9)</f>
        <v>81.284899999999993</v>
      </c>
      <c r="E858" s="14">
        <f>CHOOSE(CONTROL!$C$42, 81.3163, 81.3163) * CHOOSE(CONTROL!$C$21, $C$9, 100%, $E$9)</f>
        <v>81.316299999999998</v>
      </c>
      <c r="F858" s="14">
        <f>CHOOSE(CONTROL!$C$42, 81.0541, 81.0541)*CHOOSE(CONTROL!$C$21, $C$9, 100%, $E$9)</f>
        <v>81.054100000000005</v>
      </c>
      <c r="G858" s="14">
        <f>CHOOSE(CONTROL!$C$42, 81.0698, 81.0698)*CHOOSE(CONTROL!$C$21, $C$9, 100%, $E$9)</f>
        <v>81.069800000000001</v>
      </c>
      <c r="H858" s="14">
        <f>CHOOSE(CONTROL!$C$42, 81.305, 81.305) * CHOOSE(CONTROL!$C$21, $C$9, 100%, $E$9)</f>
        <v>81.305000000000007</v>
      </c>
      <c r="I858" s="14">
        <f>CHOOSE(CONTROL!$C$42, 81.3323, 81.3323)* CHOOSE(CONTROL!$C$21, $C$9, 100%, $E$9)</f>
        <v>81.332300000000004</v>
      </c>
      <c r="J858" s="14">
        <f>CHOOSE(CONTROL!$C$42, 81.0471, 81.0471)* CHOOSE(CONTROL!$C$21, $C$9, 100%, $E$9)</f>
        <v>81.0471</v>
      </c>
      <c r="K858" s="53">
        <f>CHOOSE(CONTROL!$C$42, 81.3284, 81.3284) * CHOOSE(CONTROL!$C$21, $C$9, 100%, $E$9)</f>
        <v>81.328400000000002</v>
      </c>
      <c r="L858" s="14">
        <f>CHOOSE(CONTROL!$C$42, 81.892, 81.892) * CHOOSE(CONTROL!$C$21, $C$9, 100%, $E$9)</f>
        <v>81.891999999999996</v>
      </c>
      <c r="M858" s="14">
        <f>CHOOSE(CONTROL!$C$42, 79.3942, 79.3942) * CHOOSE(CONTROL!$C$21, $C$9, 100%, $E$9)</f>
        <v>79.394199999999998</v>
      </c>
      <c r="N858" s="14">
        <f>CHOOSE(CONTROL!$C$42, 79.4096, 79.4096) * CHOOSE(CONTROL!$C$21, $C$9, 100%, $E$9)</f>
        <v>79.409599999999998</v>
      </c>
      <c r="O858" s="14">
        <f>CHOOSE(CONTROL!$C$42, 79.6468, 79.6468) * CHOOSE(CONTROL!$C$21, $C$9, 100%, $E$9)</f>
        <v>79.646799999999999</v>
      </c>
      <c r="P858" s="14">
        <f>CHOOSE(CONTROL!$C$42, 79.6685, 79.6685) * CHOOSE(CONTROL!$C$21, $C$9, 100%, $E$9)</f>
        <v>79.668499999999995</v>
      </c>
      <c r="Q858" s="14">
        <f>CHOOSE(CONTROL!$C$42, 80.2415, 80.2415) * CHOOSE(CONTROL!$C$21, $C$9, 100%, $E$9)</f>
        <v>80.241500000000002</v>
      </c>
      <c r="R858" s="14">
        <f>CHOOSE(CONTROL!$C$42, 81.0291, 81.0291) * CHOOSE(CONTROL!$C$21, $C$9, 100%, $E$9)</f>
        <v>81.0291</v>
      </c>
      <c r="S858" s="14">
        <f>CHOOSE(CONTROL!$C$42, 77.8923, 77.8923) * CHOOSE(CONTROL!$C$21, $C$9, 100%, $E$9)</f>
        <v>77.892300000000006</v>
      </c>
      <c r="T85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58" s="57">
        <f>(1000*CHOOSE(CONTROL!$C$42, 695, 695)*CHOOSE(CONTROL!$C$42, 0.5599, 0.5599)*CHOOSE(CONTROL!$C$42, 30, 30))/1000000</f>
        <v>11.673914999999997</v>
      </c>
      <c r="V858" s="57">
        <f>(1000*CHOOSE(CONTROL!$C$42, 500, 500)*CHOOSE(CONTROL!$C$42, 0.275, 0.275)*CHOOSE(CONTROL!$C$42, 30, 30))/1000000</f>
        <v>4.125</v>
      </c>
      <c r="W858" s="57">
        <f>(1000*CHOOSE(CONTROL!$C$42, 0.1146, 0.1146)*CHOOSE(CONTROL!$C$42, 121.5, 121.5)*CHOOSE(CONTROL!$C$42, 30, 30))/1000000</f>
        <v>0.417717</v>
      </c>
      <c r="X858" s="57">
        <f>(30*0.1790888*245000/1000000)+(30*0.2374*100000/1000000)</f>
        <v>2.0285026799999999</v>
      </c>
      <c r="Y858" s="57"/>
      <c r="Z858" s="14"/>
      <c r="AA858" s="56"/>
      <c r="AB858" s="50">
        <f>(B858*194.205+C858*267.466+D858*133.845+E858*53.484+F858*40+G858*185+H858*0+I858*100+J858*300)/(194.205+267.466+133.845+53.484+0+40+185+100+300)</f>
        <v>81.120315520879117</v>
      </c>
      <c r="AC858" s="45">
        <f>(M858*'RAP TEMPLATE-GAS AVAILABILITY'!O857+N858*'RAP TEMPLATE-GAS AVAILABILITY'!P857+O858*'RAP TEMPLATE-GAS AVAILABILITY'!Q857+P858*'RAP TEMPLATE-GAS AVAILABILITY'!R857)/('RAP TEMPLATE-GAS AVAILABILITY'!O857+'RAP TEMPLATE-GAS AVAILABILITY'!P857+'RAP TEMPLATE-GAS AVAILABILITY'!Q857+'RAP TEMPLATE-GAS AVAILABILITY'!R857)</f>
        <v>79.549041726618697</v>
      </c>
    </row>
    <row r="859" spans="1:29" ht="15.75" x14ac:dyDescent="0.25">
      <c r="A859" s="32">
        <v>67053</v>
      </c>
      <c r="B859" s="14">
        <f>CHOOSE(CONTROL!$C$42, 79.5178, 79.5178) * CHOOSE(CONTROL!$C$21, $C$9, 100%, $E$9)</f>
        <v>79.517799999999994</v>
      </c>
      <c r="C859" s="14">
        <f>CHOOSE(CONTROL!$C$42, 79.5258, 79.5258) * CHOOSE(CONTROL!$C$21, $C$9, 100%, $E$9)</f>
        <v>79.525800000000004</v>
      </c>
      <c r="D859" s="14">
        <f>CHOOSE(CONTROL!$C$42, 79.7297, 79.7297) * CHOOSE(CONTROL!$C$21, $C$9, 100%, $E$9)</f>
        <v>79.729699999999994</v>
      </c>
      <c r="E859" s="14">
        <f>CHOOSE(CONTROL!$C$42, 79.7612, 79.7612) * CHOOSE(CONTROL!$C$21, $C$9, 100%, $E$9)</f>
        <v>79.761200000000002</v>
      </c>
      <c r="F859" s="14">
        <f>CHOOSE(CONTROL!$C$42, 79.4994, 79.4994)*CHOOSE(CONTROL!$C$21, $C$9, 100%, $E$9)</f>
        <v>79.499399999999994</v>
      </c>
      <c r="G859" s="14">
        <f>CHOOSE(CONTROL!$C$42, 79.5153, 79.5153)*CHOOSE(CONTROL!$C$21, $C$9, 100%, $E$9)</f>
        <v>79.515299999999996</v>
      </c>
      <c r="H859" s="14">
        <f>CHOOSE(CONTROL!$C$42, 79.7498, 79.7498) * CHOOSE(CONTROL!$C$21, $C$9, 100%, $E$9)</f>
        <v>79.749799999999993</v>
      </c>
      <c r="I859" s="14">
        <f>CHOOSE(CONTROL!$C$42, 79.7722, 79.7722)* CHOOSE(CONTROL!$C$21, $C$9, 100%, $E$9)</f>
        <v>79.772199999999998</v>
      </c>
      <c r="J859" s="14">
        <f>CHOOSE(CONTROL!$C$42, 79.4924, 79.4924)* CHOOSE(CONTROL!$C$21, $C$9, 100%, $E$9)</f>
        <v>79.492400000000004</v>
      </c>
      <c r="K859" s="53">
        <f>CHOOSE(CONTROL!$C$42, 79.7684, 79.7684) * CHOOSE(CONTROL!$C$21, $C$9, 100%, $E$9)</f>
        <v>79.7684</v>
      </c>
      <c r="L859" s="14">
        <f>CHOOSE(CONTROL!$C$42, 80.3368, 80.3368) * CHOOSE(CONTROL!$C$21, $C$9, 100%, $E$9)</f>
        <v>80.336799999999997</v>
      </c>
      <c r="M859" s="14">
        <f>CHOOSE(CONTROL!$C$42, 77.8713, 77.8713) * CHOOSE(CONTROL!$C$21, $C$9, 100%, $E$9)</f>
        <v>77.871300000000005</v>
      </c>
      <c r="N859" s="14">
        <f>CHOOSE(CONTROL!$C$42, 77.8869, 77.8869) * CHOOSE(CONTROL!$C$21, $C$9, 100%, $E$9)</f>
        <v>77.886899999999997</v>
      </c>
      <c r="O859" s="14">
        <f>CHOOSE(CONTROL!$C$42, 78.1235, 78.1235) * CHOOSE(CONTROL!$C$21, $C$9, 100%, $E$9)</f>
        <v>78.123500000000007</v>
      </c>
      <c r="P859" s="14">
        <f>CHOOSE(CONTROL!$C$42, 78.1405, 78.1405) * CHOOSE(CONTROL!$C$21, $C$9, 100%, $E$9)</f>
        <v>78.140500000000003</v>
      </c>
      <c r="Q859" s="14">
        <f>CHOOSE(CONTROL!$C$42, 78.7182, 78.7182) * CHOOSE(CONTROL!$C$21, $C$9, 100%, $E$9)</f>
        <v>78.718199999999996</v>
      </c>
      <c r="R859" s="14">
        <f>CHOOSE(CONTROL!$C$42, 79.502, 79.502) * CHOOSE(CONTROL!$C$21, $C$9, 100%, $E$9)</f>
        <v>79.501999999999995</v>
      </c>
      <c r="S859" s="14">
        <f>CHOOSE(CONTROL!$C$42, 76.398, 76.398) * CHOOSE(CONTROL!$C$21, $C$9, 100%, $E$9)</f>
        <v>76.397999999999996</v>
      </c>
      <c r="T85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59" s="57">
        <f>(1000*CHOOSE(CONTROL!$C$42, 695, 695)*CHOOSE(CONTROL!$C$42, 0.5599, 0.5599)*CHOOSE(CONTROL!$C$42, 31, 31))/1000000</f>
        <v>12.063045499999998</v>
      </c>
      <c r="V859" s="57">
        <f>(1000*CHOOSE(CONTROL!$C$42, 500, 500)*CHOOSE(CONTROL!$C$42, 0.275, 0.275)*CHOOSE(CONTROL!$C$42, 31, 31))/1000000</f>
        <v>4.2625000000000002</v>
      </c>
      <c r="W859" s="57">
        <f>(1000*CHOOSE(CONTROL!$C$42, 0.1146, 0.1146)*CHOOSE(CONTROL!$C$42, 121.5, 121.5)*CHOOSE(CONTROL!$C$42, 31, 31))/1000000</f>
        <v>0.43164089999999994</v>
      </c>
      <c r="X859" s="57">
        <f>(31*0.1790888*245000/1000000)+(31*0.2374*100000/1000000)</f>
        <v>2.0961194359999999</v>
      </c>
      <c r="Y859" s="57"/>
      <c r="Z859" s="14"/>
      <c r="AA859" s="56"/>
      <c r="AB859" s="50">
        <f>(B859*194.205+C859*267.466+D859*133.845+E859*53.484+F859*40+G859*185+H859*0+I859*100+J859*300)/(194.205+267.466+133.845+53.484+0+40+185+100+300)</f>
        <v>79.565006427865001</v>
      </c>
      <c r="AC859" s="45">
        <f>(M859*'RAP TEMPLATE-GAS AVAILABILITY'!O858+N859*'RAP TEMPLATE-GAS AVAILABILITY'!P858+O859*'RAP TEMPLATE-GAS AVAILABILITY'!Q858+P859*'RAP TEMPLATE-GAS AVAILABILITY'!R858)/('RAP TEMPLATE-GAS AVAILABILITY'!O858+'RAP TEMPLATE-GAS AVAILABILITY'!P858+'RAP TEMPLATE-GAS AVAILABILITY'!Q858+'RAP TEMPLATE-GAS AVAILABILITY'!R858)</f>
        <v>78.025238129496401</v>
      </c>
    </row>
    <row r="860" spans="1:29" ht="15.75" x14ac:dyDescent="0.25">
      <c r="A860" s="32">
        <v>67084</v>
      </c>
      <c r="B860" s="14">
        <f>CHOOSE(CONTROL!$C$42, 75.5906, 75.5906) * CHOOSE(CONTROL!$C$21, $C$9, 100%, $E$9)</f>
        <v>75.590599999999995</v>
      </c>
      <c r="C860" s="14">
        <f>CHOOSE(CONTROL!$C$42, 75.5986, 75.5986) * CHOOSE(CONTROL!$C$21, $C$9, 100%, $E$9)</f>
        <v>75.598600000000005</v>
      </c>
      <c r="D860" s="14">
        <f>CHOOSE(CONTROL!$C$42, 75.8025, 75.8025) * CHOOSE(CONTROL!$C$21, $C$9, 100%, $E$9)</f>
        <v>75.802499999999995</v>
      </c>
      <c r="E860" s="14">
        <f>CHOOSE(CONTROL!$C$42, 75.834, 75.834) * CHOOSE(CONTROL!$C$21, $C$9, 100%, $E$9)</f>
        <v>75.834000000000003</v>
      </c>
      <c r="F860" s="14">
        <f>CHOOSE(CONTROL!$C$42, 75.5724, 75.5724)*CHOOSE(CONTROL!$C$21, $C$9, 100%, $E$9)</f>
        <v>75.572400000000002</v>
      </c>
      <c r="G860" s="14">
        <f>CHOOSE(CONTROL!$C$42, 75.5884, 75.5884)*CHOOSE(CONTROL!$C$21, $C$9, 100%, $E$9)</f>
        <v>75.588399999999993</v>
      </c>
      <c r="H860" s="14">
        <f>CHOOSE(CONTROL!$C$42, 75.8226, 75.8226) * CHOOSE(CONTROL!$C$21, $C$9, 100%, $E$9)</f>
        <v>75.822599999999994</v>
      </c>
      <c r="I860" s="14">
        <f>CHOOSE(CONTROL!$C$42, 75.8327, 75.8327)* CHOOSE(CONTROL!$C$21, $C$9, 100%, $E$9)</f>
        <v>75.832700000000003</v>
      </c>
      <c r="J860" s="14">
        <f>CHOOSE(CONTROL!$C$42, 75.5654, 75.5654)* CHOOSE(CONTROL!$C$21, $C$9, 100%, $E$9)</f>
        <v>75.565399999999997</v>
      </c>
      <c r="K860" s="53">
        <f>CHOOSE(CONTROL!$C$42, 75.8289, 75.8289) * CHOOSE(CONTROL!$C$21, $C$9, 100%, $E$9)</f>
        <v>75.828900000000004</v>
      </c>
      <c r="L860" s="14">
        <f>CHOOSE(CONTROL!$C$42, 76.4096, 76.4096) * CHOOSE(CONTROL!$C$21, $C$9, 100%, $E$9)</f>
        <v>76.409599999999998</v>
      </c>
      <c r="M860" s="14">
        <f>CHOOSE(CONTROL!$C$42, 74.0248, 74.0248) * CHOOSE(CONTROL!$C$21, $C$9, 100%, $E$9)</f>
        <v>74.024799999999999</v>
      </c>
      <c r="N860" s="14">
        <f>CHOOSE(CONTROL!$C$42, 74.0405, 74.0405) * CHOOSE(CONTROL!$C$21, $C$9, 100%, $E$9)</f>
        <v>74.040499999999994</v>
      </c>
      <c r="O860" s="14">
        <f>CHOOSE(CONTROL!$C$42, 74.2768, 74.2768) * CHOOSE(CONTROL!$C$21, $C$9, 100%, $E$9)</f>
        <v>74.276799999999994</v>
      </c>
      <c r="P860" s="14">
        <f>CHOOSE(CONTROL!$C$42, 74.282, 74.282) * CHOOSE(CONTROL!$C$21, $C$9, 100%, $E$9)</f>
        <v>74.281999999999996</v>
      </c>
      <c r="Q860" s="14">
        <f>CHOOSE(CONTROL!$C$42, 74.8715, 74.8715) * CHOOSE(CONTROL!$C$21, $C$9, 100%, $E$9)</f>
        <v>74.871499999999997</v>
      </c>
      <c r="R860" s="14">
        <f>CHOOSE(CONTROL!$C$42, 75.6456, 75.6456) * CHOOSE(CONTROL!$C$21, $C$9, 100%, $E$9)</f>
        <v>75.645600000000002</v>
      </c>
      <c r="S860" s="14">
        <f>CHOOSE(CONTROL!$C$42, 72.6243, 72.6243) * CHOOSE(CONTROL!$C$21, $C$9, 100%, $E$9)</f>
        <v>72.624300000000005</v>
      </c>
      <c r="T86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60" s="57">
        <f>(1000*CHOOSE(CONTROL!$C$42, 695, 695)*CHOOSE(CONTROL!$C$42, 0.5599, 0.5599)*CHOOSE(CONTROL!$C$42, 31, 31))/1000000</f>
        <v>12.063045499999998</v>
      </c>
      <c r="V860" s="57">
        <f>(1000*CHOOSE(CONTROL!$C$42, 500, 500)*CHOOSE(CONTROL!$C$42, 0.275, 0.275)*CHOOSE(CONTROL!$C$42, 31, 31))/1000000</f>
        <v>4.2625000000000002</v>
      </c>
      <c r="W860" s="57">
        <f>(1000*CHOOSE(CONTROL!$C$42, 0.1146, 0.1146)*CHOOSE(CONTROL!$C$42, 121.5, 121.5)*CHOOSE(CONTROL!$C$42, 31, 31))/1000000</f>
        <v>0.43164089999999994</v>
      </c>
      <c r="X860" s="57">
        <f>(31*0.1790888*245000/1000000)+(31*0.2374*100000/1000000)</f>
        <v>2.0961194359999999</v>
      </c>
      <c r="Y860" s="57"/>
      <c r="Z860" s="14"/>
      <c r="AA860" s="56"/>
      <c r="AB860" s="50">
        <f>(B860*194.205+C860*267.466+D860*133.845+E860*53.484+F860*40+G860*185+H860*0+I860*100+J860*300)/(194.205+267.466+133.845+53.484+0+40+185+100+300)</f>
        <v>75.636937903532186</v>
      </c>
      <c r="AC860" s="45">
        <f>(M860*'RAP TEMPLATE-GAS AVAILABILITY'!O859+N860*'RAP TEMPLATE-GAS AVAILABILITY'!P859+O860*'RAP TEMPLATE-GAS AVAILABILITY'!Q859+P860*'RAP TEMPLATE-GAS AVAILABILITY'!R859)/('RAP TEMPLATE-GAS AVAILABILITY'!O859+'RAP TEMPLATE-GAS AVAILABILITY'!P859+'RAP TEMPLATE-GAS AVAILABILITY'!Q859+'RAP TEMPLATE-GAS AVAILABILITY'!R859)</f>
        <v>74.176926618705025</v>
      </c>
    </row>
    <row r="861" spans="1:29" ht="15.75" x14ac:dyDescent="0.25">
      <c r="A861" s="32">
        <v>67114</v>
      </c>
      <c r="B861" s="14">
        <f>CHOOSE(CONTROL!$C$42, 70.7919, 70.7919) * CHOOSE(CONTROL!$C$21, $C$9, 100%, $E$9)</f>
        <v>70.791899999999998</v>
      </c>
      <c r="C861" s="14">
        <f>CHOOSE(CONTROL!$C$42, 70.7999, 70.7999) * CHOOSE(CONTROL!$C$21, $C$9, 100%, $E$9)</f>
        <v>70.799899999999994</v>
      </c>
      <c r="D861" s="14">
        <f>CHOOSE(CONTROL!$C$42, 71.0038, 71.0038) * CHOOSE(CONTROL!$C$21, $C$9, 100%, $E$9)</f>
        <v>71.003799999999998</v>
      </c>
      <c r="E861" s="14">
        <f>CHOOSE(CONTROL!$C$42, 71.0353, 71.0353) * CHOOSE(CONTROL!$C$21, $C$9, 100%, $E$9)</f>
        <v>71.035300000000007</v>
      </c>
      <c r="F861" s="14">
        <f>CHOOSE(CONTROL!$C$42, 70.7738, 70.7738)*CHOOSE(CONTROL!$C$21, $C$9, 100%, $E$9)</f>
        <v>70.773799999999994</v>
      </c>
      <c r="G861" s="14">
        <f>CHOOSE(CONTROL!$C$42, 70.7897, 70.7897)*CHOOSE(CONTROL!$C$21, $C$9, 100%, $E$9)</f>
        <v>70.789699999999996</v>
      </c>
      <c r="H861" s="14">
        <f>CHOOSE(CONTROL!$C$42, 71.0239, 71.0239) * CHOOSE(CONTROL!$C$21, $C$9, 100%, $E$9)</f>
        <v>71.023899999999998</v>
      </c>
      <c r="I861" s="14">
        <f>CHOOSE(CONTROL!$C$42, 71.019, 71.019)* CHOOSE(CONTROL!$C$21, $C$9, 100%, $E$9)</f>
        <v>71.019000000000005</v>
      </c>
      <c r="J861" s="14">
        <f>CHOOSE(CONTROL!$C$42, 70.7668, 70.7668)* CHOOSE(CONTROL!$C$21, $C$9, 100%, $E$9)</f>
        <v>70.766800000000003</v>
      </c>
      <c r="K861" s="53">
        <f>CHOOSE(CONTROL!$C$42, 71.0151, 71.0151) * CHOOSE(CONTROL!$C$21, $C$9, 100%, $E$9)</f>
        <v>71.015100000000004</v>
      </c>
      <c r="L861" s="14">
        <f>CHOOSE(CONTROL!$C$42, 71.6109, 71.6109) * CHOOSE(CONTROL!$C$21, $C$9, 100%, $E$9)</f>
        <v>71.610900000000001</v>
      </c>
      <c r="M861" s="14">
        <f>CHOOSE(CONTROL!$C$42, 69.3245, 69.3245) * CHOOSE(CONTROL!$C$21, $C$9, 100%, $E$9)</f>
        <v>69.3245</v>
      </c>
      <c r="N861" s="14">
        <f>CHOOSE(CONTROL!$C$42, 69.3401, 69.3401) * CHOOSE(CONTROL!$C$21, $C$9, 100%, $E$9)</f>
        <v>69.340100000000007</v>
      </c>
      <c r="O861" s="14">
        <f>CHOOSE(CONTROL!$C$42, 69.5764, 69.5764) * CHOOSE(CONTROL!$C$21, $C$9, 100%, $E$9)</f>
        <v>69.576400000000007</v>
      </c>
      <c r="P861" s="14">
        <f>CHOOSE(CONTROL!$C$42, 69.5672, 69.5672) * CHOOSE(CONTROL!$C$21, $C$9, 100%, $E$9)</f>
        <v>69.5672</v>
      </c>
      <c r="Q861" s="14">
        <f>CHOOSE(CONTROL!$C$42, 70.1711, 70.1711) * CHOOSE(CONTROL!$C$21, $C$9, 100%, $E$9)</f>
        <v>70.171099999999996</v>
      </c>
      <c r="R861" s="14">
        <f>CHOOSE(CONTROL!$C$42, 70.9335, 70.9335) * CHOOSE(CONTROL!$C$21, $C$9, 100%, $E$9)</f>
        <v>70.933499999999995</v>
      </c>
      <c r="S861" s="14">
        <f>CHOOSE(CONTROL!$C$42, 68.0133, 68.0133) * CHOOSE(CONTROL!$C$21, $C$9, 100%, $E$9)</f>
        <v>68.013300000000001</v>
      </c>
      <c r="T86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61" s="57">
        <f>(1000*CHOOSE(CONTROL!$C$42, 695, 695)*CHOOSE(CONTROL!$C$42, 0.5599, 0.5599)*CHOOSE(CONTROL!$C$42, 30, 30))/1000000</f>
        <v>11.673914999999997</v>
      </c>
      <c r="V861" s="57">
        <f>(1000*CHOOSE(CONTROL!$C$42, 500, 500)*CHOOSE(CONTROL!$C$42, 0.275, 0.275)*CHOOSE(CONTROL!$C$42, 30, 30))/1000000</f>
        <v>4.125</v>
      </c>
      <c r="W861" s="57">
        <f>(1000*CHOOSE(CONTROL!$C$42, 0.1146, 0.1146)*CHOOSE(CONTROL!$C$42, 121.5, 121.5)*CHOOSE(CONTROL!$C$42, 30, 30))/1000000</f>
        <v>0.417717</v>
      </c>
      <c r="X861" s="57">
        <f>(30*0.1790888*245000/1000000)+(30*0.2374*100000/1000000)</f>
        <v>2.0285026799999999</v>
      </c>
      <c r="Y861" s="57"/>
      <c r="Z861" s="14"/>
      <c r="AA861" s="56"/>
      <c r="AB861" s="50">
        <f>(B861*194.205+C861*267.466+D861*133.845+E861*53.484+F861*40+G861*185+H861*0+I861*100+J861*300)/(194.205+267.466+133.845+53.484+0+40+185+100+300)</f>
        <v>70.837087197095769</v>
      </c>
      <c r="AC861" s="45">
        <f>(M861*'RAP TEMPLATE-GAS AVAILABILITY'!O860+N861*'RAP TEMPLATE-GAS AVAILABILITY'!P860+O861*'RAP TEMPLATE-GAS AVAILABILITY'!Q860+P861*'RAP TEMPLATE-GAS AVAILABILITY'!R860)/('RAP TEMPLATE-GAS AVAILABILITY'!O860+'RAP TEMPLATE-GAS AVAILABILITY'!P860+'RAP TEMPLATE-GAS AVAILABILITY'!Q860+'RAP TEMPLATE-GAS AVAILABILITY'!R860)</f>
        <v>69.474489208633102</v>
      </c>
    </row>
    <row r="862" spans="1:29" ht="15.75" x14ac:dyDescent="0.25">
      <c r="A862" s="32">
        <v>67145</v>
      </c>
      <c r="B862" s="14">
        <f>CHOOSE(CONTROL!$C$42, 69.353, 69.353) * CHOOSE(CONTROL!$C$21, $C$9, 100%, $E$9)</f>
        <v>69.352999999999994</v>
      </c>
      <c r="C862" s="14">
        <f>CHOOSE(CONTROL!$C$42, 69.3583, 69.3583) * CHOOSE(CONTROL!$C$21, $C$9, 100%, $E$9)</f>
        <v>69.3583</v>
      </c>
      <c r="D862" s="14">
        <f>CHOOSE(CONTROL!$C$42, 69.5672, 69.5672) * CHOOSE(CONTROL!$C$21, $C$9, 100%, $E$9)</f>
        <v>69.5672</v>
      </c>
      <c r="E862" s="14">
        <f>CHOOSE(CONTROL!$C$42, 69.5963, 69.5963) * CHOOSE(CONTROL!$C$21, $C$9, 100%, $E$9)</f>
        <v>69.596299999999999</v>
      </c>
      <c r="F862" s="14">
        <f>CHOOSE(CONTROL!$C$42, 69.337, 69.337)*CHOOSE(CONTROL!$C$21, $C$9, 100%, $E$9)</f>
        <v>69.337000000000003</v>
      </c>
      <c r="G862" s="14">
        <f>CHOOSE(CONTROL!$C$42, 69.3526, 69.3526)*CHOOSE(CONTROL!$C$21, $C$9, 100%, $E$9)</f>
        <v>69.352599999999995</v>
      </c>
      <c r="H862" s="14">
        <f>CHOOSE(CONTROL!$C$42, 69.5868, 69.5868) * CHOOSE(CONTROL!$C$21, $C$9, 100%, $E$9)</f>
        <v>69.586799999999997</v>
      </c>
      <c r="I862" s="14">
        <f>CHOOSE(CONTROL!$C$42, 69.5774, 69.5774)* CHOOSE(CONTROL!$C$21, $C$9, 100%, $E$9)</f>
        <v>69.577399999999997</v>
      </c>
      <c r="J862" s="14">
        <f>CHOOSE(CONTROL!$C$42, 69.33, 69.33)* CHOOSE(CONTROL!$C$21, $C$9, 100%, $E$9)</f>
        <v>69.33</v>
      </c>
      <c r="K862" s="53">
        <f>CHOOSE(CONTROL!$C$42, 69.5735, 69.5735) * CHOOSE(CONTROL!$C$21, $C$9, 100%, $E$9)</f>
        <v>69.573499999999996</v>
      </c>
      <c r="L862" s="14">
        <f>CHOOSE(CONTROL!$C$42, 70.1738, 70.1738) * CHOOSE(CONTROL!$C$21, $C$9, 100%, $E$9)</f>
        <v>70.1738</v>
      </c>
      <c r="M862" s="14">
        <f>CHOOSE(CONTROL!$C$42, 67.9171, 67.9171) * CHOOSE(CONTROL!$C$21, $C$9, 100%, $E$9)</f>
        <v>67.917100000000005</v>
      </c>
      <c r="N862" s="14">
        <f>CHOOSE(CONTROL!$C$42, 67.9325, 67.9325) * CHOOSE(CONTROL!$C$21, $C$9, 100%, $E$9)</f>
        <v>67.932500000000005</v>
      </c>
      <c r="O862" s="14">
        <f>CHOOSE(CONTROL!$C$42, 68.1687, 68.1687) * CHOOSE(CONTROL!$C$21, $C$9, 100%, $E$9)</f>
        <v>68.168700000000001</v>
      </c>
      <c r="P862" s="14">
        <f>CHOOSE(CONTROL!$C$42, 68.1552, 68.1552) * CHOOSE(CONTROL!$C$21, $C$9, 100%, $E$9)</f>
        <v>68.155199999999994</v>
      </c>
      <c r="Q862" s="14">
        <f>CHOOSE(CONTROL!$C$42, 68.7634, 68.7634) * CHOOSE(CONTROL!$C$21, $C$9, 100%, $E$9)</f>
        <v>68.763400000000004</v>
      </c>
      <c r="R862" s="14">
        <f>CHOOSE(CONTROL!$C$42, 69.5223, 69.5223) * CHOOSE(CONTROL!$C$21, $C$9, 100%, $E$9)</f>
        <v>69.522300000000001</v>
      </c>
      <c r="S862" s="14">
        <f>CHOOSE(CONTROL!$C$42, 66.6323, 66.6323) * CHOOSE(CONTROL!$C$21, $C$9, 100%, $E$9)</f>
        <v>66.632300000000001</v>
      </c>
      <c r="T86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62" s="57">
        <f>(1000*CHOOSE(CONTROL!$C$42, 695, 695)*CHOOSE(CONTROL!$C$42, 0.5599, 0.5599)*CHOOSE(CONTROL!$C$42, 31, 31))/1000000</f>
        <v>12.063045499999998</v>
      </c>
      <c r="V862" s="57">
        <f>(1000*CHOOSE(CONTROL!$C$42, 500, 500)*CHOOSE(CONTROL!$C$42, 0.275, 0.275)*CHOOSE(CONTROL!$C$42, 31, 31))/1000000</f>
        <v>4.2625000000000002</v>
      </c>
      <c r="W862" s="57">
        <f>(1000*CHOOSE(CONTROL!$C$42, 0.1146, 0.1146)*CHOOSE(CONTROL!$C$42, 121.5, 121.5)*CHOOSE(CONTROL!$C$42, 31, 31))/1000000</f>
        <v>0.43164089999999994</v>
      </c>
      <c r="X862" s="57">
        <f>(31*0.1790888*245000/1000000)+(31*0.2374*100000/1000000)</f>
        <v>2.0961194359999999</v>
      </c>
      <c r="Y862" s="57"/>
      <c r="Z862" s="14"/>
      <c r="AA862" s="56"/>
      <c r="AB862" s="50">
        <f>(B862*131.881+C862*277.167+D862*79.08+E862*125.872+F862*40+G862*185+H862*0+I862*100+J862*300)/(131.881+277.167+79.08+125.872+0+40+185+100+300)</f>
        <v>69.404540418644075</v>
      </c>
      <c r="AC862" s="45">
        <f>(M862*'RAP TEMPLATE-GAS AVAILABILITY'!O861+N862*'RAP TEMPLATE-GAS AVAILABILITY'!P861+O862*'RAP TEMPLATE-GAS AVAILABILITY'!Q861+P862*'RAP TEMPLATE-GAS AVAILABILITY'!R861)/('RAP TEMPLATE-GAS AVAILABILITY'!O861+'RAP TEMPLATE-GAS AVAILABILITY'!P861+'RAP TEMPLATE-GAS AVAILABILITY'!Q861+'RAP TEMPLATE-GAS AVAILABILITY'!R861)</f>
        <v>68.066279856115102</v>
      </c>
    </row>
    <row r="863" spans="1:29" ht="15.75" x14ac:dyDescent="0.25">
      <c r="A863" s="32">
        <v>67175</v>
      </c>
      <c r="B863" s="14">
        <f>CHOOSE(CONTROL!$C$42, 71.1794, 71.1794) * CHOOSE(CONTROL!$C$21, $C$9, 100%, $E$9)</f>
        <v>71.179400000000001</v>
      </c>
      <c r="C863" s="14">
        <f>CHOOSE(CONTROL!$C$42, 71.1845, 71.1845) * CHOOSE(CONTROL!$C$21, $C$9, 100%, $E$9)</f>
        <v>71.1845</v>
      </c>
      <c r="D863" s="14">
        <f>CHOOSE(CONTROL!$C$42, 71.2483, 71.2483) * CHOOSE(CONTROL!$C$21, $C$9, 100%, $E$9)</f>
        <v>71.2483</v>
      </c>
      <c r="E863" s="14">
        <f>CHOOSE(CONTROL!$C$42, 71.2824, 71.2824) * CHOOSE(CONTROL!$C$21, $C$9, 100%, $E$9)</f>
        <v>71.282399999999996</v>
      </c>
      <c r="F863" s="14">
        <f>CHOOSE(CONTROL!$C$42, 71.1818, 71.1818)*CHOOSE(CONTROL!$C$21, $C$9, 100%, $E$9)</f>
        <v>71.181799999999996</v>
      </c>
      <c r="G863" s="14">
        <f>CHOOSE(CONTROL!$C$42, 71.1978, 71.1978)*CHOOSE(CONTROL!$C$21, $C$9, 100%, $E$9)</f>
        <v>71.197800000000001</v>
      </c>
      <c r="H863" s="14">
        <f>CHOOSE(CONTROL!$C$42, 71.2716, 71.2716) * CHOOSE(CONTROL!$C$21, $C$9, 100%, $E$9)</f>
        <v>71.271600000000007</v>
      </c>
      <c r="I863" s="14">
        <f>CHOOSE(CONTROL!$C$42, 71.4152, 71.4152)* CHOOSE(CONTROL!$C$21, $C$9, 100%, $E$9)</f>
        <v>71.415199999999999</v>
      </c>
      <c r="J863" s="14">
        <f>CHOOSE(CONTROL!$C$42, 71.1748, 71.1748)* CHOOSE(CONTROL!$C$21, $C$9, 100%, $E$9)</f>
        <v>71.174800000000005</v>
      </c>
      <c r="K863" s="53">
        <f>CHOOSE(CONTROL!$C$42, 71.4113, 71.4113) * CHOOSE(CONTROL!$C$21, $C$9, 100%, $E$9)</f>
        <v>71.411299999999997</v>
      </c>
      <c r="L863" s="14">
        <f>CHOOSE(CONTROL!$C$42, 71.8586, 71.8586) * CHOOSE(CONTROL!$C$21, $C$9, 100%, $E$9)</f>
        <v>71.858599999999996</v>
      </c>
      <c r="M863" s="14">
        <f>CHOOSE(CONTROL!$C$42, 69.7241, 69.7241) * CHOOSE(CONTROL!$C$21, $C$9, 100%, $E$9)</f>
        <v>69.724100000000007</v>
      </c>
      <c r="N863" s="14">
        <f>CHOOSE(CONTROL!$C$42, 69.7398, 69.7398) * CHOOSE(CONTROL!$C$21, $C$9, 100%, $E$9)</f>
        <v>69.739800000000002</v>
      </c>
      <c r="O863" s="14">
        <f>CHOOSE(CONTROL!$C$42, 69.819, 69.819) * CHOOSE(CONTROL!$C$21, $C$9, 100%, $E$9)</f>
        <v>69.819000000000003</v>
      </c>
      <c r="P863" s="14">
        <f>CHOOSE(CONTROL!$C$42, 69.9552, 69.9552) * CHOOSE(CONTROL!$C$21, $C$9, 100%, $E$9)</f>
        <v>69.955200000000005</v>
      </c>
      <c r="Q863" s="14">
        <f>CHOOSE(CONTROL!$C$42, 70.4137, 70.4137) * CHOOSE(CONTROL!$C$21, $C$9, 100%, $E$9)</f>
        <v>70.413700000000006</v>
      </c>
      <c r="R863" s="14">
        <f>CHOOSE(CONTROL!$C$42, 71.1767, 71.1767) * CHOOSE(CONTROL!$C$21, $C$9, 100%, $E$9)</f>
        <v>71.176699999999997</v>
      </c>
      <c r="S863" s="14">
        <f>CHOOSE(CONTROL!$C$42, 68.3877, 68.3877) * CHOOSE(CONTROL!$C$21, $C$9, 100%, $E$9)</f>
        <v>68.387699999999995</v>
      </c>
      <c r="T86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63" s="57">
        <f>(1000*CHOOSE(CONTROL!$C$42, 695, 695)*CHOOSE(CONTROL!$C$42, 0.5599, 0.5599)*CHOOSE(CONTROL!$C$42, 30, 30))/1000000</f>
        <v>11.673914999999997</v>
      </c>
      <c r="V863" s="57">
        <f>(1000*CHOOSE(CONTROL!$C$42, 500, 500)*CHOOSE(CONTROL!$C$42, 0.275, 0.275)*CHOOSE(CONTROL!$C$42, 30, 30))/1000000</f>
        <v>4.125</v>
      </c>
      <c r="W863" s="57">
        <f>(1000*CHOOSE(CONTROL!$C$42, 0.1146, 0.1146)*CHOOSE(CONTROL!$C$42, 121.5, 121.5)*CHOOSE(CONTROL!$C$42, 30, 30))/1000000</f>
        <v>0.417717</v>
      </c>
      <c r="X863" s="57">
        <f>(30*0.1790888*100000/1000000)+(30*0.2374*100000/1000000)</f>
        <v>1.2494664</v>
      </c>
      <c r="Y863" s="57"/>
      <c r="Z863" s="14"/>
      <c r="AA863" s="56"/>
      <c r="AB863" s="50">
        <f>(B863*122.58+C863*297.941+D863*89.177+E863*40.302+F863*40+G863*160+H863*0+I863*100+J863*300)/(122.58+297.941+89.177+40.302+0+40+160+100+300)</f>
        <v>71.211621652521728</v>
      </c>
      <c r="AC863" s="45">
        <f>(M863*'RAP TEMPLATE-GAS AVAILABILITY'!O862+N863*'RAP TEMPLATE-GAS AVAILABILITY'!P862+O863*'RAP TEMPLATE-GAS AVAILABILITY'!Q862+P863*'RAP TEMPLATE-GAS AVAILABILITY'!R862)/('RAP TEMPLATE-GAS AVAILABILITY'!O862+'RAP TEMPLATE-GAS AVAILABILITY'!P862+'RAP TEMPLATE-GAS AVAILABILITY'!Q862+'RAP TEMPLATE-GAS AVAILABILITY'!R862)</f>
        <v>69.8012676258993</v>
      </c>
    </row>
    <row r="864" spans="1:29" ht="15.75" x14ac:dyDescent="0.25">
      <c r="A864" s="32">
        <v>67206</v>
      </c>
      <c r="B864" s="14">
        <f>CHOOSE(CONTROL!$C$42, 76.0317, 76.0317) * CHOOSE(CONTROL!$C$21, $C$9, 100%, $E$9)</f>
        <v>76.031700000000001</v>
      </c>
      <c r="C864" s="14">
        <f>CHOOSE(CONTROL!$C$42, 76.0368, 76.0368) * CHOOSE(CONTROL!$C$21, $C$9, 100%, $E$9)</f>
        <v>76.036799999999999</v>
      </c>
      <c r="D864" s="14">
        <f>CHOOSE(CONTROL!$C$42, 76.1006, 76.1006) * CHOOSE(CONTROL!$C$21, $C$9, 100%, $E$9)</f>
        <v>76.1006</v>
      </c>
      <c r="E864" s="14">
        <f>CHOOSE(CONTROL!$C$42, 76.1347, 76.1347) * CHOOSE(CONTROL!$C$21, $C$9, 100%, $E$9)</f>
        <v>76.134699999999995</v>
      </c>
      <c r="F864" s="14">
        <f>CHOOSE(CONTROL!$C$42, 76.0363, 76.0363)*CHOOSE(CONTROL!$C$21, $C$9, 100%, $E$9)</f>
        <v>76.036299999999997</v>
      </c>
      <c r="G864" s="14">
        <f>CHOOSE(CONTROL!$C$42, 76.053, 76.053)*CHOOSE(CONTROL!$C$21, $C$9, 100%, $E$9)</f>
        <v>76.052999999999997</v>
      </c>
      <c r="H864" s="14">
        <f>CHOOSE(CONTROL!$C$42, 76.1239, 76.1239) * CHOOSE(CONTROL!$C$21, $C$9, 100%, $E$9)</f>
        <v>76.123900000000006</v>
      </c>
      <c r="I864" s="14">
        <f>CHOOSE(CONTROL!$C$42, 76.2827, 76.2827)* CHOOSE(CONTROL!$C$21, $C$9, 100%, $E$9)</f>
        <v>76.282700000000006</v>
      </c>
      <c r="J864" s="14">
        <f>CHOOSE(CONTROL!$C$42, 76.0293, 76.0293)* CHOOSE(CONTROL!$C$21, $C$9, 100%, $E$9)</f>
        <v>76.029300000000006</v>
      </c>
      <c r="K864" s="53">
        <f>CHOOSE(CONTROL!$C$42, 76.2788, 76.2788) * CHOOSE(CONTROL!$C$21, $C$9, 100%, $E$9)</f>
        <v>76.278800000000004</v>
      </c>
      <c r="L864" s="14">
        <f>CHOOSE(CONTROL!$C$42, 76.7109, 76.7109) * CHOOSE(CONTROL!$C$21, $C$9, 100%, $E$9)</f>
        <v>76.710899999999995</v>
      </c>
      <c r="M864" s="14">
        <f>CHOOSE(CONTROL!$C$42, 74.4792, 74.4792) * CHOOSE(CONTROL!$C$21, $C$9, 100%, $E$9)</f>
        <v>74.479200000000006</v>
      </c>
      <c r="N864" s="14">
        <f>CHOOSE(CONTROL!$C$42, 74.4955, 74.4955) * CHOOSE(CONTROL!$C$21, $C$9, 100%, $E$9)</f>
        <v>74.495500000000007</v>
      </c>
      <c r="O864" s="14">
        <f>CHOOSE(CONTROL!$C$42, 74.5719, 74.5719) * CHOOSE(CONTROL!$C$21, $C$9, 100%, $E$9)</f>
        <v>74.571899999999999</v>
      </c>
      <c r="P864" s="14">
        <f>CHOOSE(CONTROL!$C$42, 74.7227, 74.7227) * CHOOSE(CONTROL!$C$21, $C$9, 100%, $E$9)</f>
        <v>74.722700000000003</v>
      </c>
      <c r="Q864" s="14">
        <f>CHOOSE(CONTROL!$C$42, 75.1666, 75.1666) * CHOOSE(CONTROL!$C$21, $C$9, 100%, $E$9)</f>
        <v>75.166600000000003</v>
      </c>
      <c r="R864" s="14">
        <f>CHOOSE(CONTROL!$C$42, 75.9415, 75.9415) * CHOOSE(CONTROL!$C$21, $C$9, 100%, $E$9)</f>
        <v>75.941500000000005</v>
      </c>
      <c r="S864" s="14">
        <f>CHOOSE(CONTROL!$C$42, 73.0503, 73.0503) * CHOOSE(CONTROL!$C$21, $C$9, 100%, $E$9)</f>
        <v>73.050299999999993</v>
      </c>
      <c r="T86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64" s="57">
        <f>(1000*CHOOSE(CONTROL!$C$42, 695, 695)*CHOOSE(CONTROL!$C$42, 0.5599, 0.5599)*CHOOSE(CONTROL!$C$42, 31, 31))/1000000</f>
        <v>12.063045499999998</v>
      </c>
      <c r="V864" s="57">
        <f>(1000*CHOOSE(CONTROL!$C$42, 500, 500)*CHOOSE(CONTROL!$C$42, 0.275, 0.275)*CHOOSE(CONTROL!$C$42, 31, 31))/1000000</f>
        <v>4.2625000000000002</v>
      </c>
      <c r="W864" s="57">
        <f>(1000*CHOOSE(CONTROL!$C$42, 0.1146, 0.1146)*CHOOSE(CONTROL!$C$42, 121.5, 121.5)*CHOOSE(CONTROL!$C$42, 31, 31))/1000000</f>
        <v>0.43164089999999994</v>
      </c>
      <c r="X864" s="57">
        <f>(31*0.1790888*100000/1000000)+(31*0.2374*100000/1000000)</f>
        <v>1.2911152800000001</v>
      </c>
      <c r="Y864" s="57"/>
      <c r="Z864" s="14"/>
      <c r="AA864" s="56"/>
      <c r="AB864" s="50">
        <f>(B864*122.58+C864*297.941+D864*89.177+E864*40.302+F864*40+G864*160+H864*0+I864*100+J864*300)/(122.58+297.941+89.177+40.302+0+40+160+100+300)</f>
        <v>76.066297304695652</v>
      </c>
      <c r="AC864" s="45">
        <f>(M864*'RAP TEMPLATE-GAS AVAILABILITY'!O863+N864*'RAP TEMPLATE-GAS AVAILABILITY'!P863+O864*'RAP TEMPLATE-GAS AVAILABILITY'!Q863+P864*'RAP TEMPLATE-GAS AVAILABILITY'!R863)/('RAP TEMPLATE-GAS AVAILABILITY'!O863+'RAP TEMPLATE-GAS AVAILABILITY'!P863+'RAP TEMPLATE-GAS AVAILABILITY'!Q863+'RAP TEMPLATE-GAS AVAILABILITY'!R863)</f>
        <v>74.557189208633105</v>
      </c>
    </row>
    <row r="865" spans="1:29" ht="15.75" x14ac:dyDescent="0.25">
      <c r="A865" s="32">
        <v>67237</v>
      </c>
      <c r="B865" s="14">
        <f>CHOOSE(CONTROL!$C$42, 82.259, 82.259) * CHOOSE(CONTROL!$C$21, $C$9, 100%, $E$9)</f>
        <v>82.259</v>
      </c>
      <c r="C865" s="14">
        <f>CHOOSE(CONTROL!$C$42, 82.264, 82.264) * CHOOSE(CONTROL!$C$21, $C$9, 100%, $E$9)</f>
        <v>82.263999999999996</v>
      </c>
      <c r="D865" s="14">
        <f>CHOOSE(CONTROL!$C$42, 82.3305, 82.3305) * CHOOSE(CONTROL!$C$21, $C$9, 100%, $E$9)</f>
        <v>82.330500000000001</v>
      </c>
      <c r="E865" s="14">
        <f>CHOOSE(CONTROL!$C$42, 82.3646, 82.3646) * CHOOSE(CONTROL!$C$21, $C$9, 100%, $E$9)</f>
        <v>82.364599999999996</v>
      </c>
      <c r="F865" s="14">
        <f>CHOOSE(CONTROL!$C$42, 82.2463, 82.2463)*CHOOSE(CONTROL!$C$21, $C$9, 100%, $E$9)</f>
        <v>82.246300000000005</v>
      </c>
      <c r="G865" s="14">
        <f>CHOOSE(CONTROL!$C$42, 82.2618, 82.2618)*CHOOSE(CONTROL!$C$21, $C$9, 100%, $E$9)</f>
        <v>82.261799999999994</v>
      </c>
      <c r="H865" s="14">
        <f>CHOOSE(CONTROL!$C$42, 82.3538, 82.3538) * CHOOSE(CONTROL!$C$21, $C$9, 100%, $E$9)</f>
        <v>82.353800000000007</v>
      </c>
      <c r="I865" s="14">
        <f>CHOOSE(CONTROL!$C$42, 82.5242, 82.5242)* CHOOSE(CONTROL!$C$21, $C$9, 100%, $E$9)</f>
        <v>82.524199999999993</v>
      </c>
      <c r="J865" s="14">
        <f>CHOOSE(CONTROL!$C$42, 82.2393, 82.2393)* CHOOSE(CONTROL!$C$21, $C$9, 100%, $E$9)</f>
        <v>82.2393</v>
      </c>
      <c r="K865" s="53">
        <f>CHOOSE(CONTROL!$C$42, 82.5203, 82.5203) * CHOOSE(CONTROL!$C$21, $C$9, 100%, $E$9)</f>
        <v>82.520300000000006</v>
      </c>
      <c r="L865" s="14">
        <f>CHOOSE(CONTROL!$C$42, 82.9408, 82.9408) * CHOOSE(CONTROL!$C$21, $C$9, 100%, $E$9)</f>
        <v>82.940799999999996</v>
      </c>
      <c r="M865" s="14">
        <f>CHOOSE(CONTROL!$C$42, 80.562, 80.562) * CHOOSE(CONTROL!$C$21, $C$9, 100%, $E$9)</f>
        <v>80.561999999999998</v>
      </c>
      <c r="N865" s="14">
        <f>CHOOSE(CONTROL!$C$42, 80.5771, 80.5771) * CHOOSE(CONTROL!$C$21, $C$9, 100%, $E$9)</f>
        <v>80.577100000000002</v>
      </c>
      <c r="O865" s="14">
        <f>CHOOSE(CONTROL!$C$42, 80.6741, 80.6741) * CHOOSE(CONTROL!$C$21, $C$9, 100%, $E$9)</f>
        <v>80.674099999999996</v>
      </c>
      <c r="P865" s="14">
        <f>CHOOSE(CONTROL!$C$42, 80.836, 80.836) * CHOOSE(CONTROL!$C$21, $C$9, 100%, $E$9)</f>
        <v>80.835999999999999</v>
      </c>
      <c r="Q865" s="14">
        <f>CHOOSE(CONTROL!$C$42, 81.2688, 81.2688) * CHOOSE(CONTROL!$C$21, $C$9, 100%, $E$9)</f>
        <v>81.268799999999999</v>
      </c>
      <c r="R865" s="14">
        <f>CHOOSE(CONTROL!$C$42, 82.059, 82.059) * CHOOSE(CONTROL!$C$21, $C$9, 100%, $E$9)</f>
        <v>82.058999999999997</v>
      </c>
      <c r="S865" s="14">
        <f>CHOOSE(CONTROL!$C$42, 79.0341, 79.0341) * CHOOSE(CONTROL!$C$21, $C$9, 100%, $E$9)</f>
        <v>79.034099999999995</v>
      </c>
      <c r="T86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65" s="57">
        <f>(1000*CHOOSE(CONTROL!$C$42, 695, 695)*CHOOSE(CONTROL!$C$42, 0.5599, 0.5599)*CHOOSE(CONTROL!$C$42, 31, 31))/1000000</f>
        <v>12.063045499999998</v>
      </c>
      <c r="V865" s="57">
        <f>(1000*CHOOSE(CONTROL!$C$42, 500, 500)*CHOOSE(CONTROL!$C$42, 0.275, 0.275)*CHOOSE(CONTROL!$C$42, 31, 31))/1000000</f>
        <v>4.2625000000000002</v>
      </c>
      <c r="W865" s="57">
        <f>(1000*CHOOSE(CONTROL!$C$42, 0.1146, 0.1146)*CHOOSE(CONTROL!$C$42, 121.5, 121.5)*CHOOSE(CONTROL!$C$42, 31, 31))/1000000</f>
        <v>0.43164089999999994</v>
      </c>
      <c r="X865" s="57">
        <f>(31*0.1790888*100000/1000000)+(31*0.2374*100000/1000000)</f>
        <v>1.2911152800000001</v>
      </c>
      <c r="Y865" s="57"/>
      <c r="Z865" s="14"/>
      <c r="AA865" s="56"/>
      <c r="AB865" s="50">
        <f>(B865*122.58+C865*297.941+D865*89.177+E865*40.302+F865*40+G865*160+H865*0+I865*100+J865*300)/(122.58+297.941+89.177+40.302+0+40+160+100+300)</f>
        <v>82.287410218869567</v>
      </c>
      <c r="AC865" s="45">
        <f>(M865*'RAP TEMPLATE-GAS AVAILABILITY'!O864+N865*'RAP TEMPLATE-GAS AVAILABILITY'!P864+O865*'RAP TEMPLATE-GAS AVAILABILITY'!Q864+P865*'RAP TEMPLATE-GAS AVAILABILITY'!R864)/('RAP TEMPLATE-GAS AVAILABILITY'!O864+'RAP TEMPLATE-GAS AVAILABILITY'!P864+'RAP TEMPLATE-GAS AVAILABILITY'!Q864+'RAP TEMPLATE-GAS AVAILABILITY'!R864)</f>
        <v>80.653101438848921</v>
      </c>
    </row>
    <row r="866" spans="1:29" ht="15.75" x14ac:dyDescent="0.25">
      <c r="A866" s="32">
        <v>67266</v>
      </c>
      <c r="B866" s="14">
        <f>CHOOSE(CONTROL!$C$42, 83.7231, 83.7231) * CHOOSE(CONTROL!$C$21, $C$9, 100%, $E$9)</f>
        <v>83.723100000000002</v>
      </c>
      <c r="C866" s="14">
        <f>CHOOSE(CONTROL!$C$42, 83.7282, 83.7282) * CHOOSE(CONTROL!$C$21, $C$9, 100%, $E$9)</f>
        <v>83.728200000000001</v>
      </c>
      <c r="D866" s="14">
        <f>CHOOSE(CONTROL!$C$42, 83.7946, 83.7946) * CHOOSE(CONTROL!$C$21, $C$9, 100%, $E$9)</f>
        <v>83.794600000000003</v>
      </c>
      <c r="E866" s="14">
        <f>CHOOSE(CONTROL!$C$42, 83.8287, 83.8287) * CHOOSE(CONTROL!$C$21, $C$9, 100%, $E$9)</f>
        <v>83.828699999999998</v>
      </c>
      <c r="F866" s="14">
        <f>CHOOSE(CONTROL!$C$42, 83.7105, 83.7105)*CHOOSE(CONTROL!$C$21, $C$9, 100%, $E$9)</f>
        <v>83.710499999999996</v>
      </c>
      <c r="G866" s="14">
        <f>CHOOSE(CONTROL!$C$42, 83.726, 83.726)*CHOOSE(CONTROL!$C$21, $C$9, 100%, $E$9)</f>
        <v>83.725999999999999</v>
      </c>
      <c r="H866" s="14">
        <f>CHOOSE(CONTROL!$C$42, 83.8179, 83.8179) * CHOOSE(CONTROL!$C$21, $C$9, 100%, $E$9)</f>
        <v>83.817899999999995</v>
      </c>
      <c r="I866" s="14">
        <f>CHOOSE(CONTROL!$C$42, 83.993, 83.993)* CHOOSE(CONTROL!$C$21, $C$9, 100%, $E$9)</f>
        <v>83.992999999999995</v>
      </c>
      <c r="J866" s="14">
        <f>CHOOSE(CONTROL!$C$42, 83.7035, 83.7035)* CHOOSE(CONTROL!$C$21, $C$9, 100%, $E$9)</f>
        <v>83.703500000000005</v>
      </c>
      <c r="K866" s="53">
        <f>CHOOSE(CONTROL!$C$42, 83.9891, 83.9891) * CHOOSE(CONTROL!$C$21, $C$9, 100%, $E$9)</f>
        <v>83.989099999999993</v>
      </c>
      <c r="L866" s="14">
        <f>CHOOSE(CONTROL!$C$42, 84.4049, 84.4049) * CHOOSE(CONTROL!$C$21, $C$9, 100%, $E$9)</f>
        <v>84.404899999999998</v>
      </c>
      <c r="M866" s="14">
        <f>CHOOSE(CONTROL!$C$42, 81.9962, 81.9962) * CHOOSE(CONTROL!$C$21, $C$9, 100%, $E$9)</f>
        <v>81.996200000000002</v>
      </c>
      <c r="N866" s="14">
        <f>CHOOSE(CONTROL!$C$42, 82.0114, 82.0114) * CHOOSE(CONTROL!$C$21, $C$9, 100%, $E$9)</f>
        <v>82.011399999999995</v>
      </c>
      <c r="O866" s="14">
        <f>CHOOSE(CONTROL!$C$42, 82.1082, 82.1082) * CHOOSE(CONTROL!$C$21, $C$9, 100%, $E$9)</f>
        <v>82.108199999999997</v>
      </c>
      <c r="P866" s="14">
        <f>CHOOSE(CONTROL!$C$42, 82.2745, 82.2745) * CHOOSE(CONTROL!$C$21, $C$9, 100%, $E$9)</f>
        <v>82.274500000000003</v>
      </c>
      <c r="Q866" s="14">
        <f>CHOOSE(CONTROL!$C$42, 82.7029, 82.7029) * CHOOSE(CONTROL!$C$21, $C$9, 100%, $E$9)</f>
        <v>82.7029</v>
      </c>
      <c r="R866" s="14">
        <f>CHOOSE(CONTROL!$C$42, 83.4967, 83.4967) * CHOOSE(CONTROL!$C$21, $C$9, 100%, $E$9)</f>
        <v>83.496700000000004</v>
      </c>
      <c r="S866" s="14">
        <f>CHOOSE(CONTROL!$C$42, 80.441, 80.441) * CHOOSE(CONTROL!$C$21, $C$9, 100%, $E$9)</f>
        <v>80.441000000000003</v>
      </c>
      <c r="T866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866" s="57">
        <f>(1000*CHOOSE(CONTROL!$C$42, 695, 695)*CHOOSE(CONTROL!$C$42, 0.5599, 0.5599)*CHOOSE(CONTROL!$C$42, 29, 29))/1000000</f>
        <v>11.284784499999999</v>
      </c>
      <c r="V866" s="57">
        <f>(1000*CHOOSE(CONTROL!$C$42, 500, 500)*CHOOSE(CONTROL!$C$42, 0.275, 0.275)*CHOOSE(CONTROL!$C$42, 29, 29))/1000000</f>
        <v>3.9874999999999998</v>
      </c>
      <c r="W866" s="57">
        <f>(1000*CHOOSE(CONTROL!$C$42, 0.1146, 0.1146)*CHOOSE(CONTROL!$C$42, 121.5, 121.5)*CHOOSE(CONTROL!$C$42, 29, 29))/1000000</f>
        <v>0.40379309999999996</v>
      </c>
      <c r="X866" s="57">
        <f>(29*0.1790888*100000/1000000)+(29*0.2374*100000/1000000)</f>
        <v>1.2078175199999999</v>
      </c>
      <c r="Y866" s="57"/>
      <c r="Z866" s="14"/>
      <c r="AA866" s="56"/>
      <c r="AB866" s="50">
        <f>(B866*122.58+C866*297.941+D866*89.177+E866*40.302+F866*40+G866*160+H866*0+I866*100+J866*300)/(122.58+297.941+89.177+40.302+0+40+160+100+300)</f>
        <v>83.751988300695658</v>
      </c>
      <c r="AC866" s="45">
        <f>(M866*'RAP TEMPLATE-GAS AVAILABILITY'!O865+N866*'RAP TEMPLATE-GAS AVAILABILITY'!P865+O866*'RAP TEMPLATE-GAS AVAILABILITY'!Q865+P866*'RAP TEMPLATE-GAS AVAILABILITY'!R865)/('RAP TEMPLATE-GAS AVAILABILITY'!O865+'RAP TEMPLATE-GAS AVAILABILITY'!P865+'RAP TEMPLATE-GAS AVAILABILITY'!Q865+'RAP TEMPLATE-GAS AVAILABILITY'!R865)</f>
        <v>82.087880575539558</v>
      </c>
    </row>
    <row r="867" spans="1:29" ht="15.75" x14ac:dyDescent="0.25">
      <c r="A867" s="32">
        <v>67297</v>
      </c>
      <c r="B867" s="14">
        <f>CHOOSE(CONTROL!$C$42, 81.3465, 81.3465) * CHOOSE(CONTROL!$C$21, $C$9, 100%, $E$9)</f>
        <v>81.346500000000006</v>
      </c>
      <c r="C867" s="14">
        <f>CHOOSE(CONTROL!$C$42, 81.3515, 81.3515) * CHOOSE(CONTROL!$C$21, $C$9, 100%, $E$9)</f>
        <v>81.351500000000001</v>
      </c>
      <c r="D867" s="14">
        <f>CHOOSE(CONTROL!$C$42, 81.4179, 81.4179) * CHOOSE(CONTROL!$C$21, $C$9, 100%, $E$9)</f>
        <v>81.417900000000003</v>
      </c>
      <c r="E867" s="14">
        <f>CHOOSE(CONTROL!$C$42, 81.452, 81.452) * CHOOSE(CONTROL!$C$21, $C$9, 100%, $E$9)</f>
        <v>81.451999999999998</v>
      </c>
      <c r="F867" s="14">
        <f>CHOOSE(CONTROL!$C$42, 81.3335, 81.3335)*CHOOSE(CONTROL!$C$21, $C$9, 100%, $E$9)</f>
        <v>81.333500000000001</v>
      </c>
      <c r="G867" s="14">
        <f>CHOOSE(CONTROL!$C$42, 81.3488, 81.3488)*CHOOSE(CONTROL!$C$21, $C$9, 100%, $E$9)</f>
        <v>81.348799999999997</v>
      </c>
      <c r="H867" s="14">
        <f>CHOOSE(CONTROL!$C$42, 81.4412, 81.4412) * CHOOSE(CONTROL!$C$21, $C$9, 100%, $E$9)</f>
        <v>81.441199999999995</v>
      </c>
      <c r="I867" s="14">
        <f>CHOOSE(CONTROL!$C$42, 81.6088, 81.6088)* CHOOSE(CONTROL!$C$21, $C$9, 100%, $E$9)</f>
        <v>81.608800000000002</v>
      </c>
      <c r="J867" s="14">
        <f>CHOOSE(CONTROL!$C$42, 81.3265, 81.3265)* CHOOSE(CONTROL!$C$21, $C$9, 100%, $E$9)</f>
        <v>81.326499999999996</v>
      </c>
      <c r="K867" s="53">
        <f>CHOOSE(CONTROL!$C$42, 81.605, 81.605) * CHOOSE(CONTROL!$C$21, $C$9, 100%, $E$9)</f>
        <v>81.605000000000004</v>
      </c>
      <c r="L867" s="14">
        <f>CHOOSE(CONTROL!$C$42, 82.0282, 82.0282) * CHOOSE(CONTROL!$C$21, $C$9, 100%, $E$9)</f>
        <v>82.028199999999998</v>
      </c>
      <c r="M867" s="14">
        <f>CHOOSE(CONTROL!$C$42, 79.6678, 79.6678) * CHOOSE(CONTROL!$C$21, $C$9, 100%, $E$9)</f>
        <v>79.6678</v>
      </c>
      <c r="N867" s="14">
        <f>CHOOSE(CONTROL!$C$42, 79.6829, 79.6829) * CHOOSE(CONTROL!$C$21, $C$9, 100%, $E$9)</f>
        <v>79.682900000000004</v>
      </c>
      <c r="O867" s="14">
        <f>CHOOSE(CONTROL!$C$42, 79.7803, 79.7803) * CHOOSE(CONTROL!$C$21, $C$9, 100%, $E$9)</f>
        <v>79.780299999999997</v>
      </c>
      <c r="P867" s="14">
        <f>CHOOSE(CONTROL!$C$42, 79.9394, 79.9394) * CHOOSE(CONTROL!$C$21, $C$9, 100%, $E$9)</f>
        <v>79.939400000000006</v>
      </c>
      <c r="Q867" s="14">
        <f>CHOOSE(CONTROL!$C$42, 80.375, 80.375) * CHOOSE(CONTROL!$C$21, $C$9, 100%, $E$9)</f>
        <v>80.375</v>
      </c>
      <c r="R867" s="14">
        <f>CHOOSE(CONTROL!$C$42, 81.1629, 81.1629) * CHOOSE(CONTROL!$C$21, $C$9, 100%, $E$9)</f>
        <v>81.162899999999993</v>
      </c>
      <c r="S867" s="14">
        <f>CHOOSE(CONTROL!$C$42, 78.1573, 78.1573) * CHOOSE(CONTROL!$C$21, $C$9, 100%, $E$9)</f>
        <v>78.157300000000006</v>
      </c>
      <c r="T86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67" s="57">
        <f>(1000*CHOOSE(CONTROL!$C$42, 695, 695)*CHOOSE(CONTROL!$C$42, 0.5599, 0.5599)*CHOOSE(CONTROL!$C$42, 31, 31))/1000000</f>
        <v>12.063045499999998</v>
      </c>
      <c r="V867" s="57">
        <f>(1000*CHOOSE(CONTROL!$C$42, 500, 500)*CHOOSE(CONTROL!$C$42, 0.275, 0.275)*CHOOSE(CONTROL!$C$42, 31, 31))/1000000</f>
        <v>4.2625000000000002</v>
      </c>
      <c r="W867" s="57">
        <f>(1000*CHOOSE(CONTROL!$C$42, 0.1146, 0.1146)*CHOOSE(CONTROL!$C$42, 121.5, 121.5)*CHOOSE(CONTROL!$C$42, 31, 31))/1000000</f>
        <v>0.43164089999999994</v>
      </c>
      <c r="X867" s="57">
        <f>(31*0.1790888*100000/1000000)+(31*0.2374*100000/1000000)</f>
        <v>1.2911152800000001</v>
      </c>
      <c r="Y867" s="57"/>
      <c r="Z867" s="14"/>
      <c r="AA867" s="56"/>
      <c r="AB867" s="50">
        <f>(B867*122.58+C867*297.941+D867*89.177+E867*40.302+F867*40+G867*160+H867*0+I867*100+J867*300)/(122.58+297.941+89.177+40.302+0+40+160+100+300)</f>
        <v>81.374488525043475</v>
      </c>
      <c r="AC867" s="45">
        <f>(M867*'RAP TEMPLATE-GAS AVAILABILITY'!O866+N867*'RAP TEMPLATE-GAS AVAILABILITY'!P866+O867*'RAP TEMPLATE-GAS AVAILABILITY'!Q866+P867*'RAP TEMPLATE-GAS AVAILABILITY'!R866)/('RAP TEMPLATE-GAS AVAILABILITY'!O866+'RAP TEMPLATE-GAS AVAILABILITY'!P866+'RAP TEMPLATE-GAS AVAILABILITY'!Q866+'RAP TEMPLATE-GAS AVAILABILITY'!R866)</f>
        <v>79.758737410071944</v>
      </c>
    </row>
    <row r="868" spans="1:29" ht="15.75" x14ac:dyDescent="0.25">
      <c r="A868" s="32">
        <v>67327</v>
      </c>
      <c r="B868" s="14">
        <f>CHOOSE(CONTROL!$C$42, 81.1041, 81.1041) * CHOOSE(CONTROL!$C$21, $C$9, 100%, $E$9)</f>
        <v>81.104100000000003</v>
      </c>
      <c r="C868" s="14">
        <f>CHOOSE(CONTROL!$C$42, 81.1086, 81.1086) * CHOOSE(CONTROL!$C$21, $C$9, 100%, $E$9)</f>
        <v>81.108599999999996</v>
      </c>
      <c r="D868" s="14">
        <f>CHOOSE(CONTROL!$C$42, 81.3157, 81.3157) * CHOOSE(CONTROL!$C$21, $C$9, 100%, $E$9)</f>
        <v>81.315700000000007</v>
      </c>
      <c r="E868" s="14">
        <f>CHOOSE(CONTROL!$C$42, 81.3478, 81.3478) * CHOOSE(CONTROL!$C$21, $C$9, 100%, $E$9)</f>
        <v>81.347800000000007</v>
      </c>
      <c r="F868" s="14">
        <f>CHOOSE(CONTROL!$C$42, 81.086, 81.086)*CHOOSE(CONTROL!$C$21, $C$9, 100%, $E$9)</f>
        <v>81.085999999999999</v>
      </c>
      <c r="G868" s="14">
        <f>CHOOSE(CONTROL!$C$42, 81.1012, 81.1012)*CHOOSE(CONTROL!$C$21, $C$9, 100%, $E$9)</f>
        <v>81.101200000000006</v>
      </c>
      <c r="H868" s="14">
        <f>CHOOSE(CONTROL!$C$42, 81.3375, 81.3375) * CHOOSE(CONTROL!$C$21, $C$9, 100%, $E$9)</f>
        <v>81.337500000000006</v>
      </c>
      <c r="I868" s="14">
        <f>CHOOSE(CONTROL!$C$42, 81.3649, 81.3649)* CHOOSE(CONTROL!$C$21, $C$9, 100%, $E$9)</f>
        <v>81.364900000000006</v>
      </c>
      <c r="J868" s="14">
        <f>CHOOSE(CONTROL!$C$42, 81.079, 81.079)* CHOOSE(CONTROL!$C$21, $C$9, 100%, $E$9)</f>
        <v>81.078999999999994</v>
      </c>
      <c r="K868" s="53">
        <f>CHOOSE(CONTROL!$C$42, 81.361, 81.361) * CHOOSE(CONTROL!$C$21, $C$9, 100%, $E$9)</f>
        <v>81.361000000000004</v>
      </c>
      <c r="L868" s="14">
        <f>CHOOSE(CONTROL!$C$42, 81.9245, 81.9245) * CHOOSE(CONTROL!$C$21, $C$9, 100%, $E$9)</f>
        <v>81.924499999999995</v>
      </c>
      <c r="M868" s="14">
        <f>CHOOSE(CONTROL!$C$42, 79.4254, 79.4254) * CHOOSE(CONTROL!$C$21, $C$9, 100%, $E$9)</f>
        <v>79.425399999999996</v>
      </c>
      <c r="N868" s="14">
        <f>CHOOSE(CONTROL!$C$42, 79.4403, 79.4403) * CHOOSE(CONTROL!$C$21, $C$9, 100%, $E$9)</f>
        <v>79.440299999999993</v>
      </c>
      <c r="O868" s="14">
        <f>CHOOSE(CONTROL!$C$42, 79.6787, 79.6787) * CHOOSE(CONTROL!$C$21, $C$9, 100%, $E$9)</f>
        <v>79.678700000000006</v>
      </c>
      <c r="P868" s="14">
        <f>CHOOSE(CONTROL!$C$42, 79.7005, 79.7005) * CHOOSE(CONTROL!$C$21, $C$9, 100%, $E$9)</f>
        <v>79.700500000000005</v>
      </c>
      <c r="Q868" s="14">
        <f>CHOOSE(CONTROL!$C$42, 80.2734, 80.2734) * CHOOSE(CONTROL!$C$21, $C$9, 100%, $E$9)</f>
        <v>80.273399999999995</v>
      </c>
      <c r="R868" s="14">
        <f>CHOOSE(CONTROL!$C$42, 81.0611, 81.0611) * CHOOSE(CONTROL!$C$21, $C$9, 100%, $E$9)</f>
        <v>81.061099999999996</v>
      </c>
      <c r="S868" s="14">
        <f>CHOOSE(CONTROL!$C$42, 77.9236, 77.9236) * CHOOSE(CONTROL!$C$21, $C$9, 100%, $E$9)</f>
        <v>77.923599999999993</v>
      </c>
      <c r="T86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68" s="57">
        <f>(1000*CHOOSE(CONTROL!$C$42, 695, 695)*CHOOSE(CONTROL!$C$42, 0.5599, 0.5599)*CHOOSE(CONTROL!$C$42, 30, 30))/1000000</f>
        <v>11.673914999999997</v>
      </c>
      <c r="V868" s="57">
        <f>(1000*CHOOSE(CONTROL!$C$42, 500, 500)*CHOOSE(CONTROL!$C$42, 0.275, 0.275)*CHOOSE(CONTROL!$C$42, 30, 30))/1000000</f>
        <v>4.125</v>
      </c>
      <c r="W868" s="57">
        <f>(1000*CHOOSE(CONTROL!$C$42, 0.1146, 0.1146)*CHOOSE(CONTROL!$C$42, 121.5, 121.5)*CHOOSE(CONTROL!$C$42, 30, 30))/1000000</f>
        <v>0.417717</v>
      </c>
      <c r="X868" s="57">
        <f>(30*0.1790888*245000/1000000)+(30*0.2374*100000/1000000)</f>
        <v>2.0285026799999999</v>
      </c>
      <c r="Y868" s="57"/>
      <c r="Z868" s="14"/>
      <c r="AA868" s="56"/>
      <c r="AB868" s="50">
        <f>(B868*141.293+C868*267.993+D868*115.016+E868*89.698+F868*40+G868*185+H868*0+I868*100+J868*300)/(141.293+267.993+115.016+89.698+0+40+185+100+300)</f>
        <v>81.156313282243744</v>
      </c>
      <c r="AC868" s="45">
        <f>(M868*'RAP TEMPLATE-GAS AVAILABILITY'!O867+N868*'RAP TEMPLATE-GAS AVAILABILITY'!P867+O868*'RAP TEMPLATE-GAS AVAILABILITY'!Q867+P868*'RAP TEMPLATE-GAS AVAILABILITY'!R867)/('RAP TEMPLATE-GAS AVAILABILITY'!O867+'RAP TEMPLATE-GAS AVAILABILITY'!P867+'RAP TEMPLATE-GAS AVAILABILITY'!Q867+'RAP TEMPLATE-GAS AVAILABILITY'!R867)</f>
        <v>79.58064532374101</v>
      </c>
    </row>
    <row r="869" spans="1:29" ht="15.75" x14ac:dyDescent="0.25">
      <c r="A869" s="32">
        <v>67358</v>
      </c>
      <c r="B869" s="14">
        <f>CHOOSE(CONTROL!$C$42, 81.8212, 81.8212) * CHOOSE(CONTROL!$C$21, $C$9, 100%, $E$9)</f>
        <v>81.821200000000005</v>
      </c>
      <c r="C869" s="14">
        <f>CHOOSE(CONTROL!$C$42, 81.8293, 81.8293) * CHOOSE(CONTROL!$C$21, $C$9, 100%, $E$9)</f>
        <v>81.829300000000003</v>
      </c>
      <c r="D869" s="14">
        <f>CHOOSE(CONTROL!$C$42, 82.0332, 82.0332) * CHOOSE(CONTROL!$C$21, $C$9, 100%, $E$9)</f>
        <v>82.033199999999994</v>
      </c>
      <c r="E869" s="14">
        <f>CHOOSE(CONTROL!$C$42, 82.0647, 82.0647) * CHOOSE(CONTROL!$C$21, $C$9, 100%, $E$9)</f>
        <v>82.064700000000002</v>
      </c>
      <c r="F869" s="14">
        <f>CHOOSE(CONTROL!$C$42, 81.802, 81.802)*CHOOSE(CONTROL!$C$21, $C$9, 100%, $E$9)</f>
        <v>81.802000000000007</v>
      </c>
      <c r="G869" s="14">
        <f>CHOOSE(CONTROL!$C$42, 81.8176, 81.8176)*CHOOSE(CONTROL!$C$21, $C$9, 100%, $E$9)</f>
        <v>81.817599999999999</v>
      </c>
      <c r="H869" s="14">
        <f>CHOOSE(CONTROL!$C$42, 82.0533, 82.0533) * CHOOSE(CONTROL!$C$21, $C$9, 100%, $E$9)</f>
        <v>82.053299999999993</v>
      </c>
      <c r="I869" s="14">
        <f>CHOOSE(CONTROL!$C$42, 82.0829, 82.0829)* CHOOSE(CONTROL!$C$21, $C$9, 100%, $E$9)</f>
        <v>82.082899999999995</v>
      </c>
      <c r="J869" s="14">
        <f>CHOOSE(CONTROL!$C$42, 81.795, 81.795)* CHOOSE(CONTROL!$C$21, $C$9, 100%, $E$9)</f>
        <v>81.795000000000002</v>
      </c>
      <c r="K869" s="53">
        <f>CHOOSE(CONTROL!$C$42, 82.079, 82.079) * CHOOSE(CONTROL!$C$21, $C$9, 100%, $E$9)</f>
        <v>82.078999999999994</v>
      </c>
      <c r="L869" s="14">
        <f>CHOOSE(CONTROL!$C$42, 82.6403, 82.6403) * CHOOSE(CONTROL!$C$21, $C$9, 100%, $E$9)</f>
        <v>82.640299999999996</v>
      </c>
      <c r="M869" s="14">
        <f>CHOOSE(CONTROL!$C$42, 80.1267, 80.1267) * CHOOSE(CONTROL!$C$21, $C$9, 100%, $E$9)</f>
        <v>80.1267</v>
      </c>
      <c r="N869" s="14">
        <f>CHOOSE(CONTROL!$C$42, 80.1421, 80.1421) * CHOOSE(CONTROL!$C$21, $C$9, 100%, $E$9)</f>
        <v>80.142099999999999</v>
      </c>
      <c r="O869" s="14">
        <f>CHOOSE(CONTROL!$C$42, 80.3798, 80.3798) * CHOOSE(CONTROL!$C$21, $C$9, 100%, $E$9)</f>
        <v>80.379800000000003</v>
      </c>
      <c r="P869" s="14">
        <f>CHOOSE(CONTROL!$C$42, 80.4037, 80.4037) * CHOOSE(CONTROL!$C$21, $C$9, 100%, $E$9)</f>
        <v>80.403700000000001</v>
      </c>
      <c r="Q869" s="14">
        <f>CHOOSE(CONTROL!$C$42, 80.9745, 80.9745) * CHOOSE(CONTROL!$C$21, $C$9, 100%, $E$9)</f>
        <v>80.974500000000006</v>
      </c>
      <c r="R869" s="14">
        <f>CHOOSE(CONTROL!$C$42, 81.7639, 81.7639) * CHOOSE(CONTROL!$C$21, $C$9, 100%, $E$9)</f>
        <v>81.763900000000007</v>
      </c>
      <c r="S869" s="14">
        <f>CHOOSE(CONTROL!$C$42, 78.6114, 78.6114) * CHOOSE(CONTROL!$C$21, $C$9, 100%, $E$9)</f>
        <v>78.611400000000003</v>
      </c>
      <c r="T86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69" s="57">
        <f>(1000*CHOOSE(CONTROL!$C$42, 695, 695)*CHOOSE(CONTROL!$C$42, 0.5599, 0.5599)*CHOOSE(CONTROL!$C$42, 31, 31))/1000000</f>
        <v>12.063045499999998</v>
      </c>
      <c r="V869" s="57">
        <f>(1000*CHOOSE(CONTROL!$C$42, 500, 500)*CHOOSE(CONTROL!$C$42, 0.275, 0.275)*CHOOSE(CONTROL!$C$42, 31, 31))/1000000</f>
        <v>4.2625000000000002</v>
      </c>
      <c r="W869" s="57">
        <f>(1000*CHOOSE(CONTROL!$C$42, 0.1146, 0.1146)*CHOOSE(CONTROL!$C$42, 121.5, 121.5)*CHOOSE(CONTROL!$C$42, 31, 31))/1000000</f>
        <v>0.43164089999999994</v>
      </c>
      <c r="X869" s="57">
        <f>(31*0.1790888*245000/1000000)+(31*0.2374*100000/1000000)</f>
        <v>2.0961194359999999</v>
      </c>
      <c r="Y869" s="57"/>
      <c r="Z869" s="14"/>
      <c r="AA869" s="56"/>
      <c r="AB869" s="50">
        <f>(B869*194.205+C869*267.466+D869*133.845+E869*53.484+F869*40+G869*185+H869*0+I869*100+J869*300)/(194.205+267.466+133.845+53.484+0+40+185+100+300)</f>
        <v>81.868641890580847</v>
      </c>
      <c r="AC869" s="45">
        <f>(M869*'RAP TEMPLATE-GAS AVAILABILITY'!O868+N869*'RAP TEMPLATE-GAS AVAILABILITY'!P868+O869*'RAP TEMPLATE-GAS AVAILABILITY'!Q868+P869*'RAP TEMPLATE-GAS AVAILABILITY'!R868)/('RAP TEMPLATE-GAS AVAILABILITY'!O868+'RAP TEMPLATE-GAS AVAILABILITY'!P868+'RAP TEMPLATE-GAS AVAILABILITY'!Q868+'RAP TEMPLATE-GAS AVAILABILITY'!R868)</f>
        <v>80.282156834532387</v>
      </c>
    </row>
    <row r="870" spans="1:29" ht="15.75" x14ac:dyDescent="0.25">
      <c r="A870" s="32">
        <v>67388</v>
      </c>
      <c r="B870" s="14">
        <f>CHOOSE(CONTROL!$C$42, 84.1419, 84.1419) * CHOOSE(CONTROL!$C$21, $C$9, 100%, $E$9)</f>
        <v>84.141900000000007</v>
      </c>
      <c r="C870" s="14">
        <f>CHOOSE(CONTROL!$C$42, 84.1499, 84.1499) * CHOOSE(CONTROL!$C$21, $C$9, 100%, $E$9)</f>
        <v>84.149900000000002</v>
      </c>
      <c r="D870" s="14">
        <f>CHOOSE(CONTROL!$C$42, 84.3538, 84.3538) * CHOOSE(CONTROL!$C$21, $C$9, 100%, $E$9)</f>
        <v>84.353800000000007</v>
      </c>
      <c r="E870" s="14">
        <f>CHOOSE(CONTROL!$C$42, 84.3853, 84.3853) * CHOOSE(CONTROL!$C$21, $C$9, 100%, $E$9)</f>
        <v>84.385300000000001</v>
      </c>
      <c r="F870" s="14">
        <f>CHOOSE(CONTROL!$C$42, 84.123, 84.123)*CHOOSE(CONTROL!$C$21, $C$9, 100%, $E$9)</f>
        <v>84.123000000000005</v>
      </c>
      <c r="G870" s="14">
        <f>CHOOSE(CONTROL!$C$42, 84.1388, 84.1388)*CHOOSE(CONTROL!$C$21, $C$9, 100%, $E$9)</f>
        <v>84.138800000000003</v>
      </c>
      <c r="H870" s="14">
        <f>CHOOSE(CONTROL!$C$42, 84.3739, 84.3739) * CHOOSE(CONTROL!$C$21, $C$9, 100%, $E$9)</f>
        <v>84.373900000000006</v>
      </c>
      <c r="I870" s="14">
        <f>CHOOSE(CONTROL!$C$42, 84.4108, 84.4108)* CHOOSE(CONTROL!$C$21, $C$9, 100%, $E$9)</f>
        <v>84.410799999999995</v>
      </c>
      <c r="J870" s="14">
        <f>CHOOSE(CONTROL!$C$42, 84.116, 84.116)* CHOOSE(CONTROL!$C$21, $C$9, 100%, $E$9)</f>
        <v>84.116</v>
      </c>
      <c r="K870" s="53">
        <f>CHOOSE(CONTROL!$C$42, 84.4069, 84.4069) * CHOOSE(CONTROL!$C$21, $C$9, 100%, $E$9)</f>
        <v>84.406899999999993</v>
      </c>
      <c r="L870" s="14">
        <f>CHOOSE(CONTROL!$C$42, 84.9609, 84.9609) * CHOOSE(CONTROL!$C$21, $C$9, 100%, $E$9)</f>
        <v>84.960899999999995</v>
      </c>
      <c r="M870" s="14">
        <f>CHOOSE(CONTROL!$C$42, 82.4002, 82.4002) * CHOOSE(CONTROL!$C$21, $C$9, 100%, $E$9)</f>
        <v>82.400199999999998</v>
      </c>
      <c r="N870" s="14">
        <f>CHOOSE(CONTROL!$C$42, 82.4157, 82.4157) * CHOOSE(CONTROL!$C$21, $C$9, 100%, $E$9)</f>
        <v>82.415700000000001</v>
      </c>
      <c r="O870" s="14">
        <f>CHOOSE(CONTROL!$C$42, 82.6528, 82.6528) * CHOOSE(CONTROL!$C$21, $C$9, 100%, $E$9)</f>
        <v>82.652799999999999</v>
      </c>
      <c r="P870" s="14">
        <f>CHOOSE(CONTROL!$C$42, 82.6838, 82.6838) * CHOOSE(CONTROL!$C$21, $C$9, 100%, $E$9)</f>
        <v>82.683800000000005</v>
      </c>
      <c r="Q870" s="14">
        <f>CHOOSE(CONTROL!$C$42, 83.2475, 83.2475) * CHOOSE(CONTROL!$C$21, $C$9, 100%, $E$9)</f>
        <v>83.247500000000002</v>
      </c>
      <c r="R870" s="14">
        <f>CHOOSE(CONTROL!$C$42, 84.0427, 84.0427) * CHOOSE(CONTROL!$C$21, $C$9, 100%, $E$9)</f>
        <v>84.042699999999996</v>
      </c>
      <c r="S870" s="14">
        <f>CHOOSE(CONTROL!$C$42, 80.8413, 80.8413) * CHOOSE(CONTROL!$C$21, $C$9, 100%, $E$9)</f>
        <v>80.841300000000004</v>
      </c>
      <c r="T87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70" s="57">
        <f>(1000*CHOOSE(CONTROL!$C$42, 695, 695)*CHOOSE(CONTROL!$C$42, 0.5599, 0.5599)*CHOOSE(CONTROL!$C$42, 30, 30))/1000000</f>
        <v>11.673914999999997</v>
      </c>
      <c r="V870" s="57">
        <f>(1000*CHOOSE(CONTROL!$C$42, 500, 500)*CHOOSE(CONTROL!$C$42, 0.275, 0.275)*CHOOSE(CONTROL!$C$42, 30, 30))/1000000</f>
        <v>4.125</v>
      </c>
      <c r="W870" s="57">
        <f>(1000*CHOOSE(CONTROL!$C$42, 0.1146, 0.1146)*CHOOSE(CONTROL!$C$42, 121.5, 121.5)*CHOOSE(CONTROL!$C$42, 30, 30))/1000000</f>
        <v>0.417717</v>
      </c>
      <c r="X870" s="57">
        <f>(30*0.1790888*245000/1000000)+(30*0.2374*100000/1000000)</f>
        <v>2.0285026799999999</v>
      </c>
      <c r="Y870" s="57"/>
      <c r="Z870" s="14"/>
      <c r="AA870" s="56"/>
      <c r="AB870" s="50">
        <f>(B870*194.205+C870*267.466+D870*133.845+E870*53.484+F870*40+G870*185+H870*0+I870*100+J870*300)/(194.205+267.466+133.845+53.484+0+40+185+100+300)</f>
        <v>84.190024010282571</v>
      </c>
      <c r="AC870" s="45">
        <f>(M870*'RAP TEMPLATE-GAS AVAILABILITY'!O869+N870*'RAP TEMPLATE-GAS AVAILABILITY'!P869+O870*'RAP TEMPLATE-GAS AVAILABILITY'!Q869+P870*'RAP TEMPLATE-GAS AVAILABILITY'!R869)/('RAP TEMPLATE-GAS AVAILABILITY'!O869+'RAP TEMPLATE-GAS AVAILABILITY'!P869+'RAP TEMPLATE-GAS AVAILABILITY'!Q869+'RAP TEMPLATE-GAS AVAILABILITY'!R869)</f>
        <v>82.556385611510805</v>
      </c>
    </row>
    <row r="871" spans="1:29" ht="15.75" x14ac:dyDescent="0.25">
      <c r="A871" s="32">
        <v>67419</v>
      </c>
      <c r="B871" s="14">
        <f>CHOOSE(CONTROL!$C$42, 82.5279, 82.5279) * CHOOSE(CONTROL!$C$21, $C$9, 100%, $E$9)</f>
        <v>82.527900000000002</v>
      </c>
      <c r="C871" s="14">
        <f>CHOOSE(CONTROL!$C$42, 82.5359, 82.5359) * CHOOSE(CONTROL!$C$21, $C$9, 100%, $E$9)</f>
        <v>82.535899999999998</v>
      </c>
      <c r="D871" s="14">
        <f>CHOOSE(CONTROL!$C$42, 82.7398, 82.7398) * CHOOSE(CONTROL!$C$21, $C$9, 100%, $E$9)</f>
        <v>82.739800000000002</v>
      </c>
      <c r="E871" s="14">
        <f>CHOOSE(CONTROL!$C$42, 82.7713, 82.7713) * CHOOSE(CONTROL!$C$21, $C$9, 100%, $E$9)</f>
        <v>82.771299999999997</v>
      </c>
      <c r="F871" s="14">
        <f>CHOOSE(CONTROL!$C$42, 82.5095, 82.5095)*CHOOSE(CONTROL!$C$21, $C$9, 100%, $E$9)</f>
        <v>82.509500000000003</v>
      </c>
      <c r="G871" s="14">
        <f>CHOOSE(CONTROL!$C$42, 82.5254, 82.5254)*CHOOSE(CONTROL!$C$21, $C$9, 100%, $E$9)</f>
        <v>82.525400000000005</v>
      </c>
      <c r="H871" s="14">
        <f>CHOOSE(CONTROL!$C$42, 82.7599, 82.7599) * CHOOSE(CONTROL!$C$21, $C$9, 100%, $E$9)</f>
        <v>82.759900000000002</v>
      </c>
      <c r="I871" s="14">
        <f>CHOOSE(CONTROL!$C$42, 82.7918, 82.7918)* CHOOSE(CONTROL!$C$21, $C$9, 100%, $E$9)</f>
        <v>82.791799999999995</v>
      </c>
      <c r="J871" s="14">
        <f>CHOOSE(CONTROL!$C$42, 82.5025, 82.5025)* CHOOSE(CONTROL!$C$21, $C$9, 100%, $E$9)</f>
        <v>82.502499999999998</v>
      </c>
      <c r="K871" s="53">
        <f>CHOOSE(CONTROL!$C$42, 82.7879, 82.7879) * CHOOSE(CONTROL!$C$21, $C$9, 100%, $E$9)</f>
        <v>82.787899999999993</v>
      </c>
      <c r="L871" s="14">
        <f>CHOOSE(CONTROL!$C$42, 83.3469, 83.3469) * CHOOSE(CONTROL!$C$21, $C$9, 100%, $E$9)</f>
        <v>83.346900000000005</v>
      </c>
      <c r="M871" s="14">
        <f>CHOOSE(CONTROL!$C$42, 80.8197, 80.8197) * CHOOSE(CONTROL!$C$21, $C$9, 100%, $E$9)</f>
        <v>80.819699999999997</v>
      </c>
      <c r="N871" s="14">
        <f>CHOOSE(CONTROL!$C$42, 80.8353, 80.8353) * CHOOSE(CONTROL!$C$21, $C$9, 100%, $E$9)</f>
        <v>80.835300000000004</v>
      </c>
      <c r="O871" s="14">
        <f>CHOOSE(CONTROL!$C$42, 81.0719, 81.0719) * CHOOSE(CONTROL!$C$21, $C$9, 100%, $E$9)</f>
        <v>81.071899999999999</v>
      </c>
      <c r="P871" s="14">
        <f>CHOOSE(CONTROL!$C$42, 81.098, 81.098) * CHOOSE(CONTROL!$C$21, $C$9, 100%, $E$9)</f>
        <v>81.097999999999999</v>
      </c>
      <c r="Q871" s="14">
        <f>CHOOSE(CONTROL!$C$42, 81.6666, 81.6666) * CHOOSE(CONTROL!$C$21, $C$9, 100%, $E$9)</f>
        <v>81.666600000000003</v>
      </c>
      <c r="R871" s="14">
        <f>CHOOSE(CONTROL!$C$42, 82.4578, 82.4578) * CHOOSE(CONTROL!$C$21, $C$9, 100%, $E$9)</f>
        <v>82.457800000000006</v>
      </c>
      <c r="S871" s="14">
        <f>CHOOSE(CONTROL!$C$42, 79.2904, 79.2904) * CHOOSE(CONTROL!$C$21, $C$9, 100%, $E$9)</f>
        <v>79.290400000000005</v>
      </c>
      <c r="T87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71" s="57">
        <f>(1000*CHOOSE(CONTROL!$C$42, 695, 695)*CHOOSE(CONTROL!$C$42, 0.5599, 0.5599)*CHOOSE(CONTROL!$C$42, 31, 31))/1000000</f>
        <v>12.063045499999998</v>
      </c>
      <c r="V871" s="57">
        <f>(1000*CHOOSE(CONTROL!$C$42, 500, 500)*CHOOSE(CONTROL!$C$42, 0.275, 0.275)*CHOOSE(CONTROL!$C$42, 31, 31))/1000000</f>
        <v>4.2625000000000002</v>
      </c>
      <c r="W871" s="57">
        <f>(1000*CHOOSE(CONTROL!$C$42, 0.1146, 0.1146)*CHOOSE(CONTROL!$C$42, 121.5, 121.5)*CHOOSE(CONTROL!$C$42, 31, 31))/1000000</f>
        <v>0.43164089999999994</v>
      </c>
      <c r="X871" s="57">
        <f>(31*0.1790888*245000/1000000)+(31*0.2374*100000/1000000)</f>
        <v>2.0961194359999999</v>
      </c>
      <c r="Y871" s="57"/>
      <c r="Z871" s="14"/>
      <c r="AA871" s="56"/>
      <c r="AB871" s="50">
        <f>(B871*194.205+C871*267.466+D871*133.845+E871*53.484+F871*40+G871*185+H871*0+I871*100+J871*300)/(194.205+267.466+133.845+53.484+0+40+185+100+300)</f>
        <v>82.575852110753544</v>
      </c>
      <c r="AC871" s="45">
        <f>(M871*'RAP TEMPLATE-GAS AVAILABILITY'!O870+N871*'RAP TEMPLATE-GAS AVAILABILITY'!P870+O871*'RAP TEMPLATE-GAS AVAILABILITY'!Q870+P871*'RAP TEMPLATE-GAS AVAILABILITY'!R870)/('RAP TEMPLATE-GAS AVAILABILITY'!O870+'RAP TEMPLATE-GAS AVAILABILITY'!P870+'RAP TEMPLATE-GAS AVAILABILITY'!Q870+'RAP TEMPLATE-GAS AVAILABILITY'!R870)</f>
        <v>80.974947482014386</v>
      </c>
    </row>
    <row r="872" spans="1:29" ht="15.75" x14ac:dyDescent="0.25">
      <c r="A872" s="32">
        <v>67450</v>
      </c>
      <c r="B872" s="14">
        <f>CHOOSE(CONTROL!$C$42, 78.452, 78.452) * CHOOSE(CONTROL!$C$21, $C$9, 100%, $E$9)</f>
        <v>78.451999999999998</v>
      </c>
      <c r="C872" s="14">
        <f>CHOOSE(CONTROL!$C$42, 78.46, 78.46) * CHOOSE(CONTROL!$C$21, $C$9, 100%, $E$9)</f>
        <v>78.459999999999994</v>
      </c>
      <c r="D872" s="14">
        <f>CHOOSE(CONTROL!$C$42, 78.6639, 78.6639) * CHOOSE(CONTROL!$C$21, $C$9, 100%, $E$9)</f>
        <v>78.663899999999998</v>
      </c>
      <c r="E872" s="14">
        <f>CHOOSE(CONTROL!$C$42, 78.6954, 78.6954) * CHOOSE(CONTROL!$C$21, $C$9, 100%, $E$9)</f>
        <v>78.695400000000006</v>
      </c>
      <c r="F872" s="14">
        <f>CHOOSE(CONTROL!$C$42, 78.4338, 78.4338)*CHOOSE(CONTROL!$C$21, $C$9, 100%, $E$9)</f>
        <v>78.433800000000005</v>
      </c>
      <c r="G872" s="14">
        <f>CHOOSE(CONTROL!$C$42, 78.4498, 78.4498)*CHOOSE(CONTROL!$C$21, $C$9, 100%, $E$9)</f>
        <v>78.449799999999996</v>
      </c>
      <c r="H872" s="14">
        <f>CHOOSE(CONTROL!$C$42, 78.684, 78.684) * CHOOSE(CONTROL!$C$21, $C$9, 100%, $E$9)</f>
        <v>78.683999999999997</v>
      </c>
      <c r="I872" s="14">
        <f>CHOOSE(CONTROL!$C$42, 78.7031, 78.7031)* CHOOSE(CONTROL!$C$21, $C$9, 100%, $E$9)</f>
        <v>78.703100000000006</v>
      </c>
      <c r="J872" s="14">
        <f>CHOOSE(CONTROL!$C$42, 78.4268, 78.4268)* CHOOSE(CONTROL!$C$21, $C$9, 100%, $E$9)</f>
        <v>78.4268</v>
      </c>
      <c r="K872" s="53">
        <f>CHOOSE(CONTROL!$C$42, 78.6992, 78.6992) * CHOOSE(CONTROL!$C$21, $C$9, 100%, $E$9)</f>
        <v>78.699200000000005</v>
      </c>
      <c r="L872" s="14">
        <f>CHOOSE(CONTROL!$C$42, 79.271, 79.271) * CHOOSE(CONTROL!$C$21, $C$9, 100%, $E$9)</f>
        <v>79.271000000000001</v>
      </c>
      <c r="M872" s="14">
        <f>CHOOSE(CONTROL!$C$42, 76.8276, 76.8276) * CHOOSE(CONTROL!$C$21, $C$9, 100%, $E$9)</f>
        <v>76.827600000000004</v>
      </c>
      <c r="N872" s="14">
        <f>CHOOSE(CONTROL!$C$42, 76.8432, 76.8432) * CHOOSE(CONTROL!$C$21, $C$9, 100%, $E$9)</f>
        <v>76.843199999999996</v>
      </c>
      <c r="O872" s="14">
        <f>CHOOSE(CONTROL!$C$42, 77.0795, 77.0795) * CHOOSE(CONTROL!$C$21, $C$9, 100%, $E$9)</f>
        <v>77.079499999999996</v>
      </c>
      <c r="P872" s="14">
        <f>CHOOSE(CONTROL!$C$42, 77.0934, 77.0934) * CHOOSE(CONTROL!$C$21, $C$9, 100%, $E$9)</f>
        <v>77.093400000000003</v>
      </c>
      <c r="Q872" s="14">
        <f>CHOOSE(CONTROL!$C$42, 77.6742, 77.6742) * CHOOSE(CONTROL!$C$21, $C$9, 100%, $E$9)</f>
        <v>77.674199999999999</v>
      </c>
      <c r="R872" s="14">
        <f>CHOOSE(CONTROL!$C$42, 78.4554, 78.4554) * CHOOSE(CONTROL!$C$21, $C$9, 100%, $E$9)</f>
        <v>78.455399999999997</v>
      </c>
      <c r="S872" s="14">
        <f>CHOOSE(CONTROL!$C$42, 75.3739, 75.3739) * CHOOSE(CONTROL!$C$21, $C$9, 100%, $E$9)</f>
        <v>75.373900000000006</v>
      </c>
      <c r="T87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72" s="57">
        <f>(1000*CHOOSE(CONTROL!$C$42, 695, 695)*CHOOSE(CONTROL!$C$42, 0.5599, 0.5599)*CHOOSE(CONTROL!$C$42, 31, 31))/1000000</f>
        <v>12.063045499999998</v>
      </c>
      <c r="V872" s="57">
        <f>(1000*CHOOSE(CONTROL!$C$42, 500, 500)*CHOOSE(CONTROL!$C$42, 0.275, 0.275)*CHOOSE(CONTROL!$C$42, 31, 31))/1000000</f>
        <v>4.2625000000000002</v>
      </c>
      <c r="W872" s="57">
        <f>(1000*CHOOSE(CONTROL!$C$42, 0.1146, 0.1146)*CHOOSE(CONTROL!$C$42, 121.5, 121.5)*CHOOSE(CONTROL!$C$42, 31, 31))/1000000</f>
        <v>0.43164089999999994</v>
      </c>
      <c r="X872" s="57">
        <f>(31*0.1790888*245000/1000000)+(31*0.2374*100000/1000000)</f>
        <v>2.0961194359999999</v>
      </c>
      <c r="Y872" s="57"/>
      <c r="Z872" s="14"/>
      <c r="AA872" s="56"/>
      <c r="AB872" s="50">
        <f>(B872*194.205+C872*267.466+D872*133.845+E872*53.484+F872*40+G872*185+H872*0+I872*100+J872*300)/(194.205+267.466+133.845+53.484+0+40+185+100+300)</f>
        <v>78.499044339952903</v>
      </c>
      <c r="AC872" s="45">
        <f>(M872*'RAP TEMPLATE-GAS AVAILABILITY'!O871+N872*'RAP TEMPLATE-GAS AVAILABILITY'!P871+O872*'RAP TEMPLATE-GAS AVAILABILITY'!Q871+P872*'RAP TEMPLATE-GAS AVAILABILITY'!R871)/('RAP TEMPLATE-GAS AVAILABILITY'!O871+'RAP TEMPLATE-GAS AVAILABILITY'!P871+'RAP TEMPLATE-GAS AVAILABILITY'!Q871+'RAP TEMPLATE-GAS AVAILABILITY'!R871)</f>
        <v>76.98091294964027</v>
      </c>
    </row>
    <row r="873" spans="1:29" ht="15.75" x14ac:dyDescent="0.25">
      <c r="A873" s="32">
        <v>67480</v>
      </c>
      <c r="B873" s="14">
        <f>CHOOSE(CONTROL!$C$42, 73.4716, 73.4716) * CHOOSE(CONTROL!$C$21, $C$9, 100%, $E$9)</f>
        <v>73.471599999999995</v>
      </c>
      <c r="C873" s="14">
        <f>CHOOSE(CONTROL!$C$42, 73.4796, 73.4796) * CHOOSE(CONTROL!$C$21, $C$9, 100%, $E$9)</f>
        <v>73.479600000000005</v>
      </c>
      <c r="D873" s="14">
        <f>CHOOSE(CONTROL!$C$42, 73.6835, 73.6835) * CHOOSE(CONTROL!$C$21, $C$9, 100%, $E$9)</f>
        <v>73.683499999999995</v>
      </c>
      <c r="E873" s="14">
        <f>CHOOSE(CONTROL!$C$42, 73.715, 73.715) * CHOOSE(CONTROL!$C$21, $C$9, 100%, $E$9)</f>
        <v>73.715000000000003</v>
      </c>
      <c r="F873" s="14">
        <f>CHOOSE(CONTROL!$C$42, 73.4535, 73.4535)*CHOOSE(CONTROL!$C$21, $C$9, 100%, $E$9)</f>
        <v>73.453500000000005</v>
      </c>
      <c r="G873" s="14">
        <f>CHOOSE(CONTROL!$C$42, 73.4695, 73.4695)*CHOOSE(CONTROL!$C$21, $C$9, 100%, $E$9)</f>
        <v>73.469499999999996</v>
      </c>
      <c r="H873" s="14">
        <f>CHOOSE(CONTROL!$C$42, 73.7036, 73.7036) * CHOOSE(CONTROL!$C$21, $C$9, 100%, $E$9)</f>
        <v>73.703599999999994</v>
      </c>
      <c r="I873" s="14">
        <f>CHOOSE(CONTROL!$C$42, 73.7071, 73.7071)* CHOOSE(CONTROL!$C$21, $C$9, 100%, $E$9)</f>
        <v>73.707099999999997</v>
      </c>
      <c r="J873" s="14">
        <f>CHOOSE(CONTROL!$C$42, 73.4465, 73.4465)* CHOOSE(CONTROL!$C$21, $C$9, 100%, $E$9)</f>
        <v>73.4465</v>
      </c>
      <c r="K873" s="53">
        <f>CHOOSE(CONTROL!$C$42, 73.7032, 73.7032) * CHOOSE(CONTROL!$C$21, $C$9, 100%, $E$9)</f>
        <v>73.703199999999995</v>
      </c>
      <c r="L873" s="14">
        <f>CHOOSE(CONTROL!$C$42, 74.2906, 74.2906) * CHOOSE(CONTROL!$C$21, $C$9, 100%, $E$9)</f>
        <v>74.290599999999998</v>
      </c>
      <c r="M873" s="14">
        <f>CHOOSE(CONTROL!$C$42, 71.9493, 71.9493) * CHOOSE(CONTROL!$C$21, $C$9, 100%, $E$9)</f>
        <v>71.949299999999994</v>
      </c>
      <c r="N873" s="14">
        <f>CHOOSE(CONTROL!$C$42, 71.965, 71.965) * CHOOSE(CONTROL!$C$21, $C$9, 100%, $E$9)</f>
        <v>71.965000000000003</v>
      </c>
      <c r="O873" s="14">
        <f>CHOOSE(CONTROL!$C$42, 72.2012, 72.2012) * CHOOSE(CONTROL!$C$21, $C$9, 100%, $E$9)</f>
        <v>72.2012</v>
      </c>
      <c r="P873" s="14">
        <f>CHOOSE(CONTROL!$C$42, 72.2001, 72.2001) * CHOOSE(CONTROL!$C$21, $C$9, 100%, $E$9)</f>
        <v>72.200100000000006</v>
      </c>
      <c r="Q873" s="14">
        <f>CHOOSE(CONTROL!$C$42, 72.7959, 72.7959) * CHOOSE(CONTROL!$C$21, $C$9, 100%, $E$9)</f>
        <v>72.795900000000003</v>
      </c>
      <c r="R873" s="14">
        <f>CHOOSE(CONTROL!$C$42, 73.5649, 73.5649) * CHOOSE(CONTROL!$C$21, $C$9, 100%, $E$9)</f>
        <v>73.564899999999994</v>
      </c>
      <c r="S873" s="14">
        <f>CHOOSE(CONTROL!$C$42, 70.5882, 70.5882) * CHOOSE(CONTROL!$C$21, $C$9, 100%, $E$9)</f>
        <v>70.588200000000001</v>
      </c>
      <c r="T87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73" s="57">
        <f>(1000*CHOOSE(CONTROL!$C$42, 695, 695)*CHOOSE(CONTROL!$C$42, 0.5599, 0.5599)*CHOOSE(CONTROL!$C$42, 30, 30))/1000000</f>
        <v>11.673914999999997</v>
      </c>
      <c r="V873" s="57">
        <f>(1000*CHOOSE(CONTROL!$C$42, 500, 500)*CHOOSE(CONTROL!$C$42, 0.275, 0.275)*CHOOSE(CONTROL!$C$42, 30, 30))/1000000</f>
        <v>4.125</v>
      </c>
      <c r="W873" s="57">
        <f>(1000*CHOOSE(CONTROL!$C$42, 0.1146, 0.1146)*CHOOSE(CONTROL!$C$42, 121.5, 121.5)*CHOOSE(CONTROL!$C$42, 30, 30))/1000000</f>
        <v>0.417717</v>
      </c>
      <c r="X873" s="57">
        <f>(30*0.1790888*245000/1000000)+(30*0.2374*100000/1000000)</f>
        <v>2.0285026799999999</v>
      </c>
      <c r="Y873" s="57"/>
      <c r="Z873" s="14"/>
      <c r="AA873" s="56"/>
      <c r="AB873" s="50">
        <f>(B873*194.205+C873*267.466+D873*133.845+E873*53.484+F873*40+G873*185+H873*0+I873*100+J873*300)/(194.205+267.466+133.845+53.484+0+40+185+100+300)</f>
        <v>73.5174610589482</v>
      </c>
      <c r="AC873" s="45">
        <f>(M873*'RAP TEMPLATE-GAS AVAILABILITY'!O872+N873*'RAP TEMPLATE-GAS AVAILABILITY'!P872+O873*'RAP TEMPLATE-GAS AVAILABILITY'!Q872+P873*'RAP TEMPLATE-GAS AVAILABILITY'!R872)/('RAP TEMPLATE-GAS AVAILABILITY'!O872+'RAP TEMPLATE-GAS AVAILABILITY'!P872+'RAP TEMPLATE-GAS AVAILABILITY'!Q872+'RAP TEMPLATE-GAS AVAILABILITY'!R872)</f>
        <v>72.100460431654682</v>
      </c>
    </row>
    <row r="874" spans="1:29" ht="15.75" x14ac:dyDescent="0.25">
      <c r="A874" s="32">
        <v>67511</v>
      </c>
      <c r="B874" s="14">
        <f>CHOOSE(CONTROL!$C$42, 71.9783, 71.9783) * CHOOSE(CONTROL!$C$21, $C$9, 100%, $E$9)</f>
        <v>71.978300000000004</v>
      </c>
      <c r="C874" s="14">
        <f>CHOOSE(CONTROL!$C$42, 71.9836, 71.9836) * CHOOSE(CONTROL!$C$21, $C$9, 100%, $E$9)</f>
        <v>71.983599999999996</v>
      </c>
      <c r="D874" s="14">
        <f>CHOOSE(CONTROL!$C$42, 72.1925, 72.1925) * CHOOSE(CONTROL!$C$21, $C$9, 100%, $E$9)</f>
        <v>72.192499999999995</v>
      </c>
      <c r="E874" s="14">
        <f>CHOOSE(CONTROL!$C$42, 72.2216, 72.2216) * CHOOSE(CONTROL!$C$21, $C$9, 100%, $E$9)</f>
        <v>72.221599999999995</v>
      </c>
      <c r="F874" s="14">
        <f>CHOOSE(CONTROL!$C$42, 71.9623, 71.9623)*CHOOSE(CONTROL!$C$21, $C$9, 100%, $E$9)</f>
        <v>71.962299999999999</v>
      </c>
      <c r="G874" s="14">
        <f>CHOOSE(CONTROL!$C$42, 71.9779, 71.9779)*CHOOSE(CONTROL!$C$21, $C$9, 100%, $E$9)</f>
        <v>71.977900000000005</v>
      </c>
      <c r="H874" s="14">
        <f>CHOOSE(CONTROL!$C$42, 72.2121, 72.2121) * CHOOSE(CONTROL!$C$21, $C$9, 100%, $E$9)</f>
        <v>72.212100000000007</v>
      </c>
      <c r="I874" s="14">
        <f>CHOOSE(CONTROL!$C$42, 72.2109, 72.2109)* CHOOSE(CONTROL!$C$21, $C$9, 100%, $E$9)</f>
        <v>72.210899999999995</v>
      </c>
      <c r="J874" s="14">
        <f>CHOOSE(CONTROL!$C$42, 71.9553, 71.9553)* CHOOSE(CONTROL!$C$21, $C$9, 100%, $E$9)</f>
        <v>71.955299999999994</v>
      </c>
      <c r="K874" s="53">
        <f>CHOOSE(CONTROL!$C$42, 72.207, 72.207) * CHOOSE(CONTROL!$C$21, $C$9, 100%, $E$9)</f>
        <v>72.206999999999994</v>
      </c>
      <c r="L874" s="14">
        <f>CHOOSE(CONTROL!$C$42, 72.7991, 72.7991) * CHOOSE(CONTROL!$C$21, $C$9, 100%, $E$9)</f>
        <v>72.799099999999996</v>
      </c>
      <c r="M874" s="14">
        <f>CHOOSE(CONTROL!$C$42, 70.4887, 70.4887) * CHOOSE(CONTROL!$C$21, $C$9, 100%, $E$9)</f>
        <v>70.488699999999994</v>
      </c>
      <c r="N874" s="14">
        <f>CHOOSE(CONTROL!$C$42, 70.504, 70.504) * CHOOSE(CONTROL!$C$21, $C$9, 100%, $E$9)</f>
        <v>70.504000000000005</v>
      </c>
      <c r="O874" s="14">
        <f>CHOOSE(CONTROL!$C$42, 70.7402, 70.7402) * CHOOSE(CONTROL!$C$21, $C$9, 100%, $E$9)</f>
        <v>70.740200000000002</v>
      </c>
      <c r="P874" s="14">
        <f>CHOOSE(CONTROL!$C$42, 70.7346, 70.7346) * CHOOSE(CONTROL!$C$21, $C$9, 100%, $E$9)</f>
        <v>70.7346</v>
      </c>
      <c r="Q874" s="14">
        <f>CHOOSE(CONTROL!$C$42, 71.3349, 71.3349) * CHOOSE(CONTROL!$C$21, $C$9, 100%, $E$9)</f>
        <v>71.334900000000005</v>
      </c>
      <c r="R874" s="14">
        <f>CHOOSE(CONTROL!$C$42, 72.1003, 72.1003) * CHOOSE(CONTROL!$C$21, $C$9, 100%, $E$9)</f>
        <v>72.100300000000004</v>
      </c>
      <c r="S874" s="14">
        <f>CHOOSE(CONTROL!$C$42, 69.155, 69.155) * CHOOSE(CONTROL!$C$21, $C$9, 100%, $E$9)</f>
        <v>69.155000000000001</v>
      </c>
      <c r="T87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74" s="57">
        <f>(1000*CHOOSE(CONTROL!$C$42, 695, 695)*CHOOSE(CONTROL!$C$42, 0.5599, 0.5599)*CHOOSE(CONTROL!$C$42, 31, 31))/1000000</f>
        <v>12.063045499999998</v>
      </c>
      <c r="V874" s="57">
        <f>(1000*CHOOSE(CONTROL!$C$42, 500, 500)*CHOOSE(CONTROL!$C$42, 0.275, 0.275)*CHOOSE(CONTROL!$C$42, 31, 31))/1000000</f>
        <v>4.2625000000000002</v>
      </c>
      <c r="W874" s="57">
        <f>(1000*CHOOSE(CONTROL!$C$42, 0.1146, 0.1146)*CHOOSE(CONTROL!$C$42, 121.5, 121.5)*CHOOSE(CONTROL!$C$42, 31, 31))/1000000</f>
        <v>0.43164089999999994</v>
      </c>
      <c r="X874" s="57">
        <f>(31*0.1790888*245000/1000000)+(31*0.2374*100000/1000000)</f>
        <v>2.0961194359999999</v>
      </c>
      <c r="Y874" s="57"/>
      <c r="Z874" s="14"/>
      <c r="AA874" s="56"/>
      <c r="AB874" s="50">
        <f>(B874*131.881+C874*277.167+D874*79.08+E874*125.872+F874*40+G874*185+H874*0+I874*100+J874*300)/(131.881+277.167+79.08+125.872+0+40+185+100+300)</f>
        <v>72.030502242695704</v>
      </c>
      <c r="AC874" s="45">
        <f>(M874*'RAP TEMPLATE-GAS AVAILABILITY'!O873+N874*'RAP TEMPLATE-GAS AVAILABILITY'!P873+O874*'RAP TEMPLATE-GAS AVAILABILITY'!Q873+P874*'RAP TEMPLATE-GAS AVAILABILITY'!R873)/('RAP TEMPLATE-GAS AVAILABILITY'!O873+'RAP TEMPLATE-GAS AVAILABILITY'!P873+'RAP TEMPLATE-GAS AVAILABILITY'!Q873+'RAP TEMPLATE-GAS AVAILABILITY'!R873)</f>
        <v>70.638951079136689</v>
      </c>
    </row>
    <row r="875" spans="1:29" ht="15.75" x14ac:dyDescent="0.25">
      <c r="A875" s="32">
        <v>67541</v>
      </c>
      <c r="B875" s="14">
        <f>CHOOSE(CONTROL!$C$42, 73.8739, 73.8739) * CHOOSE(CONTROL!$C$21, $C$9, 100%, $E$9)</f>
        <v>73.873900000000006</v>
      </c>
      <c r="C875" s="14">
        <f>CHOOSE(CONTROL!$C$42, 73.8789, 73.8789) * CHOOSE(CONTROL!$C$21, $C$9, 100%, $E$9)</f>
        <v>73.878900000000002</v>
      </c>
      <c r="D875" s="14">
        <f>CHOOSE(CONTROL!$C$42, 73.9427, 73.9427) * CHOOSE(CONTROL!$C$21, $C$9, 100%, $E$9)</f>
        <v>73.942700000000002</v>
      </c>
      <c r="E875" s="14">
        <f>CHOOSE(CONTROL!$C$42, 73.9769, 73.9769) * CHOOSE(CONTROL!$C$21, $C$9, 100%, $E$9)</f>
        <v>73.976900000000001</v>
      </c>
      <c r="F875" s="14">
        <f>CHOOSE(CONTROL!$C$42, 73.8763, 73.8763)*CHOOSE(CONTROL!$C$21, $C$9, 100%, $E$9)</f>
        <v>73.876300000000001</v>
      </c>
      <c r="G875" s="14">
        <f>CHOOSE(CONTROL!$C$42, 73.8923, 73.8923)*CHOOSE(CONTROL!$C$21, $C$9, 100%, $E$9)</f>
        <v>73.892300000000006</v>
      </c>
      <c r="H875" s="14">
        <f>CHOOSE(CONTROL!$C$42, 73.966, 73.966) * CHOOSE(CONTROL!$C$21, $C$9, 100%, $E$9)</f>
        <v>73.965999999999994</v>
      </c>
      <c r="I875" s="14">
        <f>CHOOSE(CONTROL!$C$42, 74.1181, 74.1181)* CHOOSE(CONTROL!$C$21, $C$9, 100%, $E$9)</f>
        <v>74.118099999999998</v>
      </c>
      <c r="J875" s="14">
        <f>CHOOSE(CONTROL!$C$42, 73.8693, 73.8693)* CHOOSE(CONTROL!$C$21, $C$9, 100%, $E$9)</f>
        <v>73.869299999999996</v>
      </c>
      <c r="K875" s="53">
        <f>CHOOSE(CONTROL!$C$42, 74.1142, 74.1142) * CHOOSE(CONTROL!$C$21, $C$9, 100%, $E$9)</f>
        <v>74.114199999999997</v>
      </c>
      <c r="L875" s="14">
        <f>CHOOSE(CONTROL!$C$42, 74.553, 74.553) * CHOOSE(CONTROL!$C$21, $C$9, 100%, $E$9)</f>
        <v>74.552999999999997</v>
      </c>
      <c r="M875" s="14">
        <f>CHOOSE(CONTROL!$C$42, 72.3634, 72.3634) * CHOOSE(CONTROL!$C$21, $C$9, 100%, $E$9)</f>
        <v>72.363399999999999</v>
      </c>
      <c r="N875" s="14">
        <f>CHOOSE(CONTROL!$C$42, 72.3791, 72.3791) * CHOOSE(CONTROL!$C$21, $C$9, 100%, $E$9)</f>
        <v>72.379099999999994</v>
      </c>
      <c r="O875" s="14">
        <f>CHOOSE(CONTROL!$C$42, 72.4582, 72.4582) * CHOOSE(CONTROL!$C$21, $C$9, 100%, $E$9)</f>
        <v>72.458200000000005</v>
      </c>
      <c r="P875" s="14">
        <f>CHOOSE(CONTROL!$C$42, 72.6026, 72.6026) * CHOOSE(CONTROL!$C$21, $C$9, 100%, $E$9)</f>
        <v>72.602599999999995</v>
      </c>
      <c r="Q875" s="14">
        <f>CHOOSE(CONTROL!$C$42, 73.0529, 73.0529) * CHOOSE(CONTROL!$C$21, $C$9, 100%, $E$9)</f>
        <v>73.052899999999994</v>
      </c>
      <c r="R875" s="14">
        <f>CHOOSE(CONTROL!$C$42, 73.8226, 73.8226) * CHOOSE(CONTROL!$C$21, $C$9, 100%, $E$9)</f>
        <v>73.822599999999994</v>
      </c>
      <c r="S875" s="14">
        <f>CHOOSE(CONTROL!$C$42, 70.9769, 70.9769) * CHOOSE(CONTROL!$C$21, $C$9, 100%, $E$9)</f>
        <v>70.976900000000001</v>
      </c>
      <c r="T87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75" s="57">
        <f>(1000*CHOOSE(CONTROL!$C$42, 695, 695)*CHOOSE(CONTROL!$C$42, 0.5599, 0.5599)*CHOOSE(CONTROL!$C$42, 30, 30))/1000000</f>
        <v>11.673914999999997</v>
      </c>
      <c r="V875" s="57">
        <f>(1000*CHOOSE(CONTROL!$C$42, 500, 500)*CHOOSE(CONTROL!$C$42, 0.275, 0.275)*CHOOSE(CONTROL!$C$42, 30, 30))/1000000</f>
        <v>4.125</v>
      </c>
      <c r="W875" s="57">
        <f>(1000*CHOOSE(CONTROL!$C$42, 0.1146, 0.1146)*CHOOSE(CONTROL!$C$42, 121.5, 121.5)*CHOOSE(CONTROL!$C$42, 30, 30))/1000000</f>
        <v>0.417717</v>
      </c>
      <c r="X875" s="57">
        <f>(30*0.1790888*100000/1000000)+(30*0.2374*100000/1000000)</f>
        <v>1.2494664</v>
      </c>
      <c r="Y875" s="57"/>
      <c r="Z875" s="14"/>
      <c r="AA875" s="56"/>
      <c r="AB875" s="50">
        <f>(B875*122.58+C875*297.941+D875*89.177+E875*40.302+F875*40+G875*160+H875*0+I875*100+J875*300)/(122.58+297.941+89.177+40.302+0+40+160+100+300)</f>
        <v>73.906818424869556</v>
      </c>
      <c r="AC875" s="45">
        <f>(M875*'RAP TEMPLATE-GAS AVAILABILITY'!O874+N875*'RAP TEMPLATE-GAS AVAILABILITY'!P874+O875*'RAP TEMPLATE-GAS AVAILABILITY'!Q874+P875*'RAP TEMPLATE-GAS AVAILABILITY'!R874)/('RAP TEMPLATE-GAS AVAILABILITY'!O874+'RAP TEMPLATE-GAS AVAILABILITY'!P874+'RAP TEMPLATE-GAS AVAILABILITY'!Q874+'RAP TEMPLATE-GAS AVAILABILITY'!R874)</f>
        <v>72.441687769784181</v>
      </c>
    </row>
    <row r="876" spans="1:29" ht="15.75" x14ac:dyDescent="0.25">
      <c r="A876" s="32">
        <v>67572</v>
      </c>
      <c r="B876" s="14">
        <f>CHOOSE(CONTROL!$C$42, 78.9099, 78.9099) * CHOOSE(CONTROL!$C$21, $C$9, 100%, $E$9)</f>
        <v>78.909899999999993</v>
      </c>
      <c r="C876" s="14">
        <f>CHOOSE(CONTROL!$C$42, 78.915, 78.915) * CHOOSE(CONTROL!$C$21, $C$9, 100%, $E$9)</f>
        <v>78.915000000000006</v>
      </c>
      <c r="D876" s="14">
        <f>CHOOSE(CONTROL!$C$42, 78.9788, 78.9788) * CHOOSE(CONTROL!$C$21, $C$9, 100%, $E$9)</f>
        <v>78.978800000000007</v>
      </c>
      <c r="E876" s="14">
        <f>CHOOSE(CONTROL!$C$42, 79.0129, 79.0129) * CHOOSE(CONTROL!$C$21, $C$9, 100%, $E$9)</f>
        <v>79.012900000000002</v>
      </c>
      <c r="F876" s="14">
        <f>CHOOSE(CONTROL!$C$42, 78.9145, 78.9145)*CHOOSE(CONTROL!$C$21, $C$9, 100%, $E$9)</f>
        <v>78.914500000000004</v>
      </c>
      <c r="G876" s="14">
        <f>CHOOSE(CONTROL!$C$42, 78.9311, 78.9311)*CHOOSE(CONTROL!$C$21, $C$9, 100%, $E$9)</f>
        <v>78.931100000000001</v>
      </c>
      <c r="H876" s="14">
        <f>CHOOSE(CONTROL!$C$42, 79.0021, 79.0021) * CHOOSE(CONTROL!$C$21, $C$9, 100%, $E$9)</f>
        <v>79.002099999999999</v>
      </c>
      <c r="I876" s="14">
        <f>CHOOSE(CONTROL!$C$42, 79.1699, 79.1699)* CHOOSE(CONTROL!$C$21, $C$9, 100%, $E$9)</f>
        <v>79.169899999999998</v>
      </c>
      <c r="J876" s="14">
        <f>CHOOSE(CONTROL!$C$42, 78.9075, 78.9075)* CHOOSE(CONTROL!$C$21, $C$9, 100%, $E$9)</f>
        <v>78.907499999999999</v>
      </c>
      <c r="K876" s="53">
        <f>CHOOSE(CONTROL!$C$42, 79.166, 79.166) * CHOOSE(CONTROL!$C$21, $C$9, 100%, $E$9)</f>
        <v>79.165999999999997</v>
      </c>
      <c r="L876" s="14">
        <f>CHOOSE(CONTROL!$C$42, 79.5891, 79.5891) * CHOOSE(CONTROL!$C$21, $C$9, 100%, $E$9)</f>
        <v>79.589100000000002</v>
      </c>
      <c r="M876" s="14">
        <f>CHOOSE(CONTROL!$C$42, 77.2985, 77.2985) * CHOOSE(CONTROL!$C$21, $C$9, 100%, $E$9)</f>
        <v>77.298500000000004</v>
      </c>
      <c r="N876" s="14">
        <f>CHOOSE(CONTROL!$C$42, 77.3147, 77.3147) * CHOOSE(CONTROL!$C$21, $C$9, 100%, $E$9)</f>
        <v>77.314700000000002</v>
      </c>
      <c r="O876" s="14">
        <f>CHOOSE(CONTROL!$C$42, 77.3911, 77.3911) * CHOOSE(CONTROL!$C$21, $C$9, 100%, $E$9)</f>
        <v>77.391099999999994</v>
      </c>
      <c r="P876" s="14">
        <f>CHOOSE(CONTROL!$C$42, 77.5505, 77.5505) * CHOOSE(CONTROL!$C$21, $C$9, 100%, $E$9)</f>
        <v>77.5505</v>
      </c>
      <c r="Q876" s="14">
        <f>CHOOSE(CONTROL!$C$42, 77.9858, 77.9858) * CHOOSE(CONTROL!$C$21, $C$9, 100%, $E$9)</f>
        <v>77.985799999999998</v>
      </c>
      <c r="R876" s="14">
        <f>CHOOSE(CONTROL!$C$42, 78.7677, 78.7677) * CHOOSE(CONTROL!$C$21, $C$9, 100%, $E$9)</f>
        <v>78.767700000000005</v>
      </c>
      <c r="S876" s="14">
        <f>CHOOSE(CONTROL!$C$42, 75.816, 75.816) * CHOOSE(CONTROL!$C$21, $C$9, 100%, $E$9)</f>
        <v>75.816000000000003</v>
      </c>
      <c r="T87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76" s="57">
        <f>(1000*CHOOSE(CONTROL!$C$42, 695, 695)*CHOOSE(CONTROL!$C$42, 0.5599, 0.5599)*CHOOSE(CONTROL!$C$42, 31, 31))/1000000</f>
        <v>12.063045499999998</v>
      </c>
      <c r="V876" s="57">
        <f>(1000*CHOOSE(CONTROL!$C$42, 500, 500)*CHOOSE(CONTROL!$C$42, 0.275, 0.275)*CHOOSE(CONTROL!$C$42, 31, 31))/1000000</f>
        <v>4.2625000000000002</v>
      </c>
      <c r="W876" s="57">
        <f>(1000*CHOOSE(CONTROL!$C$42, 0.1146, 0.1146)*CHOOSE(CONTROL!$C$42, 121.5, 121.5)*CHOOSE(CONTROL!$C$42, 31, 31))/1000000</f>
        <v>0.43164089999999994</v>
      </c>
      <c r="X876" s="57">
        <f>(31*0.1790888*100000/1000000)+(31*0.2374*100000/1000000)</f>
        <v>1.2911152800000001</v>
      </c>
      <c r="Y876" s="57"/>
      <c r="Z876" s="14"/>
      <c r="AA876" s="56"/>
      <c r="AB876" s="50">
        <f>(B876*122.58+C876*297.941+D876*89.177+E876*40.302+F876*40+G876*160+H876*0+I876*100+J876*300)/(122.58+297.941+89.177+40.302+0+40+160+100+300)</f>
        <v>78.945266000347829</v>
      </c>
      <c r="AC876" s="45">
        <f>(M876*'RAP TEMPLATE-GAS AVAILABILITY'!O875+N876*'RAP TEMPLATE-GAS AVAILABILITY'!P875+O876*'RAP TEMPLATE-GAS AVAILABILITY'!Q875+P876*'RAP TEMPLATE-GAS AVAILABILITY'!R875)/('RAP TEMPLATE-GAS AVAILABILITY'!O875+'RAP TEMPLATE-GAS AVAILABILITY'!P875+'RAP TEMPLATE-GAS AVAILABILITY'!Q875+'RAP TEMPLATE-GAS AVAILABILITY'!R875)</f>
        <v>77.377661151079138</v>
      </c>
    </row>
    <row r="877" spans="1:29" ht="15.75" x14ac:dyDescent="0.25">
      <c r="A877" s="32">
        <v>67603</v>
      </c>
      <c r="B877" s="14">
        <f>CHOOSE(CONTROL!$C$42, 85.3729, 85.3729) * CHOOSE(CONTROL!$C$21, $C$9, 100%, $E$9)</f>
        <v>85.372900000000001</v>
      </c>
      <c r="C877" s="14">
        <f>CHOOSE(CONTROL!$C$42, 85.378, 85.378) * CHOOSE(CONTROL!$C$21, $C$9, 100%, $E$9)</f>
        <v>85.378</v>
      </c>
      <c r="D877" s="14">
        <f>CHOOSE(CONTROL!$C$42, 85.4444, 85.4444) * CHOOSE(CONTROL!$C$21, $C$9, 100%, $E$9)</f>
        <v>85.444400000000002</v>
      </c>
      <c r="E877" s="14">
        <f>CHOOSE(CONTROL!$C$42, 85.4785, 85.4785) * CHOOSE(CONTROL!$C$21, $C$9, 100%, $E$9)</f>
        <v>85.478499999999997</v>
      </c>
      <c r="F877" s="14">
        <f>CHOOSE(CONTROL!$C$42, 85.3603, 85.3603)*CHOOSE(CONTROL!$C$21, $C$9, 100%, $E$9)</f>
        <v>85.360299999999995</v>
      </c>
      <c r="G877" s="14">
        <f>CHOOSE(CONTROL!$C$42, 85.3757, 85.3757)*CHOOSE(CONTROL!$C$21, $C$9, 100%, $E$9)</f>
        <v>85.375699999999995</v>
      </c>
      <c r="H877" s="14">
        <f>CHOOSE(CONTROL!$C$42, 85.4677, 85.4677) * CHOOSE(CONTROL!$C$21, $C$9, 100%, $E$9)</f>
        <v>85.467699999999994</v>
      </c>
      <c r="I877" s="14">
        <f>CHOOSE(CONTROL!$C$42, 85.6479, 85.6479)* CHOOSE(CONTROL!$C$21, $C$9, 100%, $E$9)</f>
        <v>85.647900000000007</v>
      </c>
      <c r="J877" s="14">
        <f>CHOOSE(CONTROL!$C$42, 85.3533, 85.3533)* CHOOSE(CONTROL!$C$21, $C$9, 100%, $E$9)</f>
        <v>85.353300000000004</v>
      </c>
      <c r="K877" s="53">
        <f>CHOOSE(CONTROL!$C$42, 85.644, 85.644) * CHOOSE(CONTROL!$C$21, $C$9, 100%, $E$9)</f>
        <v>85.644000000000005</v>
      </c>
      <c r="L877" s="14">
        <f>CHOOSE(CONTROL!$C$42, 86.0547, 86.0547) * CHOOSE(CONTROL!$C$21, $C$9, 100%, $E$9)</f>
        <v>86.054699999999997</v>
      </c>
      <c r="M877" s="14">
        <f>CHOOSE(CONTROL!$C$42, 83.6121, 83.6121) * CHOOSE(CONTROL!$C$21, $C$9, 100%, $E$9)</f>
        <v>83.612099999999998</v>
      </c>
      <c r="N877" s="14">
        <f>CHOOSE(CONTROL!$C$42, 83.6273, 83.6273) * CHOOSE(CONTROL!$C$21, $C$9, 100%, $E$9)</f>
        <v>83.627300000000005</v>
      </c>
      <c r="O877" s="14">
        <f>CHOOSE(CONTROL!$C$42, 83.7242, 83.7242) * CHOOSE(CONTROL!$C$21, $C$9, 100%, $E$9)</f>
        <v>83.724199999999996</v>
      </c>
      <c r="P877" s="14">
        <f>CHOOSE(CONTROL!$C$42, 83.8955, 83.8955) * CHOOSE(CONTROL!$C$21, $C$9, 100%, $E$9)</f>
        <v>83.895499999999998</v>
      </c>
      <c r="Q877" s="14">
        <f>CHOOSE(CONTROL!$C$42, 84.3189, 84.3189) * CHOOSE(CONTROL!$C$21, $C$9, 100%, $E$9)</f>
        <v>84.318899999999999</v>
      </c>
      <c r="R877" s="14">
        <f>CHOOSE(CONTROL!$C$42, 85.1167, 85.1167) * CHOOSE(CONTROL!$C$21, $C$9, 100%, $E$9)</f>
        <v>85.116699999999994</v>
      </c>
      <c r="S877" s="14">
        <f>CHOOSE(CONTROL!$C$42, 82.0263, 82.0263) * CHOOSE(CONTROL!$C$21, $C$9, 100%, $E$9)</f>
        <v>82.026300000000006</v>
      </c>
      <c r="T87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77" s="57">
        <f>(1000*CHOOSE(CONTROL!$C$42, 695, 695)*CHOOSE(CONTROL!$C$42, 0.5599, 0.5599)*CHOOSE(CONTROL!$C$42, 31, 31))/1000000</f>
        <v>12.063045499999998</v>
      </c>
      <c r="V877" s="57">
        <f>(1000*CHOOSE(CONTROL!$C$42, 500, 500)*CHOOSE(CONTROL!$C$42, 0.275, 0.275)*CHOOSE(CONTROL!$C$42, 31, 31))/1000000</f>
        <v>4.2625000000000002</v>
      </c>
      <c r="W877" s="57">
        <f>(1000*CHOOSE(CONTROL!$C$42, 0.1146, 0.1146)*CHOOSE(CONTROL!$C$42, 121.5, 121.5)*CHOOSE(CONTROL!$C$42, 31, 31))/1000000</f>
        <v>0.43164089999999994</v>
      </c>
      <c r="X877" s="57">
        <f>(31*0.1790888*100000/1000000)+(31*0.2374*100000/1000000)</f>
        <v>1.2911152800000001</v>
      </c>
      <c r="Y877" s="57"/>
      <c r="Z877" s="14"/>
      <c r="AA877" s="56"/>
      <c r="AB877" s="50">
        <f>(B877*122.58+C877*297.941+D877*89.177+E877*40.302+F877*40+G877*160+H877*0+I877*100+J877*300)/(122.58+297.941+89.177+40.302+0+40+160+100+300)</f>
        <v>85.402217865913045</v>
      </c>
      <c r="AC877" s="45">
        <f>(M877*'RAP TEMPLATE-GAS AVAILABILITY'!O876+N877*'RAP TEMPLATE-GAS AVAILABILITY'!P876+O877*'RAP TEMPLATE-GAS AVAILABILITY'!Q876+P877*'RAP TEMPLATE-GAS AVAILABILITY'!R876)/('RAP TEMPLATE-GAS AVAILABILITY'!O876+'RAP TEMPLATE-GAS AVAILABILITY'!P876+'RAP TEMPLATE-GAS AVAILABILITY'!Q876+'RAP TEMPLATE-GAS AVAILABILITY'!R876)</f>
        <v>83.704559712230207</v>
      </c>
    </row>
    <row r="878" spans="1:29" ht="15.75" x14ac:dyDescent="0.25">
      <c r="A878" s="32">
        <v>67631</v>
      </c>
      <c r="B878" s="14">
        <f>CHOOSE(CONTROL!$C$42, 86.8925, 86.8925) * CHOOSE(CONTROL!$C$21, $C$9, 100%, $E$9)</f>
        <v>86.892499999999998</v>
      </c>
      <c r="C878" s="14">
        <f>CHOOSE(CONTROL!$C$42, 86.8976, 86.8976) * CHOOSE(CONTROL!$C$21, $C$9, 100%, $E$9)</f>
        <v>86.897599999999997</v>
      </c>
      <c r="D878" s="14">
        <f>CHOOSE(CONTROL!$C$42, 86.964, 86.964) * CHOOSE(CONTROL!$C$21, $C$9, 100%, $E$9)</f>
        <v>86.963999999999999</v>
      </c>
      <c r="E878" s="14">
        <f>CHOOSE(CONTROL!$C$42, 86.9981, 86.9981) * CHOOSE(CONTROL!$C$21, $C$9, 100%, $E$9)</f>
        <v>86.998099999999994</v>
      </c>
      <c r="F878" s="14">
        <f>CHOOSE(CONTROL!$C$42, 86.8799, 86.8799)*CHOOSE(CONTROL!$C$21, $C$9, 100%, $E$9)</f>
        <v>86.879900000000006</v>
      </c>
      <c r="G878" s="14">
        <f>CHOOSE(CONTROL!$C$42, 86.8954, 86.8954)*CHOOSE(CONTROL!$C$21, $C$9, 100%, $E$9)</f>
        <v>86.895399999999995</v>
      </c>
      <c r="H878" s="14">
        <f>CHOOSE(CONTROL!$C$42, 86.9873, 86.9873) * CHOOSE(CONTROL!$C$21, $C$9, 100%, $E$9)</f>
        <v>86.987300000000005</v>
      </c>
      <c r="I878" s="14">
        <f>CHOOSE(CONTROL!$C$42, 87.1723, 87.1723)* CHOOSE(CONTROL!$C$21, $C$9, 100%, $E$9)</f>
        <v>87.172300000000007</v>
      </c>
      <c r="J878" s="14">
        <f>CHOOSE(CONTROL!$C$42, 86.8729, 86.8729)* CHOOSE(CONTROL!$C$21, $C$9, 100%, $E$9)</f>
        <v>86.872900000000001</v>
      </c>
      <c r="K878" s="53">
        <f>CHOOSE(CONTROL!$C$42, 87.1684, 87.1684) * CHOOSE(CONTROL!$C$21, $C$9, 100%, $E$9)</f>
        <v>87.168400000000005</v>
      </c>
      <c r="L878" s="14">
        <f>CHOOSE(CONTROL!$C$42, 87.5743, 87.5743) * CHOOSE(CONTROL!$C$21, $C$9, 100%, $E$9)</f>
        <v>87.574299999999994</v>
      </c>
      <c r="M878" s="14">
        <f>CHOOSE(CONTROL!$C$42, 85.1007, 85.1007) * CHOOSE(CONTROL!$C$21, $C$9, 100%, $E$9)</f>
        <v>85.100700000000003</v>
      </c>
      <c r="N878" s="14">
        <f>CHOOSE(CONTROL!$C$42, 85.1158, 85.1158) * CHOOSE(CONTROL!$C$21, $C$9, 100%, $E$9)</f>
        <v>85.115799999999993</v>
      </c>
      <c r="O878" s="14">
        <f>CHOOSE(CONTROL!$C$42, 85.2127, 85.2127) * CHOOSE(CONTROL!$C$21, $C$9, 100%, $E$9)</f>
        <v>85.212699999999998</v>
      </c>
      <c r="P878" s="14">
        <f>CHOOSE(CONTROL!$C$42, 85.3885, 85.3885) * CHOOSE(CONTROL!$C$21, $C$9, 100%, $E$9)</f>
        <v>85.388499999999993</v>
      </c>
      <c r="Q878" s="14">
        <f>CHOOSE(CONTROL!$C$42, 85.8074, 85.8074) * CHOOSE(CONTROL!$C$21, $C$9, 100%, $E$9)</f>
        <v>85.807400000000001</v>
      </c>
      <c r="R878" s="14">
        <f>CHOOSE(CONTROL!$C$42, 86.6089, 86.6089) * CHOOSE(CONTROL!$C$21, $C$9, 100%, $E$9)</f>
        <v>86.608900000000006</v>
      </c>
      <c r="S878" s="14">
        <f>CHOOSE(CONTROL!$C$42, 83.4865, 83.4865) * CHOOSE(CONTROL!$C$21, $C$9, 100%, $E$9)</f>
        <v>83.486500000000007</v>
      </c>
      <c r="T87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78" s="57">
        <f>(1000*CHOOSE(CONTROL!$C$42, 695, 695)*CHOOSE(CONTROL!$C$42, 0.5599, 0.5599)*CHOOSE(CONTROL!$C$42, 28, 28))/1000000</f>
        <v>10.895653999999999</v>
      </c>
      <c r="V878" s="57">
        <f>(1000*CHOOSE(CONTROL!$C$42, 500, 500)*CHOOSE(CONTROL!$C$42, 0.275, 0.275)*CHOOSE(CONTROL!$C$42, 28, 28))/1000000</f>
        <v>3.85</v>
      </c>
      <c r="W878" s="57">
        <f>(1000*CHOOSE(CONTROL!$C$42, 0.1146, 0.1146)*CHOOSE(CONTROL!$C$42, 121.5, 121.5)*CHOOSE(CONTROL!$C$42, 28, 28))/1000000</f>
        <v>0.38986920000000003</v>
      </c>
      <c r="X878" s="57">
        <f>(28*0.1790888*100000/1000000)+(28*0.2374*100000/1000000)</f>
        <v>1.16616864</v>
      </c>
      <c r="Y878" s="57"/>
      <c r="Z878" s="14"/>
      <c r="AA878" s="56"/>
      <c r="AB878" s="50">
        <f>(B878*122.58+C878*297.941+D878*89.177+E878*40.302+F878*40+G878*160+H878*0+I878*100+J878*300)/(122.58+297.941+89.177+40.302+0+40+160+100+300)</f>
        <v>86.922249170260855</v>
      </c>
      <c r="AC878" s="45">
        <f>(M878*'RAP TEMPLATE-GAS AVAILABILITY'!O877+N878*'RAP TEMPLATE-GAS AVAILABILITY'!P877+O878*'RAP TEMPLATE-GAS AVAILABILITY'!Q877+P878*'RAP TEMPLATE-GAS AVAILABILITY'!R877)/('RAP TEMPLATE-GAS AVAILABILITY'!O877+'RAP TEMPLATE-GAS AVAILABILITY'!P877+'RAP TEMPLATE-GAS AVAILABILITY'!Q877+'RAP TEMPLATE-GAS AVAILABILITY'!R877)</f>
        <v>85.193741726618697</v>
      </c>
    </row>
    <row r="879" spans="1:29" ht="15.75" x14ac:dyDescent="0.25">
      <c r="A879" s="32">
        <v>67662</v>
      </c>
      <c r="B879" s="14">
        <f>CHOOSE(CONTROL!$C$42, 84.4259, 84.4259) * CHOOSE(CONTROL!$C$21, $C$9, 100%, $E$9)</f>
        <v>84.425899999999999</v>
      </c>
      <c r="C879" s="14">
        <f>CHOOSE(CONTROL!$C$42, 84.4309, 84.4309) * CHOOSE(CONTROL!$C$21, $C$9, 100%, $E$9)</f>
        <v>84.430899999999994</v>
      </c>
      <c r="D879" s="14">
        <f>CHOOSE(CONTROL!$C$42, 84.4973, 84.4973) * CHOOSE(CONTROL!$C$21, $C$9, 100%, $E$9)</f>
        <v>84.497299999999996</v>
      </c>
      <c r="E879" s="14">
        <f>CHOOSE(CONTROL!$C$42, 84.5315, 84.5315) * CHOOSE(CONTROL!$C$21, $C$9, 100%, $E$9)</f>
        <v>84.531499999999994</v>
      </c>
      <c r="F879" s="14">
        <f>CHOOSE(CONTROL!$C$42, 84.4129, 84.4129)*CHOOSE(CONTROL!$C$21, $C$9, 100%, $E$9)</f>
        <v>84.412899999999993</v>
      </c>
      <c r="G879" s="14">
        <f>CHOOSE(CONTROL!$C$42, 84.4283, 84.4283)*CHOOSE(CONTROL!$C$21, $C$9, 100%, $E$9)</f>
        <v>84.428299999999993</v>
      </c>
      <c r="H879" s="14">
        <f>CHOOSE(CONTROL!$C$42, 84.5206, 84.5206) * CHOOSE(CONTROL!$C$21, $C$9, 100%, $E$9)</f>
        <v>84.520600000000002</v>
      </c>
      <c r="I879" s="14">
        <f>CHOOSE(CONTROL!$C$42, 84.6979, 84.6979)* CHOOSE(CONTROL!$C$21, $C$9, 100%, $E$9)</f>
        <v>84.697900000000004</v>
      </c>
      <c r="J879" s="14">
        <f>CHOOSE(CONTROL!$C$42, 84.4059, 84.4059)* CHOOSE(CONTROL!$C$21, $C$9, 100%, $E$9)</f>
        <v>84.405900000000003</v>
      </c>
      <c r="K879" s="53">
        <f>CHOOSE(CONTROL!$C$42, 84.694, 84.694) * CHOOSE(CONTROL!$C$21, $C$9, 100%, $E$9)</f>
        <v>84.694000000000003</v>
      </c>
      <c r="L879" s="14">
        <f>CHOOSE(CONTROL!$C$42, 85.1076, 85.1076) * CHOOSE(CONTROL!$C$21, $C$9, 100%, $E$9)</f>
        <v>85.107600000000005</v>
      </c>
      <c r="M879" s="14">
        <f>CHOOSE(CONTROL!$C$42, 82.6841, 82.6841) * CHOOSE(CONTROL!$C$21, $C$9, 100%, $E$9)</f>
        <v>82.684100000000001</v>
      </c>
      <c r="N879" s="14">
        <f>CHOOSE(CONTROL!$C$42, 82.6992, 82.6992) * CHOOSE(CONTROL!$C$21, $C$9, 100%, $E$9)</f>
        <v>82.699200000000005</v>
      </c>
      <c r="O879" s="14">
        <f>CHOOSE(CONTROL!$C$42, 82.7966, 82.7966) * CHOOSE(CONTROL!$C$21, $C$9, 100%, $E$9)</f>
        <v>82.796599999999998</v>
      </c>
      <c r="P879" s="14">
        <f>CHOOSE(CONTROL!$C$42, 82.9649, 82.9649) * CHOOSE(CONTROL!$C$21, $C$9, 100%, $E$9)</f>
        <v>82.9649</v>
      </c>
      <c r="Q879" s="14">
        <f>CHOOSE(CONTROL!$C$42, 83.3913, 83.3913) * CHOOSE(CONTROL!$C$21, $C$9, 100%, $E$9)</f>
        <v>83.391300000000001</v>
      </c>
      <c r="R879" s="14">
        <f>CHOOSE(CONTROL!$C$42, 84.1867, 84.1867) * CHOOSE(CONTROL!$C$21, $C$9, 100%, $E$9)</f>
        <v>84.186700000000002</v>
      </c>
      <c r="S879" s="14">
        <f>CHOOSE(CONTROL!$C$42, 81.1163, 81.1163) * CHOOSE(CONTROL!$C$21, $C$9, 100%, $E$9)</f>
        <v>81.116299999999995</v>
      </c>
      <c r="T87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79" s="57">
        <f>(1000*CHOOSE(CONTROL!$C$42, 695, 695)*CHOOSE(CONTROL!$C$42, 0.5599, 0.5599)*CHOOSE(CONTROL!$C$42, 31, 31))/1000000</f>
        <v>12.063045499999998</v>
      </c>
      <c r="V879" s="57">
        <f>(1000*CHOOSE(CONTROL!$C$42, 500, 500)*CHOOSE(CONTROL!$C$42, 0.275, 0.275)*CHOOSE(CONTROL!$C$42, 31, 31))/1000000</f>
        <v>4.2625000000000002</v>
      </c>
      <c r="W879" s="57">
        <f>(1000*CHOOSE(CONTROL!$C$42, 0.1146, 0.1146)*CHOOSE(CONTROL!$C$42, 121.5, 121.5)*CHOOSE(CONTROL!$C$42, 31, 31))/1000000</f>
        <v>0.43164089999999994</v>
      </c>
      <c r="X879" s="57">
        <f>(31*0.1790888*100000/1000000)+(31*0.2374*100000/1000000)</f>
        <v>1.2911152800000001</v>
      </c>
      <c r="Y879" s="57"/>
      <c r="Z879" s="14"/>
      <c r="AA879" s="56"/>
      <c r="AB879" s="50">
        <f>(B879*122.58+C879*297.941+D879*89.177+E879*40.302+F879*40+G879*160+H879*0+I879*100+J879*300)/(122.58+297.941+89.177+40.302+0+40+160+100+300)</f>
        <v>84.454749420869561</v>
      </c>
      <c r="AC879" s="45">
        <f>(M879*'RAP TEMPLATE-GAS AVAILABILITY'!O878+N879*'RAP TEMPLATE-GAS AVAILABILITY'!P878+O879*'RAP TEMPLATE-GAS AVAILABILITY'!Q878+P879*'RAP TEMPLATE-GAS AVAILABILITY'!R878)/('RAP TEMPLATE-GAS AVAILABILITY'!O878+'RAP TEMPLATE-GAS AVAILABILITY'!P878+'RAP TEMPLATE-GAS AVAILABILITY'!Q878+'RAP TEMPLATE-GAS AVAILABILITY'!R878)</f>
        <v>82.776361151079143</v>
      </c>
    </row>
    <row r="880" spans="1:29" ht="15.75" x14ac:dyDescent="0.25">
      <c r="A880" s="32">
        <v>67692</v>
      </c>
      <c r="B880" s="14">
        <f>CHOOSE(CONTROL!$C$42, 84.1743, 84.1743) * CHOOSE(CONTROL!$C$21, $C$9, 100%, $E$9)</f>
        <v>84.174300000000002</v>
      </c>
      <c r="C880" s="14">
        <f>CHOOSE(CONTROL!$C$42, 84.1788, 84.1788) * CHOOSE(CONTROL!$C$21, $C$9, 100%, $E$9)</f>
        <v>84.178799999999995</v>
      </c>
      <c r="D880" s="14">
        <f>CHOOSE(CONTROL!$C$42, 84.3858, 84.3858) * CHOOSE(CONTROL!$C$21, $C$9, 100%, $E$9)</f>
        <v>84.385800000000003</v>
      </c>
      <c r="E880" s="14">
        <f>CHOOSE(CONTROL!$C$42, 84.4179, 84.4179) * CHOOSE(CONTROL!$C$21, $C$9, 100%, $E$9)</f>
        <v>84.417900000000003</v>
      </c>
      <c r="F880" s="14">
        <f>CHOOSE(CONTROL!$C$42, 84.1562, 84.1562)*CHOOSE(CONTROL!$C$21, $C$9, 100%, $E$9)</f>
        <v>84.156199999999998</v>
      </c>
      <c r="G880" s="14">
        <f>CHOOSE(CONTROL!$C$42, 84.1714, 84.1714)*CHOOSE(CONTROL!$C$21, $C$9, 100%, $E$9)</f>
        <v>84.171400000000006</v>
      </c>
      <c r="H880" s="14">
        <f>CHOOSE(CONTROL!$C$42, 84.4077, 84.4077) * CHOOSE(CONTROL!$C$21, $C$9, 100%, $E$9)</f>
        <v>84.407700000000006</v>
      </c>
      <c r="I880" s="14">
        <f>CHOOSE(CONTROL!$C$42, 84.4447, 84.4447)* CHOOSE(CONTROL!$C$21, $C$9, 100%, $E$9)</f>
        <v>84.444699999999997</v>
      </c>
      <c r="J880" s="14">
        <f>CHOOSE(CONTROL!$C$42, 84.1492, 84.1492)* CHOOSE(CONTROL!$C$21, $C$9, 100%, $E$9)</f>
        <v>84.149199999999993</v>
      </c>
      <c r="K880" s="53">
        <f>CHOOSE(CONTROL!$C$42, 84.4409, 84.4409) * CHOOSE(CONTROL!$C$21, $C$9, 100%, $E$9)</f>
        <v>84.440899999999999</v>
      </c>
      <c r="L880" s="14">
        <f>CHOOSE(CONTROL!$C$42, 84.9947, 84.9947) * CHOOSE(CONTROL!$C$21, $C$9, 100%, $E$9)</f>
        <v>84.994699999999995</v>
      </c>
      <c r="M880" s="14">
        <f>CHOOSE(CONTROL!$C$42, 82.4327, 82.4327) * CHOOSE(CONTROL!$C$21, $C$9, 100%, $E$9)</f>
        <v>82.432699999999997</v>
      </c>
      <c r="N880" s="14">
        <f>CHOOSE(CONTROL!$C$42, 82.4476, 82.4476) * CHOOSE(CONTROL!$C$21, $C$9, 100%, $E$9)</f>
        <v>82.447599999999994</v>
      </c>
      <c r="O880" s="14">
        <f>CHOOSE(CONTROL!$C$42, 82.686, 82.686) * CHOOSE(CONTROL!$C$21, $C$9, 100%, $E$9)</f>
        <v>82.686000000000007</v>
      </c>
      <c r="P880" s="14">
        <f>CHOOSE(CONTROL!$C$42, 82.717, 82.717) * CHOOSE(CONTROL!$C$21, $C$9, 100%, $E$9)</f>
        <v>82.716999999999999</v>
      </c>
      <c r="Q880" s="14">
        <f>CHOOSE(CONTROL!$C$42, 83.2807, 83.2807) * CHOOSE(CONTROL!$C$21, $C$9, 100%, $E$9)</f>
        <v>83.280699999999996</v>
      </c>
      <c r="R880" s="14">
        <f>CHOOSE(CONTROL!$C$42, 84.0759, 84.0759) * CHOOSE(CONTROL!$C$21, $C$9, 100%, $E$9)</f>
        <v>84.075900000000004</v>
      </c>
      <c r="S880" s="14">
        <f>CHOOSE(CONTROL!$C$42, 80.8738, 80.8738) * CHOOSE(CONTROL!$C$21, $C$9, 100%, $E$9)</f>
        <v>80.873800000000003</v>
      </c>
      <c r="T88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80" s="57">
        <f>(1000*CHOOSE(CONTROL!$C$42, 695, 695)*CHOOSE(CONTROL!$C$42, 0.5599, 0.5599)*CHOOSE(CONTROL!$C$42, 30, 30))/1000000</f>
        <v>11.673914999999997</v>
      </c>
      <c r="V880" s="57">
        <f>(1000*CHOOSE(CONTROL!$C$42, 500, 500)*CHOOSE(CONTROL!$C$42, 0.275, 0.275)*CHOOSE(CONTROL!$C$42, 30, 30))/1000000</f>
        <v>4.125</v>
      </c>
      <c r="W880" s="57">
        <f>(1000*CHOOSE(CONTROL!$C$42, 0.1146, 0.1146)*CHOOSE(CONTROL!$C$42, 121.5, 121.5)*CHOOSE(CONTROL!$C$42, 30, 30))/1000000</f>
        <v>0.417717</v>
      </c>
      <c r="X880" s="57">
        <f>(30*0.1790888*245000/1000000)+(30*0.2374*100000/1000000)</f>
        <v>2.0285026799999999</v>
      </c>
      <c r="Y880" s="57"/>
      <c r="Z880" s="14"/>
      <c r="AA880" s="56"/>
      <c r="AB880" s="50">
        <f>(B880*141.293+C880*267.993+D880*115.016+E880*89.698+F880*40+G880*185+H880*0+I880*100+J880*300)/(141.293+267.993+115.016+89.698+0+40+185+100+300)</f>
        <v>84.227271578127514</v>
      </c>
      <c r="AC880" s="45">
        <f>(M880*'RAP TEMPLATE-GAS AVAILABILITY'!O879+N880*'RAP TEMPLATE-GAS AVAILABILITY'!P879+O880*'RAP TEMPLATE-GAS AVAILABILITY'!Q879+P880*'RAP TEMPLATE-GAS AVAILABILITY'!R879)/('RAP TEMPLATE-GAS AVAILABILITY'!O879+'RAP TEMPLATE-GAS AVAILABILITY'!P879+'RAP TEMPLATE-GAS AVAILABILITY'!Q879+'RAP TEMPLATE-GAS AVAILABILITY'!R879)</f>
        <v>82.589269064748208</v>
      </c>
    </row>
    <row r="881" spans="1:29" ht="15.75" x14ac:dyDescent="0.25">
      <c r="A881" s="32">
        <v>67723</v>
      </c>
      <c r="B881" s="14">
        <f>CHOOSE(CONTROL!$C$42, 84.9185, 84.9185) * CHOOSE(CONTROL!$C$21, $C$9, 100%, $E$9)</f>
        <v>84.918499999999995</v>
      </c>
      <c r="C881" s="14">
        <f>CHOOSE(CONTROL!$C$42, 84.9265, 84.9265) * CHOOSE(CONTROL!$C$21, $C$9, 100%, $E$9)</f>
        <v>84.926500000000004</v>
      </c>
      <c r="D881" s="14">
        <f>CHOOSE(CONTROL!$C$42, 85.1305, 85.1305) * CHOOSE(CONTROL!$C$21, $C$9, 100%, $E$9)</f>
        <v>85.130499999999998</v>
      </c>
      <c r="E881" s="14">
        <f>CHOOSE(CONTROL!$C$42, 85.1619, 85.1619) * CHOOSE(CONTROL!$C$21, $C$9, 100%, $E$9)</f>
        <v>85.161900000000003</v>
      </c>
      <c r="F881" s="14">
        <f>CHOOSE(CONTROL!$C$42, 84.8993, 84.8993)*CHOOSE(CONTROL!$C$21, $C$9, 100%, $E$9)</f>
        <v>84.899299999999997</v>
      </c>
      <c r="G881" s="14">
        <f>CHOOSE(CONTROL!$C$42, 84.9149, 84.9149)*CHOOSE(CONTROL!$C$21, $C$9, 100%, $E$9)</f>
        <v>84.914900000000003</v>
      </c>
      <c r="H881" s="14">
        <f>CHOOSE(CONTROL!$C$42, 85.1506, 85.1506) * CHOOSE(CONTROL!$C$21, $C$9, 100%, $E$9)</f>
        <v>85.150599999999997</v>
      </c>
      <c r="I881" s="14">
        <f>CHOOSE(CONTROL!$C$42, 85.1899, 85.1899)* CHOOSE(CONTROL!$C$21, $C$9, 100%, $E$9)</f>
        <v>85.189899999999994</v>
      </c>
      <c r="J881" s="14">
        <f>CHOOSE(CONTROL!$C$42, 84.8923, 84.8923)* CHOOSE(CONTROL!$C$21, $C$9, 100%, $E$9)</f>
        <v>84.892300000000006</v>
      </c>
      <c r="K881" s="53">
        <f>CHOOSE(CONTROL!$C$42, 85.186, 85.186) * CHOOSE(CONTROL!$C$21, $C$9, 100%, $E$9)</f>
        <v>85.186000000000007</v>
      </c>
      <c r="L881" s="14">
        <f>CHOOSE(CONTROL!$C$42, 85.7376, 85.7376) * CHOOSE(CONTROL!$C$21, $C$9, 100%, $E$9)</f>
        <v>85.7376</v>
      </c>
      <c r="M881" s="14">
        <f>CHOOSE(CONTROL!$C$42, 83.1606, 83.1606) * CHOOSE(CONTROL!$C$21, $C$9, 100%, $E$9)</f>
        <v>83.160600000000002</v>
      </c>
      <c r="N881" s="14">
        <f>CHOOSE(CONTROL!$C$42, 83.1759, 83.1759) * CHOOSE(CONTROL!$C$21, $C$9, 100%, $E$9)</f>
        <v>83.175899999999999</v>
      </c>
      <c r="O881" s="14">
        <f>CHOOSE(CONTROL!$C$42, 83.4136, 83.4136) * CHOOSE(CONTROL!$C$21, $C$9, 100%, $E$9)</f>
        <v>83.413600000000002</v>
      </c>
      <c r="P881" s="14">
        <f>CHOOSE(CONTROL!$C$42, 83.4468, 83.4468) * CHOOSE(CONTROL!$C$21, $C$9, 100%, $E$9)</f>
        <v>83.446799999999996</v>
      </c>
      <c r="Q881" s="14">
        <f>CHOOSE(CONTROL!$C$42, 84.0083, 84.0083) * CHOOSE(CONTROL!$C$21, $C$9, 100%, $E$9)</f>
        <v>84.008300000000006</v>
      </c>
      <c r="R881" s="14">
        <f>CHOOSE(CONTROL!$C$42, 84.8053, 84.8053) * CHOOSE(CONTROL!$C$21, $C$9, 100%, $E$9)</f>
        <v>84.805300000000003</v>
      </c>
      <c r="S881" s="14">
        <f>CHOOSE(CONTROL!$C$42, 81.5876, 81.5876) * CHOOSE(CONTROL!$C$21, $C$9, 100%, $E$9)</f>
        <v>81.587599999999995</v>
      </c>
      <c r="T88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81" s="57">
        <f>(1000*CHOOSE(CONTROL!$C$42, 695, 695)*CHOOSE(CONTROL!$C$42, 0.5599, 0.5599)*CHOOSE(CONTROL!$C$42, 31, 31))/1000000</f>
        <v>12.063045499999998</v>
      </c>
      <c r="V881" s="57">
        <f>(1000*CHOOSE(CONTROL!$C$42, 500, 500)*CHOOSE(CONTROL!$C$42, 0.275, 0.275)*CHOOSE(CONTROL!$C$42, 31, 31))/1000000</f>
        <v>4.2625000000000002</v>
      </c>
      <c r="W881" s="57">
        <f>(1000*CHOOSE(CONTROL!$C$42, 0.1146, 0.1146)*CHOOSE(CONTROL!$C$42, 121.5, 121.5)*CHOOSE(CONTROL!$C$42, 31, 31))/1000000</f>
        <v>0.43164089999999994</v>
      </c>
      <c r="X881" s="57">
        <f>(31*0.1790888*245000/1000000)+(31*0.2374*100000/1000000)</f>
        <v>2.0961194359999999</v>
      </c>
      <c r="Y881" s="57"/>
      <c r="Z881" s="14"/>
      <c r="AA881" s="56"/>
      <c r="AB881" s="50">
        <f>(B881*194.205+C881*267.466+D881*133.845+E881*53.484+F881*40+G881*185+H881*0+I881*100+J881*300)/(194.205+267.466+133.845+53.484+0+40+185+100+300)</f>
        <v>84.966678079748831</v>
      </c>
      <c r="AC881" s="45">
        <f>(M881*'RAP TEMPLATE-GAS AVAILABILITY'!O880+N881*'RAP TEMPLATE-GAS AVAILABILITY'!P880+O881*'RAP TEMPLATE-GAS AVAILABILITY'!Q880+P881*'RAP TEMPLATE-GAS AVAILABILITY'!R880)/('RAP TEMPLATE-GAS AVAILABILITY'!O880+'RAP TEMPLATE-GAS AVAILABILITY'!P880+'RAP TEMPLATE-GAS AVAILABILITY'!Q880+'RAP TEMPLATE-GAS AVAILABILITY'!R880)</f>
        <v>83.317329496402877</v>
      </c>
    </row>
    <row r="882" spans="1:29" ht="15.75" x14ac:dyDescent="0.25">
      <c r="A882" s="32">
        <v>67753</v>
      </c>
      <c r="B882" s="14">
        <f>CHOOSE(CONTROL!$C$42, 87.327, 87.327) * CHOOSE(CONTROL!$C$21, $C$9, 100%, $E$9)</f>
        <v>87.326999999999998</v>
      </c>
      <c r="C882" s="14">
        <f>CHOOSE(CONTROL!$C$42, 87.335, 87.335) * CHOOSE(CONTROL!$C$21, $C$9, 100%, $E$9)</f>
        <v>87.334999999999994</v>
      </c>
      <c r="D882" s="14">
        <f>CHOOSE(CONTROL!$C$42, 87.539, 87.539) * CHOOSE(CONTROL!$C$21, $C$9, 100%, $E$9)</f>
        <v>87.539000000000001</v>
      </c>
      <c r="E882" s="14">
        <f>CHOOSE(CONTROL!$C$42, 87.5704, 87.5704) * CHOOSE(CONTROL!$C$21, $C$9, 100%, $E$9)</f>
        <v>87.570400000000006</v>
      </c>
      <c r="F882" s="14">
        <f>CHOOSE(CONTROL!$C$42, 87.3082, 87.3082)*CHOOSE(CONTROL!$C$21, $C$9, 100%, $E$9)</f>
        <v>87.308199999999999</v>
      </c>
      <c r="G882" s="14">
        <f>CHOOSE(CONTROL!$C$42, 87.3239, 87.3239)*CHOOSE(CONTROL!$C$21, $C$9, 100%, $E$9)</f>
        <v>87.323899999999995</v>
      </c>
      <c r="H882" s="14">
        <f>CHOOSE(CONTROL!$C$42, 87.5591, 87.5591) * CHOOSE(CONTROL!$C$21, $C$9, 100%, $E$9)</f>
        <v>87.559100000000001</v>
      </c>
      <c r="I882" s="14">
        <f>CHOOSE(CONTROL!$C$42, 87.6059, 87.6059)* CHOOSE(CONTROL!$C$21, $C$9, 100%, $E$9)</f>
        <v>87.605900000000005</v>
      </c>
      <c r="J882" s="14">
        <f>CHOOSE(CONTROL!$C$42, 87.3012, 87.3012)* CHOOSE(CONTROL!$C$21, $C$9, 100%, $E$9)</f>
        <v>87.301199999999994</v>
      </c>
      <c r="K882" s="53">
        <f>CHOOSE(CONTROL!$C$42, 87.6021, 87.6021) * CHOOSE(CONTROL!$C$21, $C$9, 100%, $E$9)</f>
        <v>87.602099999999993</v>
      </c>
      <c r="L882" s="14">
        <f>CHOOSE(CONTROL!$C$42, 88.1461, 88.1461) * CHOOSE(CONTROL!$C$21, $C$9, 100%, $E$9)</f>
        <v>88.146100000000004</v>
      </c>
      <c r="M882" s="14">
        <f>CHOOSE(CONTROL!$C$42, 85.5201, 85.5201) * CHOOSE(CONTROL!$C$21, $C$9, 100%, $E$9)</f>
        <v>85.520099999999999</v>
      </c>
      <c r="N882" s="14">
        <f>CHOOSE(CONTROL!$C$42, 85.5356, 85.5356) * CHOOSE(CONTROL!$C$21, $C$9, 100%, $E$9)</f>
        <v>85.535600000000002</v>
      </c>
      <c r="O882" s="14">
        <f>CHOOSE(CONTROL!$C$42, 85.7727, 85.7727) * CHOOSE(CONTROL!$C$21, $C$9, 100%, $E$9)</f>
        <v>85.7727</v>
      </c>
      <c r="P882" s="14">
        <f>CHOOSE(CONTROL!$C$42, 85.8132, 85.8132) * CHOOSE(CONTROL!$C$21, $C$9, 100%, $E$9)</f>
        <v>85.813199999999995</v>
      </c>
      <c r="Q882" s="14">
        <f>CHOOSE(CONTROL!$C$42, 86.3674, 86.3674) * CHOOSE(CONTROL!$C$21, $C$9, 100%, $E$9)</f>
        <v>86.367400000000004</v>
      </c>
      <c r="R882" s="14">
        <f>CHOOSE(CONTROL!$C$42, 87.1704, 87.1704) * CHOOSE(CONTROL!$C$21, $C$9, 100%, $E$9)</f>
        <v>87.170400000000001</v>
      </c>
      <c r="S882" s="14">
        <f>CHOOSE(CONTROL!$C$42, 83.9019, 83.9019) * CHOOSE(CONTROL!$C$21, $C$9, 100%, $E$9)</f>
        <v>83.901899999999998</v>
      </c>
      <c r="T88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82" s="57">
        <f>(1000*CHOOSE(CONTROL!$C$42, 695, 695)*CHOOSE(CONTROL!$C$42, 0.5599, 0.5599)*CHOOSE(CONTROL!$C$42, 30, 30))/1000000</f>
        <v>11.673914999999997</v>
      </c>
      <c r="V882" s="57">
        <f>(1000*CHOOSE(CONTROL!$C$42, 500, 500)*CHOOSE(CONTROL!$C$42, 0.275, 0.275)*CHOOSE(CONTROL!$C$42, 30, 30))/1000000</f>
        <v>4.125</v>
      </c>
      <c r="W882" s="57">
        <f>(1000*CHOOSE(CONTROL!$C$42, 0.1146, 0.1146)*CHOOSE(CONTROL!$C$42, 121.5, 121.5)*CHOOSE(CONTROL!$C$42, 30, 30))/1000000</f>
        <v>0.417717</v>
      </c>
      <c r="X882" s="57">
        <f>(30*0.1790888*245000/1000000)+(30*0.2374*100000/1000000)</f>
        <v>2.0285026799999999</v>
      </c>
      <c r="Y882" s="57"/>
      <c r="Z882" s="14"/>
      <c r="AA882" s="56"/>
      <c r="AB882" s="50">
        <f>(B882*194.205+C882*267.466+D882*133.845+E882*53.484+F882*40+G882*185+H882*0+I882*100+J882*300)/(194.205+267.466+133.845+53.484+0+40+185+100+300)</f>
        <v>87.375946133124017</v>
      </c>
      <c r="AC882" s="45">
        <f>(M882*'RAP TEMPLATE-GAS AVAILABILITY'!O881+N882*'RAP TEMPLATE-GAS AVAILABILITY'!P881+O882*'RAP TEMPLATE-GAS AVAILABILITY'!Q881+P882*'RAP TEMPLATE-GAS AVAILABILITY'!R881)/('RAP TEMPLATE-GAS AVAILABILITY'!O881+'RAP TEMPLATE-GAS AVAILABILITY'!P881+'RAP TEMPLATE-GAS AVAILABILITY'!Q881+'RAP TEMPLATE-GAS AVAILABILITY'!R881)</f>
        <v>85.677652517985607</v>
      </c>
    </row>
    <row r="883" spans="1:29" ht="15.75" x14ac:dyDescent="0.25">
      <c r="A883" s="32">
        <v>67784</v>
      </c>
      <c r="B883" s="14">
        <f>CHOOSE(CONTROL!$C$42, 85.6519, 85.6519) * CHOOSE(CONTROL!$C$21, $C$9, 100%, $E$9)</f>
        <v>85.651899999999998</v>
      </c>
      <c r="C883" s="14">
        <f>CHOOSE(CONTROL!$C$42, 85.6599, 85.6599) * CHOOSE(CONTROL!$C$21, $C$9, 100%, $E$9)</f>
        <v>85.659899999999993</v>
      </c>
      <c r="D883" s="14">
        <f>CHOOSE(CONTROL!$C$42, 85.8638, 85.8638) * CHOOSE(CONTROL!$C$21, $C$9, 100%, $E$9)</f>
        <v>85.863799999999998</v>
      </c>
      <c r="E883" s="14">
        <f>CHOOSE(CONTROL!$C$42, 85.8953, 85.8953) * CHOOSE(CONTROL!$C$21, $C$9, 100%, $E$9)</f>
        <v>85.895300000000006</v>
      </c>
      <c r="F883" s="14">
        <f>CHOOSE(CONTROL!$C$42, 85.6335, 85.6335)*CHOOSE(CONTROL!$C$21, $C$9, 100%, $E$9)</f>
        <v>85.633499999999998</v>
      </c>
      <c r="G883" s="14">
        <f>CHOOSE(CONTROL!$C$42, 85.6494, 85.6494)*CHOOSE(CONTROL!$C$21, $C$9, 100%, $E$9)</f>
        <v>85.6494</v>
      </c>
      <c r="H883" s="14">
        <f>CHOOSE(CONTROL!$C$42, 85.8839, 85.8839) * CHOOSE(CONTROL!$C$21, $C$9, 100%, $E$9)</f>
        <v>85.883899999999997</v>
      </c>
      <c r="I883" s="14">
        <f>CHOOSE(CONTROL!$C$42, 85.9256, 85.9256)* CHOOSE(CONTROL!$C$21, $C$9, 100%, $E$9)</f>
        <v>85.925600000000003</v>
      </c>
      <c r="J883" s="14">
        <f>CHOOSE(CONTROL!$C$42, 85.6265, 85.6265)* CHOOSE(CONTROL!$C$21, $C$9, 100%, $E$9)</f>
        <v>85.626499999999993</v>
      </c>
      <c r="K883" s="53">
        <f>CHOOSE(CONTROL!$C$42, 85.9217, 85.9217) * CHOOSE(CONTROL!$C$21, $C$9, 100%, $E$9)</f>
        <v>85.921700000000001</v>
      </c>
      <c r="L883" s="14">
        <f>CHOOSE(CONTROL!$C$42, 86.4709, 86.4709) * CHOOSE(CONTROL!$C$21, $C$9, 100%, $E$9)</f>
        <v>86.4709</v>
      </c>
      <c r="M883" s="14">
        <f>CHOOSE(CONTROL!$C$42, 83.8798, 83.8798) * CHOOSE(CONTROL!$C$21, $C$9, 100%, $E$9)</f>
        <v>83.879800000000003</v>
      </c>
      <c r="N883" s="14">
        <f>CHOOSE(CONTROL!$C$42, 83.8953, 83.8953) * CHOOSE(CONTROL!$C$21, $C$9, 100%, $E$9)</f>
        <v>83.895300000000006</v>
      </c>
      <c r="O883" s="14">
        <f>CHOOSE(CONTROL!$C$42, 84.1319, 84.1319) * CHOOSE(CONTROL!$C$21, $C$9, 100%, $E$9)</f>
        <v>84.131900000000002</v>
      </c>
      <c r="P883" s="14">
        <f>CHOOSE(CONTROL!$C$42, 84.1674, 84.1674) * CHOOSE(CONTROL!$C$21, $C$9, 100%, $E$9)</f>
        <v>84.167400000000001</v>
      </c>
      <c r="Q883" s="14">
        <f>CHOOSE(CONTROL!$C$42, 84.7266, 84.7266) * CHOOSE(CONTROL!$C$21, $C$9, 100%, $E$9)</f>
        <v>84.726600000000005</v>
      </c>
      <c r="R883" s="14">
        <f>CHOOSE(CONTROL!$C$42, 85.5255, 85.5255) * CHOOSE(CONTROL!$C$21, $C$9, 100%, $E$9)</f>
        <v>85.525499999999994</v>
      </c>
      <c r="S883" s="14">
        <f>CHOOSE(CONTROL!$C$42, 82.2923, 82.2923) * CHOOSE(CONTROL!$C$21, $C$9, 100%, $E$9)</f>
        <v>82.292299999999997</v>
      </c>
      <c r="T88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83" s="57">
        <f>(1000*CHOOSE(CONTROL!$C$42, 695, 695)*CHOOSE(CONTROL!$C$42, 0.5599, 0.5599)*CHOOSE(CONTROL!$C$42, 31, 31))/1000000</f>
        <v>12.063045499999998</v>
      </c>
      <c r="V883" s="57">
        <f>(1000*CHOOSE(CONTROL!$C$42, 500, 500)*CHOOSE(CONTROL!$C$42, 0.275, 0.275)*CHOOSE(CONTROL!$C$42, 31, 31))/1000000</f>
        <v>4.2625000000000002</v>
      </c>
      <c r="W883" s="57">
        <f>(1000*CHOOSE(CONTROL!$C$42, 0.1146, 0.1146)*CHOOSE(CONTROL!$C$42, 121.5, 121.5)*CHOOSE(CONTROL!$C$42, 31, 31))/1000000</f>
        <v>0.43164089999999994</v>
      </c>
      <c r="X883" s="57">
        <f>(31*0.1790888*245000/1000000)+(31*0.2374*100000/1000000)</f>
        <v>2.0961194359999999</v>
      </c>
      <c r="Y883" s="57"/>
      <c r="Z883" s="14"/>
      <c r="AA883" s="56"/>
      <c r="AB883" s="50">
        <f>(B883*194.205+C883*267.466+D883*133.845+E883*53.484+F883*40+G883*185+H883*0+I883*100+J883*300)/(194.205+267.466+133.845+53.484+0+40+185+100+300)</f>
        <v>85.700621341522748</v>
      </c>
      <c r="AC883" s="45">
        <f>(M883*'RAP TEMPLATE-GAS AVAILABILITY'!O882+N883*'RAP TEMPLATE-GAS AVAILABILITY'!P882+O883*'RAP TEMPLATE-GAS AVAILABILITY'!Q882+P883*'RAP TEMPLATE-GAS AVAILABILITY'!R882)/('RAP TEMPLATE-GAS AVAILABILITY'!O882+'RAP TEMPLATE-GAS AVAILABILITY'!P882+'RAP TEMPLATE-GAS AVAILABILITY'!Q882+'RAP TEMPLATE-GAS AVAILABILITY'!R882)</f>
        <v>84.036334532374099</v>
      </c>
    </row>
    <row r="884" spans="1:29" ht="15.75" x14ac:dyDescent="0.25">
      <c r="A884" s="32">
        <v>67815</v>
      </c>
      <c r="B884" s="14">
        <f>CHOOSE(CONTROL!$C$42, 81.4217, 81.4217) * CHOOSE(CONTROL!$C$21, $C$9, 100%, $E$9)</f>
        <v>81.421700000000001</v>
      </c>
      <c r="C884" s="14">
        <f>CHOOSE(CONTROL!$C$42, 81.4297, 81.4297) * CHOOSE(CONTROL!$C$21, $C$9, 100%, $E$9)</f>
        <v>81.429699999999997</v>
      </c>
      <c r="D884" s="14">
        <f>CHOOSE(CONTROL!$C$42, 81.6336, 81.6336) * CHOOSE(CONTROL!$C$21, $C$9, 100%, $E$9)</f>
        <v>81.633600000000001</v>
      </c>
      <c r="E884" s="14">
        <f>CHOOSE(CONTROL!$C$42, 81.6651, 81.6651) * CHOOSE(CONTROL!$C$21, $C$9, 100%, $E$9)</f>
        <v>81.665099999999995</v>
      </c>
      <c r="F884" s="14">
        <f>CHOOSE(CONTROL!$C$42, 81.4035, 81.4035)*CHOOSE(CONTROL!$C$21, $C$9, 100%, $E$9)</f>
        <v>81.403499999999994</v>
      </c>
      <c r="G884" s="14">
        <f>CHOOSE(CONTROL!$C$42, 81.4195, 81.4195)*CHOOSE(CONTROL!$C$21, $C$9, 100%, $E$9)</f>
        <v>81.419499999999999</v>
      </c>
      <c r="H884" s="14">
        <f>CHOOSE(CONTROL!$C$42, 81.6537, 81.6537) * CHOOSE(CONTROL!$C$21, $C$9, 100%, $E$9)</f>
        <v>81.653700000000001</v>
      </c>
      <c r="I884" s="14">
        <f>CHOOSE(CONTROL!$C$42, 81.6821, 81.6821)* CHOOSE(CONTROL!$C$21, $C$9, 100%, $E$9)</f>
        <v>81.682100000000005</v>
      </c>
      <c r="J884" s="14">
        <f>CHOOSE(CONTROL!$C$42, 81.3965, 81.3965)* CHOOSE(CONTROL!$C$21, $C$9, 100%, $E$9)</f>
        <v>81.396500000000003</v>
      </c>
      <c r="K884" s="53">
        <f>CHOOSE(CONTROL!$C$42, 81.6782, 81.6782) * CHOOSE(CONTROL!$C$21, $C$9, 100%, $E$9)</f>
        <v>81.678200000000004</v>
      </c>
      <c r="L884" s="14">
        <f>CHOOSE(CONTROL!$C$42, 82.2407, 82.2407) * CHOOSE(CONTROL!$C$21, $C$9, 100%, $E$9)</f>
        <v>82.240700000000004</v>
      </c>
      <c r="M884" s="14">
        <f>CHOOSE(CONTROL!$C$42, 79.7365, 79.7365) * CHOOSE(CONTROL!$C$21, $C$9, 100%, $E$9)</f>
        <v>79.736500000000007</v>
      </c>
      <c r="N884" s="14">
        <f>CHOOSE(CONTROL!$C$42, 79.7521, 79.7521) * CHOOSE(CONTROL!$C$21, $C$9, 100%, $E$9)</f>
        <v>79.752099999999999</v>
      </c>
      <c r="O884" s="14">
        <f>CHOOSE(CONTROL!$C$42, 79.9884, 79.9884) * CHOOSE(CONTROL!$C$21, $C$9, 100%, $E$9)</f>
        <v>79.988399999999999</v>
      </c>
      <c r="P884" s="14">
        <f>CHOOSE(CONTROL!$C$42, 80.0112, 80.0112) * CHOOSE(CONTROL!$C$21, $C$9, 100%, $E$9)</f>
        <v>80.011200000000002</v>
      </c>
      <c r="Q884" s="14">
        <f>CHOOSE(CONTROL!$C$42, 80.5831, 80.5831) * CHOOSE(CONTROL!$C$21, $C$9, 100%, $E$9)</f>
        <v>80.583100000000002</v>
      </c>
      <c r="R884" s="14">
        <f>CHOOSE(CONTROL!$C$42, 81.3716, 81.3716) * CHOOSE(CONTROL!$C$21, $C$9, 100%, $E$9)</f>
        <v>81.371600000000001</v>
      </c>
      <c r="S884" s="14">
        <f>CHOOSE(CONTROL!$C$42, 78.2275, 78.2275) * CHOOSE(CONTROL!$C$21, $C$9, 100%, $E$9)</f>
        <v>78.227500000000006</v>
      </c>
      <c r="T88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84" s="57">
        <f>(1000*CHOOSE(CONTROL!$C$42, 695, 695)*CHOOSE(CONTROL!$C$42, 0.5599, 0.5599)*CHOOSE(CONTROL!$C$42, 31, 31))/1000000</f>
        <v>12.063045499999998</v>
      </c>
      <c r="V884" s="57">
        <f>(1000*CHOOSE(CONTROL!$C$42, 500, 500)*CHOOSE(CONTROL!$C$42, 0.275, 0.275)*CHOOSE(CONTROL!$C$42, 31, 31))/1000000</f>
        <v>4.2625000000000002</v>
      </c>
      <c r="W884" s="57">
        <f>(1000*CHOOSE(CONTROL!$C$42, 0.1146, 0.1146)*CHOOSE(CONTROL!$C$42, 121.5, 121.5)*CHOOSE(CONTROL!$C$42, 31, 31))/1000000</f>
        <v>0.43164089999999994</v>
      </c>
      <c r="X884" s="57">
        <f>(31*0.1790888*245000/1000000)+(31*0.2374*100000/1000000)</f>
        <v>2.0961194359999999</v>
      </c>
      <c r="Y884" s="57"/>
      <c r="Z884" s="14"/>
      <c r="AA884" s="56"/>
      <c r="AB884" s="50">
        <f>(B884*194.205+C884*267.466+D884*133.845+E884*53.484+F884*40+G884*185+H884*0+I884*100+J884*300)/(194.205+267.466+133.845+53.484+0+40+185+100+300)</f>
        <v>81.469474324254321</v>
      </c>
      <c r="AC884" s="45">
        <f>(M884*'RAP TEMPLATE-GAS AVAILABILITY'!O883+N884*'RAP TEMPLATE-GAS AVAILABILITY'!P883+O884*'RAP TEMPLATE-GAS AVAILABILITY'!Q883+P884*'RAP TEMPLATE-GAS AVAILABILITY'!R883)/('RAP TEMPLATE-GAS AVAILABILITY'!O883+'RAP TEMPLATE-GAS AVAILABILITY'!P883+'RAP TEMPLATE-GAS AVAILABILITY'!Q883+'RAP TEMPLATE-GAS AVAILABILITY'!R883)</f>
        <v>79.891093525179869</v>
      </c>
    </row>
    <row r="885" spans="1:29" ht="15.75" x14ac:dyDescent="0.25">
      <c r="A885" s="32">
        <v>67845</v>
      </c>
      <c r="B885" s="14">
        <f>CHOOSE(CONTROL!$C$42, 76.2528, 76.2528) * CHOOSE(CONTROL!$C$21, $C$9, 100%, $E$9)</f>
        <v>76.252799999999993</v>
      </c>
      <c r="C885" s="14">
        <f>CHOOSE(CONTROL!$C$42, 76.2608, 76.2608) * CHOOSE(CONTROL!$C$21, $C$9, 100%, $E$9)</f>
        <v>76.260800000000003</v>
      </c>
      <c r="D885" s="14">
        <f>CHOOSE(CONTROL!$C$42, 76.4647, 76.4647) * CHOOSE(CONTROL!$C$21, $C$9, 100%, $E$9)</f>
        <v>76.464699999999993</v>
      </c>
      <c r="E885" s="14">
        <f>CHOOSE(CONTROL!$C$42, 76.4962, 76.4962) * CHOOSE(CONTROL!$C$21, $C$9, 100%, $E$9)</f>
        <v>76.496200000000002</v>
      </c>
      <c r="F885" s="14">
        <f>CHOOSE(CONTROL!$C$42, 76.2347, 76.2347)*CHOOSE(CONTROL!$C$21, $C$9, 100%, $E$9)</f>
        <v>76.234700000000004</v>
      </c>
      <c r="G885" s="14">
        <f>CHOOSE(CONTROL!$C$42, 76.2506, 76.2506)*CHOOSE(CONTROL!$C$21, $C$9, 100%, $E$9)</f>
        <v>76.250600000000006</v>
      </c>
      <c r="H885" s="14">
        <f>CHOOSE(CONTROL!$C$42, 76.4848, 76.4848) * CHOOSE(CONTROL!$C$21, $C$9, 100%, $E$9)</f>
        <v>76.484800000000007</v>
      </c>
      <c r="I885" s="14">
        <f>CHOOSE(CONTROL!$C$42, 76.497, 76.497)* CHOOSE(CONTROL!$C$21, $C$9, 100%, $E$9)</f>
        <v>76.497</v>
      </c>
      <c r="J885" s="14">
        <f>CHOOSE(CONTROL!$C$42, 76.2277, 76.2277)* CHOOSE(CONTROL!$C$21, $C$9, 100%, $E$9)</f>
        <v>76.227699999999999</v>
      </c>
      <c r="K885" s="53">
        <f>CHOOSE(CONTROL!$C$42, 76.4931, 76.4931) * CHOOSE(CONTROL!$C$21, $C$9, 100%, $E$9)</f>
        <v>76.493099999999998</v>
      </c>
      <c r="L885" s="14">
        <f>CHOOSE(CONTROL!$C$42, 77.0718, 77.0718) * CHOOSE(CONTROL!$C$21, $C$9, 100%, $E$9)</f>
        <v>77.071799999999996</v>
      </c>
      <c r="M885" s="14">
        <f>CHOOSE(CONTROL!$C$42, 74.6735, 74.6735) * CHOOSE(CONTROL!$C$21, $C$9, 100%, $E$9)</f>
        <v>74.673500000000004</v>
      </c>
      <c r="N885" s="14">
        <f>CHOOSE(CONTROL!$C$42, 74.6892, 74.6892) * CHOOSE(CONTROL!$C$21, $C$9, 100%, $E$9)</f>
        <v>74.6892</v>
      </c>
      <c r="O885" s="14">
        <f>CHOOSE(CONTROL!$C$42, 74.9254, 74.9254) * CHOOSE(CONTROL!$C$21, $C$9, 100%, $E$9)</f>
        <v>74.925399999999996</v>
      </c>
      <c r="P885" s="14">
        <f>CHOOSE(CONTROL!$C$42, 74.9326, 74.9326) * CHOOSE(CONTROL!$C$21, $C$9, 100%, $E$9)</f>
        <v>74.932599999999994</v>
      </c>
      <c r="Q885" s="14">
        <f>CHOOSE(CONTROL!$C$42, 75.5201, 75.5201) * CHOOSE(CONTROL!$C$21, $C$9, 100%, $E$9)</f>
        <v>75.520099999999999</v>
      </c>
      <c r="R885" s="14">
        <f>CHOOSE(CONTROL!$C$42, 76.2959, 76.2959) * CHOOSE(CONTROL!$C$21, $C$9, 100%, $E$9)</f>
        <v>76.295900000000003</v>
      </c>
      <c r="S885" s="14">
        <f>CHOOSE(CONTROL!$C$42, 73.2607, 73.2607) * CHOOSE(CONTROL!$C$21, $C$9, 100%, $E$9)</f>
        <v>73.2607</v>
      </c>
      <c r="T88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85" s="57">
        <f>(1000*CHOOSE(CONTROL!$C$42, 695, 695)*CHOOSE(CONTROL!$C$42, 0.5599, 0.5599)*CHOOSE(CONTROL!$C$42, 30, 30))/1000000</f>
        <v>11.673914999999997</v>
      </c>
      <c r="V885" s="57">
        <f>(1000*CHOOSE(CONTROL!$C$42, 500, 500)*CHOOSE(CONTROL!$C$42, 0.275, 0.275)*CHOOSE(CONTROL!$C$42, 30, 30))/1000000</f>
        <v>4.125</v>
      </c>
      <c r="W885" s="57">
        <f>(1000*CHOOSE(CONTROL!$C$42, 0.1146, 0.1146)*CHOOSE(CONTROL!$C$42, 121.5, 121.5)*CHOOSE(CONTROL!$C$42, 30, 30))/1000000</f>
        <v>0.417717</v>
      </c>
      <c r="X885" s="57">
        <f>(30*0.1790888*245000/1000000)+(30*0.2374*100000/1000000)</f>
        <v>2.0285026799999999</v>
      </c>
      <c r="Y885" s="57"/>
      <c r="Z885" s="14"/>
      <c r="AA885" s="56"/>
      <c r="AB885" s="50">
        <f>(B885*194.205+C885*267.466+D885*133.845+E885*53.484+F885*40+G885*185+H885*0+I885*100+J885*300)/(194.205+267.466+133.845+53.484+0+40+185+100+300)</f>
        <v>76.299329426295131</v>
      </c>
      <c r="AC885" s="45">
        <f>(M885*'RAP TEMPLATE-GAS AVAILABILITY'!O884+N885*'RAP TEMPLATE-GAS AVAILABILITY'!P884+O885*'RAP TEMPLATE-GAS AVAILABILITY'!Q884+P885*'RAP TEMPLATE-GAS AVAILABILITY'!R884)/('RAP TEMPLATE-GAS AVAILABILITY'!O884+'RAP TEMPLATE-GAS AVAILABILITY'!P884+'RAP TEMPLATE-GAS AVAILABILITY'!Q884+'RAP TEMPLATE-GAS AVAILABILITY'!R884)</f>
        <v>74.825854676258999</v>
      </c>
    </row>
    <row r="886" spans="1:29" ht="15.75" x14ac:dyDescent="0.25">
      <c r="A886" s="32">
        <v>67876</v>
      </c>
      <c r="B886" s="14">
        <f>CHOOSE(CONTROL!$C$42, 74.703, 74.703) * CHOOSE(CONTROL!$C$21, $C$9, 100%, $E$9)</f>
        <v>74.703000000000003</v>
      </c>
      <c r="C886" s="14">
        <f>CHOOSE(CONTROL!$C$42, 74.7083, 74.7083) * CHOOSE(CONTROL!$C$21, $C$9, 100%, $E$9)</f>
        <v>74.708299999999994</v>
      </c>
      <c r="D886" s="14">
        <f>CHOOSE(CONTROL!$C$42, 74.9172, 74.9172) * CHOOSE(CONTROL!$C$21, $C$9, 100%, $E$9)</f>
        <v>74.917199999999994</v>
      </c>
      <c r="E886" s="14">
        <f>CHOOSE(CONTROL!$C$42, 74.9464, 74.9464) * CHOOSE(CONTROL!$C$21, $C$9, 100%, $E$9)</f>
        <v>74.946399999999997</v>
      </c>
      <c r="F886" s="14">
        <f>CHOOSE(CONTROL!$C$42, 74.687, 74.687)*CHOOSE(CONTROL!$C$21, $C$9, 100%, $E$9)</f>
        <v>74.686999999999998</v>
      </c>
      <c r="G886" s="14">
        <f>CHOOSE(CONTROL!$C$42, 74.7027, 74.7027)*CHOOSE(CONTROL!$C$21, $C$9, 100%, $E$9)</f>
        <v>74.702699999999993</v>
      </c>
      <c r="H886" s="14">
        <f>CHOOSE(CONTROL!$C$42, 74.9368, 74.9368) * CHOOSE(CONTROL!$C$21, $C$9, 100%, $E$9)</f>
        <v>74.936800000000005</v>
      </c>
      <c r="I886" s="14">
        <f>CHOOSE(CONTROL!$C$42, 74.9442, 74.9442)* CHOOSE(CONTROL!$C$21, $C$9, 100%, $E$9)</f>
        <v>74.944199999999995</v>
      </c>
      <c r="J886" s="14">
        <f>CHOOSE(CONTROL!$C$42, 74.68, 74.68)* CHOOSE(CONTROL!$C$21, $C$9, 100%, $E$9)</f>
        <v>74.680000000000007</v>
      </c>
      <c r="K886" s="53">
        <f>CHOOSE(CONTROL!$C$42, 74.9403, 74.9403) * CHOOSE(CONTROL!$C$21, $C$9, 100%, $E$9)</f>
        <v>74.940299999999993</v>
      </c>
      <c r="L886" s="14">
        <f>CHOOSE(CONTROL!$C$42, 75.5238, 75.5238) * CHOOSE(CONTROL!$C$21, $C$9, 100%, $E$9)</f>
        <v>75.523799999999994</v>
      </c>
      <c r="M886" s="14">
        <f>CHOOSE(CONTROL!$C$42, 73.1575, 73.1575) * CHOOSE(CONTROL!$C$21, $C$9, 100%, $E$9)</f>
        <v>73.157499999999999</v>
      </c>
      <c r="N886" s="14">
        <f>CHOOSE(CONTROL!$C$42, 73.1729, 73.1729) * CHOOSE(CONTROL!$C$21, $C$9, 100%, $E$9)</f>
        <v>73.172899999999998</v>
      </c>
      <c r="O886" s="14">
        <f>CHOOSE(CONTROL!$C$42, 73.4091, 73.4091) * CHOOSE(CONTROL!$C$21, $C$9, 100%, $E$9)</f>
        <v>73.409099999999995</v>
      </c>
      <c r="P886" s="14">
        <f>CHOOSE(CONTROL!$C$42, 73.4117, 73.4117) * CHOOSE(CONTROL!$C$21, $C$9, 100%, $E$9)</f>
        <v>73.411699999999996</v>
      </c>
      <c r="Q886" s="14">
        <f>CHOOSE(CONTROL!$C$42, 74.0038, 74.0038) * CHOOSE(CONTROL!$C$21, $C$9, 100%, $E$9)</f>
        <v>74.003799999999998</v>
      </c>
      <c r="R886" s="14">
        <f>CHOOSE(CONTROL!$C$42, 74.7758, 74.7758) * CHOOSE(CONTROL!$C$21, $C$9, 100%, $E$9)</f>
        <v>74.775800000000004</v>
      </c>
      <c r="S886" s="14">
        <f>CHOOSE(CONTROL!$C$42, 71.7732, 71.7732) * CHOOSE(CONTROL!$C$21, $C$9, 100%, $E$9)</f>
        <v>71.773200000000003</v>
      </c>
      <c r="T88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86" s="57">
        <f>(1000*CHOOSE(CONTROL!$C$42, 695, 695)*CHOOSE(CONTROL!$C$42, 0.5599, 0.5599)*CHOOSE(CONTROL!$C$42, 31, 31))/1000000</f>
        <v>12.063045499999998</v>
      </c>
      <c r="V886" s="57">
        <f>(1000*CHOOSE(CONTROL!$C$42, 500, 500)*CHOOSE(CONTROL!$C$42, 0.275, 0.275)*CHOOSE(CONTROL!$C$42, 31, 31))/1000000</f>
        <v>4.2625000000000002</v>
      </c>
      <c r="W886" s="57">
        <f>(1000*CHOOSE(CONTROL!$C$42, 0.1146, 0.1146)*CHOOSE(CONTROL!$C$42, 121.5, 121.5)*CHOOSE(CONTROL!$C$42, 31, 31))/1000000</f>
        <v>0.43164089999999994</v>
      </c>
      <c r="X886" s="57">
        <f>(31*0.1790888*245000/1000000)+(31*0.2374*100000/1000000)</f>
        <v>2.0961194359999999</v>
      </c>
      <c r="Y886" s="57"/>
      <c r="Z886" s="14"/>
      <c r="AA886" s="56"/>
      <c r="AB886" s="50">
        <f>(B886*131.881+C886*277.167+D886*79.08+E886*125.872+F886*40+G886*185+H886*0+I886*100+J886*300)/(131.881+277.167+79.08+125.872+0+40+185+100+300)</f>
        <v>74.755921441404354</v>
      </c>
      <c r="AC886" s="45">
        <f>(M886*'RAP TEMPLATE-GAS AVAILABILITY'!O885+N886*'RAP TEMPLATE-GAS AVAILABILITY'!P885+O886*'RAP TEMPLATE-GAS AVAILABILITY'!Q885+P886*'RAP TEMPLATE-GAS AVAILABILITY'!R885)/('RAP TEMPLATE-GAS AVAILABILITY'!O885+'RAP TEMPLATE-GAS AVAILABILITY'!P885+'RAP TEMPLATE-GAS AVAILABILITY'!Q885+'RAP TEMPLATE-GAS AVAILABILITY'!R885)</f>
        <v>73.308996402877696</v>
      </c>
    </row>
    <row r="887" spans="1:29" ht="15.75" x14ac:dyDescent="0.25">
      <c r="A887" s="32">
        <v>67906</v>
      </c>
      <c r="B887" s="14">
        <f>CHOOSE(CONTROL!$C$42, 76.6704, 76.6704) * CHOOSE(CONTROL!$C$21, $C$9, 100%, $E$9)</f>
        <v>76.670400000000001</v>
      </c>
      <c r="C887" s="14">
        <f>CHOOSE(CONTROL!$C$42, 76.6754, 76.6754) * CHOOSE(CONTROL!$C$21, $C$9, 100%, $E$9)</f>
        <v>76.675399999999996</v>
      </c>
      <c r="D887" s="14">
        <f>CHOOSE(CONTROL!$C$42, 76.7392, 76.7392) * CHOOSE(CONTROL!$C$21, $C$9, 100%, $E$9)</f>
        <v>76.739199999999997</v>
      </c>
      <c r="E887" s="14">
        <f>CHOOSE(CONTROL!$C$42, 76.7733, 76.7733) * CHOOSE(CONTROL!$C$21, $C$9, 100%, $E$9)</f>
        <v>76.773300000000006</v>
      </c>
      <c r="F887" s="14">
        <f>CHOOSE(CONTROL!$C$42, 76.6728, 76.6728)*CHOOSE(CONTROL!$C$21, $C$9, 100%, $E$9)</f>
        <v>76.672799999999995</v>
      </c>
      <c r="G887" s="14">
        <f>CHOOSE(CONTROL!$C$42, 76.6888, 76.6888)*CHOOSE(CONTROL!$C$21, $C$9, 100%, $E$9)</f>
        <v>76.688800000000001</v>
      </c>
      <c r="H887" s="14">
        <f>CHOOSE(CONTROL!$C$42, 76.7625, 76.7625) * CHOOSE(CONTROL!$C$21, $C$9, 100%, $E$9)</f>
        <v>76.762500000000003</v>
      </c>
      <c r="I887" s="14">
        <f>CHOOSE(CONTROL!$C$42, 76.9233, 76.9233)* CHOOSE(CONTROL!$C$21, $C$9, 100%, $E$9)</f>
        <v>76.923299999999998</v>
      </c>
      <c r="J887" s="14">
        <f>CHOOSE(CONTROL!$C$42, 76.6658, 76.6658)* CHOOSE(CONTROL!$C$21, $C$9, 100%, $E$9)</f>
        <v>76.665800000000004</v>
      </c>
      <c r="K887" s="53">
        <f>CHOOSE(CONTROL!$C$42, 76.9194, 76.9194) * CHOOSE(CONTROL!$C$21, $C$9, 100%, $E$9)</f>
        <v>76.919399999999996</v>
      </c>
      <c r="L887" s="14">
        <f>CHOOSE(CONTROL!$C$42, 77.3495, 77.3495) * CHOOSE(CONTROL!$C$21, $C$9, 100%, $E$9)</f>
        <v>77.349500000000006</v>
      </c>
      <c r="M887" s="14">
        <f>CHOOSE(CONTROL!$C$42, 75.1026, 75.1026) * CHOOSE(CONTROL!$C$21, $C$9, 100%, $E$9)</f>
        <v>75.102599999999995</v>
      </c>
      <c r="N887" s="14">
        <f>CHOOSE(CONTROL!$C$42, 75.1183, 75.1183) * CHOOSE(CONTROL!$C$21, $C$9, 100%, $E$9)</f>
        <v>75.118300000000005</v>
      </c>
      <c r="O887" s="14">
        <f>CHOOSE(CONTROL!$C$42, 75.1974, 75.1974) * CHOOSE(CONTROL!$C$21, $C$9, 100%, $E$9)</f>
        <v>75.197400000000002</v>
      </c>
      <c r="P887" s="14">
        <f>CHOOSE(CONTROL!$C$42, 75.3502, 75.3502) * CHOOSE(CONTROL!$C$21, $C$9, 100%, $E$9)</f>
        <v>75.350200000000001</v>
      </c>
      <c r="Q887" s="14">
        <f>CHOOSE(CONTROL!$C$42, 75.7921, 75.7921) * CHOOSE(CONTROL!$C$21, $C$9, 100%, $E$9)</f>
        <v>75.792100000000005</v>
      </c>
      <c r="R887" s="14">
        <f>CHOOSE(CONTROL!$C$42, 76.5686, 76.5686) * CHOOSE(CONTROL!$C$21, $C$9, 100%, $E$9)</f>
        <v>76.568600000000004</v>
      </c>
      <c r="S887" s="14">
        <f>CHOOSE(CONTROL!$C$42, 73.664, 73.664) * CHOOSE(CONTROL!$C$21, $C$9, 100%, $E$9)</f>
        <v>73.664000000000001</v>
      </c>
      <c r="T88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87" s="57">
        <f>(1000*CHOOSE(CONTROL!$C$42, 695, 695)*CHOOSE(CONTROL!$C$42, 0.5599, 0.5599)*CHOOSE(CONTROL!$C$42, 30, 30))/1000000</f>
        <v>11.673914999999997</v>
      </c>
      <c r="V887" s="57">
        <f>(1000*CHOOSE(CONTROL!$C$42, 500, 500)*CHOOSE(CONTROL!$C$42, 0.275, 0.275)*CHOOSE(CONTROL!$C$42, 30, 30))/1000000</f>
        <v>4.125</v>
      </c>
      <c r="W887" s="57">
        <f>(1000*CHOOSE(CONTROL!$C$42, 0.1146, 0.1146)*CHOOSE(CONTROL!$C$42, 121.5, 121.5)*CHOOSE(CONTROL!$C$42, 30, 30))/1000000</f>
        <v>0.417717</v>
      </c>
      <c r="X887" s="57">
        <f>(30*0.1790888*100000/1000000)+(30*0.2374*100000/1000000)</f>
        <v>1.2494664</v>
      </c>
      <c r="Y887" s="57"/>
      <c r="Z887" s="14"/>
      <c r="AA887" s="56"/>
      <c r="AB887" s="50">
        <f>(B887*122.58+C887*297.941+D887*89.177+E887*40.302+F887*40+G887*160+H887*0+I887*100+J887*300)/(122.58+297.941+89.177+40.302+0+40+160+100+300)</f>
        <v>76.704071442086956</v>
      </c>
      <c r="AC887" s="45">
        <f>(M887*'RAP TEMPLATE-GAS AVAILABILITY'!O886+N887*'RAP TEMPLATE-GAS AVAILABILITY'!P886+O887*'RAP TEMPLATE-GAS AVAILABILITY'!Q886+P887*'RAP TEMPLATE-GAS AVAILABILITY'!R886)/('RAP TEMPLATE-GAS AVAILABILITY'!O886+'RAP TEMPLATE-GAS AVAILABILITY'!P886+'RAP TEMPLATE-GAS AVAILABILITY'!Q886+'RAP TEMPLATE-GAS AVAILABILITY'!R886)</f>
        <v>75.182096402877704</v>
      </c>
    </row>
    <row r="888" spans="1:29" ht="15.75" x14ac:dyDescent="0.25">
      <c r="A888" s="32">
        <v>67937</v>
      </c>
      <c r="B888" s="14">
        <f>CHOOSE(CONTROL!$C$42, 81.8971, 81.8971) * CHOOSE(CONTROL!$C$21, $C$9, 100%, $E$9)</f>
        <v>81.897099999999995</v>
      </c>
      <c r="C888" s="14">
        <f>CHOOSE(CONTROL!$C$42, 81.9021, 81.9021) * CHOOSE(CONTROL!$C$21, $C$9, 100%, $E$9)</f>
        <v>81.902100000000004</v>
      </c>
      <c r="D888" s="14">
        <f>CHOOSE(CONTROL!$C$42, 81.9659, 81.9659) * CHOOSE(CONTROL!$C$21, $C$9, 100%, $E$9)</f>
        <v>81.965900000000005</v>
      </c>
      <c r="E888" s="14">
        <f>CHOOSE(CONTROL!$C$42, 82, 82) * CHOOSE(CONTROL!$C$21, $C$9, 100%, $E$9)</f>
        <v>82</v>
      </c>
      <c r="F888" s="14">
        <f>CHOOSE(CONTROL!$C$42, 81.9017, 81.9017)*CHOOSE(CONTROL!$C$21, $C$9, 100%, $E$9)</f>
        <v>81.901700000000005</v>
      </c>
      <c r="G888" s="14">
        <f>CHOOSE(CONTROL!$C$42, 81.9183, 81.9183)*CHOOSE(CONTROL!$C$21, $C$9, 100%, $E$9)</f>
        <v>81.918300000000002</v>
      </c>
      <c r="H888" s="14">
        <f>CHOOSE(CONTROL!$C$42, 81.9892, 81.9892) * CHOOSE(CONTROL!$C$21, $C$9, 100%, $E$9)</f>
        <v>81.989199999999997</v>
      </c>
      <c r="I888" s="14">
        <f>CHOOSE(CONTROL!$C$42, 82.1664, 82.1664)* CHOOSE(CONTROL!$C$21, $C$9, 100%, $E$9)</f>
        <v>82.166399999999996</v>
      </c>
      <c r="J888" s="14">
        <f>CHOOSE(CONTROL!$C$42, 81.8947, 81.8947)* CHOOSE(CONTROL!$C$21, $C$9, 100%, $E$9)</f>
        <v>81.8947</v>
      </c>
      <c r="K888" s="53">
        <f>CHOOSE(CONTROL!$C$42, 82.1625, 82.1625) * CHOOSE(CONTROL!$C$21, $C$9, 100%, $E$9)</f>
        <v>82.162499999999994</v>
      </c>
      <c r="L888" s="14">
        <f>CHOOSE(CONTROL!$C$42, 82.5762, 82.5762) * CHOOSE(CONTROL!$C$21, $C$9, 100%, $E$9)</f>
        <v>82.5762</v>
      </c>
      <c r="M888" s="14">
        <f>CHOOSE(CONTROL!$C$42, 80.2244, 80.2244) * CHOOSE(CONTROL!$C$21, $C$9, 100%, $E$9)</f>
        <v>80.224400000000003</v>
      </c>
      <c r="N888" s="14">
        <f>CHOOSE(CONTROL!$C$42, 80.2407, 80.2407) * CHOOSE(CONTROL!$C$21, $C$9, 100%, $E$9)</f>
        <v>80.240700000000004</v>
      </c>
      <c r="O888" s="14">
        <f>CHOOSE(CONTROL!$C$42, 80.317, 80.317) * CHOOSE(CONTROL!$C$21, $C$9, 100%, $E$9)</f>
        <v>80.316999999999993</v>
      </c>
      <c r="P888" s="14">
        <f>CHOOSE(CONTROL!$C$42, 80.4855, 80.4855) * CHOOSE(CONTROL!$C$21, $C$9, 100%, $E$9)</f>
        <v>80.485500000000002</v>
      </c>
      <c r="Q888" s="14">
        <f>CHOOSE(CONTROL!$C$42, 80.9117, 80.9117) * CHOOSE(CONTROL!$C$21, $C$9, 100%, $E$9)</f>
        <v>80.911699999999996</v>
      </c>
      <c r="R888" s="14">
        <f>CHOOSE(CONTROL!$C$42, 81.701, 81.701) * CHOOSE(CONTROL!$C$21, $C$9, 100%, $E$9)</f>
        <v>81.700999999999993</v>
      </c>
      <c r="S888" s="14">
        <f>CHOOSE(CONTROL!$C$42, 78.6863, 78.6863) * CHOOSE(CONTROL!$C$21, $C$9, 100%, $E$9)</f>
        <v>78.686300000000003</v>
      </c>
      <c r="T88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88" s="57">
        <f>(1000*CHOOSE(CONTROL!$C$42, 695, 695)*CHOOSE(CONTROL!$C$42, 0.5599, 0.5599)*CHOOSE(CONTROL!$C$42, 31, 31))/1000000</f>
        <v>12.063045499999998</v>
      </c>
      <c r="V888" s="57">
        <f>(1000*CHOOSE(CONTROL!$C$42, 500, 500)*CHOOSE(CONTROL!$C$42, 0.275, 0.275)*CHOOSE(CONTROL!$C$42, 31, 31))/1000000</f>
        <v>4.2625000000000002</v>
      </c>
      <c r="W888" s="57">
        <f>(1000*CHOOSE(CONTROL!$C$42, 0.1146, 0.1146)*CHOOSE(CONTROL!$C$42, 121.5, 121.5)*CHOOSE(CONTROL!$C$42, 31, 31))/1000000</f>
        <v>0.43164089999999994</v>
      </c>
      <c r="X888" s="57">
        <f>(31*0.1790888*100000/1000000)+(31*0.2374*100000/1000000)</f>
        <v>1.2911152800000001</v>
      </c>
      <c r="Y888" s="57"/>
      <c r="Z888" s="14"/>
      <c r="AA888" s="56"/>
      <c r="AB888" s="50">
        <f>(B888*122.58+C888*297.941+D888*89.177+E888*40.302+F888*40+G888*160+H888*0+I888*100+J888*300)/(122.58+297.941+89.177+40.302+0+40+160+100+300)</f>
        <v>81.933237529043481</v>
      </c>
      <c r="AC888" s="45">
        <f>(M888*'RAP TEMPLATE-GAS AVAILABILITY'!O887+N888*'RAP TEMPLATE-GAS AVAILABILITY'!P887+O888*'RAP TEMPLATE-GAS AVAILABILITY'!Q887+P888*'RAP TEMPLATE-GAS AVAILABILITY'!R887)/('RAP TEMPLATE-GAS AVAILABILITY'!O887+'RAP TEMPLATE-GAS AVAILABILITY'!P887+'RAP TEMPLATE-GAS AVAILABILITY'!Q887+'RAP TEMPLATE-GAS AVAILABILITY'!R887)</f>
        <v>80.304876258992806</v>
      </c>
    </row>
    <row r="889" spans="1:29" ht="15.75" x14ac:dyDescent="0.25">
      <c r="A889" s="32">
        <v>67968</v>
      </c>
      <c r="B889" s="14">
        <f>CHOOSE(CONTROL!$C$42, 88.6048, 88.6048) * CHOOSE(CONTROL!$C$21, $C$9, 100%, $E$9)</f>
        <v>88.604799999999997</v>
      </c>
      <c r="C889" s="14">
        <f>CHOOSE(CONTROL!$C$42, 88.6099, 88.6099) * CHOOSE(CONTROL!$C$21, $C$9, 100%, $E$9)</f>
        <v>88.609899999999996</v>
      </c>
      <c r="D889" s="14">
        <f>CHOOSE(CONTROL!$C$42, 88.6763, 88.6763) * CHOOSE(CONTROL!$C$21, $C$9, 100%, $E$9)</f>
        <v>88.676299999999998</v>
      </c>
      <c r="E889" s="14">
        <f>CHOOSE(CONTROL!$C$42, 88.7104, 88.7104) * CHOOSE(CONTROL!$C$21, $C$9, 100%, $E$9)</f>
        <v>88.710400000000007</v>
      </c>
      <c r="F889" s="14">
        <f>CHOOSE(CONTROL!$C$42, 88.5921, 88.5921)*CHOOSE(CONTROL!$C$21, $C$9, 100%, $E$9)</f>
        <v>88.592100000000002</v>
      </c>
      <c r="G889" s="14">
        <f>CHOOSE(CONTROL!$C$42, 88.6076, 88.6076)*CHOOSE(CONTROL!$C$21, $C$9, 100%, $E$9)</f>
        <v>88.607600000000005</v>
      </c>
      <c r="H889" s="14">
        <f>CHOOSE(CONTROL!$C$42, 88.6996, 88.6996) * CHOOSE(CONTROL!$C$21, $C$9, 100%, $E$9)</f>
        <v>88.699600000000004</v>
      </c>
      <c r="I889" s="14">
        <f>CHOOSE(CONTROL!$C$42, 88.8899, 88.8899)* CHOOSE(CONTROL!$C$21, $C$9, 100%, $E$9)</f>
        <v>88.889899999999997</v>
      </c>
      <c r="J889" s="14">
        <f>CHOOSE(CONTROL!$C$42, 88.5851, 88.5851)* CHOOSE(CONTROL!$C$21, $C$9, 100%, $E$9)</f>
        <v>88.585099999999997</v>
      </c>
      <c r="K889" s="53">
        <f>CHOOSE(CONTROL!$C$42, 88.886, 88.886) * CHOOSE(CONTROL!$C$21, $C$9, 100%, $E$9)</f>
        <v>88.885999999999996</v>
      </c>
      <c r="L889" s="14">
        <f>CHOOSE(CONTROL!$C$42, 89.2866, 89.2866) * CHOOSE(CONTROL!$C$21, $C$9, 100%, $E$9)</f>
        <v>89.286600000000007</v>
      </c>
      <c r="M889" s="14">
        <f>CHOOSE(CONTROL!$C$42, 86.7778, 86.7778) * CHOOSE(CONTROL!$C$21, $C$9, 100%, $E$9)</f>
        <v>86.777799999999999</v>
      </c>
      <c r="N889" s="14">
        <f>CHOOSE(CONTROL!$C$42, 86.7929, 86.7929) * CHOOSE(CONTROL!$C$21, $C$9, 100%, $E$9)</f>
        <v>86.792900000000003</v>
      </c>
      <c r="O889" s="14">
        <f>CHOOSE(CONTROL!$C$42, 86.8899, 86.8899) * CHOOSE(CONTROL!$C$21, $C$9, 100%, $E$9)</f>
        <v>86.889899999999997</v>
      </c>
      <c r="P889" s="14">
        <f>CHOOSE(CONTROL!$C$42, 87.0708, 87.0708) * CHOOSE(CONTROL!$C$21, $C$9, 100%, $E$9)</f>
        <v>87.070800000000006</v>
      </c>
      <c r="Q889" s="14">
        <f>CHOOSE(CONTROL!$C$42, 87.4846, 87.4846) * CHOOSE(CONTROL!$C$21, $C$9, 100%, $E$9)</f>
        <v>87.4846</v>
      </c>
      <c r="R889" s="14">
        <f>CHOOSE(CONTROL!$C$42, 88.2903, 88.2903) * CHOOSE(CONTROL!$C$21, $C$9, 100%, $E$9)</f>
        <v>88.290300000000002</v>
      </c>
      <c r="S889" s="14">
        <f>CHOOSE(CONTROL!$C$42, 85.1318, 85.1318) * CHOOSE(CONTROL!$C$21, $C$9, 100%, $E$9)</f>
        <v>85.131799999999998</v>
      </c>
      <c r="T88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89" s="57">
        <f>(1000*CHOOSE(CONTROL!$C$42, 695, 695)*CHOOSE(CONTROL!$C$42, 0.5599, 0.5599)*CHOOSE(CONTROL!$C$42, 31, 31))/1000000</f>
        <v>12.063045499999998</v>
      </c>
      <c r="V889" s="57">
        <f>(1000*CHOOSE(CONTROL!$C$42, 500, 500)*CHOOSE(CONTROL!$C$42, 0.275, 0.275)*CHOOSE(CONTROL!$C$42, 31, 31))/1000000</f>
        <v>4.2625000000000002</v>
      </c>
      <c r="W889" s="57">
        <f>(1000*CHOOSE(CONTROL!$C$42, 0.1146, 0.1146)*CHOOSE(CONTROL!$C$42, 121.5, 121.5)*CHOOSE(CONTROL!$C$42, 31, 31))/1000000</f>
        <v>0.43164089999999994</v>
      </c>
      <c r="X889" s="57">
        <f>(31*0.1790888*100000/1000000)+(31*0.2374*100000/1000000)</f>
        <v>1.2911152800000001</v>
      </c>
      <c r="Y889" s="57"/>
      <c r="Z889" s="14"/>
      <c r="AA889" s="56"/>
      <c r="AB889" s="50">
        <f>(B889*122.58+C889*297.941+D889*89.177+E889*40.302+F889*40+G889*160+H889*0+I889*100+J889*300)/(122.58+297.941+89.177+40.302+0+40+160+100+300)</f>
        <v>88.634966561565207</v>
      </c>
      <c r="AC889" s="45">
        <f>(M889*'RAP TEMPLATE-GAS AVAILABILITY'!O888+N889*'RAP TEMPLATE-GAS AVAILABILITY'!P888+O889*'RAP TEMPLATE-GAS AVAILABILITY'!Q888+P889*'RAP TEMPLATE-GAS AVAILABILITY'!R888)/('RAP TEMPLATE-GAS AVAILABILITY'!O888+'RAP TEMPLATE-GAS AVAILABILITY'!P888+'RAP TEMPLATE-GAS AVAILABILITY'!Q888+'RAP TEMPLATE-GAS AVAILABILITY'!R888)</f>
        <v>86.871635251798565</v>
      </c>
    </row>
    <row r="890" spans="1:29" ht="15.75" x14ac:dyDescent="0.25">
      <c r="A890" s="32">
        <v>67996</v>
      </c>
      <c r="B890" s="14">
        <f>CHOOSE(CONTROL!$C$42, 90.1819, 90.1819) * CHOOSE(CONTROL!$C$21, $C$9, 100%, $E$9)</f>
        <v>90.181899999999999</v>
      </c>
      <c r="C890" s="14">
        <f>CHOOSE(CONTROL!$C$42, 90.187, 90.187) * CHOOSE(CONTROL!$C$21, $C$9, 100%, $E$9)</f>
        <v>90.186999999999998</v>
      </c>
      <c r="D890" s="14">
        <f>CHOOSE(CONTROL!$C$42, 90.2534, 90.2534) * CHOOSE(CONTROL!$C$21, $C$9, 100%, $E$9)</f>
        <v>90.253399999999999</v>
      </c>
      <c r="E890" s="14">
        <f>CHOOSE(CONTROL!$C$42, 90.2875, 90.2875) * CHOOSE(CONTROL!$C$21, $C$9, 100%, $E$9)</f>
        <v>90.287499999999994</v>
      </c>
      <c r="F890" s="14">
        <f>CHOOSE(CONTROL!$C$42, 90.1693, 90.1693)*CHOOSE(CONTROL!$C$21, $C$9, 100%, $E$9)</f>
        <v>90.169300000000007</v>
      </c>
      <c r="G890" s="14">
        <f>CHOOSE(CONTROL!$C$42, 90.1848, 90.1848)*CHOOSE(CONTROL!$C$21, $C$9, 100%, $E$9)</f>
        <v>90.184799999999996</v>
      </c>
      <c r="H890" s="14">
        <f>CHOOSE(CONTROL!$C$42, 90.2767, 90.2767) * CHOOSE(CONTROL!$C$21, $C$9, 100%, $E$9)</f>
        <v>90.276700000000005</v>
      </c>
      <c r="I890" s="14">
        <f>CHOOSE(CONTROL!$C$42, 90.472, 90.472)* CHOOSE(CONTROL!$C$21, $C$9, 100%, $E$9)</f>
        <v>90.471999999999994</v>
      </c>
      <c r="J890" s="14">
        <f>CHOOSE(CONTROL!$C$42, 90.1623, 90.1623)* CHOOSE(CONTROL!$C$21, $C$9, 100%, $E$9)</f>
        <v>90.162300000000002</v>
      </c>
      <c r="K890" s="53">
        <f>CHOOSE(CONTROL!$C$42, 90.4681, 90.4681) * CHOOSE(CONTROL!$C$21, $C$9, 100%, $E$9)</f>
        <v>90.468100000000007</v>
      </c>
      <c r="L890" s="14">
        <f>CHOOSE(CONTROL!$C$42, 90.8637, 90.8637) * CHOOSE(CONTROL!$C$21, $C$9, 100%, $E$9)</f>
        <v>90.863699999999994</v>
      </c>
      <c r="M890" s="14">
        <f>CHOOSE(CONTROL!$C$42, 88.3227, 88.3227) * CHOOSE(CONTROL!$C$21, $C$9, 100%, $E$9)</f>
        <v>88.322699999999998</v>
      </c>
      <c r="N890" s="14">
        <f>CHOOSE(CONTROL!$C$42, 88.3378, 88.3378) * CHOOSE(CONTROL!$C$21, $C$9, 100%, $E$9)</f>
        <v>88.337800000000001</v>
      </c>
      <c r="O890" s="14">
        <f>CHOOSE(CONTROL!$C$42, 88.4347, 88.4347) * CHOOSE(CONTROL!$C$21, $C$9, 100%, $E$9)</f>
        <v>88.434700000000007</v>
      </c>
      <c r="P890" s="14">
        <f>CHOOSE(CONTROL!$C$42, 88.6204, 88.6204) * CHOOSE(CONTROL!$C$21, $C$9, 100%, $E$9)</f>
        <v>88.620400000000004</v>
      </c>
      <c r="Q890" s="14">
        <f>CHOOSE(CONTROL!$C$42, 89.0294, 89.0294) * CHOOSE(CONTROL!$C$21, $C$9, 100%, $E$9)</f>
        <v>89.029399999999995</v>
      </c>
      <c r="R890" s="14">
        <f>CHOOSE(CONTROL!$C$42, 89.839, 89.839) * CHOOSE(CONTROL!$C$21, $C$9, 100%, $E$9)</f>
        <v>89.838999999999999</v>
      </c>
      <c r="S890" s="14">
        <f>CHOOSE(CONTROL!$C$42, 86.6473, 86.6473) * CHOOSE(CONTROL!$C$21, $C$9, 100%, $E$9)</f>
        <v>86.647300000000001</v>
      </c>
      <c r="T89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90" s="57">
        <f>(1000*CHOOSE(CONTROL!$C$42, 695, 695)*CHOOSE(CONTROL!$C$42, 0.5599, 0.5599)*CHOOSE(CONTROL!$C$42, 28, 28))/1000000</f>
        <v>10.895653999999999</v>
      </c>
      <c r="V890" s="57">
        <f>(1000*CHOOSE(CONTROL!$C$42, 500, 500)*CHOOSE(CONTROL!$C$42, 0.275, 0.275)*CHOOSE(CONTROL!$C$42, 28, 28))/1000000</f>
        <v>3.85</v>
      </c>
      <c r="W890" s="57">
        <f>(1000*CHOOSE(CONTROL!$C$42, 0.1146, 0.1146)*CHOOSE(CONTROL!$C$42, 121.5, 121.5)*CHOOSE(CONTROL!$C$42, 28, 28))/1000000</f>
        <v>0.38986920000000003</v>
      </c>
      <c r="X890" s="57">
        <f>(28*0.1790888*100000/1000000)+(28*0.2374*100000/1000000)</f>
        <v>1.16616864</v>
      </c>
      <c r="Y890" s="57"/>
      <c r="Z890" s="14"/>
      <c r="AA890" s="56"/>
      <c r="AB890" s="50">
        <f>(B890*122.58+C890*297.941+D890*89.177+E890*40.302+F890*40+G890*160+H890*0+I890*100+J890*300)/(122.58+297.941+89.177+40.302+0+40+160+100+300)</f>
        <v>90.212544822434765</v>
      </c>
      <c r="AC890" s="45">
        <f>(M890*'RAP TEMPLATE-GAS AVAILABILITY'!O889+N890*'RAP TEMPLATE-GAS AVAILABILITY'!P889+O890*'RAP TEMPLATE-GAS AVAILABILITY'!Q889+P890*'RAP TEMPLATE-GAS AVAILABILITY'!R889)/('RAP TEMPLATE-GAS AVAILABILITY'!O889+'RAP TEMPLATE-GAS AVAILABILITY'!P889+'RAP TEMPLATE-GAS AVAILABILITY'!Q889+'RAP TEMPLATE-GAS AVAILABILITY'!R889)</f>
        <v>88.41716618705037</v>
      </c>
    </row>
    <row r="891" spans="1:29" ht="15.75" x14ac:dyDescent="0.25">
      <c r="A891" s="32">
        <v>68027</v>
      </c>
      <c r="B891" s="14">
        <f>CHOOSE(CONTROL!$C$42, 87.6219, 87.6219) * CHOOSE(CONTROL!$C$21, $C$9, 100%, $E$9)</f>
        <v>87.621899999999997</v>
      </c>
      <c r="C891" s="14">
        <f>CHOOSE(CONTROL!$C$42, 87.6269, 87.6269) * CHOOSE(CONTROL!$C$21, $C$9, 100%, $E$9)</f>
        <v>87.626900000000006</v>
      </c>
      <c r="D891" s="14">
        <f>CHOOSE(CONTROL!$C$42, 87.6933, 87.6933) * CHOOSE(CONTROL!$C$21, $C$9, 100%, $E$9)</f>
        <v>87.693299999999994</v>
      </c>
      <c r="E891" s="14">
        <f>CHOOSE(CONTROL!$C$42, 87.7274, 87.7274) * CHOOSE(CONTROL!$C$21, $C$9, 100%, $E$9)</f>
        <v>87.727400000000003</v>
      </c>
      <c r="F891" s="14">
        <f>CHOOSE(CONTROL!$C$42, 87.6089, 87.6089)*CHOOSE(CONTROL!$C$21, $C$9, 100%, $E$9)</f>
        <v>87.608900000000006</v>
      </c>
      <c r="G891" s="14">
        <f>CHOOSE(CONTROL!$C$42, 87.6243, 87.6243)*CHOOSE(CONTROL!$C$21, $C$9, 100%, $E$9)</f>
        <v>87.624300000000005</v>
      </c>
      <c r="H891" s="14">
        <f>CHOOSE(CONTROL!$C$42, 87.7166, 87.7166) * CHOOSE(CONTROL!$C$21, $C$9, 100%, $E$9)</f>
        <v>87.7166</v>
      </c>
      <c r="I891" s="14">
        <f>CHOOSE(CONTROL!$C$42, 87.9039, 87.9039)* CHOOSE(CONTROL!$C$21, $C$9, 100%, $E$9)</f>
        <v>87.903899999999993</v>
      </c>
      <c r="J891" s="14">
        <f>CHOOSE(CONTROL!$C$42, 87.6019, 87.6019)* CHOOSE(CONTROL!$C$21, $C$9, 100%, $E$9)</f>
        <v>87.601900000000001</v>
      </c>
      <c r="K891" s="53">
        <f>CHOOSE(CONTROL!$C$42, 87.9, 87.9) * CHOOSE(CONTROL!$C$21, $C$9, 100%, $E$9)</f>
        <v>87.9</v>
      </c>
      <c r="L891" s="14">
        <f>CHOOSE(CONTROL!$C$42, 88.3036, 88.3036) * CHOOSE(CONTROL!$C$21, $C$9, 100%, $E$9)</f>
        <v>88.303600000000003</v>
      </c>
      <c r="M891" s="14">
        <f>CHOOSE(CONTROL!$C$42, 85.8147, 85.8147) * CHOOSE(CONTROL!$C$21, $C$9, 100%, $E$9)</f>
        <v>85.814700000000002</v>
      </c>
      <c r="N891" s="14">
        <f>CHOOSE(CONTROL!$C$42, 85.8297, 85.8297) * CHOOSE(CONTROL!$C$21, $C$9, 100%, $E$9)</f>
        <v>85.829700000000003</v>
      </c>
      <c r="O891" s="14">
        <f>CHOOSE(CONTROL!$C$42, 85.9271, 85.9271) * CHOOSE(CONTROL!$C$21, $C$9, 100%, $E$9)</f>
        <v>85.927099999999996</v>
      </c>
      <c r="P891" s="14">
        <f>CHOOSE(CONTROL!$C$42, 86.1051, 86.1051) * CHOOSE(CONTROL!$C$21, $C$9, 100%, $E$9)</f>
        <v>86.105099999999993</v>
      </c>
      <c r="Q891" s="14">
        <f>CHOOSE(CONTROL!$C$42, 86.5218, 86.5218) * CHOOSE(CONTROL!$C$21, $C$9, 100%, $E$9)</f>
        <v>86.521799999999999</v>
      </c>
      <c r="R891" s="14">
        <f>CHOOSE(CONTROL!$C$42, 87.3251, 87.3251) * CHOOSE(CONTROL!$C$21, $C$9, 100%, $E$9)</f>
        <v>87.325100000000006</v>
      </c>
      <c r="S891" s="14">
        <f>CHOOSE(CONTROL!$C$42, 84.1873, 84.1873) * CHOOSE(CONTROL!$C$21, $C$9, 100%, $E$9)</f>
        <v>84.187299999999993</v>
      </c>
      <c r="T89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91" s="57">
        <f>(1000*CHOOSE(CONTROL!$C$42, 695, 695)*CHOOSE(CONTROL!$C$42, 0.5599, 0.5599)*CHOOSE(CONTROL!$C$42, 31, 31))/1000000</f>
        <v>12.063045499999998</v>
      </c>
      <c r="V891" s="57">
        <f>(1000*CHOOSE(CONTROL!$C$42, 500, 500)*CHOOSE(CONTROL!$C$42, 0.275, 0.275)*CHOOSE(CONTROL!$C$42, 31, 31))/1000000</f>
        <v>4.2625000000000002</v>
      </c>
      <c r="W891" s="57">
        <f>(1000*CHOOSE(CONTROL!$C$42, 0.1146, 0.1146)*CHOOSE(CONTROL!$C$42, 121.5, 121.5)*CHOOSE(CONTROL!$C$42, 31, 31))/1000000</f>
        <v>0.43164089999999994</v>
      </c>
      <c r="X891" s="57">
        <f>(31*0.1790888*100000/1000000)+(31*0.2374*100000/1000000)</f>
        <v>1.2911152800000001</v>
      </c>
      <c r="Y891" s="57"/>
      <c r="Z891" s="14"/>
      <c r="AA891" s="56"/>
      <c r="AB891" s="50">
        <f>(B891*122.58+C891*297.941+D891*89.177+E891*40.302+F891*40+G891*160+H891*0+I891*100+J891*300)/(122.58+297.941+89.177+40.302+0+40+160+100+300)</f>
        <v>87.651615481565216</v>
      </c>
      <c r="AC891" s="45">
        <f>(M891*'RAP TEMPLATE-GAS AVAILABILITY'!O890+N891*'RAP TEMPLATE-GAS AVAILABILITY'!P890+O891*'RAP TEMPLATE-GAS AVAILABILITY'!Q890+P891*'RAP TEMPLATE-GAS AVAILABILITY'!R890)/('RAP TEMPLATE-GAS AVAILABILITY'!O890+'RAP TEMPLATE-GAS AVAILABILITY'!P890+'RAP TEMPLATE-GAS AVAILABILITY'!Q890+'RAP TEMPLATE-GAS AVAILABILITY'!R890)</f>
        <v>85.908291366906468</v>
      </c>
    </row>
    <row r="892" spans="1:29" ht="15.75" x14ac:dyDescent="0.25">
      <c r="A892" s="32">
        <v>68057</v>
      </c>
      <c r="B892" s="14">
        <f>CHOOSE(CONTROL!$C$42, 87.3607, 87.3607) * CHOOSE(CONTROL!$C$21, $C$9, 100%, $E$9)</f>
        <v>87.360699999999994</v>
      </c>
      <c r="C892" s="14">
        <f>CHOOSE(CONTROL!$C$42, 87.3652, 87.3652) * CHOOSE(CONTROL!$C$21, $C$9, 100%, $E$9)</f>
        <v>87.365200000000002</v>
      </c>
      <c r="D892" s="14">
        <f>CHOOSE(CONTROL!$C$42, 87.5723, 87.5723) * CHOOSE(CONTROL!$C$21, $C$9, 100%, $E$9)</f>
        <v>87.572299999999998</v>
      </c>
      <c r="E892" s="14">
        <f>CHOOSE(CONTROL!$C$42, 87.6044, 87.6044) * CHOOSE(CONTROL!$C$21, $C$9, 100%, $E$9)</f>
        <v>87.604399999999998</v>
      </c>
      <c r="F892" s="14">
        <f>CHOOSE(CONTROL!$C$42, 87.3426, 87.3426)*CHOOSE(CONTROL!$C$21, $C$9, 100%, $E$9)</f>
        <v>87.342600000000004</v>
      </c>
      <c r="G892" s="14">
        <f>CHOOSE(CONTROL!$C$42, 87.3578, 87.3578)*CHOOSE(CONTROL!$C$21, $C$9, 100%, $E$9)</f>
        <v>87.357799999999997</v>
      </c>
      <c r="H892" s="14">
        <f>CHOOSE(CONTROL!$C$42, 87.5942, 87.5942) * CHOOSE(CONTROL!$C$21, $C$9, 100%, $E$9)</f>
        <v>87.594200000000001</v>
      </c>
      <c r="I892" s="14">
        <f>CHOOSE(CONTROL!$C$42, 87.6411, 87.6411)* CHOOSE(CONTROL!$C$21, $C$9, 100%, $E$9)</f>
        <v>87.641099999999994</v>
      </c>
      <c r="J892" s="14">
        <f>CHOOSE(CONTROL!$C$42, 87.3356, 87.3356)* CHOOSE(CONTROL!$C$21, $C$9, 100%, $E$9)</f>
        <v>87.335599999999999</v>
      </c>
      <c r="K892" s="53">
        <f>CHOOSE(CONTROL!$C$42, 87.6373, 87.6373) * CHOOSE(CONTROL!$C$21, $C$9, 100%, $E$9)</f>
        <v>87.637299999999996</v>
      </c>
      <c r="L892" s="14">
        <f>CHOOSE(CONTROL!$C$42, 88.1812, 88.1812) * CHOOSE(CONTROL!$C$21, $C$9, 100%, $E$9)</f>
        <v>88.181200000000004</v>
      </c>
      <c r="M892" s="14">
        <f>CHOOSE(CONTROL!$C$42, 85.5538, 85.5538) * CHOOSE(CONTROL!$C$21, $C$9, 100%, $E$9)</f>
        <v>85.553799999999995</v>
      </c>
      <c r="N892" s="14">
        <f>CHOOSE(CONTROL!$C$42, 85.5687, 85.5687) * CHOOSE(CONTROL!$C$21, $C$9, 100%, $E$9)</f>
        <v>85.568700000000007</v>
      </c>
      <c r="O892" s="14">
        <f>CHOOSE(CONTROL!$C$42, 85.8071, 85.8071) * CHOOSE(CONTROL!$C$21, $C$9, 100%, $E$9)</f>
        <v>85.807100000000005</v>
      </c>
      <c r="P892" s="14">
        <f>CHOOSE(CONTROL!$C$42, 85.8477, 85.8477) * CHOOSE(CONTROL!$C$21, $C$9, 100%, $E$9)</f>
        <v>85.847700000000003</v>
      </c>
      <c r="Q892" s="14">
        <f>CHOOSE(CONTROL!$C$42, 86.4018, 86.4018) * CHOOSE(CONTROL!$C$21, $C$9, 100%, $E$9)</f>
        <v>86.401799999999994</v>
      </c>
      <c r="R892" s="14">
        <f>CHOOSE(CONTROL!$C$42, 87.2048, 87.2048) * CHOOSE(CONTROL!$C$21, $C$9, 100%, $E$9)</f>
        <v>87.204800000000006</v>
      </c>
      <c r="S892" s="14">
        <f>CHOOSE(CONTROL!$C$42, 83.9356, 83.9356) * CHOOSE(CONTROL!$C$21, $C$9, 100%, $E$9)</f>
        <v>83.935599999999994</v>
      </c>
      <c r="T89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92" s="57">
        <f>(1000*CHOOSE(CONTROL!$C$42, 695, 695)*CHOOSE(CONTROL!$C$42, 0.5599, 0.5599)*CHOOSE(CONTROL!$C$42, 30, 30))/1000000</f>
        <v>11.673914999999997</v>
      </c>
      <c r="V892" s="57">
        <f>(1000*CHOOSE(CONTROL!$C$42, 500, 500)*CHOOSE(CONTROL!$C$42, 0.275, 0.275)*CHOOSE(CONTROL!$C$42, 30, 30))/1000000</f>
        <v>4.125</v>
      </c>
      <c r="W892" s="57">
        <f>(1000*CHOOSE(CONTROL!$C$42, 0.1146, 0.1146)*CHOOSE(CONTROL!$C$42, 121.5, 121.5)*CHOOSE(CONTROL!$C$42, 30, 30))/1000000</f>
        <v>0.417717</v>
      </c>
      <c r="X892" s="57">
        <f>(30*0.1790888*245000/1000000)+(30*0.2374*100000/1000000)</f>
        <v>2.0285026799999999</v>
      </c>
      <c r="Y892" s="57"/>
      <c r="Z892" s="14"/>
      <c r="AA892" s="56"/>
      <c r="AB892" s="50">
        <f>(B892*141.293+C892*267.993+D892*115.016+E892*89.698+F892*40+G892*185+H892*0+I892*100+J892*300)/(141.293+267.993+115.016+89.698+0+40+185+100+300)</f>
        <v>87.414495203147695</v>
      </c>
      <c r="AC892" s="45">
        <f>(M892*'RAP TEMPLATE-GAS AVAILABILITY'!O891+N892*'RAP TEMPLATE-GAS AVAILABILITY'!P891+O892*'RAP TEMPLATE-GAS AVAILABILITY'!Q891+P892*'RAP TEMPLATE-GAS AVAILABILITY'!R891)/('RAP TEMPLATE-GAS AVAILABILITY'!O891+'RAP TEMPLATE-GAS AVAILABILITY'!P891+'RAP TEMPLATE-GAS AVAILABILITY'!Q891+'RAP TEMPLATE-GAS AVAILABILITY'!R891)</f>
        <v>85.711750359712241</v>
      </c>
    </row>
    <row r="893" spans="1:29" ht="15.75" x14ac:dyDescent="0.25">
      <c r="A893" s="32">
        <v>68088</v>
      </c>
      <c r="B893" s="14">
        <f>CHOOSE(CONTROL!$C$42, 88.1331, 88.1331) * CHOOSE(CONTROL!$C$21, $C$9, 100%, $E$9)</f>
        <v>88.133099999999999</v>
      </c>
      <c r="C893" s="14">
        <f>CHOOSE(CONTROL!$C$42, 88.1411, 88.1411) * CHOOSE(CONTROL!$C$21, $C$9, 100%, $E$9)</f>
        <v>88.141099999999994</v>
      </c>
      <c r="D893" s="14">
        <f>CHOOSE(CONTROL!$C$42, 88.345, 88.345) * CHOOSE(CONTROL!$C$21, $C$9, 100%, $E$9)</f>
        <v>88.344999999999999</v>
      </c>
      <c r="E893" s="14">
        <f>CHOOSE(CONTROL!$C$42, 88.3765, 88.3765) * CHOOSE(CONTROL!$C$21, $C$9, 100%, $E$9)</f>
        <v>88.376499999999993</v>
      </c>
      <c r="F893" s="14">
        <f>CHOOSE(CONTROL!$C$42, 88.1138, 88.1138)*CHOOSE(CONTROL!$C$21, $C$9, 100%, $E$9)</f>
        <v>88.113799999999998</v>
      </c>
      <c r="G893" s="14">
        <f>CHOOSE(CONTROL!$C$42, 88.1295, 88.1295)*CHOOSE(CONTROL!$C$21, $C$9, 100%, $E$9)</f>
        <v>88.129499999999993</v>
      </c>
      <c r="H893" s="14">
        <f>CHOOSE(CONTROL!$C$42, 88.3651, 88.3651) * CHOOSE(CONTROL!$C$21, $C$9, 100%, $E$9)</f>
        <v>88.365099999999998</v>
      </c>
      <c r="I893" s="14">
        <f>CHOOSE(CONTROL!$C$42, 88.4145, 88.4145)* CHOOSE(CONTROL!$C$21, $C$9, 100%, $E$9)</f>
        <v>88.414500000000004</v>
      </c>
      <c r="J893" s="14">
        <f>CHOOSE(CONTROL!$C$42, 88.1068, 88.1068)* CHOOSE(CONTROL!$C$21, $C$9, 100%, $E$9)</f>
        <v>88.106800000000007</v>
      </c>
      <c r="K893" s="53">
        <f>CHOOSE(CONTROL!$C$42, 88.4106, 88.4106) * CHOOSE(CONTROL!$C$21, $C$9, 100%, $E$9)</f>
        <v>88.410600000000002</v>
      </c>
      <c r="L893" s="14">
        <f>CHOOSE(CONTROL!$C$42, 88.9521, 88.9521) * CHOOSE(CONTROL!$C$21, $C$9, 100%, $E$9)</f>
        <v>88.952100000000002</v>
      </c>
      <c r="M893" s="14">
        <f>CHOOSE(CONTROL!$C$42, 86.3092, 86.3092) * CHOOSE(CONTROL!$C$21, $C$9, 100%, $E$9)</f>
        <v>86.309200000000004</v>
      </c>
      <c r="N893" s="14">
        <f>CHOOSE(CONTROL!$C$42, 86.3246, 86.3246) * CHOOSE(CONTROL!$C$21, $C$9, 100%, $E$9)</f>
        <v>86.324600000000004</v>
      </c>
      <c r="O893" s="14">
        <f>CHOOSE(CONTROL!$C$42, 86.5623, 86.5623) * CHOOSE(CONTROL!$C$21, $C$9, 100%, $E$9)</f>
        <v>86.562299999999993</v>
      </c>
      <c r="P893" s="14">
        <f>CHOOSE(CONTROL!$C$42, 86.6052, 86.6052) * CHOOSE(CONTROL!$C$21, $C$9, 100%, $E$9)</f>
        <v>86.605199999999996</v>
      </c>
      <c r="Q893" s="14">
        <f>CHOOSE(CONTROL!$C$42, 87.157, 87.157) * CHOOSE(CONTROL!$C$21, $C$9, 100%, $E$9)</f>
        <v>87.156999999999996</v>
      </c>
      <c r="R893" s="14">
        <f>CHOOSE(CONTROL!$C$42, 87.9619, 87.9619) * CHOOSE(CONTROL!$C$21, $C$9, 100%, $E$9)</f>
        <v>87.9619</v>
      </c>
      <c r="S893" s="14">
        <f>CHOOSE(CONTROL!$C$42, 84.6764, 84.6764) * CHOOSE(CONTROL!$C$21, $C$9, 100%, $E$9)</f>
        <v>84.676400000000001</v>
      </c>
      <c r="T89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93" s="57">
        <f>(1000*CHOOSE(CONTROL!$C$42, 695, 695)*CHOOSE(CONTROL!$C$42, 0.5599, 0.5599)*CHOOSE(CONTROL!$C$42, 31, 31))/1000000</f>
        <v>12.063045499999998</v>
      </c>
      <c r="V893" s="57">
        <f>(1000*CHOOSE(CONTROL!$C$42, 500, 500)*CHOOSE(CONTROL!$C$42, 0.275, 0.275)*CHOOSE(CONTROL!$C$42, 31, 31))/1000000</f>
        <v>4.2625000000000002</v>
      </c>
      <c r="W893" s="57">
        <f>(1000*CHOOSE(CONTROL!$C$42, 0.1146, 0.1146)*CHOOSE(CONTROL!$C$42, 121.5, 121.5)*CHOOSE(CONTROL!$C$42, 31, 31))/1000000</f>
        <v>0.43164089999999994</v>
      </c>
      <c r="X893" s="57">
        <f>(31*0.1790888*245000/1000000)+(31*0.2374*100000/1000000)</f>
        <v>2.0961194359999999</v>
      </c>
      <c r="Y893" s="57"/>
      <c r="Z893" s="14"/>
      <c r="AA893" s="56"/>
      <c r="AB893" s="50">
        <f>(B893*194.205+C893*267.466+D893*133.845+E893*53.484+F893*40+G893*185+H893*0+I893*100+J893*300)/(194.205+267.466+133.845+53.484+0+40+185+100+300)</f>
        <v>88.182025815620108</v>
      </c>
      <c r="AC893" s="45">
        <f>(M893*'RAP TEMPLATE-GAS AVAILABILITY'!O892+N893*'RAP TEMPLATE-GAS AVAILABILITY'!P892+O893*'RAP TEMPLATE-GAS AVAILABILITY'!Q892+P893*'RAP TEMPLATE-GAS AVAILABILITY'!R892)/('RAP TEMPLATE-GAS AVAILABILITY'!O892+'RAP TEMPLATE-GAS AVAILABILITY'!P892+'RAP TEMPLATE-GAS AVAILABILITY'!Q892+'RAP TEMPLATE-GAS AVAILABILITY'!R892)</f>
        <v>86.46739064748202</v>
      </c>
    </row>
    <row r="894" spans="1:29" ht="15.75" x14ac:dyDescent="0.25">
      <c r="A894" s="32">
        <v>68118</v>
      </c>
      <c r="B894" s="14">
        <f>CHOOSE(CONTROL!$C$42, 90.6327, 90.6327) * CHOOSE(CONTROL!$C$21, $C$9, 100%, $E$9)</f>
        <v>90.6327</v>
      </c>
      <c r="C894" s="14">
        <f>CHOOSE(CONTROL!$C$42, 90.6408, 90.6408) * CHOOSE(CONTROL!$C$21, $C$9, 100%, $E$9)</f>
        <v>90.640799999999999</v>
      </c>
      <c r="D894" s="14">
        <f>CHOOSE(CONTROL!$C$42, 90.8447, 90.8447) * CHOOSE(CONTROL!$C$21, $C$9, 100%, $E$9)</f>
        <v>90.844700000000003</v>
      </c>
      <c r="E894" s="14">
        <f>CHOOSE(CONTROL!$C$42, 90.8762, 90.8762) * CHOOSE(CONTROL!$C$21, $C$9, 100%, $E$9)</f>
        <v>90.876199999999997</v>
      </c>
      <c r="F894" s="14">
        <f>CHOOSE(CONTROL!$C$42, 90.6139, 90.6139)*CHOOSE(CONTROL!$C$21, $C$9, 100%, $E$9)</f>
        <v>90.613900000000001</v>
      </c>
      <c r="G894" s="14">
        <f>CHOOSE(CONTROL!$C$42, 90.6297, 90.6297)*CHOOSE(CONTROL!$C$21, $C$9, 100%, $E$9)</f>
        <v>90.6297</v>
      </c>
      <c r="H894" s="14">
        <f>CHOOSE(CONTROL!$C$42, 90.8648, 90.8648) * CHOOSE(CONTROL!$C$21, $C$9, 100%, $E$9)</f>
        <v>90.864800000000002</v>
      </c>
      <c r="I894" s="14">
        <f>CHOOSE(CONTROL!$C$42, 90.922, 90.922)* CHOOSE(CONTROL!$C$21, $C$9, 100%, $E$9)</f>
        <v>90.921999999999997</v>
      </c>
      <c r="J894" s="14">
        <f>CHOOSE(CONTROL!$C$42, 90.6069, 90.6069)* CHOOSE(CONTROL!$C$21, $C$9, 100%, $E$9)</f>
        <v>90.606899999999996</v>
      </c>
      <c r="K894" s="53">
        <f>CHOOSE(CONTROL!$C$42, 90.9181, 90.9181) * CHOOSE(CONTROL!$C$21, $C$9, 100%, $E$9)</f>
        <v>90.918099999999995</v>
      </c>
      <c r="L894" s="14">
        <f>CHOOSE(CONTROL!$C$42, 91.4518, 91.4518) * CHOOSE(CONTROL!$C$21, $C$9, 100%, $E$9)</f>
        <v>91.451800000000006</v>
      </c>
      <c r="M894" s="14">
        <f>CHOOSE(CONTROL!$C$42, 88.7581, 88.7581) * CHOOSE(CONTROL!$C$21, $C$9, 100%, $E$9)</f>
        <v>88.758099999999999</v>
      </c>
      <c r="N894" s="14">
        <f>CHOOSE(CONTROL!$C$42, 88.7736, 88.7736) * CHOOSE(CONTROL!$C$21, $C$9, 100%, $E$9)</f>
        <v>88.773600000000002</v>
      </c>
      <c r="O894" s="14">
        <f>CHOOSE(CONTROL!$C$42, 89.0107, 89.0107) * CHOOSE(CONTROL!$C$21, $C$9, 100%, $E$9)</f>
        <v>89.0107</v>
      </c>
      <c r="P894" s="14">
        <f>CHOOSE(CONTROL!$C$42, 89.0612, 89.0612) * CHOOSE(CONTROL!$C$21, $C$9, 100%, $E$9)</f>
        <v>89.061199999999999</v>
      </c>
      <c r="Q894" s="14">
        <f>CHOOSE(CONTROL!$C$42, 89.6054, 89.6054) * CHOOSE(CONTROL!$C$21, $C$9, 100%, $E$9)</f>
        <v>89.605400000000003</v>
      </c>
      <c r="R894" s="14">
        <f>CHOOSE(CONTROL!$C$42, 90.4164, 90.4164) * CHOOSE(CONTROL!$C$21, $C$9, 100%, $E$9)</f>
        <v>90.416399999999996</v>
      </c>
      <c r="S894" s="14">
        <f>CHOOSE(CONTROL!$C$42, 87.0784, 87.0784) * CHOOSE(CONTROL!$C$21, $C$9, 100%, $E$9)</f>
        <v>87.078400000000002</v>
      </c>
      <c r="T89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94" s="57">
        <f>(1000*CHOOSE(CONTROL!$C$42, 695, 695)*CHOOSE(CONTROL!$C$42, 0.5599, 0.5599)*CHOOSE(CONTROL!$C$42, 30, 30))/1000000</f>
        <v>11.673914999999997</v>
      </c>
      <c r="V894" s="57">
        <f>(1000*CHOOSE(CONTROL!$C$42, 500, 500)*CHOOSE(CONTROL!$C$42, 0.275, 0.275)*CHOOSE(CONTROL!$C$42, 30, 30))/1000000</f>
        <v>4.125</v>
      </c>
      <c r="W894" s="57">
        <f>(1000*CHOOSE(CONTROL!$C$42, 0.1146, 0.1146)*CHOOSE(CONTROL!$C$42, 121.5, 121.5)*CHOOSE(CONTROL!$C$42, 30, 30))/1000000</f>
        <v>0.417717</v>
      </c>
      <c r="X894" s="57">
        <f>(30*0.1790888*245000/1000000)+(30*0.2374*100000/1000000)</f>
        <v>2.0285026799999999</v>
      </c>
      <c r="Y894" s="57"/>
      <c r="Z894" s="14"/>
      <c r="AA894" s="56"/>
      <c r="AB894" s="50">
        <f>(B894*194.205+C894*267.466+D894*133.845+E894*53.484+F894*40+G894*185+H894*0+I894*100+J894*300)/(194.205+267.466+133.845+53.484+0+40+185+100+300)</f>
        <v>90.682502173155399</v>
      </c>
      <c r="AC894" s="45">
        <f>(M894*'RAP TEMPLATE-GAS AVAILABILITY'!O893+N894*'RAP TEMPLATE-GAS AVAILABILITY'!P893+O894*'RAP TEMPLATE-GAS AVAILABILITY'!Q893+P894*'RAP TEMPLATE-GAS AVAILABILITY'!R893)/('RAP TEMPLATE-GAS AVAILABILITY'!O893+'RAP TEMPLATE-GAS AVAILABILITY'!P893+'RAP TEMPLATE-GAS AVAILABILITY'!Q893+'RAP TEMPLATE-GAS AVAILABILITY'!R893)</f>
        <v>88.917091366906476</v>
      </c>
    </row>
    <row r="895" spans="1:29" ht="15.75" x14ac:dyDescent="0.25">
      <c r="A895" s="32">
        <v>68149</v>
      </c>
      <c r="B895" s="14">
        <f>CHOOSE(CONTROL!$C$42, 88.8942, 88.8942) * CHOOSE(CONTROL!$C$21, $C$9, 100%, $E$9)</f>
        <v>88.894199999999998</v>
      </c>
      <c r="C895" s="14">
        <f>CHOOSE(CONTROL!$C$42, 88.9022, 88.9022) * CHOOSE(CONTROL!$C$21, $C$9, 100%, $E$9)</f>
        <v>88.902199999999993</v>
      </c>
      <c r="D895" s="14">
        <f>CHOOSE(CONTROL!$C$42, 89.1062, 89.1062) * CHOOSE(CONTROL!$C$21, $C$9, 100%, $E$9)</f>
        <v>89.106200000000001</v>
      </c>
      <c r="E895" s="14">
        <f>CHOOSE(CONTROL!$C$42, 89.1376, 89.1376) * CHOOSE(CONTROL!$C$21, $C$9, 100%, $E$9)</f>
        <v>89.137600000000006</v>
      </c>
      <c r="F895" s="14">
        <f>CHOOSE(CONTROL!$C$42, 88.8758, 88.8758)*CHOOSE(CONTROL!$C$21, $C$9, 100%, $E$9)</f>
        <v>88.875799999999998</v>
      </c>
      <c r="G895" s="14">
        <f>CHOOSE(CONTROL!$C$42, 88.8917, 88.8917)*CHOOSE(CONTROL!$C$21, $C$9, 100%, $E$9)</f>
        <v>88.8917</v>
      </c>
      <c r="H895" s="14">
        <f>CHOOSE(CONTROL!$C$42, 89.1263, 89.1263) * CHOOSE(CONTROL!$C$21, $C$9, 100%, $E$9)</f>
        <v>89.126300000000001</v>
      </c>
      <c r="I895" s="14">
        <f>CHOOSE(CONTROL!$C$42, 89.178, 89.178)* CHOOSE(CONTROL!$C$21, $C$9, 100%, $E$9)</f>
        <v>89.177999999999997</v>
      </c>
      <c r="J895" s="14">
        <f>CHOOSE(CONTROL!$C$42, 88.8688, 88.8688)* CHOOSE(CONTROL!$C$21, $C$9, 100%, $E$9)</f>
        <v>88.868799999999993</v>
      </c>
      <c r="K895" s="53">
        <f>CHOOSE(CONTROL!$C$42, 89.1742, 89.1742) * CHOOSE(CONTROL!$C$21, $C$9, 100%, $E$9)</f>
        <v>89.174199999999999</v>
      </c>
      <c r="L895" s="14">
        <f>CHOOSE(CONTROL!$C$42, 89.7133, 89.7133) * CHOOSE(CONTROL!$C$21, $C$9, 100%, $E$9)</f>
        <v>89.713300000000004</v>
      </c>
      <c r="M895" s="14">
        <f>CHOOSE(CONTROL!$C$42, 87.0557, 87.0557) * CHOOSE(CONTROL!$C$21, $C$9, 100%, $E$9)</f>
        <v>87.055700000000002</v>
      </c>
      <c r="N895" s="14">
        <f>CHOOSE(CONTROL!$C$42, 87.0712, 87.0712) * CHOOSE(CONTROL!$C$21, $C$9, 100%, $E$9)</f>
        <v>87.071200000000005</v>
      </c>
      <c r="O895" s="14">
        <f>CHOOSE(CONTROL!$C$42, 87.3078, 87.3078) * CHOOSE(CONTROL!$C$21, $C$9, 100%, $E$9)</f>
        <v>87.3078</v>
      </c>
      <c r="P895" s="14">
        <f>CHOOSE(CONTROL!$C$42, 87.353, 87.353) * CHOOSE(CONTROL!$C$21, $C$9, 100%, $E$9)</f>
        <v>87.352999999999994</v>
      </c>
      <c r="Q895" s="14">
        <f>CHOOSE(CONTROL!$C$42, 87.9025, 87.9025) * CHOOSE(CONTROL!$C$21, $C$9, 100%, $E$9)</f>
        <v>87.902500000000003</v>
      </c>
      <c r="R895" s="14">
        <f>CHOOSE(CONTROL!$C$42, 88.7093, 88.7093) * CHOOSE(CONTROL!$C$21, $C$9, 100%, $E$9)</f>
        <v>88.709299999999999</v>
      </c>
      <c r="S895" s="14">
        <f>CHOOSE(CONTROL!$C$42, 85.4078, 85.4078) * CHOOSE(CONTROL!$C$21, $C$9, 100%, $E$9)</f>
        <v>85.407799999999995</v>
      </c>
      <c r="T89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95" s="57">
        <f>(1000*CHOOSE(CONTROL!$C$42, 695, 695)*CHOOSE(CONTROL!$C$42, 0.5599, 0.5599)*CHOOSE(CONTROL!$C$42, 31, 31))/1000000</f>
        <v>12.063045499999998</v>
      </c>
      <c r="V895" s="57">
        <f>(1000*CHOOSE(CONTROL!$C$42, 500, 500)*CHOOSE(CONTROL!$C$42, 0.275, 0.275)*CHOOSE(CONTROL!$C$42, 31, 31))/1000000</f>
        <v>4.2625000000000002</v>
      </c>
      <c r="W895" s="57">
        <f>(1000*CHOOSE(CONTROL!$C$42, 0.1146, 0.1146)*CHOOSE(CONTROL!$C$42, 121.5, 121.5)*CHOOSE(CONTROL!$C$42, 31, 31))/1000000</f>
        <v>0.43164089999999994</v>
      </c>
      <c r="X895" s="57">
        <f>(31*0.1790888*245000/1000000)+(31*0.2374*100000/1000000)</f>
        <v>2.0961194359999999</v>
      </c>
      <c r="Y895" s="57"/>
      <c r="Z895" s="14"/>
      <c r="AA895" s="56"/>
      <c r="AB895" s="50">
        <f>(B895*194.205+C895*267.466+D895*133.845+E895*53.484+F895*40+G895*185+H895*0+I895*100+J895*300)/(194.205+267.466+133.845+53.484+0+40+185+100+300)</f>
        <v>88.943724626059662</v>
      </c>
      <c r="AC895" s="45">
        <f>(M895*'RAP TEMPLATE-GAS AVAILABILITY'!O894+N895*'RAP TEMPLATE-GAS AVAILABILITY'!P894+O895*'RAP TEMPLATE-GAS AVAILABILITY'!Q894+P895*'RAP TEMPLATE-GAS AVAILABILITY'!R894)/('RAP TEMPLATE-GAS AVAILABILITY'!O894+'RAP TEMPLATE-GAS AVAILABILITY'!P894+'RAP TEMPLATE-GAS AVAILABILITY'!Q894+'RAP TEMPLATE-GAS AVAILABILITY'!R894)</f>
        <v>87.213630215827337</v>
      </c>
    </row>
    <row r="896" spans="1:29" ht="15.75" x14ac:dyDescent="0.25">
      <c r="A896" s="32">
        <v>68180</v>
      </c>
      <c r="B896" s="14">
        <f>CHOOSE(CONTROL!$C$42, 84.5038, 84.5038) * CHOOSE(CONTROL!$C$21, $C$9, 100%, $E$9)</f>
        <v>84.503799999999998</v>
      </c>
      <c r="C896" s="14">
        <f>CHOOSE(CONTROL!$C$42, 84.5119, 84.5119) * CHOOSE(CONTROL!$C$21, $C$9, 100%, $E$9)</f>
        <v>84.511899999999997</v>
      </c>
      <c r="D896" s="14">
        <f>CHOOSE(CONTROL!$C$42, 84.7158, 84.7158) * CHOOSE(CONTROL!$C$21, $C$9, 100%, $E$9)</f>
        <v>84.715800000000002</v>
      </c>
      <c r="E896" s="14">
        <f>CHOOSE(CONTROL!$C$42, 84.7473, 84.7473) * CHOOSE(CONTROL!$C$21, $C$9, 100%, $E$9)</f>
        <v>84.747299999999996</v>
      </c>
      <c r="F896" s="14">
        <f>CHOOSE(CONTROL!$C$42, 84.4857, 84.4857)*CHOOSE(CONTROL!$C$21, $C$9, 100%, $E$9)</f>
        <v>84.485699999999994</v>
      </c>
      <c r="G896" s="14">
        <f>CHOOSE(CONTROL!$C$42, 84.5016, 84.5016)*CHOOSE(CONTROL!$C$21, $C$9, 100%, $E$9)</f>
        <v>84.501599999999996</v>
      </c>
      <c r="H896" s="14">
        <f>CHOOSE(CONTROL!$C$42, 84.7359, 84.7359) * CHOOSE(CONTROL!$C$21, $C$9, 100%, $E$9)</f>
        <v>84.735900000000001</v>
      </c>
      <c r="I896" s="14">
        <f>CHOOSE(CONTROL!$C$42, 84.7739, 84.7739)* CHOOSE(CONTROL!$C$21, $C$9, 100%, $E$9)</f>
        <v>84.773899999999998</v>
      </c>
      <c r="J896" s="14">
        <f>CHOOSE(CONTROL!$C$42, 84.4787, 84.4787)* CHOOSE(CONTROL!$C$21, $C$9, 100%, $E$9)</f>
        <v>84.478700000000003</v>
      </c>
      <c r="K896" s="53">
        <f>CHOOSE(CONTROL!$C$42, 84.77, 84.77) * CHOOSE(CONTROL!$C$21, $C$9, 100%, $E$9)</f>
        <v>84.77</v>
      </c>
      <c r="L896" s="14">
        <f>CHOOSE(CONTROL!$C$42, 85.3229, 85.3229) * CHOOSE(CONTROL!$C$21, $C$9, 100%, $E$9)</f>
        <v>85.322900000000004</v>
      </c>
      <c r="M896" s="14">
        <f>CHOOSE(CONTROL!$C$42, 82.7555, 82.7555) * CHOOSE(CONTROL!$C$21, $C$9, 100%, $E$9)</f>
        <v>82.755499999999998</v>
      </c>
      <c r="N896" s="14">
        <f>CHOOSE(CONTROL!$C$42, 82.7711, 82.7711) * CHOOSE(CONTROL!$C$21, $C$9, 100%, $E$9)</f>
        <v>82.771100000000004</v>
      </c>
      <c r="O896" s="14">
        <f>CHOOSE(CONTROL!$C$42, 83.0074, 83.0074) * CHOOSE(CONTROL!$C$21, $C$9, 100%, $E$9)</f>
        <v>83.007400000000004</v>
      </c>
      <c r="P896" s="14">
        <f>CHOOSE(CONTROL!$C$42, 83.0394, 83.0394) * CHOOSE(CONTROL!$C$21, $C$9, 100%, $E$9)</f>
        <v>83.039400000000001</v>
      </c>
      <c r="Q896" s="14">
        <f>CHOOSE(CONTROL!$C$42, 83.6021, 83.6021) * CHOOSE(CONTROL!$C$21, $C$9, 100%, $E$9)</f>
        <v>83.602099999999993</v>
      </c>
      <c r="R896" s="14">
        <f>CHOOSE(CONTROL!$C$42, 84.3981, 84.3981) * CHOOSE(CONTROL!$C$21, $C$9, 100%, $E$9)</f>
        <v>84.398099999999999</v>
      </c>
      <c r="S896" s="14">
        <f>CHOOSE(CONTROL!$C$42, 81.1891, 81.1891) * CHOOSE(CONTROL!$C$21, $C$9, 100%, $E$9)</f>
        <v>81.189099999999996</v>
      </c>
      <c r="T89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96" s="57">
        <f>(1000*CHOOSE(CONTROL!$C$42, 695, 695)*CHOOSE(CONTROL!$C$42, 0.5599, 0.5599)*CHOOSE(CONTROL!$C$42, 31, 31))/1000000</f>
        <v>12.063045499999998</v>
      </c>
      <c r="V896" s="57">
        <f>(1000*CHOOSE(CONTROL!$C$42, 500, 500)*CHOOSE(CONTROL!$C$42, 0.275, 0.275)*CHOOSE(CONTROL!$C$42, 31, 31))/1000000</f>
        <v>4.2625000000000002</v>
      </c>
      <c r="W896" s="57">
        <f>(1000*CHOOSE(CONTROL!$C$42, 0.1146, 0.1146)*CHOOSE(CONTROL!$C$42, 121.5, 121.5)*CHOOSE(CONTROL!$C$42, 31, 31))/1000000</f>
        <v>0.43164089999999994</v>
      </c>
      <c r="X896" s="57">
        <f>(31*0.1790888*245000/1000000)+(31*0.2374*100000/1000000)</f>
        <v>2.0961194359999999</v>
      </c>
      <c r="Y896" s="57"/>
      <c r="Z896" s="14"/>
      <c r="AA896" s="56"/>
      <c r="AB896" s="50">
        <f>(B896*194.205+C896*267.466+D896*133.845+E896*53.484+F896*40+G896*185+H896*0+I896*100+J896*300)/(194.205+267.466+133.845+53.484+0+40+185+100+300)</f>
        <v>84.552398091522761</v>
      </c>
      <c r="AC896" s="45">
        <f>(M896*'RAP TEMPLATE-GAS AVAILABILITY'!O895+N896*'RAP TEMPLATE-GAS AVAILABILITY'!P895+O896*'RAP TEMPLATE-GAS AVAILABILITY'!Q895+P896*'RAP TEMPLATE-GAS AVAILABILITY'!R895)/('RAP TEMPLATE-GAS AVAILABILITY'!O895+'RAP TEMPLATE-GAS AVAILABILITY'!P895+'RAP TEMPLATE-GAS AVAILABILITY'!Q895+'RAP TEMPLATE-GAS AVAILABILITY'!R895)</f>
        <v>82.911417266187058</v>
      </c>
    </row>
    <row r="897" spans="1:29" ht="15.75" x14ac:dyDescent="0.25">
      <c r="A897" s="32">
        <v>68210</v>
      </c>
      <c r="B897" s="14">
        <f>CHOOSE(CONTROL!$C$42, 79.1393, 79.1393) * CHOOSE(CONTROL!$C$21, $C$9, 100%, $E$9)</f>
        <v>79.139300000000006</v>
      </c>
      <c r="C897" s="14">
        <f>CHOOSE(CONTROL!$C$42, 79.1473, 79.1473) * CHOOSE(CONTROL!$C$21, $C$9, 100%, $E$9)</f>
        <v>79.147300000000001</v>
      </c>
      <c r="D897" s="14">
        <f>CHOOSE(CONTROL!$C$42, 79.3512, 79.3512) * CHOOSE(CONTROL!$C$21, $C$9, 100%, $E$9)</f>
        <v>79.351200000000006</v>
      </c>
      <c r="E897" s="14">
        <f>CHOOSE(CONTROL!$C$42, 79.3827, 79.3827) * CHOOSE(CONTROL!$C$21, $C$9, 100%, $E$9)</f>
        <v>79.3827</v>
      </c>
      <c r="F897" s="14">
        <f>CHOOSE(CONTROL!$C$42, 79.1212, 79.1212)*CHOOSE(CONTROL!$C$21, $C$9, 100%, $E$9)</f>
        <v>79.121200000000002</v>
      </c>
      <c r="G897" s="14">
        <f>CHOOSE(CONTROL!$C$42, 79.1371, 79.1371)*CHOOSE(CONTROL!$C$21, $C$9, 100%, $E$9)</f>
        <v>79.137100000000004</v>
      </c>
      <c r="H897" s="14">
        <f>CHOOSE(CONTROL!$C$42, 79.3713, 79.3713) * CHOOSE(CONTROL!$C$21, $C$9, 100%, $E$9)</f>
        <v>79.371300000000005</v>
      </c>
      <c r="I897" s="14">
        <f>CHOOSE(CONTROL!$C$42, 79.3925, 79.3925)* CHOOSE(CONTROL!$C$21, $C$9, 100%, $E$9)</f>
        <v>79.392499999999998</v>
      </c>
      <c r="J897" s="14">
        <f>CHOOSE(CONTROL!$C$42, 79.1142, 79.1142)* CHOOSE(CONTROL!$C$21, $C$9, 100%, $E$9)</f>
        <v>79.114199999999997</v>
      </c>
      <c r="K897" s="53">
        <f>CHOOSE(CONTROL!$C$42, 79.3887, 79.3887) * CHOOSE(CONTROL!$C$21, $C$9, 100%, $E$9)</f>
        <v>79.3887</v>
      </c>
      <c r="L897" s="14">
        <f>CHOOSE(CONTROL!$C$42, 79.9583, 79.9583) * CHOOSE(CONTROL!$C$21, $C$9, 100%, $E$9)</f>
        <v>79.958299999999994</v>
      </c>
      <c r="M897" s="14">
        <f>CHOOSE(CONTROL!$C$42, 77.5009, 77.5009) * CHOOSE(CONTROL!$C$21, $C$9, 100%, $E$9)</f>
        <v>77.500900000000001</v>
      </c>
      <c r="N897" s="14">
        <f>CHOOSE(CONTROL!$C$42, 77.5165, 77.5165) * CHOOSE(CONTROL!$C$21, $C$9, 100%, $E$9)</f>
        <v>77.516499999999994</v>
      </c>
      <c r="O897" s="14">
        <f>CHOOSE(CONTROL!$C$42, 77.7527, 77.7527) * CHOOSE(CONTROL!$C$21, $C$9, 100%, $E$9)</f>
        <v>77.752700000000004</v>
      </c>
      <c r="P897" s="14">
        <f>CHOOSE(CONTROL!$C$42, 77.7686, 77.7686) * CHOOSE(CONTROL!$C$21, $C$9, 100%, $E$9)</f>
        <v>77.768600000000006</v>
      </c>
      <c r="Q897" s="14">
        <f>CHOOSE(CONTROL!$C$42, 78.3474, 78.3474) * CHOOSE(CONTROL!$C$21, $C$9, 100%, $E$9)</f>
        <v>78.347399999999993</v>
      </c>
      <c r="R897" s="14">
        <f>CHOOSE(CONTROL!$C$42, 79.1303, 79.1303) * CHOOSE(CONTROL!$C$21, $C$9, 100%, $E$9)</f>
        <v>79.130300000000005</v>
      </c>
      <c r="S897" s="14">
        <f>CHOOSE(CONTROL!$C$42, 76.0343, 76.0343) * CHOOSE(CONTROL!$C$21, $C$9, 100%, $E$9)</f>
        <v>76.034300000000002</v>
      </c>
      <c r="T89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97" s="57">
        <f>(1000*CHOOSE(CONTROL!$C$42, 695, 695)*CHOOSE(CONTROL!$C$42, 0.5599, 0.5599)*CHOOSE(CONTROL!$C$42, 30, 30))/1000000</f>
        <v>11.673914999999997</v>
      </c>
      <c r="V897" s="57">
        <f>(1000*CHOOSE(CONTROL!$C$42, 500, 500)*CHOOSE(CONTROL!$C$42, 0.275, 0.275)*CHOOSE(CONTROL!$C$42, 30, 30))/1000000</f>
        <v>4.125</v>
      </c>
      <c r="W897" s="57">
        <f>(1000*CHOOSE(CONTROL!$C$42, 0.1146, 0.1146)*CHOOSE(CONTROL!$C$42, 121.5, 121.5)*CHOOSE(CONTROL!$C$42, 30, 30))/1000000</f>
        <v>0.417717</v>
      </c>
      <c r="X897" s="57">
        <f>(30*0.1790888*245000/1000000)+(30*0.2374*100000/1000000)</f>
        <v>2.0285026799999999</v>
      </c>
      <c r="Y897" s="57"/>
      <c r="Z897" s="14"/>
      <c r="AA897" s="56"/>
      <c r="AB897" s="50">
        <f>(B897*194.205+C897*267.466+D897*133.845+E897*53.484+F897*40+G897*185+H897*0+I897*100+J897*300)/(194.205+267.466+133.845+53.484+0+40+185+100+300)</f>
        <v>79.186535862715857</v>
      </c>
      <c r="AC897" s="45">
        <f>(M897*'RAP TEMPLATE-GAS AVAILABILITY'!O896+N897*'RAP TEMPLATE-GAS AVAILABILITY'!P896+O897*'RAP TEMPLATE-GAS AVAILABILITY'!Q896+P897*'RAP TEMPLATE-GAS AVAILABILITY'!R896)/('RAP TEMPLATE-GAS AVAILABILITY'!O896+'RAP TEMPLATE-GAS AVAILABILITY'!P896+'RAP TEMPLATE-GAS AVAILABILITY'!Q896+'RAP TEMPLATE-GAS AVAILABILITY'!R896)</f>
        <v>77.654441007194251</v>
      </c>
    </row>
    <row r="898" spans="1:29" ht="15.75" x14ac:dyDescent="0.25">
      <c r="A898" s="32">
        <v>68241</v>
      </c>
      <c r="B898" s="14">
        <f>CHOOSE(CONTROL!$C$42, 77.5309, 77.5309) * CHOOSE(CONTROL!$C$21, $C$9, 100%, $E$9)</f>
        <v>77.530900000000003</v>
      </c>
      <c r="C898" s="14">
        <f>CHOOSE(CONTROL!$C$42, 77.5362, 77.5362) * CHOOSE(CONTROL!$C$21, $C$9, 100%, $E$9)</f>
        <v>77.536199999999994</v>
      </c>
      <c r="D898" s="14">
        <f>CHOOSE(CONTROL!$C$42, 77.7451, 77.7451) * CHOOSE(CONTROL!$C$21, $C$9, 100%, $E$9)</f>
        <v>77.745099999999994</v>
      </c>
      <c r="E898" s="14">
        <f>CHOOSE(CONTROL!$C$42, 77.7742, 77.7742) * CHOOSE(CONTROL!$C$21, $C$9, 100%, $E$9)</f>
        <v>77.774199999999993</v>
      </c>
      <c r="F898" s="14">
        <f>CHOOSE(CONTROL!$C$42, 77.5149, 77.5149)*CHOOSE(CONTROL!$C$21, $C$9, 100%, $E$9)</f>
        <v>77.514899999999997</v>
      </c>
      <c r="G898" s="14">
        <f>CHOOSE(CONTROL!$C$42, 77.5305, 77.5305)*CHOOSE(CONTROL!$C$21, $C$9, 100%, $E$9)</f>
        <v>77.530500000000004</v>
      </c>
      <c r="H898" s="14">
        <f>CHOOSE(CONTROL!$C$42, 77.7647, 77.7647) * CHOOSE(CONTROL!$C$21, $C$9, 100%, $E$9)</f>
        <v>77.764700000000005</v>
      </c>
      <c r="I898" s="14">
        <f>CHOOSE(CONTROL!$C$42, 77.7809, 77.7809)* CHOOSE(CONTROL!$C$21, $C$9, 100%, $E$9)</f>
        <v>77.780900000000003</v>
      </c>
      <c r="J898" s="14">
        <f>CHOOSE(CONTROL!$C$42, 77.5079, 77.5079)* CHOOSE(CONTROL!$C$21, $C$9, 100%, $E$9)</f>
        <v>77.507900000000006</v>
      </c>
      <c r="K898" s="53">
        <f>CHOOSE(CONTROL!$C$42, 77.777, 77.777) * CHOOSE(CONTROL!$C$21, $C$9, 100%, $E$9)</f>
        <v>77.777000000000001</v>
      </c>
      <c r="L898" s="14">
        <f>CHOOSE(CONTROL!$C$42, 78.3517, 78.3517) * CHOOSE(CONTROL!$C$21, $C$9, 100%, $E$9)</f>
        <v>78.351699999999994</v>
      </c>
      <c r="M898" s="14">
        <f>CHOOSE(CONTROL!$C$42, 75.9275, 75.9275) * CHOOSE(CONTROL!$C$21, $C$9, 100%, $E$9)</f>
        <v>75.927499999999995</v>
      </c>
      <c r="N898" s="14">
        <f>CHOOSE(CONTROL!$C$42, 75.9428, 75.9428) * CHOOSE(CONTROL!$C$21, $C$9, 100%, $E$9)</f>
        <v>75.942800000000005</v>
      </c>
      <c r="O898" s="14">
        <f>CHOOSE(CONTROL!$C$42, 76.179, 76.179) * CHOOSE(CONTROL!$C$21, $C$9, 100%, $E$9)</f>
        <v>76.179000000000002</v>
      </c>
      <c r="P898" s="14">
        <f>CHOOSE(CONTROL!$C$42, 76.1901, 76.1901) * CHOOSE(CONTROL!$C$21, $C$9, 100%, $E$9)</f>
        <v>76.190100000000001</v>
      </c>
      <c r="Q898" s="14">
        <f>CHOOSE(CONTROL!$C$42, 76.7737, 76.7737) * CHOOSE(CONTROL!$C$21, $C$9, 100%, $E$9)</f>
        <v>76.773700000000005</v>
      </c>
      <c r="R898" s="14">
        <f>CHOOSE(CONTROL!$C$42, 77.5527, 77.5527) * CHOOSE(CONTROL!$C$21, $C$9, 100%, $E$9)</f>
        <v>77.552700000000002</v>
      </c>
      <c r="S898" s="14">
        <f>CHOOSE(CONTROL!$C$42, 74.4905, 74.4905) * CHOOSE(CONTROL!$C$21, $C$9, 100%, $E$9)</f>
        <v>74.490499999999997</v>
      </c>
      <c r="T89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98" s="57">
        <f>(1000*CHOOSE(CONTROL!$C$42, 695, 695)*CHOOSE(CONTROL!$C$42, 0.5599, 0.5599)*CHOOSE(CONTROL!$C$42, 31, 31))/1000000</f>
        <v>12.063045499999998</v>
      </c>
      <c r="V898" s="57">
        <f>(1000*CHOOSE(CONTROL!$C$42, 500, 500)*CHOOSE(CONTROL!$C$42, 0.275, 0.275)*CHOOSE(CONTROL!$C$42, 31, 31))/1000000</f>
        <v>4.2625000000000002</v>
      </c>
      <c r="W898" s="57">
        <f>(1000*CHOOSE(CONTROL!$C$42, 0.1146, 0.1146)*CHOOSE(CONTROL!$C$42, 121.5, 121.5)*CHOOSE(CONTROL!$C$42, 31, 31))/1000000</f>
        <v>0.43164089999999994</v>
      </c>
      <c r="X898" s="57">
        <f>(31*0.1790888*245000/1000000)+(31*0.2374*100000/1000000)</f>
        <v>2.0961194359999999</v>
      </c>
      <c r="Y898" s="57"/>
      <c r="Z898" s="14"/>
      <c r="AA898" s="56"/>
      <c r="AB898" s="50">
        <f>(B898*131.881+C898*277.167+D898*79.08+E898*125.872+F898*40+G898*185+H898*0+I898*100+J898*300)/(131.881+277.167+79.08+125.872+0+40+185+100+300)</f>
        <v>77.584506601049227</v>
      </c>
      <c r="AC898" s="45">
        <f>(M898*'RAP TEMPLATE-GAS AVAILABILITY'!O897+N898*'RAP TEMPLATE-GAS AVAILABILITY'!P897+O898*'RAP TEMPLATE-GAS AVAILABILITY'!Q897+P898*'RAP TEMPLATE-GAS AVAILABILITY'!R897)/('RAP TEMPLATE-GAS AVAILABILITY'!O897+'RAP TEMPLATE-GAS AVAILABILITY'!P897+'RAP TEMPLATE-GAS AVAILABILITY'!Q897+'RAP TEMPLATE-GAS AVAILABILITY'!R897)</f>
        <v>76.080153956834536</v>
      </c>
    </row>
    <row r="899" spans="1:29" ht="15.75" x14ac:dyDescent="0.25">
      <c r="A899" s="32">
        <v>68271</v>
      </c>
      <c r="B899" s="14">
        <f>CHOOSE(CONTROL!$C$42, 79.5727, 79.5727) * CHOOSE(CONTROL!$C$21, $C$9, 100%, $E$9)</f>
        <v>79.572699999999998</v>
      </c>
      <c r="C899" s="14">
        <f>CHOOSE(CONTROL!$C$42, 79.5778, 79.5778) * CHOOSE(CONTROL!$C$21, $C$9, 100%, $E$9)</f>
        <v>79.577799999999996</v>
      </c>
      <c r="D899" s="14">
        <f>CHOOSE(CONTROL!$C$42, 79.6416, 79.6416) * CHOOSE(CONTROL!$C$21, $C$9, 100%, $E$9)</f>
        <v>79.641599999999997</v>
      </c>
      <c r="E899" s="14">
        <f>CHOOSE(CONTROL!$C$42, 79.6757, 79.6757) * CHOOSE(CONTROL!$C$21, $C$9, 100%, $E$9)</f>
        <v>79.675700000000006</v>
      </c>
      <c r="F899" s="14">
        <f>CHOOSE(CONTROL!$C$42, 79.5751, 79.5751)*CHOOSE(CONTROL!$C$21, $C$9, 100%, $E$9)</f>
        <v>79.575100000000006</v>
      </c>
      <c r="G899" s="14">
        <f>CHOOSE(CONTROL!$C$42, 79.5911, 79.5911)*CHOOSE(CONTROL!$C$21, $C$9, 100%, $E$9)</f>
        <v>79.591099999999997</v>
      </c>
      <c r="H899" s="14">
        <f>CHOOSE(CONTROL!$C$42, 79.6649, 79.6649) * CHOOSE(CONTROL!$C$21, $C$9, 100%, $E$9)</f>
        <v>79.664900000000003</v>
      </c>
      <c r="I899" s="14">
        <f>CHOOSE(CONTROL!$C$42, 79.8348, 79.8348)* CHOOSE(CONTROL!$C$21, $C$9, 100%, $E$9)</f>
        <v>79.834800000000001</v>
      </c>
      <c r="J899" s="14">
        <f>CHOOSE(CONTROL!$C$42, 79.5681, 79.5681)* CHOOSE(CONTROL!$C$21, $C$9, 100%, $E$9)</f>
        <v>79.568100000000001</v>
      </c>
      <c r="K899" s="53">
        <f>CHOOSE(CONTROL!$C$42, 79.8309, 79.8309) * CHOOSE(CONTROL!$C$21, $C$9, 100%, $E$9)</f>
        <v>79.8309</v>
      </c>
      <c r="L899" s="14">
        <f>CHOOSE(CONTROL!$C$42, 80.2519, 80.2519) * CHOOSE(CONTROL!$C$21, $C$9, 100%, $E$9)</f>
        <v>80.251900000000006</v>
      </c>
      <c r="M899" s="14">
        <f>CHOOSE(CONTROL!$C$42, 77.9455, 77.9455) * CHOOSE(CONTROL!$C$21, $C$9, 100%, $E$9)</f>
        <v>77.945499999999996</v>
      </c>
      <c r="N899" s="14">
        <f>CHOOSE(CONTROL!$C$42, 77.9612, 77.9612) * CHOOSE(CONTROL!$C$21, $C$9, 100%, $E$9)</f>
        <v>77.961200000000005</v>
      </c>
      <c r="O899" s="14">
        <f>CHOOSE(CONTROL!$C$42, 78.0403, 78.0403) * CHOOSE(CONTROL!$C$21, $C$9, 100%, $E$9)</f>
        <v>78.040300000000002</v>
      </c>
      <c r="P899" s="14">
        <f>CHOOSE(CONTROL!$C$42, 78.2018, 78.2018) * CHOOSE(CONTROL!$C$21, $C$9, 100%, $E$9)</f>
        <v>78.201800000000006</v>
      </c>
      <c r="Q899" s="14">
        <f>CHOOSE(CONTROL!$C$42, 78.635, 78.635) * CHOOSE(CONTROL!$C$21, $C$9, 100%, $E$9)</f>
        <v>78.635000000000005</v>
      </c>
      <c r="R899" s="14">
        <f>CHOOSE(CONTROL!$C$42, 79.4186, 79.4186) * CHOOSE(CONTROL!$C$21, $C$9, 100%, $E$9)</f>
        <v>79.418599999999998</v>
      </c>
      <c r="S899" s="14">
        <f>CHOOSE(CONTROL!$C$42, 76.4529, 76.4529) * CHOOSE(CONTROL!$C$21, $C$9, 100%, $E$9)</f>
        <v>76.4529</v>
      </c>
      <c r="T89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99" s="57">
        <f>(1000*CHOOSE(CONTROL!$C$42, 695, 695)*CHOOSE(CONTROL!$C$42, 0.5599, 0.5599)*CHOOSE(CONTROL!$C$42, 30, 30))/1000000</f>
        <v>11.673914999999997</v>
      </c>
      <c r="V899" s="57">
        <f>(1000*CHOOSE(CONTROL!$C$42, 500, 500)*CHOOSE(CONTROL!$C$42, 0.275, 0.275)*CHOOSE(CONTROL!$C$42, 30, 30))/1000000</f>
        <v>4.125</v>
      </c>
      <c r="W899" s="57">
        <f>(1000*CHOOSE(CONTROL!$C$42, 0.1146, 0.1146)*CHOOSE(CONTROL!$C$42, 121.5, 121.5)*CHOOSE(CONTROL!$C$42, 30, 30))/1000000</f>
        <v>0.417717</v>
      </c>
      <c r="X899" s="57">
        <f>(30*0.1790888*100000/1000000)+(30*0.2374*100000/1000000)</f>
        <v>1.2494664</v>
      </c>
      <c r="Y899" s="57"/>
      <c r="Z899" s="14"/>
      <c r="AA899" s="56"/>
      <c r="AB899" s="50">
        <f>(B899*122.58+C899*297.941+D899*89.177+E899*40.302+F899*40+G899*160+H899*0+I899*100+J899*300)/(122.58+297.941+89.177+40.302+0+40+160+100+300)</f>
        <v>79.607208609043482</v>
      </c>
      <c r="AC899" s="45">
        <f>(M899*'RAP TEMPLATE-GAS AVAILABILITY'!O898+N899*'RAP TEMPLATE-GAS AVAILABILITY'!P898+O899*'RAP TEMPLATE-GAS AVAILABILITY'!Q898+P899*'RAP TEMPLATE-GAS AVAILABILITY'!R898)/('RAP TEMPLATE-GAS AVAILABILITY'!O898+'RAP TEMPLATE-GAS AVAILABILITY'!P898+'RAP TEMPLATE-GAS AVAILABILITY'!Q898+'RAP TEMPLATE-GAS AVAILABILITY'!R898)</f>
        <v>78.026248201438847</v>
      </c>
    </row>
    <row r="900" spans="1:29" ht="15.75" x14ac:dyDescent="0.25">
      <c r="A900" s="32">
        <v>68302</v>
      </c>
      <c r="B900" s="14">
        <f>CHOOSE(CONTROL!$C$42, 84.9973, 84.9973) * CHOOSE(CONTROL!$C$21, $C$9, 100%, $E$9)</f>
        <v>84.997299999999996</v>
      </c>
      <c r="C900" s="14">
        <f>CHOOSE(CONTROL!$C$42, 85.0024, 85.0024) * CHOOSE(CONTROL!$C$21, $C$9, 100%, $E$9)</f>
        <v>85.002399999999994</v>
      </c>
      <c r="D900" s="14">
        <f>CHOOSE(CONTROL!$C$42, 85.0662, 85.0662) * CHOOSE(CONTROL!$C$21, $C$9, 100%, $E$9)</f>
        <v>85.066199999999995</v>
      </c>
      <c r="E900" s="14">
        <f>CHOOSE(CONTROL!$C$42, 85.1003, 85.1003) * CHOOSE(CONTROL!$C$21, $C$9, 100%, $E$9)</f>
        <v>85.100300000000004</v>
      </c>
      <c r="F900" s="14">
        <f>CHOOSE(CONTROL!$C$42, 85.002, 85.002)*CHOOSE(CONTROL!$C$21, $C$9, 100%, $E$9)</f>
        <v>85.001999999999995</v>
      </c>
      <c r="G900" s="14">
        <f>CHOOSE(CONTROL!$C$42, 85.0186, 85.0186)*CHOOSE(CONTROL!$C$21, $C$9, 100%, $E$9)</f>
        <v>85.018600000000006</v>
      </c>
      <c r="H900" s="14">
        <f>CHOOSE(CONTROL!$C$42, 85.0895, 85.0895) * CHOOSE(CONTROL!$C$21, $C$9, 100%, $E$9)</f>
        <v>85.089500000000001</v>
      </c>
      <c r="I900" s="14">
        <f>CHOOSE(CONTROL!$C$42, 85.2764, 85.2764)* CHOOSE(CONTROL!$C$21, $C$9, 100%, $E$9)</f>
        <v>85.276399999999995</v>
      </c>
      <c r="J900" s="14">
        <f>CHOOSE(CONTROL!$C$42, 84.995, 84.995)* CHOOSE(CONTROL!$C$21, $C$9, 100%, $E$9)</f>
        <v>84.995000000000005</v>
      </c>
      <c r="K900" s="53">
        <f>CHOOSE(CONTROL!$C$42, 85.2725, 85.2725) * CHOOSE(CONTROL!$C$21, $C$9, 100%, $E$9)</f>
        <v>85.272499999999994</v>
      </c>
      <c r="L900" s="14">
        <f>CHOOSE(CONTROL!$C$42, 85.6765, 85.6765) * CHOOSE(CONTROL!$C$21, $C$9, 100%, $E$9)</f>
        <v>85.676500000000004</v>
      </c>
      <c r="M900" s="14">
        <f>CHOOSE(CONTROL!$C$42, 83.2612, 83.2612) * CHOOSE(CONTROL!$C$21, $C$9, 100%, $E$9)</f>
        <v>83.261200000000002</v>
      </c>
      <c r="N900" s="14">
        <f>CHOOSE(CONTROL!$C$42, 83.2774, 83.2774) * CHOOSE(CONTROL!$C$21, $C$9, 100%, $E$9)</f>
        <v>83.2774</v>
      </c>
      <c r="O900" s="14">
        <f>CHOOSE(CONTROL!$C$42, 83.3538, 83.3538) * CHOOSE(CONTROL!$C$21, $C$9, 100%, $E$9)</f>
        <v>83.353800000000007</v>
      </c>
      <c r="P900" s="14">
        <f>CHOOSE(CONTROL!$C$42, 83.5315, 83.5315) * CHOOSE(CONTROL!$C$21, $C$9, 100%, $E$9)</f>
        <v>83.531499999999994</v>
      </c>
      <c r="Q900" s="14">
        <f>CHOOSE(CONTROL!$C$42, 83.9485, 83.9485) * CHOOSE(CONTROL!$C$21, $C$9, 100%, $E$9)</f>
        <v>83.948499999999996</v>
      </c>
      <c r="R900" s="14">
        <f>CHOOSE(CONTROL!$C$42, 84.7453, 84.7453) * CHOOSE(CONTROL!$C$21, $C$9, 100%, $E$9)</f>
        <v>84.7453</v>
      </c>
      <c r="S900" s="14">
        <f>CHOOSE(CONTROL!$C$42, 81.6654, 81.6654) * CHOOSE(CONTROL!$C$21, $C$9, 100%, $E$9)</f>
        <v>81.665400000000005</v>
      </c>
      <c r="T90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00" s="57">
        <f>(1000*CHOOSE(CONTROL!$C$42, 695, 695)*CHOOSE(CONTROL!$C$42, 0.5599, 0.5599)*CHOOSE(CONTROL!$C$42, 31, 31))/1000000</f>
        <v>12.063045499999998</v>
      </c>
      <c r="V900" s="57">
        <f>(1000*CHOOSE(CONTROL!$C$42, 500, 500)*CHOOSE(CONTROL!$C$42, 0.275, 0.275)*CHOOSE(CONTROL!$C$42, 31, 31))/1000000</f>
        <v>4.2625000000000002</v>
      </c>
      <c r="W900" s="57">
        <f>(1000*CHOOSE(CONTROL!$C$42, 0.1146, 0.1146)*CHOOSE(CONTROL!$C$42, 121.5, 121.5)*CHOOSE(CONTROL!$C$42, 31, 31))/1000000</f>
        <v>0.43164089999999994</v>
      </c>
      <c r="X900" s="57">
        <f>(31*0.1790888*100000/1000000)+(31*0.2374*100000/1000000)</f>
        <v>1.2911152800000001</v>
      </c>
      <c r="Y900" s="57"/>
      <c r="Z900" s="14"/>
      <c r="AA900" s="56"/>
      <c r="AB900" s="50">
        <f>(B900*122.58+C900*297.941+D900*89.177+E900*40.302+F900*40+G900*160+H900*0+I900*100+J900*300)/(122.58+297.941+89.177+40.302+0+40+160+100+300)</f>
        <v>85.034370348173923</v>
      </c>
      <c r="AC900" s="45">
        <f>(M900*'RAP TEMPLATE-GAS AVAILABILITY'!O899+N900*'RAP TEMPLATE-GAS AVAILABILITY'!P899+O900*'RAP TEMPLATE-GAS AVAILABILITY'!Q899+P900*'RAP TEMPLATE-GAS AVAILABILITY'!R899)/('RAP TEMPLATE-GAS AVAILABILITY'!O899+'RAP TEMPLATE-GAS AVAILABILITY'!P899+'RAP TEMPLATE-GAS AVAILABILITY'!Q899+'RAP TEMPLATE-GAS AVAILABILITY'!R899)</f>
        <v>83.342994244604327</v>
      </c>
    </row>
    <row r="901" spans="1:29" ht="15.75" x14ac:dyDescent="0.25">
      <c r="A901" s="32">
        <v>68333</v>
      </c>
      <c r="B901" s="14">
        <f>CHOOSE(CONTROL!$C$42, 91.959, 91.959) * CHOOSE(CONTROL!$C$21, $C$9, 100%, $E$9)</f>
        <v>91.959000000000003</v>
      </c>
      <c r="C901" s="14">
        <f>CHOOSE(CONTROL!$C$42, 91.9641, 91.9641) * CHOOSE(CONTROL!$C$21, $C$9, 100%, $E$9)</f>
        <v>91.964100000000002</v>
      </c>
      <c r="D901" s="14">
        <f>CHOOSE(CONTROL!$C$42, 92.0305, 92.0305) * CHOOSE(CONTROL!$C$21, $C$9, 100%, $E$9)</f>
        <v>92.030500000000004</v>
      </c>
      <c r="E901" s="14">
        <f>CHOOSE(CONTROL!$C$42, 92.0646, 92.0646) * CHOOSE(CONTROL!$C$21, $C$9, 100%, $E$9)</f>
        <v>92.064599999999999</v>
      </c>
      <c r="F901" s="14">
        <f>CHOOSE(CONTROL!$C$42, 91.9463, 91.9463)*CHOOSE(CONTROL!$C$21, $C$9, 100%, $E$9)</f>
        <v>91.946299999999994</v>
      </c>
      <c r="G901" s="14">
        <f>CHOOSE(CONTROL!$C$42, 91.9618, 91.9618)*CHOOSE(CONTROL!$C$21, $C$9, 100%, $E$9)</f>
        <v>91.961799999999997</v>
      </c>
      <c r="H901" s="14">
        <f>CHOOSE(CONTROL!$C$42, 92.0538, 92.0538) * CHOOSE(CONTROL!$C$21, $C$9, 100%, $E$9)</f>
        <v>92.053799999999995</v>
      </c>
      <c r="I901" s="14">
        <f>CHOOSE(CONTROL!$C$42, 92.2546, 92.2546)* CHOOSE(CONTROL!$C$21, $C$9, 100%, $E$9)</f>
        <v>92.254599999999996</v>
      </c>
      <c r="J901" s="14">
        <f>CHOOSE(CONTROL!$C$42, 91.9393, 91.9393)* CHOOSE(CONTROL!$C$21, $C$9, 100%, $E$9)</f>
        <v>91.939300000000003</v>
      </c>
      <c r="K901" s="53">
        <f>CHOOSE(CONTROL!$C$42, 92.2507, 92.2507) * CHOOSE(CONTROL!$C$21, $C$9, 100%, $E$9)</f>
        <v>92.250699999999995</v>
      </c>
      <c r="L901" s="14">
        <f>CHOOSE(CONTROL!$C$42, 92.6408, 92.6408) * CHOOSE(CONTROL!$C$21, $C$9, 100%, $E$9)</f>
        <v>92.640799999999999</v>
      </c>
      <c r="M901" s="14">
        <f>CHOOSE(CONTROL!$C$42, 90.0632, 90.0632) * CHOOSE(CONTROL!$C$21, $C$9, 100%, $E$9)</f>
        <v>90.063199999999995</v>
      </c>
      <c r="N901" s="14">
        <f>CHOOSE(CONTROL!$C$42, 90.0784, 90.0784) * CHOOSE(CONTROL!$C$21, $C$9, 100%, $E$9)</f>
        <v>90.078400000000002</v>
      </c>
      <c r="O901" s="14">
        <f>CHOOSE(CONTROL!$C$42, 90.1754, 90.1754) * CHOOSE(CONTROL!$C$21, $C$9, 100%, $E$9)</f>
        <v>90.175399999999996</v>
      </c>
      <c r="P901" s="14">
        <f>CHOOSE(CONTROL!$C$42, 90.3664, 90.3664) * CHOOSE(CONTROL!$C$21, $C$9, 100%, $E$9)</f>
        <v>90.366399999999999</v>
      </c>
      <c r="Q901" s="14">
        <f>CHOOSE(CONTROL!$C$42, 90.7701, 90.7701) * CHOOSE(CONTROL!$C$21, $C$9, 100%, $E$9)</f>
        <v>90.770099999999999</v>
      </c>
      <c r="R901" s="14">
        <f>CHOOSE(CONTROL!$C$42, 91.584, 91.584) * CHOOSE(CONTROL!$C$21, $C$9, 100%, $E$9)</f>
        <v>91.584000000000003</v>
      </c>
      <c r="S901" s="14">
        <f>CHOOSE(CONTROL!$C$42, 88.3549, 88.3549) * CHOOSE(CONTROL!$C$21, $C$9, 100%, $E$9)</f>
        <v>88.354900000000001</v>
      </c>
      <c r="T90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01" s="57">
        <f>(1000*CHOOSE(CONTROL!$C$42, 695, 695)*CHOOSE(CONTROL!$C$42, 0.5599, 0.5599)*CHOOSE(CONTROL!$C$42, 31, 31))/1000000</f>
        <v>12.063045499999998</v>
      </c>
      <c r="V901" s="57">
        <f>(1000*CHOOSE(CONTROL!$C$42, 500, 500)*CHOOSE(CONTROL!$C$42, 0.275, 0.275)*CHOOSE(CONTROL!$C$42, 31, 31))/1000000</f>
        <v>4.2625000000000002</v>
      </c>
      <c r="W901" s="57">
        <f>(1000*CHOOSE(CONTROL!$C$42, 0.1146, 0.1146)*CHOOSE(CONTROL!$C$42, 121.5, 121.5)*CHOOSE(CONTROL!$C$42, 31, 31))/1000000</f>
        <v>0.43164089999999994</v>
      </c>
      <c r="X901" s="57">
        <f>(31*0.1790888*100000/1000000)+(31*0.2374*100000/1000000)</f>
        <v>1.2911152800000001</v>
      </c>
      <c r="Y901" s="57"/>
      <c r="Z901" s="14"/>
      <c r="AA901" s="56"/>
      <c r="AB901" s="50">
        <f>(B901*122.58+C901*297.941+D901*89.177+E901*40.302+F901*40+G901*160+H901*0+I901*100+J901*300)/(122.58+297.941+89.177+40.302+0+40+160+100+300)</f>
        <v>91.990079605043491</v>
      </c>
      <c r="AC901" s="45">
        <f>(M901*'RAP TEMPLATE-GAS AVAILABILITY'!O900+N901*'RAP TEMPLATE-GAS AVAILABILITY'!P900+O901*'RAP TEMPLATE-GAS AVAILABILITY'!Q900+P901*'RAP TEMPLATE-GAS AVAILABILITY'!R900)/('RAP TEMPLATE-GAS AVAILABILITY'!O900+'RAP TEMPLATE-GAS AVAILABILITY'!P900+'RAP TEMPLATE-GAS AVAILABILITY'!Q900+'RAP TEMPLATE-GAS AVAILABILITY'!R900)</f>
        <v>90.158553956834524</v>
      </c>
    </row>
    <row r="902" spans="1:29" ht="15.75" x14ac:dyDescent="0.25">
      <c r="A902" s="32">
        <v>68361</v>
      </c>
      <c r="B902" s="14">
        <f>CHOOSE(CONTROL!$C$42, 93.5958, 93.5958) * CHOOSE(CONTROL!$C$21, $C$9, 100%, $E$9)</f>
        <v>93.595799999999997</v>
      </c>
      <c r="C902" s="14">
        <f>CHOOSE(CONTROL!$C$42, 93.6009, 93.6009) * CHOOSE(CONTROL!$C$21, $C$9, 100%, $E$9)</f>
        <v>93.600899999999996</v>
      </c>
      <c r="D902" s="14">
        <f>CHOOSE(CONTROL!$C$42, 93.6673, 93.6673) * CHOOSE(CONTROL!$C$21, $C$9, 100%, $E$9)</f>
        <v>93.667299999999997</v>
      </c>
      <c r="E902" s="14">
        <f>CHOOSE(CONTROL!$C$42, 93.7014, 93.7014) * CHOOSE(CONTROL!$C$21, $C$9, 100%, $E$9)</f>
        <v>93.701400000000007</v>
      </c>
      <c r="F902" s="14">
        <f>CHOOSE(CONTROL!$C$42, 93.5832, 93.5832)*CHOOSE(CONTROL!$C$21, $C$9, 100%, $E$9)</f>
        <v>93.583200000000005</v>
      </c>
      <c r="G902" s="14">
        <f>CHOOSE(CONTROL!$C$42, 93.5987, 93.5987)*CHOOSE(CONTROL!$C$21, $C$9, 100%, $E$9)</f>
        <v>93.598699999999994</v>
      </c>
      <c r="H902" s="14">
        <f>CHOOSE(CONTROL!$C$42, 93.6906, 93.6906) * CHOOSE(CONTROL!$C$21, $C$9, 100%, $E$9)</f>
        <v>93.690600000000003</v>
      </c>
      <c r="I902" s="14">
        <f>CHOOSE(CONTROL!$C$42, 93.8966, 93.8966)* CHOOSE(CONTROL!$C$21, $C$9, 100%, $E$9)</f>
        <v>93.896600000000007</v>
      </c>
      <c r="J902" s="14">
        <f>CHOOSE(CONTROL!$C$42, 93.5762, 93.5762)* CHOOSE(CONTROL!$C$21, $C$9, 100%, $E$9)</f>
        <v>93.5762</v>
      </c>
      <c r="K902" s="53">
        <f>CHOOSE(CONTROL!$C$42, 93.8927, 93.8927) * CHOOSE(CONTROL!$C$21, $C$9, 100%, $E$9)</f>
        <v>93.892700000000005</v>
      </c>
      <c r="L902" s="14">
        <f>CHOOSE(CONTROL!$C$42, 94.2776, 94.2776) * CHOOSE(CONTROL!$C$21, $C$9, 100%, $E$9)</f>
        <v>94.277600000000007</v>
      </c>
      <c r="M902" s="14">
        <f>CHOOSE(CONTROL!$C$42, 91.6666, 91.6666) * CHOOSE(CONTROL!$C$21, $C$9, 100%, $E$9)</f>
        <v>91.666600000000003</v>
      </c>
      <c r="N902" s="14">
        <f>CHOOSE(CONTROL!$C$42, 91.6818, 91.6818) * CHOOSE(CONTROL!$C$21, $C$9, 100%, $E$9)</f>
        <v>91.681799999999996</v>
      </c>
      <c r="O902" s="14">
        <f>CHOOSE(CONTROL!$C$42, 91.7787, 91.7787) * CHOOSE(CONTROL!$C$21, $C$9, 100%, $E$9)</f>
        <v>91.778700000000001</v>
      </c>
      <c r="P902" s="14">
        <f>CHOOSE(CONTROL!$C$42, 91.9746, 91.9746) * CHOOSE(CONTROL!$C$21, $C$9, 100%, $E$9)</f>
        <v>91.974599999999995</v>
      </c>
      <c r="Q902" s="14">
        <f>CHOOSE(CONTROL!$C$42, 92.3734, 92.3734) * CHOOSE(CONTROL!$C$21, $C$9, 100%, $E$9)</f>
        <v>92.373400000000004</v>
      </c>
      <c r="R902" s="14">
        <f>CHOOSE(CONTROL!$C$42, 93.1913, 93.1913) * CHOOSE(CONTROL!$C$21, $C$9, 100%, $E$9)</f>
        <v>93.191299999999998</v>
      </c>
      <c r="S902" s="14">
        <f>CHOOSE(CONTROL!$C$42, 89.9277, 89.9277) * CHOOSE(CONTROL!$C$21, $C$9, 100%, $E$9)</f>
        <v>89.927700000000002</v>
      </c>
      <c r="T90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02" s="57">
        <f>(1000*CHOOSE(CONTROL!$C$42, 695, 695)*CHOOSE(CONTROL!$C$42, 0.5599, 0.5599)*CHOOSE(CONTROL!$C$42, 28, 28))/1000000</f>
        <v>10.895653999999999</v>
      </c>
      <c r="V902" s="57">
        <f>(1000*CHOOSE(CONTROL!$C$42, 500, 500)*CHOOSE(CONTROL!$C$42, 0.275, 0.275)*CHOOSE(CONTROL!$C$42, 28, 28))/1000000</f>
        <v>3.85</v>
      </c>
      <c r="W902" s="57">
        <f>(1000*CHOOSE(CONTROL!$C$42, 0.1146, 0.1146)*CHOOSE(CONTROL!$C$42, 121.5, 121.5)*CHOOSE(CONTROL!$C$42, 28, 28))/1000000</f>
        <v>0.38986920000000003</v>
      </c>
      <c r="X902" s="57">
        <f>(28*0.1790888*100000/1000000)+(28*0.2374*100000/1000000)</f>
        <v>1.16616864</v>
      </c>
      <c r="Y902" s="57"/>
      <c r="Z902" s="14"/>
      <c r="AA902" s="56"/>
      <c r="AB902" s="50">
        <f>(B902*122.58+C902*297.941+D902*89.177+E902*40.302+F902*40+G902*160+H902*0+I902*100+J902*300)/(122.58+297.941+89.177+40.302+0+40+160+100+300)</f>
        <v>93.627375257217381</v>
      </c>
      <c r="AC902" s="45">
        <f>(M902*'RAP TEMPLATE-GAS AVAILABILITY'!O901+N902*'RAP TEMPLATE-GAS AVAILABILITY'!P901+O902*'RAP TEMPLATE-GAS AVAILABILITY'!Q901+P902*'RAP TEMPLATE-GAS AVAILABILITY'!R901)/('RAP TEMPLATE-GAS AVAILABILITY'!O901+'RAP TEMPLATE-GAS AVAILABILITY'!P901+'RAP TEMPLATE-GAS AVAILABILITY'!Q901+'RAP TEMPLATE-GAS AVAILABILITY'!R901)</f>
        <v>91.762599280575529</v>
      </c>
    </row>
    <row r="903" spans="1:29" ht="15.75" x14ac:dyDescent="0.25">
      <c r="A903" s="32">
        <v>68392</v>
      </c>
      <c r="B903" s="14">
        <f>CHOOSE(CONTROL!$C$42, 90.9389, 90.9389) * CHOOSE(CONTROL!$C$21, $C$9, 100%, $E$9)</f>
        <v>90.938900000000004</v>
      </c>
      <c r="C903" s="14">
        <f>CHOOSE(CONTROL!$C$42, 90.9439, 90.9439) * CHOOSE(CONTROL!$C$21, $C$9, 100%, $E$9)</f>
        <v>90.943899999999999</v>
      </c>
      <c r="D903" s="14">
        <f>CHOOSE(CONTROL!$C$42, 91.0103, 91.0103) * CHOOSE(CONTROL!$C$21, $C$9, 100%, $E$9)</f>
        <v>91.010300000000001</v>
      </c>
      <c r="E903" s="14">
        <f>CHOOSE(CONTROL!$C$42, 91.0444, 91.0444) * CHOOSE(CONTROL!$C$21, $C$9, 100%, $E$9)</f>
        <v>91.044399999999996</v>
      </c>
      <c r="F903" s="14">
        <f>CHOOSE(CONTROL!$C$42, 90.9259, 90.9259)*CHOOSE(CONTROL!$C$21, $C$9, 100%, $E$9)</f>
        <v>90.925899999999999</v>
      </c>
      <c r="G903" s="14">
        <f>CHOOSE(CONTROL!$C$42, 90.9412, 90.9412)*CHOOSE(CONTROL!$C$21, $C$9, 100%, $E$9)</f>
        <v>90.941199999999995</v>
      </c>
      <c r="H903" s="14">
        <f>CHOOSE(CONTROL!$C$42, 91.0336, 91.0336) * CHOOSE(CONTROL!$C$21, $C$9, 100%, $E$9)</f>
        <v>91.033600000000007</v>
      </c>
      <c r="I903" s="14">
        <f>CHOOSE(CONTROL!$C$42, 91.2313, 91.2313)* CHOOSE(CONTROL!$C$21, $C$9, 100%, $E$9)</f>
        <v>91.231300000000005</v>
      </c>
      <c r="J903" s="14">
        <f>CHOOSE(CONTROL!$C$42, 90.9189, 90.9189)* CHOOSE(CONTROL!$C$21, $C$9, 100%, $E$9)</f>
        <v>90.918899999999994</v>
      </c>
      <c r="K903" s="53">
        <f>CHOOSE(CONTROL!$C$42, 91.2274, 91.2274) * CHOOSE(CONTROL!$C$21, $C$9, 100%, $E$9)</f>
        <v>91.227400000000003</v>
      </c>
      <c r="L903" s="14">
        <f>CHOOSE(CONTROL!$C$42, 91.6206, 91.6206) * CHOOSE(CONTROL!$C$21, $C$9, 100%, $E$9)</f>
        <v>91.620599999999996</v>
      </c>
      <c r="M903" s="14">
        <f>CHOOSE(CONTROL!$C$42, 89.0637, 89.0637) * CHOOSE(CONTROL!$C$21, $C$9, 100%, $E$9)</f>
        <v>89.063699999999997</v>
      </c>
      <c r="N903" s="14">
        <f>CHOOSE(CONTROL!$C$42, 89.0788, 89.0788) * CHOOSE(CONTROL!$C$21, $C$9, 100%, $E$9)</f>
        <v>89.078800000000001</v>
      </c>
      <c r="O903" s="14">
        <f>CHOOSE(CONTROL!$C$42, 89.1761, 89.1761) * CHOOSE(CONTROL!$C$21, $C$9, 100%, $E$9)</f>
        <v>89.176100000000005</v>
      </c>
      <c r="P903" s="14">
        <f>CHOOSE(CONTROL!$C$42, 89.3641, 89.3641) * CHOOSE(CONTROL!$C$21, $C$9, 100%, $E$9)</f>
        <v>89.364099999999993</v>
      </c>
      <c r="Q903" s="14">
        <f>CHOOSE(CONTROL!$C$42, 89.7708, 89.7708) * CHOOSE(CONTROL!$C$21, $C$9, 100%, $E$9)</f>
        <v>89.770799999999994</v>
      </c>
      <c r="R903" s="14">
        <f>CHOOSE(CONTROL!$C$42, 90.5822, 90.5822) * CHOOSE(CONTROL!$C$21, $C$9, 100%, $E$9)</f>
        <v>90.5822</v>
      </c>
      <c r="S903" s="14">
        <f>CHOOSE(CONTROL!$C$42, 87.3746, 87.3746) * CHOOSE(CONTROL!$C$21, $C$9, 100%, $E$9)</f>
        <v>87.374600000000001</v>
      </c>
      <c r="T90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03" s="57">
        <f>(1000*CHOOSE(CONTROL!$C$42, 695, 695)*CHOOSE(CONTROL!$C$42, 0.5599, 0.5599)*CHOOSE(CONTROL!$C$42, 31, 31))/1000000</f>
        <v>12.063045499999998</v>
      </c>
      <c r="V903" s="57">
        <f>(1000*CHOOSE(CONTROL!$C$42, 500, 500)*CHOOSE(CONTROL!$C$42, 0.275, 0.275)*CHOOSE(CONTROL!$C$42, 31, 31))/1000000</f>
        <v>4.2625000000000002</v>
      </c>
      <c r="W903" s="57">
        <f>(1000*CHOOSE(CONTROL!$C$42, 0.1146, 0.1146)*CHOOSE(CONTROL!$C$42, 121.5, 121.5)*CHOOSE(CONTROL!$C$42, 31, 31))/1000000</f>
        <v>0.43164089999999994</v>
      </c>
      <c r="X903" s="57">
        <f>(31*0.1790888*100000/1000000)+(31*0.2374*100000/1000000)</f>
        <v>1.2911152800000001</v>
      </c>
      <c r="Y903" s="57"/>
      <c r="Z903" s="14"/>
      <c r="AA903" s="56"/>
      <c r="AB903" s="50">
        <f>(B903*122.58+C903*297.941+D903*89.177+E903*40.302+F903*40+G903*160+H903*0+I903*100+J903*300)/(122.58+297.941+89.177+40.302+0+40+160+100+300)</f>
        <v>90.969505916347828</v>
      </c>
      <c r="AC903" s="45">
        <f>(M903*'RAP TEMPLATE-GAS AVAILABILITY'!O902+N903*'RAP TEMPLATE-GAS AVAILABILITY'!P902+O903*'RAP TEMPLATE-GAS AVAILABILITY'!Q902+P903*'RAP TEMPLATE-GAS AVAILABILITY'!R902)/('RAP TEMPLATE-GAS AVAILABILITY'!O902+'RAP TEMPLATE-GAS AVAILABILITY'!P902+'RAP TEMPLATE-GAS AVAILABILITY'!Q902+'RAP TEMPLATE-GAS AVAILABILITY'!R902)</f>
        <v>89.158735971223024</v>
      </c>
    </row>
    <row r="904" spans="1:29" ht="15.75" x14ac:dyDescent="0.25">
      <c r="A904" s="32">
        <v>68422</v>
      </c>
      <c r="B904" s="14">
        <f>CHOOSE(CONTROL!$C$42, 90.6678, 90.6678) * CHOOSE(CONTROL!$C$21, $C$9, 100%, $E$9)</f>
        <v>90.6678</v>
      </c>
      <c r="C904" s="14">
        <f>CHOOSE(CONTROL!$C$42, 90.6723, 90.6723) * CHOOSE(CONTROL!$C$21, $C$9, 100%, $E$9)</f>
        <v>90.672300000000007</v>
      </c>
      <c r="D904" s="14">
        <f>CHOOSE(CONTROL!$C$42, 90.8793, 90.8793) * CHOOSE(CONTROL!$C$21, $C$9, 100%, $E$9)</f>
        <v>90.879300000000001</v>
      </c>
      <c r="E904" s="14">
        <f>CHOOSE(CONTROL!$C$42, 90.9114, 90.9114) * CHOOSE(CONTROL!$C$21, $C$9, 100%, $E$9)</f>
        <v>90.9114</v>
      </c>
      <c r="F904" s="14">
        <f>CHOOSE(CONTROL!$C$42, 90.6496, 90.6496)*CHOOSE(CONTROL!$C$21, $C$9, 100%, $E$9)</f>
        <v>90.649600000000007</v>
      </c>
      <c r="G904" s="14">
        <f>CHOOSE(CONTROL!$C$42, 90.6648, 90.6648)*CHOOSE(CONTROL!$C$21, $C$9, 100%, $E$9)</f>
        <v>90.6648</v>
      </c>
      <c r="H904" s="14">
        <f>CHOOSE(CONTROL!$C$42, 90.9012, 90.9012) * CHOOSE(CONTROL!$C$21, $C$9, 100%, $E$9)</f>
        <v>90.901200000000003</v>
      </c>
      <c r="I904" s="14">
        <f>CHOOSE(CONTROL!$C$42, 90.9586, 90.9586)* CHOOSE(CONTROL!$C$21, $C$9, 100%, $E$9)</f>
        <v>90.958600000000004</v>
      </c>
      <c r="J904" s="14">
        <f>CHOOSE(CONTROL!$C$42, 90.6426, 90.6426)* CHOOSE(CONTROL!$C$21, $C$9, 100%, $E$9)</f>
        <v>90.642600000000002</v>
      </c>
      <c r="K904" s="53">
        <f>CHOOSE(CONTROL!$C$42, 90.9547, 90.9547) * CHOOSE(CONTROL!$C$21, $C$9, 100%, $E$9)</f>
        <v>90.954700000000003</v>
      </c>
      <c r="L904" s="14">
        <f>CHOOSE(CONTROL!$C$42, 91.4882, 91.4882) * CHOOSE(CONTROL!$C$21, $C$9, 100%, $E$9)</f>
        <v>91.488200000000006</v>
      </c>
      <c r="M904" s="14">
        <f>CHOOSE(CONTROL!$C$42, 88.7931, 88.7931) * CHOOSE(CONTROL!$C$21, $C$9, 100%, $E$9)</f>
        <v>88.793099999999995</v>
      </c>
      <c r="N904" s="14">
        <f>CHOOSE(CONTROL!$C$42, 88.808, 88.808) * CHOOSE(CONTROL!$C$21, $C$9, 100%, $E$9)</f>
        <v>88.808000000000007</v>
      </c>
      <c r="O904" s="14">
        <f>CHOOSE(CONTROL!$C$42, 89.0464, 89.0464) * CHOOSE(CONTROL!$C$21, $C$9, 100%, $E$9)</f>
        <v>89.046400000000006</v>
      </c>
      <c r="P904" s="14">
        <f>CHOOSE(CONTROL!$C$42, 89.0969, 89.0969) * CHOOSE(CONTROL!$C$21, $C$9, 100%, $E$9)</f>
        <v>89.096900000000005</v>
      </c>
      <c r="Q904" s="14">
        <f>CHOOSE(CONTROL!$C$42, 89.6411, 89.6411) * CHOOSE(CONTROL!$C$21, $C$9, 100%, $E$9)</f>
        <v>89.641099999999994</v>
      </c>
      <c r="R904" s="14">
        <f>CHOOSE(CONTROL!$C$42, 90.4522, 90.4522) * CHOOSE(CONTROL!$C$21, $C$9, 100%, $E$9)</f>
        <v>90.452200000000005</v>
      </c>
      <c r="S904" s="14">
        <f>CHOOSE(CONTROL!$C$42, 87.1134, 87.1134) * CHOOSE(CONTROL!$C$21, $C$9, 100%, $E$9)</f>
        <v>87.113399999999999</v>
      </c>
      <c r="T90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04" s="57">
        <f>(1000*CHOOSE(CONTROL!$C$42, 695, 695)*CHOOSE(CONTROL!$C$42, 0.5599, 0.5599)*CHOOSE(CONTROL!$C$42, 30, 30))/1000000</f>
        <v>11.673914999999997</v>
      </c>
      <c r="V904" s="57">
        <f>(1000*CHOOSE(CONTROL!$C$42, 500, 500)*CHOOSE(CONTROL!$C$42, 0.275, 0.275)*CHOOSE(CONTROL!$C$42, 30, 30))/1000000</f>
        <v>4.125</v>
      </c>
      <c r="W904" s="57">
        <f>(1000*CHOOSE(CONTROL!$C$42, 0.1146, 0.1146)*CHOOSE(CONTROL!$C$42, 121.5, 121.5)*CHOOSE(CONTROL!$C$42, 30, 30))/1000000</f>
        <v>0.417717</v>
      </c>
      <c r="X904" s="57">
        <f>(30*0.1790888*245000/1000000)+(30*0.2374*100000/1000000)</f>
        <v>2.0285026799999999</v>
      </c>
      <c r="Y904" s="57"/>
      <c r="Z904" s="14"/>
      <c r="AA904" s="56"/>
      <c r="AB904" s="50">
        <f>(B904*141.293+C904*267.993+D904*115.016+E904*89.698+F904*40+G904*185+H904*0+I904*100+J904*300)/(141.293+267.993+115.016+89.698+0+40+185+100+300)</f>
        <v>90.722375694350276</v>
      </c>
      <c r="AC904" s="45">
        <f>(M904*'RAP TEMPLATE-GAS AVAILABILITY'!O903+N904*'RAP TEMPLATE-GAS AVAILABILITY'!P903+O904*'RAP TEMPLATE-GAS AVAILABILITY'!Q903+P904*'RAP TEMPLATE-GAS AVAILABILITY'!R903)/('RAP TEMPLATE-GAS AVAILABILITY'!O903+'RAP TEMPLATE-GAS AVAILABILITY'!P903+'RAP TEMPLATE-GAS AVAILABILITY'!Q903+'RAP TEMPLATE-GAS AVAILABILITY'!R903)</f>
        <v>88.952474820143891</v>
      </c>
    </row>
    <row r="905" spans="1:29" ht="15.75" x14ac:dyDescent="0.25">
      <c r="A905" s="32">
        <v>68453</v>
      </c>
      <c r="B905" s="14">
        <f>CHOOSE(CONTROL!$C$42, 91.4693, 91.4693) * CHOOSE(CONTROL!$C$21, $C$9, 100%, $E$9)</f>
        <v>91.469300000000004</v>
      </c>
      <c r="C905" s="14">
        <f>CHOOSE(CONTROL!$C$42, 91.4773, 91.4773) * CHOOSE(CONTROL!$C$21, $C$9, 100%, $E$9)</f>
        <v>91.4773</v>
      </c>
      <c r="D905" s="14">
        <f>CHOOSE(CONTROL!$C$42, 91.6813, 91.6813) * CHOOSE(CONTROL!$C$21, $C$9, 100%, $E$9)</f>
        <v>91.681299999999993</v>
      </c>
      <c r="E905" s="14">
        <f>CHOOSE(CONTROL!$C$42, 91.7127, 91.7127) * CHOOSE(CONTROL!$C$21, $C$9, 100%, $E$9)</f>
        <v>91.712699999999998</v>
      </c>
      <c r="F905" s="14">
        <f>CHOOSE(CONTROL!$C$42, 91.4501, 91.4501)*CHOOSE(CONTROL!$C$21, $C$9, 100%, $E$9)</f>
        <v>91.450100000000006</v>
      </c>
      <c r="G905" s="14">
        <f>CHOOSE(CONTROL!$C$42, 91.4657, 91.4657)*CHOOSE(CONTROL!$C$21, $C$9, 100%, $E$9)</f>
        <v>91.465699999999998</v>
      </c>
      <c r="H905" s="14">
        <f>CHOOSE(CONTROL!$C$42, 91.7014, 91.7014) * CHOOSE(CONTROL!$C$21, $C$9, 100%, $E$9)</f>
        <v>91.701400000000007</v>
      </c>
      <c r="I905" s="14">
        <f>CHOOSE(CONTROL!$C$42, 91.7612, 91.7612)* CHOOSE(CONTROL!$C$21, $C$9, 100%, $E$9)</f>
        <v>91.761200000000002</v>
      </c>
      <c r="J905" s="14">
        <f>CHOOSE(CONTROL!$C$42, 91.4431, 91.4431)* CHOOSE(CONTROL!$C$21, $C$9, 100%, $E$9)</f>
        <v>91.443100000000001</v>
      </c>
      <c r="K905" s="53">
        <f>CHOOSE(CONTROL!$C$42, 91.7573, 91.7573) * CHOOSE(CONTROL!$C$21, $C$9, 100%, $E$9)</f>
        <v>91.757300000000001</v>
      </c>
      <c r="L905" s="14">
        <f>CHOOSE(CONTROL!$C$42, 92.2884, 92.2884) * CHOOSE(CONTROL!$C$21, $C$9, 100%, $E$9)</f>
        <v>92.288399999999996</v>
      </c>
      <c r="M905" s="14">
        <f>CHOOSE(CONTROL!$C$42, 89.5771, 89.5771) * CHOOSE(CONTROL!$C$21, $C$9, 100%, $E$9)</f>
        <v>89.577100000000002</v>
      </c>
      <c r="N905" s="14">
        <f>CHOOSE(CONTROL!$C$42, 89.5925, 89.5925) * CHOOSE(CONTROL!$C$21, $C$9, 100%, $E$9)</f>
        <v>89.592500000000001</v>
      </c>
      <c r="O905" s="14">
        <f>CHOOSE(CONTROL!$C$42, 89.8302, 89.8302) * CHOOSE(CONTROL!$C$21, $C$9, 100%, $E$9)</f>
        <v>89.830200000000005</v>
      </c>
      <c r="P905" s="14">
        <f>CHOOSE(CONTROL!$C$42, 89.8831, 89.8831) * CHOOSE(CONTROL!$C$21, $C$9, 100%, $E$9)</f>
        <v>89.883099999999999</v>
      </c>
      <c r="Q905" s="14">
        <f>CHOOSE(CONTROL!$C$42, 90.4249, 90.4249) * CHOOSE(CONTROL!$C$21, $C$9, 100%, $E$9)</f>
        <v>90.424899999999994</v>
      </c>
      <c r="R905" s="14">
        <f>CHOOSE(CONTROL!$C$42, 91.2379, 91.2379) * CHOOSE(CONTROL!$C$21, $C$9, 100%, $E$9)</f>
        <v>91.237899999999996</v>
      </c>
      <c r="S905" s="14">
        <f>CHOOSE(CONTROL!$C$42, 87.8822, 87.8822) * CHOOSE(CONTROL!$C$21, $C$9, 100%, $E$9)</f>
        <v>87.882199999999997</v>
      </c>
      <c r="T90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05" s="57">
        <f>(1000*CHOOSE(CONTROL!$C$42, 695, 695)*CHOOSE(CONTROL!$C$42, 0.5599, 0.5599)*CHOOSE(CONTROL!$C$42, 31, 31))/1000000</f>
        <v>12.063045499999998</v>
      </c>
      <c r="V905" s="57">
        <f>(1000*CHOOSE(CONTROL!$C$42, 500, 500)*CHOOSE(CONTROL!$C$42, 0.275, 0.275)*CHOOSE(CONTROL!$C$42, 31, 31))/1000000</f>
        <v>4.2625000000000002</v>
      </c>
      <c r="W905" s="57">
        <f>(1000*CHOOSE(CONTROL!$C$42, 0.1146, 0.1146)*CHOOSE(CONTROL!$C$42, 121.5, 121.5)*CHOOSE(CONTROL!$C$42, 31, 31))/1000000</f>
        <v>0.43164089999999994</v>
      </c>
      <c r="X905" s="57">
        <f>(31*0.1790888*245000/1000000)+(31*0.2374*100000/1000000)</f>
        <v>2.0961194359999999</v>
      </c>
      <c r="Y905" s="57"/>
      <c r="Z905" s="14"/>
      <c r="AA905" s="56"/>
      <c r="AB905" s="50">
        <f>(B905*194.205+C905*267.466+D905*133.845+E905*53.484+F905*40+G905*185+H905*0+I905*100+J905*300)/(194.205+267.466+133.845+53.484+0+40+185+100+300)</f>
        <v>91.519087184929376</v>
      </c>
      <c r="AC905" s="45">
        <f>(M905*'RAP TEMPLATE-GAS AVAILABILITY'!O904+N905*'RAP TEMPLATE-GAS AVAILABILITY'!P904+O905*'RAP TEMPLATE-GAS AVAILABILITY'!Q904+P905*'RAP TEMPLATE-GAS AVAILABILITY'!R904)/('RAP TEMPLATE-GAS AVAILABILITY'!O904+'RAP TEMPLATE-GAS AVAILABILITY'!P904+'RAP TEMPLATE-GAS AVAILABILITY'!Q904+'RAP TEMPLATE-GAS AVAILABILITY'!R904)</f>
        <v>89.736729496402887</v>
      </c>
    </row>
    <row r="906" spans="1:29" ht="15.75" x14ac:dyDescent="0.25">
      <c r="A906" s="32">
        <v>68483</v>
      </c>
      <c r="B906" s="14">
        <f>CHOOSE(CONTROL!$C$42, 94.0636, 94.0636) * CHOOSE(CONTROL!$C$21, $C$9, 100%, $E$9)</f>
        <v>94.063599999999994</v>
      </c>
      <c r="C906" s="14">
        <f>CHOOSE(CONTROL!$C$42, 94.0717, 94.0717) * CHOOSE(CONTROL!$C$21, $C$9, 100%, $E$9)</f>
        <v>94.071700000000007</v>
      </c>
      <c r="D906" s="14">
        <f>CHOOSE(CONTROL!$C$42, 94.2756, 94.2756) * CHOOSE(CONTROL!$C$21, $C$9, 100%, $E$9)</f>
        <v>94.275599999999997</v>
      </c>
      <c r="E906" s="14">
        <f>CHOOSE(CONTROL!$C$42, 94.3071, 94.3071) * CHOOSE(CONTROL!$C$21, $C$9, 100%, $E$9)</f>
        <v>94.307100000000005</v>
      </c>
      <c r="F906" s="14">
        <f>CHOOSE(CONTROL!$C$42, 94.0448, 94.0448)*CHOOSE(CONTROL!$C$21, $C$9, 100%, $E$9)</f>
        <v>94.044799999999995</v>
      </c>
      <c r="G906" s="14">
        <f>CHOOSE(CONTROL!$C$42, 94.0606, 94.0606)*CHOOSE(CONTROL!$C$21, $C$9, 100%, $E$9)</f>
        <v>94.060599999999994</v>
      </c>
      <c r="H906" s="14">
        <f>CHOOSE(CONTROL!$C$42, 94.2957, 94.2957) * CHOOSE(CONTROL!$C$21, $C$9, 100%, $E$9)</f>
        <v>94.295699999999997</v>
      </c>
      <c r="I906" s="14">
        <f>CHOOSE(CONTROL!$C$42, 94.3637, 94.3637)* CHOOSE(CONTROL!$C$21, $C$9, 100%, $E$9)</f>
        <v>94.363699999999994</v>
      </c>
      <c r="J906" s="14">
        <f>CHOOSE(CONTROL!$C$42, 94.0378, 94.0378)* CHOOSE(CONTROL!$C$21, $C$9, 100%, $E$9)</f>
        <v>94.037800000000004</v>
      </c>
      <c r="K906" s="53">
        <f>CHOOSE(CONTROL!$C$42, 94.3598, 94.3598) * CHOOSE(CONTROL!$C$21, $C$9, 100%, $E$9)</f>
        <v>94.359800000000007</v>
      </c>
      <c r="L906" s="14">
        <f>CHOOSE(CONTROL!$C$42, 94.8827, 94.8827) * CHOOSE(CONTROL!$C$21, $C$9, 100%, $E$9)</f>
        <v>94.8827</v>
      </c>
      <c r="M906" s="14">
        <f>CHOOSE(CONTROL!$C$42, 92.1187, 92.1187) * CHOOSE(CONTROL!$C$21, $C$9, 100%, $E$9)</f>
        <v>92.118700000000004</v>
      </c>
      <c r="N906" s="14">
        <f>CHOOSE(CONTROL!$C$42, 92.1342, 92.1342) * CHOOSE(CONTROL!$C$21, $C$9, 100%, $E$9)</f>
        <v>92.134200000000007</v>
      </c>
      <c r="O906" s="14">
        <f>CHOOSE(CONTROL!$C$42, 92.3713, 92.3713) * CHOOSE(CONTROL!$C$21, $C$9, 100%, $E$9)</f>
        <v>92.371300000000005</v>
      </c>
      <c r="P906" s="14">
        <f>CHOOSE(CONTROL!$C$42, 92.4321, 92.4321) * CHOOSE(CONTROL!$C$21, $C$9, 100%, $E$9)</f>
        <v>92.432100000000005</v>
      </c>
      <c r="Q906" s="14">
        <f>CHOOSE(CONTROL!$C$42, 92.966, 92.966) * CHOOSE(CONTROL!$C$21, $C$9, 100%, $E$9)</f>
        <v>92.965999999999994</v>
      </c>
      <c r="R906" s="14">
        <f>CHOOSE(CONTROL!$C$42, 93.7854, 93.7854) * CHOOSE(CONTROL!$C$21, $C$9, 100%, $E$9)</f>
        <v>93.785399999999996</v>
      </c>
      <c r="S906" s="14">
        <f>CHOOSE(CONTROL!$C$42, 90.3751, 90.3751) * CHOOSE(CONTROL!$C$21, $C$9, 100%, $E$9)</f>
        <v>90.375100000000003</v>
      </c>
      <c r="T90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06" s="57">
        <f>(1000*CHOOSE(CONTROL!$C$42, 695, 695)*CHOOSE(CONTROL!$C$42, 0.5599, 0.5599)*CHOOSE(CONTROL!$C$42, 30, 30))/1000000</f>
        <v>11.673914999999997</v>
      </c>
      <c r="V906" s="57">
        <f>(1000*CHOOSE(CONTROL!$C$42, 500, 500)*CHOOSE(CONTROL!$C$42, 0.275, 0.275)*CHOOSE(CONTROL!$C$42, 30, 30))/1000000</f>
        <v>4.125</v>
      </c>
      <c r="W906" s="57">
        <f>(1000*CHOOSE(CONTROL!$C$42, 0.1146, 0.1146)*CHOOSE(CONTROL!$C$42, 121.5, 121.5)*CHOOSE(CONTROL!$C$42, 30, 30))/1000000</f>
        <v>0.417717</v>
      </c>
      <c r="X906" s="57">
        <f>(30*0.1790888*245000/1000000)+(30*0.2374*100000/1000000)</f>
        <v>2.0285026799999999</v>
      </c>
      <c r="Y906" s="57"/>
      <c r="Z906" s="14"/>
      <c r="AA906" s="56"/>
      <c r="AB906" s="50">
        <f>(B906*194.205+C906*267.466+D906*133.845+E906*53.484+F906*40+G906*185+H906*0+I906*100+J906*300)/(194.205+267.466+133.845+53.484+0+40+185+100+300)</f>
        <v>94.114249896860272</v>
      </c>
      <c r="AC906" s="45">
        <f>(M906*'RAP TEMPLATE-GAS AVAILABILITY'!O905+N906*'RAP TEMPLATE-GAS AVAILABILITY'!P905+O906*'RAP TEMPLATE-GAS AVAILABILITY'!Q905+P906*'RAP TEMPLATE-GAS AVAILABILITY'!R905)/('RAP TEMPLATE-GAS AVAILABILITY'!O905+'RAP TEMPLATE-GAS AVAILABILITY'!P905+'RAP TEMPLATE-GAS AVAILABILITY'!Q905+'RAP TEMPLATE-GAS AVAILABILITY'!R905)</f>
        <v>92.279173381294953</v>
      </c>
    </row>
    <row r="907" spans="1:29" ht="15.75" x14ac:dyDescent="0.25">
      <c r="A907" s="32">
        <v>68514</v>
      </c>
      <c r="B907" s="14">
        <f>CHOOSE(CONTROL!$C$42, 92.2593, 92.2593) * CHOOSE(CONTROL!$C$21, $C$9, 100%, $E$9)</f>
        <v>92.259299999999996</v>
      </c>
      <c r="C907" s="14">
        <f>CHOOSE(CONTROL!$C$42, 92.2673, 92.2673) * CHOOSE(CONTROL!$C$21, $C$9, 100%, $E$9)</f>
        <v>92.267300000000006</v>
      </c>
      <c r="D907" s="14">
        <f>CHOOSE(CONTROL!$C$42, 92.4712, 92.4712) * CHOOSE(CONTROL!$C$21, $C$9, 100%, $E$9)</f>
        <v>92.471199999999996</v>
      </c>
      <c r="E907" s="14">
        <f>CHOOSE(CONTROL!$C$42, 92.5027, 92.5027) * CHOOSE(CONTROL!$C$21, $C$9, 100%, $E$9)</f>
        <v>92.502700000000004</v>
      </c>
      <c r="F907" s="14">
        <f>CHOOSE(CONTROL!$C$42, 92.2409, 92.2409)*CHOOSE(CONTROL!$C$21, $C$9, 100%, $E$9)</f>
        <v>92.240899999999996</v>
      </c>
      <c r="G907" s="14">
        <f>CHOOSE(CONTROL!$C$42, 92.2568, 92.2568)*CHOOSE(CONTROL!$C$21, $C$9, 100%, $E$9)</f>
        <v>92.256799999999998</v>
      </c>
      <c r="H907" s="14">
        <f>CHOOSE(CONTROL!$C$42, 92.4913, 92.4913) * CHOOSE(CONTROL!$C$21, $C$9, 100%, $E$9)</f>
        <v>92.491299999999995</v>
      </c>
      <c r="I907" s="14">
        <f>CHOOSE(CONTROL!$C$42, 92.5537, 92.5537)* CHOOSE(CONTROL!$C$21, $C$9, 100%, $E$9)</f>
        <v>92.553700000000006</v>
      </c>
      <c r="J907" s="14">
        <f>CHOOSE(CONTROL!$C$42, 92.2339, 92.2339)* CHOOSE(CONTROL!$C$21, $C$9, 100%, $E$9)</f>
        <v>92.233900000000006</v>
      </c>
      <c r="K907" s="53">
        <f>CHOOSE(CONTROL!$C$42, 92.5498, 92.5498) * CHOOSE(CONTROL!$C$21, $C$9, 100%, $E$9)</f>
        <v>92.549800000000005</v>
      </c>
      <c r="L907" s="14">
        <f>CHOOSE(CONTROL!$C$42, 93.0783, 93.0783) * CHOOSE(CONTROL!$C$21, $C$9, 100%, $E$9)</f>
        <v>93.078299999999999</v>
      </c>
      <c r="M907" s="14">
        <f>CHOOSE(CONTROL!$C$42, 90.3518, 90.3518) * CHOOSE(CONTROL!$C$21, $C$9, 100%, $E$9)</f>
        <v>90.351799999999997</v>
      </c>
      <c r="N907" s="14">
        <f>CHOOSE(CONTROL!$C$42, 90.3673, 90.3673) * CHOOSE(CONTROL!$C$21, $C$9, 100%, $E$9)</f>
        <v>90.3673</v>
      </c>
      <c r="O907" s="14">
        <f>CHOOSE(CONTROL!$C$42, 90.6039, 90.6039) * CHOOSE(CONTROL!$C$21, $C$9, 100%, $E$9)</f>
        <v>90.603899999999996</v>
      </c>
      <c r="P907" s="14">
        <f>CHOOSE(CONTROL!$C$42, 90.6592, 90.6592) * CHOOSE(CONTROL!$C$21, $C$9, 100%, $E$9)</f>
        <v>90.659199999999998</v>
      </c>
      <c r="Q907" s="14">
        <f>CHOOSE(CONTROL!$C$42, 91.1986, 91.1986) * CHOOSE(CONTROL!$C$21, $C$9, 100%, $E$9)</f>
        <v>91.198599999999999</v>
      </c>
      <c r="R907" s="14">
        <f>CHOOSE(CONTROL!$C$42, 92.0136, 92.0136) * CHOOSE(CONTROL!$C$21, $C$9, 100%, $E$9)</f>
        <v>92.013599999999997</v>
      </c>
      <c r="S907" s="14">
        <f>CHOOSE(CONTROL!$C$42, 88.6413, 88.6413) * CHOOSE(CONTROL!$C$21, $C$9, 100%, $E$9)</f>
        <v>88.641300000000001</v>
      </c>
      <c r="T90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07" s="57">
        <f>(1000*CHOOSE(CONTROL!$C$42, 695, 695)*CHOOSE(CONTROL!$C$42, 0.5599, 0.5599)*CHOOSE(CONTROL!$C$42, 31, 31))/1000000</f>
        <v>12.063045499999998</v>
      </c>
      <c r="V907" s="57">
        <f>(1000*CHOOSE(CONTROL!$C$42, 500, 500)*CHOOSE(CONTROL!$C$42, 0.275, 0.275)*CHOOSE(CONTROL!$C$42, 31, 31))/1000000</f>
        <v>4.2625000000000002</v>
      </c>
      <c r="W907" s="57">
        <f>(1000*CHOOSE(CONTROL!$C$42, 0.1146, 0.1146)*CHOOSE(CONTROL!$C$42, 121.5, 121.5)*CHOOSE(CONTROL!$C$42, 31, 31))/1000000</f>
        <v>0.43164089999999994</v>
      </c>
      <c r="X907" s="57">
        <f>(31*0.1790888*245000/1000000)+(31*0.2374*100000/1000000)</f>
        <v>2.0961194359999999</v>
      </c>
      <c r="Y907" s="57"/>
      <c r="Z907" s="14"/>
      <c r="AA907" s="56"/>
      <c r="AB907" s="50">
        <f>(B907*194.205+C907*267.466+D907*133.845+E907*53.484+F907*40+G907*185+H907*0+I907*100+J907*300)/(194.205+267.466+133.845+53.484+0+40+185+100+300)</f>
        <v>92.309646145290429</v>
      </c>
      <c r="AC907" s="45">
        <f>(M907*'RAP TEMPLATE-GAS AVAILABILITY'!O906+N907*'RAP TEMPLATE-GAS AVAILABILITY'!P906+O907*'RAP TEMPLATE-GAS AVAILABILITY'!Q906+P907*'RAP TEMPLATE-GAS AVAILABILITY'!R906)/('RAP TEMPLATE-GAS AVAILABILITY'!O906+'RAP TEMPLATE-GAS AVAILABILITY'!P906+'RAP TEMPLATE-GAS AVAILABILITY'!Q906+'RAP TEMPLATE-GAS AVAILABILITY'!R906)</f>
        <v>90.511183453237393</v>
      </c>
    </row>
    <row r="908" spans="1:29" ht="15.75" x14ac:dyDescent="0.25">
      <c r="A908" s="32">
        <v>68545</v>
      </c>
      <c r="B908" s="14">
        <f>CHOOSE(CONTROL!$C$42, 87.7027, 87.7027) * CHOOSE(CONTROL!$C$21, $C$9, 100%, $E$9)</f>
        <v>87.702699999999993</v>
      </c>
      <c r="C908" s="14">
        <f>CHOOSE(CONTROL!$C$42, 87.7107, 87.7107) * CHOOSE(CONTROL!$C$21, $C$9, 100%, $E$9)</f>
        <v>87.710700000000003</v>
      </c>
      <c r="D908" s="14">
        <f>CHOOSE(CONTROL!$C$42, 87.9147, 87.9147) * CHOOSE(CONTROL!$C$21, $C$9, 100%, $E$9)</f>
        <v>87.914699999999996</v>
      </c>
      <c r="E908" s="14">
        <f>CHOOSE(CONTROL!$C$42, 87.9461, 87.9461) * CHOOSE(CONTROL!$C$21, $C$9, 100%, $E$9)</f>
        <v>87.946100000000001</v>
      </c>
      <c r="F908" s="14">
        <f>CHOOSE(CONTROL!$C$42, 87.6845, 87.6845)*CHOOSE(CONTROL!$C$21, $C$9, 100%, $E$9)</f>
        <v>87.6845</v>
      </c>
      <c r="G908" s="14">
        <f>CHOOSE(CONTROL!$C$42, 87.7005, 87.7005)*CHOOSE(CONTROL!$C$21, $C$9, 100%, $E$9)</f>
        <v>87.700500000000005</v>
      </c>
      <c r="H908" s="14">
        <f>CHOOSE(CONTROL!$C$42, 87.9348, 87.9348) * CHOOSE(CONTROL!$C$21, $C$9, 100%, $E$9)</f>
        <v>87.934799999999996</v>
      </c>
      <c r="I908" s="14">
        <f>CHOOSE(CONTROL!$C$42, 87.9828, 87.9828)* CHOOSE(CONTROL!$C$21, $C$9, 100%, $E$9)</f>
        <v>87.982799999999997</v>
      </c>
      <c r="J908" s="14">
        <f>CHOOSE(CONTROL!$C$42, 87.6775, 87.6775)* CHOOSE(CONTROL!$C$21, $C$9, 100%, $E$9)</f>
        <v>87.677499999999995</v>
      </c>
      <c r="K908" s="53">
        <f>CHOOSE(CONTROL!$C$42, 87.9789, 87.9789) * CHOOSE(CONTROL!$C$21, $C$9, 100%, $E$9)</f>
        <v>87.978899999999996</v>
      </c>
      <c r="L908" s="14">
        <f>CHOOSE(CONTROL!$C$42, 88.5218, 88.5218) * CHOOSE(CONTROL!$C$21, $C$9, 100%, $E$9)</f>
        <v>88.521799999999999</v>
      </c>
      <c r="M908" s="14">
        <f>CHOOSE(CONTROL!$C$42, 85.8888, 85.8888) * CHOOSE(CONTROL!$C$21, $C$9, 100%, $E$9)</f>
        <v>85.888800000000003</v>
      </c>
      <c r="N908" s="14">
        <f>CHOOSE(CONTROL!$C$42, 85.9044, 85.9044) * CHOOSE(CONTROL!$C$21, $C$9, 100%, $E$9)</f>
        <v>85.904399999999995</v>
      </c>
      <c r="O908" s="14">
        <f>CHOOSE(CONTROL!$C$42, 86.1407, 86.1407) * CHOOSE(CONTROL!$C$21, $C$9, 100%, $E$9)</f>
        <v>86.140699999999995</v>
      </c>
      <c r="P908" s="14">
        <f>CHOOSE(CONTROL!$C$42, 86.1823, 86.1823) * CHOOSE(CONTROL!$C$21, $C$9, 100%, $E$9)</f>
        <v>86.182299999999998</v>
      </c>
      <c r="Q908" s="14">
        <f>CHOOSE(CONTROL!$C$42, 86.7354, 86.7354) * CHOOSE(CONTROL!$C$21, $C$9, 100%, $E$9)</f>
        <v>86.735399999999998</v>
      </c>
      <c r="R908" s="14">
        <f>CHOOSE(CONTROL!$C$42, 87.5393, 87.5393) * CHOOSE(CONTROL!$C$21, $C$9, 100%, $E$9)</f>
        <v>87.539299999999997</v>
      </c>
      <c r="S908" s="14">
        <f>CHOOSE(CONTROL!$C$42, 84.2629, 84.2629) * CHOOSE(CONTROL!$C$21, $C$9, 100%, $E$9)</f>
        <v>84.262900000000002</v>
      </c>
      <c r="T90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08" s="57">
        <f>(1000*CHOOSE(CONTROL!$C$42, 695, 695)*CHOOSE(CONTROL!$C$42, 0.5599, 0.5599)*CHOOSE(CONTROL!$C$42, 31, 31))/1000000</f>
        <v>12.063045499999998</v>
      </c>
      <c r="V908" s="57">
        <f>(1000*CHOOSE(CONTROL!$C$42, 500, 500)*CHOOSE(CONTROL!$C$42, 0.275, 0.275)*CHOOSE(CONTROL!$C$42, 31, 31))/1000000</f>
        <v>4.2625000000000002</v>
      </c>
      <c r="W908" s="57">
        <f>(1000*CHOOSE(CONTROL!$C$42, 0.1146, 0.1146)*CHOOSE(CONTROL!$C$42, 121.5, 121.5)*CHOOSE(CONTROL!$C$42, 31, 31))/1000000</f>
        <v>0.43164089999999994</v>
      </c>
      <c r="X908" s="57">
        <f>(31*0.1790888*245000/1000000)+(31*0.2374*100000/1000000)</f>
        <v>2.0961194359999999</v>
      </c>
      <c r="Y908" s="57"/>
      <c r="Z908" s="14"/>
      <c r="AA908" s="56"/>
      <c r="AB908" s="50">
        <f>(B908*194.205+C908*267.466+D908*133.845+E908*53.484+F908*40+G908*185+H908*0+I908*100+J908*300)/(194.205+267.466+133.845+53.484+0+40+185+100+300)</f>
        <v>87.752031140973301</v>
      </c>
      <c r="AC908" s="45">
        <f>(M908*'RAP TEMPLATE-GAS AVAILABILITY'!O907+N908*'RAP TEMPLATE-GAS AVAILABILITY'!P907+O908*'RAP TEMPLATE-GAS AVAILABILITY'!Q907+P908*'RAP TEMPLATE-GAS AVAILABILITY'!R907)/('RAP TEMPLATE-GAS AVAILABILITY'!O907+'RAP TEMPLATE-GAS AVAILABILITY'!P907+'RAP TEMPLATE-GAS AVAILABILITY'!Q907+'RAP TEMPLATE-GAS AVAILABILITY'!R907)</f>
        <v>86.046098561151069</v>
      </c>
    </row>
    <row r="909" spans="1:29" ht="15.75" x14ac:dyDescent="0.25">
      <c r="A909" s="32">
        <v>68575</v>
      </c>
      <c r="B909" s="14">
        <f>CHOOSE(CONTROL!$C$42, 82.135, 82.135) * CHOOSE(CONTROL!$C$21, $C$9, 100%, $E$9)</f>
        <v>82.135000000000005</v>
      </c>
      <c r="C909" s="14">
        <f>CHOOSE(CONTROL!$C$42, 82.143, 82.143) * CHOOSE(CONTROL!$C$21, $C$9, 100%, $E$9)</f>
        <v>82.143000000000001</v>
      </c>
      <c r="D909" s="14">
        <f>CHOOSE(CONTROL!$C$42, 82.347, 82.347) * CHOOSE(CONTROL!$C$21, $C$9, 100%, $E$9)</f>
        <v>82.346999999999994</v>
      </c>
      <c r="E909" s="14">
        <f>CHOOSE(CONTROL!$C$42, 82.3784, 82.3784) * CHOOSE(CONTROL!$C$21, $C$9, 100%, $E$9)</f>
        <v>82.378399999999999</v>
      </c>
      <c r="F909" s="14">
        <f>CHOOSE(CONTROL!$C$42, 82.1169, 82.1169)*CHOOSE(CONTROL!$C$21, $C$9, 100%, $E$9)</f>
        <v>82.116900000000001</v>
      </c>
      <c r="G909" s="14">
        <f>CHOOSE(CONTROL!$C$42, 82.1329, 82.1329)*CHOOSE(CONTROL!$C$21, $C$9, 100%, $E$9)</f>
        <v>82.132900000000006</v>
      </c>
      <c r="H909" s="14">
        <f>CHOOSE(CONTROL!$C$42, 82.3671, 82.3671) * CHOOSE(CONTROL!$C$21, $C$9, 100%, $E$9)</f>
        <v>82.367099999999994</v>
      </c>
      <c r="I909" s="14">
        <f>CHOOSE(CONTROL!$C$42, 82.3977, 82.3977)* CHOOSE(CONTROL!$C$21, $C$9, 100%, $E$9)</f>
        <v>82.3977</v>
      </c>
      <c r="J909" s="14">
        <f>CHOOSE(CONTROL!$C$42, 82.1099, 82.1099)* CHOOSE(CONTROL!$C$21, $C$9, 100%, $E$9)</f>
        <v>82.109899999999996</v>
      </c>
      <c r="K909" s="53">
        <f>CHOOSE(CONTROL!$C$42, 82.3938, 82.3938) * CHOOSE(CONTROL!$C$21, $C$9, 100%, $E$9)</f>
        <v>82.393799999999999</v>
      </c>
      <c r="L909" s="14">
        <f>CHOOSE(CONTROL!$C$42, 82.9541, 82.9541) * CHOOSE(CONTROL!$C$21, $C$9, 100%, $E$9)</f>
        <v>82.954099999999997</v>
      </c>
      <c r="M909" s="14">
        <f>CHOOSE(CONTROL!$C$42, 80.4352, 80.4352) * CHOOSE(CONTROL!$C$21, $C$9, 100%, $E$9)</f>
        <v>80.435199999999995</v>
      </c>
      <c r="N909" s="14">
        <f>CHOOSE(CONTROL!$C$42, 80.4509, 80.4509) * CHOOSE(CONTROL!$C$21, $C$9, 100%, $E$9)</f>
        <v>80.450900000000004</v>
      </c>
      <c r="O909" s="14">
        <f>CHOOSE(CONTROL!$C$42, 80.6871, 80.6871) * CHOOSE(CONTROL!$C$21, $C$9, 100%, $E$9)</f>
        <v>80.687100000000001</v>
      </c>
      <c r="P909" s="14">
        <f>CHOOSE(CONTROL!$C$42, 80.712, 80.712) * CHOOSE(CONTROL!$C$21, $C$9, 100%, $E$9)</f>
        <v>80.712000000000003</v>
      </c>
      <c r="Q909" s="14">
        <f>CHOOSE(CONTROL!$C$42, 81.2818, 81.2818) * CHOOSE(CONTROL!$C$21, $C$9, 100%, $E$9)</f>
        <v>81.281800000000004</v>
      </c>
      <c r="R909" s="14">
        <f>CHOOSE(CONTROL!$C$42, 82.072, 82.072) * CHOOSE(CONTROL!$C$21, $C$9, 100%, $E$9)</f>
        <v>82.072000000000003</v>
      </c>
      <c r="S909" s="14">
        <f>CHOOSE(CONTROL!$C$42, 78.9129, 78.9129) * CHOOSE(CONTROL!$C$21, $C$9, 100%, $E$9)</f>
        <v>78.912899999999993</v>
      </c>
      <c r="T90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09" s="57">
        <f>(1000*CHOOSE(CONTROL!$C$42, 695, 695)*CHOOSE(CONTROL!$C$42, 0.5599, 0.5599)*CHOOSE(CONTROL!$C$42, 30, 30))/1000000</f>
        <v>11.673914999999997</v>
      </c>
      <c r="V909" s="57">
        <f>(1000*CHOOSE(CONTROL!$C$42, 500, 500)*CHOOSE(CONTROL!$C$42, 0.275, 0.275)*CHOOSE(CONTROL!$C$42, 30, 30))/1000000</f>
        <v>4.125</v>
      </c>
      <c r="W909" s="57">
        <f>(1000*CHOOSE(CONTROL!$C$42, 0.1146, 0.1146)*CHOOSE(CONTROL!$C$42, 121.5, 121.5)*CHOOSE(CONTROL!$C$42, 30, 30))/1000000</f>
        <v>0.417717</v>
      </c>
      <c r="X909" s="57">
        <f>(30*0.1790888*245000/1000000)+(30*0.2374*100000/1000000)</f>
        <v>2.0285026799999999</v>
      </c>
      <c r="Y909" s="57"/>
      <c r="Z909" s="14"/>
      <c r="AA909" s="56"/>
      <c r="AB909" s="50">
        <f>(B909*194.205+C909*267.466+D909*133.845+E909*53.484+F909*40+G909*185+H909*0+I909*100+J909*300)/(194.205+267.466+133.845+53.484+0+40+185+100+300)</f>
        <v>82.183006572684462</v>
      </c>
      <c r="AC909" s="45">
        <f>(M909*'RAP TEMPLATE-GAS AVAILABILITY'!O908+N909*'RAP TEMPLATE-GAS AVAILABILITY'!P908+O909*'RAP TEMPLATE-GAS AVAILABILITY'!Q908+P909*'RAP TEMPLATE-GAS AVAILABILITY'!R908)/('RAP TEMPLATE-GAS AVAILABILITY'!O908+'RAP TEMPLATE-GAS AVAILABILITY'!P908+'RAP TEMPLATE-GAS AVAILABILITY'!Q908+'RAP TEMPLATE-GAS AVAILABILITY'!R908)</f>
        <v>80.590101438848933</v>
      </c>
    </row>
    <row r="910" spans="1:29" ht="15.75" x14ac:dyDescent="0.25">
      <c r="A910" s="32">
        <v>68606</v>
      </c>
      <c r="B910" s="14">
        <f>CHOOSE(CONTROL!$C$42, 80.4658, 80.4658) * CHOOSE(CONTROL!$C$21, $C$9, 100%, $E$9)</f>
        <v>80.465800000000002</v>
      </c>
      <c r="C910" s="14">
        <f>CHOOSE(CONTROL!$C$42, 80.4711, 80.4711) * CHOOSE(CONTROL!$C$21, $C$9, 100%, $E$9)</f>
        <v>80.471100000000007</v>
      </c>
      <c r="D910" s="14">
        <f>CHOOSE(CONTROL!$C$42, 80.68, 80.68) * CHOOSE(CONTROL!$C$21, $C$9, 100%, $E$9)</f>
        <v>80.680000000000007</v>
      </c>
      <c r="E910" s="14">
        <f>CHOOSE(CONTROL!$C$42, 80.7092, 80.7092) * CHOOSE(CONTROL!$C$21, $C$9, 100%, $E$9)</f>
        <v>80.709199999999996</v>
      </c>
      <c r="F910" s="14">
        <f>CHOOSE(CONTROL!$C$42, 80.4498, 80.4498)*CHOOSE(CONTROL!$C$21, $C$9, 100%, $E$9)</f>
        <v>80.449799999999996</v>
      </c>
      <c r="G910" s="14">
        <f>CHOOSE(CONTROL!$C$42, 80.4655, 80.4655)*CHOOSE(CONTROL!$C$21, $C$9, 100%, $E$9)</f>
        <v>80.465500000000006</v>
      </c>
      <c r="H910" s="14">
        <f>CHOOSE(CONTROL!$C$42, 80.6996, 80.6996) * CHOOSE(CONTROL!$C$21, $C$9, 100%, $E$9)</f>
        <v>80.699600000000004</v>
      </c>
      <c r="I910" s="14">
        <f>CHOOSE(CONTROL!$C$42, 80.725, 80.725)* CHOOSE(CONTROL!$C$21, $C$9, 100%, $E$9)</f>
        <v>80.724999999999994</v>
      </c>
      <c r="J910" s="14">
        <f>CHOOSE(CONTROL!$C$42, 80.4428, 80.4428)* CHOOSE(CONTROL!$C$21, $C$9, 100%, $E$9)</f>
        <v>80.442800000000005</v>
      </c>
      <c r="K910" s="53">
        <f>CHOOSE(CONTROL!$C$42, 80.7211, 80.7211) * CHOOSE(CONTROL!$C$21, $C$9, 100%, $E$9)</f>
        <v>80.721100000000007</v>
      </c>
      <c r="L910" s="14">
        <f>CHOOSE(CONTROL!$C$42, 81.2866, 81.2866) * CHOOSE(CONTROL!$C$21, $C$9, 100%, $E$9)</f>
        <v>81.286600000000007</v>
      </c>
      <c r="M910" s="14">
        <f>CHOOSE(CONTROL!$C$42, 78.8023, 78.8023) * CHOOSE(CONTROL!$C$21, $C$9, 100%, $E$9)</f>
        <v>78.802300000000002</v>
      </c>
      <c r="N910" s="14">
        <f>CHOOSE(CONTROL!$C$42, 78.8176, 78.8176) * CHOOSE(CONTROL!$C$21, $C$9, 100%, $E$9)</f>
        <v>78.817599999999999</v>
      </c>
      <c r="O910" s="14">
        <f>CHOOSE(CONTROL!$C$42, 79.0539, 79.0539) * CHOOSE(CONTROL!$C$21, $C$9, 100%, $E$9)</f>
        <v>79.053899999999999</v>
      </c>
      <c r="P910" s="14">
        <f>CHOOSE(CONTROL!$C$42, 79.0737, 79.0737) * CHOOSE(CONTROL!$C$21, $C$9, 100%, $E$9)</f>
        <v>79.073700000000002</v>
      </c>
      <c r="Q910" s="14">
        <f>CHOOSE(CONTROL!$C$42, 79.6486, 79.6486) * CHOOSE(CONTROL!$C$21, $C$9, 100%, $E$9)</f>
        <v>79.648600000000002</v>
      </c>
      <c r="R910" s="14">
        <f>CHOOSE(CONTROL!$C$42, 80.4347, 80.4347) * CHOOSE(CONTROL!$C$21, $C$9, 100%, $E$9)</f>
        <v>80.434700000000007</v>
      </c>
      <c r="S910" s="14">
        <f>CHOOSE(CONTROL!$C$42, 77.3107, 77.3107) * CHOOSE(CONTROL!$C$21, $C$9, 100%, $E$9)</f>
        <v>77.310699999999997</v>
      </c>
      <c r="T91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10" s="57">
        <f>(1000*CHOOSE(CONTROL!$C$42, 695, 695)*CHOOSE(CONTROL!$C$42, 0.5599, 0.5599)*CHOOSE(CONTROL!$C$42, 31, 31))/1000000</f>
        <v>12.063045499999998</v>
      </c>
      <c r="V910" s="57">
        <f>(1000*CHOOSE(CONTROL!$C$42, 500, 500)*CHOOSE(CONTROL!$C$42, 0.275, 0.275)*CHOOSE(CONTROL!$C$42, 31, 31))/1000000</f>
        <v>4.2625000000000002</v>
      </c>
      <c r="W910" s="57">
        <f>(1000*CHOOSE(CONTROL!$C$42, 0.1146, 0.1146)*CHOOSE(CONTROL!$C$42, 121.5, 121.5)*CHOOSE(CONTROL!$C$42, 31, 31))/1000000</f>
        <v>0.43164089999999994</v>
      </c>
      <c r="X910" s="57">
        <f>(31*0.1790888*245000/1000000)+(31*0.2374*100000/1000000)</f>
        <v>2.0961194359999999</v>
      </c>
      <c r="Y910" s="57"/>
      <c r="Z910" s="14"/>
      <c r="AA910" s="56"/>
      <c r="AB910" s="50">
        <f>(B910*131.881+C910*277.167+D910*79.08+E910*125.872+F910*40+G910*185+H910*0+I910*100+J910*300)/(131.881+277.167+79.08+125.872+0+40+185+100+300)</f>
        <v>80.520174225907994</v>
      </c>
      <c r="AC910" s="45">
        <f>(M910*'RAP TEMPLATE-GAS AVAILABILITY'!O909+N910*'RAP TEMPLATE-GAS AVAILABILITY'!P909+O910*'RAP TEMPLATE-GAS AVAILABILITY'!Q909+P910*'RAP TEMPLATE-GAS AVAILABILITY'!R909)/('RAP TEMPLATE-GAS AVAILABILITY'!O909+'RAP TEMPLATE-GAS AVAILABILITY'!P909+'RAP TEMPLATE-GAS AVAILABILITY'!Q909+'RAP TEMPLATE-GAS AVAILABILITY'!R909)</f>
        <v>78.956265467625911</v>
      </c>
    </row>
    <row r="911" spans="1:29" ht="15.75" x14ac:dyDescent="0.25">
      <c r="A911" s="32">
        <v>68636</v>
      </c>
      <c r="B911" s="14">
        <f>CHOOSE(CONTROL!$C$42, 82.585, 82.585) * CHOOSE(CONTROL!$C$21, $C$9, 100%, $E$9)</f>
        <v>82.584999999999994</v>
      </c>
      <c r="C911" s="14">
        <f>CHOOSE(CONTROL!$C$42, 82.5901, 82.5901) * CHOOSE(CONTROL!$C$21, $C$9, 100%, $E$9)</f>
        <v>82.590100000000007</v>
      </c>
      <c r="D911" s="14">
        <f>CHOOSE(CONTROL!$C$42, 82.6539, 82.6539) * CHOOSE(CONTROL!$C$21, $C$9, 100%, $E$9)</f>
        <v>82.653899999999993</v>
      </c>
      <c r="E911" s="14">
        <f>CHOOSE(CONTROL!$C$42, 82.688, 82.688) * CHOOSE(CONTROL!$C$21, $C$9, 100%, $E$9)</f>
        <v>82.688000000000002</v>
      </c>
      <c r="F911" s="14">
        <f>CHOOSE(CONTROL!$C$42, 82.5874, 82.5874)*CHOOSE(CONTROL!$C$21, $C$9, 100%, $E$9)</f>
        <v>82.587400000000002</v>
      </c>
      <c r="G911" s="14">
        <f>CHOOSE(CONTROL!$C$42, 82.6034, 82.6034)*CHOOSE(CONTROL!$C$21, $C$9, 100%, $E$9)</f>
        <v>82.603399999999993</v>
      </c>
      <c r="H911" s="14">
        <f>CHOOSE(CONTROL!$C$42, 82.6772, 82.6772) * CHOOSE(CONTROL!$C$21, $C$9, 100%, $E$9)</f>
        <v>82.677199999999999</v>
      </c>
      <c r="I911" s="14">
        <f>CHOOSE(CONTROL!$C$42, 82.8565, 82.8565)* CHOOSE(CONTROL!$C$21, $C$9, 100%, $E$9)</f>
        <v>82.856499999999997</v>
      </c>
      <c r="J911" s="14">
        <f>CHOOSE(CONTROL!$C$42, 82.5804, 82.5804)* CHOOSE(CONTROL!$C$21, $C$9, 100%, $E$9)</f>
        <v>82.580399999999997</v>
      </c>
      <c r="K911" s="53">
        <f>CHOOSE(CONTROL!$C$42, 82.8526, 82.8526) * CHOOSE(CONTROL!$C$21, $C$9, 100%, $E$9)</f>
        <v>82.852599999999995</v>
      </c>
      <c r="L911" s="14">
        <f>CHOOSE(CONTROL!$C$42, 83.2642, 83.2642) * CHOOSE(CONTROL!$C$21, $C$9, 100%, $E$9)</f>
        <v>83.264200000000002</v>
      </c>
      <c r="M911" s="14">
        <f>CHOOSE(CONTROL!$C$42, 80.8961, 80.8961) * CHOOSE(CONTROL!$C$21, $C$9, 100%, $E$9)</f>
        <v>80.896100000000004</v>
      </c>
      <c r="N911" s="14">
        <f>CHOOSE(CONTROL!$C$42, 80.9117, 80.9117) * CHOOSE(CONTROL!$C$21, $C$9, 100%, $E$9)</f>
        <v>80.911699999999996</v>
      </c>
      <c r="O911" s="14">
        <f>CHOOSE(CONTROL!$C$42, 80.9909, 80.9909) * CHOOSE(CONTROL!$C$21, $C$9, 100%, $E$9)</f>
        <v>80.990899999999996</v>
      </c>
      <c r="P911" s="14">
        <f>CHOOSE(CONTROL!$C$42, 81.1614, 81.1614) * CHOOSE(CONTROL!$C$21, $C$9, 100%, $E$9)</f>
        <v>81.1614</v>
      </c>
      <c r="Q911" s="14">
        <f>CHOOSE(CONTROL!$C$42, 81.5856, 81.5856) * CHOOSE(CONTROL!$C$21, $C$9, 100%, $E$9)</f>
        <v>81.585599999999999</v>
      </c>
      <c r="R911" s="14">
        <f>CHOOSE(CONTROL!$C$42, 82.3765, 82.3765) * CHOOSE(CONTROL!$C$21, $C$9, 100%, $E$9)</f>
        <v>82.376499999999993</v>
      </c>
      <c r="S911" s="14">
        <f>CHOOSE(CONTROL!$C$42, 79.3474, 79.3474) * CHOOSE(CONTROL!$C$21, $C$9, 100%, $E$9)</f>
        <v>79.347399999999993</v>
      </c>
      <c r="T91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11" s="57">
        <f>(1000*CHOOSE(CONTROL!$C$42, 695, 695)*CHOOSE(CONTROL!$C$42, 0.5599, 0.5599)*CHOOSE(CONTROL!$C$42, 30, 30))/1000000</f>
        <v>11.673914999999997</v>
      </c>
      <c r="V911" s="57">
        <f>(1000*CHOOSE(CONTROL!$C$42, 500, 500)*CHOOSE(CONTROL!$C$42, 0.275, 0.275)*CHOOSE(CONTROL!$C$42, 30, 30))/1000000</f>
        <v>4.125</v>
      </c>
      <c r="W911" s="57">
        <f>(1000*CHOOSE(CONTROL!$C$42, 0.1146, 0.1146)*CHOOSE(CONTROL!$C$42, 121.5, 121.5)*CHOOSE(CONTROL!$C$42, 30, 30))/1000000</f>
        <v>0.417717</v>
      </c>
      <c r="X911" s="57">
        <f>(30*0.1790888*100000/1000000)+(30*0.2374*100000/1000000)</f>
        <v>1.2494664</v>
      </c>
      <c r="Y911" s="57"/>
      <c r="Z911" s="14"/>
      <c r="AA911" s="56"/>
      <c r="AB911" s="50">
        <f>(B911*122.58+C911*297.941+D911*89.177+E911*40.302+F911*40+G911*160+H911*0+I911*100+J911*300)/(122.58+297.941+89.177+40.302+0+40+160+100+300)</f>
        <v>82.620326000347831</v>
      </c>
      <c r="AC911" s="45">
        <f>(M911*'RAP TEMPLATE-GAS AVAILABILITY'!O910+N911*'RAP TEMPLATE-GAS AVAILABILITY'!P910+O911*'RAP TEMPLATE-GAS AVAILABILITY'!Q910+P911*'RAP TEMPLATE-GAS AVAILABILITY'!R910)/('RAP TEMPLATE-GAS AVAILABILITY'!O910+'RAP TEMPLATE-GAS AVAILABILITY'!P910+'RAP TEMPLATE-GAS AVAILABILITY'!Q910+'RAP TEMPLATE-GAS AVAILABILITY'!R910)</f>
        <v>80.978137410071952</v>
      </c>
    </row>
    <row r="912" spans="1:29" ht="15.75" x14ac:dyDescent="0.25">
      <c r="A912" s="32">
        <v>68667</v>
      </c>
      <c r="B912" s="14">
        <f>CHOOSE(CONTROL!$C$42, 88.2149, 88.2149) * CHOOSE(CONTROL!$C$21, $C$9, 100%, $E$9)</f>
        <v>88.2149</v>
      </c>
      <c r="C912" s="14">
        <f>CHOOSE(CONTROL!$C$42, 88.22, 88.22) * CHOOSE(CONTROL!$C$21, $C$9, 100%, $E$9)</f>
        <v>88.22</v>
      </c>
      <c r="D912" s="14">
        <f>CHOOSE(CONTROL!$C$42, 88.2838, 88.2838) * CHOOSE(CONTROL!$C$21, $C$9, 100%, $E$9)</f>
        <v>88.283799999999999</v>
      </c>
      <c r="E912" s="14">
        <f>CHOOSE(CONTROL!$C$42, 88.3179, 88.3179) * CHOOSE(CONTROL!$C$21, $C$9, 100%, $E$9)</f>
        <v>88.317899999999995</v>
      </c>
      <c r="F912" s="14">
        <f>CHOOSE(CONTROL!$C$42, 88.2196, 88.2196)*CHOOSE(CONTROL!$C$21, $C$9, 100%, $E$9)</f>
        <v>88.2196</v>
      </c>
      <c r="G912" s="14">
        <f>CHOOSE(CONTROL!$C$42, 88.2362, 88.2362)*CHOOSE(CONTROL!$C$21, $C$9, 100%, $E$9)</f>
        <v>88.236199999999997</v>
      </c>
      <c r="H912" s="14">
        <f>CHOOSE(CONTROL!$C$42, 88.3071, 88.3071) * CHOOSE(CONTROL!$C$21, $C$9, 100%, $E$9)</f>
        <v>88.307100000000005</v>
      </c>
      <c r="I912" s="14">
        <f>CHOOSE(CONTROL!$C$42, 88.5041, 88.5041)* CHOOSE(CONTROL!$C$21, $C$9, 100%, $E$9)</f>
        <v>88.504099999999994</v>
      </c>
      <c r="J912" s="14">
        <f>CHOOSE(CONTROL!$C$42, 88.2126, 88.2126)* CHOOSE(CONTROL!$C$21, $C$9, 100%, $E$9)</f>
        <v>88.212599999999995</v>
      </c>
      <c r="K912" s="53">
        <f>CHOOSE(CONTROL!$C$42, 88.5002, 88.5002) * CHOOSE(CONTROL!$C$21, $C$9, 100%, $E$9)</f>
        <v>88.500200000000007</v>
      </c>
      <c r="L912" s="14">
        <f>CHOOSE(CONTROL!$C$42, 88.8941, 88.8941) * CHOOSE(CONTROL!$C$21, $C$9, 100%, $E$9)</f>
        <v>88.894099999999995</v>
      </c>
      <c r="M912" s="14">
        <f>CHOOSE(CONTROL!$C$42, 86.4129, 86.4129) * CHOOSE(CONTROL!$C$21, $C$9, 100%, $E$9)</f>
        <v>86.412899999999993</v>
      </c>
      <c r="N912" s="14">
        <f>CHOOSE(CONTROL!$C$42, 86.4291, 86.4291) * CHOOSE(CONTROL!$C$21, $C$9, 100%, $E$9)</f>
        <v>86.429100000000005</v>
      </c>
      <c r="O912" s="14">
        <f>CHOOSE(CONTROL!$C$42, 86.5055, 86.5055) * CHOOSE(CONTROL!$C$21, $C$9, 100%, $E$9)</f>
        <v>86.505499999999998</v>
      </c>
      <c r="P912" s="14">
        <f>CHOOSE(CONTROL!$C$42, 86.6929, 86.6929) * CHOOSE(CONTROL!$C$21, $C$9, 100%, $E$9)</f>
        <v>86.692899999999995</v>
      </c>
      <c r="Q912" s="14">
        <f>CHOOSE(CONTROL!$C$42, 87.1002, 87.1002) * CHOOSE(CONTROL!$C$21, $C$9, 100%, $E$9)</f>
        <v>87.100200000000001</v>
      </c>
      <c r="R912" s="14">
        <f>CHOOSE(CONTROL!$C$42, 87.9049, 87.9049) * CHOOSE(CONTROL!$C$21, $C$9, 100%, $E$9)</f>
        <v>87.904899999999998</v>
      </c>
      <c r="S912" s="14">
        <f>CHOOSE(CONTROL!$C$42, 84.7572, 84.7572) * CHOOSE(CONTROL!$C$21, $C$9, 100%, $E$9)</f>
        <v>84.757199999999997</v>
      </c>
      <c r="T91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12" s="57">
        <f>(1000*CHOOSE(CONTROL!$C$42, 695, 695)*CHOOSE(CONTROL!$C$42, 0.5599, 0.5599)*CHOOSE(CONTROL!$C$42, 31, 31))/1000000</f>
        <v>12.063045499999998</v>
      </c>
      <c r="V912" s="57">
        <f>(1000*CHOOSE(CONTROL!$C$42, 500, 500)*CHOOSE(CONTROL!$C$42, 0.275, 0.275)*CHOOSE(CONTROL!$C$42, 31, 31))/1000000</f>
        <v>4.2625000000000002</v>
      </c>
      <c r="W912" s="57">
        <f>(1000*CHOOSE(CONTROL!$C$42, 0.1146, 0.1146)*CHOOSE(CONTROL!$C$42, 121.5, 121.5)*CHOOSE(CONTROL!$C$42, 31, 31))/1000000</f>
        <v>0.43164089999999994</v>
      </c>
      <c r="X912" s="57">
        <f>(31*0.1790888*100000/1000000)+(31*0.2374*100000/1000000)</f>
        <v>1.2911152800000001</v>
      </c>
      <c r="Y912" s="57"/>
      <c r="Z912" s="14"/>
      <c r="AA912" s="56"/>
      <c r="AB912" s="50">
        <f>(B912*122.58+C912*297.941+D912*89.177+E912*40.302+F912*40+G912*160+H912*0+I912*100+J912*300)/(122.58+297.941+89.177+40.302+0+40+160+100+300)</f>
        <v>88.252848609043468</v>
      </c>
      <c r="AC912" s="45">
        <f>(M912*'RAP TEMPLATE-GAS AVAILABILITY'!O911+N912*'RAP TEMPLATE-GAS AVAILABILITY'!P911+O912*'RAP TEMPLATE-GAS AVAILABILITY'!Q911+P912*'RAP TEMPLATE-GAS AVAILABILITY'!R911)/('RAP TEMPLATE-GAS AVAILABILITY'!O911+'RAP TEMPLATE-GAS AVAILABILITY'!P911+'RAP TEMPLATE-GAS AVAILABILITY'!Q911+'RAP TEMPLATE-GAS AVAILABILITY'!R911)</f>
        <v>86.496089928057543</v>
      </c>
    </row>
    <row r="913" spans="1:29" ht="15.75" x14ac:dyDescent="0.25">
      <c r="A913" s="32">
        <v>68698</v>
      </c>
      <c r="B913" s="14">
        <f>CHOOSE(CONTROL!$C$42, 95.4402, 95.4402) * CHOOSE(CONTROL!$C$21, $C$9, 100%, $E$9)</f>
        <v>95.440200000000004</v>
      </c>
      <c r="C913" s="14">
        <f>CHOOSE(CONTROL!$C$42, 95.4453, 95.4453) * CHOOSE(CONTROL!$C$21, $C$9, 100%, $E$9)</f>
        <v>95.445300000000003</v>
      </c>
      <c r="D913" s="14">
        <f>CHOOSE(CONTROL!$C$42, 95.5117, 95.5117) * CHOOSE(CONTROL!$C$21, $C$9, 100%, $E$9)</f>
        <v>95.511700000000005</v>
      </c>
      <c r="E913" s="14">
        <f>CHOOSE(CONTROL!$C$42, 95.5458, 95.5458) * CHOOSE(CONTROL!$C$21, $C$9, 100%, $E$9)</f>
        <v>95.5458</v>
      </c>
      <c r="F913" s="14">
        <f>CHOOSE(CONTROL!$C$42, 95.4275, 95.4275)*CHOOSE(CONTROL!$C$21, $C$9, 100%, $E$9)</f>
        <v>95.427499999999995</v>
      </c>
      <c r="G913" s="14">
        <f>CHOOSE(CONTROL!$C$42, 95.443, 95.443)*CHOOSE(CONTROL!$C$21, $C$9, 100%, $E$9)</f>
        <v>95.442999999999998</v>
      </c>
      <c r="H913" s="14">
        <f>CHOOSE(CONTROL!$C$42, 95.535, 95.535) * CHOOSE(CONTROL!$C$21, $C$9, 100%, $E$9)</f>
        <v>95.534999999999997</v>
      </c>
      <c r="I913" s="14">
        <f>CHOOSE(CONTROL!$C$42, 95.7467, 95.7467)* CHOOSE(CONTROL!$C$21, $C$9, 100%, $E$9)</f>
        <v>95.746700000000004</v>
      </c>
      <c r="J913" s="14">
        <f>CHOOSE(CONTROL!$C$42, 95.4205, 95.4205)* CHOOSE(CONTROL!$C$21, $C$9, 100%, $E$9)</f>
        <v>95.420500000000004</v>
      </c>
      <c r="K913" s="53">
        <f>CHOOSE(CONTROL!$C$42, 95.7428, 95.7428) * CHOOSE(CONTROL!$C$21, $C$9, 100%, $E$9)</f>
        <v>95.742800000000003</v>
      </c>
      <c r="L913" s="14">
        <f>CHOOSE(CONTROL!$C$42, 96.122, 96.122) * CHOOSE(CONTROL!$C$21, $C$9, 100%, $E$9)</f>
        <v>96.122</v>
      </c>
      <c r="M913" s="14">
        <f>CHOOSE(CONTROL!$C$42, 93.4731, 93.4731) * CHOOSE(CONTROL!$C$21, $C$9, 100%, $E$9)</f>
        <v>93.473100000000002</v>
      </c>
      <c r="N913" s="14">
        <f>CHOOSE(CONTROL!$C$42, 93.4883, 93.4883) * CHOOSE(CONTROL!$C$21, $C$9, 100%, $E$9)</f>
        <v>93.488299999999995</v>
      </c>
      <c r="O913" s="14">
        <f>CHOOSE(CONTROL!$C$42, 93.5852, 93.5852) * CHOOSE(CONTROL!$C$21, $C$9, 100%, $E$9)</f>
        <v>93.5852</v>
      </c>
      <c r="P913" s="14">
        <f>CHOOSE(CONTROL!$C$42, 93.7867, 93.7867) * CHOOSE(CONTROL!$C$21, $C$9, 100%, $E$9)</f>
        <v>93.786699999999996</v>
      </c>
      <c r="Q913" s="14">
        <f>CHOOSE(CONTROL!$C$42, 94.1799, 94.1799) * CHOOSE(CONTROL!$C$21, $C$9, 100%, $E$9)</f>
        <v>94.179900000000004</v>
      </c>
      <c r="R913" s="14">
        <f>CHOOSE(CONTROL!$C$42, 95.0024, 95.0024) * CHOOSE(CONTROL!$C$21, $C$9, 100%, $E$9)</f>
        <v>95.002399999999994</v>
      </c>
      <c r="S913" s="14">
        <f>CHOOSE(CONTROL!$C$42, 91.6999, 91.6999) * CHOOSE(CONTROL!$C$21, $C$9, 100%, $E$9)</f>
        <v>91.6999</v>
      </c>
      <c r="T91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13" s="57">
        <f>(1000*CHOOSE(CONTROL!$C$42, 695, 695)*CHOOSE(CONTROL!$C$42, 0.5599, 0.5599)*CHOOSE(CONTROL!$C$42, 31, 31))/1000000</f>
        <v>12.063045499999998</v>
      </c>
      <c r="V913" s="57">
        <f>(1000*CHOOSE(CONTROL!$C$42, 500, 500)*CHOOSE(CONTROL!$C$42, 0.275, 0.275)*CHOOSE(CONTROL!$C$42, 31, 31))/1000000</f>
        <v>4.2625000000000002</v>
      </c>
      <c r="W913" s="57">
        <f>(1000*CHOOSE(CONTROL!$C$42, 0.1146, 0.1146)*CHOOSE(CONTROL!$C$42, 121.5, 121.5)*CHOOSE(CONTROL!$C$42, 31, 31))/1000000</f>
        <v>0.43164089999999994</v>
      </c>
      <c r="X913" s="57">
        <f>(31*0.1790888*100000/1000000)+(31*0.2374*100000/1000000)</f>
        <v>1.2911152800000001</v>
      </c>
      <c r="Y913" s="57"/>
      <c r="Z913" s="14"/>
      <c r="AA913" s="56"/>
      <c r="AB913" s="50">
        <f>(B913*122.58+C913*297.941+D913*89.177+E913*40.302+F913*40+G913*160+H913*0+I913*100+J913*300)/(122.58+297.941+89.177+40.302+0+40+160+100+300)</f>
        <v>95.47222743113042</v>
      </c>
      <c r="AC913" s="45">
        <f>(M913*'RAP TEMPLATE-GAS AVAILABILITY'!O912+N913*'RAP TEMPLATE-GAS AVAILABILITY'!P912+O913*'RAP TEMPLATE-GAS AVAILABILITY'!Q912+P913*'RAP TEMPLATE-GAS AVAILABILITY'!R912)/('RAP TEMPLATE-GAS AVAILABILITY'!O912+'RAP TEMPLATE-GAS AVAILABILITY'!P912+'RAP TEMPLATE-GAS AVAILABILITY'!Q912+'RAP TEMPLATE-GAS AVAILABILITY'!R912)</f>
        <v>93.569905035971232</v>
      </c>
    </row>
    <row r="914" spans="1:29" ht="15.75" x14ac:dyDescent="0.25">
      <c r="A914" s="32">
        <v>68727</v>
      </c>
      <c r="B914" s="14">
        <f>CHOOSE(CONTROL!$C$42, 97.139, 97.139) * CHOOSE(CONTROL!$C$21, $C$9, 100%, $E$9)</f>
        <v>97.138999999999996</v>
      </c>
      <c r="C914" s="14">
        <f>CHOOSE(CONTROL!$C$42, 97.1441, 97.1441) * CHOOSE(CONTROL!$C$21, $C$9, 100%, $E$9)</f>
        <v>97.144099999999995</v>
      </c>
      <c r="D914" s="14">
        <f>CHOOSE(CONTROL!$C$42, 97.2105, 97.2105) * CHOOSE(CONTROL!$C$21, $C$9, 100%, $E$9)</f>
        <v>97.210499999999996</v>
      </c>
      <c r="E914" s="14">
        <f>CHOOSE(CONTROL!$C$42, 97.2446, 97.2446) * CHOOSE(CONTROL!$C$21, $C$9, 100%, $E$9)</f>
        <v>97.244600000000005</v>
      </c>
      <c r="F914" s="14">
        <f>CHOOSE(CONTROL!$C$42, 97.1264, 97.1264)*CHOOSE(CONTROL!$C$21, $C$9, 100%, $E$9)</f>
        <v>97.126400000000004</v>
      </c>
      <c r="G914" s="14">
        <f>CHOOSE(CONTROL!$C$42, 97.1419, 97.1419)*CHOOSE(CONTROL!$C$21, $C$9, 100%, $E$9)</f>
        <v>97.141900000000007</v>
      </c>
      <c r="H914" s="14">
        <f>CHOOSE(CONTROL!$C$42, 97.2338, 97.2338) * CHOOSE(CONTROL!$C$21, $C$9, 100%, $E$9)</f>
        <v>97.233800000000002</v>
      </c>
      <c r="I914" s="14">
        <f>CHOOSE(CONTROL!$C$42, 97.4509, 97.4509)* CHOOSE(CONTROL!$C$21, $C$9, 100%, $E$9)</f>
        <v>97.450900000000004</v>
      </c>
      <c r="J914" s="14">
        <f>CHOOSE(CONTROL!$C$42, 97.1194, 97.1194)* CHOOSE(CONTROL!$C$21, $C$9, 100%, $E$9)</f>
        <v>97.119399999999999</v>
      </c>
      <c r="K914" s="53">
        <f>CHOOSE(CONTROL!$C$42, 97.447, 97.447) * CHOOSE(CONTROL!$C$21, $C$9, 100%, $E$9)</f>
        <v>97.447000000000003</v>
      </c>
      <c r="L914" s="14">
        <f>CHOOSE(CONTROL!$C$42, 97.8208, 97.8208) * CHOOSE(CONTROL!$C$21, $C$9, 100%, $E$9)</f>
        <v>97.820800000000006</v>
      </c>
      <c r="M914" s="14">
        <f>CHOOSE(CONTROL!$C$42, 95.1372, 95.1372) * CHOOSE(CONTROL!$C$21, $C$9, 100%, $E$9)</f>
        <v>95.137200000000007</v>
      </c>
      <c r="N914" s="14">
        <f>CHOOSE(CONTROL!$C$42, 95.1524, 95.1524) * CHOOSE(CONTROL!$C$21, $C$9, 100%, $E$9)</f>
        <v>95.1524</v>
      </c>
      <c r="O914" s="14">
        <f>CHOOSE(CONTROL!$C$42, 95.2492, 95.2492) * CHOOSE(CONTROL!$C$21, $C$9, 100%, $E$9)</f>
        <v>95.249200000000002</v>
      </c>
      <c r="P914" s="14">
        <f>CHOOSE(CONTROL!$C$42, 95.4558, 95.4558) * CHOOSE(CONTROL!$C$21, $C$9, 100%, $E$9)</f>
        <v>95.455799999999996</v>
      </c>
      <c r="Q914" s="14">
        <f>CHOOSE(CONTROL!$C$42, 95.8439, 95.8439) * CHOOSE(CONTROL!$C$21, $C$9, 100%, $E$9)</f>
        <v>95.843900000000005</v>
      </c>
      <c r="R914" s="14">
        <f>CHOOSE(CONTROL!$C$42, 96.6705, 96.6705) * CHOOSE(CONTROL!$C$21, $C$9, 100%, $E$9)</f>
        <v>96.670500000000004</v>
      </c>
      <c r="S914" s="14">
        <f>CHOOSE(CONTROL!$C$42, 93.3323, 93.3323) * CHOOSE(CONTROL!$C$21, $C$9, 100%, $E$9)</f>
        <v>93.332300000000004</v>
      </c>
      <c r="T914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14" s="57">
        <f>(1000*CHOOSE(CONTROL!$C$42, 695, 695)*CHOOSE(CONTROL!$C$42, 0.5599, 0.5599)*CHOOSE(CONTROL!$C$42, 29, 29))/1000000</f>
        <v>11.284784499999999</v>
      </c>
      <c r="V914" s="57">
        <f>(1000*CHOOSE(CONTROL!$C$42, 500, 500)*CHOOSE(CONTROL!$C$42, 0.275, 0.275)*CHOOSE(CONTROL!$C$42, 29, 29))/1000000</f>
        <v>3.9874999999999998</v>
      </c>
      <c r="W914" s="57">
        <f>(1000*CHOOSE(CONTROL!$C$42, 0.1146, 0.1146)*CHOOSE(CONTROL!$C$42, 121.5, 121.5)*CHOOSE(CONTROL!$C$42, 29, 29))/1000000</f>
        <v>0.40379309999999996</v>
      </c>
      <c r="X914" s="57">
        <f>(29*0.1790888*100000/1000000)+(29*0.2374*100000/1000000)</f>
        <v>1.2078175199999999</v>
      </c>
      <c r="Y914" s="57"/>
      <c r="Z914" s="14"/>
      <c r="AA914" s="56"/>
      <c r="AB914" s="50">
        <f>(B914*122.58+C914*297.941+D914*89.177+E914*40.302+F914*40+G914*160+H914*0+I914*100+J914*300)/(122.58+297.941+89.177+40.302+0+40+160+100+300)</f>
        <v>97.17154047460869</v>
      </c>
      <c r="AC914" s="45">
        <f>(M914*'RAP TEMPLATE-GAS AVAILABILITY'!O913+N914*'RAP TEMPLATE-GAS AVAILABILITY'!P913+O914*'RAP TEMPLATE-GAS AVAILABILITY'!Q913+P914*'RAP TEMPLATE-GAS AVAILABILITY'!R913)/('RAP TEMPLATE-GAS AVAILABILITY'!O913+'RAP TEMPLATE-GAS AVAILABILITY'!P913+'RAP TEMPLATE-GAS AVAILABILITY'!Q913+'RAP TEMPLATE-GAS AVAILABILITY'!R913)</f>
        <v>95.234679136690644</v>
      </c>
    </row>
    <row r="915" spans="1:29" ht="15.75" x14ac:dyDescent="0.25">
      <c r="A915" s="32">
        <v>68758</v>
      </c>
      <c r="B915" s="14">
        <f>CHOOSE(CONTROL!$C$42, 94.3814, 94.3814) * CHOOSE(CONTROL!$C$21, $C$9, 100%, $E$9)</f>
        <v>94.381399999999999</v>
      </c>
      <c r="C915" s="14">
        <f>CHOOSE(CONTROL!$C$42, 94.3865, 94.3865) * CHOOSE(CONTROL!$C$21, $C$9, 100%, $E$9)</f>
        <v>94.386499999999998</v>
      </c>
      <c r="D915" s="14">
        <f>CHOOSE(CONTROL!$C$42, 94.4529, 94.4529) * CHOOSE(CONTROL!$C$21, $C$9, 100%, $E$9)</f>
        <v>94.4529</v>
      </c>
      <c r="E915" s="14">
        <f>CHOOSE(CONTROL!$C$42, 94.487, 94.487) * CHOOSE(CONTROL!$C$21, $C$9, 100%, $E$9)</f>
        <v>94.486999999999995</v>
      </c>
      <c r="F915" s="14">
        <f>CHOOSE(CONTROL!$C$42, 94.3684, 94.3684)*CHOOSE(CONTROL!$C$21, $C$9, 100%, $E$9)</f>
        <v>94.368399999999994</v>
      </c>
      <c r="G915" s="14">
        <f>CHOOSE(CONTROL!$C$42, 94.3838, 94.3838)*CHOOSE(CONTROL!$C$21, $C$9, 100%, $E$9)</f>
        <v>94.383799999999994</v>
      </c>
      <c r="H915" s="14">
        <f>CHOOSE(CONTROL!$C$42, 94.4762, 94.4762) * CHOOSE(CONTROL!$C$21, $C$9, 100%, $E$9)</f>
        <v>94.476200000000006</v>
      </c>
      <c r="I915" s="14">
        <f>CHOOSE(CONTROL!$C$42, 94.6846, 94.6846)* CHOOSE(CONTROL!$C$21, $C$9, 100%, $E$9)</f>
        <v>94.684600000000003</v>
      </c>
      <c r="J915" s="14">
        <f>CHOOSE(CONTROL!$C$42, 94.3614, 94.3614)* CHOOSE(CONTROL!$C$21, $C$9, 100%, $E$9)</f>
        <v>94.361400000000003</v>
      </c>
      <c r="K915" s="53">
        <f>CHOOSE(CONTROL!$C$42, 94.6808, 94.6808) * CHOOSE(CONTROL!$C$21, $C$9, 100%, $E$9)</f>
        <v>94.680800000000005</v>
      </c>
      <c r="L915" s="14">
        <f>CHOOSE(CONTROL!$C$42, 95.0632, 95.0632) * CHOOSE(CONTROL!$C$21, $C$9, 100%, $E$9)</f>
        <v>95.063199999999995</v>
      </c>
      <c r="M915" s="14">
        <f>CHOOSE(CONTROL!$C$42, 92.4357, 92.4357) * CHOOSE(CONTROL!$C$21, $C$9, 100%, $E$9)</f>
        <v>92.435699999999997</v>
      </c>
      <c r="N915" s="14">
        <f>CHOOSE(CONTROL!$C$42, 92.4508, 92.4508) * CHOOSE(CONTROL!$C$21, $C$9, 100%, $E$9)</f>
        <v>92.450800000000001</v>
      </c>
      <c r="O915" s="14">
        <f>CHOOSE(CONTROL!$C$42, 92.5482, 92.5482) * CHOOSE(CONTROL!$C$21, $C$9, 100%, $E$9)</f>
        <v>92.548199999999994</v>
      </c>
      <c r="P915" s="14">
        <f>CHOOSE(CONTROL!$C$42, 92.7464, 92.7464) * CHOOSE(CONTROL!$C$21, $C$9, 100%, $E$9)</f>
        <v>92.746399999999994</v>
      </c>
      <c r="Q915" s="14">
        <f>CHOOSE(CONTROL!$C$42, 93.1429, 93.1429) * CHOOSE(CONTROL!$C$21, $C$9, 100%, $E$9)</f>
        <v>93.142899999999997</v>
      </c>
      <c r="R915" s="14">
        <f>CHOOSE(CONTROL!$C$42, 93.9627, 93.9627) * CHOOSE(CONTROL!$C$21, $C$9, 100%, $E$9)</f>
        <v>93.962699999999998</v>
      </c>
      <c r="S915" s="14">
        <f>CHOOSE(CONTROL!$C$42, 90.6826, 90.6826) * CHOOSE(CONTROL!$C$21, $C$9, 100%, $E$9)</f>
        <v>90.682599999999994</v>
      </c>
      <c r="T91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15" s="57">
        <f>(1000*CHOOSE(CONTROL!$C$42, 695, 695)*CHOOSE(CONTROL!$C$42, 0.5599, 0.5599)*CHOOSE(CONTROL!$C$42, 31, 31))/1000000</f>
        <v>12.063045499999998</v>
      </c>
      <c r="V915" s="57">
        <f>(1000*CHOOSE(CONTROL!$C$42, 500, 500)*CHOOSE(CONTROL!$C$42, 0.275, 0.275)*CHOOSE(CONTROL!$C$42, 31, 31))/1000000</f>
        <v>4.2625000000000002</v>
      </c>
      <c r="W915" s="57">
        <f>(1000*CHOOSE(CONTROL!$C$42, 0.1146, 0.1146)*CHOOSE(CONTROL!$C$42, 121.5, 121.5)*CHOOSE(CONTROL!$C$42, 31, 31))/1000000</f>
        <v>0.43164089999999994</v>
      </c>
      <c r="X915" s="57">
        <f>(31*0.1790888*100000/1000000)+(31*0.2374*100000/1000000)</f>
        <v>1.2911152800000001</v>
      </c>
      <c r="Y915" s="57"/>
      <c r="Z915" s="14"/>
      <c r="AA915" s="56"/>
      <c r="AB915" s="50">
        <f>(B915*122.58+C915*297.941+D915*89.177+E915*40.302+F915*40+G915*160+H915*0+I915*100+J915*300)/(122.58+297.941+89.177+40.302+0+40+160+100+300)</f>
        <v>94.412996126782616</v>
      </c>
      <c r="AC915" s="45">
        <f>(M915*'RAP TEMPLATE-GAS AVAILABILITY'!O914+N915*'RAP TEMPLATE-GAS AVAILABILITY'!P914+O915*'RAP TEMPLATE-GAS AVAILABILITY'!Q914+P915*'RAP TEMPLATE-GAS AVAILABILITY'!R914)/('RAP TEMPLATE-GAS AVAILABILITY'!O914+'RAP TEMPLATE-GAS AVAILABILITY'!P914+'RAP TEMPLATE-GAS AVAILABILITY'!Q914+'RAP TEMPLATE-GAS AVAILABILITY'!R914)</f>
        <v>92.532263309352516</v>
      </c>
    </row>
    <row r="916" spans="1:29" ht="15.75" x14ac:dyDescent="0.25">
      <c r="A916" s="32">
        <v>68788</v>
      </c>
      <c r="B916" s="14">
        <f>CHOOSE(CONTROL!$C$42, 94.1, 94.1) * CHOOSE(CONTROL!$C$21, $C$9, 100%, $E$9)</f>
        <v>94.1</v>
      </c>
      <c r="C916" s="14">
        <f>CHOOSE(CONTROL!$C$42, 94.1045, 94.1045) * CHOOSE(CONTROL!$C$21, $C$9, 100%, $E$9)</f>
        <v>94.104500000000002</v>
      </c>
      <c r="D916" s="14">
        <f>CHOOSE(CONTROL!$C$42, 94.3116, 94.3116) * CHOOSE(CONTROL!$C$21, $C$9, 100%, $E$9)</f>
        <v>94.311599999999999</v>
      </c>
      <c r="E916" s="14">
        <f>CHOOSE(CONTROL!$C$42, 94.3437, 94.3437) * CHOOSE(CONTROL!$C$21, $C$9, 100%, $E$9)</f>
        <v>94.343699999999998</v>
      </c>
      <c r="F916" s="14">
        <f>CHOOSE(CONTROL!$C$42, 94.0819, 94.0819)*CHOOSE(CONTROL!$C$21, $C$9, 100%, $E$9)</f>
        <v>94.081900000000005</v>
      </c>
      <c r="G916" s="14">
        <f>CHOOSE(CONTROL!$C$42, 94.0971, 94.0971)*CHOOSE(CONTROL!$C$21, $C$9, 100%, $E$9)</f>
        <v>94.097099999999998</v>
      </c>
      <c r="H916" s="14">
        <f>CHOOSE(CONTROL!$C$42, 94.3335, 94.3335) * CHOOSE(CONTROL!$C$21, $C$9, 100%, $E$9)</f>
        <v>94.333500000000001</v>
      </c>
      <c r="I916" s="14">
        <f>CHOOSE(CONTROL!$C$42, 94.4016, 94.4016)* CHOOSE(CONTROL!$C$21, $C$9, 100%, $E$9)</f>
        <v>94.401600000000002</v>
      </c>
      <c r="J916" s="14">
        <f>CHOOSE(CONTROL!$C$42, 94.0749, 94.0749)* CHOOSE(CONTROL!$C$21, $C$9, 100%, $E$9)</f>
        <v>94.0749</v>
      </c>
      <c r="K916" s="53">
        <f>CHOOSE(CONTROL!$C$42, 94.3977, 94.3977) * CHOOSE(CONTROL!$C$21, $C$9, 100%, $E$9)</f>
        <v>94.3977</v>
      </c>
      <c r="L916" s="14">
        <f>CHOOSE(CONTROL!$C$42, 94.9205, 94.9205) * CHOOSE(CONTROL!$C$21, $C$9, 100%, $E$9)</f>
        <v>94.920500000000004</v>
      </c>
      <c r="M916" s="14">
        <f>CHOOSE(CONTROL!$C$42, 92.1551, 92.1551) * CHOOSE(CONTROL!$C$21, $C$9, 100%, $E$9)</f>
        <v>92.155100000000004</v>
      </c>
      <c r="N916" s="14">
        <f>CHOOSE(CONTROL!$C$42, 92.17, 92.17) * CHOOSE(CONTROL!$C$21, $C$9, 100%, $E$9)</f>
        <v>92.17</v>
      </c>
      <c r="O916" s="14">
        <f>CHOOSE(CONTROL!$C$42, 92.4084, 92.4084) * CHOOSE(CONTROL!$C$21, $C$9, 100%, $E$9)</f>
        <v>92.4084</v>
      </c>
      <c r="P916" s="14">
        <f>CHOOSE(CONTROL!$C$42, 92.4692, 92.4692) * CHOOSE(CONTROL!$C$21, $C$9, 100%, $E$9)</f>
        <v>92.469200000000001</v>
      </c>
      <c r="Q916" s="14">
        <f>CHOOSE(CONTROL!$C$42, 93.0031, 93.0031) * CHOOSE(CONTROL!$C$21, $C$9, 100%, $E$9)</f>
        <v>93.003100000000003</v>
      </c>
      <c r="R916" s="14">
        <f>CHOOSE(CONTROL!$C$42, 93.8226, 93.8226) * CHOOSE(CONTROL!$C$21, $C$9, 100%, $E$9)</f>
        <v>93.822599999999994</v>
      </c>
      <c r="S916" s="14">
        <f>CHOOSE(CONTROL!$C$42, 90.4114, 90.4114) * CHOOSE(CONTROL!$C$21, $C$9, 100%, $E$9)</f>
        <v>90.4114</v>
      </c>
      <c r="T91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16" s="57">
        <f>(1000*CHOOSE(CONTROL!$C$42, 695, 695)*CHOOSE(CONTROL!$C$42, 0.5599, 0.5599)*CHOOSE(CONTROL!$C$42, 30, 30))/1000000</f>
        <v>11.673914999999997</v>
      </c>
      <c r="V916" s="57">
        <f>(1000*CHOOSE(CONTROL!$C$42, 500, 500)*CHOOSE(CONTROL!$C$42, 0.275, 0.275)*CHOOSE(CONTROL!$C$42, 30, 30))/1000000</f>
        <v>4.125</v>
      </c>
      <c r="W916" s="57">
        <f>(1000*CHOOSE(CONTROL!$C$42, 0.1146, 0.1146)*CHOOSE(CONTROL!$C$42, 121.5, 121.5)*CHOOSE(CONTROL!$C$42, 30, 30))/1000000</f>
        <v>0.417717</v>
      </c>
      <c r="X916" s="57">
        <f>(30*0.1790888*245000/1000000)+(30*0.2374*100000/1000000)</f>
        <v>2.0285026799999999</v>
      </c>
      <c r="Y916" s="57"/>
      <c r="Z916" s="14"/>
      <c r="AA916" s="56"/>
      <c r="AB916" s="50">
        <f>(B916*141.293+C916*267.993+D916*115.016+E916*89.698+F916*40+G916*185+H916*0+I916*100+J916*300)/(141.293+267.993+115.016+89.698+0+40+185+100+300)</f>
        <v>94.155506260451972</v>
      </c>
      <c r="AC916" s="45">
        <f>(M916*'RAP TEMPLATE-GAS AVAILABILITY'!O915+N916*'RAP TEMPLATE-GAS AVAILABILITY'!P915+O916*'RAP TEMPLATE-GAS AVAILABILITY'!Q915+P916*'RAP TEMPLATE-GAS AVAILABILITY'!R915)/('RAP TEMPLATE-GAS AVAILABILITY'!O915+'RAP TEMPLATE-GAS AVAILABILITY'!P915+'RAP TEMPLATE-GAS AVAILABILITY'!Q915+'RAP TEMPLATE-GAS AVAILABILITY'!R915)</f>
        <v>92.315956834532372</v>
      </c>
    </row>
    <row r="917" spans="1:29" ht="15.75" x14ac:dyDescent="0.25">
      <c r="A917" s="32">
        <v>68819</v>
      </c>
      <c r="B917" s="14">
        <f>CHOOSE(CONTROL!$C$42, 94.9319, 94.9319) * CHOOSE(CONTROL!$C$21, $C$9, 100%, $E$9)</f>
        <v>94.931899999999999</v>
      </c>
      <c r="C917" s="14">
        <f>CHOOSE(CONTROL!$C$42, 94.9399, 94.9399) * CHOOSE(CONTROL!$C$21, $C$9, 100%, $E$9)</f>
        <v>94.939899999999994</v>
      </c>
      <c r="D917" s="14">
        <f>CHOOSE(CONTROL!$C$42, 95.1438, 95.1438) * CHOOSE(CONTROL!$C$21, $C$9, 100%, $E$9)</f>
        <v>95.143799999999999</v>
      </c>
      <c r="E917" s="14">
        <f>CHOOSE(CONTROL!$C$42, 95.1753, 95.1753) * CHOOSE(CONTROL!$C$21, $C$9, 100%, $E$9)</f>
        <v>95.175299999999993</v>
      </c>
      <c r="F917" s="14">
        <f>CHOOSE(CONTROL!$C$42, 94.9126, 94.9126)*CHOOSE(CONTROL!$C$21, $C$9, 100%, $E$9)</f>
        <v>94.912599999999998</v>
      </c>
      <c r="G917" s="14">
        <f>CHOOSE(CONTROL!$C$42, 94.9283, 94.9283)*CHOOSE(CONTROL!$C$21, $C$9, 100%, $E$9)</f>
        <v>94.928299999999993</v>
      </c>
      <c r="H917" s="14">
        <f>CHOOSE(CONTROL!$C$42, 95.1639, 95.1639) * CHOOSE(CONTROL!$C$21, $C$9, 100%, $E$9)</f>
        <v>95.163899999999998</v>
      </c>
      <c r="I917" s="14">
        <f>CHOOSE(CONTROL!$C$42, 95.2346, 95.2346)* CHOOSE(CONTROL!$C$21, $C$9, 100%, $E$9)</f>
        <v>95.2346</v>
      </c>
      <c r="J917" s="14">
        <f>CHOOSE(CONTROL!$C$42, 94.9056, 94.9056)* CHOOSE(CONTROL!$C$21, $C$9, 100%, $E$9)</f>
        <v>94.905600000000007</v>
      </c>
      <c r="K917" s="53">
        <f>CHOOSE(CONTROL!$C$42, 95.2307, 95.2307) * CHOOSE(CONTROL!$C$21, $C$9, 100%, $E$9)</f>
        <v>95.230699999999999</v>
      </c>
      <c r="L917" s="14">
        <f>CHOOSE(CONTROL!$C$42, 95.7509, 95.7509) * CHOOSE(CONTROL!$C$21, $C$9, 100%, $E$9)</f>
        <v>95.750900000000001</v>
      </c>
      <c r="M917" s="14">
        <f>CHOOSE(CONTROL!$C$42, 92.9688, 92.9688) * CHOOSE(CONTROL!$C$21, $C$9, 100%, $E$9)</f>
        <v>92.968800000000002</v>
      </c>
      <c r="N917" s="14">
        <f>CHOOSE(CONTROL!$C$42, 92.9841, 92.9841) * CHOOSE(CONTROL!$C$21, $C$9, 100%, $E$9)</f>
        <v>92.984099999999998</v>
      </c>
      <c r="O917" s="14">
        <f>CHOOSE(CONTROL!$C$42, 93.2218, 93.2218) * CHOOSE(CONTROL!$C$21, $C$9, 100%, $E$9)</f>
        <v>93.221800000000002</v>
      </c>
      <c r="P917" s="14">
        <f>CHOOSE(CONTROL!$C$42, 93.2851, 93.2851) * CHOOSE(CONTROL!$C$21, $C$9, 100%, $E$9)</f>
        <v>93.2851</v>
      </c>
      <c r="Q917" s="14">
        <f>CHOOSE(CONTROL!$C$42, 93.8165, 93.8165) * CHOOSE(CONTROL!$C$21, $C$9, 100%, $E$9)</f>
        <v>93.816500000000005</v>
      </c>
      <c r="R917" s="14">
        <f>CHOOSE(CONTROL!$C$42, 94.638, 94.638) * CHOOSE(CONTROL!$C$21, $C$9, 100%, $E$9)</f>
        <v>94.638000000000005</v>
      </c>
      <c r="S917" s="14">
        <f>CHOOSE(CONTROL!$C$42, 91.2094, 91.2094) * CHOOSE(CONTROL!$C$21, $C$9, 100%, $E$9)</f>
        <v>91.209400000000002</v>
      </c>
      <c r="T91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17" s="57">
        <f>(1000*CHOOSE(CONTROL!$C$42, 695, 695)*CHOOSE(CONTROL!$C$42, 0.5599, 0.5599)*CHOOSE(CONTROL!$C$42, 31, 31))/1000000</f>
        <v>12.063045499999998</v>
      </c>
      <c r="V917" s="57">
        <f>(1000*CHOOSE(CONTROL!$C$42, 500, 500)*CHOOSE(CONTROL!$C$42, 0.275, 0.275)*CHOOSE(CONTROL!$C$42, 31, 31))/1000000</f>
        <v>4.2625000000000002</v>
      </c>
      <c r="W917" s="57">
        <f>(1000*CHOOSE(CONTROL!$C$42, 0.1146, 0.1146)*CHOOSE(CONTROL!$C$42, 121.5, 121.5)*CHOOSE(CONTROL!$C$42, 31, 31))/1000000</f>
        <v>0.43164089999999994</v>
      </c>
      <c r="X917" s="57">
        <f>(31*0.1790888*245000/1000000)+(31*0.2374*100000/1000000)</f>
        <v>2.0961194359999999</v>
      </c>
      <c r="Y917" s="57"/>
      <c r="Z917" s="14"/>
      <c r="AA917" s="56"/>
      <c r="AB917" s="50">
        <f>(B917*194.205+C917*267.466+D917*133.845+E917*53.484+F917*40+G917*185+H917*0+I917*100+J917*300)/(194.205+267.466+133.845+53.484+0+40+185+100+300)</f>
        <v>94.982497715149137</v>
      </c>
      <c r="AC917" s="45">
        <f>(M917*'RAP TEMPLATE-GAS AVAILABILITY'!O916+N917*'RAP TEMPLATE-GAS AVAILABILITY'!P916+O917*'RAP TEMPLATE-GAS AVAILABILITY'!Q916+P917*'RAP TEMPLATE-GAS AVAILABILITY'!R916)/('RAP TEMPLATE-GAS AVAILABILITY'!O916+'RAP TEMPLATE-GAS AVAILABILITY'!P916+'RAP TEMPLATE-GAS AVAILABILITY'!Q916+'RAP TEMPLATE-GAS AVAILABILITY'!R916)</f>
        <v>93.129860431654677</v>
      </c>
    </row>
    <row r="918" spans="1:29" ht="15.75" x14ac:dyDescent="0.25">
      <c r="A918" s="32">
        <v>68849</v>
      </c>
      <c r="B918" s="14">
        <f>CHOOSE(CONTROL!$C$42, 97.6244, 97.6244) * CHOOSE(CONTROL!$C$21, $C$9, 100%, $E$9)</f>
        <v>97.624399999999994</v>
      </c>
      <c r="C918" s="14">
        <f>CHOOSE(CONTROL!$C$42, 97.6324, 97.6324) * CHOOSE(CONTROL!$C$21, $C$9, 100%, $E$9)</f>
        <v>97.632400000000004</v>
      </c>
      <c r="D918" s="14">
        <f>CHOOSE(CONTROL!$C$42, 97.8364, 97.8364) * CHOOSE(CONTROL!$C$21, $C$9, 100%, $E$9)</f>
        <v>97.836399999999998</v>
      </c>
      <c r="E918" s="14">
        <f>CHOOSE(CONTROL!$C$42, 97.8678, 97.8678) * CHOOSE(CONTROL!$C$21, $C$9, 100%, $E$9)</f>
        <v>97.867800000000003</v>
      </c>
      <c r="F918" s="14">
        <f>CHOOSE(CONTROL!$C$42, 97.6056, 97.6056)*CHOOSE(CONTROL!$C$21, $C$9, 100%, $E$9)</f>
        <v>97.605599999999995</v>
      </c>
      <c r="G918" s="14">
        <f>CHOOSE(CONTROL!$C$42, 97.6214, 97.6214)*CHOOSE(CONTROL!$C$21, $C$9, 100%, $E$9)</f>
        <v>97.621399999999994</v>
      </c>
      <c r="H918" s="14">
        <f>CHOOSE(CONTROL!$C$42, 97.8565, 97.8565) * CHOOSE(CONTROL!$C$21, $C$9, 100%, $E$9)</f>
        <v>97.856499999999997</v>
      </c>
      <c r="I918" s="14">
        <f>CHOOSE(CONTROL!$C$42, 97.9356, 97.9356)* CHOOSE(CONTROL!$C$21, $C$9, 100%, $E$9)</f>
        <v>97.935599999999994</v>
      </c>
      <c r="J918" s="14">
        <f>CHOOSE(CONTROL!$C$42, 97.5986, 97.5986)* CHOOSE(CONTROL!$C$21, $C$9, 100%, $E$9)</f>
        <v>97.598600000000005</v>
      </c>
      <c r="K918" s="53">
        <f>CHOOSE(CONTROL!$C$42, 97.9317, 97.9317) * CHOOSE(CONTROL!$C$21, $C$9, 100%, $E$9)</f>
        <v>97.931700000000006</v>
      </c>
      <c r="L918" s="14">
        <f>CHOOSE(CONTROL!$C$42, 98.4435, 98.4435) * CHOOSE(CONTROL!$C$21, $C$9, 100%, $E$9)</f>
        <v>98.4435</v>
      </c>
      <c r="M918" s="14">
        <f>CHOOSE(CONTROL!$C$42, 95.6065, 95.6065) * CHOOSE(CONTROL!$C$21, $C$9, 100%, $E$9)</f>
        <v>95.606499999999997</v>
      </c>
      <c r="N918" s="14">
        <f>CHOOSE(CONTROL!$C$42, 95.622, 95.622) * CHOOSE(CONTROL!$C$21, $C$9, 100%, $E$9)</f>
        <v>95.622</v>
      </c>
      <c r="O918" s="14">
        <f>CHOOSE(CONTROL!$C$42, 95.8592, 95.8592) * CHOOSE(CONTROL!$C$21, $C$9, 100%, $E$9)</f>
        <v>95.859200000000001</v>
      </c>
      <c r="P918" s="14">
        <f>CHOOSE(CONTROL!$C$42, 95.9306, 95.9306) * CHOOSE(CONTROL!$C$21, $C$9, 100%, $E$9)</f>
        <v>95.930599999999998</v>
      </c>
      <c r="Q918" s="14">
        <f>CHOOSE(CONTROL!$C$42, 96.4539, 96.4539) * CHOOSE(CONTROL!$C$21, $C$9, 100%, $E$9)</f>
        <v>96.453900000000004</v>
      </c>
      <c r="R918" s="14">
        <f>CHOOSE(CONTROL!$C$42, 97.282, 97.282) * CHOOSE(CONTROL!$C$21, $C$9, 100%, $E$9)</f>
        <v>97.281999999999996</v>
      </c>
      <c r="S918" s="14">
        <f>CHOOSE(CONTROL!$C$42, 93.7967, 93.7967) * CHOOSE(CONTROL!$C$21, $C$9, 100%, $E$9)</f>
        <v>93.796700000000001</v>
      </c>
      <c r="T91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18" s="57">
        <f>(1000*CHOOSE(CONTROL!$C$42, 695, 695)*CHOOSE(CONTROL!$C$42, 0.5599, 0.5599)*CHOOSE(CONTROL!$C$42, 30, 30))/1000000</f>
        <v>11.673914999999997</v>
      </c>
      <c r="V918" s="57">
        <f>(1000*CHOOSE(CONTROL!$C$42, 500, 500)*CHOOSE(CONTROL!$C$42, 0.275, 0.275)*CHOOSE(CONTROL!$C$42, 30, 30))/1000000</f>
        <v>4.125</v>
      </c>
      <c r="W918" s="57">
        <f>(1000*CHOOSE(CONTROL!$C$42, 0.1146, 0.1146)*CHOOSE(CONTROL!$C$42, 121.5, 121.5)*CHOOSE(CONTROL!$C$42, 30, 30))/1000000</f>
        <v>0.417717</v>
      </c>
      <c r="X918" s="57">
        <f>(30*0.1790888*245000/1000000)+(30*0.2374*100000/1000000)</f>
        <v>2.0285026799999999</v>
      </c>
      <c r="Y918" s="57"/>
      <c r="Z918" s="14"/>
      <c r="AA918" s="56"/>
      <c r="AB918" s="50">
        <f>(B918*194.205+C918*267.466+D918*133.845+E918*53.484+F918*40+G918*185+H918*0+I918*100+J918*300)/(194.205+267.466+133.845+53.484+0+40+185+100+300)</f>
        <v>97.67589597613815</v>
      </c>
      <c r="AC918" s="45">
        <f>(M918*'RAP TEMPLATE-GAS AVAILABILITY'!O917+N918*'RAP TEMPLATE-GAS AVAILABILITY'!P917+O918*'RAP TEMPLATE-GAS AVAILABILITY'!Q917+P918*'RAP TEMPLATE-GAS AVAILABILITY'!R917)/('RAP TEMPLATE-GAS AVAILABILITY'!O917+'RAP TEMPLATE-GAS AVAILABILITY'!P917+'RAP TEMPLATE-GAS AVAILABILITY'!Q917+'RAP TEMPLATE-GAS AVAILABILITY'!R917)</f>
        <v>95.768558273381302</v>
      </c>
    </row>
    <row r="919" spans="1:29" ht="15.75" x14ac:dyDescent="0.25">
      <c r="A919" s="32">
        <v>68880</v>
      </c>
      <c r="B919" s="14">
        <f>CHOOSE(CONTROL!$C$42, 95.7517, 95.7517) * CHOOSE(CONTROL!$C$21, $C$9, 100%, $E$9)</f>
        <v>95.7517</v>
      </c>
      <c r="C919" s="14">
        <f>CHOOSE(CONTROL!$C$42, 95.7598, 95.7598) * CHOOSE(CONTROL!$C$21, $C$9, 100%, $E$9)</f>
        <v>95.759799999999998</v>
      </c>
      <c r="D919" s="14">
        <f>CHOOSE(CONTROL!$C$42, 95.9637, 95.9637) * CHOOSE(CONTROL!$C$21, $C$9, 100%, $E$9)</f>
        <v>95.963700000000003</v>
      </c>
      <c r="E919" s="14">
        <f>CHOOSE(CONTROL!$C$42, 95.9952, 95.9952) * CHOOSE(CONTROL!$C$21, $C$9, 100%, $E$9)</f>
        <v>95.995199999999997</v>
      </c>
      <c r="F919" s="14">
        <f>CHOOSE(CONTROL!$C$42, 95.7334, 95.7334)*CHOOSE(CONTROL!$C$21, $C$9, 100%, $E$9)</f>
        <v>95.733400000000003</v>
      </c>
      <c r="G919" s="14">
        <f>CHOOSE(CONTROL!$C$42, 95.7493, 95.7493)*CHOOSE(CONTROL!$C$21, $C$9, 100%, $E$9)</f>
        <v>95.749300000000005</v>
      </c>
      <c r="H919" s="14">
        <f>CHOOSE(CONTROL!$C$42, 95.9838, 95.9838) * CHOOSE(CONTROL!$C$21, $C$9, 100%, $E$9)</f>
        <v>95.983800000000002</v>
      </c>
      <c r="I919" s="14">
        <f>CHOOSE(CONTROL!$C$42, 96.0571, 96.0571)* CHOOSE(CONTROL!$C$21, $C$9, 100%, $E$9)</f>
        <v>96.057100000000005</v>
      </c>
      <c r="J919" s="14">
        <f>CHOOSE(CONTROL!$C$42, 95.7264, 95.7264)* CHOOSE(CONTROL!$C$21, $C$9, 100%, $E$9)</f>
        <v>95.726399999999998</v>
      </c>
      <c r="K919" s="53">
        <f>CHOOSE(CONTROL!$C$42, 96.0532, 96.0532) * CHOOSE(CONTROL!$C$21, $C$9, 100%, $E$9)</f>
        <v>96.053200000000004</v>
      </c>
      <c r="L919" s="14">
        <f>CHOOSE(CONTROL!$C$42, 96.5708, 96.5708) * CHOOSE(CONTROL!$C$21, $C$9, 100%, $E$9)</f>
        <v>96.570800000000006</v>
      </c>
      <c r="M919" s="14">
        <f>CHOOSE(CONTROL!$C$42, 93.7727, 93.7727) * CHOOSE(CONTROL!$C$21, $C$9, 100%, $E$9)</f>
        <v>93.7727</v>
      </c>
      <c r="N919" s="14">
        <f>CHOOSE(CONTROL!$C$42, 93.7883, 93.7883) * CHOOSE(CONTROL!$C$21, $C$9, 100%, $E$9)</f>
        <v>93.788300000000007</v>
      </c>
      <c r="O919" s="14">
        <f>CHOOSE(CONTROL!$C$42, 94.0249, 94.0249) * CHOOSE(CONTROL!$C$21, $C$9, 100%, $E$9)</f>
        <v>94.024900000000002</v>
      </c>
      <c r="P919" s="14">
        <f>CHOOSE(CONTROL!$C$42, 94.0907, 94.0907) * CHOOSE(CONTROL!$C$21, $C$9, 100%, $E$9)</f>
        <v>94.090699999999998</v>
      </c>
      <c r="Q919" s="14">
        <f>CHOOSE(CONTROL!$C$42, 94.6196, 94.6196) * CHOOSE(CONTROL!$C$21, $C$9, 100%, $E$9)</f>
        <v>94.619600000000005</v>
      </c>
      <c r="R919" s="14">
        <f>CHOOSE(CONTROL!$C$42, 95.4431, 95.4431) * CHOOSE(CONTROL!$C$21, $C$9, 100%, $E$9)</f>
        <v>95.443100000000001</v>
      </c>
      <c r="S919" s="14">
        <f>CHOOSE(CONTROL!$C$42, 91.9972, 91.9972) * CHOOSE(CONTROL!$C$21, $C$9, 100%, $E$9)</f>
        <v>91.997200000000007</v>
      </c>
      <c r="T91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19" s="57">
        <f>(1000*CHOOSE(CONTROL!$C$42, 695, 695)*CHOOSE(CONTROL!$C$42, 0.5599, 0.5599)*CHOOSE(CONTROL!$C$42, 31, 31))/1000000</f>
        <v>12.063045499999998</v>
      </c>
      <c r="V919" s="57">
        <f>(1000*CHOOSE(CONTROL!$C$42, 500, 500)*CHOOSE(CONTROL!$C$42, 0.275, 0.275)*CHOOSE(CONTROL!$C$42, 31, 31))/1000000</f>
        <v>4.2625000000000002</v>
      </c>
      <c r="W919" s="57">
        <f>(1000*CHOOSE(CONTROL!$C$42, 0.1146, 0.1146)*CHOOSE(CONTROL!$C$42, 121.5, 121.5)*CHOOSE(CONTROL!$C$42, 31, 31))/1000000</f>
        <v>0.43164089999999994</v>
      </c>
      <c r="X919" s="57">
        <f>(31*0.1790888*245000/1000000)+(31*0.2374*100000/1000000)</f>
        <v>2.0961194359999999</v>
      </c>
      <c r="Y919" s="57"/>
      <c r="Z919" s="14"/>
      <c r="AA919" s="56"/>
      <c r="AB919" s="50">
        <f>(B919*194.205+C919*267.466+D919*133.845+E919*53.484+F919*40+G919*185+H919*0+I919*100+J919*300)/(194.205+267.466+133.845+53.484+0+40+185+100+300)</f>
        <v>95.8029864745683</v>
      </c>
      <c r="AC919" s="45">
        <f>(M919*'RAP TEMPLATE-GAS AVAILABILITY'!O918+N919*'RAP TEMPLATE-GAS AVAILABILITY'!P918+O919*'RAP TEMPLATE-GAS AVAILABILITY'!Q918+P919*'RAP TEMPLATE-GAS AVAILABILITY'!R918)/('RAP TEMPLATE-GAS AVAILABILITY'!O918+'RAP TEMPLATE-GAS AVAILABILITY'!P918+'RAP TEMPLATE-GAS AVAILABILITY'!Q918+'RAP TEMPLATE-GAS AVAILABILITY'!R918)</f>
        <v>93.933659712230209</v>
      </c>
    </row>
    <row r="920" spans="1:29" ht="15.75" x14ac:dyDescent="0.25">
      <c r="A920" s="32">
        <v>68911</v>
      </c>
      <c r="B920" s="14">
        <f>CHOOSE(CONTROL!$C$42, 91.0227, 91.0227) * CHOOSE(CONTROL!$C$21, $C$9, 100%, $E$9)</f>
        <v>91.0227</v>
      </c>
      <c r="C920" s="14">
        <f>CHOOSE(CONTROL!$C$42, 91.0307, 91.0307) * CHOOSE(CONTROL!$C$21, $C$9, 100%, $E$9)</f>
        <v>91.030699999999996</v>
      </c>
      <c r="D920" s="14">
        <f>CHOOSE(CONTROL!$C$42, 91.2346, 91.2346) * CHOOSE(CONTROL!$C$21, $C$9, 100%, $E$9)</f>
        <v>91.2346</v>
      </c>
      <c r="E920" s="14">
        <f>CHOOSE(CONTROL!$C$42, 91.2661, 91.2661) * CHOOSE(CONTROL!$C$21, $C$9, 100%, $E$9)</f>
        <v>91.266099999999994</v>
      </c>
      <c r="F920" s="14">
        <f>CHOOSE(CONTROL!$C$42, 91.0045, 91.0045)*CHOOSE(CONTROL!$C$21, $C$9, 100%, $E$9)</f>
        <v>91.004499999999993</v>
      </c>
      <c r="G920" s="14">
        <f>CHOOSE(CONTROL!$C$42, 91.0205, 91.0205)*CHOOSE(CONTROL!$C$21, $C$9, 100%, $E$9)</f>
        <v>91.020499999999998</v>
      </c>
      <c r="H920" s="14">
        <f>CHOOSE(CONTROL!$C$42, 91.2547, 91.2547) * CHOOSE(CONTROL!$C$21, $C$9, 100%, $E$9)</f>
        <v>91.2547</v>
      </c>
      <c r="I920" s="14">
        <f>CHOOSE(CONTROL!$C$42, 91.3132, 91.3132)* CHOOSE(CONTROL!$C$21, $C$9, 100%, $E$9)</f>
        <v>91.313199999999995</v>
      </c>
      <c r="J920" s="14">
        <f>CHOOSE(CONTROL!$C$42, 90.9975, 90.9975)* CHOOSE(CONTROL!$C$21, $C$9, 100%, $E$9)</f>
        <v>90.997500000000002</v>
      </c>
      <c r="K920" s="53">
        <f>CHOOSE(CONTROL!$C$42, 91.3093, 91.3093) * CHOOSE(CONTROL!$C$21, $C$9, 100%, $E$9)</f>
        <v>91.309299999999993</v>
      </c>
      <c r="L920" s="14">
        <f>CHOOSE(CONTROL!$C$42, 91.8417, 91.8417) * CHOOSE(CONTROL!$C$21, $C$9, 100%, $E$9)</f>
        <v>91.841700000000003</v>
      </c>
      <c r="M920" s="14">
        <f>CHOOSE(CONTROL!$C$42, 89.1407, 89.1407) * CHOOSE(CONTROL!$C$21, $C$9, 100%, $E$9)</f>
        <v>89.140699999999995</v>
      </c>
      <c r="N920" s="14">
        <f>CHOOSE(CONTROL!$C$42, 89.1563, 89.1563) * CHOOSE(CONTROL!$C$21, $C$9, 100%, $E$9)</f>
        <v>89.156300000000002</v>
      </c>
      <c r="O920" s="14">
        <f>CHOOSE(CONTROL!$C$42, 89.3927, 89.3927) * CHOOSE(CONTROL!$C$21, $C$9, 100%, $E$9)</f>
        <v>89.392700000000005</v>
      </c>
      <c r="P920" s="14">
        <f>CHOOSE(CONTROL!$C$42, 89.4443, 89.4443) * CHOOSE(CONTROL!$C$21, $C$9, 100%, $E$9)</f>
        <v>89.444299999999998</v>
      </c>
      <c r="Q920" s="14">
        <f>CHOOSE(CONTROL!$C$42, 89.9874, 89.9874) * CHOOSE(CONTROL!$C$21, $C$9, 100%, $E$9)</f>
        <v>89.987399999999994</v>
      </c>
      <c r="R920" s="14">
        <f>CHOOSE(CONTROL!$C$42, 90.7993, 90.7993) * CHOOSE(CONTROL!$C$21, $C$9, 100%, $E$9)</f>
        <v>90.799300000000002</v>
      </c>
      <c r="S920" s="14">
        <f>CHOOSE(CONTROL!$C$42, 87.453, 87.453) * CHOOSE(CONTROL!$C$21, $C$9, 100%, $E$9)</f>
        <v>87.453000000000003</v>
      </c>
      <c r="T92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20" s="57">
        <f>(1000*CHOOSE(CONTROL!$C$42, 695, 695)*CHOOSE(CONTROL!$C$42, 0.5599, 0.5599)*CHOOSE(CONTROL!$C$42, 31, 31))/1000000</f>
        <v>12.063045499999998</v>
      </c>
      <c r="V920" s="57">
        <f>(1000*CHOOSE(CONTROL!$C$42, 500, 500)*CHOOSE(CONTROL!$C$42, 0.275, 0.275)*CHOOSE(CONTROL!$C$42, 31, 31))/1000000</f>
        <v>4.2625000000000002</v>
      </c>
      <c r="W920" s="57">
        <f>(1000*CHOOSE(CONTROL!$C$42, 0.1146, 0.1146)*CHOOSE(CONTROL!$C$42, 121.5, 121.5)*CHOOSE(CONTROL!$C$42, 31, 31))/1000000</f>
        <v>0.43164089999999994</v>
      </c>
      <c r="X920" s="57">
        <f>(31*0.1790888*245000/1000000)+(31*0.2374*100000/1000000)</f>
        <v>2.0961194359999999</v>
      </c>
      <c r="Y920" s="57"/>
      <c r="Z920" s="14"/>
      <c r="AA920" s="56"/>
      <c r="AB920" s="50">
        <f>(B920*194.205+C920*267.466+D920*133.845+E920*53.484+F920*40+G920*185+H920*0+I920*100+J920*300)/(194.205+267.466+133.845+53.484+0+40+185+100+300)</f>
        <v>91.072836961616972</v>
      </c>
      <c r="AC920" s="45">
        <f>(M920*'RAP TEMPLATE-GAS AVAILABILITY'!O919+N920*'RAP TEMPLATE-GAS AVAILABILITY'!P919+O920*'RAP TEMPLATE-GAS AVAILABILITY'!Q919+P920*'RAP TEMPLATE-GAS AVAILABILITY'!R919)/('RAP TEMPLATE-GAS AVAILABILITY'!O919+'RAP TEMPLATE-GAS AVAILABILITY'!P919+'RAP TEMPLATE-GAS AVAILABILITY'!Q919+'RAP TEMPLATE-GAS AVAILABILITY'!R919)</f>
        <v>89.299497122302157</v>
      </c>
    </row>
    <row r="921" spans="1:29" ht="15.75" x14ac:dyDescent="0.25">
      <c r="A921" s="32">
        <v>68941</v>
      </c>
      <c r="B921" s="14">
        <f>CHOOSE(CONTROL!$C$42, 85.2442, 85.2442) * CHOOSE(CONTROL!$C$21, $C$9, 100%, $E$9)</f>
        <v>85.244200000000006</v>
      </c>
      <c r="C921" s="14">
        <f>CHOOSE(CONTROL!$C$42, 85.2522, 85.2522) * CHOOSE(CONTROL!$C$21, $C$9, 100%, $E$9)</f>
        <v>85.252200000000002</v>
      </c>
      <c r="D921" s="14">
        <f>CHOOSE(CONTROL!$C$42, 85.4562, 85.4562) * CHOOSE(CONTROL!$C$21, $C$9, 100%, $E$9)</f>
        <v>85.456199999999995</v>
      </c>
      <c r="E921" s="14">
        <f>CHOOSE(CONTROL!$C$42, 85.4876, 85.4876) * CHOOSE(CONTROL!$C$21, $C$9, 100%, $E$9)</f>
        <v>85.4876</v>
      </c>
      <c r="F921" s="14">
        <f>CHOOSE(CONTROL!$C$42, 85.2261, 85.2261)*CHOOSE(CONTROL!$C$21, $C$9, 100%, $E$9)</f>
        <v>85.226100000000002</v>
      </c>
      <c r="G921" s="14">
        <f>CHOOSE(CONTROL!$C$42, 85.2421, 85.2421)*CHOOSE(CONTROL!$C$21, $C$9, 100%, $E$9)</f>
        <v>85.242099999999994</v>
      </c>
      <c r="H921" s="14">
        <f>CHOOSE(CONTROL!$C$42, 85.4763, 85.4763) * CHOOSE(CONTROL!$C$21, $C$9, 100%, $E$9)</f>
        <v>85.476299999999995</v>
      </c>
      <c r="I921" s="14">
        <f>CHOOSE(CONTROL!$C$42, 85.5166, 85.5166)* CHOOSE(CONTROL!$C$21, $C$9, 100%, $E$9)</f>
        <v>85.516599999999997</v>
      </c>
      <c r="J921" s="14">
        <f>CHOOSE(CONTROL!$C$42, 85.2191, 85.2191)* CHOOSE(CONTROL!$C$21, $C$9, 100%, $E$9)</f>
        <v>85.219099999999997</v>
      </c>
      <c r="K921" s="53">
        <f>CHOOSE(CONTROL!$C$42, 85.5127, 85.5127) * CHOOSE(CONTROL!$C$21, $C$9, 100%, $E$9)</f>
        <v>85.512699999999995</v>
      </c>
      <c r="L921" s="14">
        <f>CHOOSE(CONTROL!$C$42, 86.0633, 86.0633) * CHOOSE(CONTROL!$C$21, $C$9, 100%, $E$9)</f>
        <v>86.063299999999998</v>
      </c>
      <c r="M921" s="14">
        <f>CHOOSE(CONTROL!$C$42, 83.4807, 83.4807) * CHOOSE(CONTROL!$C$21, $C$9, 100%, $E$9)</f>
        <v>83.480699999999999</v>
      </c>
      <c r="N921" s="14">
        <f>CHOOSE(CONTROL!$C$42, 83.4964, 83.4964) * CHOOSE(CONTROL!$C$21, $C$9, 100%, $E$9)</f>
        <v>83.496399999999994</v>
      </c>
      <c r="O921" s="14">
        <f>CHOOSE(CONTROL!$C$42, 83.7326, 83.7326) * CHOOSE(CONTROL!$C$21, $C$9, 100%, $E$9)</f>
        <v>83.732600000000005</v>
      </c>
      <c r="P921" s="14">
        <f>CHOOSE(CONTROL!$C$42, 83.7668, 83.7668) * CHOOSE(CONTROL!$C$21, $C$9, 100%, $E$9)</f>
        <v>83.766800000000003</v>
      </c>
      <c r="Q921" s="14">
        <f>CHOOSE(CONTROL!$C$42, 84.3273, 84.3273) * CHOOSE(CONTROL!$C$21, $C$9, 100%, $E$9)</f>
        <v>84.327299999999994</v>
      </c>
      <c r="R921" s="14">
        <f>CHOOSE(CONTROL!$C$42, 85.1251, 85.1251) * CHOOSE(CONTROL!$C$21, $C$9, 100%, $E$9)</f>
        <v>85.125100000000003</v>
      </c>
      <c r="S921" s="14">
        <f>CHOOSE(CONTROL!$C$42, 81.9005, 81.9005) * CHOOSE(CONTROL!$C$21, $C$9, 100%, $E$9)</f>
        <v>81.900499999999994</v>
      </c>
      <c r="T92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21" s="57">
        <f>(1000*CHOOSE(CONTROL!$C$42, 695, 695)*CHOOSE(CONTROL!$C$42, 0.5599, 0.5599)*CHOOSE(CONTROL!$C$42, 30, 30))/1000000</f>
        <v>11.673914999999997</v>
      </c>
      <c r="V921" s="57">
        <f>(1000*CHOOSE(CONTROL!$C$42, 500, 500)*CHOOSE(CONTROL!$C$42, 0.275, 0.275)*CHOOSE(CONTROL!$C$42, 30, 30))/1000000</f>
        <v>4.125</v>
      </c>
      <c r="W921" s="57">
        <f>(1000*CHOOSE(CONTROL!$C$42, 0.1146, 0.1146)*CHOOSE(CONTROL!$C$42, 121.5, 121.5)*CHOOSE(CONTROL!$C$42, 30, 30))/1000000</f>
        <v>0.417717</v>
      </c>
      <c r="X921" s="57">
        <f>(30*0.1790888*245000/1000000)+(30*0.2374*100000/1000000)</f>
        <v>2.0285026799999999</v>
      </c>
      <c r="Y921" s="57"/>
      <c r="Z921" s="14"/>
      <c r="AA921" s="56"/>
      <c r="AB921" s="50">
        <f>(B921*194.205+C921*267.466+D921*133.845+E921*53.484+F921*40+G921*185+H921*0+I921*100+J921*300)/(194.205+267.466+133.845+53.484+0+40+185+100+300)</f>
        <v>85.292967954160119</v>
      </c>
      <c r="AC921" s="45">
        <f>(M921*'RAP TEMPLATE-GAS AVAILABILITY'!O920+N921*'RAP TEMPLATE-GAS AVAILABILITY'!P920+O921*'RAP TEMPLATE-GAS AVAILABILITY'!Q920+P921*'RAP TEMPLATE-GAS AVAILABILITY'!R920)/('RAP TEMPLATE-GAS AVAILABILITY'!O920+'RAP TEMPLATE-GAS AVAILABILITY'!P920+'RAP TEMPLATE-GAS AVAILABILITY'!Q920+'RAP TEMPLATE-GAS AVAILABILITY'!R920)</f>
        <v>83.636939568345326</v>
      </c>
    </row>
    <row r="922" spans="1:29" ht="15.75" x14ac:dyDescent="0.25">
      <c r="A922" s="32">
        <v>68972</v>
      </c>
      <c r="B922" s="14">
        <f>CHOOSE(CONTROL!$C$42, 83.5119, 83.5119) * CHOOSE(CONTROL!$C$21, $C$9, 100%, $E$9)</f>
        <v>83.511899999999997</v>
      </c>
      <c r="C922" s="14">
        <f>CHOOSE(CONTROL!$C$42, 83.5172, 83.5172) * CHOOSE(CONTROL!$C$21, $C$9, 100%, $E$9)</f>
        <v>83.517200000000003</v>
      </c>
      <c r="D922" s="14">
        <f>CHOOSE(CONTROL!$C$42, 83.7261, 83.7261) * CHOOSE(CONTROL!$C$21, $C$9, 100%, $E$9)</f>
        <v>83.726100000000002</v>
      </c>
      <c r="E922" s="14">
        <f>CHOOSE(CONTROL!$C$42, 83.7552, 83.7552) * CHOOSE(CONTROL!$C$21, $C$9, 100%, $E$9)</f>
        <v>83.755200000000002</v>
      </c>
      <c r="F922" s="14">
        <f>CHOOSE(CONTROL!$C$42, 83.4959, 83.4959)*CHOOSE(CONTROL!$C$21, $C$9, 100%, $E$9)</f>
        <v>83.495900000000006</v>
      </c>
      <c r="G922" s="14">
        <f>CHOOSE(CONTROL!$C$42, 83.5115, 83.5115)*CHOOSE(CONTROL!$C$21, $C$9, 100%, $E$9)</f>
        <v>83.511499999999998</v>
      </c>
      <c r="H922" s="14">
        <f>CHOOSE(CONTROL!$C$42, 83.7457, 83.7457) * CHOOSE(CONTROL!$C$21, $C$9, 100%, $E$9)</f>
        <v>83.745699999999999</v>
      </c>
      <c r="I922" s="14">
        <f>CHOOSE(CONTROL!$C$42, 83.7806, 83.7806)* CHOOSE(CONTROL!$C$21, $C$9, 100%, $E$9)</f>
        <v>83.780600000000007</v>
      </c>
      <c r="J922" s="14">
        <f>CHOOSE(CONTROL!$C$42, 83.4889, 83.4889)* CHOOSE(CONTROL!$C$21, $C$9, 100%, $E$9)</f>
        <v>83.488900000000001</v>
      </c>
      <c r="K922" s="53">
        <f>CHOOSE(CONTROL!$C$42, 83.7767, 83.7767) * CHOOSE(CONTROL!$C$21, $C$9, 100%, $E$9)</f>
        <v>83.776700000000005</v>
      </c>
      <c r="L922" s="14">
        <f>CHOOSE(CONTROL!$C$42, 84.3327, 84.3327) * CHOOSE(CONTROL!$C$21, $C$9, 100%, $E$9)</f>
        <v>84.332700000000003</v>
      </c>
      <c r="M922" s="14">
        <f>CHOOSE(CONTROL!$C$42, 81.7859, 81.7859) * CHOOSE(CONTROL!$C$21, $C$9, 100%, $E$9)</f>
        <v>81.785899999999998</v>
      </c>
      <c r="N922" s="14">
        <f>CHOOSE(CONTROL!$C$42, 81.8013, 81.8013) * CHOOSE(CONTROL!$C$21, $C$9, 100%, $E$9)</f>
        <v>81.801299999999998</v>
      </c>
      <c r="O922" s="14">
        <f>CHOOSE(CONTROL!$C$42, 82.0375, 82.0375) * CHOOSE(CONTROL!$C$21, $C$9, 100%, $E$9)</f>
        <v>82.037499999999994</v>
      </c>
      <c r="P922" s="14">
        <f>CHOOSE(CONTROL!$C$42, 82.0665, 82.0665) * CHOOSE(CONTROL!$C$21, $C$9, 100%, $E$9)</f>
        <v>82.066500000000005</v>
      </c>
      <c r="Q922" s="14">
        <f>CHOOSE(CONTROL!$C$42, 82.6322, 82.6322) * CHOOSE(CONTROL!$C$21, $C$9, 100%, $E$9)</f>
        <v>82.632199999999997</v>
      </c>
      <c r="R922" s="14">
        <f>CHOOSE(CONTROL!$C$42, 83.4258, 83.4258) * CHOOSE(CONTROL!$C$21, $C$9, 100%, $E$9)</f>
        <v>83.425799999999995</v>
      </c>
      <c r="S922" s="14">
        <f>CHOOSE(CONTROL!$C$42, 80.2376, 80.2376) * CHOOSE(CONTROL!$C$21, $C$9, 100%, $E$9)</f>
        <v>80.2376</v>
      </c>
      <c r="T92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22" s="57">
        <f>(1000*CHOOSE(CONTROL!$C$42, 695, 695)*CHOOSE(CONTROL!$C$42, 0.5599, 0.5599)*CHOOSE(CONTROL!$C$42, 31, 31))/1000000</f>
        <v>12.063045499999998</v>
      </c>
      <c r="V922" s="57">
        <f>(1000*CHOOSE(CONTROL!$C$42, 500, 500)*CHOOSE(CONTROL!$C$42, 0.275, 0.275)*CHOOSE(CONTROL!$C$42, 31, 31))/1000000</f>
        <v>4.2625000000000002</v>
      </c>
      <c r="W922" s="57">
        <f>(1000*CHOOSE(CONTROL!$C$42, 0.1146, 0.1146)*CHOOSE(CONTROL!$C$42, 121.5, 121.5)*CHOOSE(CONTROL!$C$42, 31, 31))/1000000</f>
        <v>0.43164089999999994</v>
      </c>
      <c r="X922" s="57">
        <f>(31*0.1790888*245000/1000000)+(31*0.2374*100000/1000000)</f>
        <v>2.0961194359999999</v>
      </c>
      <c r="Y922" s="57"/>
      <c r="Z922" s="14"/>
      <c r="AA922" s="56"/>
      <c r="AB922" s="50">
        <f>(B922*131.881+C922*277.167+D922*79.08+E922*125.872+F922*40+G922*185+H922*0+I922*100+J922*300)/(131.881+277.167+79.08+125.872+0+40+185+100+300)</f>
        <v>83.567015882728001</v>
      </c>
      <c r="AC922" s="45">
        <f>(M922*'RAP TEMPLATE-GAS AVAILABILITY'!O921+N922*'RAP TEMPLATE-GAS AVAILABILITY'!P921+O922*'RAP TEMPLATE-GAS AVAILABILITY'!Q921+P922*'RAP TEMPLATE-GAS AVAILABILITY'!R921)/('RAP TEMPLATE-GAS AVAILABILITY'!O921+'RAP TEMPLATE-GAS AVAILABILITY'!P921+'RAP TEMPLATE-GAS AVAILABILITY'!Q921+'RAP TEMPLATE-GAS AVAILABILITY'!R921)</f>
        <v>81.941194964028782</v>
      </c>
    </row>
    <row r="923" spans="1:29" ht="15.75" x14ac:dyDescent="0.25">
      <c r="A923" s="32">
        <v>69002</v>
      </c>
      <c r="B923" s="14">
        <f>CHOOSE(CONTROL!$C$42, 85.7113, 85.7113) * CHOOSE(CONTROL!$C$21, $C$9, 100%, $E$9)</f>
        <v>85.711299999999994</v>
      </c>
      <c r="C923" s="14">
        <f>CHOOSE(CONTROL!$C$42, 85.7164, 85.7164) * CHOOSE(CONTROL!$C$21, $C$9, 100%, $E$9)</f>
        <v>85.716399999999993</v>
      </c>
      <c r="D923" s="14">
        <f>CHOOSE(CONTROL!$C$42, 85.7802, 85.7802) * CHOOSE(CONTROL!$C$21, $C$9, 100%, $E$9)</f>
        <v>85.780199999999994</v>
      </c>
      <c r="E923" s="14">
        <f>CHOOSE(CONTROL!$C$42, 85.8143, 85.8143) * CHOOSE(CONTROL!$C$21, $C$9, 100%, $E$9)</f>
        <v>85.814300000000003</v>
      </c>
      <c r="F923" s="14">
        <f>CHOOSE(CONTROL!$C$42, 85.7137, 85.7137)*CHOOSE(CONTROL!$C$21, $C$9, 100%, $E$9)</f>
        <v>85.713700000000003</v>
      </c>
      <c r="G923" s="14">
        <f>CHOOSE(CONTROL!$C$42, 85.7297, 85.7297)*CHOOSE(CONTROL!$C$21, $C$9, 100%, $E$9)</f>
        <v>85.729699999999994</v>
      </c>
      <c r="H923" s="14">
        <f>CHOOSE(CONTROL!$C$42, 85.8035, 85.8035) * CHOOSE(CONTROL!$C$21, $C$9, 100%, $E$9)</f>
        <v>85.8035</v>
      </c>
      <c r="I923" s="14">
        <f>CHOOSE(CONTROL!$C$42, 85.9926, 85.9926)* CHOOSE(CONTROL!$C$21, $C$9, 100%, $E$9)</f>
        <v>85.992599999999996</v>
      </c>
      <c r="J923" s="14">
        <f>CHOOSE(CONTROL!$C$42, 85.7067, 85.7067)* CHOOSE(CONTROL!$C$21, $C$9, 100%, $E$9)</f>
        <v>85.706699999999998</v>
      </c>
      <c r="K923" s="53">
        <f>CHOOSE(CONTROL!$C$42, 85.9887, 85.9887) * CHOOSE(CONTROL!$C$21, $C$9, 100%, $E$9)</f>
        <v>85.988699999999994</v>
      </c>
      <c r="L923" s="14">
        <f>CHOOSE(CONTROL!$C$42, 86.3905, 86.3905) * CHOOSE(CONTROL!$C$21, $C$9, 100%, $E$9)</f>
        <v>86.390500000000003</v>
      </c>
      <c r="M923" s="14">
        <f>CHOOSE(CONTROL!$C$42, 83.9583, 83.9583) * CHOOSE(CONTROL!$C$21, $C$9, 100%, $E$9)</f>
        <v>83.958299999999994</v>
      </c>
      <c r="N923" s="14">
        <f>CHOOSE(CONTROL!$C$42, 83.974, 83.974) * CHOOSE(CONTROL!$C$21, $C$9, 100%, $E$9)</f>
        <v>83.974000000000004</v>
      </c>
      <c r="O923" s="14">
        <f>CHOOSE(CONTROL!$C$42, 84.0531, 84.0531) * CHOOSE(CONTROL!$C$21, $C$9, 100%, $E$9)</f>
        <v>84.053100000000001</v>
      </c>
      <c r="P923" s="14">
        <f>CHOOSE(CONTROL!$C$42, 84.233, 84.233) * CHOOSE(CONTROL!$C$21, $C$9, 100%, $E$9)</f>
        <v>84.233000000000004</v>
      </c>
      <c r="Q923" s="14">
        <f>CHOOSE(CONTROL!$C$42, 84.6478, 84.6478) * CHOOSE(CONTROL!$C$21, $C$9, 100%, $E$9)</f>
        <v>84.647800000000004</v>
      </c>
      <c r="R923" s="14">
        <f>CHOOSE(CONTROL!$C$42, 85.4464, 85.4464) * CHOOSE(CONTROL!$C$21, $C$9, 100%, $E$9)</f>
        <v>85.446399999999997</v>
      </c>
      <c r="S923" s="14">
        <f>CHOOSE(CONTROL!$C$42, 82.3514, 82.3514) * CHOOSE(CONTROL!$C$21, $C$9, 100%, $E$9)</f>
        <v>82.351399999999998</v>
      </c>
      <c r="T92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23" s="57">
        <f>(1000*CHOOSE(CONTROL!$C$42, 695, 695)*CHOOSE(CONTROL!$C$42, 0.5599, 0.5599)*CHOOSE(CONTROL!$C$42, 30, 30))/1000000</f>
        <v>11.673914999999997</v>
      </c>
      <c r="V923" s="57">
        <f>(1000*CHOOSE(CONTROL!$C$42, 500, 500)*CHOOSE(CONTROL!$C$42, 0.275, 0.275)*CHOOSE(CONTROL!$C$42, 30, 30))/1000000</f>
        <v>4.125</v>
      </c>
      <c r="W923" s="57">
        <f>(1000*CHOOSE(CONTROL!$C$42, 0.1146, 0.1146)*CHOOSE(CONTROL!$C$42, 121.5, 121.5)*CHOOSE(CONTROL!$C$42, 30, 30))/1000000</f>
        <v>0.417717</v>
      </c>
      <c r="X923" s="57">
        <f>(30*0.1790888*100000/1000000)+(30*0.2374*100000/1000000)</f>
        <v>1.2494664</v>
      </c>
      <c r="Y923" s="57"/>
      <c r="Z923" s="14"/>
      <c r="AA923" s="56"/>
      <c r="AB923" s="50">
        <f>(B923*122.58+C923*297.941+D923*89.177+E923*40.302+F923*40+G923*160+H923*0+I923*100+J923*300)/(122.58+297.941+89.177+40.302+0+40+160+100+300)</f>
        <v>85.747478174260863</v>
      </c>
      <c r="AC923" s="45">
        <f>(M923*'RAP TEMPLATE-GAS AVAILABILITY'!O922+N923*'RAP TEMPLATE-GAS AVAILABILITY'!P922+O923*'RAP TEMPLATE-GAS AVAILABILITY'!Q922+P923*'RAP TEMPLATE-GAS AVAILABILITY'!R922)/('RAP TEMPLATE-GAS AVAILABILITY'!O922+'RAP TEMPLATE-GAS AVAILABILITY'!P922+'RAP TEMPLATE-GAS AVAILABILITY'!Q922+'RAP TEMPLATE-GAS AVAILABILITY'!R922)</f>
        <v>84.041695683453227</v>
      </c>
    </row>
    <row r="924" spans="1:29" ht="15.75" x14ac:dyDescent="0.25">
      <c r="A924" s="32">
        <v>69033</v>
      </c>
      <c r="B924" s="14">
        <f>CHOOSE(CONTROL!$C$42, 91.5544, 91.5544) * CHOOSE(CONTROL!$C$21, $C$9, 100%, $E$9)</f>
        <v>91.554400000000001</v>
      </c>
      <c r="C924" s="14">
        <f>CHOOSE(CONTROL!$C$42, 91.5595, 91.5595) * CHOOSE(CONTROL!$C$21, $C$9, 100%, $E$9)</f>
        <v>91.5595</v>
      </c>
      <c r="D924" s="14">
        <f>CHOOSE(CONTROL!$C$42, 91.6233, 91.6233) * CHOOSE(CONTROL!$C$21, $C$9, 100%, $E$9)</f>
        <v>91.6233</v>
      </c>
      <c r="E924" s="14">
        <f>CHOOSE(CONTROL!$C$42, 91.6574, 91.6574) * CHOOSE(CONTROL!$C$21, $C$9, 100%, $E$9)</f>
        <v>91.657399999999996</v>
      </c>
      <c r="F924" s="14">
        <f>CHOOSE(CONTROL!$C$42, 91.559, 91.559)*CHOOSE(CONTROL!$C$21, $C$9, 100%, $E$9)</f>
        <v>91.558999999999997</v>
      </c>
      <c r="G924" s="14">
        <f>CHOOSE(CONTROL!$C$42, 91.5756, 91.5756)*CHOOSE(CONTROL!$C$21, $C$9, 100%, $E$9)</f>
        <v>91.575599999999994</v>
      </c>
      <c r="H924" s="14">
        <f>CHOOSE(CONTROL!$C$42, 91.6466, 91.6466) * CHOOSE(CONTROL!$C$21, $C$9, 100%, $E$9)</f>
        <v>91.646600000000007</v>
      </c>
      <c r="I924" s="14">
        <f>CHOOSE(CONTROL!$C$42, 91.854, 91.854)* CHOOSE(CONTROL!$C$21, $C$9, 100%, $E$9)</f>
        <v>91.853999999999999</v>
      </c>
      <c r="J924" s="14">
        <f>CHOOSE(CONTROL!$C$42, 91.552, 91.552)* CHOOSE(CONTROL!$C$21, $C$9, 100%, $E$9)</f>
        <v>91.552000000000007</v>
      </c>
      <c r="K924" s="53">
        <f>CHOOSE(CONTROL!$C$42, 91.8501, 91.8501) * CHOOSE(CONTROL!$C$21, $C$9, 100%, $E$9)</f>
        <v>91.850099999999998</v>
      </c>
      <c r="L924" s="14">
        <f>CHOOSE(CONTROL!$C$42, 92.2336, 92.2336) * CHOOSE(CONTROL!$C$21, $C$9, 100%, $E$9)</f>
        <v>92.233599999999996</v>
      </c>
      <c r="M924" s="14">
        <f>CHOOSE(CONTROL!$C$42, 89.6839, 89.6839) * CHOOSE(CONTROL!$C$21, $C$9, 100%, $E$9)</f>
        <v>89.683899999999994</v>
      </c>
      <c r="N924" s="14">
        <f>CHOOSE(CONTROL!$C$42, 89.7002, 89.7002) * CHOOSE(CONTROL!$C$21, $C$9, 100%, $E$9)</f>
        <v>89.700199999999995</v>
      </c>
      <c r="O924" s="14">
        <f>CHOOSE(CONTROL!$C$42, 89.7765, 89.7765) * CHOOSE(CONTROL!$C$21, $C$9, 100%, $E$9)</f>
        <v>89.776499999999999</v>
      </c>
      <c r="P924" s="14">
        <f>CHOOSE(CONTROL!$C$42, 89.9739, 89.9739) * CHOOSE(CONTROL!$C$21, $C$9, 100%, $E$9)</f>
        <v>89.9739</v>
      </c>
      <c r="Q924" s="14">
        <f>CHOOSE(CONTROL!$C$42, 90.3712, 90.3712) * CHOOSE(CONTROL!$C$21, $C$9, 100%, $E$9)</f>
        <v>90.371200000000002</v>
      </c>
      <c r="R924" s="14">
        <f>CHOOSE(CONTROL!$C$42, 91.1841, 91.1841) * CHOOSE(CONTROL!$C$21, $C$9, 100%, $E$9)</f>
        <v>91.184100000000001</v>
      </c>
      <c r="S924" s="14">
        <f>CHOOSE(CONTROL!$C$42, 87.9661, 87.9661) * CHOOSE(CONTROL!$C$21, $C$9, 100%, $E$9)</f>
        <v>87.966099999999997</v>
      </c>
      <c r="T92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24" s="57">
        <f>(1000*CHOOSE(CONTROL!$C$42, 695, 695)*CHOOSE(CONTROL!$C$42, 0.5599, 0.5599)*CHOOSE(CONTROL!$C$42, 31, 31))/1000000</f>
        <v>12.063045499999998</v>
      </c>
      <c r="V924" s="57">
        <f>(1000*CHOOSE(CONTROL!$C$42, 500, 500)*CHOOSE(CONTROL!$C$42, 0.275, 0.275)*CHOOSE(CONTROL!$C$42, 31, 31))/1000000</f>
        <v>4.2625000000000002</v>
      </c>
      <c r="W924" s="57">
        <f>(1000*CHOOSE(CONTROL!$C$42, 0.1146, 0.1146)*CHOOSE(CONTROL!$C$42, 121.5, 121.5)*CHOOSE(CONTROL!$C$42, 31, 31))/1000000</f>
        <v>0.43164089999999994</v>
      </c>
      <c r="X924" s="57">
        <f>(31*0.1790888*100000/1000000)+(31*0.2374*100000/1000000)</f>
        <v>1.2911152800000001</v>
      </c>
      <c r="Y924" s="57"/>
      <c r="Z924" s="14"/>
      <c r="AA924" s="56"/>
      <c r="AB924" s="50">
        <f>(B924*122.58+C924*297.941+D924*89.177+E924*40.302+F924*40+G924*160+H924*0+I924*100+J924*300)/(122.58+297.941+89.177+40.302+0+40+160+100+300)</f>
        <v>91.593209478608699</v>
      </c>
      <c r="AC924" s="45">
        <f>(M924*'RAP TEMPLATE-GAS AVAILABILITY'!O923+N924*'RAP TEMPLATE-GAS AVAILABILITY'!P923+O924*'RAP TEMPLATE-GAS AVAILABILITY'!Q923+P924*'RAP TEMPLATE-GAS AVAILABILITY'!R923)/('RAP TEMPLATE-GAS AVAILABILITY'!O923+'RAP TEMPLATE-GAS AVAILABILITY'!P923+'RAP TEMPLATE-GAS AVAILABILITY'!Q923+'RAP TEMPLATE-GAS AVAILABILITY'!R923)</f>
        <v>89.768534532374105</v>
      </c>
    </row>
    <row r="925" spans="1:29" ht="15.75" x14ac:dyDescent="0.25">
      <c r="A925" s="32">
        <v>69064</v>
      </c>
      <c r="B925" s="14">
        <f>CHOOSE(CONTROL!$C$42, 99.0532, 99.0532) * CHOOSE(CONTROL!$C$21, $C$9, 100%, $E$9)</f>
        <v>99.053200000000004</v>
      </c>
      <c r="C925" s="14">
        <f>CHOOSE(CONTROL!$C$42, 99.0583, 99.0583) * CHOOSE(CONTROL!$C$21, $C$9, 100%, $E$9)</f>
        <v>99.058300000000003</v>
      </c>
      <c r="D925" s="14">
        <f>CHOOSE(CONTROL!$C$42, 99.1247, 99.1247) * CHOOSE(CONTROL!$C$21, $C$9, 100%, $E$9)</f>
        <v>99.124700000000004</v>
      </c>
      <c r="E925" s="14">
        <f>CHOOSE(CONTROL!$C$42, 99.1588, 99.1588) * CHOOSE(CONTROL!$C$21, $C$9, 100%, $E$9)</f>
        <v>99.158799999999999</v>
      </c>
      <c r="F925" s="14">
        <f>CHOOSE(CONTROL!$C$42, 99.0405, 99.0405)*CHOOSE(CONTROL!$C$21, $C$9, 100%, $E$9)</f>
        <v>99.040499999999994</v>
      </c>
      <c r="G925" s="14">
        <f>CHOOSE(CONTROL!$C$42, 99.056, 99.056)*CHOOSE(CONTROL!$C$21, $C$9, 100%, $E$9)</f>
        <v>99.055999999999997</v>
      </c>
      <c r="H925" s="14">
        <f>CHOOSE(CONTROL!$C$42, 99.148, 99.148) * CHOOSE(CONTROL!$C$21, $C$9, 100%, $E$9)</f>
        <v>99.147999999999996</v>
      </c>
      <c r="I925" s="14">
        <f>CHOOSE(CONTROL!$C$42, 99.371, 99.371)* CHOOSE(CONTROL!$C$21, $C$9, 100%, $E$9)</f>
        <v>99.370999999999995</v>
      </c>
      <c r="J925" s="14">
        <f>CHOOSE(CONTROL!$C$42, 99.0335, 99.0335)* CHOOSE(CONTROL!$C$21, $C$9, 100%, $E$9)</f>
        <v>99.033500000000004</v>
      </c>
      <c r="K925" s="53">
        <f>CHOOSE(CONTROL!$C$42, 99.3672, 99.3672) * CHOOSE(CONTROL!$C$21, $C$9, 100%, $E$9)</f>
        <v>99.367199999999997</v>
      </c>
      <c r="L925" s="14">
        <f>CHOOSE(CONTROL!$C$42, 99.735, 99.735) * CHOOSE(CONTROL!$C$21, $C$9, 100%, $E$9)</f>
        <v>99.734999999999999</v>
      </c>
      <c r="M925" s="14">
        <f>CHOOSE(CONTROL!$C$42, 97.0121, 97.0121) * CHOOSE(CONTROL!$C$21, $C$9, 100%, $E$9)</f>
        <v>97.012100000000004</v>
      </c>
      <c r="N925" s="14">
        <f>CHOOSE(CONTROL!$C$42, 97.0272, 97.0272) * CHOOSE(CONTROL!$C$21, $C$9, 100%, $E$9)</f>
        <v>97.027199999999993</v>
      </c>
      <c r="O925" s="14">
        <f>CHOOSE(CONTROL!$C$42, 97.1242, 97.1242) * CHOOSE(CONTROL!$C$21, $C$9, 100%, $E$9)</f>
        <v>97.124200000000002</v>
      </c>
      <c r="P925" s="14">
        <f>CHOOSE(CONTROL!$C$42, 97.3365, 97.3365) * CHOOSE(CONTROL!$C$21, $C$9, 100%, $E$9)</f>
        <v>97.336500000000001</v>
      </c>
      <c r="Q925" s="14">
        <f>CHOOSE(CONTROL!$C$42, 97.7189, 97.7189) * CHOOSE(CONTROL!$C$21, $C$9, 100%, $E$9)</f>
        <v>97.718900000000005</v>
      </c>
      <c r="R925" s="14">
        <f>CHOOSE(CONTROL!$C$42, 98.5502, 98.5502) * CHOOSE(CONTROL!$C$21, $C$9, 100%, $E$9)</f>
        <v>98.550200000000004</v>
      </c>
      <c r="S925" s="14">
        <f>CHOOSE(CONTROL!$C$42, 95.1717, 95.1717) * CHOOSE(CONTROL!$C$21, $C$9, 100%, $E$9)</f>
        <v>95.171700000000001</v>
      </c>
      <c r="T92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25" s="57">
        <f>(1000*CHOOSE(CONTROL!$C$42, 695, 695)*CHOOSE(CONTROL!$C$42, 0.5599, 0.5599)*CHOOSE(CONTROL!$C$42, 31, 31))/1000000</f>
        <v>12.063045499999998</v>
      </c>
      <c r="V925" s="57">
        <f>(1000*CHOOSE(CONTROL!$C$42, 500, 500)*CHOOSE(CONTROL!$C$42, 0.275, 0.275)*CHOOSE(CONTROL!$C$42, 31, 31))/1000000</f>
        <v>4.2625000000000002</v>
      </c>
      <c r="W925" s="57">
        <f>(1000*CHOOSE(CONTROL!$C$42, 0.1146, 0.1146)*CHOOSE(CONTROL!$C$42, 121.5, 121.5)*CHOOSE(CONTROL!$C$42, 31, 31))/1000000</f>
        <v>0.43164089999999994</v>
      </c>
      <c r="X925" s="57">
        <f>(31*0.1790888*100000/1000000)+(31*0.2374*100000/1000000)</f>
        <v>1.2911152800000001</v>
      </c>
      <c r="Y925" s="57"/>
      <c r="Z925" s="14"/>
      <c r="AA925" s="56"/>
      <c r="AB925" s="50">
        <f>(B925*122.58+C925*297.941+D925*89.177+E925*40.302+F925*40+G925*160+H925*0+I925*100+J925*300)/(122.58+297.941+89.177+40.302+0+40+160+100+300)</f>
        <v>99.086210039826099</v>
      </c>
      <c r="AC925" s="45">
        <f>(M925*'RAP TEMPLATE-GAS AVAILABILITY'!O924+N925*'RAP TEMPLATE-GAS AVAILABILITY'!P924+O925*'RAP TEMPLATE-GAS AVAILABILITY'!Q924+P925*'RAP TEMPLATE-GAS AVAILABILITY'!R924)/('RAP TEMPLATE-GAS AVAILABILITY'!O924+'RAP TEMPLATE-GAS AVAILABILITY'!P924+'RAP TEMPLATE-GAS AVAILABILITY'!Q924+'RAP TEMPLATE-GAS AVAILABILITY'!R924)</f>
        <v>97.11045323741007</v>
      </c>
    </row>
    <row r="926" spans="1:29" ht="15.75" x14ac:dyDescent="0.25">
      <c r="A926" s="32">
        <v>69092</v>
      </c>
      <c r="B926" s="14">
        <f>CHOOSE(CONTROL!$C$42, 100.8163, 100.8163) * CHOOSE(CONTROL!$C$21, $C$9, 100%, $E$9)</f>
        <v>100.8163</v>
      </c>
      <c r="C926" s="14">
        <f>CHOOSE(CONTROL!$C$42, 100.8214, 100.8214) * CHOOSE(CONTROL!$C$21, $C$9, 100%, $E$9)</f>
        <v>100.8214</v>
      </c>
      <c r="D926" s="14">
        <f>CHOOSE(CONTROL!$C$42, 100.8878, 100.8878) * CHOOSE(CONTROL!$C$21, $C$9, 100%, $E$9)</f>
        <v>100.8878</v>
      </c>
      <c r="E926" s="14">
        <f>CHOOSE(CONTROL!$C$42, 100.9219, 100.9219) * CHOOSE(CONTROL!$C$21, $C$9, 100%, $E$9)</f>
        <v>100.92189999999999</v>
      </c>
      <c r="F926" s="14">
        <f>CHOOSE(CONTROL!$C$42, 100.8037, 100.8037)*CHOOSE(CONTROL!$C$21, $C$9, 100%, $E$9)</f>
        <v>100.80370000000001</v>
      </c>
      <c r="G926" s="14">
        <f>CHOOSE(CONTROL!$C$42, 100.8192, 100.8192)*CHOOSE(CONTROL!$C$21, $C$9, 100%, $E$9)</f>
        <v>100.8192</v>
      </c>
      <c r="H926" s="14">
        <f>CHOOSE(CONTROL!$C$42, 100.9111, 100.9111) * CHOOSE(CONTROL!$C$21, $C$9, 100%, $E$9)</f>
        <v>100.9111</v>
      </c>
      <c r="I926" s="14">
        <f>CHOOSE(CONTROL!$C$42, 101.1397, 101.1397)* CHOOSE(CONTROL!$C$21, $C$9, 100%, $E$9)</f>
        <v>101.1397</v>
      </c>
      <c r="J926" s="14">
        <f>CHOOSE(CONTROL!$C$42, 100.7967, 100.7967)* CHOOSE(CONTROL!$C$21, $C$9, 100%, $E$9)</f>
        <v>100.7967</v>
      </c>
      <c r="K926" s="53">
        <f>CHOOSE(CONTROL!$C$42, 101.1358, 101.1358) * CHOOSE(CONTROL!$C$21, $C$9, 100%, $E$9)</f>
        <v>101.1358</v>
      </c>
      <c r="L926" s="14">
        <f>CHOOSE(CONTROL!$C$42, 101.4981, 101.4981) * CHOOSE(CONTROL!$C$21, $C$9, 100%, $E$9)</f>
        <v>101.49809999999999</v>
      </c>
      <c r="M926" s="14">
        <f>CHOOSE(CONTROL!$C$42, 98.7392, 98.7392) * CHOOSE(CONTROL!$C$21, $C$9, 100%, $E$9)</f>
        <v>98.739199999999997</v>
      </c>
      <c r="N926" s="14">
        <f>CHOOSE(CONTROL!$C$42, 98.7543, 98.7543) * CHOOSE(CONTROL!$C$21, $C$9, 100%, $E$9)</f>
        <v>98.754300000000001</v>
      </c>
      <c r="O926" s="14">
        <f>CHOOSE(CONTROL!$C$42, 98.8512, 98.8512) * CHOOSE(CONTROL!$C$21, $C$9, 100%, $E$9)</f>
        <v>98.851200000000006</v>
      </c>
      <c r="P926" s="14">
        <f>CHOOSE(CONTROL!$C$42, 99.0688, 99.0688) * CHOOSE(CONTROL!$C$21, $C$9, 100%, $E$9)</f>
        <v>99.068799999999996</v>
      </c>
      <c r="Q926" s="14">
        <f>CHOOSE(CONTROL!$C$42, 99.4459, 99.4459) * CHOOSE(CONTROL!$C$21, $C$9, 100%, $E$9)</f>
        <v>99.445899999999995</v>
      </c>
      <c r="R926" s="14">
        <f>CHOOSE(CONTROL!$C$42, 100.2815, 100.2815) * CHOOSE(CONTROL!$C$21, $C$9, 100%, $E$9)</f>
        <v>100.28149999999999</v>
      </c>
      <c r="S926" s="14">
        <f>CHOOSE(CONTROL!$C$42, 96.8659, 96.8659) * CHOOSE(CONTROL!$C$21, $C$9, 100%, $E$9)</f>
        <v>96.865899999999996</v>
      </c>
      <c r="T92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26" s="57">
        <f>(1000*CHOOSE(CONTROL!$C$42, 695, 695)*CHOOSE(CONTROL!$C$42, 0.5599, 0.5599)*CHOOSE(CONTROL!$C$42, 28, 28))/1000000</f>
        <v>10.895653999999999</v>
      </c>
      <c r="V926" s="57">
        <f>(1000*CHOOSE(CONTROL!$C$42, 500, 500)*CHOOSE(CONTROL!$C$42, 0.275, 0.275)*CHOOSE(CONTROL!$C$42, 28, 28))/1000000</f>
        <v>3.85</v>
      </c>
      <c r="W926" s="57">
        <f>(1000*CHOOSE(CONTROL!$C$42, 0.1146, 0.1146)*CHOOSE(CONTROL!$C$42, 121.5, 121.5)*CHOOSE(CONTROL!$C$42, 28, 28))/1000000</f>
        <v>0.38986920000000003</v>
      </c>
      <c r="X926" s="57">
        <f>(28*0.1790888*100000/1000000)+(28*0.2374*100000/1000000)</f>
        <v>1.16616864</v>
      </c>
      <c r="Y926" s="57"/>
      <c r="Z926" s="14"/>
      <c r="AA926" s="56"/>
      <c r="AB926" s="50">
        <f>(B926*122.58+C926*297.941+D926*89.177+E926*40.302+F926*40+G926*160+H926*0+I926*100+J926*300)/(122.58+297.941+89.177+40.302+0+40+160+100+300)</f>
        <v>100.84984047460871</v>
      </c>
      <c r="AC926" s="45">
        <f>(M926*'RAP TEMPLATE-GAS AVAILABILITY'!O925+N926*'RAP TEMPLATE-GAS AVAILABILITY'!P925+O926*'RAP TEMPLATE-GAS AVAILABILITY'!Q925+P926*'RAP TEMPLATE-GAS AVAILABILITY'!R925)/('RAP TEMPLATE-GAS AVAILABILITY'!O925+'RAP TEMPLATE-GAS AVAILABILITY'!P925+'RAP TEMPLATE-GAS AVAILABILITY'!Q925+'RAP TEMPLATE-GAS AVAILABILITY'!R925)</f>
        <v>98.838256115107924</v>
      </c>
    </row>
    <row r="927" spans="1:29" ht="15.75" x14ac:dyDescent="0.25">
      <c r="A927" s="32">
        <v>69123</v>
      </c>
      <c r="B927" s="14">
        <f>CHOOSE(CONTROL!$C$42, 97.9543, 97.9543) * CHOOSE(CONTROL!$C$21, $C$9, 100%, $E$9)</f>
        <v>97.954300000000003</v>
      </c>
      <c r="C927" s="14">
        <f>CHOOSE(CONTROL!$C$42, 97.9594, 97.9594) * CHOOSE(CONTROL!$C$21, $C$9, 100%, $E$9)</f>
        <v>97.959400000000002</v>
      </c>
      <c r="D927" s="14">
        <f>CHOOSE(CONTROL!$C$42, 98.0258, 98.0258) * CHOOSE(CONTROL!$C$21, $C$9, 100%, $E$9)</f>
        <v>98.025800000000004</v>
      </c>
      <c r="E927" s="14">
        <f>CHOOSE(CONTROL!$C$42, 98.0599, 98.0599) * CHOOSE(CONTROL!$C$21, $C$9, 100%, $E$9)</f>
        <v>98.059899999999999</v>
      </c>
      <c r="F927" s="14">
        <f>CHOOSE(CONTROL!$C$42, 97.9414, 97.9414)*CHOOSE(CONTROL!$C$21, $C$9, 100%, $E$9)</f>
        <v>97.941400000000002</v>
      </c>
      <c r="G927" s="14">
        <f>CHOOSE(CONTROL!$C$42, 97.9567, 97.9567)*CHOOSE(CONTROL!$C$21, $C$9, 100%, $E$9)</f>
        <v>97.956699999999998</v>
      </c>
      <c r="H927" s="14">
        <f>CHOOSE(CONTROL!$C$42, 98.0491, 98.0491) * CHOOSE(CONTROL!$C$21, $C$9, 100%, $E$9)</f>
        <v>98.049099999999996</v>
      </c>
      <c r="I927" s="14">
        <f>CHOOSE(CONTROL!$C$42, 98.2687, 98.2687)* CHOOSE(CONTROL!$C$21, $C$9, 100%, $E$9)</f>
        <v>98.268699999999995</v>
      </c>
      <c r="J927" s="14">
        <f>CHOOSE(CONTROL!$C$42, 97.9344, 97.9344)* CHOOSE(CONTROL!$C$21, $C$9, 100%, $E$9)</f>
        <v>97.934399999999997</v>
      </c>
      <c r="K927" s="53">
        <f>CHOOSE(CONTROL!$C$42, 98.2649, 98.2649) * CHOOSE(CONTROL!$C$21, $C$9, 100%, $E$9)</f>
        <v>98.264899999999997</v>
      </c>
      <c r="L927" s="14">
        <f>CHOOSE(CONTROL!$C$42, 98.6361, 98.6361) * CHOOSE(CONTROL!$C$21, $C$9, 100%, $E$9)</f>
        <v>98.636099999999999</v>
      </c>
      <c r="M927" s="14">
        <f>CHOOSE(CONTROL!$C$42, 95.9354, 95.9354) * CHOOSE(CONTROL!$C$21, $C$9, 100%, $E$9)</f>
        <v>95.935400000000001</v>
      </c>
      <c r="N927" s="14">
        <f>CHOOSE(CONTROL!$C$42, 95.9505, 95.9505) * CHOOSE(CONTROL!$C$21, $C$9, 100%, $E$9)</f>
        <v>95.950500000000005</v>
      </c>
      <c r="O927" s="14">
        <f>CHOOSE(CONTROL!$C$42, 96.0479, 96.0479) * CHOOSE(CONTROL!$C$21, $C$9, 100%, $E$9)</f>
        <v>96.047899999999998</v>
      </c>
      <c r="P927" s="14">
        <f>CHOOSE(CONTROL!$C$42, 96.2569, 96.2569) * CHOOSE(CONTROL!$C$21, $C$9, 100%, $E$9)</f>
        <v>96.256900000000002</v>
      </c>
      <c r="Q927" s="14">
        <f>CHOOSE(CONTROL!$C$42, 96.6426, 96.6426) * CHOOSE(CONTROL!$C$21, $C$9, 100%, $E$9)</f>
        <v>96.642600000000002</v>
      </c>
      <c r="R927" s="14">
        <f>CHOOSE(CONTROL!$C$42, 97.4712, 97.4712) * CHOOSE(CONTROL!$C$21, $C$9, 100%, $E$9)</f>
        <v>97.471199999999996</v>
      </c>
      <c r="S927" s="14">
        <f>CHOOSE(CONTROL!$C$42, 94.1158, 94.1158) * CHOOSE(CONTROL!$C$21, $C$9, 100%, $E$9)</f>
        <v>94.115799999999993</v>
      </c>
      <c r="T92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27" s="57">
        <f>(1000*CHOOSE(CONTROL!$C$42, 695, 695)*CHOOSE(CONTROL!$C$42, 0.5599, 0.5599)*CHOOSE(CONTROL!$C$42, 31, 31))/1000000</f>
        <v>12.063045499999998</v>
      </c>
      <c r="V927" s="57">
        <f>(1000*CHOOSE(CONTROL!$C$42, 500, 500)*CHOOSE(CONTROL!$C$42, 0.275, 0.275)*CHOOSE(CONTROL!$C$42, 31, 31))/1000000</f>
        <v>4.2625000000000002</v>
      </c>
      <c r="W927" s="57">
        <f>(1000*CHOOSE(CONTROL!$C$42, 0.1146, 0.1146)*CHOOSE(CONTROL!$C$42, 121.5, 121.5)*CHOOSE(CONTROL!$C$42, 31, 31))/1000000</f>
        <v>0.43164089999999994</v>
      </c>
      <c r="X927" s="57">
        <f>(31*0.1790888*100000/1000000)+(31*0.2374*100000/1000000)</f>
        <v>1.2911152800000001</v>
      </c>
      <c r="Y927" s="57"/>
      <c r="Z927" s="14"/>
      <c r="AA927" s="56"/>
      <c r="AB927" s="50">
        <f>(B927*122.58+C927*297.941+D927*89.177+E927*40.302+F927*40+G927*160+H927*0+I927*100+J927*300)/(122.58+297.941+89.177+40.302+0+40+160+100+300)</f>
        <v>97.986899605043476</v>
      </c>
      <c r="AC927" s="45">
        <f>(M927*'RAP TEMPLATE-GAS AVAILABILITY'!O926+N927*'RAP TEMPLATE-GAS AVAILABILITY'!P926+O927*'RAP TEMPLATE-GAS AVAILABILITY'!Q926+P927*'RAP TEMPLATE-GAS AVAILABILITY'!R926)/('RAP TEMPLATE-GAS AVAILABILITY'!O926+'RAP TEMPLATE-GAS AVAILABILITY'!P926+'RAP TEMPLATE-GAS AVAILABILITY'!Q926+'RAP TEMPLATE-GAS AVAILABILITY'!R926)</f>
        <v>96.033517266187062</v>
      </c>
    </row>
    <row r="928" spans="1:29" ht="15.75" x14ac:dyDescent="0.25">
      <c r="A928" s="32">
        <v>69153</v>
      </c>
      <c r="B928" s="14">
        <f>CHOOSE(CONTROL!$C$42, 97.6623, 97.6623) * CHOOSE(CONTROL!$C$21, $C$9, 100%, $E$9)</f>
        <v>97.662300000000002</v>
      </c>
      <c r="C928" s="14">
        <f>CHOOSE(CONTROL!$C$42, 97.6667, 97.6667) * CHOOSE(CONTROL!$C$21, $C$9, 100%, $E$9)</f>
        <v>97.666700000000006</v>
      </c>
      <c r="D928" s="14">
        <f>CHOOSE(CONTROL!$C$42, 97.8738, 97.8738) * CHOOSE(CONTROL!$C$21, $C$9, 100%, $E$9)</f>
        <v>97.873800000000003</v>
      </c>
      <c r="E928" s="14">
        <f>CHOOSE(CONTROL!$C$42, 97.9059, 97.9059) * CHOOSE(CONTROL!$C$21, $C$9, 100%, $E$9)</f>
        <v>97.905900000000003</v>
      </c>
      <c r="F928" s="14">
        <f>CHOOSE(CONTROL!$C$42, 97.6441, 97.6441)*CHOOSE(CONTROL!$C$21, $C$9, 100%, $E$9)</f>
        <v>97.644099999999995</v>
      </c>
      <c r="G928" s="14">
        <f>CHOOSE(CONTROL!$C$42, 97.6593, 97.6593)*CHOOSE(CONTROL!$C$21, $C$9, 100%, $E$9)</f>
        <v>97.659300000000002</v>
      </c>
      <c r="H928" s="14">
        <f>CHOOSE(CONTROL!$C$42, 97.8957, 97.8957) * CHOOSE(CONTROL!$C$21, $C$9, 100%, $E$9)</f>
        <v>97.895700000000005</v>
      </c>
      <c r="I928" s="14">
        <f>CHOOSE(CONTROL!$C$42, 97.975, 97.975)* CHOOSE(CONTROL!$C$21, $C$9, 100%, $E$9)</f>
        <v>97.974999999999994</v>
      </c>
      <c r="J928" s="14">
        <f>CHOOSE(CONTROL!$C$42, 97.6371, 97.6371)* CHOOSE(CONTROL!$C$21, $C$9, 100%, $E$9)</f>
        <v>97.637100000000004</v>
      </c>
      <c r="K928" s="53">
        <f>CHOOSE(CONTROL!$C$42, 97.9711, 97.9711) * CHOOSE(CONTROL!$C$21, $C$9, 100%, $E$9)</f>
        <v>97.971100000000007</v>
      </c>
      <c r="L928" s="14">
        <f>CHOOSE(CONTROL!$C$42, 98.4827, 98.4827) * CHOOSE(CONTROL!$C$21, $C$9, 100%, $E$9)</f>
        <v>98.482699999999994</v>
      </c>
      <c r="M928" s="14">
        <f>CHOOSE(CONTROL!$C$42, 95.6443, 95.6443) * CHOOSE(CONTROL!$C$21, $C$9, 100%, $E$9)</f>
        <v>95.644300000000001</v>
      </c>
      <c r="N928" s="14">
        <f>CHOOSE(CONTROL!$C$42, 95.6592, 95.6592) * CHOOSE(CONTROL!$C$21, $C$9, 100%, $E$9)</f>
        <v>95.659199999999998</v>
      </c>
      <c r="O928" s="14">
        <f>CHOOSE(CONTROL!$C$42, 95.8976, 95.8976) * CHOOSE(CONTROL!$C$21, $C$9, 100%, $E$9)</f>
        <v>95.897599999999997</v>
      </c>
      <c r="P928" s="14">
        <f>CHOOSE(CONTROL!$C$42, 95.9691, 95.9691) * CHOOSE(CONTROL!$C$21, $C$9, 100%, $E$9)</f>
        <v>95.969099999999997</v>
      </c>
      <c r="Q928" s="14">
        <f>CHOOSE(CONTROL!$C$42, 96.4923, 96.4923) * CHOOSE(CONTROL!$C$21, $C$9, 100%, $E$9)</f>
        <v>96.4923</v>
      </c>
      <c r="R928" s="14">
        <f>CHOOSE(CONTROL!$C$42, 97.3205, 97.3205) * CHOOSE(CONTROL!$C$21, $C$9, 100%, $E$9)</f>
        <v>97.320499999999996</v>
      </c>
      <c r="S928" s="14">
        <f>CHOOSE(CONTROL!$C$42, 93.8344, 93.8344) * CHOOSE(CONTROL!$C$21, $C$9, 100%, $E$9)</f>
        <v>93.834400000000002</v>
      </c>
      <c r="T92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28" s="57">
        <f>(1000*CHOOSE(CONTROL!$C$42, 695, 695)*CHOOSE(CONTROL!$C$42, 0.5599, 0.5599)*CHOOSE(CONTROL!$C$42, 30, 30))/1000000</f>
        <v>11.673914999999997</v>
      </c>
      <c r="V928" s="57">
        <f>(1000*CHOOSE(CONTROL!$C$42, 500, 500)*CHOOSE(CONTROL!$C$42, 0.275, 0.275)*CHOOSE(CONTROL!$C$42, 30, 30))/1000000</f>
        <v>4.125</v>
      </c>
      <c r="W928" s="57">
        <f>(1000*CHOOSE(CONTROL!$C$42, 0.1146, 0.1146)*CHOOSE(CONTROL!$C$42, 121.5, 121.5)*CHOOSE(CONTROL!$C$42, 30, 30))/1000000</f>
        <v>0.417717</v>
      </c>
      <c r="X928" s="57">
        <f>(30*0.1790888*245000/1000000)+(30*0.2374*100000/1000000)</f>
        <v>2.0285026799999999</v>
      </c>
      <c r="Y928" s="57"/>
      <c r="Z928" s="14"/>
      <c r="AA928" s="56"/>
      <c r="AB928" s="50">
        <f>(B928*141.293+C928*267.993+D928*115.016+E928*89.698+F928*40+G928*185+H928*0+I928*100+J928*300)/(141.293+267.993+115.016+89.698+0+40+185+100+300)</f>
        <v>97.718621619047624</v>
      </c>
      <c r="AC928" s="45">
        <f>(M928*'RAP TEMPLATE-GAS AVAILABILITY'!O927+N928*'RAP TEMPLATE-GAS AVAILABILITY'!P927+O928*'RAP TEMPLATE-GAS AVAILABILITY'!Q927+P928*'RAP TEMPLATE-GAS AVAILABILITY'!R927)/('RAP TEMPLATE-GAS AVAILABILITY'!O927+'RAP TEMPLATE-GAS AVAILABILITY'!P927+'RAP TEMPLATE-GAS AVAILABILITY'!Q927+'RAP TEMPLATE-GAS AVAILABILITY'!R927)</f>
        <v>95.806696402877691</v>
      </c>
    </row>
    <row r="929" spans="1:29" ht="15.75" x14ac:dyDescent="0.25">
      <c r="A929" s="32">
        <v>69184</v>
      </c>
      <c r="B929" s="14">
        <f>CHOOSE(CONTROL!$C$42, 98.5255, 98.5255) * CHOOSE(CONTROL!$C$21, $C$9, 100%, $E$9)</f>
        <v>98.525499999999994</v>
      </c>
      <c r="C929" s="14">
        <f>CHOOSE(CONTROL!$C$42, 98.5336, 98.5336) * CHOOSE(CONTROL!$C$21, $C$9, 100%, $E$9)</f>
        <v>98.533600000000007</v>
      </c>
      <c r="D929" s="14">
        <f>CHOOSE(CONTROL!$C$42, 98.7375, 98.7375) * CHOOSE(CONTROL!$C$21, $C$9, 100%, $E$9)</f>
        <v>98.737499999999997</v>
      </c>
      <c r="E929" s="14">
        <f>CHOOSE(CONTROL!$C$42, 98.769, 98.769) * CHOOSE(CONTROL!$C$21, $C$9, 100%, $E$9)</f>
        <v>98.769000000000005</v>
      </c>
      <c r="F929" s="14">
        <f>CHOOSE(CONTROL!$C$42, 98.5063, 98.5063)*CHOOSE(CONTROL!$C$21, $C$9, 100%, $E$9)</f>
        <v>98.506299999999996</v>
      </c>
      <c r="G929" s="14">
        <f>CHOOSE(CONTROL!$C$42, 98.5219, 98.5219)*CHOOSE(CONTROL!$C$21, $C$9, 100%, $E$9)</f>
        <v>98.521900000000002</v>
      </c>
      <c r="H929" s="14">
        <f>CHOOSE(CONTROL!$C$42, 98.7576, 98.7576) * CHOOSE(CONTROL!$C$21, $C$9, 100%, $E$9)</f>
        <v>98.757599999999996</v>
      </c>
      <c r="I929" s="14">
        <f>CHOOSE(CONTROL!$C$42, 98.8395, 98.8395)* CHOOSE(CONTROL!$C$21, $C$9, 100%, $E$9)</f>
        <v>98.839500000000001</v>
      </c>
      <c r="J929" s="14">
        <f>CHOOSE(CONTROL!$C$42, 98.4993, 98.4993)* CHOOSE(CONTROL!$C$21, $C$9, 100%, $E$9)</f>
        <v>98.499300000000005</v>
      </c>
      <c r="K929" s="53">
        <f>CHOOSE(CONTROL!$C$42, 98.8357, 98.8357) * CHOOSE(CONTROL!$C$21, $C$9, 100%, $E$9)</f>
        <v>98.835700000000003</v>
      </c>
      <c r="L929" s="14">
        <f>CHOOSE(CONTROL!$C$42, 99.3446, 99.3446) * CHOOSE(CONTROL!$C$21, $C$9, 100%, $E$9)</f>
        <v>99.3446</v>
      </c>
      <c r="M929" s="14">
        <f>CHOOSE(CONTROL!$C$42, 96.4888, 96.4888) * CHOOSE(CONTROL!$C$21, $C$9, 100%, $E$9)</f>
        <v>96.488799999999998</v>
      </c>
      <c r="N929" s="14">
        <f>CHOOSE(CONTROL!$C$42, 96.5041, 96.5041) * CHOOSE(CONTROL!$C$21, $C$9, 100%, $E$9)</f>
        <v>96.504099999999994</v>
      </c>
      <c r="O929" s="14">
        <f>CHOOSE(CONTROL!$C$42, 96.7418, 96.7418) * CHOOSE(CONTROL!$C$21, $C$9, 100%, $E$9)</f>
        <v>96.741799999999998</v>
      </c>
      <c r="P929" s="14">
        <f>CHOOSE(CONTROL!$C$42, 96.816, 96.816) * CHOOSE(CONTROL!$C$21, $C$9, 100%, $E$9)</f>
        <v>96.816000000000003</v>
      </c>
      <c r="Q929" s="14">
        <f>CHOOSE(CONTROL!$C$42, 97.3365, 97.3365) * CHOOSE(CONTROL!$C$21, $C$9, 100%, $E$9)</f>
        <v>97.336500000000001</v>
      </c>
      <c r="R929" s="14">
        <f>CHOOSE(CONTROL!$C$42, 98.1669, 98.1669) * CHOOSE(CONTROL!$C$21, $C$9, 100%, $E$9)</f>
        <v>98.166899999999998</v>
      </c>
      <c r="S929" s="14">
        <f>CHOOSE(CONTROL!$C$42, 94.6626, 94.6626) * CHOOSE(CONTROL!$C$21, $C$9, 100%, $E$9)</f>
        <v>94.662599999999998</v>
      </c>
      <c r="T92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29" s="57">
        <f>(1000*CHOOSE(CONTROL!$C$42, 695, 695)*CHOOSE(CONTROL!$C$42, 0.5599, 0.5599)*CHOOSE(CONTROL!$C$42, 31, 31))/1000000</f>
        <v>12.063045499999998</v>
      </c>
      <c r="V929" s="57">
        <f>(1000*CHOOSE(CONTROL!$C$42, 500, 500)*CHOOSE(CONTROL!$C$42, 0.275, 0.275)*CHOOSE(CONTROL!$C$42, 31, 31))/1000000</f>
        <v>4.2625000000000002</v>
      </c>
      <c r="W929" s="57">
        <f>(1000*CHOOSE(CONTROL!$C$42, 0.1146, 0.1146)*CHOOSE(CONTROL!$C$42, 121.5, 121.5)*CHOOSE(CONTROL!$C$42, 31, 31))/1000000</f>
        <v>0.43164089999999994</v>
      </c>
      <c r="X929" s="57">
        <f>(31*0.1790888*245000/1000000)+(31*0.2374*100000/1000000)</f>
        <v>2.0961194359999999</v>
      </c>
      <c r="Y929" s="57"/>
      <c r="Z929" s="14"/>
      <c r="AA929" s="56"/>
      <c r="AB929" s="50">
        <f>(B929*194.205+C929*267.466+D929*133.845+E929*53.484+F929*40+G929*185+H929*0+I929*100+J929*300)/(194.205+267.466+133.845+53.484+0+40+185+100+300)</f>
        <v>98.577047071114592</v>
      </c>
      <c r="AC929" s="45">
        <f>(M929*'RAP TEMPLATE-GAS AVAILABILITY'!O928+N929*'RAP TEMPLATE-GAS AVAILABILITY'!P928+O929*'RAP TEMPLATE-GAS AVAILABILITY'!Q928+P929*'RAP TEMPLATE-GAS AVAILABILITY'!R928)/('RAP TEMPLATE-GAS AVAILABILITY'!O928+'RAP TEMPLATE-GAS AVAILABILITY'!P928+'RAP TEMPLATE-GAS AVAILABILITY'!Q928+'RAP TEMPLATE-GAS AVAILABILITY'!R928)</f>
        <v>96.65142877697842</v>
      </c>
    </row>
    <row r="930" spans="1:29" ht="15.75" x14ac:dyDescent="0.25">
      <c r="A930" s="32">
        <v>69214</v>
      </c>
      <c r="B930" s="14">
        <f>CHOOSE(CONTROL!$C$42, 101.32, 101.32) * CHOOSE(CONTROL!$C$21, $C$9, 100%, $E$9)</f>
        <v>101.32</v>
      </c>
      <c r="C930" s="14">
        <f>CHOOSE(CONTROL!$C$42, 101.328, 101.328) * CHOOSE(CONTROL!$C$21, $C$9, 100%, $E$9)</f>
        <v>101.328</v>
      </c>
      <c r="D930" s="14">
        <f>CHOOSE(CONTROL!$C$42, 101.532, 101.532) * CHOOSE(CONTROL!$C$21, $C$9, 100%, $E$9)</f>
        <v>101.532</v>
      </c>
      <c r="E930" s="14">
        <f>CHOOSE(CONTROL!$C$42, 101.5634, 101.5634) * CHOOSE(CONTROL!$C$21, $C$9, 100%, $E$9)</f>
        <v>101.5634</v>
      </c>
      <c r="F930" s="14">
        <f>CHOOSE(CONTROL!$C$42, 101.3012, 101.3012)*CHOOSE(CONTROL!$C$21, $C$9, 100%, $E$9)</f>
        <v>101.30119999999999</v>
      </c>
      <c r="G930" s="14">
        <f>CHOOSE(CONTROL!$C$42, 101.317, 101.317)*CHOOSE(CONTROL!$C$21, $C$9, 100%, $E$9)</f>
        <v>101.31699999999999</v>
      </c>
      <c r="H930" s="14">
        <f>CHOOSE(CONTROL!$C$42, 101.5521, 101.5521) * CHOOSE(CONTROL!$C$21, $C$9, 100%, $E$9)</f>
        <v>101.5521</v>
      </c>
      <c r="I930" s="14">
        <f>CHOOSE(CONTROL!$C$42, 101.6428, 101.6428)* CHOOSE(CONTROL!$C$21, $C$9, 100%, $E$9)</f>
        <v>101.64279999999999</v>
      </c>
      <c r="J930" s="14">
        <f>CHOOSE(CONTROL!$C$42, 101.2942, 101.2942)* CHOOSE(CONTROL!$C$21, $C$9, 100%, $E$9)</f>
        <v>101.2942</v>
      </c>
      <c r="K930" s="53">
        <f>CHOOSE(CONTROL!$C$42, 101.6389, 101.6389) * CHOOSE(CONTROL!$C$21, $C$9, 100%, $E$9)</f>
        <v>101.63890000000001</v>
      </c>
      <c r="L930" s="14">
        <f>CHOOSE(CONTROL!$C$42, 102.1391, 102.1391) * CHOOSE(CONTROL!$C$21, $C$9, 100%, $E$9)</f>
        <v>102.1391</v>
      </c>
      <c r="M930" s="14">
        <f>CHOOSE(CONTROL!$C$42, 99.2264, 99.2264) * CHOOSE(CONTROL!$C$21, $C$9, 100%, $E$9)</f>
        <v>99.226399999999998</v>
      </c>
      <c r="N930" s="14">
        <f>CHOOSE(CONTROL!$C$42, 99.2419, 99.2419) * CHOOSE(CONTROL!$C$21, $C$9, 100%, $E$9)</f>
        <v>99.241900000000001</v>
      </c>
      <c r="O930" s="14">
        <f>CHOOSE(CONTROL!$C$42, 99.479, 99.479) * CHOOSE(CONTROL!$C$21, $C$9, 100%, $E$9)</f>
        <v>99.478999999999999</v>
      </c>
      <c r="P930" s="14">
        <f>CHOOSE(CONTROL!$C$42, 99.5616, 99.5616) * CHOOSE(CONTROL!$C$21, $C$9, 100%, $E$9)</f>
        <v>99.561599999999999</v>
      </c>
      <c r="Q930" s="14">
        <f>CHOOSE(CONTROL!$C$42, 100.0737, 100.0737) * CHOOSE(CONTROL!$C$21, $C$9, 100%, $E$9)</f>
        <v>100.0737</v>
      </c>
      <c r="R930" s="14">
        <f>CHOOSE(CONTROL!$C$42, 100.9109, 100.9109) * CHOOSE(CONTROL!$C$21, $C$9, 100%, $E$9)</f>
        <v>100.9109</v>
      </c>
      <c r="S930" s="14">
        <f>CHOOSE(CONTROL!$C$42, 97.3478, 97.3478) * CHOOSE(CONTROL!$C$21, $C$9, 100%, $E$9)</f>
        <v>97.347800000000007</v>
      </c>
      <c r="T93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30" s="57">
        <f>(1000*CHOOSE(CONTROL!$C$42, 695, 695)*CHOOSE(CONTROL!$C$42, 0.5599, 0.5599)*CHOOSE(CONTROL!$C$42, 30, 30))/1000000</f>
        <v>11.673914999999997</v>
      </c>
      <c r="V930" s="57">
        <f>(1000*CHOOSE(CONTROL!$C$42, 500, 500)*CHOOSE(CONTROL!$C$42, 0.275, 0.275)*CHOOSE(CONTROL!$C$42, 30, 30))/1000000</f>
        <v>4.125</v>
      </c>
      <c r="W930" s="57">
        <f>(1000*CHOOSE(CONTROL!$C$42, 0.1146, 0.1146)*CHOOSE(CONTROL!$C$42, 121.5, 121.5)*CHOOSE(CONTROL!$C$42, 30, 30))/1000000</f>
        <v>0.417717</v>
      </c>
      <c r="X930" s="57">
        <f>(30*0.1790888*245000/1000000)+(30*0.2374*100000/1000000)</f>
        <v>2.0285026799999999</v>
      </c>
      <c r="Y930" s="57"/>
      <c r="Z930" s="14"/>
      <c r="AA930" s="56"/>
      <c r="AB930" s="50">
        <f>(B930*194.205+C930*267.466+D930*133.845+E930*53.484+F930*40+G930*185+H930*0+I930*100+J930*300)/(194.205+267.466+133.845+53.484+0+40+185+100+300)</f>
        <v>101.37240649419152</v>
      </c>
      <c r="AC930" s="45">
        <f>(M930*'RAP TEMPLATE-GAS AVAILABILITY'!O929+N930*'RAP TEMPLATE-GAS AVAILABILITY'!P929+O930*'RAP TEMPLATE-GAS AVAILABILITY'!Q929+P930*'RAP TEMPLATE-GAS AVAILABILITY'!R929)/('RAP TEMPLATE-GAS AVAILABILITY'!O929+'RAP TEMPLATE-GAS AVAILABILITY'!P929+'RAP TEMPLATE-GAS AVAILABILITY'!Q929+'RAP TEMPLATE-GAS AVAILABILITY'!R929)</f>
        <v>99.390010071942442</v>
      </c>
    </row>
    <row r="931" spans="1:29" ht="15.75" x14ac:dyDescent="0.25">
      <c r="A931" s="32">
        <v>69245</v>
      </c>
      <c r="B931" s="14">
        <f>CHOOSE(CONTROL!$C$42, 99.3764, 99.3764) * CHOOSE(CONTROL!$C$21, $C$9, 100%, $E$9)</f>
        <v>99.376400000000004</v>
      </c>
      <c r="C931" s="14">
        <f>CHOOSE(CONTROL!$C$42, 99.3845, 99.3845) * CHOOSE(CONTROL!$C$21, $C$9, 100%, $E$9)</f>
        <v>99.384500000000003</v>
      </c>
      <c r="D931" s="14">
        <f>CHOOSE(CONTROL!$C$42, 99.5884, 99.5884) * CHOOSE(CONTROL!$C$21, $C$9, 100%, $E$9)</f>
        <v>99.588399999999993</v>
      </c>
      <c r="E931" s="14">
        <f>CHOOSE(CONTROL!$C$42, 99.6199, 99.6199) * CHOOSE(CONTROL!$C$21, $C$9, 100%, $E$9)</f>
        <v>99.619900000000001</v>
      </c>
      <c r="F931" s="14">
        <f>CHOOSE(CONTROL!$C$42, 99.3581, 99.3581)*CHOOSE(CONTROL!$C$21, $C$9, 100%, $E$9)</f>
        <v>99.358099999999993</v>
      </c>
      <c r="G931" s="14">
        <f>CHOOSE(CONTROL!$C$42, 99.374, 99.374)*CHOOSE(CONTROL!$C$21, $C$9, 100%, $E$9)</f>
        <v>99.373999999999995</v>
      </c>
      <c r="H931" s="14">
        <f>CHOOSE(CONTROL!$C$42, 99.6085, 99.6085) * CHOOSE(CONTROL!$C$21, $C$9, 100%, $E$9)</f>
        <v>99.608500000000006</v>
      </c>
      <c r="I931" s="14">
        <f>CHOOSE(CONTROL!$C$42, 99.6931, 99.6931)* CHOOSE(CONTROL!$C$21, $C$9, 100%, $E$9)</f>
        <v>99.693100000000001</v>
      </c>
      <c r="J931" s="14">
        <f>CHOOSE(CONTROL!$C$42, 99.3511, 99.3511)* CHOOSE(CONTROL!$C$21, $C$9, 100%, $E$9)</f>
        <v>99.351100000000002</v>
      </c>
      <c r="K931" s="53">
        <f>CHOOSE(CONTROL!$C$42, 99.6892, 99.6892) * CHOOSE(CONTROL!$C$21, $C$9, 100%, $E$9)</f>
        <v>99.6892</v>
      </c>
      <c r="L931" s="14">
        <f>CHOOSE(CONTROL!$C$42, 100.1955, 100.1955) * CHOOSE(CONTROL!$C$21, $C$9, 100%, $E$9)</f>
        <v>100.1955</v>
      </c>
      <c r="M931" s="14">
        <f>CHOOSE(CONTROL!$C$42, 97.3231, 97.3231) * CHOOSE(CONTROL!$C$21, $C$9, 100%, $E$9)</f>
        <v>97.323099999999997</v>
      </c>
      <c r="N931" s="14">
        <f>CHOOSE(CONTROL!$C$42, 97.3387, 97.3387) * CHOOSE(CONTROL!$C$21, $C$9, 100%, $E$9)</f>
        <v>97.338700000000003</v>
      </c>
      <c r="O931" s="14">
        <f>CHOOSE(CONTROL!$C$42, 97.5753, 97.5753) * CHOOSE(CONTROL!$C$21, $C$9, 100%, $E$9)</f>
        <v>97.575299999999999</v>
      </c>
      <c r="P931" s="14">
        <f>CHOOSE(CONTROL!$C$42, 97.652, 97.652) * CHOOSE(CONTROL!$C$21, $C$9, 100%, $E$9)</f>
        <v>97.652000000000001</v>
      </c>
      <c r="Q931" s="14">
        <f>CHOOSE(CONTROL!$C$42, 98.17, 98.17) * CHOOSE(CONTROL!$C$21, $C$9, 100%, $E$9)</f>
        <v>98.17</v>
      </c>
      <c r="R931" s="14">
        <f>CHOOSE(CONTROL!$C$42, 99.0024, 99.0024) * CHOOSE(CONTROL!$C$21, $C$9, 100%, $E$9)</f>
        <v>99.002399999999994</v>
      </c>
      <c r="S931" s="14">
        <f>CHOOSE(CONTROL!$C$42, 95.4802, 95.4802) * CHOOSE(CONTROL!$C$21, $C$9, 100%, $E$9)</f>
        <v>95.480199999999996</v>
      </c>
      <c r="T93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31" s="57">
        <f>(1000*CHOOSE(CONTROL!$C$42, 695, 695)*CHOOSE(CONTROL!$C$42, 0.5599, 0.5599)*CHOOSE(CONTROL!$C$42, 31, 31))/1000000</f>
        <v>12.063045499999998</v>
      </c>
      <c r="V931" s="57">
        <f>(1000*CHOOSE(CONTROL!$C$42, 500, 500)*CHOOSE(CONTROL!$C$42, 0.275, 0.275)*CHOOSE(CONTROL!$C$42, 31, 31))/1000000</f>
        <v>4.2625000000000002</v>
      </c>
      <c r="W931" s="57">
        <f>(1000*CHOOSE(CONTROL!$C$42, 0.1146, 0.1146)*CHOOSE(CONTROL!$C$42, 121.5, 121.5)*CHOOSE(CONTROL!$C$42, 31, 31))/1000000</f>
        <v>0.43164089999999994</v>
      </c>
      <c r="X931" s="57">
        <f>(31*0.1790888*245000/1000000)+(31*0.2374*100000/1000000)</f>
        <v>2.0961194359999999</v>
      </c>
      <c r="Y931" s="57"/>
      <c r="Z931" s="14"/>
      <c r="AA931" s="56"/>
      <c r="AB931" s="50">
        <f>(B931*194.205+C931*267.466+D931*133.845+E931*53.484+F931*40+G931*185+H931*0+I931*100+J931*300)/(194.205+267.466+133.845+53.484+0+40+185+100+300)</f>
        <v>99.428573444740977</v>
      </c>
      <c r="AC931" s="45">
        <f>(M931*'RAP TEMPLATE-GAS AVAILABILITY'!O930+N931*'RAP TEMPLATE-GAS AVAILABILITY'!P930+O931*'RAP TEMPLATE-GAS AVAILABILITY'!Q930+P931*'RAP TEMPLATE-GAS AVAILABILITY'!R930)/('RAP TEMPLATE-GAS AVAILABILITY'!O930+'RAP TEMPLATE-GAS AVAILABILITY'!P930+'RAP TEMPLATE-GAS AVAILABILITY'!Q930+'RAP TEMPLATE-GAS AVAILABILITY'!R930)</f>
        <v>97.485628057553953</v>
      </c>
    </row>
    <row r="932" spans="1:29" ht="15.75" x14ac:dyDescent="0.25">
      <c r="A932" s="32">
        <v>69276</v>
      </c>
      <c r="B932" s="14">
        <f>CHOOSE(CONTROL!$C$42, 94.4683, 94.4683) * CHOOSE(CONTROL!$C$21, $C$9, 100%, $E$9)</f>
        <v>94.468299999999999</v>
      </c>
      <c r="C932" s="14">
        <f>CHOOSE(CONTROL!$C$42, 94.4763, 94.4763) * CHOOSE(CONTROL!$C$21, $C$9, 100%, $E$9)</f>
        <v>94.476299999999995</v>
      </c>
      <c r="D932" s="14">
        <f>CHOOSE(CONTROL!$C$42, 94.6803, 94.6803) * CHOOSE(CONTROL!$C$21, $C$9, 100%, $E$9)</f>
        <v>94.680300000000003</v>
      </c>
      <c r="E932" s="14">
        <f>CHOOSE(CONTROL!$C$42, 94.7117, 94.7117) * CHOOSE(CONTROL!$C$21, $C$9, 100%, $E$9)</f>
        <v>94.711699999999993</v>
      </c>
      <c r="F932" s="14">
        <f>CHOOSE(CONTROL!$C$42, 94.4502, 94.4502)*CHOOSE(CONTROL!$C$21, $C$9, 100%, $E$9)</f>
        <v>94.450199999999995</v>
      </c>
      <c r="G932" s="14">
        <f>CHOOSE(CONTROL!$C$42, 94.4661, 94.4661)*CHOOSE(CONTROL!$C$21, $C$9, 100%, $E$9)</f>
        <v>94.466099999999997</v>
      </c>
      <c r="H932" s="14">
        <f>CHOOSE(CONTROL!$C$42, 94.7004, 94.7004) * CHOOSE(CONTROL!$C$21, $C$9, 100%, $E$9)</f>
        <v>94.700400000000002</v>
      </c>
      <c r="I932" s="14">
        <f>CHOOSE(CONTROL!$C$42, 94.7696, 94.7696)* CHOOSE(CONTROL!$C$21, $C$9, 100%, $E$9)</f>
        <v>94.769599999999997</v>
      </c>
      <c r="J932" s="14">
        <f>CHOOSE(CONTROL!$C$42, 94.4432, 94.4432)* CHOOSE(CONTROL!$C$21, $C$9, 100%, $E$9)</f>
        <v>94.443200000000004</v>
      </c>
      <c r="K932" s="53">
        <f>CHOOSE(CONTROL!$C$42, 94.7657, 94.7657) * CHOOSE(CONTROL!$C$21, $C$9, 100%, $E$9)</f>
        <v>94.765699999999995</v>
      </c>
      <c r="L932" s="14">
        <f>CHOOSE(CONTROL!$C$42, 95.2874, 95.2874) * CHOOSE(CONTROL!$C$21, $C$9, 100%, $E$9)</f>
        <v>95.287400000000005</v>
      </c>
      <c r="M932" s="14">
        <f>CHOOSE(CONTROL!$C$42, 92.5158, 92.5158) * CHOOSE(CONTROL!$C$21, $C$9, 100%, $E$9)</f>
        <v>92.515799999999999</v>
      </c>
      <c r="N932" s="14">
        <f>CHOOSE(CONTROL!$C$42, 92.5314, 92.5314) * CHOOSE(CONTROL!$C$21, $C$9, 100%, $E$9)</f>
        <v>92.531400000000005</v>
      </c>
      <c r="O932" s="14">
        <f>CHOOSE(CONTROL!$C$42, 92.7677, 92.7677) * CHOOSE(CONTROL!$C$21, $C$9, 100%, $E$9)</f>
        <v>92.767700000000005</v>
      </c>
      <c r="P932" s="14">
        <f>CHOOSE(CONTROL!$C$42, 92.8297, 92.8297) * CHOOSE(CONTROL!$C$21, $C$9, 100%, $E$9)</f>
        <v>92.829700000000003</v>
      </c>
      <c r="Q932" s="14">
        <f>CHOOSE(CONTROL!$C$42, 93.3624, 93.3624) * CHOOSE(CONTROL!$C$21, $C$9, 100%, $E$9)</f>
        <v>93.362399999999994</v>
      </c>
      <c r="R932" s="14">
        <f>CHOOSE(CONTROL!$C$42, 94.1828, 94.1828) * CHOOSE(CONTROL!$C$21, $C$9, 100%, $E$9)</f>
        <v>94.1828</v>
      </c>
      <c r="S932" s="14">
        <f>CHOOSE(CONTROL!$C$42, 90.764, 90.764) * CHOOSE(CONTROL!$C$21, $C$9, 100%, $E$9)</f>
        <v>90.763999999999996</v>
      </c>
      <c r="T93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32" s="57">
        <f>(1000*CHOOSE(CONTROL!$C$42, 695, 695)*CHOOSE(CONTROL!$C$42, 0.5599, 0.5599)*CHOOSE(CONTROL!$C$42, 31, 31))/1000000</f>
        <v>12.063045499999998</v>
      </c>
      <c r="V932" s="57">
        <f>(1000*CHOOSE(CONTROL!$C$42, 500, 500)*CHOOSE(CONTROL!$C$42, 0.275, 0.275)*CHOOSE(CONTROL!$C$42, 31, 31))/1000000</f>
        <v>4.2625000000000002</v>
      </c>
      <c r="W932" s="57">
        <f>(1000*CHOOSE(CONTROL!$C$42, 0.1146, 0.1146)*CHOOSE(CONTROL!$C$42, 121.5, 121.5)*CHOOSE(CONTROL!$C$42, 31, 31))/1000000</f>
        <v>0.43164089999999994</v>
      </c>
      <c r="X932" s="57">
        <f>(31*0.1790888*245000/1000000)+(31*0.2374*100000/1000000)</f>
        <v>2.0961194359999999</v>
      </c>
      <c r="Y932" s="57"/>
      <c r="Z932" s="14"/>
      <c r="AA932" s="56"/>
      <c r="AB932" s="50">
        <f>(B932*194.205+C932*267.466+D932*133.845+E932*53.484+F932*40+G932*185+H932*0+I932*100+J932*300)/(194.205+267.466+133.845+53.484+0+40+185+100+300)</f>
        <v>94.519321878806906</v>
      </c>
      <c r="AC932" s="45">
        <f>(M932*'RAP TEMPLATE-GAS AVAILABILITY'!O931+N932*'RAP TEMPLATE-GAS AVAILABILITY'!P931+O932*'RAP TEMPLATE-GAS AVAILABILITY'!Q931+P932*'RAP TEMPLATE-GAS AVAILABILITY'!R931)/('RAP TEMPLATE-GAS AVAILABILITY'!O931+'RAP TEMPLATE-GAS AVAILABILITY'!P931+'RAP TEMPLATE-GAS AVAILABILITY'!Q931+'RAP TEMPLATE-GAS AVAILABILITY'!R931)</f>
        <v>92.67603381294964</v>
      </c>
    </row>
    <row r="933" spans="1:29" ht="15.75" x14ac:dyDescent="0.25">
      <c r="A933" s="32">
        <v>69306</v>
      </c>
      <c r="B933" s="14">
        <f>CHOOSE(CONTROL!$C$42, 88.4711, 88.4711) * CHOOSE(CONTROL!$C$21, $C$9, 100%, $E$9)</f>
        <v>88.471100000000007</v>
      </c>
      <c r="C933" s="14">
        <f>CHOOSE(CONTROL!$C$42, 88.4791, 88.4791) * CHOOSE(CONTROL!$C$21, $C$9, 100%, $E$9)</f>
        <v>88.479100000000003</v>
      </c>
      <c r="D933" s="14">
        <f>CHOOSE(CONTROL!$C$42, 88.683, 88.683) * CHOOSE(CONTROL!$C$21, $C$9, 100%, $E$9)</f>
        <v>88.683000000000007</v>
      </c>
      <c r="E933" s="14">
        <f>CHOOSE(CONTROL!$C$42, 88.7145, 88.7145) * CHOOSE(CONTROL!$C$21, $C$9, 100%, $E$9)</f>
        <v>88.714500000000001</v>
      </c>
      <c r="F933" s="14">
        <f>CHOOSE(CONTROL!$C$42, 88.453, 88.453)*CHOOSE(CONTROL!$C$21, $C$9, 100%, $E$9)</f>
        <v>88.453000000000003</v>
      </c>
      <c r="G933" s="14">
        <f>CHOOSE(CONTROL!$C$42, 88.469, 88.469)*CHOOSE(CONTROL!$C$21, $C$9, 100%, $E$9)</f>
        <v>88.468999999999994</v>
      </c>
      <c r="H933" s="14">
        <f>CHOOSE(CONTROL!$C$42, 88.7031, 88.7031) * CHOOSE(CONTROL!$C$21, $C$9, 100%, $E$9)</f>
        <v>88.703100000000006</v>
      </c>
      <c r="I933" s="14">
        <f>CHOOSE(CONTROL!$C$42, 88.7536, 88.7536)* CHOOSE(CONTROL!$C$21, $C$9, 100%, $E$9)</f>
        <v>88.753600000000006</v>
      </c>
      <c r="J933" s="14">
        <f>CHOOSE(CONTROL!$C$42, 88.446, 88.446)* CHOOSE(CONTROL!$C$21, $C$9, 100%, $E$9)</f>
        <v>88.445999999999998</v>
      </c>
      <c r="K933" s="53">
        <f>CHOOSE(CONTROL!$C$42, 88.7497, 88.7497) * CHOOSE(CONTROL!$C$21, $C$9, 100%, $E$9)</f>
        <v>88.749700000000004</v>
      </c>
      <c r="L933" s="14">
        <f>CHOOSE(CONTROL!$C$42, 89.2901, 89.2901) * CHOOSE(CONTROL!$C$21, $C$9, 100%, $E$9)</f>
        <v>89.290099999999995</v>
      </c>
      <c r="M933" s="14">
        <f>CHOOSE(CONTROL!$C$42, 86.6415, 86.6415) * CHOOSE(CONTROL!$C$21, $C$9, 100%, $E$9)</f>
        <v>86.641499999999994</v>
      </c>
      <c r="N933" s="14">
        <f>CHOOSE(CONTROL!$C$42, 86.6571, 86.6571) * CHOOSE(CONTROL!$C$21, $C$9, 100%, $E$9)</f>
        <v>86.6571</v>
      </c>
      <c r="O933" s="14">
        <f>CHOOSE(CONTROL!$C$42, 86.8934, 86.8934) * CHOOSE(CONTROL!$C$21, $C$9, 100%, $E$9)</f>
        <v>86.8934</v>
      </c>
      <c r="P933" s="14">
        <f>CHOOSE(CONTROL!$C$42, 86.9373, 86.9373) * CHOOSE(CONTROL!$C$21, $C$9, 100%, $E$9)</f>
        <v>86.937299999999993</v>
      </c>
      <c r="Q933" s="14">
        <f>CHOOSE(CONTROL!$C$42, 87.4881, 87.4881) * CHOOSE(CONTROL!$C$21, $C$9, 100%, $E$9)</f>
        <v>87.488100000000003</v>
      </c>
      <c r="R933" s="14">
        <f>CHOOSE(CONTROL!$C$42, 88.2938, 88.2938) * CHOOSE(CONTROL!$C$21, $C$9, 100%, $E$9)</f>
        <v>88.293800000000005</v>
      </c>
      <c r="S933" s="14">
        <f>CHOOSE(CONTROL!$C$42, 85.0012, 85.0012) * CHOOSE(CONTROL!$C$21, $C$9, 100%, $E$9)</f>
        <v>85.001199999999997</v>
      </c>
      <c r="T93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33" s="57">
        <f>(1000*CHOOSE(CONTROL!$C$42, 695, 695)*CHOOSE(CONTROL!$C$42, 0.5599, 0.5599)*CHOOSE(CONTROL!$C$42, 30, 30))/1000000</f>
        <v>11.673914999999997</v>
      </c>
      <c r="V933" s="57">
        <f>(1000*CHOOSE(CONTROL!$C$42, 500, 500)*CHOOSE(CONTROL!$C$42, 0.275, 0.275)*CHOOSE(CONTROL!$C$42, 30, 30))/1000000</f>
        <v>4.125</v>
      </c>
      <c r="W933" s="57">
        <f>(1000*CHOOSE(CONTROL!$C$42, 0.1146, 0.1146)*CHOOSE(CONTROL!$C$42, 121.5, 121.5)*CHOOSE(CONTROL!$C$42, 30, 30))/1000000</f>
        <v>0.417717</v>
      </c>
      <c r="X933" s="57">
        <f>(30*0.1790888*245000/1000000)+(30*0.2374*100000/1000000)</f>
        <v>2.0285026799999999</v>
      </c>
      <c r="Y933" s="57"/>
      <c r="Z933" s="14"/>
      <c r="AA933" s="56"/>
      <c r="AB933" s="50">
        <f>(B933*194.205+C933*267.466+D933*133.845+E933*53.484+F933*40+G933*185+H933*0+I933*100+J933*300)/(194.205+267.466+133.845+53.484+0+40+185+100+300)</f>
        <v>88.520650226923081</v>
      </c>
      <c r="AC933" s="45">
        <f>(M933*'RAP TEMPLATE-GAS AVAILABILITY'!O932+N933*'RAP TEMPLATE-GAS AVAILABILITY'!P932+O933*'RAP TEMPLATE-GAS AVAILABILITY'!Q932+P933*'RAP TEMPLATE-GAS AVAILABILITY'!R932)/('RAP TEMPLATE-GAS AVAILABILITY'!O932+'RAP TEMPLATE-GAS AVAILABILITY'!P932+'RAP TEMPLATE-GAS AVAILABILITY'!Q932+'RAP TEMPLATE-GAS AVAILABILITY'!R932)</f>
        <v>86.79912949640287</v>
      </c>
    </row>
    <row r="934" spans="1:29" ht="15.75" x14ac:dyDescent="0.25">
      <c r="A934" s="32">
        <v>69337</v>
      </c>
      <c r="B934" s="14">
        <f>CHOOSE(CONTROL!$C$42, 86.6732, 86.6732) * CHOOSE(CONTROL!$C$21, $C$9, 100%, $E$9)</f>
        <v>86.673199999999994</v>
      </c>
      <c r="C934" s="14">
        <f>CHOOSE(CONTROL!$C$42, 86.6786, 86.6786) * CHOOSE(CONTROL!$C$21, $C$9, 100%, $E$9)</f>
        <v>86.678600000000003</v>
      </c>
      <c r="D934" s="14">
        <f>CHOOSE(CONTROL!$C$42, 86.8875, 86.8875) * CHOOSE(CONTROL!$C$21, $C$9, 100%, $E$9)</f>
        <v>86.887500000000003</v>
      </c>
      <c r="E934" s="14">
        <f>CHOOSE(CONTROL!$C$42, 86.9166, 86.9166) * CHOOSE(CONTROL!$C$21, $C$9, 100%, $E$9)</f>
        <v>86.916600000000003</v>
      </c>
      <c r="F934" s="14">
        <f>CHOOSE(CONTROL!$C$42, 86.6572, 86.6572)*CHOOSE(CONTROL!$C$21, $C$9, 100%, $E$9)</f>
        <v>86.657200000000003</v>
      </c>
      <c r="G934" s="14">
        <f>CHOOSE(CONTROL!$C$42, 86.6729, 86.6729)*CHOOSE(CONTROL!$C$21, $C$9, 100%, $E$9)</f>
        <v>86.672899999999998</v>
      </c>
      <c r="H934" s="14">
        <f>CHOOSE(CONTROL!$C$42, 86.9071, 86.9071) * CHOOSE(CONTROL!$C$21, $C$9, 100%, $E$9)</f>
        <v>86.9071</v>
      </c>
      <c r="I934" s="14">
        <f>CHOOSE(CONTROL!$C$42, 86.9519, 86.9519)* CHOOSE(CONTROL!$C$21, $C$9, 100%, $E$9)</f>
        <v>86.951899999999995</v>
      </c>
      <c r="J934" s="14">
        <f>CHOOSE(CONTROL!$C$42, 86.6502, 86.6502)* CHOOSE(CONTROL!$C$21, $C$9, 100%, $E$9)</f>
        <v>86.650199999999998</v>
      </c>
      <c r="K934" s="53">
        <f>CHOOSE(CONTROL!$C$42, 86.948, 86.948) * CHOOSE(CONTROL!$C$21, $C$9, 100%, $E$9)</f>
        <v>86.947999999999993</v>
      </c>
      <c r="L934" s="14">
        <f>CHOOSE(CONTROL!$C$42, 87.4941, 87.4941) * CHOOSE(CONTROL!$C$21, $C$9, 100%, $E$9)</f>
        <v>87.494100000000003</v>
      </c>
      <c r="M934" s="14">
        <f>CHOOSE(CONTROL!$C$42, 84.8825, 84.8825) * CHOOSE(CONTROL!$C$21, $C$9, 100%, $E$9)</f>
        <v>84.882499999999993</v>
      </c>
      <c r="N934" s="14">
        <f>CHOOSE(CONTROL!$C$42, 84.8979, 84.8979) * CHOOSE(CONTROL!$C$21, $C$9, 100%, $E$9)</f>
        <v>84.897900000000007</v>
      </c>
      <c r="O934" s="14">
        <f>CHOOSE(CONTROL!$C$42, 85.1341, 85.1341) * CHOOSE(CONTROL!$C$21, $C$9, 100%, $E$9)</f>
        <v>85.134100000000004</v>
      </c>
      <c r="P934" s="14">
        <f>CHOOSE(CONTROL!$C$42, 85.1726, 85.1726) * CHOOSE(CONTROL!$C$21, $C$9, 100%, $E$9)</f>
        <v>85.172600000000003</v>
      </c>
      <c r="Q934" s="14">
        <f>CHOOSE(CONTROL!$C$42, 85.7288, 85.7288) * CHOOSE(CONTROL!$C$21, $C$9, 100%, $E$9)</f>
        <v>85.728800000000007</v>
      </c>
      <c r="R934" s="14">
        <f>CHOOSE(CONTROL!$C$42, 86.5301, 86.5301) * CHOOSE(CONTROL!$C$21, $C$9, 100%, $E$9)</f>
        <v>86.530100000000004</v>
      </c>
      <c r="S934" s="14">
        <f>CHOOSE(CONTROL!$C$42, 83.2754, 83.2754) * CHOOSE(CONTROL!$C$21, $C$9, 100%, $E$9)</f>
        <v>83.275400000000005</v>
      </c>
      <c r="T93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34" s="57">
        <f>(1000*CHOOSE(CONTROL!$C$42, 695, 695)*CHOOSE(CONTROL!$C$42, 0.5599, 0.5599)*CHOOSE(CONTROL!$C$42, 31, 31))/1000000</f>
        <v>12.063045499999998</v>
      </c>
      <c r="V934" s="57">
        <f>(1000*CHOOSE(CONTROL!$C$42, 500, 500)*CHOOSE(CONTROL!$C$42, 0.275, 0.275)*CHOOSE(CONTROL!$C$42, 31, 31))/1000000</f>
        <v>4.2625000000000002</v>
      </c>
      <c r="W934" s="57">
        <f>(1000*CHOOSE(CONTROL!$C$42, 0.1146, 0.1146)*CHOOSE(CONTROL!$C$42, 121.5, 121.5)*CHOOSE(CONTROL!$C$42, 31, 31))/1000000</f>
        <v>0.43164089999999994</v>
      </c>
      <c r="X934" s="57">
        <f>(31*0.1790888*245000/1000000)+(31*0.2374*100000/1000000)</f>
        <v>2.0961194359999999</v>
      </c>
      <c r="Y934" s="57"/>
      <c r="Z934" s="14"/>
      <c r="AA934" s="56"/>
      <c r="AB934" s="50">
        <f>(B934*131.881+C934*277.167+D934*79.08+E934*125.872+F934*40+G934*185+H934*0+I934*100+J934*300)/(131.881+277.167+79.08+125.872+0+40+185+100+300)</f>
        <v>86.729176828571426</v>
      </c>
      <c r="AC934" s="45">
        <f>(M934*'RAP TEMPLATE-GAS AVAILABILITY'!O933+N934*'RAP TEMPLATE-GAS AVAILABILITY'!P933+O934*'RAP TEMPLATE-GAS AVAILABILITY'!Q933+P934*'RAP TEMPLATE-GAS AVAILABILITY'!R933)/('RAP TEMPLATE-GAS AVAILABILITY'!O933+'RAP TEMPLATE-GAS AVAILABILITY'!P933+'RAP TEMPLATE-GAS AVAILABILITY'!Q933+'RAP TEMPLATE-GAS AVAILABILITY'!R933)</f>
        <v>85.039161870503605</v>
      </c>
    </row>
    <row r="935" spans="1:29" ht="15.75" x14ac:dyDescent="0.25">
      <c r="A935" s="32">
        <v>69367</v>
      </c>
      <c r="B935" s="14">
        <f>CHOOSE(CONTROL!$C$42, 88.956, 88.956) * CHOOSE(CONTROL!$C$21, $C$9, 100%, $E$9)</f>
        <v>88.956000000000003</v>
      </c>
      <c r="C935" s="14">
        <f>CHOOSE(CONTROL!$C$42, 88.961, 88.961) * CHOOSE(CONTROL!$C$21, $C$9, 100%, $E$9)</f>
        <v>88.960999999999999</v>
      </c>
      <c r="D935" s="14">
        <f>CHOOSE(CONTROL!$C$42, 89.0248, 89.0248) * CHOOSE(CONTROL!$C$21, $C$9, 100%, $E$9)</f>
        <v>89.024799999999999</v>
      </c>
      <c r="E935" s="14">
        <f>CHOOSE(CONTROL!$C$42, 89.0589, 89.0589) * CHOOSE(CONTROL!$C$21, $C$9, 100%, $E$9)</f>
        <v>89.058899999999994</v>
      </c>
      <c r="F935" s="14">
        <f>CHOOSE(CONTROL!$C$42, 88.9583, 88.9583)*CHOOSE(CONTROL!$C$21, $C$9, 100%, $E$9)</f>
        <v>88.958299999999994</v>
      </c>
      <c r="G935" s="14">
        <f>CHOOSE(CONTROL!$C$42, 88.9744, 88.9744)*CHOOSE(CONTROL!$C$21, $C$9, 100%, $E$9)</f>
        <v>88.974400000000003</v>
      </c>
      <c r="H935" s="14">
        <f>CHOOSE(CONTROL!$C$42, 89.0481, 89.0481) * CHOOSE(CONTROL!$C$21, $C$9, 100%, $E$9)</f>
        <v>89.048100000000005</v>
      </c>
      <c r="I935" s="14">
        <f>CHOOSE(CONTROL!$C$42, 89.2474, 89.2474)* CHOOSE(CONTROL!$C$21, $C$9, 100%, $E$9)</f>
        <v>89.247399999999999</v>
      </c>
      <c r="J935" s="14">
        <f>CHOOSE(CONTROL!$C$42, 88.9513, 88.9513)* CHOOSE(CONTROL!$C$21, $C$9, 100%, $E$9)</f>
        <v>88.951300000000003</v>
      </c>
      <c r="K935" s="53">
        <f>CHOOSE(CONTROL!$C$42, 89.2435, 89.2435) * CHOOSE(CONTROL!$C$21, $C$9, 100%, $E$9)</f>
        <v>89.243499999999997</v>
      </c>
      <c r="L935" s="14">
        <f>CHOOSE(CONTROL!$C$42, 89.6351, 89.6351) * CHOOSE(CONTROL!$C$21, $C$9, 100%, $E$9)</f>
        <v>89.635099999999994</v>
      </c>
      <c r="M935" s="14">
        <f>CHOOSE(CONTROL!$C$42, 87.1365, 87.1365) * CHOOSE(CONTROL!$C$21, $C$9, 100%, $E$9)</f>
        <v>87.136499999999998</v>
      </c>
      <c r="N935" s="14">
        <f>CHOOSE(CONTROL!$C$42, 87.1522, 87.1522) * CHOOSE(CONTROL!$C$21, $C$9, 100%, $E$9)</f>
        <v>87.152199999999993</v>
      </c>
      <c r="O935" s="14">
        <f>CHOOSE(CONTROL!$C$42, 87.2313, 87.2313) * CHOOSE(CONTROL!$C$21, $C$9, 100%, $E$9)</f>
        <v>87.231300000000005</v>
      </c>
      <c r="P935" s="14">
        <f>CHOOSE(CONTROL!$C$42, 87.4209, 87.4209) * CHOOSE(CONTROL!$C$21, $C$9, 100%, $E$9)</f>
        <v>87.420900000000003</v>
      </c>
      <c r="Q935" s="14">
        <f>CHOOSE(CONTROL!$C$42, 87.826, 87.826) * CHOOSE(CONTROL!$C$21, $C$9, 100%, $E$9)</f>
        <v>87.825999999999993</v>
      </c>
      <c r="R935" s="14">
        <f>CHOOSE(CONTROL!$C$42, 88.6326, 88.6326) * CHOOSE(CONTROL!$C$21, $C$9, 100%, $E$9)</f>
        <v>88.632599999999996</v>
      </c>
      <c r="S935" s="14">
        <f>CHOOSE(CONTROL!$C$42, 85.4692, 85.4692) * CHOOSE(CONTROL!$C$21, $C$9, 100%, $E$9)</f>
        <v>85.469200000000001</v>
      </c>
      <c r="T93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35" s="57">
        <f>(1000*CHOOSE(CONTROL!$C$42, 695, 695)*CHOOSE(CONTROL!$C$42, 0.5599, 0.5599)*CHOOSE(CONTROL!$C$42, 30, 30))/1000000</f>
        <v>11.673914999999997</v>
      </c>
      <c r="V935" s="57">
        <f>(1000*CHOOSE(CONTROL!$C$42, 500, 500)*CHOOSE(CONTROL!$C$42, 0.275, 0.275)*CHOOSE(CONTROL!$C$42, 30, 30))/1000000</f>
        <v>4.125</v>
      </c>
      <c r="W935" s="57">
        <f>(1000*CHOOSE(CONTROL!$C$42, 0.1146, 0.1146)*CHOOSE(CONTROL!$C$42, 121.5, 121.5)*CHOOSE(CONTROL!$C$42, 30, 30))/1000000</f>
        <v>0.417717</v>
      </c>
      <c r="X935" s="57">
        <f>(30*0.1790888*100000/1000000)+(30*0.2374*100000/1000000)</f>
        <v>1.2494664</v>
      </c>
      <c r="Y935" s="57"/>
      <c r="Z935" s="14"/>
      <c r="AA935" s="56"/>
      <c r="AB935" s="50">
        <f>(B935*122.58+C935*297.941+D935*89.177+E935*40.302+F935*40+G935*160+H935*0+I935*100+J935*300)/(122.58+297.941+89.177+40.302+0+40+160+100+300)</f>
        <v>88.992989702956535</v>
      </c>
      <c r="AC935" s="45">
        <f>(M935*'RAP TEMPLATE-GAS AVAILABILITY'!O934+N935*'RAP TEMPLATE-GAS AVAILABILITY'!P934+O935*'RAP TEMPLATE-GAS AVAILABILITY'!Q934+P935*'RAP TEMPLATE-GAS AVAILABILITY'!R934)/('RAP TEMPLATE-GAS AVAILABILITY'!O934+'RAP TEMPLATE-GAS AVAILABILITY'!P934+'RAP TEMPLATE-GAS AVAILABILITY'!Q934+'RAP TEMPLATE-GAS AVAILABILITY'!R934)</f>
        <v>87.22129136690647</v>
      </c>
    </row>
    <row r="936" spans="1:29" ht="15.75" x14ac:dyDescent="0.25">
      <c r="A936" s="32">
        <v>69398</v>
      </c>
      <c r="B936" s="14">
        <f>CHOOSE(CONTROL!$C$42, 95.0203, 95.0203) * CHOOSE(CONTROL!$C$21, $C$9, 100%, $E$9)</f>
        <v>95.020300000000006</v>
      </c>
      <c r="C936" s="14">
        <f>CHOOSE(CONTROL!$C$42, 95.0253, 95.0253) * CHOOSE(CONTROL!$C$21, $C$9, 100%, $E$9)</f>
        <v>95.025300000000001</v>
      </c>
      <c r="D936" s="14">
        <f>CHOOSE(CONTROL!$C$42, 95.0892, 95.0892) * CHOOSE(CONTROL!$C$21, $C$9, 100%, $E$9)</f>
        <v>95.089200000000005</v>
      </c>
      <c r="E936" s="14">
        <f>CHOOSE(CONTROL!$C$42, 95.1233, 95.1233) * CHOOSE(CONTROL!$C$21, $C$9, 100%, $E$9)</f>
        <v>95.1233</v>
      </c>
      <c r="F936" s="14">
        <f>CHOOSE(CONTROL!$C$42, 95.0249, 95.0249)*CHOOSE(CONTROL!$C$21, $C$9, 100%, $E$9)</f>
        <v>95.024900000000002</v>
      </c>
      <c r="G936" s="14">
        <f>CHOOSE(CONTROL!$C$42, 95.0415, 95.0415)*CHOOSE(CONTROL!$C$21, $C$9, 100%, $E$9)</f>
        <v>95.041499999999999</v>
      </c>
      <c r="H936" s="14">
        <f>CHOOSE(CONTROL!$C$42, 95.1125, 95.1125) * CHOOSE(CONTROL!$C$21, $C$9, 100%, $E$9)</f>
        <v>95.112499999999997</v>
      </c>
      <c r="I936" s="14">
        <f>CHOOSE(CONTROL!$C$42, 95.3307, 95.3307)* CHOOSE(CONTROL!$C$21, $C$9, 100%, $E$9)</f>
        <v>95.330699999999993</v>
      </c>
      <c r="J936" s="14">
        <f>CHOOSE(CONTROL!$C$42, 95.0179, 95.0179)* CHOOSE(CONTROL!$C$21, $C$9, 100%, $E$9)</f>
        <v>95.017899999999997</v>
      </c>
      <c r="K936" s="53">
        <f>CHOOSE(CONTROL!$C$42, 95.3268, 95.3268) * CHOOSE(CONTROL!$C$21, $C$9, 100%, $E$9)</f>
        <v>95.326800000000006</v>
      </c>
      <c r="L936" s="14">
        <f>CHOOSE(CONTROL!$C$42, 95.6995, 95.6995) * CHOOSE(CONTROL!$C$21, $C$9, 100%, $E$9)</f>
        <v>95.6995</v>
      </c>
      <c r="M936" s="14">
        <f>CHOOSE(CONTROL!$C$42, 93.0788, 93.0788) * CHOOSE(CONTROL!$C$21, $C$9, 100%, $E$9)</f>
        <v>93.078800000000001</v>
      </c>
      <c r="N936" s="14">
        <f>CHOOSE(CONTROL!$C$42, 93.095, 93.095) * CHOOSE(CONTROL!$C$21, $C$9, 100%, $E$9)</f>
        <v>93.094999999999999</v>
      </c>
      <c r="O936" s="14">
        <f>CHOOSE(CONTROL!$C$42, 93.1714, 93.1714) * CHOOSE(CONTROL!$C$21, $C$9, 100%, $E$9)</f>
        <v>93.171400000000006</v>
      </c>
      <c r="P936" s="14">
        <f>CHOOSE(CONTROL!$C$42, 93.3792, 93.3792) * CHOOSE(CONTROL!$C$21, $C$9, 100%, $E$9)</f>
        <v>93.379199999999997</v>
      </c>
      <c r="Q936" s="14">
        <f>CHOOSE(CONTROL!$C$42, 93.7661, 93.7661) * CHOOSE(CONTROL!$C$21, $C$9, 100%, $E$9)</f>
        <v>93.766099999999994</v>
      </c>
      <c r="R936" s="14">
        <f>CHOOSE(CONTROL!$C$42, 94.5875, 94.5875) * CHOOSE(CONTROL!$C$21, $C$9, 100%, $E$9)</f>
        <v>94.587500000000006</v>
      </c>
      <c r="S936" s="14">
        <f>CHOOSE(CONTROL!$C$42, 91.2964, 91.2964) * CHOOSE(CONTROL!$C$21, $C$9, 100%, $E$9)</f>
        <v>91.296400000000006</v>
      </c>
      <c r="T93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36" s="57">
        <f>(1000*CHOOSE(CONTROL!$C$42, 695, 695)*CHOOSE(CONTROL!$C$42, 0.5599, 0.5599)*CHOOSE(CONTROL!$C$42, 31, 31))/1000000</f>
        <v>12.063045499999998</v>
      </c>
      <c r="V936" s="57">
        <f>(1000*CHOOSE(CONTROL!$C$42, 500, 500)*CHOOSE(CONTROL!$C$42, 0.275, 0.275)*CHOOSE(CONTROL!$C$42, 31, 31))/1000000</f>
        <v>4.2625000000000002</v>
      </c>
      <c r="W936" s="57">
        <f>(1000*CHOOSE(CONTROL!$C$42, 0.1146, 0.1146)*CHOOSE(CONTROL!$C$42, 121.5, 121.5)*CHOOSE(CONTROL!$C$42, 31, 31))/1000000</f>
        <v>0.43164089999999994</v>
      </c>
      <c r="X936" s="57">
        <f>(31*0.1790888*100000/1000000)+(31*0.2374*100000/1000000)</f>
        <v>1.2911152800000001</v>
      </c>
      <c r="Y936" s="57"/>
      <c r="Z936" s="14"/>
      <c r="AA936" s="56"/>
      <c r="AB936" s="50">
        <f>(B936*122.58+C936*297.941+D936*89.177+E936*40.302+F936*40+G936*160+H936*0+I936*100+J936*300)/(122.58+297.941+89.177+40.302+0+40+160+100+300)</f>
        <v>95.060022701130421</v>
      </c>
      <c r="AC936" s="45">
        <f>(M936*'RAP TEMPLATE-GAS AVAILABILITY'!O935+N936*'RAP TEMPLATE-GAS AVAILABILITY'!P935+O936*'RAP TEMPLATE-GAS AVAILABILITY'!Q935+P936*'RAP TEMPLATE-GAS AVAILABILITY'!R935)/('RAP TEMPLATE-GAS AVAILABILITY'!O935+'RAP TEMPLATE-GAS AVAILABILITY'!P935+'RAP TEMPLATE-GAS AVAILABILITY'!Q935+'RAP TEMPLATE-GAS AVAILABILITY'!R935)</f>
        <v>93.164925179856112</v>
      </c>
    </row>
    <row r="937" spans="1:29" ht="15.75" x14ac:dyDescent="0.25">
      <c r="A937" s="32">
        <v>69429</v>
      </c>
      <c r="B937" s="14">
        <f>CHOOSE(CONTROL!$C$42, 102.803, 102.803) * CHOOSE(CONTROL!$C$21, $C$9, 100%, $E$9)</f>
        <v>102.803</v>
      </c>
      <c r="C937" s="14">
        <f>CHOOSE(CONTROL!$C$42, 102.8081, 102.8081) * CHOOSE(CONTROL!$C$21, $C$9, 100%, $E$9)</f>
        <v>102.8081</v>
      </c>
      <c r="D937" s="14">
        <f>CHOOSE(CONTROL!$C$42, 102.8745, 102.8745) * CHOOSE(CONTROL!$C$21, $C$9, 100%, $E$9)</f>
        <v>102.8745</v>
      </c>
      <c r="E937" s="14">
        <f>CHOOSE(CONTROL!$C$42, 102.9086, 102.9086) * CHOOSE(CONTROL!$C$21, $C$9, 100%, $E$9)</f>
        <v>102.90860000000001</v>
      </c>
      <c r="F937" s="14">
        <f>CHOOSE(CONTROL!$C$42, 102.7903, 102.7903)*CHOOSE(CONTROL!$C$21, $C$9, 100%, $E$9)</f>
        <v>102.7903</v>
      </c>
      <c r="G937" s="14">
        <f>CHOOSE(CONTROL!$C$42, 102.8058, 102.8058)*CHOOSE(CONTROL!$C$21, $C$9, 100%, $E$9)</f>
        <v>102.8058</v>
      </c>
      <c r="H937" s="14">
        <f>CHOOSE(CONTROL!$C$42, 102.8978, 102.8978) * CHOOSE(CONTROL!$C$21, $C$9, 100%, $E$9)</f>
        <v>102.8978</v>
      </c>
      <c r="I937" s="14">
        <f>CHOOSE(CONTROL!$C$42, 103.1326, 103.1326)* CHOOSE(CONTROL!$C$21, $C$9, 100%, $E$9)</f>
        <v>103.1326</v>
      </c>
      <c r="J937" s="14">
        <f>CHOOSE(CONTROL!$C$42, 102.7833, 102.7833)* CHOOSE(CONTROL!$C$21, $C$9, 100%, $E$9)</f>
        <v>102.7833</v>
      </c>
      <c r="K937" s="53">
        <f>CHOOSE(CONTROL!$C$42, 103.1287, 103.1287) * CHOOSE(CONTROL!$C$21, $C$9, 100%, $E$9)</f>
        <v>103.12869999999999</v>
      </c>
      <c r="L937" s="14">
        <f>CHOOSE(CONTROL!$C$42, 103.4848, 103.4848) * CHOOSE(CONTROL!$C$21, $C$9, 100%, $E$9)</f>
        <v>103.48480000000001</v>
      </c>
      <c r="M937" s="14">
        <f>CHOOSE(CONTROL!$C$42, 100.685, 100.685) * CHOOSE(CONTROL!$C$21, $C$9, 100%, $E$9)</f>
        <v>100.685</v>
      </c>
      <c r="N937" s="14">
        <f>CHOOSE(CONTROL!$C$42, 100.7002, 100.7002) * CHOOSE(CONTROL!$C$21, $C$9, 100%, $E$9)</f>
        <v>100.7002</v>
      </c>
      <c r="O937" s="14">
        <f>CHOOSE(CONTROL!$C$42, 100.7972, 100.7972) * CHOOSE(CONTROL!$C$21, $C$9, 100%, $E$9)</f>
        <v>100.7972</v>
      </c>
      <c r="P937" s="14">
        <f>CHOOSE(CONTROL!$C$42, 101.0207, 101.0207) * CHOOSE(CONTROL!$C$21, $C$9, 100%, $E$9)</f>
        <v>101.02070000000001</v>
      </c>
      <c r="Q937" s="14">
        <f>CHOOSE(CONTROL!$C$42, 101.3919, 101.3919) * CHOOSE(CONTROL!$C$21, $C$9, 100%, $E$9)</f>
        <v>101.39190000000001</v>
      </c>
      <c r="R937" s="14">
        <f>CHOOSE(CONTROL!$C$42, 102.2323, 102.2323) * CHOOSE(CONTROL!$C$21, $C$9, 100%, $E$9)</f>
        <v>102.2323</v>
      </c>
      <c r="S937" s="14">
        <f>CHOOSE(CONTROL!$C$42, 98.7748, 98.7748) * CHOOSE(CONTROL!$C$21, $C$9, 100%, $E$9)</f>
        <v>98.774799999999999</v>
      </c>
      <c r="T93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37" s="57">
        <f>(1000*CHOOSE(CONTROL!$C$42, 695, 695)*CHOOSE(CONTROL!$C$42, 0.5599, 0.5599)*CHOOSE(CONTROL!$C$42, 31, 31))/1000000</f>
        <v>12.063045499999998</v>
      </c>
      <c r="V937" s="57">
        <f>(1000*CHOOSE(CONTROL!$C$42, 500, 500)*CHOOSE(CONTROL!$C$42, 0.275, 0.275)*CHOOSE(CONTROL!$C$42, 31, 31))/1000000</f>
        <v>4.2625000000000002</v>
      </c>
      <c r="W937" s="57">
        <f>(1000*CHOOSE(CONTROL!$C$42, 0.1146, 0.1146)*CHOOSE(CONTROL!$C$42, 121.5, 121.5)*CHOOSE(CONTROL!$C$42, 31, 31))/1000000</f>
        <v>0.43164089999999994</v>
      </c>
      <c r="X937" s="57">
        <f>(31*0.1790888*100000/1000000)+(31*0.2374*100000/1000000)</f>
        <v>1.2911152800000001</v>
      </c>
      <c r="Y937" s="57"/>
      <c r="Z937" s="14"/>
      <c r="AA937" s="56"/>
      <c r="AB937" s="50">
        <f>(B937*122.58+C937*297.941+D937*89.177+E937*40.302+F937*40+G937*160+H937*0+I937*100+J937*300)/(122.58+297.941+89.177+40.302+0+40+160+100+300)</f>
        <v>102.83703612678262</v>
      </c>
      <c r="AC937" s="45">
        <f>(M937*'RAP TEMPLATE-GAS AVAILABILITY'!O936+N937*'RAP TEMPLATE-GAS AVAILABILITY'!P936+O937*'RAP TEMPLATE-GAS AVAILABILITY'!Q936+P937*'RAP TEMPLATE-GAS AVAILABILITY'!R936)/('RAP TEMPLATE-GAS AVAILABILITY'!O936+'RAP TEMPLATE-GAS AVAILABILITY'!P936+'RAP TEMPLATE-GAS AVAILABILITY'!Q936+'RAP TEMPLATE-GAS AVAILABILITY'!R936)</f>
        <v>100.78503021582735</v>
      </c>
    </row>
    <row r="938" spans="1:29" ht="15.75" x14ac:dyDescent="0.25">
      <c r="A938" s="32">
        <v>69457</v>
      </c>
      <c r="B938" s="14">
        <f>CHOOSE(CONTROL!$C$42, 104.6329, 104.6329) * CHOOSE(CONTROL!$C$21, $C$9, 100%, $E$9)</f>
        <v>104.63290000000001</v>
      </c>
      <c r="C938" s="14">
        <f>CHOOSE(CONTROL!$C$42, 104.6379, 104.6379) * CHOOSE(CONTROL!$C$21, $C$9, 100%, $E$9)</f>
        <v>104.6379</v>
      </c>
      <c r="D938" s="14">
        <f>CHOOSE(CONTROL!$C$42, 104.7043, 104.7043) * CHOOSE(CONTROL!$C$21, $C$9, 100%, $E$9)</f>
        <v>104.7043</v>
      </c>
      <c r="E938" s="14">
        <f>CHOOSE(CONTROL!$C$42, 104.7384, 104.7384) * CHOOSE(CONTROL!$C$21, $C$9, 100%, $E$9)</f>
        <v>104.7384</v>
      </c>
      <c r="F938" s="14">
        <f>CHOOSE(CONTROL!$C$42, 104.6203, 104.6203)*CHOOSE(CONTROL!$C$21, $C$9, 100%, $E$9)</f>
        <v>104.6203</v>
      </c>
      <c r="G938" s="14">
        <f>CHOOSE(CONTROL!$C$42, 104.6358, 104.6358)*CHOOSE(CONTROL!$C$21, $C$9, 100%, $E$9)</f>
        <v>104.6358</v>
      </c>
      <c r="H938" s="14">
        <f>CHOOSE(CONTROL!$C$42, 104.7276, 104.7276) * CHOOSE(CONTROL!$C$21, $C$9, 100%, $E$9)</f>
        <v>104.7276</v>
      </c>
      <c r="I938" s="14">
        <f>CHOOSE(CONTROL!$C$42, 104.9682, 104.9682)* CHOOSE(CONTROL!$C$21, $C$9, 100%, $E$9)</f>
        <v>104.9682</v>
      </c>
      <c r="J938" s="14">
        <f>CHOOSE(CONTROL!$C$42, 104.6133, 104.6133)* CHOOSE(CONTROL!$C$21, $C$9, 100%, $E$9)</f>
        <v>104.6133</v>
      </c>
      <c r="K938" s="53">
        <f>CHOOSE(CONTROL!$C$42, 104.9643, 104.9643) * CHOOSE(CONTROL!$C$21, $C$9, 100%, $E$9)</f>
        <v>104.96429999999999</v>
      </c>
      <c r="L938" s="14">
        <f>CHOOSE(CONTROL!$C$42, 105.3146, 105.3146) * CHOOSE(CONTROL!$C$21, $C$9, 100%, $E$9)</f>
        <v>105.3146</v>
      </c>
      <c r="M938" s="14">
        <f>CHOOSE(CONTROL!$C$42, 102.4775, 102.4775) * CHOOSE(CONTROL!$C$21, $C$9, 100%, $E$9)</f>
        <v>102.47750000000001</v>
      </c>
      <c r="N938" s="14">
        <f>CHOOSE(CONTROL!$C$42, 102.4927, 102.4927) * CHOOSE(CONTROL!$C$21, $C$9, 100%, $E$9)</f>
        <v>102.4927</v>
      </c>
      <c r="O938" s="14">
        <f>CHOOSE(CONTROL!$C$42, 102.5895, 102.5895) * CHOOSE(CONTROL!$C$21, $C$9, 100%, $E$9)</f>
        <v>102.5895</v>
      </c>
      <c r="P938" s="14">
        <f>CHOOSE(CONTROL!$C$42, 102.8186, 102.8186) * CHOOSE(CONTROL!$C$21, $C$9, 100%, $E$9)</f>
        <v>102.8186</v>
      </c>
      <c r="Q938" s="14">
        <f>CHOOSE(CONTROL!$C$42, 103.1842, 103.1842) * CHOOSE(CONTROL!$C$21, $C$9, 100%, $E$9)</f>
        <v>103.1842</v>
      </c>
      <c r="R938" s="14">
        <f>CHOOSE(CONTROL!$C$42, 104.0292, 104.0292) * CHOOSE(CONTROL!$C$21, $C$9, 100%, $E$9)</f>
        <v>104.0292</v>
      </c>
      <c r="S938" s="14">
        <f>CHOOSE(CONTROL!$C$42, 100.5332, 100.5332) * CHOOSE(CONTROL!$C$21, $C$9, 100%, $E$9)</f>
        <v>100.53319999999999</v>
      </c>
      <c r="T93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38" s="57">
        <f>(1000*CHOOSE(CONTROL!$C$42, 695, 695)*CHOOSE(CONTROL!$C$42, 0.5599, 0.5599)*CHOOSE(CONTROL!$C$42, 28, 28))/1000000</f>
        <v>10.895653999999999</v>
      </c>
      <c r="V938" s="57">
        <f>(1000*CHOOSE(CONTROL!$C$42, 500, 500)*CHOOSE(CONTROL!$C$42, 0.275, 0.275)*CHOOSE(CONTROL!$C$42, 28, 28))/1000000</f>
        <v>3.85</v>
      </c>
      <c r="W938" s="57">
        <f>(1000*CHOOSE(CONTROL!$C$42, 0.1146, 0.1146)*CHOOSE(CONTROL!$C$42, 121.5, 121.5)*CHOOSE(CONTROL!$C$42, 28, 28))/1000000</f>
        <v>0.38986920000000003</v>
      </c>
      <c r="X938" s="57">
        <f>(28*0.1790888*100000/1000000)+(28*0.2374*100000/1000000)</f>
        <v>1.16616864</v>
      </c>
      <c r="Y938" s="57"/>
      <c r="Z938" s="14"/>
      <c r="AA938" s="56"/>
      <c r="AB938" s="50">
        <f>(B938*122.58+C938*297.941+D938*89.177+E938*40.302+F938*40+G938*160+H938*0+I938*100+J938*300)/(122.58+297.941+89.177+40.302+0+40+160+100+300)</f>
        <v>104.66743809026086</v>
      </c>
      <c r="AC938" s="45">
        <f>(M938*'RAP TEMPLATE-GAS AVAILABILITY'!O937+N938*'RAP TEMPLATE-GAS AVAILABILITY'!P937+O938*'RAP TEMPLATE-GAS AVAILABILITY'!Q937+P938*'RAP TEMPLATE-GAS AVAILABILITY'!R937)/('RAP TEMPLATE-GAS AVAILABILITY'!O937+'RAP TEMPLATE-GAS AVAILABILITY'!P937+'RAP TEMPLATE-GAS AVAILABILITY'!Q937+'RAP TEMPLATE-GAS AVAILABILITY'!R937)</f>
        <v>102.5782165467626</v>
      </c>
    </row>
    <row r="939" spans="1:29" ht="15.75" x14ac:dyDescent="0.25">
      <c r="A939" s="32">
        <v>69488</v>
      </c>
      <c r="B939" s="14">
        <f>CHOOSE(CONTROL!$C$42, 101.6625, 101.6625) * CHOOSE(CONTROL!$C$21, $C$9, 100%, $E$9)</f>
        <v>101.66249999999999</v>
      </c>
      <c r="C939" s="14">
        <f>CHOOSE(CONTROL!$C$42, 101.6676, 101.6676) * CHOOSE(CONTROL!$C$21, $C$9, 100%, $E$9)</f>
        <v>101.66759999999999</v>
      </c>
      <c r="D939" s="14">
        <f>CHOOSE(CONTROL!$C$42, 101.734, 101.734) * CHOOSE(CONTROL!$C$21, $C$9, 100%, $E$9)</f>
        <v>101.73399999999999</v>
      </c>
      <c r="E939" s="14">
        <f>CHOOSE(CONTROL!$C$42, 101.7681, 101.7681) * CHOOSE(CONTROL!$C$21, $C$9, 100%, $E$9)</f>
        <v>101.7681</v>
      </c>
      <c r="F939" s="14">
        <f>CHOOSE(CONTROL!$C$42, 101.6495, 101.6495)*CHOOSE(CONTROL!$C$21, $C$9, 100%, $E$9)</f>
        <v>101.6495</v>
      </c>
      <c r="G939" s="14">
        <f>CHOOSE(CONTROL!$C$42, 101.6649, 101.6649)*CHOOSE(CONTROL!$C$21, $C$9, 100%, $E$9)</f>
        <v>101.6649</v>
      </c>
      <c r="H939" s="14">
        <f>CHOOSE(CONTROL!$C$42, 101.7573, 101.7573) * CHOOSE(CONTROL!$C$21, $C$9, 100%, $E$9)</f>
        <v>101.7573</v>
      </c>
      <c r="I939" s="14">
        <f>CHOOSE(CONTROL!$C$42, 101.9885, 101.9885)* CHOOSE(CONTROL!$C$21, $C$9, 100%, $E$9)</f>
        <v>101.9885</v>
      </c>
      <c r="J939" s="14">
        <f>CHOOSE(CONTROL!$C$42, 101.6425, 101.6425)* CHOOSE(CONTROL!$C$21, $C$9, 100%, $E$9)</f>
        <v>101.6425</v>
      </c>
      <c r="K939" s="53">
        <f>CHOOSE(CONTROL!$C$42, 101.9847, 101.9847) * CHOOSE(CONTROL!$C$21, $C$9, 100%, $E$9)</f>
        <v>101.9847</v>
      </c>
      <c r="L939" s="14">
        <f>CHOOSE(CONTROL!$C$42, 102.3443, 102.3443) * CHOOSE(CONTROL!$C$21, $C$9, 100%, $E$9)</f>
        <v>102.3443</v>
      </c>
      <c r="M939" s="14">
        <f>CHOOSE(CONTROL!$C$42, 99.5676, 99.5676) * CHOOSE(CONTROL!$C$21, $C$9, 100%, $E$9)</f>
        <v>99.567599999999999</v>
      </c>
      <c r="N939" s="14">
        <f>CHOOSE(CONTROL!$C$42, 99.5827, 99.5827) * CHOOSE(CONTROL!$C$21, $C$9, 100%, $E$9)</f>
        <v>99.582700000000003</v>
      </c>
      <c r="O939" s="14">
        <f>CHOOSE(CONTROL!$C$42, 99.6801, 99.6801) * CHOOSE(CONTROL!$C$21, $C$9, 100%, $E$9)</f>
        <v>99.680099999999996</v>
      </c>
      <c r="P939" s="14">
        <f>CHOOSE(CONTROL!$C$42, 99.9002, 99.9002) * CHOOSE(CONTROL!$C$21, $C$9, 100%, $E$9)</f>
        <v>99.900199999999998</v>
      </c>
      <c r="Q939" s="14">
        <f>CHOOSE(CONTROL!$C$42, 100.2748, 100.2748) * CHOOSE(CONTROL!$C$21, $C$9, 100%, $E$9)</f>
        <v>100.2748</v>
      </c>
      <c r="R939" s="14">
        <f>CHOOSE(CONTROL!$C$42, 101.1125, 101.1125) * CHOOSE(CONTROL!$C$21, $C$9, 100%, $E$9)</f>
        <v>101.1125</v>
      </c>
      <c r="S939" s="14">
        <f>CHOOSE(CONTROL!$C$42, 97.679, 97.679) * CHOOSE(CONTROL!$C$21, $C$9, 100%, $E$9)</f>
        <v>97.679000000000002</v>
      </c>
      <c r="T93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39" s="57">
        <f>(1000*CHOOSE(CONTROL!$C$42, 695, 695)*CHOOSE(CONTROL!$C$42, 0.5599, 0.5599)*CHOOSE(CONTROL!$C$42, 31, 31))/1000000</f>
        <v>12.063045499999998</v>
      </c>
      <c r="V939" s="57">
        <f>(1000*CHOOSE(CONTROL!$C$42, 500, 500)*CHOOSE(CONTROL!$C$42, 0.275, 0.275)*CHOOSE(CONTROL!$C$42, 31, 31))/1000000</f>
        <v>4.2625000000000002</v>
      </c>
      <c r="W939" s="57">
        <f>(1000*CHOOSE(CONTROL!$C$42, 0.1146, 0.1146)*CHOOSE(CONTROL!$C$42, 121.5, 121.5)*CHOOSE(CONTROL!$C$42, 31, 31))/1000000</f>
        <v>0.43164089999999994</v>
      </c>
      <c r="X939" s="57">
        <f>(31*0.1790888*100000/1000000)+(31*0.2374*100000/1000000)</f>
        <v>1.2911152800000001</v>
      </c>
      <c r="Y939" s="57"/>
      <c r="Z939" s="14"/>
      <c r="AA939" s="56"/>
      <c r="AB939" s="50">
        <f>(B939*122.58+C939*297.941+D939*89.177+E939*40.302+F939*40+G939*160+H939*0+I939*100+J939*300)/(122.58+297.941+89.177+40.302+0+40+160+100+300)</f>
        <v>101.69607873547827</v>
      </c>
      <c r="AC939" s="45">
        <f>(M939*'RAP TEMPLATE-GAS AVAILABILITY'!O938+N939*'RAP TEMPLATE-GAS AVAILABILITY'!P938+O939*'RAP TEMPLATE-GAS AVAILABILITY'!Q938+P939*'RAP TEMPLATE-GAS AVAILABILITY'!R938)/('RAP TEMPLATE-GAS AVAILABILITY'!O938+'RAP TEMPLATE-GAS AVAILABILITY'!P938+'RAP TEMPLATE-GAS AVAILABILITY'!Q938+'RAP TEMPLATE-GAS AVAILABILITY'!R938)</f>
        <v>99.667314388489217</v>
      </c>
    </row>
    <row r="940" spans="1:29" ht="15.75" x14ac:dyDescent="0.25">
      <c r="A940" s="32">
        <v>69518</v>
      </c>
      <c r="B940" s="14">
        <f>CHOOSE(CONTROL!$C$42, 101.3593, 101.3593) * CHOOSE(CONTROL!$C$21, $C$9, 100%, $E$9)</f>
        <v>101.3593</v>
      </c>
      <c r="C940" s="14">
        <f>CHOOSE(CONTROL!$C$42, 101.3638, 101.3638) * CHOOSE(CONTROL!$C$21, $C$9, 100%, $E$9)</f>
        <v>101.3638</v>
      </c>
      <c r="D940" s="14">
        <f>CHOOSE(CONTROL!$C$42, 101.5709, 101.5709) * CHOOSE(CONTROL!$C$21, $C$9, 100%, $E$9)</f>
        <v>101.57089999999999</v>
      </c>
      <c r="E940" s="14">
        <f>CHOOSE(CONTROL!$C$42, 101.603, 101.603) * CHOOSE(CONTROL!$C$21, $C$9, 100%, $E$9)</f>
        <v>101.60299999999999</v>
      </c>
      <c r="F940" s="14">
        <f>CHOOSE(CONTROL!$C$42, 101.3412, 101.3412)*CHOOSE(CONTROL!$C$21, $C$9, 100%, $E$9)</f>
        <v>101.3412</v>
      </c>
      <c r="G940" s="14">
        <f>CHOOSE(CONTROL!$C$42, 101.3564, 101.3564)*CHOOSE(CONTROL!$C$21, $C$9, 100%, $E$9)</f>
        <v>101.35639999999999</v>
      </c>
      <c r="H940" s="14">
        <f>CHOOSE(CONTROL!$C$42, 101.5928, 101.5928) * CHOOSE(CONTROL!$C$21, $C$9, 100%, $E$9)</f>
        <v>101.5928</v>
      </c>
      <c r="I940" s="14">
        <f>CHOOSE(CONTROL!$C$42, 101.6836, 101.6836)* CHOOSE(CONTROL!$C$21, $C$9, 100%, $E$9)</f>
        <v>101.6836</v>
      </c>
      <c r="J940" s="14">
        <f>CHOOSE(CONTROL!$C$42, 101.3342, 101.3342)* CHOOSE(CONTROL!$C$21, $C$9, 100%, $E$9)</f>
        <v>101.3342</v>
      </c>
      <c r="K940" s="53">
        <f>CHOOSE(CONTROL!$C$42, 101.6797, 101.6797) * CHOOSE(CONTROL!$C$21, $C$9, 100%, $E$9)</f>
        <v>101.6797</v>
      </c>
      <c r="L940" s="14">
        <f>CHOOSE(CONTROL!$C$42, 102.1798, 102.1798) * CHOOSE(CONTROL!$C$21, $C$9, 100%, $E$9)</f>
        <v>102.1798</v>
      </c>
      <c r="M940" s="14">
        <f>CHOOSE(CONTROL!$C$42, 99.2656, 99.2656) * CHOOSE(CONTROL!$C$21, $C$9, 100%, $E$9)</f>
        <v>99.265600000000006</v>
      </c>
      <c r="N940" s="14">
        <f>CHOOSE(CONTROL!$C$42, 99.2805, 99.2805) * CHOOSE(CONTROL!$C$21, $C$9, 100%, $E$9)</f>
        <v>99.280500000000004</v>
      </c>
      <c r="O940" s="14">
        <f>CHOOSE(CONTROL!$C$42, 99.5189, 99.5189) * CHOOSE(CONTROL!$C$21, $C$9, 100%, $E$9)</f>
        <v>99.518900000000002</v>
      </c>
      <c r="P940" s="14">
        <f>CHOOSE(CONTROL!$C$42, 99.6016, 99.6016) * CHOOSE(CONTROL!$C$21, $C$9, 100%, $E$9)</f>
        <v>99.601600000000005</v>
      </c>
      <c r="Q940" s="14">
        <f>CHOOSE(CONTROL!$C$42, 100.1136, 100.1136) * CHOOSE(CONTROL!$C$21, $C$9, 100%, $E$9)</f>
        <v>100.11360000000001</v>
      </c>
      <c r="R940" s="14">
        <f>CHOOSE(CONTROL!$C$42, 100.9509, 100.9509) * CHOOSE(CONTROL!$C$21, $C$9, 100%, $E$9)</f>
        <v>100.9509</v>
      </c>
      <c r="S940" s="14">
        <f>CHOOSE(CONTROL!$C$42, 97.3869, 97.3869) * CHOOSE(CONTROL!$C$21, $C$9, 100%, $E$9)</f>
        <v>97.386899999999997</v>
      </c>
      <c r="T94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40" s="57">
        <f>(1000*CHOOSE(CONTROL!$C$42, 695, 695)*CHOOSE(CONTROL!$C$42, 0.5599, 0.5599)*CHOOSE(CONTROL!$C$42, 30, 30))/1000000</f>
        <v>11.673914999999997</v>
      </c>
      <c r="V940" s="57">
        <f>(1000*CHOOSE(CONTROL!$C$42, 500, 500)*CHOOSE(CONTROL!$C$42, 0.275, 0.275)*CHOOSE(CONTROL!$C$42, 30, 30))/1000000</f>
        <v>4.125</v>
      </c>
      <c r="W940" s="57">
        <f>(1000*CHOOSE(CONTROL!$C$42, 0.1146, 0.1146)*CHOOSE(CONTROL!$C$42, 121.5, 121.5)*CHOOSE(CONTROL!$C$42, 30, 30))/1000000</f>
        <v>0.417717</v>
      </c>
      <c r="X940" s="57">
        <f>(30*0.1790888*245000/1000000)+(30*0.2374*100000/1000000)</f>
        <v>2.0285026799999999</v>
      </c>
      <c r="Y940" s="57"/>
      <c r="Z940" s="14"/>
      <c r="AA940" s="56"/>
      <c r="AB940" s="50">
        <f>(B940*141.293+C940*267.993+D940*115.016+E940*89.698+F940*40+G940*185+H940*0+I940*100+J940*300)/(141.293+267.993+115.016+89.698+0+40+185+100+300)</f>
        <v>101.41663838313154</v>
      </c>
      <c r="AC940" s="45">
        <f>(M940*'RAP TEMPLATE-GAS AVAILABILITY'!O939+N940*'RAP TEMPLATE-GAS AVAILABILITY'!P939+O940*'RAP TEMPLATE-GAS AVAILABILITY'!Q939+P940*'RAP TEMPLATE-GAS AVAILABILITY'!R939)/('RAP TEMPLATE-GAS AVAILABILITY'!O939+'RAP TEMPLATE-GAS AVAILABILITY'!P939+'RAP TEMPLATE-GAS AVAILABILITY'!Q939+'RAP TEMPLATE-GAS AVAILABILITY'!R939)</f>
        <v>99.429607913669059</v>
      </c>
    </row>
    <row r="941" spans="1:29" ht="15.75" x14ac:dyDescent="0.25">
      <c r="A941" s="32">
        <v>69549</v>
      </c>
      <c r="B941" s="14">
        <f>CHOOSE(CONTROL!$C$42, 102.2553, 102.2553) * CHOOSE(CONTROL!$C$21, $C$9, 100%, $E$9)</f>
        <v>102.25530000000001</v>
      </c>
      <c r="C941" s="14">
        <f>CHOOSE(CONTROL!$C$42, 102.2633, 102.2633) * CHOOSE(CONTROL!$C$21, $C$9, 100%, $E$9)</f>
        <v>102.2633</v>
      </c>
      <c r="D941" s="14">
        <f>CHOOSE(CONTROL!$C$42, 102.4672, 102.4672) * CHOOSE(CONTROL!$C$21, $C$9, 100%, $E$9)</f>
        <v>102.46720000000001</v>
      </c>
      <c r="E941" s="14">
        <f>CHOOSE(CONTROL!$C$42, 102.4987, 102.4987) * CHOOSE(CONTROL!$C$21, $C$9, 100%, $E$9)</f>
        <v>102.4987</v>
      </c>
      <c r="F941" s="14">
        <f>CHOOSE(CONTROL!$C$42, 102.236, 102.236)*CHOOSE(CONTROL!$C$21, $C$9, 100%, $E$9)</f>
        <v>102.236</v>
      </c>
      <c r="G941" s="14">
        <f>CHOOSE(CONTROL!$C$42, 102.2516, 102.2516)*CHOOSE(CONTROL!$C$21, $C$9, 100%, $E$9)</f>
        <v>102.2516</v>
      </c>
      <c r="H941" s="14">
        <f>CHOOSE(CONTROL!$C$42, 102.4873, 102.4873) * CHOOSE(CONTROL!$C$21, $C$9, 100%, $E$9)</f>
        <v>102.4873</v>
      </c>
      <c r="I941" s="14">
        <f>CHOOSE(CONTROL!$C$42, 102.5809, 102.5809)* CHOOSE(CONTROL!$C$21, $C$9, 100%, $E$9)</f>
        <v>102.5809</v>
      </c>
      <c r="J941" s="14">
        <f>CHOOSE(CONTROL!$C$42, 102.229, 102.229)* CHOOSE(CONTROL!$C$21, $C$9, 100%, $E$9)</f>
        <v>102.229</v>
      </c>
      <c r="K941" s="53">
        <f>CHOOSE(CONTROL!$C$42, 102.577, 102.577) * CHOOSE(CONTROL!$C$21, $C$9, 100%, $E$9)</f>
        <v>102.577</v>
      </c>
      <c r="L941" s="14">
        <f>CHOOSE(CONTROL!$C$42, 103.0743, 103.0743) * CHOOSE(CONTROL!$C$21, $C$9, 100%, $E$9)</f>
        <v>103.07429999999999</v>
      </c>
      <c r="M941" s="14">
        <f>CHOOSE(CONTROL!$C$42, 100.1421, 100.1421) * CHOOSE(CONTROL!$C$21, $C$9, 100%, $E$9)</f>
        <v>100.1421</v>
      </c>
      <c r="N941" s="14">
        <f>CHOOSE(CONTROL!$C$42, 100.1574, 100.1574) * CHOOSE(CONTROL!$C$21, $C$9, 100%, $E$9)</f>
        <v>100.1574</v>
      </c>
      <c r="O941" s="14">
        <f>CHOOSE(CONTROL!$C$42, 100.3951, 100.3951) * CHOOSE(CONTROL!$C$21, $C$9, 100%, $E$9)</f>
        <v>100.3951</v>
      </c>
      <c r="P941" s="14">
        <f>CHOOSE(CONTROL!$C$42, 100.4805, 100.4805) * CHOOSE(CONTROL!$C$21, $C$9, 100%, $E$9)</f>
        <v>100.48050000000001</v>
      </c>
      <c r="Q941" s="14">
        <f>CHOOSE(CONTROL!$C$42, 100.9898, 100.9898) * CHOOSE(CONTROL!$C$21, $C$9, 100%, $E$9)</f>
        <v>100.9898</v>
      </c>
      <c r="R941" s="14">
        <f>CHOOSE(CONTROL!$C$42, 101.8293, 101.8293) * CHOOSE(CONTROL!$C$21, $C$9, 100%, $E$9)</f>
        <v>101.8293</v>
      </c>
      <c r="S941" s="14">
        <f>CHOOSE(CONTROL!$C$42, 98.2464, 98.2464) * CHOOSE(CONTROL!$C$21, $C$9, 100%, $E$9)</f>
        <v>98.246399999999994</v>
      </c>
      <c r="T94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41" s="57">
        <f>(1000*CHOOSE(CONTROL!$C$42, 695, 695)*CHOOSE(CONTROL!$C$42, 0.5599, 0.5599)*CHOOSE(CONTROL!$C$42, 31, 31))/1000000</f>
        <v>12.063045499999998</v>
      </c>
      <c r="V941" s="57">
        <f>(1000*CHOOSE(CONTROL!$C$42, 500, 500)*CHOOSE(CONTROL!$C$42, 0.275, 0.275)*CHOOSE(CONTROL!$C$42, 31, 31))/1000000</f>
        <v>4.2625000000000002</v>
      </c>
      <c r="W941" s="57">
        <f>(1000*CHOOSE(CONTROL!$C$42, 0.1146, 0.1146)*CHOOSE(CONTROL!$C$42, 121.5, 121.5)*CHOOSE(CONTROL!$C$42, 31, 31))/1000000</f>
        <v>0.43164089999999994</v>
      </c>
      <c r="X941" s="57">
        <f>(31*0.1790888*245000/1000000)+(31*0.2374*100000/1000000)</f>
        <v>2.0961194359999999</v>
      </c>
      <c r="Y941" s="57"/>
      <c r="Z941" s="14"/>
      <c r="AA941" s="56"/>
      <c r="AB941" s="50">
        <f>(B941*194.205+C941*267.466+D941*133.845+E941*53.484+F941*40+G941*185+H941*0+I941*100+J941*300)/(194.205+267.466+133.845+53.484+0+40+185+100+300)</f>
        <v>102.30768068218211</v>
      </c>
      <c r="AC941" s="45">
        <f>(M941*'RAP TEMPLATE-GAS AVAILABILITY'!O940+N941*'RAP TEMPLATE-GAS AVAILABILITY'!P940+O941*'RAP TEMPLATE-GAS AVAILABILITY'!Q940+P941*'RAP TEMPLATE-GAS AVAILABILITY'!R940)/('RAP TEMPLATE-GAS AVAILABILITY'!O940+'RAP TEMPLATE-GAS AVAILABILITY'!P940+'RAP TEMPLATE-GAS AVAILABILITY'!Q940+'RAP TEMPLATE-GAS AVAILABILITY'!R940)</f>
        <v>100.30634028776979</v>
      </c>
    </row>
    <row r="942" spans="1:29" ht="15.75" x14ac:dyDescent="0.25">
      <c r="A942" s="32">
        <v>69579</v>
      </c>
      <c r="B942" s="14">
        <f>CHOOSE(CONTROL!$C$42, 105.1555, 105.1555) * CHOOSE(CONTROL!$C$21, $C$9, 100%, $E$9)</f>
        <v>105.1555</v>
      </c>
      <c r="C942" s="14">
        <f>CHOOSE(CONTROL!$C$42, 105.1636, 105.1636) * CHOOSE(CONTROL!$C$21, $C$9, 100%, $E$9)</f>
        <v>105.1636</v>
      </c>
      <c r="D942" s="14">
        <f>CHOOSE(CONTROL!$C$42, 105.3675, 105.3675) * CHOOSE(CONTROL!$C$21, $C$9, 100%, $E$9)</f>
        <v>105.36750000000001</v>
      </c>
      <c r="E942" s="14">
        <f>CHOOSE(CONTROL!$C$42, 105.3989, 105.3989) * CHOOSE(CONTROL!$C$21, $C$9, 100%, $E$9)</f>
        <v>105.3989</v>
      </c>
      <c r="F942" s="14">
        <f>CHOOSE(CONTROL!$C$42, 105.1367, 105.1367)*CHOOSE(CONTROL!$C$21, $C$9, 100%, $E$9)</f>
        <v>105.1367</v>
      </c>
      <c r="G942" s="14">
        <f>CHOOSE(CONTROL!$C$42, 105.1525, 105.1525)*CHOOSE(CONTROL!$C$21, $C$9, 100%, $E$9)</f>
        <v>105.1525</v>
      </c>
      <c r="H942" s="14">
        <f>CHOOSE(CONTROL!$C$42, 105.3876, 105.3876) * CHOOSE(CONTROL!$C$21, $C$9, 100%, $E$9)</f>
        <v>105.38760000000001</v>
      </c>
      <c r="I942" s="14">
        <f>CHOOSE(CONTROL!$C$42, 105.4903, 105.4903)* CHOOSE(CONTROL!$C$21, $C$9, 100%, $E$9)</f>
        <v>105.4903</v>
      </c>
      <c r="J942" s="14">
        <f>CHOOSE(CONTROL!$C$42, 105.1297, 105.1297)* CHOOSE(CONTROL!$C$21, $C$9, 100%, $E$9)</f>
        <v>105.1297</v>
      </c>
      <c r="K942" s="53">
        <f>CHOOSE(CONTROL!$C$42, 105.4864, 105.4864) * CHOOSE(CONTROL!$C$21, $C$9, 100%, $E$9)</f>
        <v>105.4864</v>
      </c>
      <c r="L942" s="14">
        <f>CHOOSE(CONTROL!$C$42, 105.9746, 105.9746) * CHOOSE(CONTROL!$C$21, $C$9, 100%, $E$9)</f>
        <v>105.9746</v>
      </c>
      <c r="M942" s="14">
        <f>CHOOSE(CONTROL!$C$42, 102.9833, 102.9833) * CHOOSE(CONTROL!$C$21, $C$9, 100%, $E$9)</f>
        <v>102.9833</v>
      </c>
      <c r="N942" s="14">
        <f>CHOOSE(CONTROL!$C$42, 102.9988, 102.9988) * CHOOSE(CONTROL!$C$21, $C$9, 100%, $E$9)</f>
        <v>102.9988</v>
      </c>
      <c r="O942" s="14">
        <f>CHOOSE(CONTROL!$C$42, 103.236, 103.236) * CHOOSE(CONTROL!$C$21, $C$9, 100%, $E$9)</f>
        <v>103.236</v>
      </c>
      <c r="P942" s="14">
        <f>CHOOSE(CONTROL!$C$42, 103.33, 103.33) * CHOOSE(CONTROL!$C$21, $C$9, 100%, $E$9)</f>
        <v>103.33</v>
      </c>
      <c r="Q942" s="14">
        <f>CHOOSE(CONTROL!$C$42, 103.8307, 103.8307) * CHOOSE(CONTROL!$C$21, $C$9, 100%, $E$9)</f>
        <v>103.83069999999999</v>
      </c>
      <c r="R942" s="14">
        <f>CHOOSE(CONTROL!$C$42, 104.6772, 104.6772) * CHOOSE(CONTROL!$C$21, $C$9, 100%, $E$9)</f>
        <v>104.6772</v>
      </c>
      <c r="S942" s="14">
        <f>CHOOSE(CONTROL!$C$42, 101.0333, 101.0333) * CHOOSE(CONTROL!$C$21, $C$9, 100%, $E$9)</f>
        <v>101.0333</v>
      </c>
      <c r="T94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42" s="57">
        <f>(1000*CHOOSE(CONTROL!$C$42, 695, 695)*CHOOSE(CONTROL!$C$42, 0.5599, 0.5599)*CHOOSE(CONTROL!$C$42, 30, 30))/1000000</f>
        <v>11.673914999999997</v>
      </c>
      <c r="V942" s="57">
        <f>(1000*CHOOSE(CONTROL!$C$42, 500, 500)*CHOOSE(CONTROL!$C$42, 0.275, 0.275)*CHOOSE(CONTROL!$C$42, 30, 30))/1000000</f>
        <v>4.125</v>
      </c>
      <c r="W942" s="57">
        <f>(1000*CHOOSE(CONTROL!$C$42, 0.1146, 0.1146)*CHOOSE(CONTROL!$C$42, 121.5, 121.5)*CHOOSE(CONTROL!$C$42, 30, 30))/1000000</f>
        <v>0.417717</v>
      </c>
      <c r="X942" s="57">
        <f>(30*0.1790888*245000/1000000)+(30*0.2374*100000/1000000)</f>
        <v>2.0285026799999999</v>
      </c>
      <c r="Y942" s="57"/>
      <c r="Z942" s="14"/>
      <c r="AA942" s="56"/>
      <c r="AB942" s="50">
        <f>(B942*194.205+C942*267.466+D942*133.845+E942*53.484+F942*40+G942*185+H942*0+I942*100+J942*300)/(194.205+267.466+133.845+53.484+0+40+185+100+300)</f>
        <v>105.20886940361068</v>
      </c>
      <c r="AC942" s="45">
        <f>(M942*'RAP TEMPLATE-GAS AVAILABILITY'!O941+N942*'RAP TEMPLATE-GAS AVAILABILITY'!P941+O942*'RAP TEMPLATE-GAS AVAILABILITY'!Q941+P942*'RAP TEMPLATE-GAS AVAILABILITY'!R941)/('RAP TEMPLATE-GAS AVAILABILITY'!O941+'RAP TEMPLATE-GAS AVAILABILITY'!P941+'RAP TEMPLATE-GAS AVAILABILITY'!Q941+'RAP TEMPLATE-GAS AVAILABILITY'!R941)</f>
        <v>103.14861007194244</v>
      </c>
    </row>
    <row r="943" spans="1:29" ht="15.75" x14ac:dyDescent="0.25">
      <c r="A943" s="32">
        <v>69610</v>
      </c>
      <c r="B943" s="14">
        <f>CHOOSE(CONTROL!$C$42, 103.1384, 103.1384) * CHOOSE(CONTROL!$C$21, $C$9, 100%, $E$9)</f>
        <v>103.1384</v>
      </c>
      <c r="C943" s="14">
        <f>CHOOSE(CONTROL!$C$42, 103.1464, 103.1464) * CHOOSE(CONTROL!$C$21, $C$9, 100%, $E$9)</f>
        <v>103.1464</v>
      </c>
      <c r="D943" s="14">
        <f>CHOOSE(CONTROL!$C$42, 103.3503, 103.3503) * CHOOSE(CONTROL!$C$21, $C$9, 100%, $E$9)</f>
        <v>103.3503</v>
      </c>
      <c r="E943" s="14">
        <f>CHOOSE(CONTROL!$C$42, 103.3818, 103.3818) * CHOOSE(CONTROL!$C$21, $C$9, 100%, $E$9)</f>
        <v>103.3818</v>
      </c>
      <c r="F943" s="14">
        <f>CHOOSE(CONTROL!$C$42, 103.12, 103.12)*CHOOSE(CONTROL!$C$21, $C$9, 100%, $E$9)</f>
        <v>103.12</v>
      </c>
      <c r="G943" s="14">
        <f>CHOOSE(CONTROL!$C$42, 103.1359, 103.1359)*CHOOSE(CONTROL!$C$21, $C$9, 100%, $E$9)</f>
        <v>103.13590000000001</v>
      </c>
      <c r="H943" s="14">
        <f>CHOOSE(CONTROL!$C$42, 103.3704, 103.3704) * CHOOSE(CONTROL!$C$21, $C$9, 100%, $E$9)</f>
        <v>103.3704</v>
      </c>
      <c r="I943" s="14">
        <f>CHOOSE(CONTROL!$C$42, 103.4668, 103.4668)* CHOOSE(CONTROL!$C$21, $C$9, 100%, $E$9)</f>
        <v>103.46680000000001</v>
      </c>
      <c r="J943" s="14">
        <f>CHOOSE(CONTROL!$C$42, 103.113, 103.113)* CHOOSE(CONTROL!$C$21, $C$9, 100%, $E$9)</f>
        <v>103.113</v>
      </c>
      <c r="K943" s="53">
        <f>CHOOSE(CONTROL!$C$42, 103.4629, 103.4629) * CHOOSE(CONTROL!$C$21, $C$9, 100%, $E$9)</f>
        <v>103.4629</v>
      </c>
      <c r="L943" s="14">
        <f>CHOOSE(CONTROL!$C$42, 103.9574, 103.9574) * CHOOSE(CONTROL!$C$21, $C$9, 100%, $E$9)</f>
        <v>103.95740000000001</v>
      </c>
      <c r="M943" s="14">
        <f>CHOOSE(CONTROL!$C$42, 101.008, 101.008) * CHOOSE(CONTROL!$C$21, $C$9, 100%, $E$9)</f>
        <v>101.008</v>
      </c>
      <c r="N943" s="14">
        <f>CHOOSE(CONTROL!$C$42, 101.0235, 101.0235) * CHOOSE(CONTROL!$C$21, $C$9, 100%, $E$9)</f>
        <v>101.0235</v>
      </c>
      <c r="O943" s="14">
        <f>CHOOSE(CONTROL!$C$42, 101.2601, 101.2601) * CHOOSE(CONTROL!$C$21, $C$9, 100%, $E$9)</f>
        <v>101.26009999999999</v>
      </c>
      <c r="P943" s="14">
        <f>CHOOSE(CONTROL!$C$42, 101.3481, 101.3481) * CHOOSE(CONTROL!$C$21, $C$9, 100%, $E$9)</f>
        <v>101.3481</v>
      </c>
      <c r="Q943" s="14">
        <f>CHOOSE(CONTROL!$C$42, 101.8548, 101.8548) * CHOOSE(CONTROL!$C$21, $C$9, 100%, $E$9)</f>
        <v>101.8548</v>
      </c>
      <c r="R943" s="14">
        <f>CHOOSE(CONTROL!$C$42, 102.6965, 102.6965) * CHOOSE(CONTROL!$C$21, $C$9, 100%, $E$9)</f>
        <v>102.6965</v>
      </c>
      <c r="S943" s="14">
        <f>CHOOSE(CONTROL!$C$42, 99.095, 99.095) * CHOOSE(CONTROL!$C$21, $C$9, 100%, $E$9)</f>
        <v>99.094999999999999</v>
      </c>
      <c r="T94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43" s="57">
        <f>(1000*CHOOSE(CONTROL!$C$42, 695, 695)*CHOOSE(CONTROL!$C$42, 0.5599, 0.5599)*CHOOSE(CONTROL!$C$42, 31, 31))/1000000</f>
        <v>12.063045499999998</v>
      </c>
      <c r="V943" s="57">
        <f>(1000*CHOOSE(CONTROL!$C$42, 500, 500)*CHOOSE(CONTROL!$C$42, 0.275, 0.275)*CHOOSE(CONTROL!$C$42, 31, 31))/1000000</f>
        <v>4.2625000000000002</v>
      </c>
      <c r="W943" s="57">
        <f>(1000*CHOOSE(CONTROL!$C$42, 0.1146, 0.1146)*CHOOSE(CONTROL!$C$42, 121.5, 121.5)*CHOOSE(CONTROL!$C$42, 31, 31))/1000000</f>
        <v>0.43164089999999994</v>
      </c>
      <c r="X943" s="57">
        <f>(31*0.1790888*245000/1000000)+(31*0.2374*100000/1000000)</f>
        <v>2.0961194359999999</v>
      </c>
      <c r="Y943" s="57"/>
      <c r="Z943" s="14"/>
      <c r="AA943" s="56"/>
      <c r="AB943" s="50">
        <f>(B943*194.205+C943*267.466+D943*133.845+E943*53.484+F943*40+G943*185+H943*0+I943*100+J943*300)/(194.205+267.466+133.845+53.484+0+40+185+100+300)</f>
        <v>103.19141490510204</v>
      </c>
      <c r="AC943" s="45">
        <f>(M943*'RAP TEMPLATE-GAS AVAILABILITY'!O942+N943*'RAP TEMPLATE-GAS AVAILABILITY'!P942+O943*'RAP TEMPLATE-GAS AVAILABILITY'!Q942+P943*'RAP TEMPLATE-GAS AVAILABILITY'!R942)/('RAP TEMPLATE-GAS AVAILABILITY'!O942+'RAP TEMPLATE-GAS AVAILABILITY'!P942+'RAP TEMPLATE-GAS AVAILABILITY'!Q942+'RAP TEMPLATE-GAS AVAILABILITY'!R942)</f>
        <v>101.17208848920862</v>
      </c>
    </row>
    <row r="944" spans="1:29" ht="15.75" x14ac:dyDescent="0.25">
      <c r="A944" s="32">
        <v>69641</v>
      </c>
      <c r="B944" s="14">
        <f>CHOOSE(CONTROL!$C$42, 98.0444, 98.0444) * CHOOSE(CONTROL!$C$21, $C$9, 100%, $E$9)</f>
        <v>98.044399999999996</v>
      </c>
      <c r="C944" s="14">
        <f>CHOOSE(CONTROL!$C$42, 98.0524, 98.0524) * CHOOSE(CONTROL!$C$21, $C$9, 100%, $E$9)</f>
        <v>98.052400000000006</v>
      </c>
      <c r="D944" s="14">
        <f>CHOOSE(CONTROL!$C$42, 98.2564, 98.2564) * CHOOSE(CONTROL!$C$21, $C$9, 100%, $E$9)</f>
        <v>98.256399999999999</v>
      </c>
      <c r="E944" s="14">
        <f>CHOOSE(CONTROL!$C$42, 98.2878, 98.2878) * CHOOSE(CONTROL!$C$21, $C$9, 100%, $E$9)</f>
        <v>98.287800000000004</v>
      </c>
      <c r="F944" s="14">
        <f>CHOOSE(CONTROL!$C$42, 98.0263, 98.0263)*CHOOSE(CONTROL!$C$21, $C$9, 100%, $E$9)</f>
        <v>98.026300000000006</v>
      </c>
      <c r="G944" s="14">
        <f>CHOOSE(CONTROL!$C$42, 98.0422, 98.0422)*CHOOSE(CONTROL!$C$21, $C$9, 100%, $E$9)</f>
        <v>98.042199999999994</v>
      </c>
      <c r="H944" s="14">
        <f>CHOOSE(CONTROL!$C$42, 98.2765, 98.2765) * CHOOSE(CONTROL!$C$21, $C$9, 100%, $E$9)</f>
        <v>98.276499999999999</v>
      </c>
      <c r="I944" s="14">
        <f>CHOOSE(CONTROL!$C$42, 98.3569, 98.3569)* CHOOSE(CONTROL!$C$21, $C$9, 100%, $E$9)</f>
        <v>98.356899999999996</v>
      </c>
      <c r="J944" s="14">
        <f>CHOOSE(CONTROL!$C$42, 98.0193, 98.0193)* CHOOSE(CONTROL!$C$21, $C$9, 100%, $E$9)</f>
        <v>98.019300000000001</v>
      </c>
      <c r="K944" s="53">
        <f>CHOOSE(CONTROL!$C$42, 98.353, 98.353) * CHOOSE(CONTROL!$C$21, $C$9, 100%, $E$9)</f>
        <v>98.352999999999994</v>
      </c>
      <c r="L944" s="14">
        <f>CHOOSE(CONTROL!$C$42, 98.8635, 98.8635) * CHOOSE(CONTROL!$C$21, $C$9, 100%, $E$9)</f>
        <v>98.863500000000002</v>
      </c>
      <c r="M944" s="14">
        <f>CHOOSE(CONTROL!$C$42, 96.0186, 96.0186) * CHOOSE(CONTROL!$C$21, $C$9, 100%, $E$9)</f>
        <v>96.018600000000006</v>
      </c>
      <c r="N944" s="14">
        <f>CHOOSE(CONTROL!$C$42, 96.0342, 96.0342) * CHOOSE(CONTROL!$C$21, $C$9, 100%, $E$9)</f>
        <v>96.034199999999998</v>
      </c>
      <c r="O944" s="14">
        <f>CHOOSE(CONTROL!$C$42, 96.2705, 96.2705) * CHOOSE(CONTROL!$C$21, $C$9, 100%, $E$9)</f>
        <v>96.270499999999998</v>
      </c>
      <c r="P944" s="14">
        <f>CHOOSE(CONTROL!$C$42, 96.3432, 96.3432) * CHOOSE(CONTROL!$C$21, $C$9, 100%, $E$9)</f>
        <v>96.343199999999996</v>
      </c>
      <c r="Q944" s="14">
        <f>CHOOSE(CONTROL!$C$42, 96.8652, 96.8652) * CHOOSE(CONTROL!$C$21, $C$9, 100%, $E$9)</f>
        <v>96.865200000000002</v>
      </c>
      <c r="R944" s="14">
        <f>CHOOSE(CONTROL!$C$42, 97.6944, 97.6944) * CHOOSE(CONTROL!$C$21, $C$9, 100%, $E$9)</f>
        <v>97.694400000000002</v>
      </c>
      <c r="S944" s="14">
        <f>CHOOSE(CONTROL!$C$42, 94.2002, 94.2002) * CHOOSE(CONTROL!$C$21, $C$9, 100%, $E$9)</f>
        <v>94.200199999999995</v>
      </c>
      <c r="T94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44" s="57">
        <f>(1000*CHOOSE(CONTROL!$C$42, 695, 695)*CHOOSE(CONTROL!$C$42, 0.5599, 0.5599)*CHOOSE(CONTROL!$C$42, 31, 31))/1000000</f>
        <v>12.063045499999998</v>
      </c>
      <c r="V944" s="57">
        <f>(1000*CHOOSE(CONTROL!$C$42, 500, 500)*CHOOSE(CONTROL!$C$42, 0.275, 0.275)*CHOOSE(CONTROL!$C$42, 31, 31))/1000000</f>
        <v>4.2625000000000002</v>
      </c>
      <c r="W944" s="57">
        <f>(1000*CHOOSE(CONTROL!$C$42, 0.1146, 0.1146)*CHOOSE(CONTROL!$C$42, 121.5, 121.5)*CHOOSE(CONTROL!$C$42, 31, 31))/1000000</f>
        <v>0.43164089999999994</v>
      </c>
      <c r="X944" s="57">
        <f>(31*0.1790888*245000/1000000)+(31*0.2374*100000/1000000)</f>
        <v>2.0961194359999999</v>
      </c>
      <c r="Y944" s="57"/>
      <c r="Z944" s="14"/>
      <c r="AA944" s="56"/>
      <c r="AB944" s="50">
        <f>(B944*194.205+C944*267.466+D944*133.845+E944*53.484+F944*40+G944*185+H944*0+I944*100+J944*300)/(194.205+267.466+133.845+53.484+0+40+185+100+300)</f>
        <v>98.096300999686036</v>
      </c>
      <c r="AC944" s="45">
        <f>(M944*'RAP TEMPLATE-GAS AVAILABILITY'!O943+N944*'RAP TEMPLATE-GAS AVAILABILITY'!P943+O944*'RAP TEMPLATE-GAS AVAILABILITY'!Q943+P944*'RAP TEMPLATE-GAS AVAILABILITY'!R943)/('RAP TEMPLATE-GAS AVAILABILITY'!O943+'RAP TEMPLATE-GAS AVAILABILITY'!P943+'RAP TEMPLATE-GAS AVAILABILITY'!Q943+'RAP TEMPLATE-GAS AVAILABILITY'!R943)</f>
        <v>96.180373381294956</v>
      </c>
    </row>
    <row r="945" spans="1:29" ht="15.75" x14ac:dyDescent="0.25">
      <c r="A945" s="32">
        <v>69671</v>
      </c>
      <c r="B945" s="14">
        <f>CHOOSE(CONTROL!$C$42, 91.8202, 91.8202) * CHOOSE(CONTROL!$C$21, $C$9, 100%, $E$9)</f>
        <v>91.8202</v>
      </c>
      <c r="C945" s="14">
        <f>CHOOSE(CONTROL!$C$42, 91.8282, 91.8282) * CHOOSE(CONTROL!$C$21, $C$9, 100%, $E$9)</f>
        <v>91.828199999999995</v>
      </c>
      <c r="D945" s="14">
        <f>CHOOSE(CONTROL!$C$42, 92.0321, 92.0321) * CHOOSE(CONTROL!$C$21, $C$9, 100%, $E$9)</f>
        <v>92.0321</v>
      </c>
      <c r="E945" s="14">
        <f>CHOOSE(CONTROL!$C$42, 92.0636, 92.0636) * CHOOSE(CONTROL!$C$21, $C$9, 100%, $E$9)</f>
        <v>92.063599999999994</v>
      </c>
      <c r="F945" s="14">
        <f>CHOOSE(CONTROL!$C$42, 91.8021, 91.8021)*CHOOSE(CONTROL!$C$21, $C$9, 100%, $E$9)</f>
        <v>91.802099999999996</v>
      </c>
      <c r="G945" s="14">
        <f>CHOOSE(CONTROL!$C$42, 91.818, 91.818)*CHOOSE(CONTROL!$C$21, $C$9, 100%, $E$9)</f>
        <v>91.817999999999998</v>
      </c>
      <c r="H945" s="14">
        <f>CHOOSE(CONTROL!$C$42, 92.0522, 92.0522) * CHOOSE(CONTROL!$C$21, $C$9, 100%, $E$9)</f>
        <v>92.052199999999999</v>
      </c>
      <c r="I945" s="14">
        <f>CHOOSE(CONTROL!$C$42, 92.1132, 92.1132)* CHOOSE(CONTROL!$C$21, $C$9, 100%, $E$9)</f>
        <v>92.113200000000006</v>
      </c>
      <c r="J945" s="14">
        <f>CHOOSE(CONTROL!$C$42, 91.7951, 91.7951)* CHOOSE(CONTROL!$C$21, $C$9, 100%, $E$9)</f>
        <v>91.795100000000005</v>
      </c>
      <c r="K945" s="53">
        <f>CHOOSE(CONTROL!$C$42, 92.1093, 92.1093) * CHOOSE(CONTROL!$C$21, $C$9, 100%, $E$9)</f>
        <v>92.109300000000005</v>
      </c>
      <c r="L945" s="14">
        <f>CHOOSE(CONTROL!$C$42, 92.6392, 92.6392) * CHOOSE(CONTROL!$C$21, $C$9, 100%, $E$9)</f>
        <v>92.639200000000002</v>
      </c>
      <c r="M945" s="14">
        <f>CHOOSE(CONTROL!$C$42, 89.9219, 89.9219) * CHOOSE(CONTROL!$C$21, $C$9, 100%, $E$9)</f>
        <v>89.921899999999994</v>
      </c>
      <c r="N945" s="14">
        <f>CHOOSE(CONTROL!$C$42, 89.9376, 89.9376) * CHOOSE(CONTROL!$C$21, $C$9, 100%, $E$9)</f>
        <v>89.937600000000003</v>
      </c>
      <c r="O945" s="14">
        <f>CHOOSE(CONTROL!$C$42, 90.1738, 90.1738) * CHOOSE(CONTROL!$C$21, $C$9, 100%, $E$9)</f>
        <v>90.1738</v>
      </c>
      <c r="P945" s="14">
        <f>CHOOSE(CONTROL!$C$42, 90.2278, 90.2278) * CHOOSE(CONTROL!$C$21, $C$9, 100%, $E$9)</f>
        <v>90.227800000000002</v>
      </c>
      <c r="Q945" s="14">
        <f>CHOOSE(CONTROL!$C$42, 90.7685, 90.7685) * CHOOSE(CONTROL!$C$21, $C$9, 100%, $E$9)</f>
        <v>90.768500000000003</v>
      </c>
      <c r="R945" s="14">
        <f>CHOOSE(CONTROL!$C$42, 91.5824, 91.5824) * CHOOSE(CONTROL!$C$21, $C$9, 100%, $E$9)</f>
        <v>91.582400000000007</v>
      </c>
      <c r="S945" s="14">
        <f>CHOOSE(CONTROL!$C$42, 88.2194, 88.2194) * CHOOSE(CONTROL!$C$21, $C$9, 100%, $E$9)</f>
        <v>88.219399999999993</v>
      </c>
      <c r="T94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45" s="57">
        <f>(1000*CHOOSE(CONTROL!$C$42, 695, 695)*CHOOSE(CONTROL!$C$42, 0.5599, 0.5599)*CHOOSE(CONTROL!$C$42, 30, 30))/1000000</f>
        <v>11.673914999999997</v>
      </c>
      <c r="V945" s="57">
        <f>(1000*CHOOSE(CONTROL!$C$42, 500, 500)*CHOOSE(CONTROL!$C$42, 0.275, 0.275)*CHOOSE(CONTROL!$C$42, 30, 30))/1000000</f>
        <v>4.125</v>
      </c>
      <c r="W945" s="57">
        <f>(1000*CHOOSE(CONTROL!$C$42, 0.1146, 0.1146)*CHOOSE(CONTROL!$C$42, 121.5, 121.5)*CHOOSE(CONTROL!$C$42, 30, 30))/1000000</f>
        <v>0.417717</v>
      </c>
      <c r="X945" s="57">
        <f>(30*0.1790888*245000/1000000)+(30*0.2374*100000/1000000)</f>
        <v>2.0285026799999999</v>
      </c>
      <c r="Y945" s="57"/>
      <c r="Z945" s="14"/>
      <c r="AA945" s="56"/>
      <c r="AB945" s="50">
        <f>(B945*194.205+C945*267.466+D945*133.845+E945*53.484+F945*40+G945*185+H945*0+I945*100+J945*300)/(194.205+267.466+133.845+53.484+0+40+185+100+300)</f>
        <v>91.870559881554172</v>
      </c>
      <c r="AC945" s="45">
        <f>(M945*'RAP TEMPLATE-GAS AVAILABILITY'!O944+N945*'RAP TEMPLATE-GAS AVAILABILITY'!P944+O945*'RAP TEMPLATE-GAS AVAILABILITY'!Q944+P945*'RAP TEMPLATE-GAS AVAILABILITY'!R944)/('RAP TEMPLATE-GAS AVAILABILITY'!O944+'RAP TEMPLATE-GAS AVAILABILITY'!P944+'RAP TEMPLATE-GAS AVAILABILITY'!Q944+'RAP TEMPLATE-GAS AVAILABILITY'!R944)</f>
        <v>90.080988489208622</v>
      </c>
    </row>
    <row r="946" spans="1:29" ht="15.75" x14ac:dyDescent="0.25">
      <c r="A946" s="32">
        <v>69702</v>
      </c>
      <c r="B946" s="14">
        <f>CHOOSE(CONTROL!$C$42, 89.9543, 89.9543) * CHOOSE(CONTROL!$C$21, $C$9, 100%, $E$9)</f>
        <v>89.954300000000003</v>
      </c>
      <c r="C946" s="14">
        <f>CHOOSE(CONTROL!$C$42, 89.9596, 89.9596) * CHOOSE(CONTROL!$C$21, $C$9, 100%, $E$9)</f>
        <v>89.959599999999995</v>
      </c>
      <c r="D946" s="14">
        <f>CHOOSE(CONTROL!$C$42, 90.1685, 90.1685) * CHOOSE(CONTROL!$C$21, $C$9, 100%, $E$9)</f>
        <v>90.168499999999995</v>
      </c>
      <c r="E946" s="14">
        <f>CHOOSE(CONTROL!$C$42, 90.1977, 90.1977) * CHOOSE(CONTROL!$C$21, $C$9, 100%, $E$9)</f>
        <v>90.197699999999998</v>
      </c>
      <c r="F946" s="14">
        <f>CHOOSE(CONTROL!$C$42, 89.9383, 89.9383)*CHOOSE(CONTROL!$C$21, $C$9, 100%, $E$9)</f>
        <v>89.938299999999998</v>
      </c>
      <c r="G946" s="14">
        <f>CHOOSE(CONTROL!$C$42, 89.954, 89.954)*CHOOSE(CONTROL!$C$21, $C$9, 100%, $E$9)</f>
        <v>89.953999999999994</v>
      </c>
      <c r="H946" s="14">
        <f>CHOOSE(CONTROL!$C$42, 90.1881, 90.1881) * CHOOSE(CONTROL!$C$21, $C$9, 100%, $E$9)</f>
        <v>90.188100000000006</v>
      </c>
      <c r="I946" s="14">
        <f>CHOOSE(CONTROL!$C$42, 90.2432, 90.2432)* CHOOSE(CONTROL!$C$21, $C$9, 100%, $E$9)</f>
        <v>90.243200000000002</v>
      </c>
      <c r="J946" s="14">
        <f>CHOOSE(CONTROL!$C$42, 89.9313, 89.9313)* CHOOSE(CONTROL!$C$21, $C$9, 100%, $E$9)</f>
        <v>89.931299999999993</v>
      </c>
      <c r="K946" s="53">
        <f>CHOOSE(CONTROL!$C$42, 90.2394, 90.2394) * CHOOSE(CONTROL!$C$21, $C$9, 100%, $E$9)</f>
        <v>90.239400000000003</v>
      </c>
      <c r="L946" s="14">
        <f>CHOOSE(CONTROL!$C$42, 90.7751, 90.7751) * CHOOSE(CONTROL!$C$21, $C$9, 100%, $E$9)</f>
        <v>90.775099999999995</v>
      </c>
      <c r="M946" s="14">
        <f>CHOOSE(CONTROL!$C$42, 88.0964, 88.0964) * CHOOSE(CONTROL!$C$21, $C$9, 100%, $E$9)</f>
        <v>88.096400000000003</v>
      </c>
      <c r="N946" s="14">
        <f>CHOOSE(CONTROL!$C$42, 88.1117, 88.1117) * CHOOSE(CONTROL!$C$21, $C$9, 100%, $E$9)</f>
        <v>88.111699999999999</v>
      </c>
      <c r="O946" s="14">
        <f>CHOOSE(CONTROL!$C$42, 88.3479, 88.3479) * CHOOSE(CONTROL!$C$21, $C$9, 100%, $E$9)</f>
        <v>88.347899999999996</v>
      </c>
      <c r="P946" s="14">
        <f>CHOOSE(CONTROL!$C$42, 88.3963, 88.3963) * CHOOSE(CONTROL!$C$21, $C$9, 100%, $E$9)</f>
        <v>88.396299999999997</v>
      </c>
      <c r="Q946" s="14">
        <f>CHOOSE(CONTROL!$C$42, 88.9426, 88.9426) * CHOOSE(CONTROL!$C$21, $C$9, 100%, $E$9)</f>
        <v>88.942599999999999</v>
      </c>
      <c r="R946" s="14">
        <f>CHOOSE(CONTROL!$C$42, 89.752, 89.752) * CHOOSE(CONTROL!$C$21, $C$9, 100%, $E$9)</f>
        <v>89.751999999999995</v>
      </c>
      <c r="S946" s="14">
        <f>CHOOSE(CONTROL!$C$42, 86.4282, 86.4282) * CHOOSE(CONTROL!$C$21, $C$9, 100%, $E$9)</f>
        <v>86.428200000000004</v>
      </c>
      <c r="T94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46" s="57">
        <f>(1000*CHOOSE(CONTROL!$C$42, 695, 695)*CHOOSE(CONTROL!$C$42, 0.5599, 0.5599)*CHOOSE(CONTROL!$C$42, 31, 31))/1000000</f>
        <v>12.063045499999998</v>
      </c>
      <c r="V946" s="57">
        <f>(1000*CHOOSE(CONTROL!$C$42, 500, 500)*CHOOSE(CONTROL!$C$42, 0.275, 0.275)*CHOOSE(CONTROL!$C$42, 31, 31))/1000000</f>
        <v>4.2625000000000002</v>
      </c>
      <c r="W946" s="57">
        <f>(1000*CHOOSE(CONTROL!$C$42, 0.1146, 0.1146)*CHOOSE(CONTROL!$C$42, 121.5, 121.5)*CHOOSE(CONTROL!$C$42, 31, 31))/1000000</f>
        <v>0.43164089999999994</v>
      </c>
      <c r="X946" s="57">
        <f>(31*0.1790888*245000/1000000)+(31*0.2374*100000/1000000)</f>
        <v>2.0961194359999999</v>
      </c>
      <c r="Y946" s="57"/>
      <c r="Z946" s="14"/>
      <c r="AA946" s="56"/>
      <c r="AB946" s="50">
        <f>(B946*131.881+C946*277.167+D946*79.08+E946*125.872+F946*40+G946*185+H946*0+I946*100+J946*300)/(131.881+277.167+79.08+125.872+0+40+185+100+300)</f>
        <v>90.011071320338985</v>
      </c>
      <c r="AC946" s="45">
        <f>(M946*'RAP TEMPLATE-GAS AVAILABILITY'!O945+N946*'RAP TEMPLATE-GAS AVAILABILITY'!P945+O946*'RAP TEMPLATE-GAS AVAILABILITY'!Q945+P946*'RAP TEMPLATE-GAS AVAILABILITY'!R945)/('RAP TEMPLATE-GAS AVAILABILITY'!O945+'RAP TEMPLATE-GAS AVAILABILITY'!P945+'RAP TEMPLATE-GAS AVAILABILITY'!Q945+'RAP TEMPLATE-GAS AVAILABILITY'!R945)</f>
        <v>88.254420863309349</v>
      </c>
    </row>
    <row r="947" spans="1:29" ht="15.75" x14ac:dyDescent="0.25">
      <c r="A947" s="32">
        <v>69732</v>
      </c>
      <c r="B947" s="14">
        <f>CHOOSE(CONTROL!$C$42, 92.3235, 92.3235) * CHOOSE(CONTROL!$C$21, $C$9, 100%, $E$9)</f>
        <v>92.323499999999996</v>
      </c>
      <c r="C947" s="14">
        <f>CHOOSE(CONTROL!$C$42, 92.3285, 92.3285) * CHOOSE(CONTROL!$C$21, $C$9, 100%, $E$9)</f>
        <v>92.328500000000005</v>
      </c>
      <c r="D947" s="14">
        <f>CHOOSE(CONTROL!$C$42, 92.3923, 92.3923) * CHOOSE(CONTROL!$C$21, $C$9, 100%, $E$9)</f>
        <v>92.392300000000006</v>
      </c>
      <c r="E947" s="14">
        <f>CHOOSE(CONTROL!$C$42, 92.4264, 92.4264) * CHOOSE(CONTROL!$C$21, $C$9, 100%, $E$9)</f>
        <v>92.426400000000001</v>
      </c>
      <c r="F947" s="14">
        <f>CHOOSE(CONTROL!$C$42, 92.3259, 92.3259)*CHOOSE(CONTROL!$C$21, $C$9, 100%, $E$9)</f>
        <v>92.325900000000004</v>
      </c>
      <c r="G947" s="14">
        <f>CHOOSE(CONTROL!$C$42, 92.3419, 92.3419)*CHOOSE(CONTROL!$C$21, $C$9, 100%, $E$9)</f>
        <v>92.341899999999995</v>
      </c>
      <c r="H947" s="14">
        <f>CHOOSE(CONTROL!$C$42, 92.4156, 92.4156) * CHOOSE(CONTROL!$C$21, $C$9, 100%, $E$9)</f>
        <v>92.415599999999998</v>
      </c>
      <c r="I947" s="14">
        <f>CHOOSE(CONTROL!$C$42, 92.6254, 92.6254)* CHOOSE(CONTROL!$C$21, $C$9, 100%, $E$9)</f>
        <v>92.625399999999999</v>
      </c>
      <c r="J947" s="14">
        <f>CHOOSE(CONTROL!$C$42, 92.3189, 92.3189)* CHOOSE(CONTROL!$C$21, $C$9, 100%, $E$9)</f>
        <v>92.318899999999999</v>
      </c>
      <c r="K947" s="53">
        <f>CHOOSE(CONTROL!$C$42, 92.6216, 92.6216) * CHOOSE(CONTROL!$C$21, $C$9, 100%, $E$9)</f>
        <v>92.621600000000001</v>
      </c>
      <c r="L947" s="14">
        <f>CHOOSE(CONTROL!$C$42, 93.0026, 93.0026) * CHOOSE(CONTROL!$C$21, $C$9, 100%, $E$9)</f>
        <v>93.002600000000001</v>
      </c>
      <c r="M947" s="14">
        <f>CHOOSE(CONTROL!$C$42, 90.435, 90.435) * CHOOSE(CONTROL!$C$21, $C$9, 100%, $E$9)</f>
        <v>90.435000000000002</v>
      </c>
      <c r="N947" s="14">
        <f>CHOOSE(CONTROL!$C$42, 90.4507, 90.4507) * CHOOSE(CONTROL!$C$21, $C$9, 100%, $E$9)</f>
        <v>90.450699999999998</v>
      </c>
      <c r="O947" s="14">
        <f>CHOOSE(CONTROL!$C$42, 90.5298, 90.5298) * CHOOSE(CONTROL!$C$21, $C$9, 100%, $E$9)</f>
        <v>90.529799999999994</v>
      </c>
      <c r="P947" s="14">
        <f>CHOOSE(CONTROL!$C$42, 90.7296, 90.7296) * CHOOSE(CONTROL!$C$21, $C$9, 100%, $E$9)</f>
        <v>90.729600000000005</v>
      </c>
      <c r="Q947" s="14">
        <f>CHOOSE(CONTROL!$C$42, 91.1245, 91.1245) * CHOOSE(CONTROL!$C$21, $C$9, 100%, $E$9)</f>
        <v>91.124499999999998</v>
      </c>
      <c r="R947" s="14">
        <f>CHOOSE(CONTROL!$C$42, 91.9393, 91.9393) * CHOOSE(CONTROL!$C$21, $C$9, 100%, $E$9)</f>
        <v>91.939300000000003</v>
      </c>
      <c r="S947" s="14">
        <f>CHOOSE(CONTROL!$C$42, 88.7051, 88.7051) * CHOOSE(CONTROL!$C$21, $C$9, 100%, $E$9)</f>
        <v>88.705100000000002</v>
      </c>
      <c r="T94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47" s="57">
        <f>(1000*CHOOSE(CONTROL!$C$42, 695, 695)*CHOOSE(CONTROL!$C$42, 0.5599, 0.5599)*CHOOSE(CONTROL!$C$42, 30, 30))/1000000</f>
        <v>11.673914999999997</v>
      </c>
      <c r="V947" s="57">
        <f>(1000*CHOOSE(CONTROL!$C$42, 500, 500)*CHOOSE(CONTROL!$C$42, 0.275, 0.275)*CHOOSE(CONTROL!$C$42, 30, 30))/1000000</f>
        <v>4.125</v>
      </c>
      <c r="W947" s="57">
        <f>(1000*CHOOSE(CONTROL!$C$42, 0.1146, 0.1146)*CHOOSE(CONTROL!$C$42, 121.5, 121.5)*CHOOSE(CONTROL!$C$42, 30, 30))/1000000</f>
        <v>0.417717</v>
      </c>
      <c r="X947" s="57">
        <f>(30*0.1790888*100000/1000000)+(30*0.2374*100000/1000000)</f>
        <v>1.2494664</v>
      </c>
      <c r="Y947" s="57"/>
      <c r="Z947" s="14"/>
      <c r="AA947" s="56"/>
      <c r="AB947" s="50">
        <f>(B947*122.58+C947*297.941+D947*89.177+E947*40.302+F947*40+G947*160+H947*0+I947*100+J947*300)/(122.58+297.941+89.177+40.302+0+40+160+100+300)</f>
        <v>92.361432311652166</v>
      </c>
      <c r="AC947" s="45">
        <f>(M947*'RAP TEMPLATE-GAS AVAILABILITY'!O946+N947*'RAP TEMPLATE-GAS AVAILABILITY'!P946+O947*'RAP TEMPLATE-GAS AVAILABILITY'!Q946+P947*'RAP TEMPLATE-GAS AVAILABILITY'!R946)/('RAP TEMPLATE-GAS AVAILABILITY'!O946+'RAP TEMPLATE-GAS AVAILABILITY'!P946+'RAP TEMPLATE-GAS AVAILABILITY'!Q946+'RAP TEMPLATE-GAS AVAILABILITY'!R946)</f>
        <v>90.521258992805755</v>
      </c>
    </row>
    <row r="948" spans="1:29" ht="15.75" x14ac:dyDescent="0.25">
      <c r="A948" s="32">
        <v>69763</v>
      </c>
      <c r="B948" s="14">
        <f>CHOOSE(CONTROL!$C$42, 98.6174, 98.6174) * CHOOSE(CONTROL!$C$21, $C$9, 100%, $E$9)</f>
        <v>98.617400000000004</v>
      </c>
      <c r="C948" s="14">
        <f>CHOOSE(CONTROL!$C$42, 98.6224, 98.6224) * CHOOSE(CONTROL!$C$21, $C$9, 100%, $E$9)</f>
        <v>98.622399999999999</v>
      </c>
      <c r="D948" s="14">
        <f>CHOOSE(CONTROL!$C$42, 98.6863, 98.6863) * CHOOSE(CONTROL!$C$21, $C$9, 100%, $E$9)</f>
        <v>98.686300000000003</v>
      </c>
      <c r="E948" s="14">
        <f>CHOOSE(CONTROL!$C$42, 98.7204, 98.7204) * CHOOSE(CONTROL!$C$21, $C$9, 100%, $E$9)</f>
        <v>98.720399999999998</v>
      </c>
      <c r="F948" s="14">
        <f>CHOOSE(CONTROL!$C$42, 98.622, 98.622)*CHOOSE(CONTROL!$C$21, $C$9, 100%, $E$9)</f>
        <v>98.622</v>
      </c>
      <c r="G948" s="14">
        <f>CHOOSE(CONTROL!$C$42, 98.6386, 98.6386)*CHOOSE(CONTROL!$C$21, $C$9, 100%, $E$9)</f>
        <v>98.638599999999997</v>
      </c>
      <c r="H948" s="14">
        <f>CHOOSE(CONTROL!$C$42, 98.7096, 98.7096) * CHOOSE(CONTROL!$C$21, $C$9, 100%, $E$9)</f>
        <v>98.709599999999995</v>
      </c>
      <c r="I948" s="14">
        <f>CHOOSE(CONTROL!$C$42, 98.9391, 98.9391)* CHOOSE(CONTROL!$C$21, $C$9, 100%, $E$9)</f>
        <v>98.939099999999996</v>
      </c>
      <c r="J948" s="14">
        <f>CHOOSE(CONTROL!$C$42, 98.615, 98.615)* CHOOSE(CONTROL!$C$21, $C$9, 100%, $E$9)</f>
        <v>98.614999999999995</v>
      </c>
      <c r="K948" s="53">
        <f>CHOOSE(CONTROL!$C$42, 98.9352, 98.9352) * CHOOSE(CONTROL!$C$21, $C$9, 100%, $E$9)</f>
        <v>98.935199999999995</v>
      </c>
      <c r="L948" s="14">
        <f>CHOOSE(CONTROL!$C$42, 99.2966, 99.2966) * CHOOSE(CONTROL!$C$21, $C$9, 100%, $E$9)</f>
        <v>99.296599999999998</v>
      </c>
      <c r="M948" s="14">
        <f>CHOOSE(CONTROL!$C$42, 96.6022, 96.6022) * CHOOSE(CONTROL!$C$21, $C$9, 100%, $E$9)</f>
        <v>96.602199999999996</v>
      </c>
      <c r="N948" s="14">
        <f>CHOOSE(CONTROL!$C$42, 96.6184, 96.6184) * CHOOSE(CONTROL!$C$21, $C$9, 100%, $E$9)</f>
        <v>96.618399999999994</v>
      </c>
      <c r="O948" s="14">
        <f>CHOOSE(CONTROL!$C$42, 96.6948, 96.6948) * CHOOSE(CONTROL!$C$21, $C$9, 100%, $E$9)</f>
        <v>96.694800000000001</v>
      </c>
      <c r="P948" s="14">
        <f>CHOOSE(CONTROL!$C$42, 96.9134, 96.9134) * CHOOSE(CONTROL!$C$21, $C$9, 100%, $E$9)</f>
        <v>96.913399999999996</v>
      </c>
      <c r="Q948" s="14">
        <f>CHOOSE(CONTROL!$C$42, 97.2895, 97.2895) * CHOOSE(CONTROL!$C$21, $C$9, 100%, $E$9)</f>
        <v>97.289500000000004</v>
      </c>
      <c r="R948" s="14">
        <f>CHOOSE(CONTROL!$C$42, 98.1197, 98.1197) * CHOOSE(CONTROL!$C$21, $C$9, 100%, $E$9)</f>
        <v>98.119699999999995</v>
      </c>
      <c r="S948" s="14">
        <f>CHOOSE(CONTROL!$C$42, 94.7529, 94.7529) * CHOOSE(CONTROL!$C$21, $C$9, 100%, $E$9)</f>
        <v>94.752899999999997</v>
      </c>
      <c r="T94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48" s="57">
        <f>(1000*CHOOSE(CONTROL!$C$42, 695, 695)*CHOOSE(CONTROL!$C$42, 0.5599, 0.5599)*CHOOSE(CONTROL!$C$42, 31, 31))/1000000</f>
        <v>12.063045499999998</v>
      </c>
      <c r="V948" s="57">
        <f>(1000*CHOOSE(CONTROL!$C$42, 500, 500)*CHOOSE(CONTROL!$C$42, 0.275, 0.275)*CHOOSE(CONTROL!$C$42, 31, 31))/1000000</f>
        <v>4.2625000000000002</v>
      </c>
      <c r="W948" s="57">
        <f>(1000*CHOOSE(CONTROL!$C$42, 0.1146, 0.1146)*CHOOSE(CONTROL!$C$42, 121.5, 121.5)*CHOOSE(CONTROL!$C$42, 31, 31))/1000000</f>
        <v>0.43164089999999994</v>
      </c>
      <c r="X948" s="57">
        <f>(31*0.1790888*100000/1000000)+(31*0.2374*100000/1000000)</f>
        <v>1.2911152800000001</v>
      </c>
      <c r="Y948" s="57"/>
      <c r="Z948" s="14"/>
      <c r="AA948" s="56"/>
      <c r="AB948" s="50">
        <f>(B948*122.58+C948*297.941+D948*89.177+E948*40.302+F948*40+G948*160+H948*0+I948*100+J948*300)/(122.58+297.941+89.177+40.302+0+40+160+100+300)</f>
        <v>98.658105309826084</v>
      </c>
      <c r="AC948" s="45">
        <f>(M948*'RAP TEMPLATE-GAS AVAILABILITY'!O947+N948*'RAP TEMPLATE-GAS AVAILABILITY'!P947+O948*'RAP TEMPLATE-GAS AVAILABILITY'!Q947+P948*'RAP TEMPLATE-GAS AVAILABILITY'!R947)/('RAP TEMPLATE-GAS AVAILABILITY'!O947+'RAP TEMPLATE-GAS AVAILABILITY'!P947+'RAP TEMPLATE-GAS AVAILABILITY'!Q947+'RAP TEMPLATE-GAS AVAILABILITY'!R947)</f>
        <v>96.689879136690649</v>
      </c>
    </row>
    <row r="949" spans="1:29" ht="15.75" x14ac:dyDescent="0.25">
      <c r="A949" s="32">
        <v>69794</v>
      </c>
      <c r="B949" s="14">
        <f>CHOOSE(CONTROL!$C$42, 106.6947, 106.6947) * CHOOSE(CONTROL!$C$21, $C$9, 100%, $E$9)</f>
        <v>106.6947</v>
      </c>
      <c r="C949" s="14">
        <f>CHOOSE(CONTROL!$C$42, 106.6998, 106.6998) * CHOOSE(CONTROL!$C$21, $C$9, 100%, $E$9)</f>
        <v>106.6998</v>
      </c>
      <c r="D949" s="14">
        <f>CHOOSE(CONTROL!$C$42, 106.7662, 106.7662) * CHOOSE(CONTROL!$C$21, $C$9, 100%, $E$9)</f>
        <v>106.7662</v>
      </c>
      <c r="E949" s="14">
        <f>CHOOSE(CONTROL!$C$42, 106.8003, 106.8003) * CHOOSE(CONTROL!$C$21, $C$9, 100%, $E$9)</f>
        <v>106.80029999999999</v>
      </c>
      <c r="F949" s="14">
        <f>CHOOSE(CONTROL!$C$42, 106.6821, 106.6821)*CHOOSE(CONTROL!$C$21, $C$9, 100%, $E$9)</f>
        <v>106.68210000000001</v>
      </c>
      <c r="G949" s="14">
        <f>CHOOSE(CONTROL!$C$42, 106.6975, 106.6975)*CHOOSE(CONTROL!$C$21, $C$9, 100%, $E$9)</f>
        <v>106.69750000000001</v>
      </c>
      <c r="H949" s="14">
        <f>CHOOSE(CONTROL!$C$42, 106.7895, 106.7895) * CHOOSE(CONTROL!$C$21, $C$9, 100%, $E$9)</f>
        <v>106.7895</v>
      </c>
      <c r="I949" s="14">
        <f>CHOOSE(CONTROL!$C$42, 107.0365, 107.0365)* CHOOSE(CONTROL!$C$21, $C$9, 100%, $E$9)</f>
        <v>107.0365</v>
      </c>
      <c r="J949" s="14">
        <f>CHOOSE(CONTROL!$C$42, 106.6751, 106.6751)* CHOOSE(CONTROL!$C$21, $C$9, 100%, $E$9)</f>
        <v>106.6751</v>
      </c>
      <c r="K949" s="53">
        <f>CHOOSE(CONTROL!$C$42, 107.0326, 107.0326) * CHOOSE(CONTROL!$C$21, $C$9, 100%, $E$9)</f>
        <v>107.0326</v>
      </c>
      <c r="L949" s="14">
        <f>CHOOSE(CONTROL!$C$42, 107.3765, 107.3765) * CHOOSE(CONTROL!$C$21, $C$9, 100%, $E$9)</f>
        <v>107.37649999999999</v>
      </c>
      <c r="M949" s="14">
        <f>CHOOSE(CONTROL!$C$42, 104.4971, 104.4971) * CHOOSE(CONTROL!$C$21, $C$9, 100%, $E$9)</f>
        <v>104.4971</v>
      </c>
      <c r="N949" s="14">
        <f>CHOOSE(CONTROL!$C$42, 104.5122, 104.5122) * CHOOSE(CONTROL!$C$21, $C$9, 100%, $E$9)</f>
        <v>104.51220000000001</v>
      </c>
      <c r="O949" s="14">
        <f>CHOOSE(CONTROL!$C$42, 104.6092, 104.6092) * CHOOSE(CONTROL!$C$21, $C$9, 100%, $E$9)</f>
        <v>104.6092</v>
      </c>
      <c r="P949" s="14">
        <f>CHOOSE(CONTROL!$C$42, 104.8445, 104.8445) * CHOOSE(CONTROL!$C$21, $C$9, 100%, $E$9)</f>
        <v>104.8445</v>
      </c>
      <c r="Q949" s="14">
        <f>CHOOSE(CONTROL!$C$42, 105.2039, 105.2039) * CHOOSE(CONTROL!$C$21, $C$9, 100%, $E$9)</f>
        <v>105.2039</v>
      </c>
      <c r="R949" s="14">
        <f>CHOOSE(CONTROL!$C$42, 106.0539, 106.0539) * CHOOSE(CONTROL!$C$21, $C$9, 100%, $E$9)</f>
        <v>106.0539</v>
      </c>
      <c r="S949" s="14">
        <f>CHOOSE(CONTROL!$C$42, 102.5144, 102.5144) * CHOOSE(CONTROL!$C$21, $C$9, 100%, $E$9)</f>
        <v>102.51439999999999</v>
      </c>
      <c r="T94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49" s="57">
        <f>(1000*CHOOSE(CONTROL!$C$42, 695, 695)*CHOOSE(CONTROL!$C$42, 0.5599, 0.5599)*CHOOSE(CONTROL!$C$42, 31, 31))/1000000</f>
        <v>12.063045499999998</v>
      </c>
      <c r="V949" s="57">
        <f>(1000*CHOOSE(CONTROL!$C$42, 500, 500)*CHOOSE(CONTROL!$C$42, 0.275, 0.275)*CHOOSE(CONTROL!$C$42, 31, 31))/1000000</f>
        <v>4.2625000000000002</v>
      </c>
      <c r="W949" s="57">
        <f>(1000*CHOOSE(CONTROL!$C$42, 0.1146, 0.1146)*CHOOSE(CONTROL!$C$42, 121.5, 121.5)*CHOOSE(CONTROL!$C$42, 31, 31))/1000000</f>
        <v>0.43164089999999994</v>
      </c>
      <c r="X949" s="57">
        <f>(31*0.1790888*100000/1000000)+(31*0.2374*100000/1000000)</f>
        <v>1.2911152800000001</v>
      </c>
      <c r="Y949" s="57"/>
      <c r="Z949" s="14"/>
      <c r="AA949" s="56"/>
      <c r="AB949" s="50">
        <f>(B949*122.58+C949*297.941+D949*89.177+E949*40.302+F949*40+G949*160+H949*0+I949*100+J949*300)/(122.58+297.941+89.177+40.302+0+40+160+100+300)</f>
        <v>106.7298265615652</v>
      </c>
      <c r="AC949" s="45">
        <f>(M949*'RAP TEMPLATE-GAS AVAILABILITY'!O948+N949*'RAP TEMPLATE-GAS AVAILABILITY'!P948+O949*'RAP TEMPLATE-GAS AVAILABILITY'!Q948+P949*'RAP TEMPLATE-GAS AVAILABILITY'!R948)/('RAP TEMPLATE-GAS AVAILABILITY'!O948+'RAP TEMPLATE-GAS AVAILABILITY'!P948+'RAP TEMPLATE-GAS AVAILABILITY'!Q948+'RAP TEMPLATE-GAS AVAILABILITY'!R948)</f>
        <v>104.59876258992806</v>
      </c>
    </row>
    <row r="950" spans="1:29" ht="15.75" x14ac:dyDescent="0.25">
      <c r="A950" s="32">
        <v>69822</v>
      </c>
      <c r="B950" s="14">
        <f>CHOOSE(CONTROL!$C$42, 108.5939, 108.5939) * CHOOSE(CONTROL!$C$21, $C$9, 100%, $E$9)</f>
        <v>108.5939</v>
      </c>
      <c r="C950" s="14">
        <f>CHOOSE(CONTROL!$C$42, 108.599, 108.599) * CHOOSE(CONTROL!$C$21, $C$9, 100%, $E$9)</f>
        <v>108.599</v>
      </c>
      <c r="D950" s="14">
        <f>CHOOSE(CONTROL!$C$42, 108.6654, 108.6654) * CHOOSE(CONTROL!$C$21, $C$9, 100%, $E$9)</f>
        <v>108.66540000000001</v>
      </c>
      <c r="E950" s="14">
        <f>CHOOSE(CONTROL!$C$42, 108.6995, 108.6995) * CHOOSE(CONTROL!$C$21, $C$9, 100%, $E$9)</f>
        <v>108.6995</v>
      </c>
      <c r="F950" s="14">
        <f>CHOOSE(CONTROL!$C$42, 108.5813, 108.5813)*CHOOSE(CONTROL!$C$21, $C$9, 100%, $E$9)</f>
        <v>108.5813</v>
      </c>
      <c r="G950" s="14">
        <f>CHOOSE(CONTROL!$C$42, 108.5968, 108.5968)*CHOOSE(CONTROL!$C$21, $C$9, 100%, $E$9)</f>
        <v>108.5968</v>
      </c>
      <c r="H950" s="14">
        <f>CHOOSE(CONTROL!$C$42, 108.6887, 108.6887) * CHOOSE(CONTROL!$C$21, $C$9, 100%, $E$9)</f>
        <v>108.6887</v>
      </c>
      <c r="I950" s="14">
        <f>CHOOSE(CONTROL!$C$42, 108.9416, 108.9416)* CHOOSE(CONTROL!$C$21, $C$9, 100%, $E$9)</f>
        <v>108.94159999999999</v>
      </c>
      <c r="J950" s="14">
        <f>CHOOSE(CONTROL!$C$42, 108.5743, 108.5743)* CHOOSE(CONTROL!$C$21, $C$9, 100%, $E$9)</f>
        <v>108.57429999999999</v>
      </c>
      <c r="K950" s="53">
        <f>CHOOSE(CONTROL!$C$42, 108.9377, 108.9377) * CHOOSE(CONTROL!$C$21, $C$9, 100%, $E$9)</f>
        <v>108.93770000000001</v>
      </c>
      <c r="L950" s="14">
        <f>CHOOSE(CONTROL!$C$42, 109.2757, 109.2757) * CHOOSE(CONTROL!$C$21, $C$9, 100%, $E$9)</f>
        <v>109.2757</v>
      </c>
      <c r="M950" s="14">
        <f>CHOOSE(CONTROL!$C$42, 106.3574, 106.3574) * CHOOSE(CONTROL!$C$21, $C$9, 100%, $E$9)</f>
        <v>106.3574</v>
      </c>
      <c r="N950" s="14">
        <f>CHOOSE(CONTROL!$C$42, 106.3726, 106.3726) * CHOOSE(CONTROL!$C$21, $C$9, 100%, $E$9)</f>
        <v>106.37260000000001</v>
      </c>
      <c r="O950" s="14">
        <f>CHOOSE(CONTROL!$C$42, 106.4694, 106.4694) * CHOOSE(CONTROL!$C$21, $C$9, 100%, $E$9)</f>
        <v>106.46939999999999</v>
      </c>
      <c r="P950" s="14">
        <f>CHOOSE(CONTROL!$C$42, 106.7104, 106.7104) * CHOOSE(CONTROL!$C$21, $C$9, 100%, $E$9)</f>
        <v>106.71040000000001</v>
      </c>
      <c r="Q950" s="14">
        <f>CHOOSE(CONTROL!$C$42, 107.0641, 107.0641) * CHOOSE(CONTROL!$C$21, $C$9, 100%, $E$9)</f>
        <v>107.0641</v>
      </c>
      <c r="R950" s="14">
        <f>CHOOSE(CONTROL!$C$42, 107.9188, 107.9188) * CHOOSE(CONTROL!$C$21, $C$9, 100%, $E$9)</f>
        <v>107.9188</v>
      </c>
      <c r="S950" s="14">
        <f>CHOOSE(CONTROL!$C$42, 104.3393, 104.3393) * CHOOSE(CONTROL!$C$21, $C$9, 100%, $E$9)</f>
        <v>104.33929999999999</v>
      </c>
      <c r="T95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50" s="57">
        <f>(1000*CHOOSE(CONTROL!$C$42, 695, 695)*CHOOSE(CONTROL!$C$42, 0.5599, 0.5599)*CHOOSE(CONTROL!$C$42, 28, 28))/1000000</f>
        <v>10.895653999999999</v>
      </c>
      <c r="V950" s="57">
        <f>(1000*CHOOSE(CONTROL!$C$42, 500, 500)*CHOOSE(CONTROL!$C$42, 0.275, 0.275)*CHOOSE(CONTROL!$C$42, 28, 28))/1000000</f>
        <v>3.85</v>
      </c>
      <c r="W950" s="57">
        <f>(1000*CHOOSE(CONTROL!$C$42, 0.1146, 0.1146)*CHOOSE(CONTROL!$C$42, 121.5, 121.5)*CHOOSE(CONTROL!$C$42, 28, 28))/1000000</f>
        <v>0.38986920000000003</v>
      </c>
      <c r="X950" s="57">
        <f>(28*0.1790888*100000/1000000)+(28*0.2374*100000/1000000)</f>
        <v>1.16616864</v>
      </c>
      <c r="Y950" s="57"/>
      <c r="Z950" s="14"/>
      <c r="AA950" s="56"/>
      <c r="AB950" s="50">
        <f>(B950*122.58+C950*297.941+D950*89.177+E950*40.302+F950*40+G950*160+H950*0+I950*100+J950*300)/(122.58+297.941+89.177+40.302+0+40+160+100+300)</f>
        <v>108.62955351808695</v>
      </c>
      <c r="AC950" s="45">
        <f>(M950*'RAP TEMPLATE-GAS AVAILABILITY'!O949+N950*'RAP TEMPLATE-GAS AVAILABILITY'!P949+O950*'RAP TEMPLATE-GAS AVAILABILITY'!Q949+P950*'RAP TEMPLATE-GAS AVAILABILITY'!R949)/('RAP TEMPLATE-GAS AVAILABILITY'!O949+'RAP TEMPLATE-GAS AVAILABILITY'!P949+'RAP TEMPLATE-GAS AVAILABILITY'!Q949+'RAP TEMPLATE-GAS AVAILABILITY'!R949)</f>
        <v>106.45982877697843</v>
      </c>
    </row>
    <row r="951" spans="1:29" ht="15.75" x14ac:dyDescent="0.25">
      <c r="A951" s="32">
        <v>69853</v>
      </c>
      <c r="B951" s="14">
        <f>CHOOSE(CONTROL!$C$42, 105.5111, 105.5111) * CHOOSE(CONTROL!$C$21, $C$9, 100%, $E$9)</f>
        <v>105.5111</v>
      </c>
      <c r="C951" s="14">
        <f>CHOOSE(CONTROL!$C$42, 105.5162, 105.5162) * CHOOSE(CONTROL!$C$21, $C$9, 100%, $E$9)</f>
        <v>105.5162</v>
      </c>
      <c r="D951" s="14">
        <f>CHOOSE(CONTROL!$C$42, 105.5826, 105.5826) * CHOOSE(CONTROL!$C$21, $C$9, 100%, $E$9)</f>
        <v>105.5826</v>
      </c>
      <c r="E951" s="14">
        <f>CHOOSE(CONTROL!$C$42, 105.6167, 105.6167) * CHOOSE(CONTROL!$C$21, $C$9, 100%, $E$9)</f>
        <v>105.61669999999999</v>
      </c>
      <c r="F951" s="14">
        <f>CHOOSE(CONTROL!$C$42, 105.4981, 105.4981)*CHOOSE(CONTROL!$C$21, $C$9, 100%, $E$9)</f>
        <v>105.49809999999999</v>
      </c>
      <c r="G951" s="14">
        <f>CHOOSE(CONTROL!$C$42, 105.5135, 105.5135)*CHOOSE(CONTROL!$C$21, $C$9, 100%, $E$9)</f>
        <v>105.51349999999999</v>
      </c>
      <c r="H951" s="14">
        <f>CHOOSE(CONTROL!$C$42, 105.6059, 105.6059) * CHOOSE(CONTROL!$C$21, $C$9, 100%, $E$9)</f>
        <v>105.60590000000001</v>
      </c>
      <c r="I951" s="14">
        <f>CHOOSE(CONTROL!$C$42, 105.8492, 105.8492)* CHOOSE(CONTROL!$C$21, $C$9, 100%, $E$9)</f>
        <v>105.8492</v>
      </c>
      <c r="J951" s="14">
        <f>CHOOSE(CONTROL!$C$42, 105.4911, 105.4911)* CHOOSE(CONTROL!$C$21, $C$9, 100%, $E$9)</f>
        <v>105.4911</v>
      </c>
      <c r="K951" s="53">
        <f>CHOOSE(CONTROL!$C$42, 105.8453, 105.8453) * CHOOSE(CONTROL!$C$21, $C$9, 100%, $E$9)</f>
        <v>105.84529999999999</v>
      </c>
      <c r="L951" s="14">
        <f>CHOOSE(CONTROL!$C$42, 106.1929, 106.1929) * CHOOSE(CONTROL!$C$21, $C$9, 100%, $E$9)</f>
        <v>106.19289999999999</v>
      </c>
      <c r="M951" s="14">
        <f>CHOOSE(CONTROL!$C$42, 103.3374, 103.3374) * CHOOSE(CONTROL!$C$21, $C$9, 100%, $E$9)</f>
        <v>103.3374</v>
      </c>
      <c r="N951" s="14">
        <f>CHOOSE(CONTROL!$C$42, 103.3524, 103.3524) * CHOOSE(CONTROL!$C$21, $C$9, 100%, $E$9)</f>
        <v>103.3524</v>
      </c>
      <c r="O951" s="14">
        <f>CHOOSE(CONTROL!$C$42, 103.4498, 103.4498) * CHOOSE(CONTROL!$C$21, $C$9, 100%, $E$9)</f>
        <v>103.4498</v>
      </c>
      <c r="P951" s="14">
        <f>CHOOSE(CONTROL!$C$42, 103.6815, 103.6815) * CHOOSE(CONTROL!$C$21, $C$9, 100%, $E$9)</f>
        <v>103.6815</v>
      </c>
      <c r="Q951" s="14">
        <f>CHOOSE(CONTROL!$C$42, 104.0445, 104.0445) * CHOOSE(CONTROL!$C$21, $C$9, 100%, $E$9)</f>
        <v>104.0445</v>
      </c>
      <c r="R951" s="14">
        <f>CHOOSE(CONTROL!$C$42, 104.8916, 104.8916) * CHOOSE(CONTROL!$C$21, $C$9, 100%, $E$9)</f>
        <v>104.8916</v>
      </c>
      <c r="S951" s="14">
        <f>CHOOSE(CONTROL!$C$42, 101.3771, 101.3771) * CHOOSE(CONTROL!$C$21, $C$9, 100%, $E$9)</f>
        <v>101.3771</v>
      </c>
      <c r="T95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51" s="57">
        <f>(1000*CHOOSE(CONTROL!$C$42, 695, 695)*CHOOSE(CONTROL!$C$42, 0.5599, 0.5599)*CHOOSE(CONTROL!$C$42, 31, 31))/1000000</f>
        <v>12.063045499999998</v>
      </c>
      <c r="V951" s="57">
        <f>(1000*CHOOSE(CONTROL!$C$42, 500, 500)*CHOOSE(CONTROL!$C$42, 0.275, 0.275)*CHOOSE(CONTROL!$C$42, 31, 31))/1000000</f>
        <v>4.2625000000000002</v>
      </c>
      <c r="W951" s="57">
        <f>(1000*CHOOSE(CONTROL!$C$42, 0.1146, 0.1146)*CHOOSE(CONTROL!$C$42, 121.5, 121.5)*CHOOSE(CONTROL!$C$42, 31, 31))/1000000</f>
        <v>0.43164089999999994</v>
      </c>
      <c r="X951" s="57">
        <f>(31*0.1790888*100000/1000000)+(31*0.2374*100000/1000000)</f>
        <v>1.2911152800000001</v>
      </c>
      <c r="Y951" s="57"/>
      <c r="Z951" s="14"/>
      <c r="AA951" s="56"/>
      <c r="AB951" s="50">
        <f>(B951*122.58+C951*297.941+D951*89.177+E951*40.302+F951*40+G951*160+H951*0+I951*100+J951*300)/(122.58+297.941+89.177+40.302+0+40+160+100+300)</f>
        <v>105.54573090939131</v>
      </c>
      <c r="AC951" s="45">
        <f>(M951*'RAP TEMPLATE-GAS AVAILABILITY'!O950+N951*'RAP TEMPLATE-GAS AVAILABILITY'!P950+O951*'RAP TEMPLATE-GAS AVAILABILITY'!Q950+P951*'RAP TEMPLATE-GAS AVAILABILITY'!R950)/('RAP TEMPLATE-GAS AVAILABILITY'!O950+'RAP TEMPLATE-GAS AVAILABILITY'!P950+'RAP TEMPLATE-GAS AVAILABILITY'!Q950+'RAP TEMPLATE-GAS AVAILABILITY'!R950)</f>
        <v>103.4387179856115</v>
      </c>
    </row>
    <row r="952" spans="1:29" ht="15.75" x14ac:dyDescent="0.25">
      <c r="A952" s="32">
        <v>69883</v>
      </c>
      <c r="B952" s="14">
        <f>CHOOSE(CONTROL!$C$42, 105.1964, 105.1964) * CHOOSE(CONTROL!$C$21, $C$9, 100%, $E$9)</f>
        <v>105.1964</v>
      </c>
      <c r="C952" s="14">
        <f>CHOOSE(CONTROL!$C$42, 105.2009, 105.2009) * CHOOSE(CONTROL!$C$21, $C$9, 100%, $E$9)</f>
        <v>105.2009</v>
      </c>
      <c r="D952" s="14">
        <f>CHOOSE(CONTROL!$C$42, 105.4079, 105.4079) * CHOOSE(CONTROL!$C$21, $C$9, 100%, $E$9)</f>
        <v>105.4079</v>
      </c>
      <c r="E952" s="14">
        <f>CHOOSE(CONTROL!$C$42, 105.4401, 105.4401) * CHOOSE(CONTROL!$C$21, $C$9, 100%, $E$9)</f>
        <v>105.4401</v>
      </c>
      <c r="F952" s="14">
        <f>CHOOSE(CONTROL!$C$42, 105.1783, 105.1783)*CHOOSE(CONTROL!$C$21, $C$9, 100%, $E$9)</f>
        <v>105.17829999999999</v>
      </c>
      <c r="G952" s="14">
        <f>CHOOSE(CONTROL!$C$42, 105.1935, 105.1935)*CHOOSE(CONTROL!$C$21, $C$9, 100%, $E$9)</f>
        <v>105.1935</v>
      </c>
      <c r="H952" s="14">
        <f>CHOOSE(CONTROL!$C$42, 105.4298, 105.4298) * CHOOSE(CONTROL!$C$21, $C$9, 100%, $E$9)</f>
        <v>105.4298</v>
      </c>
      <c r="I952" s="14">
        <f>CHOOSE(CONTROL!$C$42, 105.5327, 105.5327)* CHOOSE(CONTROL!$C$21, $C$9, 100%, $E$9)</f>
        <v>105.53270000000001</v>
      </c>
      <c r="J952" s="14">
        <f>CHOOSE(CONTROL!$C$42, 105.1713, 105.1713)* CHOOSE(CONTROL!$C$21, $C$9, 100%, $E$9)</f>
        <v>105.1713</v>
      </c>
      <c r="K952" s="53">
        <f>CHOOSE(CONTROL!$C$42, 105.5288, 105.5288) * CHOOSE(CONTROL!$C$21, $C$9, 100%, $E$9)</f>
        <v>105.5288</v>
      </c>
      <c r="L952" s="14">
        <f>CHOOSE(CONTROL!$C$42, 106.0168, 106.0168) * CHOOSE(CONTROL!$C$21, $C$9, 100%, $E$9)</f>
        <v>106.0168</v>
      </c>
      <c r="M952" s="14">
        <f>CHOOSE(CONTROL!$C$42, 103.0241, 103.0241) * CHOOSE(CONTROL!$C$21, $C$9, 100%, $E$9)</f>
        <v>103.0241</v>
      </c>
      <c r="N952" s="14">
        <f>CHOOSE(CONTROL!$C$42, 103.039, 103.039) * CHOOSE(CONTROL!$C$21, $C$9, 100%, $E$9)</f>
        <v>103.039</v>
      </c>
      <c r="O952" s="14">
        <f>CHOOSE(CONTROL!$C$42, 103.2773, 103.2773) * CHOOSE(CONTROL!$C$21, $C$9, 100%, $E$9)</f>
        <v>103.2773</v>
      </c>
      <c r="P952" s="14">
        <f>CHOOSE(CONTROL!$C$42, 103.3715, 103.3715) * CHOOSE(CONTROL!$C$21, $C$9, 100%, $E$9)</f>
        <v>103.3715</v>
      </c>
      <c r="Q952" s="14">
        <f>CHOOSE(CONTROL!$C$42, 103.872, 103.872) * CHOOSE(CONTROL!$C$21, $C$9, 100%, $E$9)</f>
        <v>103.872</v>
      </c>
      <c r="R952" s="14">
        <f>CHOOSE(CONTROL!$C$42, 104.7187, 104.7187) * CHOOSE(CONTROL!$C$21, $C$9, 100%, $E$9)</f>
        <v>104.7187</v>
      </c>
      <c r="S952" s="14">
        <f>CHOOSE(CONTROL!$C$42, 101.0739, 101.0739) * CHOOSE(CONTROL!$C$21, $C$9, 100%, $E$9)</f>
        <v>101.07389999999999</v>
      </c>
      <c r="T95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52" s="57">
        <f>(1000*CHOOSE(CONTROL!$C$42, 695, 695)*CHOOSE(CONTROL!$C$42, 0.5599, 0.5599)*CHOOSE(CONTROL!$C$42, 30, 30))/1000000</f>
        <v>11.673914999999997</v>
      </c>
      <c r="V952" s="57">
        <f>(1000*CHOOSE(CONTROL!$C$42, 500, 500)*CHOOSE(CONTROL!$C$42, 0.275, 0.275)*CHOOSE(CONTROL!$C$42, 30, 30))/1000000</f>
        <v>4.125</v>
      </c>
      <c r="W952" s="57">
        <f>(1000*CHOOSE(CONTROL!$C$42, 0.1146, 0.1146)*CHOOSE(CONTROL!$C$42, 121.5, 121.5)*CHOOSE(CONTROL!$C$42, 30, 30))/1000000</f>
        <v>0.417717</v>
      </c>
      <c r="X952" s="57">
        <f>(30*0.1790888*245000/1000000)+(30*0.2374*100000/1000000)</f>
        <v>2.0285026799999999</v>
      </c>
      <c r="Y952" s="57"/>
      <c r="Z952" s="14"/>
      <c r="AA952" s="56"/>
      <c r="AB952" s="50">
        <f>(B952*141.293+C952*267.993+D952*115.016+E952*89.698+F952*40+G952*185+H952*0+I952*100+J952*300)/(141.293+267.993+115.016+89.698+0+40+185+100+300)</f>
        <v>105.25469762316385</v>
      </c>
      <c r="AC952" s="45">
        <f>(M952*'RAP TEMPLATE-GAS AVAILABILITY'!O951+N952*'RAP TEMPLATE-GAS AVAILABILITY'!P951+O952*'RAP TEMPLATE-GAS AVAILABILITY'!Q951+P952*'RAP TEMPLATE-GAS AVAILABILITY'!R951)/('RAP TEMPLATE-GAS AVAILABILITY'!O951+'RAP TEMPLATE-GAS AVAILABILITY'!P951+'RAP TEMPLATE-GAS AVAILABILITY'!Q951+'RAP TEMPLATE-GAS AVAILABILITY'!R951)</f>
        <v>103.18970287769784</v>
      </c>
    </row>
    <row r="953" spans="1:29" ht="15.75" x14ac:dyDescent="0.25">
      <c r="A953" s="32">
        <v>69914</v>
      </c>
      <c r="B953" s="14">
        <f>CHOOSE(CONTROL!$C$42, 106.1262, 106.1262) * CHOOSE(CONTROL!$C$21, $C$9, 100%, $E$9)</f>
        <v>106.1262</v>
      </c>
      <c r="C953" s="14">
        <f>CHOOSE(CONTROL!$C$42, 106.1342, 106.1342) * CHOOSE(CONTROL!$C$21, $C$9, 100%, $E$9)</f>
        <v>106.13420000000001</v>
      </c>
      <c r="D953" s="14">
        <f>CHOOSE(CONTROL!$C$42, 106.3381, 106.3381) * CHOOSE(CONTROL!$C$21, $C$9, 100%, $E$9)</f>
        <v>106.3381</v>
      </c>
      <c r="E953" s="14">
        <f>CHOOSE(CONTROL!$C$42, 106.3696, 106.3696) * CHOOSE(CONTROL!$C$21, $C$9, 100%, $E$9)</f>
        <v>106.36960000000001</v>
      </c>
      <c r="F953" s="14">
        <f>CHOOSE(CONTROL!$C$42, 106.1069, 106.1069)*CHOOSE(CONTROL!$C$21, $C$9, 100%, $E$9)</f>
        <v>106.1069</v>
      </c>
      <c r="G953" s="14">
        <f>CHOOSE(CONTROL!$C$42, 106.1226, 106.1226)*CHOOSE(CONTROL!$C$21, $C$9, 100%, $E$9)</f>
        <v>106.12260000000001</v>
      </c>
      <c r="H953" s="14">
        <f>CHOOSE(CONTROL!$C$42, 106.3582, 106.3582) * CHOOSE(CONTROL!$C$21, $C$9, 100%, $E$9)</f>
        <v>106.3582</v>
      </c>
      <c r="I953" s="14">
        <f>CHOOSE(CONTROL!$C$42, 106.464, 106.464)* CHOOSE(CONTROL!$C$21, $C$9, 100%, $E$9)</f>
        <v>106.464</v>
      </c>
      <c r="J953" s="14">
        <f>CHOOSE(CONTROL!$C$42, 106.0999, 106.0999)* CHOOSE(CONTROL!$C$21, $C$9, 100%, $E$9)</f>
        <v>106.09990000000001</v>
      </c>
      <c r="K953" s="53">
        <f>CHOOSE(CONTROL!$C$42, 106.4601, 106.4601) * CHOOSE(CONTROL!$C$21, $C$9, 100%, $E$9)</f>
        <v>106.4601</v>
      </c>
      <c r="L953" s="14">
        <f>CHOOSE(CONTROL!$C$42, 106.9452, 106.9452) * CHOOSE(CONTROL!$C$21, $C$9, 100%, $E$9)</f>
        <v>106.9452</v>
      </c>
      <c r="M953" s="14">
        <f>CHOOSE(CONTROL!$C$42, 103.9337, 103.9337) * CHOOSE(CONTROL!$C$21, $C$9, 100%, $E$9)</f>
        <v>103.9337</v>
      </c>
      <c r="N953" s="14">
        <f>CHOOSE(CONTROL!$C$42, 103.949, 103.949) * CHOOSE(CONTROL!$C$21, $C$9, 100%, $E$9)</f>
        <v>103.949</v>
      </c>
      <c r="O953" s="14">
        <f>CHOOSE(CONTROL!$C$42, 104.1867, 104.1867) * CHOOSE(CONTROL!$C$21, $C$9, 100%, $E$9)</f>
        <v>104.1867</v>
      </c>
      <c r="P953" s="14">
        <f>CHOOSE(CONTROL!$C$42, 104.2837, 104.2837) * CHOOSE(CONTROL!$C$21, $C$9, 100%, $E$9)</f>
        <v>104.2837</v>
      </c>
      <c r="Q953" s="14">
        <f>CHOOSE(CONTROL!$C$42, 104.7814, 104.7814) * CHOOSE(CONTROL!$C$21, $C$9, 100%, $E$9)</f>
        <v>104.7814</v>
      </c>
      <c r="R953" s="14">
        <f>CHOOSE(CONTROL!$C$42, 105.6304, 105.6304) * CHOOSE(CONTROL!$C$21, $C$9, 100%, $E$9)</f>
        <v>105.63039999999999</v>
      </c>
      <c r="S953" s="14">
        <f>CHOOSE(CONTROL!$C$42, 101.966, 101.966) * CHOOSE(CONTROL!$C$21, $C$9, 100%, $E$9)</f>
        <v>101.96599999999999</v>
      </c>
      <c r="T95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53" s="57">
        <f>(1000*CHOOSE(CONTROL!$C$42, 695, 695)*CHOOSE(CONTROL!$C$42, 0.5599, 0.5599)*CHOOSE(CONTROL!$C$42, 31, 31))/1000000</f>
        <v>12.063045499999998</v>
      </c>
      <c r="V953" s="57">
        <f>(1000*CHOOSE(CONTROL!$C$42, 500, 500)*CHOOSE(CONTROL!$C$42, 0.275, 0.275)*CHOOSE(CONTROL!$C$42, 31, 31))/1000000</f>
        <v>4.2625000000000002</v>
      </c>
      <c r="W953" s="57">
        <f>(1000*CHOOSE(CONTROL!$C$42, 0.1146, 0.1146)*CHOOSE(CONTROL!$C$42, 121.5, 121.5)*CHOOSE(CONTROL!$C$42, 31, 31))/1000000</f>
        <v>0.43164089999999994</v>
      </c>
      <c r="X953" s="57">
        <f>(31*0.1790888*245000/1000000)+(31*0.2374*100000/1000000)</f>
        <v>2.0961194359999999</v>
      </c>
      <c r="Y953" s="57"/>
      <c r="Z953" s="14"/>
      <c r="AA953" s="56"/>
      <c r="AB953" s="50">
        <f>(B953*194.205+C953*267.466+D953*133.845+E953*53.484+F953*40+G953*185+H953*0+I953*100+J953*300)/(194.205+267.466+133.845+53.484+0+40+185+100+300)</f>
        <v>106.17955281718994</v>
      </c>
      <c r="AC953" s="45">
        <f>(M953*'RAP TEMPLATE-GAS AVAILABILITY'!O952+N953*'RAP TEMPLATE-GAS AVAILABILITY'!P952+O953*'RAP TEMPLATE-GAS AVAILABILITY'!Q952+P953*'RAP TEMPLATE-GAS AVAILABILITY'!R952)/('RAP TEMPLATE-GAS AVAILABILITY'!O952+'RAP TEMPLATE-GAS AVAILABILITY'!P952+'RAP TEMPLATE-GAS AVAILABILITY'!Q952+'RAP TEMPLATE-GAS AVAILABILITY'!R952)</f>
        <v>104.09960935251799</v>
      </c>
    </row>
    <row r="954" spans="1:29" ht="15.75" x14ac:dyDescent="0.25">
      <c r="A954" s="32">
        <v>69944</v>
      </c>
      <c r="B954" s="14">
        <f>CHOOSE(CONTROL!$C$42, 109.1362, 109.1362) * CHOOSE(CONTROL!$C$21, $C$9, 100%, $E$9)</f>
        <v>109.1362</v>
      </c>
      <c r="C954" s="14">
        <f>CHOOSE(CONTROL!$C$42, 109.1443, 109.1443) * CHOOSE(CONTROL!$C$21, $C$9, 100%, $E$9)</f>
        <v>109.1443</v>
      </c>
      <c r="D954" s="14">
        <f>CHOOSE(CONTROL!$C$42, 109.3482, 109.3482) * CHOOSE(CONTROL!$C$21, $C$9, 100%, $E$9)</f>
        <v>109.34820000000001</v>
      </c>
      <c r="E954" s="14">
        <f>CHOOSE(CONTROL!$C$42, 109.3797, 109.3797) * CHOOSE(CONTROL!$C$21, $C$9, 100%, $E$9)</f>
        <v>109.3797</v>
      </c>
      <c r="F954" s="14">
        <f>CHOOSE(CONTROL!$C$42, 109.1174, 109.1174)*CHOOSE(CONTROL!$C$21, $C$9, 100%, $E$9)</f>
        <v>109.1174</v>
      </c>
      <c r="G954" s="14">
        <f>CHOOSE(CONTROL!$C$42, 109.1332, 109.1332)*CHOOSE(CONTROL!$C$21, $C$9, 100%, $E$9)</f>
        <v>109.1332</v>
      </c>
      <c r="H954" s="14">
        <f>CHOOSE(CONTROL!$C$42, 109.3683, 109.3683) * CHOOSE(CONTROL!$C$21, $C$9, 100%, $E$9)</f>
        <v>109.3683</v>
      </c>
      <c r="I954" s="14">
        <f>CHOOSE(CONTROL!$C$42, 109.4835, 109.4835)* CHOOSE(CONTROL!$C$21, $C$9, 100%, $E$9)</f>
        <v>109.48350000000001</v>
      </c>
      <c r="J954" s="14">
        <f>CHOOSE(CONTROL!$C$42, 109.1104, 109.1104)* CHOOSE(CONTROL!$C$21, $C$9, 100%, $E$9)</f>
        <v>109.1104</v>
      </c>
      <c r="K954" s="53">
        <f>CHOOSE(CONTROL!$C$42, 109.4796, 109.4796) * CHOOSE(CONTROL!$C$21, $C$9, 100%, $E$9)</f>
        <v>109.4796</v>
      </c>
      <c r="L954" s="14">
        <f>CHOOSE(CONTROL!$C$42, 109.9553, 109.9553) * CHOOSE(CONTROL!$C$21, $C$9, 100%, $E$9)</f>
        <v>109.95529999999999</v>
      </c>
      <c r="M954" s="14">
        <f>CHOOSE(CONTROL!$C$42, 106.8825, 106.8825) * CHOOSE(CONTROL!$C$21, $C$9, 100%, $E$9)</f>
        <v>106.88249999999999</v>
      </c>
      <c r="N954" s="14">
        <f>CHOOSE(CONTROL!$C$42, 106.898, 106.898) * CHOOSE(CONTROL!$C$21, $C$9, 100%, $E$9)</f>
        <v>106.898</v>
      </c>
      <c r="O954" s="14">
        <f>CHOOSE(CONTROL!$C$42, 107.1351, 107.1351) * CHOOSE(CONTROL!$C$21, $C$9, 100%, $E$9)</f>
        <v>107.13509999999999</v>
      </c>
      <c r="P954" s="14">
        <f>CHOOSE(CONTROL!$C$42, 107.2411, 107.2411) * CHOOSE(CONTROL!$C$21, $C$9, 100%, $E$9)</f>
        <v>107.2411</v>
      </c>
      <c r="Q954" s="14">
        <f>CHOOSE(CONTROL!$C$42, 107.7298, 107.7298) * CHOOSE(CONTROL!$C$21, $C$9, 100%, $E$9)</f>
        <v>107.7298</v>
      </c>
      <c r="R954" s="14">
        <f>CHOOSE(CONTROL!$C$42, 108.5861, 108.5861) * CHOOSE(CONTROL!$C$21, $C$9, 100%, $E$9)</f>
        <v>108.5861</v>
      </c>
      <c r="S954" s="14">
        <f>CHOOSE(CONTROL!$C$42, 104.8584, 104.8584) * CHOOSE(CONTROL!$C$21, $C$9, 100%, $E$9)</f>
        <v>104.8584</v>
      </c>
      <c r="T95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54" s="57">
        <f>(1000*CHOOSE(CONTROL!$C$42, 695, 695)*CHOOSE(CONTROL!$C$42, 0.5599, 0.5599)*CHOOSE(CONTROL!$C$42, 30, 30))/1000000</f>
        <v>11.673914999999997</v>
      </c>
      <c r="V954" s="57">
        <f>(1000*CHOOSE(CONTROL!$C$42, 500, 500)*CHOOSE(CONTROL!$C$42, 0.275, 0.275)*CHOOSE(CONTROL!$C$42, 30, 30))/1000000</f>
        <v>4.125</v>
      </c>
      <c r="W954" s="57">
        <f>(1000*CHOOSE(CONTROL!$C$42, 0.1146, 0.1146)*CHOOSE(CONTROL!$C$42, 121.5, 121.5)*CHOOSE(CONTROL!$C$42, 30, 30))/1000000</f>
        <v>0.417717</v>
      </c>
      <c r="X954" s="57">
        <f>(30*0.1790888*245000/1000000)+(30*0.2374*100000/1000000)</f>
        <v>2.0285026799999999</v>
      </c>
      <c r="Y954" s="57"/>
      <c r="Z954" s="14"/>
      <c r="AA954" s="56"/>
      <c r="AB954" s="50">
        <f>(B954*194.205+C954*267.466+D954*133.845+E954*53.484+F954*40+G954*185+H954*0+I954*100+J954*300)/(194.205+267.466+133.845+53.484+0+40+185+100+300)</f>
        <v>109.1905547634223</v>
      </c>
      <c r="AC954" s="45">
        <f>(M954*'RAP TEMPLATE-GAS AVAILABILITY'!O953+N954*'RAP TEMPLATE-GAS AVAILABILITY'!P953+O954*'RAP TEMPLATE-GAS AVAILABILITY'!Q953+P954*'RAP TEMPLATE-GAS AVAILABILITY'!R953)/('RAP TEMPLATE-GAS AVAILABILITY'!O953+'RAP TEMPLATE-GAS AVAILABILITY'!P953+'RAP TEMPLATE-GAS AVAILABILITY'!Q953+'RAP TEMPLATE-GAS AVAILABILITY'!R953)</f>
        <v>107.04947697841726</v>
      </c>
    </row>
    <row r="955" spans="1:29" ht="15.75" x14ac:dyDescent="0.25">
      <c r="A955" s="32">
        <v>69975</v>
      </c>
      <c r="B955" s="14">
        <f>CHOOSE(CONTROL!$C$42, 107.0427, 107.0427) * CHOOSE(CONTROL!$C$21, $C$9, 100%, $E$9)</f>
        <v>107.0427</v>
      </c>
      <c r="C955" s="14">
        <f>CHOOSE(CONTROL!$C$42, 107.0507, 107.0507) * CHOOSE(CONTROL!$C$21, $C$9, 100%, $E$9)</f>
        <v>107.05070000000001</v>
      </c>
      <c r="D955" s="14">
        <f>CHOOSE(CONTROL!$C$42, 107.2547, 107.2547) * CHOOSE(CONTROL!$C$21, $C$9, 100%, $E$9)</f>
        <v>107.2547</v>
      </c>
      <c r="E955" s="14">
        <f>CHOOSE(CONTROL!$C$42, 107.2861, 107.2861) * CHOOSE(CONTROL!$C$21, $C$9, 100%, $E$9)</f>
        <v>107.2861</v>
      </c>
      <c r="F955" s="14">
        <f>CHOOSE(CONTROL!$C$42, 107.0243, 107.0243)*CHOOSE(CONTROL!$C$21, $C$9, 100%, $E$9)</f>
        <v>107.0243</v>
      </c>
      <c r="G955" s="14">
        <f>CHOOSE(CONTROL!$C$42, 107.0402, 107.0402)*CHOOSE(CONTROL!$C$21, $C$9, 100%, $E$9)</f>
        <v>107.0402</v>
      </c>
      <c r="H955" s="14">
        <f>CHOOSE(CONTROL!$C$42, 107.2748, 107.2748) * CHOOSE(CONTROL!$C$21, $C$9, 100%, $E$9)</f>
        <v>107.2748</v>
      </c>
      <c r="I955" s="14">
        <f>CHOOSE(CONTROL!$C$42, 107.3834, 107.3834)* CHOOSE(CONTROL!$C$21, $C$9, 100%, $E$9)</f>
        <v>107.38339999999999</v>
      </c>
      <c r="J955" s="14">
        <f>CHOOSE(CONTROL!$C$42, 107.0173, 107.0173)* CHOOSE(CONTROL!$C$21, $C$9, 100%, $E$9)</f>
        <v>107.01730000000001</v>
      </c>
      <c r="K955" s="53">
        <f>CHOOSE(CONTROL!$C$42, 107.3795, 107.3795) * CHOOSE(CONTROL!$C$21, $C$9, 100%, $E$9)</f>
        <v>107.37949999999999</v>
      </c>
      <c r="L955" s="14">
        <f>CHOOSE(CONTROL!$C$42, 107.8618, 107.8618) * CHOOSE(CONTROL!$C$21, $C$9, 100%, $E$9)</f>
        <v>107.8618</v>
      </c>
      <c r="M955" s="14">
        <f>CHOOSE(CONTROL!$C$42, 104.8323, 104.8323) * CHOOSE(CONTROL!$C$21, $C$9, 100%, $E$9)</f>
        <v>104.8323</v>
      </c>
      <c r="N955" s="14">
        <f>CHOOSE(CONTROL!$C$42, 104.8479, 104.8479) * CHOOSE(CONTROL!$C$21, $C$9, 100%, $E$9)</f>
        <v>104.8479</v>
      </c>
      <c r="O955" s="14">
        <f>CHOOSE(CONTROL!$C$42, 105.0845, 105.0845) * CHOOSE(CONTROL!$C$21, $C$9, 100%, $E$9)</f>
        <v>105.08450000000001</v>
      </c>
      <c r="P955" s="14">
        <f>CHOOSE(CONTROL!$C$42, 105.1842, 105.1842) * CHOOSE(CONTROL!$C$21, $C$9, 100%, $E$9)</f>
        <v>105.1842</v>
      </c>
      <c r="Q955" s="14">
        <f>CHOOSE(CONTROL!$C$42, 105.6792, 105.6792) * CHOOSE(CONTROL!$C$21, $C$9, 100%, $E$9)</f>
        <v>105.67919999999999</v>
      </c>
      <c r="R955" s="14">
        <f>CHOOSE(CONTROL!$C$42, 106.5304, 106.5304) * CHOOSE(CONTROL!$C$21, $C$9, 100%, $E$9)</f>
        <v>106.5304</v>
      </c>
      <c r="S955" s="14">
        <f>CHOOSE(CONTROL!$C$42, 102.8467, 102.8467) * CHOOSE(CONTROL!$C$21, $C$9, 100%, $E$9)</f>
        <v>102.8467</v>
      </c>
      <c r="T95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55" s="57">
        <f>(1000*CHOOSE(CONTROL!$C$42, 695, 695)*CHOOSE(CONTROL!$C$42, 0.5599, 0.5599)*CHOOSE(CONTROL!$C$42, 31, 31))/1000000</f>
        <v>12.063045499999998</v>
      </c>
      <c r="V955" s="57">
        <f>(1000*CHOOSE(CONTROL!$C$42, 500, 500)*CHOOSE(CONTROL!$C$42, 0.275, 0.275)*CHOOSE(CONTROL!$C$42, 31, 31))/1000000</f>
        <v>4.2625000000000002</v>
      </c>
      <c r="W955" s="57">
        <f>(1000*CHOOSE(CONTROL!$C$42, 0.1146, 0.1146)*CHOOSE(CONTROL!$C$42, 121.5, 121.5)*CHOOSE(CONTROL!$C$42, 31, 31))/1000000</f>
        <v>0.43164089999999994</v>
      </c>
      <c r="X955" s="57">
        <f>(31*0.1790888*245000/1000000)+(31*0.2374*100000/1000000)</f>
        <v>2.0961194359999999</v>
      </c>
      <c r="Y955" s="57"/>
      <c r="Z955" s="14"/>
      <c r="AA955" s="56"/>
      <c r="AB955" s="50">
        <f>(B955*194.205+C955*267.466+D955*133.845+E955*53.484+F955*40+G955*185+H955*0+I955*100+J955*300)/(194.205+267.466+133.845+53.484+0+40+185+100+300)</f>
        <v>107.09669087409732</v>
      </c>
      <c r="AC955" s="45">
        <f>(M955*'RAP TEMPLATE-GAS AVAILABILITY'!O954+N955*'RAP TEMPLATE-GAS AVAILABILITY'!P954+O955*'RAP TEMPLATE-GAS AVAILABILITY'!Q954+P955*'RAP TEMPLATE-GAS AVAILABILITY'!R954)/('RAP TEMPLATE-GAS AVAILABILITY'!O954+'RAP TEMPLATE-GAS AVAILABILITY'!P954+'RAP TEMPLATE-GAS AVAILABILITY'!Q954+'RAP TEMPLATE-GAS AVAILABILITY'!R954)</f>
        <v>104.99813741007193</v>
      </c>
    </row>
    <row r="956" spans="1:29" ht="15.75" x14ac:dyDescent="0.25">
      <c r="A956" s="32">
        <v>70006</v>
      </c>
      <c r="B956" s="14">
        <f>CHOOSE(CONTROL!$C$42, 101.7559, 101.7559) * CHOOSE(CONTROL!$C$21, $C$9, 100%, $E$9)</f>
        <v>101.7559</v>
      </c>
      <c r="C956" s="14">
        <f>CHOOSE(CONTROL!$C$42, 101.7639, 101.7639) * CHOOSE(CONTROL!$C$21, $C$9, 100%, $E$9)</f>
        <v>101.76390000000001</v>
      </c>
      <c r="D956" s="14">
        <f>CHOOSE(CONTROL!$C$42, 101.9679, 101.9679) * CHOOSE(CONTROL!$C$21, $C$9, 100%, $E$9)</f>
        <v>101.9679</v>
      </c>
      <c r="E956" s="14">
        <f>CHOOSE(CONTROL!$C$42, 101.9993, 101.9993) * CHOOSE(CONTROL!$C$21, $C$9, 100%, $E$9)</f>
        <v>101.99930000000001</v>
      </c>
      <c r="F956" s="14">
        <f>CHOOSE(CONTROL!$C$42, 101.7378, 101.7378)*CHOOSE(CONTROL!$C$21, $C$9, 100%, $E$9)</f>
        <v>101.73779999999999</v>
      </c>
      <c r="G956" s="14">
        <f>CHOOSE(CONTROL!$C$42, 101.7537, 101.7537)*CHOOSE(CONTROL!$C$21, $C$9, 100%, $E$9)</f>
        <v>101.75369999999999</v>
      </c>
      <c r="H956" s="14">
        <f>CHOOSE(CONTROL!$C$42, 101.988, 101.988) * CHOOSE(CONTROL!$C$21, $C$9, 100%, $E$9)</f>
        <v>101.988</v>
      </c>
      <c r="I956" s="14">
        <f>CHOOSE(CONTROL!$C$42, 102.08, 102.08)* CHOOSE(CONTROL!$C$21, $C$9, 100%, $E$9)</f>
        <v>102.08</v>
      </c>
      <c r="J956" s="14">
        <f>CHOOSE(CONTROL!$C$42, 101.7308, 101.7308)* CHOOSE(CONTROL!$C$21, $C$9, 100%, $E$9)</f>
        <v>101.7308</v>
      </c>
      <c r="K956" s="53">
        <f>CHOOSE(CONTROL!$C$42, 102.0761, 102.0761) * CHOOSE(CONTROL!$C$21, $C$9, 100%, $E$9)</f>
        <v>102.0761</v>
      </c>
      <c r="L956" s="14">
        <f>CHOOSE(CONTROL!$C$42, 102.575, 102.575) * CHOOSE(CONTROL!$C$21, $C$9, 100%, $E$9)</f>
        <v>102.575</v>
      </c>
      <c r="M956" s="14">
        <f>CHOOSE(CONTROL!$C$42, 99.6541, 99.6541) * CHOOSE(CONTROL!$C$21, $C$9, 100%, $E$9)</f>
        <v>99.6541</v>
      </c>
      <c r="N956" s="14">
        <f>CHOOSE(CONTROL!$C$42, 99.6697, 99.6697) * CHOOSE(CONTROL!$C$21, $C$9, 100%, $E$9)</f>
        <v>99.669700000000006</v>
      </c>
      <c r="O956" s="14">
        <f>CHOOSE(CONTROL!$C$42, 99.906, 99.906) * CHOOSE(CONTROL!$C$21, $C$9, 100%, $E$9)</f>
        <v>99.906000000000006</v>
      </c>
      <c r="P956" s="14">
        <f>CHOOSE(CONTROL!$C$42, 99.9898, 99.9898) * CHOOSE(CONTROL!$C$21, $C$9, 100%, $E$9)</f>
        <v>99.989800000000002</v>
      </c>
      <c r="Q956" s="14">
        <f>CHOOSE(CONTROL!$C$42, 100.5007, 100.5007) * CHOOSE(CONTROL!$C$21, $C$9, 100%, $E$9)</f>
        <v>100.50069999999999</v>
      </c>
      <c r="R956" s="14">
        <f>CHOOSE(CONTROL!$C$42, 101.3389, 101.3389) * CHOOSE(CONTROL!$C$21, $C$9, 100%, $E$9)</f>
        <v>101.3389</v>
      </c>
      <c r="S956" s="14">
        <f>CHOOSE(CONTROL!$C$42, 97.7666, 97.7666) * CHOOSE(CONTROL!$C$21, $C$9, 100%, $E$9)</f>
        <v>97.766599999999997</v>
      </c>
      <c r="T95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56" s="57">
        <f>(1000*CHOOSE(CONTROL!$C$42, 695, 695)*CHOOSE(CONTROL!$C$42, 0.5599, 0.5599)*CHOOSE(CONTROL!$C$42, 31, 31))/1000000</f>
        <v>12.063045499999998</v>
      </c>
      <c r="V956" s="57">
        <f>(1000*CHOOSE(CONTROL!$C$42, 500, 500)*CHOOSE(CONTROL!$C$42, 0.275, 0.275)*CHOOSE(CONTROL!$C$42, 31, 31))/1000000</f>
        <v>4.2625000000000002</v>
      </c>
      <c r="W956" s="57">
        <f>(1000*CHOOSE(CONTROL!$C$42, 0.1146, 0.1146)*CHOOSE(CONTROL!$C$42, 121.5, 121.5)*CHOOSE(CONTROL!$C$42, 31, 31))/1000000</f>
        <v>0.43164089999999994</v>
      </c>
      <c r="X956" s="57">
        <f>(31*0.1790888*245000/1000000)+(31*0.2374*100000/1000000)</f>
        <v>2.0961194359999999</v>
      </c>
      <c r="Y956" s="57"/>
      <c r="Z956" s="14"/>
      <c r="AA956" s="56"/>
      <c r="AB956" s="50">
        <f>(B956*194.205+C956*267.466+D956*133.845+E956*53.484+F956*40+G956*185+H956*0+I956*100+J956*300)/(194.205+267.466+133.845+53.484+0+40+185+100+300)</f>
        <v>101.80871151773941</v>
      </c>
      <c r="AC956" s="45">
        <f>(M956*'RAP TEMPLATE-GAS AVAILABILITY'!O955+N956*'RAP TEMPLATE-GAS AVAILABILITY'!P955+O956*'RAP TEMPLATE-GAS AVAILABILITY'!Q955+P956*'RAP TEMPLATE-GAS AVAILABILITY'!R955)/('RAP TEMPLATE-GAS AVAILABILITY'!O955+'RAP TEMPLATE-GAS AVAILABILITY'!P955+'RAP TEMPLATE-GAS AVAILABILITY'!Q955+'RAP TEMPLATE-GAS AVAILABILITY'!R955)</f>
        <v>99.817470503597136</v>
      </c>
    </row>
    <row r="957" spans="1:29" ht="15.75" x14ac:dyDescent="0.25">
      <c r="A957" s="32">
        <v>70036</v>
      </c>
      <c r="B957" s="14">
        <f>CHOOSE(CONTROL!$C$42, 95.296, 95.296) * CHOOSE(CONTROL!$C$21, $C$9, 100%, $E$9)</f>
        <v>95.296000000000006</v>
      </c>
      <c r="C957" s="14">
        <f>CHOOSE(CONTROL!$C$42, 95.304, 95.304) * CHOOSE(CONTROL!$C$21, $C$9, 100%, $E$9)</f>
        <v>95.304000000000002</v>
      </c>
      <c r="D957" s="14">
        <f>CHOOSE(CONTROL!$C$42, 95.508, 95.508) * CHOOSE(CONTROL!$C$21, $C$9, 100%, $E$9)</f>
        <v>95.507999999999996</v>
      </c>
      <c r="E957" s="14">
        <f>CHOOSE(CONTROL!$C$42, 95.5394, 95.5394) * CHOOSE(CONTROL!$C$21, $C$9, 100%, $E$9)</f>
        <v>95.539400000000001</v>
      </c>
      <c r="F957" s="14">
        <f>CHOOSE(CONTROL!$C$42, 95.2779, 95.2779)*CHOOSE(CONTROL!$C$21, $C$9, 100%, $E$9)</f>
        <v>95.277900000000002</v>
      </c>
      <c r="G957" s="14">
        <f>CHOOSE(CONTROL!$C$42, 95.2939, 95.2939)*CHOOSE(CONTROL!$C$21, $C$9, 100%, $E$9)</f>
        <v>95.293899999999994</v>
      </c>
      <c r="H957" s="14">
        <f>CHOOSE(CONTROL!$C$42, 95.5281, 95.5281) * CHOOSE(CONTROL!$C$21, $C$9, 100%, $E$9)</f>
        <v>95.528099999999995</v>
      </c>
      <c r="I957" s="14">
        <f>CHOOSE(CONTROL!$C$42, 95.5999, 95.5999)* CHOOSE(CONTROL!$C$21, $C$9, 100%, $E$9)</f>
        <v>95.599900000000005</v>
      </c>
      <c r="J957" s="14">
        <f>CHOOSE(CONTROL!$C$42, 95.2709, 95.2709)* CHOOSE(CONTROL!$C$21, $C$9, 100%, $E$9)</f>
        <v>95.270899999999997</v>
      </c>
      <c r="K957" s="53">
        <f>CHOOSE(CONTROL!$C$42, 95.596, 95.596) * CHOOSE(CONTROL!$C$21, $C$9, 100%, $E$9)</f>
        <v>95.596000000000004</v>
      </c>
      <c r="L957" s="14">
        <f>CHOOSE(CONTROL!$C$42, 96.1151, 96.1151) * CHOOSE(CONTROL!$C$21, $C$9, 100%, $E$9)</f>
        <v>96.115099999999998</v>
      </c>
      <c r="M957" s="14">
        <f>CHOOSE(CONTROL!$C$42, 93.3266, 93.3266) * CHOOSE(CONTROL!$C$21, $C$9, 100%, $E$9)</f>
        <v>93.326599999999999</v>
      </c>
      <c r="N957" s="14">
        <f>CHOOSE(CONTROL!$C$42, 93.3422, 93.3422) * CHOOSE(CONTROL!$C$21, $C$9, 100%, $E$9)</f>
        <v>93.342200000000005</v>
      </c>
      <c r="O957" s="14">
        <f>CHOOSE(CONTROL!$C$42, 93.5785, 93.5785) * CHOOSE(CONTROL!$C$21, $C$9, 100%, $E$9)</f>
        <v>93.578500000000005</v>
      </c>
      <c r="P957" s="14">
        <f>CHOOSE(CONTROL!$C$42, 93.6429, 93.6429) * CHOOSE(CONTROL!$C$21, $C$9, 100%, $E$9)</f>
        <v>93.642899999999997</v>
      </c>
      <c r="Q957" s="14">
        <f>CHOOSE(CONTROL!$C$42, 94.1732, 94.1732) * CHOOSE(CONTROL!$C$21, $C$9, 100%, $E$9)</f>
        <v>94.173199999999994</v>
      </c>
      <c r="R957" s="14">
        <f>CHOOSE(CONTROL!$C$42, 94.9956, 94.9956) * CHOOSE(CONTROL!$C$21, $C$9, 100%, $E$9)</f>
        <v>94.995599999999996</v>
      </c>
      <c r="S957" s="14">
        <f>CHOOSE(CONTROL!$C$42, 91.5593, 91.5593) * CHOOSE(CONTROL!$C$21, $C$9, 100%, $E$9)</f>
        <v>91.559299999999993</v>
      </c>
      <c r="T95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57" s="57">
        <f>(1000*CHOOSE(CONTROL!$C$42, 695, 695)*CHOOSE(CONTROL!$C$42, 0.5599, 0.5599)*CHOOSE(CONTROL!$C$42, 30, 30))/1000000</f>
        <v>11.673914999999997</v>
      </c>
      <c r="V957" s="57">
        <f>(1000*CHOOSE(CONTROL!$C$42, 500, 500)*CHOOSE(CONTROL!$C$42, 0.275, 0.275)*CHOOSE(CONTROL!$C$42, 30, 30))/1000000</f>
        <v>4.125</v>
      </c>
      <c r="W957" s="57">
        <f>(1000*CHOOSE(CONTROL!$C$42, 0.1146, 0.1146)*CHOOSE(CONTROL!$C$42, 121.5, 121.5)*CHOOSE(CONTROL!$C$42, 30, 30))/1000000</f>
        <v>0.417717</v>
      </c>
      <c r="X957" s="57">
        <f>(30*0.1790888*245000/1000000)+(30*0.2374*100000/1000000)</f>
        <v>2.0285026799999999</v>
      </c>
      <c r="Y957" s="57"/>
      <c r="Z957" s="14"/>
      <c r="AA957" s="56"/>
      <c r="AB957" s="50">
        <f>(B957*194.205+C957*267.466+D957*133.845+E957*53.484+F957*40+G957*185+H957*0+I957*100+J957*300)/(194.205+267.466+133.845+53.484+0+40+185+100+300)</f>
        <v>95.347240481632653</v>
      </c>
      <c r="AC957" s="45">
        <f>(M957*'RAP TEMPLATE-GAS AVAILABILITY'!O956+N957*'RAP TEMPLATE-GAS AVAILABILITY'!P956+O957*'RAP TEMPLATE-GAS AVAILABILITY'!Q956+P957*'RAP TEMPLATE-GAS AVAILABILITY'!R956)/('RAP TEMPLATE-GAS AVAILABILITY'!O956+'RAP TEMPLATE-GAS AVAILABILITY'!P956+'RAP TEMPLATE-GAS AVAILABILITY'!Q956+'RAP TEMPLATE-GAS AVAILABILITY'!R956)</f>
        <v>93.487179136690656</v>
      </c>
    </row>
    <row r="958" spans="1:29" ht="15.75" x14ac:dyDescent="0.25">
      <c r="A958" s="32">
        <v>70067</v>
      </c>
      <c r="B958" s="14">
        <f>CHOOSE(CONTROL!$C$42, 93.3596, 93.3596) * CHOOSE(CONTROL!$C$21, $C$9, 100%, $E$9)</f>
        <v>93.3596</v>
      </c>
      <c r="C958" s="14">
        <f>CHOOSE(CONTROL!$C$42, 93.3649, 93.3649) * CHOOSE(CONTROL!$C$21, $C$9, 100%, $E$9)</f>
        <v>93.364900000000006</v>
      </c>
      <c r="D958" s="14">
        <f>CHOOSE(CONTROL!$C$42, 93.5738, 93.5738) * CHOOSE(CONTROL!$C$21, $C$9, 100%, $E$9)</f>
        <v>93.573800000000006</v>
      </c>
      <c r="E958" s="14">
        <f>CHOOSE(CONTROL!$C$42, 93.6029, 93.6029) * CHOOSE(CONTROL!$C$21, $C$9, 100%, $E$9)</f>
        <v>93.602900000000005</v>
      </c>
      <c r="F958" s="14">
        <f>CHOOSE(CONTROL!$C$42, 93.3436, 93.3436)*CHOOSE(CONTROL!$C$21, $C$9, 100%, $E$9)</f>
        <v>93.343599999999995</v>
      </c>
      <c r="G958" s="14">
        <f>CHOOSE(CONTROL!$C$42, 93.3592, 93.3592)*CHOOSE(CONTROL!$C$21, $C$9, 100%, $E$9)</f>
        <v>93.359200000000001</v>
      </c>
      <c r="H958" s="14">
        <f>CHOOSE(CONTROL!$C$42, 93.5934, 93.5934) * CHOOSE(CONTROL!$C$21, $C$9, 100%, $E$9)</f>
        <v>93.593400000000003</v>
      </c>
      <c r="I958" s="14">
        <f>CHOOSE(CONTROL!$C$42, 93.6592, 93.6592)* CHOOSE(CONTROL!$C$21, $C$9, 100%, $E$9)</f>
        <v>93.659199999999998</v>
      </c>
      <c r="J958" s="14">
        <f>CHOOSE(CONTROL!$C$42, 93.3366, 93.3366)* CHOOSE(CONTROL!$C$21, $C$9, 100%, $E$9)</f>
        <v>93.336600000000004</v>
      </c>
      <c r="K958" s="53">
        <f>CHOOSE(CONTROL!$C$42, 93.6553, 93.6553) * CHOOSE(CONTROL!$C$21, $C$9, 100%, $E$9)</f>
        <v>93.655299999999997</v>
      </c>
      <c r="L958" s="14">
        <f>CHOOSE(CONTROL!$C$42, 94.1804, 94.1804) * CHOOSE(CONTROL!$C$21, $C$9, 100%, $E$9)</f>
        <v>94.180400000000006</v>
      </c>
      <c r="M958" s="14">
        <f>CHOOSE(CONTROL!$C$42, 91.4319, 91.4319) * CHOOSE(CONTROL!$C$21, $C$9, 100%, $E$9)</f>
        <v>91.431899999999999</v>
      </c>
      <c r="N958" s="14">
        <f>CHOOSE(CONTROL!$C$42, 91.4472, 91.4472) * CHOOSE(CONTROL!$C$21, $C$9, 100%, $E$9)</f>
        <v>91.447199999999995</v>
      </c>
      <c r="O958" s="14">
        <f>CHOOSE(CONTROL!$C$42, 91.6834, 91.6834) * CHOOSE(CONTROL!$C$21, $C$9, 100%, $E$9)</f>
        <v>91.683400000000006</v>
      </c>
      <c r="P958" s="14">
        <f>CHOOSE(CONTROL!$C$42, 91.7421, 91.7421) * CHOOSE(CONTROL!$C$21, $C$9, 100%, $E$9)</f>
        <v>91.742099999999994</v>
      </c>
      <c r="Q958" s="14">
        <f>CHOOSE(CONTROL!$C$42, 92.2781, 92.2781) * CHOOSE(CONTROL!$C$21, $C$9, 100%, $E$9)</f>
        <v>92.278099999999995</v>
      </c>
      <c r="R958" s="14">
        <f>CHOOSE(CONTROL!$C$42, 93.0958, 93.0958) * CHOOSE(CONTROL!$C$21, $C$9, 100%, $E$9)</f>
        <v>93.095799999999997</v>
      </c>
      <c r="S958" s="14">
        <f>CHOOSE(CONTROL!$C$42, 89.7003, 89.7003) * CHOOSE(CONTROL!$C$21, $C$9, 100%, $E$9)</f>
        <v>89.700299999999999</v>
      </c>
      <c r="T95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58" s="57">
        <f>(1000*CHOOSE(CONTROL!$C$42, 695, 695)*CHOOSE(CONTROL!$C$42, 0.5599, 0.5599)*CHOOSE(CONTROL!$C$42, 31, 31))/1000000</f>
        <v>12.063045499999998</v>
      </c>
      <c r="V958" s="57">
        <f>(1000*CHOOSE(CONTROL!$C$42, 500, 500)*CHOOSE(CONTROL!$C$42, 0.275, 0.275)*CHOOSE(CONTROL!$C$42, 31, 31))/1000000</f>
        <v>4.2625000000000002</v>
      </c>
      <c r="W958" s="57">
        <f>(1000*CHOOSE(CONTROL!$C$42, 0.1146, 0.1146)*CHOOSE(CONTROL!$C$42, 121.5, 121.5)*CHOOSE(CONTROL!$C$42, 31, 31))/1000000</f>
        <v>0.43164089999999994</v>
      </c>
      <c r="X958" s="57">
        <f>(31*0.1790888*245000/1000000)+(31*0.2374*100000/1000000)</f>
        <v>2.0961194359999999</v>
      </c>
      <c r="Y958" s="57"/>
      <c r="Z958" s="14"/>
      <c r="AA958" s="56"/>
      <c r="AB958" s="50">
        <f>(B958*131.881+C958*277.167+D958*79.08+E958*125.872+F958*40+G958*185+H958*0+I958*100+J958*300)/(131.881+277.167+79.08+125.872+0+40+185+100+300)</f>
        <v>93.417209829459239</v>
      </c>
      <c r="AC958" s="45">
        <f>(M958*'RAP TEMPLATE-GAS AVAILABILITY'!O957+N958*'RAP TEMPLATE-GAS AVAILABILITY'!P957+O958*'RAP TEMPLATE-GAS AVAILABILITY'!Q957+P958*'RAP TEMPLATE-GAS AVAILABILITY'!R957)/('RAP TEMPLATE-GAS AVAILABILITY'!O957+'RAP TEMPLATE-GAS AVAILABILITY'!P957+'RAP TEMPLATE-GAS AVAILABILITY'!Q957+'RAP TEMPLATE-GAS AVAILABILITY'!R957)</f>
        <v>91.591402877697845</v>
      </c>
    </row>
    <row r="959" spans="1:29" ht="15.75" x14ac:dyDescent="0.25">
      <c r="A959" s="32">
        <v>70097</v>
      </c>
      <c r="B959" s="14">
        <f>CHOOSE(CONTROL!$C$42, 95.8185, 95.8185) * CHOOSE(CONTROL!$C$21, $C$9, 100%, $E$9)</f>
        <v>95.8185</v>
      </c>
      <c r="C959" s="14">
        <f>CHOOSE(CONTROL!$C$42, 95.8235, 95.8235) * CHOOSE(CONTROL!$C$21, $C$9, 100%, $E$9)</f>
        <v>95.823499999999996</v>
      </c>
      <c r="D959" s="14">
        <f>CHOOSE(CONTROL!$C$42, 95.8873, 95.8873) * CHOOSE(CONTROL!$C$21, $C$9, 100%, $E$9)</f>
        <v>95.887299999999996</v>
      </c>
      <c r="E959" s="14">
        <f>CHOOSE(CONTROL!$C$42, 95.9214, 95.9214) * CHOOSE(CONTROL!$C$21, $C$9, 100%, $E$9)</f>
        <v>95.921400000000006</v>
      </c>
      <c r="F959" s="14">
        <f>CHOOSE(CONTROL!$C$42, 95.8208, 95.8208)*CHOOSE(CONTROL!$C$21, $C$9, 100%, $E$9)</f>
        <v>95.820800000000006</v>
      </c>
      <c r="G959" s="14">
        <f>CHOOSE(CONTROL!$C$42, 95.8369, 95.8369)*CHOOSE(CONTROL!$C$21, $C$9, 100%, $E$9)</f>
        <v>95.8369</v>
      </c>
      <c r="H959" s="14">
        <f>CHOOSE(CONTROL!$C$42, 95.9106, 95.9106) * CHOOSE(CONTROL!$C$21, $C$9, 100%, $E$9)</f>
        <v>95.910600000000002</v>
      </c>
      <c r="I959" s="14">
        <f>CHOOSE(CONTROL!$C$42, 96.1314, 96.1314)* CHOOSE(CONTROL!$C$21, $C$9, 100%, $E$9)</f>
        <v>96.131399999999999</v>
      </c>
      <c r="J959" s="14">
        <f>CHOOSE(CONTROL!$C$42, 95.8138, 95.8138)* CHOOSE(CONTROL!$C$21, $C$9, 100%, $E$9)</f>
        <v>95.813800000000001</v>
      </c>
      <c r="K959" s="53">
        <f>CHOOSE(CONTROL!$C$42, 96.1275, 96.1275) * CHOOSE(CONTROL!$C$21, $C$9, 100%, $E$9)</f>
        <v>96.127499999999998</v>
      </c>
      <c r="L959" s="14">
        <f>CHOOSE(CONTROL!$C$42, 96.4976, 96.4976) * CHOOSE(CONTROL!$C$21, $C$9, 100%, $E$9)</f>
        <v>96.497600000000006</v>
      </c>
      <c r="M959" s="14">
        <f>CHOOSE(CONTROL!$C$42, 93.8584, 93.8584) * CHOOSE(CONTROL!$C$21, $C$9, 100%, $E$9)</f>
        <v>93.858400000000003</v>
      </c>
      <c r="N959" s="14">
        <f>CHOOSE(CONTROL!$C$42, 93.8741, 93.8741) * CHOOSE(CONTROL!$C$21, $C$9, 100%, $E$9)</f>
        <v>93.874099999999999</v>
      </c>
      <c r="O959" s="14">
        <f>CHOOSE(CONTROL!$C$42, 93.9532, 93.9532) * CHOOSE(CONTROL!$C$21, $C$9, 100%, $E$9)</f>
        <v>93.953199999999995</v>
      </c>
      <c r="P959" s="14">
        <f>CHOOSE(CONTROL!$C$42, 94.1635, 94.1635) * CHOOSE(CONTROL!$C$21, $C$9, 100%, $E$9)</f>
        <v>94.163499999999999</v>
      </c>
      <c r="Q959" s="14">
        <f>CHOOSE(CONTROL!$C$42, 94.5479, 94.5479) * CHOOSE(CONTROL!$C$21, $C$9, 100%, $E$9)</f>
        <v>94.547899999999998</v>
      </c>
      <c r="R959" s="14">
        <f>CHOOSE(CONTROL!$C$42, 95.3713, 95.3713) * CHOOSE(CONTROL!$C$21, $C$9, 100%, $E$9)</f>
        <v>95.371300000000005</v>
      </c>
      <c r="S959" s="14">
        <f>CHOOSE(CONTROL!$C$42, 92.0634, 92.0634) * CHOOSE(CONTROL!$C$21, $C$9, 100%, $E$9)</f>
        <v>92.063400000000001</v>
      </c>
      <c r="T95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59" s="57">
        <f>(1000*CHOOSE(CONTROL!$C$42, 695, 695)*CHOOSE(CONTROL!$C$42, 0.5599, 0.5599)*CHOOSE(CONTROL!$C$42, 30, 30))/1000000</f>
        <v>11.673914999999997</v>
      </c>
      <c r="V959" s="57">
        <f>(1000*CHOOSE(CONTROL!$C$42, 500, 500)*CHOOSE(CONTROL!$C$42, 0.275, 0.275)*CHOOSE(CONTROL!$C$42, 30, 30))/1000000</f>
        <v>4.125</v>
      </c>
      <c r="W959" s="57">
        <f>(1000*CHOOSE(CONTROL!$C$42, 0.1146, 0.1146)*CHOOSE(CONTROL!$C$42, 121.5, 121.5)*CHOOSE(CONTROL!$C$42, 30, 30))/1000000</f>
        <v>0.417717</v>
      </c>
      <c r="X959" s="57">
        <f>(30*0.1790888*100000/1000000)+(30*0.2374*100000/1000000)</f>
        <v>1.2494664</v>
      </c>
      <c r="Y959" s="57"/>
      <c r="Z959" s="14"/>
      <c r="AA959" s="56"/>
      <c r="AB959" s="50">
        <f>(B959*122.58+C959*297.941+D959*89.177+E959*40.302+F959*40+G959*160+H959*0+I959*100+J959*300)/(122.58+297.941+89.177+40.302+0+40+160+100+300)</f>
        <v>95.857359268173909</v>
      </c>
      <c r="AC959" s="45">
        <f>(M959*'RAP TEMPLATE-GAS AVAILABILITY'!O958+N959*'RAP TEMPLATE-GAS AVAILABILITY'!P958+O959*'RAP TEMPLATE-GAS AVAILABILITY'!Q958+P959*'RAP TEMPLATE-GAS AVAILABILITY'!R958)/('RAP TEMPLATE-GAS AVAILABILITY'!O958+'RAP TEMPLATE-GAS AVAILABILITY'!P958+'RAP TEMPLATE-GAS AVAILABILITY'!Q958+'RAP TEMPLATE-GAS AVAILABILITY'!R958)</f>
        <v>93.946169784172653</v>
      </c>
    </row>
    <row r="960" spans="1:29" ht="15.75" x14ac:dyDescent="0.25">
      <c r="A960" s="32">
        <v>70128</v>
      </c>
      <c r="B960" s="14">
        <f>CHOOSE(CONTROL!$C$42, 102.3507, 102.3507) * CHOOSE(CONTROL!$C$21, $C$9, 100%, $E$9)</f>
        <v>102.3507</v>
      </c>
      <c r="C960" s="14">
        <f>CHOOSE(CONTROL!$C$42, 102.3557, 102.3557) * CHOOSE(CONTROL!$C$21, $C$9, 100%, $E$9)</f>
        <v>102.3557</v>
      </c>
      <c r="D960" s="14">
        <f>CHOOSE(CONTROL!$C$42, 102.4195, 102.4195) * CHOOSE(CONTROL!$C$21, $C$9, 100%, $E$9)</f>
        <v>102.4195</v>
      </c>
      <c r="E960" s="14">
        <f>CHOOSE(CONTROL!$C$42, 102.4536, 102.4536) * CHOOSE(CONTROL!$C$21, $C$9, 100%, $E$9)</f>
        <v>102.45359999999999</v>
      </c>
      <c r="F960" s="14">
        <f>CHOOSE(CONTROL!$C$42, 102.3553, 102.3553)*CHOOSE(CONTROL!$C$21, $C$9, 100%, $E$9)</f>
        <v>102.3553</v>
      </c>
      <c r="G960" s="14">
        <f>CHOOSE(CONTROL!$C$42, 102.3719, 102.3719)*CHOOSE(CONTROL!$C$21, $C$9, 100%, $E$9)</f>
        <v>102.3719</v>
      </c>
      <c r="H960" s="14">
        <f>CHOOSE(CONTROL!$C$42, 102.4428, 102.4428) * CHOOSE(CONTROL!$C$21, $C$9, 100%, $E$9)</f>
        <v>102.44280000000001</v>
      </c>
      <c r="I960" s="14">
        <f>CHOOSE(CONTROL!$C$42, 102.6841, 102.6841)* CHOOSE(CONTROL!$C$21, $C$9, 100%, $E$9)</f>
        <v>102.6841</v>
      </c>
      <c r="J960" s="14">
        <f>CHOOSE(CONTROL!$C$42, 102.3483, 102.3483)* CHOOSE(CONTROL!$C$21, $C$9, 100%, $E$9)</f>
        <v>102.34829999999999</v>
      </c>
      <c r="K960" s="53">
        <f>CHOOSE(CONTROL!$C$42, 102.6802, 102.6802) * CHOOSE(CONTROL!$C$21, $C$9, 100%, $E$9)</f>
        <v>102.6802</v>
      </c>
      <c r="L960" s="14">
        <f>CHOOSE(CONTROL!$C$42, 103.0298, 103.0298) * CHOOSE(CONTROL!$C$21, $C$9, 100%, $E$9)</f>
        <v>103.02979999999999</v>
      </c>
      <c r="M960" s="14">
        <f>CHOOSE(CONTROL!$C$42, 100.2589, 100.2589) * CHOOSE(CONTROL!$C$21, $C$9, 100%, $E$9)</f>
        <v>100.2589</v>
      </c>
      <c r="N960" s="14">
        <f>CHOOSE(CONTROL!$C$42, 100.2752, 100.2752) * CHOOSE(CONTROL!$C$21, $C$9, 100%, $E$9)</f>
        <v>100.2752</v>
      </c>
      <c r="O960" s="14">
        <f>CHOOSE(CONTROL!$C$42, 100.3516, 100.3516) * CHOOSE(CONTROL!$C$21, $C$9, 100%, $E$9)</f>
        <v>100.3516</v>
      </c>
      <c r="P960" s="14">
        <f>CHOOSE(CONTROL!$C$42, 100.5814, 100.5814) * CHOOSE(CONTROL!$C$21, $C$9, 100%, $E$9)</f>
        <v>100.5814</v>
      </c>
      <c r="Q960" s="14">
        <f>CHOOSE(CONTROL!$C$42, 100.9463, 100.9463) * CHOOSE(CONTROL!$C$21, $C$9, 100%, $E$9)</f>
        <v>100.94629999999999</v>
      </c>
      <c r="R960" s="14">
        <f>CHOOSE(CONTROL!$C$42, 101.7856, 101.7856) * CHOOSE(CONTROL!$C$21, $C$9, 100%, $E$9)</f>
        <v>101.7856</v>
      </c>
      <c r="S960" s="14">
        <f>CHOOSE(CONTROL!$C$42, 98.3402, 98.3402) * CHOOSE(CONTROL!$C$21, $C$9, 100%, $E$9)</f>
        <v>98.340199999999996</v>
      </c>
      <c r="T96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60" s="57">
        <f>(1000*CHOOSE(CONTROL!$C$42, 695, 695)*CHOOSE(CONTROL!$C$42, 0.5599, 0.5599)*CHOOSE(CONTROL!$C$42, 31, 31))/1000000</f>
        <v>12.063045499999998</v>
      </c>
      <c r="V960" s="57">
        <f>(1000*CHOOSE(CONTROL!$C$42, 500, 500)*CHOOSE(CONTROL!$C$42, 0.275, 0.275)*CHOOSE(CONTROL!$C$42, 31, 31))/1000000</f>
        <v>4.2625000000000002</v>
      </c>
      <c r="W960" s="57">
        <f>(1000*CHOOSE(CONTROL!$C$42, 0.1146, 0.1146)*CHOOSE(CONTROL!$C$42, 121.5, 121.5)*CHOOSE(CONTROL!$C$42, 31, 31))/1000000</f>
        <v>0.43164089999999994</v>
      </c>
      <c r="X960" s="57">
        <f>(31*0.1790888*100000/1000000)+(31*0.2374*100000/1000000)</f>
        <v>1.2911152800000001</v>
      </c>
      <c r="Y960" s="57"/>
      <c r="Z960" s="14"/>
      <c r="AA960" s="56"/>
      <c r="AB960" s="50">
        <f>(B960*122.58+C960*297.941+D960*89.177+E960*40.302+F960*40+G960*160+H960*0+I960*100+J960*300)/(122.58+297.941+89.177+40.302+0+40+160+100+300)</f>
        <v>102.39241144208695</v>
      </c>
      <c r="AC960" s="45">
        <f>(M960*'RAP TEMPLATE-GAS AVAILABILITY'!O959+N960*'RAP TEMPLATE-GAS AVAILABILITY'!P959+O960*'RAP TEMPLATE-GAS AVAILABILITY'!Q959+P960*'RAP TEMPLATE-GAS AVAILABILITY'!R959)/('RAP TEMPLATE-GAS AVAILABILITY'!O959+'RAP TEMPLATE-GAS AVAILABILITY'!P959+'RAP TEMPLATE-GAS AVAILABILITY'!Q959+'RAP TEMPLATE-GAS AVAILABILITY'!R959)</f>
        <v>100.34825611510792</v>
      </c>
    </row>
    <row r="961" spans="1:29" ht="15.75" x14ac:dyDescent="0.25">
      <c r="A961" s="32">
        <v>70159</v>
      </c>
      <c r="B961" s="14">
        <f>CHOOSE(CONTROL!$C$42, 110.7338, 110.7338) * CHOOSE(CONTROL!$C$21, $C$9, 100%, $E$9)</f>
        <v>110.7338</v>
      </c>
      <c r="C961" s="14">
        <f>CHOOSE(CONTROL!$C$42, 110.7389, 110.7389) * CHOOSE(CONTROL!$C$21, $C$9, 100%, $E$9)</f>
        <v>110.7389</v>
      </c>
      <c r="D961" s="14">
        <f>CHOOSE(CONTROL!$C$42, 110.8053, 110.8053) * CHOOSE(CONTROL!$C$21, $C$9, 100%, $E$9)</f>
        <v>110.8053</v>
      </c>
      <c r="E961" s="14">
        <f>CHOOSE(CONTROL!$C$42, 110.8394, 110.8394) * CHOOSE(CONTROL!$C$21, $C$9, 100%, $E$9)</f>
        <v>110.8394</v>
      </c>
      <c r="F961" s="14">
        <f>CHOOSE(CONTROL!$C$42, 110.7212, 110.7212)*CHOOSE(CONTROL!$C$21, $C$9, 100%, $E$9)</f>
        <v>110.7212</v>
      </c>
      <c r="G961" s="14">
        <f>CHOOSE(CONTROL!$C$42, 110.7366, 110.7366)*CHOOSE(CONTROL!$C$21, $C$9, 100%, $E$9)</f>
        <v>110.7366</v>
      </c>
      <c r="H961" s="14">
        <f>CHOOSE(CONTROL!$C$42, 110.8286, 110.8286) * CHOOSE(CONTROL!$C$21, $C$9, 100%, $E$9)</f>
        <v>110.82859999999999</v>
      </c>
      <c r="I961" s="14">
        <f>CHOOSE(CONTROL!$C$42, 111.0883, 111.0883)* CHOOSE(CONTROL!$C$21, $C$9, 100%, $E$9)</f>
        <v>111.0883</v>
      </c>
      <c r="J961" s="14">
        <f>CHOOSE(CONTROL!$C$42, 110.7142, 110.7142)* CHOOSE(CONTROL!$C$21, $C$9, 100%, $E$9)</f>
        <v>110.71420000000001</v>
      </c>
      <c r="K961" s="53">
        <f>CHOOSE(CONTROL!$C$42, 111.0844, 111.0844) * CHOOSE(CONTROL!$C$21, $C$9, 100%, $E$9)</f>
        <v>111.0844</v>
      </c>
      <c r="L961" s="14">
        <f>CHOOSE(CONTROL!$C$42, 111.4156, 111.4156) * CHOOSE(CONTROL!$C$21, $C$9, 100%, $E$9)</f>
        <v>111.4156</v>
      </c>
      <c r="M961" s="14">
        <f>CHOOSE(CONTROL!$C$42, 108.4534, 108.4534) * CHOOSE(CONTROL!$C$21, $C$9, 100%, $E$9)</f>
        <v>108.4534</v>
      </c>
      <c r="N961" s="14">
        <f>CHOOSE(CONTROL!$C$42, 108.4686, 108.4686) * CHOOSE(CONTROL!$C$21, $C$9, 100%, $E$9)</f>
        <v>108.4686</v>
      </c>
      <c r="O961" s="14">
        <f>CHOOSE(CONTROL!$C$42, 108.5655, 108.5655) * CHOOSE(CONTROL!$C$21, $C$9, 100%, $E$9)</f>
        <v>108.5655</v>
      </c>
      <c r="P961" s="14">
        <f>CHOOSE(CONTROL!$C$42, 108.8129, 108.8129) * CHOOSE(CONTROL!$C$21, $C$9, 100%, $E$9)</f>
        <v>108.8129</v>
      </c>
      <c r="Q961" s="14">
        <f>CHOOSE(CONTROL!$C$42, 109.1602, 109.1602) * CHOOSE(CONTROL!$C$21, $C$9, 100%, $E$9)</f>
        <v>109.1602</v>
      </c>
      <c r="R961" s="14">
        <f>CHOOSE(CONTROL!$C$42, 110.0201, 110.0201) * CHOOSE(CONTROL!$C$21, $C$9, 100%, $E$9)</f>
        <v>110.0201</v>
      </c>
      <c r="S961" s="14">
        <f>CHOOSE(CONTROL!$C$42, 106.3956, 106.3956) * CHOOSE(CONTROL!$C$21, $C$9, 100%, $E$9)</f>
        <v>106.3956</v>
      </c>
      <c r="T96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61" s="57">
        <f>(1000*CHOOSE(CONTROL!$C$42, 695, 695)*CHOOSE(CONTROL!$C$42, 0.5599, 0.5599)*CHOOSE(CONTROL!$C$42, 31, 31))/1000000</f>
        <v>12.063045499999998</v>
      </c>
      <c r="V961" s="57">
        <f>(1000*CHOOSE(CONTROL!$C$42, 500, 500)*CHOOSE(CONTROL!$C$42, 0.275, 0.275)*CHOOSE(CONTROL!$C$42, 31, 31))/1000000</f>
        <v>4.2625000000000002</v>
      </c>
      <c r="W961" s="57">
        <f>(1000*CHOOSE(CONTROL!$C$42, 0.1146, 0.1146)*CHOOSE(CONTROL!$C$42, 121.5, 121.5)*CHOOSE(CONTROL!$C$42, 31, 31))/1000000</f>
        <v>0.43164089999999994</v>
      </c>
      <c r="X961" s="57">
        <f>(31*0.1790888*100000/1000000)+(31*0.2374*100000/1000000)</f>
        <v>1.2911152800000001</v>
      </c>
      <c r="Y961" s="57"/>
      <c r="Z961" s="14"/>
      <c r="AA961" s="56"/>
      <c r="AB961" s="50">
        <f>(B961*122.58+C961*297.941+D961*89.177+E961*40.302+F961*40+G961*160+H961*0+I961*100+J961*300)/(122.58+297.941+89.177+40.302+0+40+160+100+300)</f>
        <v>110.77003090939131</v>
      </c>
      <c r="AC961" s="45">
        <f>(M961*'RAP TEMPLATE-GAS AVAILABILITY'!O960+N961*'RAP TEMPLATE-GAS AVAILABILITY'!P960+O961*'RAP TEMPLATE-GAS AVAILABILITY'!Q960+P961*'RAP TEMPLATE-GAS AVAILABILITY'!R960)/('RAP TEMPLATE-GAS AVAILABILITY'!O960+'RAP TEMPLATE-GAS AVAILABILITY'!P960+'RAP TEMPLATE-GAS AVAILABILITY'!Q960+'RAP TEMPLATE-GAS AVAILABILITY'!R960)</f>
        <v>108.55680935251799</v>
      </c>
    </row>
    <row r="962" spans="1:29" ht="15.75" x14ac:dyDescent="0.25">
      <c r="A962" s="32">
        <v>70188</v>
      </c>
      <c r="B962" s="14">
        <f>CHOOSE(CONTROL!$C$42, 112.7049, 112.7049) * CHOOSE(CONTROL!$C$21, $C$9, 100%, $E$9)</f>
        <v>112.70489999999999</v>
      </c>
      <c r="C962" s="14">
        <f>CHOOSE(CONTROL!$C$42, 112.71, 112.71) * CHOOSE(CONTROL!$C$21, $C$9, 100%, $E$9)</f>
        <v>112.71</v>
      </c>
      <c r="D962" s="14">
        <f>CHOOSE(CONTROL!$C$42, 112.7764, 112.7764) * CHOOSE(CONTROL!$C$21, $C$9, 100%, $E$9)</f>
        <v>112.7764</v>
      </c>
      <c r="E962" s="14">
        <f>CHOOSE(CONTROL!$C$42, 112.8105, 112.8105) * CHOOSE(CONTROL!$C$21, $C$9, 100%, $E$9)</f>
        <v>112.8105</v>
      </c>
      <c r="F962" s="14">
        <f>CHOOSE(CONTROL!$C$42, 112.6923, 112.6923)*CHOOSE(CONTROL!$C$21, $C$9, 100%, $E$9)</f>
        <v>112.6923</v>
      </c>
      <c r="G962" s="14">
        <f>CHOOSE(CONTROL!$C$42, 112.7078, 112.7078)*CHOOSE(CONTROL!$C$21, $C$9, 100%, $E$9)</f>
        <v>112.70780000000001</v>
      </c>
      <c r="H962" s="14">
        <f>CHOOSE(CONTROL!$C$42, 112.7997, 112.7997) * CHOOSE(CONTROL!$C$21, $C$9, 100%, $E$9)</f>
        <v>112.7997</v>
      </c>
      <c r="I962" s="14">
        <f>CHOOSE(CONTROL!$C$42, 113.0655, 113.0655)* CHOOSE(CONTROL!$C$21, $C$9, 100%, $E$9)</f>
        <v>113.0655</v>
      </c>
      <c r="J962" s="14">
        <f>CHOOSE(CONTROL!$C$42, 112.6853, 112.6853)* CHOOSE(CONTROL!$C$21, $C$9, 100%, $E$9)</f>
        <v>112.6853</v>
      </c>
      <c r="K962" s="53">
        <f>CHOOSE(CONTROL!$C$42, 113.0616, 113.0616) * CHOOSE(CONTROL!$C$21, $C$9, 100%, $E$9)</f>
        <v>113.0616</v>
      </c>
      <c r="L962" s="14">
        <f>CHOOSE(CONTROL!$C$42, 113.3867, 113.3867) * CHOOSE(CONTROL!$C$21, $C$9, 100%, $E$9)</f>
        <v>113.3867</v>
      </c>
      <c r="M962" s="14">
        <f>CHOOSE(CONTROL!$C$42, 110.3841, 110.3841) * CHOOSE(CONTROL!$C$21, $C$9, 100%, $E$9)</f>
        <v>110.3841</v>
      </c>
      <c r="N962" s="14">
        <f>CHOOSE(CONTROL!$C$42, 110.3993, 110.3993) * CHOOSE(CONTROL!$C$21, $C$9, 100%, $E$9)</f>
        <v>110.3993</v>
      </c>
      <c r="O962" s="14">
        <f>CHOOSE(CONTROL!$C$42, 110.4962, 110.4962) * CHOOSE(CONTROL!$C$21, $C$9, 100%, $E$9)</f>
        <v>110.4962</v>
      </c>
      <c r="P962" s="14">
        <f>CHOOSE(CONTROL!$C$42, 110.7495, 110.7495) * CHOOSE(CONTROL!$C$21, $C$9, 100%, $E$9)</f>
        <v>110.7495</v>
      </c>
      <c r="Q962" s="14">
        <f>CHOOSE(CONTROL!$C$42, 111.0909, 111.0909) * CHOOSE(CONTROL!$C$21, $C$9, 100%, $E$9)</f>
        <v>111.0909</v>
      </c>
      <c r="R962" s="14">
        <f>CHOOSE(CONTROL!$C$42, 111.9556, 111.9556) * CHOOSE(CONTROL!$C$21, $C$9, 100%, $E$9)</f>
        <v>111.9556</v>
      </c>
      <c r="S962" s="14">
        <f>CHOOSE(CONTROL!$C$42, 108.2896, 108.2896) * CHOOSE(CONTROL!$C$21, $C$9, 100%, $E$9)</f>
        <v>108.28959999999999</v>
      </c>
      <c r="T962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62" s="57">
        <f>(1000*CHOOSE(CONTROL!$C$42, 695, 695)*CHOOSE(CONTROL!$C$42, 0.5599, 0.5599)*CHOOSE(CONTROL!$C$42, 29, 29))/1000000</f>
        <v>11.284784499999999</v>
      </c>
      <c r="V962" s="57">
        <f>(1000*CHOOSE(CONTROL!$C$42, 500, 500)*CHOOSE(CONTROL!$C$42, 0.275, 0.275)*CHOOSE(CONTROL!$C$42, 29, 29))/1000000</f>
        <v>3.9874999999999998</v>
      </c>
      <c r="W962" s="57">
        <f>(1000*CHOOSE(CONTROL!$C$42, 0.1146, 0.1146)*CHOOSE(CONTROL!$C$42, 121.5, 121.5)*CHOOSE(CONTROL!$C$42, 29, 29))/1000000</f>
        <v>0.40379309999999996</v>
      </c>
      <c r="X962" s="57">
        <f>(29*0.1790888*100000/1000000)+(29*0.2374*100000/1000000)</f>
        <v>1.2078175199999999</v>
      </c>
      <c r="Y962" s="57"/>
      <c r="Z962" s="14"/>
      <c r="AA962" s="56"/>
      <c r="AB962" s="50">
        <f>(B962*122.58+C962*297.941+D962*89.177+E962*40.302+F962*40+G962*160+H962*0+I962*100+J962*300)/(122.58+297.941+89.177+40.302+0+40+160+100+300)</f>
        <v>112.74167525721738</v>
      </c>
      <c r="AC962" s="45">
        <f>(M962*'RAP TEMPLATE-GAS AVAILABILITY'!O961+N962*'RAP TEMPLATE-GAS AVAILABILITY'!P961+O962*'RAP TEMPLATE-GAS AVAILABILITY'!Q961+P962*'RAP TEMPLATE-GAS AVAILABILITY'!R961)/('RAP TEMPLATE-GAS AVAILABILITY'!O961+'RAP TEMPLATE-GAS AVAILABILITY'!P961+'RAP TEMPLATE-GAS AVAILABILITY'!Q961+'RAP TEMPLATE-GAS AVAILABILITY'!R961)</f>
        <v>110.48835827338129</v>
      </c>
    </row>
    <row r="963" spans="1:29" ht="15.75" x14ac:dyDescent="0.25">
      <c r="A963" s="32">
        <v>70219</v>
      </c>
      <c r="B963" s="14">
        <f>CHOOSE(CONTROL!$C$42, 109.5054, 109.5054) * CHOOSE(CONTROL!$C$21, $C$9, 100%, $E$9)</f>
        <v>109.50539999999999</v>
      </c>
      <c r="C963" s="14">
        <f>CHOOSE(CONTROL!$C$42, 109.5105, 109.5105) * CHOOSE(CONTROL!$C$21, $C$9, 100%, $E$9)</f>
        <v>109.51049999999999</v>
      </c>
      <c r="D963" s="14">
        <f>CHOOSE(CONTROL!$C$42, 109.5769, 109.5769) * CHOOSE(CONTROL!$C$21, $C$9, 100%, $E$9)</f>
        <v>109.57689999999999</v>
      </c>
      <c r="E963" s="14">
        <f>CHOOSE(CONTROL!$C$42, 109.611, 109.611) * CHOOSE(CONTROL!$C$21, $C$9, 100%, $E$9)</f>
        <v>109.611</v>
      </c>
      <c r="F963" s="14">
        <f>CHOOSE(CONTROL!$C$42, 109.4924, 109.4924)*CHOOSE(CONTROL!$C$21, $C$9, 100%, $E$9)</f>
        <v>109.4924</v>
      </c>
      <c r="G963" s="14">
        <f>CHOOSE(CONTROL!$C$42, 109.5078, 109.5078)*CHOOSE(CONTROL!$C$21, $C$9, 100%, $E$9)</f>
        <v>109.5078</v>
      </c>
      <c r="H963" s="14">
        <f>CHOOSE(CONTROL!$C$42, 109.6002, 109.6002) * CHOOSE(CONTROL!$C$21, $C$9, 100%, $E$9)</f>
        <v>109.6002</v>
      </c>
      <c r="I963" s="14">
        <f>CHOOSE(CONTROL!$C$42, 109.856, 109.856)* CHOOSE(CONTROL!$C$21, $C$9, 100%, $E$9)</f>
        <v>109.85599999999999</v>
      </c>
      <c r="J963" s="14">
        <f>CHOOSE(CONTROL!$C$42, 109.4854, 109.4854)* CHOOSE(CONTROL!$C$21, $C$9, 100%, $E$9)</f>
        <v>109.4854</v>
      </c>
      <c r="K963" s="53">
        <f>CHOOSE(CONTROL!$C$42, 109.8521, 109.8521) * CHOOSE(CONTROL!$C$21, $C$9, 100%, $E$9)</f>
        <v>109.85209999999999</v>
      </c>
      <c r="L963" s="14">
        <f>CHOOSE(CONTROL!$C$42, 110.1872, 110.1872) * CHOOSE(CONTROL!$C$21, $C$9, 100%, $E$9)</f>
        <v>110.1872</v>
      </c>
      <c r="M963" s="14">
        <f>CHOOSE(CONTROL!$C$42, 107.2498, 107.2498) * CHOOSE(CONTROL!$C$21, $C$9, 100%, $E$9)</f>
        <v>107.24979999999999</v>
      </c>
      <c r="N963" s="14">
        <f>CHOOSE(CONTROL!$C$42, 107.2649, 107.2649) * CHOOSE(CONTROL!$C$21, $C$9, 100%, $E$9)</f>
        <v>107.2649</v>
      </c>
      <c r="O963" s="14">
        <f>CHOOSE(CONTROL!$C$42, 107.3622, 107.3622) * CHOOSE(CONTROL!$C$21, $C$9, 100%, $E$9)</f>
        <v>107.3622</v>
      </c>
      <c r="P963" s="14">
        <f>CHOOSE(CONTROL!$C$42, 107.606, 107.606) * CHOOSE(CONTROL!$C$21, $C$9, 100%, $E$9)</f>
        <v>107.60599999999999</v>
      </c>
      <c r="Q963" s="14">
        <f>CHOOSE(CONTROL!$C$42, 107.9569, 107.9569) * CHOOSE(CONTROL!$C$21, $C$9, 100%, $E$9)</f>
        <v>107.9569</v>
      </c>
      <c r="R963" s="14">
        <f>CHOOSE(CONTROL!$C$42, 108.8138, 108.8138) * CHOOSE(CONTROL!$C$21, $C$9, 100%, $E$9)</f>
        <v>108.8138</v>
      </c>
      <c r="S963" s="14">
        <f>CHOOSE(CONTROL!$C$42, 105.2152, 105.2152) * CHOOSE(CONTROL!$C$21, $C$9, 100%, $E$9)</f>
        <v>105.2152</v>
      </c>
      <c r="T96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63" s="57">
        <f>(1000*CHOOSE(CONTROL!$C$42, 695, 695)*CHOOSE(CONTROL!$C$42, 0.5599, 0.5599)*CHOOSE(CONTROL!$C$42, 31, 31))/1000000</f>
        <v>12.063045499999998</v>
      </c>
      <c r="V963" s="57">
        <f>(1000*CHOOSE(CONTROL!$C$42, 500, 500)*CHOOSE(CONTROL!$C$42, 0.275, 0.275)*CHOOSE(CONTROL!$C$42, 31, 31))/1000000</f>
        <v>4.2625000000000002</v>
      </c>
      <c r="W963" s="57">
        <f>(1000*CHOOSE(CONTROL!$C$42, 0.1146, 0.1146)*CHOOSE(CONTROL!$C$42, 121.5, 121.5)*CHOOSE(CONTROL!$C$42, 31, 31))/1000000</f>
        <v>0.43164089999999994</v>
      </c>
      <c r="X963" s="57">
        <f>(31*0.1790888*100000/1000000)+(31*0.2374*100000/1000000)</f>
        <v>1.2911152800000001</v>
      </c>
      <c r="Y963" s="57"/>
      <c r="Z963" s="14"/>
      <c r="AA963" s="56"/>
      <c r="AB963" s="50">
        <f>(B963*122.58+C963*297.941+D963*89.177+E963*40.302+F963*40+G963*160+H963*0+I963*100+J963*300)/(122.58+297.941+89.177+40.302+0+40+160+100+300)</f>
        <v>109.54111786591304</v>
      </c>
      <c r="AC963" s="45">
        <f>(M963*'RAP TEMPLATE-GAS AVAILABILITY'!O962+N963*'RAP TEMPLATE-GAS AVAILABILITY'!P962+O963*'RAP TEMPLATE-GAS AVAILABILITY'!Q962+P963*'RAP TEMPLATE-GAS AVAILABILITY'!R962)/('RAP TEMPLATE-GAS AVAILABILITY'!O962+'RAP TEMPLATE-GAS AVAILABILITY'!P962+'RAP TEMPLATE-GAS AVAILABILITY'!Q962+'RAP TEMPLATE-GAS AVAILABILITY'!R962)</f>
        <v>107.35286474820143</v>
      </c>
    </row>
    <row r="964" spans="1:29" ht="15.75" x14ac:dyDescent="0.25">
      <c r="A964" s="32">
        <v>70249</v>
      </c>
      <c r="B964" s="14">
        <f>CHOOSE(CONTROL!$C$42, 109.1787, 109.1787) * CHOOSE(CONTROL!$C$21, $C$9, 100%, $E$9)</f>
        <v>109.17870000000001</v>
      </c>
      <c r="C964" s="14">
        <f>CHOOSE(CONTROL!$C$42, 109.1832, 109.1832) * CHOOSE(CONTROL!$C$21, $C$9, 100%, $E$9)</f>
        <v>109.1832</v>
      </c>
      <c r="D964" s="14">
        <f>CHOOSE(CONTROL!$C$42, 109.3903, 109.3903) * CHOOSE(CONTROL!$C$21, $C$9, 100%, $E$9)</f>
        <v>109.3903</v>
      </c>
      <c r="E964" s="14">
        <f>CHOOSE(CONTROL!$C$42, 109.4224, 109.4224) * CHOOSE(CONTROL!$C$21, $C$9, 100%, $E$9)</f>
        <v>109.4224</v>
      </c>
      <c r="F964" s="14">
        <f>CHOOSE(CONTROL!$C$42, 109.1606, 109.1606)*CHOOSE(CONTROL!$C$21, $C$9, 100%, $E$9)</f>
        <v>109.1606</v>
      </c>
      <c r="G964" s="14">
        <f>CHOOSE(CONTROL!$C$42, 109.1758, 109.1758)*CHOOSE(CONTROL!$C$21, $C$9, 100%, $E$9)</f>
        <v>109.1758</v>
      </c>
      <c r="H964" s="14">
        <f>CHOOSE(CONTROL!$C$42, 109.4122, 109.4122) * CHOOSE(CONTROL!$C$21, $C$9, 100%, $E$9)</f>
        <v>109.4122</v>
      </c>
      <c r="I964" s="14">
        <f>CHOOSE(CONTROL!$C$42, 109.5275, 109.5275)* CHOOSE(CONTROL!$C$21, $C$9, 100%, $E$9)</f>
        <v>109.5275</v>
      </c>
      <c r="J964" s="14">
        <f>CHOOSE(CONTROL!$C$42, 109.1536, 109.1536)* CHOOSE(CONTROL!$C$21, $C$9, 100%, $E$9)</f>
        <v>109.1536</v>
      </c>
      <c r="K964" s="53">
        <f>CHOOSE(CONTROL!$C$42, 109.5236, 109.5236) * CHOOSE(CONTROL!$C$21, $C$9, 100%, $E$9)</f>
        <v>109.5236</v>
      </c>
      <c r="L964" s="14">
        <f>CHOOSE(CONTROL!$C$42, 109.9992, 109.9992) * CHOOSE(CONTROL!$C$21, $C$9, 100%, $E$9)</f>
        <v>109.9992</v>
      </c>
      <c r="M964" s="14">
        <f>CHOOSE(CONTROL!$C$42, 106.9248, 106.9248) * CHOOSE(CONTROL!$C$21, $C$9, 100%, $E$9)</f>
        <v>106.9248</v>
      </c>
      <c r="N964" s="14">
        <f>CHOOSE(CONTROL!$C$42, 106.9397, 106.9397) * CHOOSE(CONTROL!$C$21, $C$9, 100%, $E$9)</f>
        <v>106.9397</v>
      </c>
      <c r="O964" s="14">
        <f>CHOOSE(CONTROL!$C$42, 107.1781, 107.1781) * CHOOSE(CONTROL!$C$21, $C$9, 100%, $E$9)</f>
        <v>107.1781</v>
      </c>
      <c r="P964" s="14">
        <f>CHOOSE(CONTROL!$C$42, 107.2842, 107.2842) * CHOOSE(CONTROL!$C$21, $C$9, 100%, $E$9)</f>
        <v>107.2842</v>
      </c>
      <c r="Q964" s="14">
        <f>CHOOSE(CONTROL!$C$42, 107.7728, 107.7728) * CHOOSE(CONTROL!$C$21, $C$9, 100%, $E$9)</f>
        <v>107.7728</v>
      </c>
      <c r="R964" s="14">
        <f>CHOOSE(CONTROL!$C$42, 108.6292, 108.6292) * CHOOSE(CONTROL!$C$21, $C$9, 100%, $E$9)</f>
        <v>108.6292</v>
      </c>
      <c r="S964" s="14">
        <f>CHOOSE(CONTROL!$C$42, 104.9005, 104.9005) * CHOOSE(CONTROL!$C$21, $C$9, 100%, $E$9)</f>
        <v>104.90049999999999</v>
      </c>
      <c r="T96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64" s="57">
        <f>(1000*CHOOSE(CONTROL!$C$42, 695, 695)*CHOOSE(CONTROL!$C$42, 0.5599, 0.5599)*CHOOSE(CONTROL!$C$42, 30, 30))/1000000</f>
        <v>11.673914999999997</v>
      </c>
      <c r="V964" s="57">
        <f>(1000*CHOOSE(CONTROL!$C$42, 500, 500)*CHOOSE(CONTROL!$C$42, 0.275, 0.275)*CHOOSE(CONTROL!$C$42, 30, 30))/1000000</f>
        <v>4.125</v>
      </c>
      <c r="W964" s="57">
        <f>(1000*CHOOSE(CONTROL!$C$42, 0.1146, 0.1146)*CHOOSE(CONTROL!$C$42, 121.5, 121.5)*CHOOSE(CONTROL!$C$42, 30, 30))/1000000</f>
        <v>0.417717</v>
      </c>
      <c r="X964" s="57">
        <f>(30*0.1790888*245000/1000000)+(30*0.2374*100000/1000000)</f>
        <v>2.0285026799999999</v>
      </c>
      <c r="Y964" s="57"/>
      <c r="Z964" s="14"/>
      <c r="AA964" s="56"/>
      <c r="AB964" s="50">
        <f>(B964*141.293+C964*267.993+D964*115.016+E964*89.698+F964*40+G964*185+H964*0+I964*100+J964*300)/(141.293+267.993+115.016+89.698+0+40+185+100+300)</f>
        <v>109.23801578426151</v>
      </c>
      <c r="AC964" s="45">
        <f>(M964*'RAP TEMPLATE-GAS AVAILABILITY'!O963+N964*'RAP TEMPLATE-GAS AVAILABILITY'!P963+O964*'RAP TEMPLATE-GAS AVAILABILITY'!Q963+P964*'RAP TEMPLATE-GAS AVAILABILITY'!R963)/('RAP TEMPLATE-GAS AVAILABILITY'!O963+'RAP TEMPLATE-GAS AVAILABILITY'!P963+'RAP TEMPLATE-GAS AVAILABILITY'!Q963+'RAP TEMPLATE-GAS AVAILABILITY'!R963)</f>
        <v>107.09217482014388</v>
      </c>
    </row>
    <row r="965" spans="1:29" ht="15.75" x14ac:dyDescent="0.25">
      <c r="A965" s="32">
        <v>70280</v>
      </c>
      <c r="B965" s="14">
        <f>CHOOSE(CONTROL!$C$42, 110.1436, 110.1436) * CHOOSE(CONTROL!$C$21, $C$9, 100%, $E$9)</f>
        <v>110.14360000000001</v>
      </c>
      <c r="C965" s="14">
        <f>CHOOSE(CONTROL!$C$42, 110.1517, 110.1517) * CHOOSE(CONTROL!$C$21, $C$9, 100%, $E$9)</f>
        <v>110.15170000000001</v>
      </c>
      <c r="D965" s="14">
        <f>CHOOSE(CONTROL!$C$42, 110.3556, 110.3556) * CHOOSE(CONTROL!$C$21, $C$9, 100%, $E$9)</f>
        <v>110.3556</v>
      </c>
      <c r="E965" s="14">
        <f>CHOOSE(CONTROL!$C$42, 110.3871, 110.3871) * CHOOSE(CONTROL!$C$21, $C$9, 100%, $E$9)</f>
        <v>110.3871</v>
      </c>
      <c r="F965" s="14">
        <f>CHOOSE(CONTROL!$C$42, 110.1244, 110.1244)*CHOOSE(CONTROL!$C$21, $C$9, 100%, $E$9)</f>
        <v>110.12439999999999</v>
      </c>
      <c r="G965" s="14">
        <f>CHOOSE(CONTROL!$C$42, 110.14, 110.14)*CHOOSE(CONTROL!$C$21, $C$9, 100%, $E$9)</f>
        <v>110.14</v>
      </c>
      <c r="H965" s="14">
        <f>CHOOSE(CONTROL!$C$42, 110.3757, 110.3757) * CHOOSE(CONTROL!$C$21, $C$9, 100%, $E$9)</f>
        <v>110.37569999999999</v>
      </c>
      <c r="I965" s="14">
        <f>CHOOSE(CONTROL!$C$42, 110.494, 110.494)* CHOOSE(CONTROL!$C$21, $C$9, 100%, $E$9)</f>
        <v>110.494</v>
      </c>
      <c r="J965" s="14">
        <f>CHOOSE(CONTROL!$C$42, 110.1174, 110.1174)* CHOOSE(CONTROL!$C$21, $C$9, 100%, $E$9)</f>
        <v>110.1174</v>
      </c>
      <c r="K965" s="53">
        <f>CHOOSE(CONTROL!$C$42, 110.4901, 110.4901) * CHOOSE(CONTROL!$C$21, $C$9, 100%, $E$9)</f>
        <v>110.4901</v>
      </c>
      <c r="L965" s="14">
        <f>CHOOSE(CONTROL!$C$42, 110.9627, 110.9627) * CHOOSE(CONTROL!$C$21, $C$9, 100%, $E$9)</f>
        <v>110.9627</v>
      </c>
      <c r="M965" s="14">
        <f>CHOOSE(CONTROL!$C$42, 107.8688, 107.8688) * CHOOSE(CONTROL!$C$21, $C$9, 100%, $E$9)</f>
        <v>107.86879999999999</v>
      </c>
      <c r="N965" s="14">
        <f>CHOOSE(CONTROL!$C$42, 107.8842, 107.8842) * CHOOSE(CONTROL!$C$21, $C$9, 100%, $E$9)</f>
        <v>107.88420000000001</v>
      </c>
      <c r="O965" s="14">
        <f>CHOOSE(CONTROL!$C$42, 108.1219, 108.1219) * CHOOSE(CONTROL!$C$21, $C$9, 100%, $E$9)</f>
        <v>108.1219</v>
      </c>
      <c r="P965" s="14">
        <f>CHOOSE(CONTROL!$C$42, 108.2309, 108.2309) * CHOOSE(CONTROL!$C$21, $C$9, 100%, $E$9)</f>
        <v>108.23090000000001</v>
      </c>
      <c r="Q965" s="14">
        <f>CHOOSE(CONTROL!$C$42, 108.7166, 108.7166) * CHOOSE(CONTROL!$C$21, $C$9, 100%, $E$9)</f>
        <v>108.7166</v>
      </c>
      <c r="R965" s="14">
        <f>CHOOSE(CONTROL!$C$42, 109.5754, 109.5754) * CHOOSE(CONTROL!$C$21, $C$9, 100%, $E$9)</f>
        <v>109.5754</v>
      </c>
      <c r="S965" s="14">
        <f>CHOOSE(CONTROL!$C$42, 105.8264, 105.8264) * CHOOSE(CONTROL!$C$21, $C$9, 100%, $E$9)</f>
        <v>105.82640000000001</v>
      </c>
      <c r="T96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65" s="57">
        <f>(1000*CHOOSE(CONTROL!$C$42, 695, 695)*CHOOSE(CONTROL!$C$42, 0.5599, 0.5599)*CHOOSE(CONTROL!$C$42, 31, 31))/1000000</f>
        <v>12.063045499999998</v>
      </c>
      <c r="V965" s="57">
        <f>(1000*CHOOSE(CONTROL!$C$42, 500, 500)*CHOOSE(CONTROL!$C$42, 0.275, 0.275)*CHOOSE(CONTROL!$C$42, 31, 31))/1000000</f>
        <v>4.2625000000000002</v>
      </c>
      <c r="W965" s="57">
        <f>(1000*CHOOSE(CONTROL!$C$42, 0.1146, 0.1146)*CHOOSE(CONTROL!$C$42, 121.5, 121.5)*CHOOSE(CONTROL!$C$42, 31, 31))/1000000</f>
        <v>0.43164089999999994</v>
      </c>
      <c r="X965" s="57">
        <f>(31*0.1790888*245000/1000000)+(31*0.2374*100000/1000000)</f>
        <v>2.0961194359999999</v>
      </c>
      <c r="Y965" s="57"/>
      <c r="Z965" s="14"/>
      <c r="AA965" s="56"/>
      <c r="AB965" s="50">
        <f>(B965*194.205+C965*267.466+D965*133.845+E965*53.484+F965*40+G965*185+H965*0+I965*100+J965*300)/(194.205+267.466+133.845+53.484+0+40+185+100+300)</f>
        <v>110.19800421397174</v>
      </c>
      <c r="AC965" s="45">
        <f>(M965*'RAP TEMPLATE-GAS AVAILABILITY'!O964+N965*'RAP TEMPLATE-GAS AVAILABILITY'!P964+O965*'RAP TEMPLATE-GAS AVAILABILITY'!Q964+P965*'RAP TEMPLATE-GAS AVAILABILITY'!R964)/('RAP TEMPLATE-GAS AVAILABILITY'!O964+'RAP TEMPLATE-GAS AVAILABILITY'!P964+'RAP TEMPLATE-GAS AVAILABILITY'!Q964+'RAP TEMPLATE-GAS AVAILABILITY'!R964)</f>
        <v>108.03650143884892</v>
      </c>
    </row>
    <row r="966" spans="1:29" ht="15.75" x14ac:dyDescent="0.25">
      <c r="A966" s="32">
        <v>70310</v>
      </c>
      <c r="B966" s="14">
        <f>CHOOSE(CONTROL!$C$42, 113.2677, 113.2677) * CHOOSE(CONTROL!$C$21, $C$9, 100%, $E$9)</f>
        <v>113.2677</v>
      </c>
      <c r="C966" s="14">
        <f>CHOOSE(CONTROL!$C$42, 113.2757, 113.2757) * CHOOSE(CONTROL!$C$21, $C$9, 100%, $E$9)</f>
        <v>113.2757</v>
      </c>
      <c r="D966" s="14">
        <f>CHOOSE(CONTROL!$C$42, 113.4796, 113.4796) * CHOOSE(CONTROL!$C$21, $C$9, 100%, $E$9)</f>
        <v>113.4796</v>
      </c>
      <c r="E966" s="14">
        <f>CHOOSE(CONTROL!$C$42, 113.5111, 113.5111) * CHOOSE(CONTROL!$C$21, $C$9, 100%, $E$9)</f>
        <v>113.5111</v>
      </c>
      <c r="F966" s="14">
        <f>CHOOSE(CONTROL!$C$42, 113.2488, 113.2488)*CHOOSE(CONTROL!$C$21, $C$9, 100%, $E$9)</f>
        <v>113.2488</v>
      </c>
      <c r="G966" s="14">
        <f>CHOOSE(CONTROL!$C$42, 113.2646, 113.2646)*CHOOSE(CONTROL!$C$21, $C$9, 100%, $E$9)</f>
        <v>113.2646</v>
      </c>
      <c r="H966" s="14">
        <f>CHOOSE(CONTROL!$C$42, 113.4997, 113.4997) * CHOOSE(CONTROL!$C$21, $C$9, 100%, $E$9)</f>
        <v>113.4997</v>
      </c>
      <c r="I966" s="14">
        <f>CHOOSE(CONTROL!$C$42, 113.6279, 113.6279)* CHOOSE(CONTROL!$C$21, $C$9, 100%, $E$9)</f>
        <v>113.6279</v>
      </c>
      <c r="J966" s="14">
        <f>CHOOSE(CONTROL!$C$42, 113.2418, 113.2418)* CHOOSE(CONTROL!$C$21, $C$9, 100%, $E$9)</f>
        <v>113.2418</v>
      </c>
      <c r="K966" s="53">
        <f>CHOOSE(CONTROL!$C$42, 113.624, 113.624) * CHOOSE(CONTROL!$C$21, $C$9, 100%, $E$9)</f>
        <v>113.624</v>
      </c>
      <c r="L966" s="14">
        <f>CHOOSE(CONTROL!$C$42, 114.0867, 114.0867) * CHOOSE(CONTROL!$C$21, $C$9, 100%, $E$9)</f>
        <v>114.08669999999999</v>
      </c>
      <c r="M966" s="14">
        <f>CHOOSE(CONTROL!$C$42, 110.9293, 110.9293) * CHOOSE(CONTROL!$C$21, $C$9, 100%, $E$9)</f>
        <v>110.9293</v>
      </c>
      <c r="N966" s="14">
        <f>CHOOSE(CONTROL!$C$42, 110.9447, 110.9447) * CHOOSE(CONTROL!$C$21, $C$9, 100%, $E$9)</f>
        <v>110.9447</v>
      </c>
      <c r="O966" s="14">
        <f>CHOOSE(CONTROL!$C$42, 111.1819, 111.1819) * CHOOSE(CONTROL!$C$21, $C$9, 100%, $E$9)</f>
        <v>111.1819</v>
      </c>
      <c r="P966" s="14">
        <f>CHOOSE(CONTROL!$C$42, 111.3003, 111.3003) * CHOOSE(CONTROL!$C$21, $C$9, 100%, $E$9)</f>
        <v>111.30029999999999</v>
      </c>
      <c r="Q966" s="14">
        <f>CHOOSE(CONTROL!$C$42, 111.7766, 111.7766) * CHOOSE(CONTROL!$C$21, $C$9, 100%, $E$9)</f>
        <v>111.7766</v>
      </c>
      <c r="R966" s="14">
        <f>CHOOSE(CONTROL!$C$42, 112.643, 112.643) * CHOOSE(CONTROL!$C$21, $C$9, 100%, $E$9)</f>
        <v>112.643</v>
      </c>
      <c r="S966" s="14">
        <f>CHOOSE(CONTROL!$C$42, 108.8283, 108.8283) * CHOOSE(CONTROL!$C$21, $C$9, 100%, $E$9)</f>
        <v>108.8283</v>
      </c>
      <c r="T96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66" s="57">
        <f>(1000*CHOOSE(CONTROL!$C$42, 695, 695)*CHOOSE(CONTROL!$C$42, 0.5599, 0.5599)*CHOOSE(CONTROL!$C$42, 30, 30))/1000000</f>
        <v>11.673914999999997</v>
      </c>
      <c r="V966" s="57">
        <f>(1000*CHOOSE(CONTROL!$C$42, 500, 500)*CHOOSE(CONTROL!$C$42, 0.275, 0.275)*CHOOSE(CONTROL!$C$42, 30, 30))/1000000</f>
        <v>4.125</v>
      </c>
      <c r="W966" s="57">
        <f>(1000*CHOOSE(CONTROL!$C$42, 0.1146, 0.1146)*CHOOSE(CONTROL!$C$42, 121.5, 121.5)*CHOOSE(CONTROL!$C$42, 30, 30))/1000000</f>
        <v>0.417717</v>
      </c>
      <c r="X966" s="57">
        <f>(30*0.1790888*245000/1000000)+(30*0.2374*100000/1000000)</f>
        <v>2.0285026799999999</v>
      </c>
      <c r="Y966" s="57"/>
      <c r="Z966" s="14"/>
      <c r="AA966" s="56"/>
      <c r="AB966" s="50">
        <f>(B966*194.205+C966*267.466+D966*133.845+E966*53.484+F966*40+G966*185+H966*0+I966*100+J966*300)/(194.205+267.466+133.845+53.484+0+40+185+100+300)</f>
        <v>113.32299041530614</v>
      </c>
      <c r="AC966" s="45">
        <f>(M966*'RAP TEMPLATE-GAS AVAILABILITY'!O965+N966*'RAP TEMPLATE-GAS AVAILABILITY'!P965+O966*'RAP TEMPLATE-GAS AVAILABILITY'!Q965+P966*'RAP TEMPLATE-GAS AVAILABILITY'!R965)/('RAP TEMPLATE-GAS AVAILABILITY'!O965+'RAP TEMPLATE-GAS AVAILABILITY'!P965+'RAP TEMPLATE-GAS AVAILABILITY'!Q965+'RAP TEMPLATE-GAS AVAILABILITY'!R965)</f>
        <v>111.09805539568345</v>
      </c>
    </row>
    <row r="967" spans="1:29" ht="15.75" x14ac:dyDescent="0.25">
      <c r="A967" s="32">
        <v>70341</v>
      </c>
      <c r="B967" s="14">
        <f>CHOOSE(CONTROL!$C$42, 111.0949, 111.0949) * CHOOSE(CONTROL!$C$21, $C$9, 100%, $E$9)</f>
        <v>111.0949</v>
      </c>
      <c r="C967" s="14">
        <f>CHOOSE(CONTROL!$C$42, 111.1029, 111.1029) * CHOOSE(CONTROL!$C$21, $C$9, 100%, $E$9)</f>
        <v>111.10290000000001</v>
      </c>
      <c r="D967" s="14">
        <f>CHOOSE(CONTROL!$C$42, 111.3069, 111.3069) * CHOOSE(CONTROL!$C$21, $C$9, 100%, $E$9)</f>
        <v>111.3069</v>
      </c>
      <c r="E967" s="14">
        <f>CHOOSE(CONTROL!$C$42, 111.3383, 111.3383) * CHOOSE(CONTROL!$C$21, $C$9, 100%, $E$9)</f>
        <v>111.3383</v>
      </c>
      <c r="F967" s="14">
        <f>CHOOSE(CONTROL!$C$42, 111.0765, 111.0765)*CHOOSE(CONTROL!$C$21, $C$9, 100%, $E$9)</f>
        <v>111.0765</v>
      </c>
      <c r="G967" s="14">
        <f>CHOOSE(CONTROL!$C$42, 111.0924, 111.0924)*CHOOSE(CONTROL!$C$21, $C$9, 100%, $E$9)</f>
        <v>111.0924</v>
      </c>
      <c r="H967" s="14">
        <f>CHOOSE(CONTROL!$C$42, 111.3269, 111.3269) * CHOOSE(CONTROL!$C$21, $C$9, 100%, $E$9)</f>
        <v>111.32689999999999</v>
      </c>
      <c r="I967" s="14">
        <f>CHOOSE(CONTROL!$C$42, 111.4483, 111.4483)* CHOOSE(CONTROL!$C$21, $C$9, 100%, $E$9)</f>
        <v>111.4483</v>
      </c>
      <c r="J967" s="14">
        <f>CHOOSE(CONTROL!$C$42, 111.0695, 111.0695)* CHOOSE(CONTROL!$C$21, $C$9, 100%, $E$9)</f>
        <v>111.06950000000001</v>
      </c>
      <c r="K967" s="53">
        <f>CHOOSE(CONTROL!$C$42, 111.4444, 111.4444) * CHOOSE(CONTROL!$C$21, $C$9, 100%, $E$9)</f>
        <v>111.4444</v>
      </c>
      <c r="L967" s="14">
        <f>CHOOSE(CONTROL!$C$42, 111.9139, 111.9139) * CHOOSE(CONTROL!$C$21, $C$9, 100%, $E$9)</f>
        <v>111.9139</v>
      </c>
      <c r="M967" s="14">
        <f>CHOOSE(CONTROL!$C$42, 108.8015, 108.8015) * CHOOSE(CONTROL!$C$21, $C$9, 100%, $E$9)</f>
        <v>108.8015</v>
      </c>
      <c r="N967" s="14">
        <f>CHOOSE(CONTROL!$C$42, 108.817, 108.817) * CHOOSE(CONTROL!$C$21, $C$9, 100%, $E$9)</f>
        <v>108.81699999999999</v>
      </c>
      <c r="O967" s="14">
        <f>CHOOSE(CONTROL!$C$42, 109.0536, 109.0536) * CHOOSE(CONTROL!$C$21, $C$9, 100%, $E$9)</f>
        <v>109.0536</v>
      </c>
      <c r="P967" s="14">
        <f>CHOOSE(CONTROL!$C$42, 109.1655, 109.1655) * CHOOSE(CONTROL!$C$21, $C$9, 100%, $E$9)</f>
        <v>109.16549999999999</v>
      </c>
      <c r="Q967" s="14">
        <f>CHOOSE(CONTROL!$C$42, 109.6483, 109.6483) * CHOOSE(CONTROL!$C$21, $C$9, 100%, $E$9)</f>
        <v>109.64830000000001</v>
      </c>
      <c r="R967" s="14">
        <f>CHOOSE(CONTROL!$C$42, 110.5094, 110.5094) * CHOOSE(CONTROL!$C$21, $C$9, 100%, $E$9)</f>
        <v>110.5094</v>
      </c>
      <c r="S967" s="14">
        <f>CHOOSE(CONTROL!$C$42, 106.7404, 106.7404) * CHOOSE(CONTROL!$C$21, $C$9, 100%, $E$9)</f>
        <v>106.74039999999999</v>
      </c>
      <c r="T96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67" s="57">
        <f>(1000*CHOOSE(CONTROL!$C$42, 695, 695)*CHOOSE(CONTROL!$C$42, 0.5599, 0.5599)*CHOOSE(CONTROL!$C$42, 31, 31))/1000000</f>
        <v>12.063045499999998</v>
      </c>
      <c r="V967" s="57">
        <f>(1000*CHOOSE(CONTROL!$C$42, 500, 500)*CHOOSE(CONTROL!$C$42, 0.275, 0.275)*CHOOSE(CONTROL!$C$42, 31, 31))/1000000</f>
        <v>4.2625000000000002</v>
      </c>
      <c r="W967" s="57">
        <f>(1000*CHOOSE(CONTROL!$C$42, 0.1146, 0.1146)*CHOOSE(CONTROL!$C$42, 121.5, 121.5)*CHOOSE(CONTROL!$C$42, 31, 31))/1000000</f>
        <v>0.43164089999999994</v>
      </c>
      <c r="X967" s="57">
        <f>(31*0.1790888*245000/1000000)+(31*0.2374*100000/1000000)</f>
        <v>2.0961194359999999</v>
      </c>
      <c r="Y967" s="57"/>
      <c r="Z967" s="14"/>
      <c r="AA967" s="56"/>
      <c r="AB967" s="50">
        <f>(B967*194.205+C967*267.466+D967*133.845+E967*53.484+F967*40+G967*185+H967*0+I967*100+J967*300)/(194.205+267.466+133.845+53.484+0+40+185+100+300)</f>
        <v>111.1498877343799</v>
      </c>
      <c r="AC967" s="45">
        <f>(M967*'RAP TEMPLATE-GAS AVAILABILITY'!O966+N967*'RAP TEMPLATE-GAS AVAILABILITY'!P966+O967*'RAP TEMPLATE-GAS AVAILABILITY'!Q966+P967*'RAP TEMPLATE-GAS AVAILABILITY'!R966)/('RAP TEMPLATE-GAS AVAILABILITY'!O966+'RAP TEMPLATE-GAS AVAILABILITY'!P966+'RAP TEMPLATE-GAS AVAILABILITY'!Q966+'RAP TEMPLATE-GAS AVAILABILITY'!R966)</f>
        <v>108.96902733812949</v>
      </c>
    </row>
    <row r="968" spans="1:29" ht="15.75" x14ac:dyDescent="0.25">
      <c r="A968" s="32">
        <v>70372</v>
      </c>
      <c r="B968" s="14">
        <f>CHOOSE(CONTROL!$C$42, 105.6079, 105.6079) * CHOOSE(CONTROL!$C$21, $C$9, 100%, $E$9)</f>
        <v>105.6079</v>
      </c>
      <c r="C968" s="14">
        <f>CHOOSE(CONTROL!$C$42, 105.6159, 105.6159) * CHOOSE(CONTROL!$C$21, $C$9, 100%, $E$9)</f>
        <v>105.6159</v>
      </c>
      <c r="D968" s="14">
        <f>CHOOSE(CONTROL!$C$42, 105.8199, 105.8199) * CHOOSE(CONTROL!$C$21, $C$9, 100%, $E$9)</f>
        <v>105.8199</v>
      </c>
      <c r="E968" s="14">
        <f>CHOOSE(CONTROL!$C$42, 105.8513, 105.8513) * CHOOSE(CONTROL!$C$21, $C$9, 100%, $E$9)</f>
        <v>105.85129999999999</v>
      </c>
      <c r="F968" s="14">
        <f>CHOOSE(CONTROL!$C$42, 105.5898, 105.5898)*CHOOSE(CONTROL!$C$21, $C$9, 100%, $E$9)</f>
        <v>105.5898</v>
      </c>
      <c r="G968" s="14">
        <f>CHOOSE(CONTROL!$C$42, 105.6057, 105.6057)*CHOOSE(CONTROL!$C$21, $C$9, 100%, $E$9)</f>
        <v>105.6057</v>
      </c>
      <c r="H968" s="14">
        <f>CHOOSE(CONTROL!$C$42, 105.84, 105.84) * CHOOSE(CONTROL!$C$21, $C$9, 100%, $E$9)</f>
        <v>105.84</v>
      </c>
      <c r="I968" s="14">
        <f>CHOOSE(CONTROL!$C$42, 105.9441, 105.9441)* CHOOSE(CONTROL!$C$21, $C$9, 100%, $E$9)</f>
        <v>105.94410000000001</v>
      </c>
      <c r="J968" s="14">
        <f>CHOOSE(CONTROL!$C$42, 105.5828, 105.5828)* CHOOSE(CONTROL!$C$21, $C$9, 100%, $E$9)</f>
        <v>105.58280000000001</v>
      </c>
      <c r="K968" s="53">
        <f>CHOOSE(CONTROL!$C$42, 105.9402, 105.9402) * CHOOSE(CONTROL!$C$21, $C$9, 100%, $E$9)</f>
        <v>105.9402</v>
      </c>
      <c r="L968" s="14">
        <f>CHOOSE(CONTROL!$C$42, 106.427, 106.427) * CHOOSE(CONTROL!$C$21, $C$9, 100%, $E$9)</f>
        <v>106.42700000000001</v>
      </c>
      <c r="M968" s="14">
        <f>CHOOSE(CONTROL!$C$42, 103.4271, 103.4271) * CHOOSE(CONTROL!$C$21, $C$9, 100%, $E$9)</f>
        <v>103.4271</v>
      </c>
      <c r="N968" s="14">
        <f>CHOOSE(CONTROL!$C$42, 103.4428, 103.4428) * CHOOSE(CONTROL!$C$21, $C$9, 100%, $E$9)</f>
        <v>103.44280000000001</v>
      </c>
      <c r="O968" s="14">
        <f>CHOOSE(CONTROL!$C$42, 103.6791, 103.6791) * CHOOSE(CONTROL!$C$21, $C$9, 100%, $E$9)</f>
        <v>103.67910000000001</v>
      </c>
      <c r="P968" s="14">
        <f>CHOOSE(CONTROL!$C$42, 103.7745, 103.7745) * CHOOSE(CONTROL!$C$21, $C$9, 100%, $E$9)</f>
        <v>103.7745</v>
      </c>
      <c r="Q968" s="14">
        <f>CHOOSE(CONTROL!$C$42, 104.2738, 104.2738) * CHOOSE(CONTROL!$C$21, $C$9, 100%, $E$9)</f>
        <v>104.27379999999999</v>
      </c>
      <c r="R968" s="14">
        <f>CHOOSE(CONTROL!$C$42, 105.1215, 105.1215) * CHOOSE(CONTROL!$C$21, $C$9, 100%, $E$9)</f>
        <v>105.1215</v>
      </c>
      <c r="S968" s="14">
        <f>CHOOSE(CONTROL!$C$42, 101.468, 101.468) * CHOOSE(CONTROL!$C$21, $C$9, 100%, $E$9)</f>
        <v>101.468</v>
      </c>
      <c r="T96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68" s="57">
        <f>(1000*CHOOSE(CONTROL!$C$42, 695, 695)*CHOOSE(CONTROL!$C$42, 0.5599, 0.5599)*CHOOSE(CONTROL!$C$42, 31, 31))/1000000</f>
        <v>12.063045499999998</v>
      </c>
      <c r="V968" s="57">
        <f>(1000*CHOOSE(CONTROL!$C$42, 500, 500)*CHOOSE(CONTROL!$C$42, 0.275, 0.275)*CHOOSE(CONTROL!$C$42, 31, 31))/1000000</f>
        <v>4.2625000000000002</v>
      </c>
      <c r="W968" s="57">
        <f>(1000*CHOOSE(CONTROL!$C$42, 0.1146, 0.1146)*CHOOSE(CONTROL!$C$42, 121.5, 121.5)*CHOOSE(CONTROL!$C$42, 31, 31))/1000000</f>
        <v>0.43164089999999994</v>
      </c>
      <c r="X968" s="57">
        <f>(31*0.1790888*245000/1000000)+(31*0.2374*100000/1000000)</f>
        <v>2.0961194359999999</v>
      </c>
      <c r="Y968" s="57"/>
      <c r="Z968" s="14"/>
      <c r="AA968" s="56"/>
      <c r="AB968" s="50">
        <f>(B968*194.205+C968*267.466+D968*133.845+E968*53.484+F968*40+G968*185+H968*0+I968*100+J968*300)/(194.205+267.466+133.845+53.484+0+40+185+100+300)</f>
        <v>105.6616612822606</v>
      </c>
      <c r="AC968" s="45">
        <f>(M968*'RAP TEMPLATE-GAS AVAILABILITY'!O967+N968*'RAP TEMPLATE-GAS AVAILABILITY'!P967+O968*'RAP TEMPLATE-GAS AVAILABILITY'!Q967+P968*'RAP TEMPLATE-GAS AVAILABILITY'!R967)/('RAP TEMPLATE-GAS AVAILABILITY'!O967+'RAP TEMPLATE-GAS AVAILABILITY'!P967+'RAP TEMPLATE-GAS AVAILABILITY'!Q967+'RAP TEMPLATE-GAS AVAILABILITY'!R967)</f>
        <v>103.59220503597123</v>
      </c>
    </row>
    <row r="969" spans="1:29" ht="15.75" x14ac:dyDescent="0.25">
      <c r="A969" s="32">
        <v>70402</v>
      </c>
      <c r="B969" s="14">
        <f>CHOOSE(CONTROL!$C$42, 98.9035, 98.9035) * CHOOSE(CONTROL!$C$21, $C$9, 100%, $E$9)</f>
        <v>98.903499999999994</v>
      </c>
      <c r="C969" s="14">
        <f>CHOOSE(CONTROL!$C$42, 98.9115, 98.9115) * CHOOSE(CONTROL!$C$21, $C$9, 100%, $E$9)</f>
        <v>98.911500000000004</v>
      </c>
      <c r="D969" s="14">
        <f>CHOOSE(CONTROL!$C$42, 99.1154, 99.1154) * CHOOSE(CONTROL!$C$21, $C$9, 100%, $E$9)</f>
        <v>99.115399999999994</v>
      </c>
      <c r="E969" s="14">
        <f>CHOOSE(CONTROL!$C$42, 99.1469, 99.1469) * CHOOSE(CONTROL!$C$21, $C$9, 100%, $E$9)</f>
        <v>99.146900000000002</v>
      </c>
      <c r="F969" s="14">
        <f>CHOOSE(CONTROL!$C$42, 98.8854, 98.8854)*CHOOSE(CONTROL!$C$21, $C$9, 100%, $E$9)</f>
        <v>98.885400000000004</v>
      </c>
      <c r="G969" s="14">
        <f>CHOOSE(CONTROL!$C$42, 98.9013, 98.9013)*CHOOSE(CONTROL!$C$21, $C$9, 100%, $E$9)</f>
        <v>98.901300000000006</v>
      </c>
      <c r="H969" s="14">
        <f>CHOOSE(CONTROL!$C$42, 99.1355, 99.1355) * CHOOSE(CONTROL!$C$21, $C$9, 100%, $E$9)</f>
        <v>99.135499999999993</v>
      </c>
      <c r="I969" s="14">
        <f>CHOOSE(CONTROL!$C$42, 99.2187, 99.2187)* CHOOSE(CONTROL!$C$21, $C$9, 100%, $E$9)</f>
        <v>99.218699999999998</v>
      </c>
      <c r="J969" s="14">
        <f>CHOOSE(CONTROL!$C$42, 98.8784, 98.8784)* CHOOSE(CONTROL!$C$21, $C$9, 100%, $E$9)</f>
        <v>98.878399999999999</v>
      </c>
      <c r="K969" s="53">
        <f>CHOOSE(CONTROL!$C$42, 99.2148, 99.2148) * CHOOSE(CONTROL!$C$21, $C$9, 100%, $E$9)</f>
        <v>99.214799999999997</v>
      </c>
      <c r="L969" s="14">
        <f>CHOOSE(CONTROL!$C$42, 99.7225, 99.7225) * CHOOSE(CONTROL!$C$21, $C$9, 100%, $E$9)</f>
        <v>99.722499999999997</v>
      </c>
      <c r="M969" s="14">
        <f>CHOOSE(CONTROL!$C$42, 96.8601, 96.8601) * CHOOSE(CONTROL!$C$21, $C$9, 100%, $E$9)</f>
        <v>96.860100000000003</v>
      </c>
      <c r="N969" s="14">
        <f>CHOOSE(CONTROL!$C$42, 96.8758, 96.8758) * CHOOSE(CONTROL!$C$21, $C$9, 100%, $E$9)</f>
        <v>96.875799999999998</v>
      </c>
      <c r="O969" s="14">
        <f>CHOOSE(CONTROL!$C$42, 97.112, 97.112) * CHOOSE(CONTROL!$C$21, $C$9, 100%, $E$9)</f>
        <v>97.111999999999995</v>
      </c>
      <c r="P969" s="14">
        <f>CHOOSE(CONTROL!$C$42, 97.1873, 97.1873) * CHOOSE(CONTROL!$C$21, $C$9, 100%, $E$9)</f>
        <v>97.187299999999993</v>
      </c>
      <c r="Q969" s="14">
        <f>CHOOSE(CONTROL!$C$42, 97.7067, 97.7067) * CHOOSE(CONTROL!$C$21, $C$9, 100%, $E$9)</f>
        <v>97.706699999999998</v>
      </c>
      <c r="R969" s="14">
        <f>CHOOSE(CONTROL!$C$42, 98.538, 98.538) * CHOOSE(CONTROL!$C$21, $C$9, 100%, $E$9)</f>
        <v>98.537999999999997</v>
      </c>
      <c r="S969" s="14">
        <f>CHOOSE(CONTROL!$C$42, 95.0257, 95.0257) * CHOOSE(CONTROL!$C$21, $C$9, 100%, $E$9)</f>
        <v>95.025700000000001</v>
      </c>
      <c r="T96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69" s="57">
        <f>(1000*CHOOSE(CONTROL!$C$42, 695, 695)*CHOOSE(CONTROL!$C$42, 0.5599, 0.5599)*CHOOSE(CONTROL!$C$42, 30, 30))/1000000</f>
        <v>11.673914999999997</v>
      </c>
      <c r="V969" s="57">
        <f>(1000*CHOOSE(CONTROL!$C$42, 500, 500)*CHOOSE(CONTROL!$C$42, 0.275, 0.275)*CHOOSE(CONTROL!$C$42, 30, 30))/1000000</f>
        <v>4.125</v>
      </c>
      <c r="W969" s="57">
        <f>(1000*CHOOSE(CONTROL!$C$42, 0.1146, 0.1146)*CHOOSE(CONTROL!$C$42, 121.5, 121.5)*CHOOSE(CONTROL!$C$42, 30, 30))/1000000</f>
        <v>0.417717</v>
      </c>
      <c r="X969" s="57">
        <f>(30*0.1790888*245000/1000000)+(30*0.2374*100000/1000000)</f>
        <v>2.0285026799999999</v>
      </c>
      <c r="Y969" s="57"/>
      <c r="Z969" s="14"/>
      <c r="AA969" s="56"/>
      <c r="AB969" s="50">
        <f>(B969*194.205+C969*267.466+D969*133.845+E969*53.484+F969*40+G969*185+H969*0+I969*100+J969*300)/(194.205+267.466+133.845+53.484+0+40+185+100+300)</f>
        <v>98.955602424725285</v>
      </c>
      <c r="AC969" s="45">
        <f>(M969*'RAP TEMPLATE-GAS AVAILABILITY'!O968+N969*'RAP TEMPLATE-GAS AVAILABILITY'!P968+O969*'RAP TEMPLATE-GAS AVAILABILITY'!Q968+P969*'RAP TEMPLATE-GAS AVAILABILITY'!R968)/('RAP TEMPLATE-GAS AVAILABILITY'!O968+'RAP TEMPLATE-GAS AVAILABILITY'!P968+'RAP TEMPLATE-GAS AVAILABILITY'!Q968+'RAP TEMPLATE-GAS AVAILABILITY'!R968)</f>
        <v>97.022253237410069</v>
      </c>
    </row>
    <row r="970" spans="1:29" ht="15.75" x14ac:dyDescent="0.25">
      <c r="A970" s="32">
        <v>70433</v>
      </c>
      <c r="B970" s="14">
        <f>CHOOSE(CONTROL!$C$42, 96.8938, 96.8938) * CHOOSE(CONTROL!$C$21, $C$9, 100%, $E$9)</f>
        <v>96.893799999999999</v>
      </c>
      <c r="C970" s="14">
        <f>CHOOSE(CONTROL!$C$42, 96.8991, 96.8991) * CHOOSE(CONTROL!$C$21, $C$9, 100%, $E$9)</f>
        <v>96.899100000000004</v>
      </c>
      <c r="D970" s="14">
        <f>CHOOSE(CONTROL!$C$42, 97.108, 97.108) * CHOOSE(CONTROL!$C$21, $C$9, 100%, $E$9)</f>
        <v>97.108000000000004</v>
      </c>
      <c r="E970" s="14">
        <f>CHOOSE(CONTROL!$C$42, 97.1372, 97.1372) * CHOOSE(CONTROL!$C$21, $C$9, 100%, $E$9)</f>
        <v>97.137200000000007</v>
      </c>
      <c r="F970" s="14">
        <f>CHOOSE(CONTROL!$C$42, 96.8778, 96.8778)*CHOOSE(CONTROL!$C$21, $C$9, 100%, $E$9)</f>
        <v>96.877799999999993</v>
      </c>
      <c r="G970" s="14">
        <f>CHOOSE(CONTROL!$C$42, 96.8935, 96.8935)*CHOOSE(CONTROL!$C$21, $C$9, 100%, $E$9)</f>
        <v>96.893500000000003</v>
      </c>
      <c r="H970" s="14">
        <f>CHOOSE(CONTROL!$C$42, 97.1276, 97.1276) * CHOOSE(CONTROL!$C$21, $C$9, 100%, $E$9)</f>
        <v>97.127600000000001</v>
      </c>
      <c r="I970" s="14">
        <f>CHOOSE(CONTROL!$C$42, 97.2045, 97.2045)* CHOOSE(CONTROL!$C$21, $C$9, 100%, $E$9)</f>
        <v>97.204499999999996</v>
      </c>
      <c r="J970" s="14">
        <f>CHOOSE(CONTROL!$C$42, 96.8708, 96.8708)* CHOOSE(CONTROL!$C$21, $C$9, 100%, $E$9)</f>
        <v>96.870800000000003</v>
      </c>
      <c r="K970" s="53">
        <f>CHOOSE(CONTROL!$C$42, 97.2006, 97.2006) * CHOOSE(CONTROL!$C$21, $C$9, 100%, $E$9)</f>
        <v>97.200599999999994</v>
      </c>
      <c r="L970" s="14">
        <f>CHOOSE(CONTROL!$C$42, 97.7146, 97.7146) * CHOOSE(CONTROL!$C$21, $C$9, 100%, $E$9)</f>
        <v>97.714600000000004</v>
      </c>
      <c r="M970" s="14">
        <f>CHOOSE(CONTROL!$C$42, 94.8937, 94.8937) * CHOOSE(CONTROL!$C$21, $C$9, 100%, $E$9)</f>
        <v>94.893699999999995</v>
      </c>
      <c r="N970" s="14">
        <f>CHOOSE(CONTROL!$C$42, 94.909, 94.909) * CHOOSE(CONTROL!$C$21, $C$9, 100%, $E$9)</f>
        <v>94.909000000000006</v>
      </c>
      <c r="O970" s="14">
        <f>CHOOSE(CONTROL!$C$42, 95.1452, 95.1452) * CHOOSE(CONTROL!$C$21, $C$9, 100%, $E$9)</f>
        <v>95.145200000000003</v>
      </c>
      <c r="P970" s="14">
        <f>CHOOSE(CONTROL!$C$42, 95.2145, 95.2145) * CHOOSE(CONTROL!$C$21, $C$9, 100%, $E$9)</f>
        <v>95.214500000000001</v>
      </c>
      <c r="Q970" s="14">
        <f>CHOOSE(CONTROL!$C$42, 95.7399, 95.7399) * CHOOSE(CONTROL!$C$21, $C$9, 100%, $E$9)</f>
        <v>95.739900000000006</v>
      </c>
      <c r="R970" s="14">
        <f>CHOOSE(CONTROL!$C$42, 96.5663, 96.5663) * CHOOSE(CONTROL!$C$21, $C$9, 100%, $E$9)</f>
        <v>96.566299999999998</v>
      </c>
      <c r="S970" s="14">
        <f>CHOOSE(CONTROL!$C$42, 93.0963, 93.0963) * CHOOSE(CONTROL!$C$21, $C$9, 100%, $E$9)</f>
        <v>93.096299999999999</v>
      </c>
      <c r="T97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70" s="57">
        <f>(1000*CHOOSE(CONTROL!$C$42, 695, 695)*CHOOSE(CONTROL!$C$42, 0.5599, 0.5599)*CHOOSE(CONTROL!$C$42, 31, 31))/1000000</f>
        <v>12.063045499999998</v>
      </c>
      <c r="V970" s="57">
        <f>(1000*CHOOSE(CONTROL!$C$42, 500, 500)*CHOOSE(CONTROL!$C$42, 0.275, 0.275)*CHOOSE(CONTROL!$C$42, 31, 31))/1000000</f>
        <v>4.2625000000000002</v>
      </c>
      <c r="W970" s="57">
        <f>(1000*CHOOSE(CONTROL!$C$42, 0.1146, 0.1146)*CHOOSE(CONTROL!$C$42, 121.5, 121.5)*CHOOSE(CONTROL!$C$42, 31, 31))/1000000</f>
        <v>0.43164089999999994</v>
      </c>
      <c r="X970" s="57">
        <f>(31*0.1790888*245000/1000000)+(31*0.2374*100000/1000000)</f>
        <v>2.0961194359999999</v>
      </c>
      <c r="Y970" s="57"/>
      <c r="Z970" s="14"/>
      <c r="AA970" s="56"/>
      <c r="AB970" s="50">
        <f>(B970*131.881+C970*277.167+D970*79.08+E970*125.872+F970*40+G970*185+H970*0+I970*100+J970*300)/(131.881+277.167+79.08+125.872+0+40+185+100+300)</f>
        <v>96.952330803793387</v>
      </c>
      <c r="AC970" s="45">
        <f>(M970*'RAP TEMPLATE-GAS AVAILABILITY'!O969+N970*'RAP TEMPLATE-GAS AVAILABILITY'!P969+O970*'RAP TEMPLATE-GAS AVAILABILITY'!Q969+P970*'RAP TEMPLATE-GAS AVAILABILITY'!R969)/('RAP TEMPLATE-GAS AVAILABILITY'!O969+'RAP TEMPLATE-GAS AVAILABILITY'!P969+'RAP TEMPLATE-GAS AVAILABILITY'!Q969+'RAP TEMPLATE-GAS AVAILABILITY'!R969)</f>
        <v>95.054728057553945</v>
      </c>
    </row>
    <row r="971" spans="1:29" ht="15.75" x14ac:dyDescent="0.25">
      <c r="A971" s="32">
        <v>70463</v>
      </c>
      <c r="B971" s="14">
        <f>CHOOSE(CONTROL!$C$42, 99.4458, 99.4458) * CHOOSE(CONTROL!$C$21, $C$9, 100%, $E$9)</f>
        <v>99.445800000000006</v>
      </c>
      <c r="C971" s="14">
        <f>CHOOSE(CONTROL!$C$42, 99.4508, 99.4508) * CHOOSE(CONTROL!$C$21, $C$9, 100%, $E$9)</f>
        <v>99.450800000000001</v>
      </c>
      <c r="D971" s="14">
        <f>CHOOSE(CONTROL!$C$42, 99.5147, 99.5147) * CHOOSE(CONTROL!$C$21, $C$9, 100%, $E$9)</f>
        <v>99.514700000000005</v>
      </c>
      <c r="E971" s="14">
        <f>CHOOSE(CONTROL!$C$42, 99.5488, 99.5488) * CHOOSE(CONTROL!$C$21, $C$9, 100%, $E$9)</f>
        <v>99.5488</v>
      </c>
      <c r="F971" s="14">
        <f>CHOOSE(CONTROL!$C$42, 99.4482, 99.4482)*CHOOSE(CONTROL!$C$21, $C$9, 100%, $E$9)</f>
        <v>99.4482</v>
      </c>
      <c r="G971" s="14">
        <f>CHOOSE(CONTROL!$C$42, 99.4642, 99.4642)*CHOOSE(CONTROL!$C$21, $C$9, 100%, $E$9)</f>
        <v>99.464200000000005</v>
      </c>
      <c r="H971" s="14">
        <f>CHOOSE(CONTROL!$C$42, 99.538, 99.538) * CHOOSE(CONTROL!$C$21, $C$9, 100%, $E$9)</f>
        <v>99.537999999999997</v>
      </c>
      <c r="I971" s="14">
        <f>CHOOSE(CONTROL!$C$42, 99.7701, 99.7701)* CHOOSE(CONTROL!$C$21, $C$9, 100%, $E$9)</f>
        <v>99.770099999999999</v>
      </c>
      <c r="J971" s="14">
        <f>CHOOSE(CONTROL!$C$42, 99.4412, 99.4412)* CHOOSE(CONTROL!$C$21, $C$9, 100%, $E$9)</f>
        <v>99.441199999999995</v>
      </c>
      <c r="K971" s="53">
        <f>CHOOSE(CONTROL!$C$42, 99.7662, 99.7662) * CHOOSE(CONTROL!$C$21, $C$9, 100%, $E$9)</f>
        <v>99.766199999999998</v>
      </c>
      <c r="L971" s="14">
        <f>CHOOSE(CONTROL!$C$42, 100.125, 100.125) * CHOOSE(CONTROL!$C$21, $C$9, 100%, $E$9)</f>
        <v>100.125</v>
      </c>
      <c r="M971" s="14">
        <f>CHOOSE(CONTROL!$C$42, 97.4114, 97.4114) * CHOOSE(CONTROL!$C$21, $C$9, 100%, $E$9)</f>
        <v>97.4114</v>
      </c>
      <c r="N971" s="14">
        <f>CHOOSE(CONTROL!$C$42, 97.4271, 97.4271) * CHOOSE(CONTROL!$C$21, $C$9, 100%, $E$9)</f>
        <v>97.427099999999996</v>
      </c>
      <c r="O971" s="14">
        <f>CHOOSE(CONTROL!$C$42, 97.5062, 97.5062) * CHOOSE(CONTROL!$C$21, $C$9, 100%, $E$9)</f>
        <v>97.506200000000007</v>
      </c>
      <c r="P971" s="14">
        <f>CHOOSE(CONTROL!$C$42, 97.7274, 97.7274) * CHOOSE(CONTROL!$C$21, $C$9, 100%, $E$9)</f>
        <v>97.727400000000003</v>
      </c>
      <c r="Q971" s="14">
        <f>CHOOSE(CONTROL!$C$42, 98.1009, 98.1009) * CHOOSE(CONTROL!$C$21, $C$9, 100%, $E$9)</f>
        <v>98.100899999999996</v>
      </c>
      <c r="R971" s="14">
        <f>CHOOSE(CONTROL!$C$42, 98.9331, 98.9331) * CHOOSE(CONTROL!$C$21, $C$9, 100%, $E$9)</f>
        <v>98.933099999999996</v>
      </c>
      <c r="S971" s="14">
        <f>CHOOSE(CONTROL!$C$42, 95.5489, 95.5489) * CHOOSE(CONTROL!$C$21, $C$9, 100%, $E$9)</f>
        <v>95.548900000000003</v>
      </c>
      <c r="T97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71" s="57">
        <f>(1000*CHOOSE(CONTROL!$C$42, 695, 695)*CHOOSE(CONTROL!$C$42, 0.5599, 0.5599)*CHOOSE(CONTROL!$C$42, 30, 30))/1000000</f>
        <v>11.673914999999997</v>
      </c>
      <c r="V971" s="57">
        <f>(1000*CHOOSE(CONTROL!$C$42, 500, 500)*CHOOSE(CONTROL!$C$42, 0.275, 0.275)*CHOOSE(CONTROL!$C$42, 30, 30))/1000000</f>
        <v>4.125</v>
      </c>
      <c r="W971" s="57">
        <f>(1000*CHOOSE(CONTROL!$C$42, 0.1146, 0.1146)*CHOOSE(CONTROL!$C$42, 121.5, 121.5)*CHOOSE(CONTROL!$C$42, 30, 30))/1000000</f>
        <v>0.417717</v>
      </c>
      <c r="X971" s="57">
        <f>(30*0.1790888*100000/1000000)+(30*0.2374*100000/1000000)</f>
        <v>1.2494664</v>
      </c>
      <c r="Y971" s="57"/>
      <c r="Z971" s="14"/>
      <c r="AA971" s="56"/>
      <c r="AB971" s="50">
        <f>(B971*122.58+C971*297.941+D971*89.177+E971*40.302+F971*40+G971*160+H971*0+I971*100+J971*300)/(122.58+297.941+89.177+40.302+0+40+160+100+300)</f>
        <v>99.485691396782599</v>
      </c>
      <c r="AC971" s="45">
        <f>(M971*'RAP TEMPLATE-GAS AVAILABILITY'!O970+N971*'RAP TEMPLATE-GAS AVAILABILITY'!P970+O971*'RAP TEMPLATE-GAS AVAILABILITY'!Q970+P971*'RAP TEMPLATE-GAS AVAILABILITY'!R970)/('RAP TEMPLATE-GAS AVAILABILITY'!O970+'RAP TEMPLATE-GAS AVAILABILITY'!P970+'RAP TEMPLATE-GAS AVAILABILITY'!Q970+'RAP TEMPLATE-GAS AVAILABILITY'!R970)</f>
        <v>97.500738129496412</v>
      </c>
    </row>
    <row r="972" spans="1:29" ht="15.75" x14ac:dyDescent="0.25">
      <c r="A972" s="32">
        <v>70494</v>
      </c>
      <c r="B972" s="14">
        <f>CHOOSE(CONTROL!$C$42, 106.2253, 106.2253) * CHOOSE(CONTROL!$C$21, $C$9, 100%, $E$9)</f>
        <v>106.2253</v>
      </c>
      <c r="C972" s="14">
        <f>CHOOSE(CONTROL!$C$42, 106.2304, 106.2304) * CHOOSE(CONTROL!$C$21, $C$9, 100%, $E$9)</f>
        <v>106.2304</v>
      </c>
      <c r="D972" s="14">
        <f>CHOOSE(CONTROL!$C$42, 106.2942, 106.2942) * CHOOSE(CONTROL!$C$21, $C$9, 100%, $E$9)</f>
        <v>106.2942</v>
      </c>
      <c r="E972" s="14">
        <f>CHOOSE(CONTROL!$C$42, 106.3283, 106.3283) * CHOOSE(CONTROL!$C$21, $C$9, 100%, $E$9)</f>
        <v>106.3283</v>
      </c>
      <c r="F972" s="14">
        <f>CHOOSE(CONTROL!$C$42, 106.2299, 106.2299)*CHOOSE(CONTROL!$C$21, $C$9, 100%, $E$9)</f>
        <v>106.2299</v>
      </c>
      <c r="G972" s="14">
        <f>CHOOSE(CONTROL!$C$42, 106.2465, 106.2465)*CHOOSE(CONTROL!$C$21, $C$9, 100%, $E$9)</f>
        <v>106.2465</v>
      </c>
      <c r="H972" s="14">
        <f>CHOOSE(CONTROL!$C$42, 106.3175, 106.3175) * CHOOSE(CONTROL!$C$21, $C$9, 100%, $E$9)</f>
        <v>106.3175</v>
      </c>
      <c r="I972" s="14">
        <f>CHOOSE(CONTROL!$C$42, 106.5708, 106.5708)* CHOOSE(CONTROL!$C$21, $C$9, 100%, $E$9)</f>
        <v>106.57080000000001</v>
      </c>
      <c r="J972" s="14">
        <f>CHOOSE(CONTROL!$C$42, 106.2229, 106.2229)* CHOOSE(CONTROL!$C$21, $C$9, 100%, $E$9)</f>
        <v>106.2229</v>
      </c>
      <c r="K972" s="53">
        <f>CHOOSE(CONTROL!$C$42, 106.5669, 106.5669) * CHOOSE(CONTROL!$C$21, $C$9, 100%, $E$9)</f>
        <v>106.5669</v>
      </c>
      <c r="L972" s="14">
        <f>CHOOSE(CONTROL!$C$42, 106.9045, 106.9045) * CHOOSE(CONTROL!$C$21, $C$9, 100%, $E$9)</f>
        <v>106.9045</v>
      </c>
      <c r="M972" s="14">
        <f>CHOOSE(CONTROL!$C$42, 104.0542, 104.0542) * CHOOSE(CONTROL!$C$21, $C$9, 100%, $E$9)</f>
        <v>104.05419999999999</v>
      </c>
      <c r="N972" s="14">
        <f>CHOOSE(CONTROL!$C$42, 104.0705, 104.0705) * CHOOSE(CONTROL!$C$21, $C$9, 100%, $E$9)</f>
        <v>104.0705</v>
      </c>
      <c r="O972" s="14">
        <f>CHOOSE(CONTROL!$C$42, 104.1468, 104.1468) * CHOOSE(CONTROL!$C$21, $C$9, 100%, $E$9)</f>
        <v>104.1468</v>
      </c>
      <c r="P972" s="14">
        <f>CHOOSE(CONTROL!$C$42, 104.3883, 104.3883) * CHOOSE(CONTROL!$C$21, $C$9, 100%, $E$9)</f>
        <v>104.3883</v>
      </c>
      <c r="Q972" s="14">
        <f>CHOOSE(CONTROL!$C$42, 104.7415, 104.7415) * CHOOSE(CONTROL!$C$21, $C$9, 100%, $E$9)</f>
        <v>104.7415</v>
      </c>
      <c r="R972" s="14">
        <f>CHOOSE(CONTROL!$C$42, 105.5903, 105.5903) * CHOOSE(CONTROL!$C$21, $C$9, 100%, $E$9)</f>
        <v>105.5903</v>
      </c>
      <c r="S972" s="14">
        <f>CHOOSE(CONTROL!$C$42, 102.0633, 102.0633) * CHOOSE(CONTROL!$C$21, $C$9, 100%, $E$9)</f>
        <v>102.0633</v>
      </c>
      <c r="T97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72" s="57">
        <f>(1000*CHOOSE(CONTROL!$C$42, 695, 695)*CHOOSE(CONTROL!$C$42, 0.5599, 0.5599)*CHOOSE(CONTROL!$C$42, 31, 31))/1000000</f>
        <v>12.063045499999998</v>
      </c>
      <c r="V972" s="57">
        <f>(1000*CHOOSE(CONTROL!$C$42, 500, 500)*CHOOSE(CONTROL!$C$42, 0.275, 0.275)*CHOOSE(CONTROL!$C$42, 31, 31))/1000000</f>
        <v>4.2625000000000002</v>
      </c>
      <c r="W972" s="57">
        <f>(1000*CHOOSE(CONTROL!$C$42, 0.1146, 0.1146)*CHOOSE(CONTROL!$C$42, 121.5, 121.5)*CHOOSE(CONTROL!$C$42, 31, 31))/1000000</f>
        <v>0.43164089999999994</v>
      </c>
      <c r="X972" s="57">
        <f>(31*0.1790888*100000/1000000)+(31*0.2374*100000/1000000)</f>
        <v>1.2911152800000001</v>
      </c>
      <c r="Y972" s="57"/>
      <c r="Z972" s="14"/>
      <c r="AA972" s="56"/>
      <c r="AB972" s="50">
        <f>(B972*122.58+C972*297.941+D972*89.177+E972*40.302+F972*40+G972*160+H972*0+I972*100+J972*300)/(122.58+297.941+89.177+40.302+0+40+160+100+300)</f>
        <v>106.26810078295651</v>
      </c>
      <c r="AC972" s="45">
        <f>(M972*'RAP TEMPLATE-GAS AVAILABILITY'!O971+N972*'RAP TEMPLATE-GAS AVAILABILITY'!P971+O972*'RAP TEMPLATE-GAS AVAILABILITY'!Q971+P972*'RAP TEMPLATE-GAS AVAILABILITY'!R971)/('RAP TEMPLATE-GAS AVAILABILITY'!O971+'RAP TEMPLATE-GAS AVAILABILITY'!P971+'RAP TEMPLATE-GAS AVAILABILITY'!Q971+'RAP TEMPLATE-GAS AVAILABILITY'!R971)</f>
        <v>104.14517985611511</v>
      </c>
    </row>
    <row r="973" spans="1:29" ht="15.75" x14ac:dyDescent="0.25">
      <c r="A973" s="32">
        <v>70525</v>
      </c>
      <c r="B973" s="14">
        <f>CHOOSE(CONTROL!$C$42, 114.9258, 114.9258) * CHOOSE(CONTROL!$C$21, $C$9, 100%, $E$9)</f>
        <v>114.9258</v>
      </c>
      <c r="C973" s="14">
        <f>CHOOSE(CONTROL!$C$42, 114.9309, 114.9309) * CHOOSE(CONTROL!$C$21, $C$9, 100%, $E$9)</f>
        <v>114.93089999999999</v>
      </c>
      <c r="D973" s="14">
        <f>CHOOSE(CONTROL!$C$42, 114.9973, 114.9973) * CHOOSE(CONTROL!$C$21, $C$9, 100%, $E$9)</f>
        <v>114.9973</v>
      </c>
      <c r="E973" s="14">
        <f>CHOOSE(CONTROL!$C$42, 115.0314, 115.0314) * CHOOSE(CONTROL!$C$21, $C$9, 100%, $E$9)</f>
        <v>115.0314</v>
      </c>
      <c r="F973" s="14">
        <f>CHOOSE(CONTROL!$C$42, 114.9132, 114.9132)*CHOOSE(CONTROL!$C$21, $C$9, 100%, $E$9)</f>
        <v>114.9132</v>
      </c>
      <c r="G973" s="14">
        <f>CHOOSE(CONTROL!$C$42, 114.9286, 114.9286)*CHOOSE(CONTROL!$C$21, $C$9, 100%, $E$9)</f>
        <v>114.9286</v>
      </c>
      <c r="H973" s="14">
        <f>CHOOSE(CONTROL!$C$42, 115.0206, 115.0206) * CHOOSE(CONTROL!$C$21, $C$9, 100%, $E$9)</f>
        <v>115.0206</v>
      </c>
      <c r="I973" s="14">
        <f>CHOOSE(CONTROL!$C$42, 115.2934, 115.2934)* CHOOSE(CONTROL!$C$21, $C$9, 100%, $E$9)</f>
        <v>115.29340000000001</v>
      </c>
      <c r="J973" s="14">
        <f>CHOOSE(CONTROL!$C$42, 114.9062, 114.9062)* CHOOSE(CONTROL!$C$21, $C$9, 100%, $E$9)</f>
        <v>114.9062</v>
      </c>
      <c r="K973" s="53">
        <f>CHOOSE(CONTROL!$C$42, 115.2895, 115.2895) * CHOOSE(CONTROL!$C$21, $C$9, 100%, $E$9)</f>
        <v>115.2895</v>
      </c>
      <c r="L973" s="14">
        <f>CHOOSE(CONTROL!$C$42, 115.6076, 115.6076) * CHOOSE(CONTROL!$C$21, $C$9, 100%, $E$9)</f>
        <v>115.60760000000001</v>
      </c>
      <c r="M973" s="14">
        <f>CHOOSE(CONTROL!$C$42, 112.5595, 112.5595) * CHOOSE(CONTROL!$C$21, $C$9, 100%, $E$9)</f>
        <v>112.5595</v>
      </c>
      <c r="N973" s="14">
        <f>CHOOSE(CONTROL!$C$42, 112.5747, 112.5747) * CHOOSE(CONTROL!$C$21, $C$9, 100%, $E$9)</f>
        <v>112.57470000000001</v>
      </c>
      <c r="O973" s="14">
        <f>CHOOSE(CONTROL!$C$42, 112.6716, 112.6716) * CHOOSE(CONTROL!$C$21, $C$9, 100%, $E$9)</f>
        <v>112.6716</v>
      </c>
      <c r="P973" s="14">
        <f>CHOOSE(CONTROL!$C$42, 112.9316, 112.9316) * CHOOSE(CONTROL!$C$21, $C$9, 100%, $E$9)</f>
        <v>112.9316</v>
      </c>
      <c r="Q973" s="14">
        <f>CHOOSE(CONTROL!$C$42, 113.2663, 113.2663) * CHOOSE(CONTROL!$C$21, $C$9, 100%, $E$9)</f>
        <v>113.2663</v>
      </c>
      <c r="R973" s="14">
        <f>CHOOSE(CONTROL!$C$42, 114.1365, 114.1365) * CHOOSE(CONTROL!$C$21, $C$9, 100%, $E$9)</f>
        <v>114.1365</v>
      </c>
      <c r="S973" s="14">
        <f>CHOOSE(CONTROL!$C$42, 110.4237, 110.4237) * CHOOSE(CONTROL!$C$21, $C$9, 100%, $E$9)</f>
        <v>110.4237</v>
      </c>
      <c r="T97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73" s="57">
        <f>(1000*CHOOSE(CONTROL!$C$42, 695, 695)*CHOOSE(CONTROL!$C$42, 0.5599, 0.5599)*CHOOSE(CONTROL!$C$42, 31, 31))/1000000</f>
        <v>12.063045499999998</v>
      </c>
      <c r="V973" s="57">
        <f>(1000*CHOOSE(CONTROL!$C$42, 500, 500)*CHOOSE(CONTROL!$C$42, 0.275, 0.275)*CHOOSE(CONTROL!$C$42, 31, 31))/1000000</f>
        <v>4.2625000000000002</v>
      </c>
      <c r="W973" s="57">
        <f>(1000*CHOOSE(CONTROL!$C$42, 0.1146, 0.1146)*CHOOSE(CONTROL!$C$42, 121.5, 121.5)*CHOOSE(CONTROL!$C$42, 31, 31))/1000000</f>
        <v>0.43164089999999994</v>
      </c>
      <c r="X973" s="57">
        <f>(31*0.1790888*100000/1000000)+(31*0.2374*100000/1000000)</f>
        <v>1.2911152800000001</v>
      </c>
      <c r="Y973" s="57"/>
      <c r="Z973" s="14"/>
      <c r="AA973" s="56"/>
      <c r="AB973" s="50">
        <f>(B973*122.58+C973*297.941+D973*89.177+E973*40.302+F973*40+G973*160+H973*0+I973*100+J973*300)/(122.58+297.941+89.177+40.302+0+40+160+100+300)</f>
        <v>114.96317003982607</v>
      </c>
      <c r="AC973" s="45">
        <f>(M973*'RAP TEMPLATE-GAS AVAILABILITY'!O972+N973*'RAP TEMPLATE-GAS AVAILABILITY'!P972+O973*'RAP TEMPLATE-GAS AVAILABILITY'!Q972+P973*'RAP TEMPLATE-GAS AVAILABILITY'!R972)/('RAP TEMPLATE-GAS AVAILABILITY'!O972+'RAP TEMPLATE-GAS AVAILABILITY'!P972+'RAP TEMPLATE-GAS AVAILABILITY'!Q972+'RAP TEMPLATE-GAS AVAILABILITY'!R972)</f>
        <v>112.66472230215828</v>
      </c>
    </row>
    <row r="974" spans="1:29" ht="15.75" x14ac:dyDescent="0.25">
      <c r="A974" s="32">
        <v>70553</v>
      </c>
      <c r="B974" s="14">
        <f>CHOOSE(CONTROL!$C$42, 116.9715, 116.9715) * CHOOSE(CONTROL!$C$21, $C$9, 100%, $E$9)</f>
        <v>116.97150000000001</v>
      </c>
      <c r="C974" s="14">
        <f>CHOOSE(CONTROL!$C$42, 116.9766, 116.9766) * CHOOSE(CONTROL!$C$21, $C$9, 100%, $E$9)</f>
        <v>116.9766</v>
      </c>
      <c r="D974" s="14">
        <f>CHOOSE(CONTROL!$C$42, 117.043, 117.043) * CHOOSE(CONTROL!$C$21, $C$9, 100%, $E$9)</f>
        <v>117.04300000000001</v>
      </c>
      <c r="E974" s="14">
        <f>CHOOSE(CONTROL!$C$42, 117.0771, 117.0771) * CHOOSE(CONTROL!$C$21, $C$9, 100%, $E$9)</f>
        <v>117.0771</v>
      </c>
      <c r="F974" s="14">
        <f>CHOOSE(CONTROL!$C$42, 116.9589, 116.9589)*CHOOSE(CONTROL!$C$21, $C$9, 100%, $E$9)</f>
        <v>116.9589</v>
      </c>
      <c r="G974" s="14">
        <f>CHOOSE(CONTROL!$C$42, 116.9744, 116.9744)*CHOOSE(CONTROL!$C$21, $C$9, 100%, $E$9)</f>
        <v>116.9744</v>
      </c>
      <c r="H974" s="14">
        <f>CHOOSE(CONTROL!$C$42, 117.0663, 117.0663) * CHOOSE(CONTROL!$C$21, $C$9, 100%, $E$9)</f>
        <v>117.0663</v>
      </c>
      <c r="I974" s="14">
        <f>CHOOSE(CONTROL!$C$42, 117.3455, 117.3455)* CHOOSE(CONTROL!$C$21, $C$9, 100%, $E$9)</f>
        <v>117.3455</v>
      </c>
      <c r="J974" s="14">
        <f>CHOOSE(CONTROL!$C$42, 116.9519, 116.9519)* CHOOSE(CONTROL!$C$21, $C$9, 100%, $E$9)</f>
        <v>116.95189999999999</v>
      </c>
      <c r="K974" s="53">
        <f>CHOOSE(CONTROL!$C$42, 117.3416, 117.3416) * CHOOSE(CONTROL!$C$21, $C$9, 100%, $E$9)</f>
        <v>117.3416</v>
      </c>
      <c r="L974" s="14">
        <f>CHOOSE(CONTROL!$C$42, 117.6533, 117.6533) * CHOOSE(CONTROL!$C$21, $C$9, 100%, $E$9)</f>
        <v>117.6533</v>
      </c>
      <c r="M974" s="14">
        <f>CHOOSE(CONTROL!$C$42, 114.5634, 114.5634) * CHOOSE(CONTROL!$C$21, $C$9, 100%, $E$9)</f>
        <v>114.5634</v>
      </c>
      <c r="N974" s="14">
        <f>CHOOSE(CONTROL!$C$42, 114.5785, 114.5785) * CHOOSE(CONTROL!$C$21, $C$9, 100%, $E$9)</f>
        <v>114.57850000000001</v>
      </c>
      <c r="O974" s="14">
        <f>CHOOSE(CONTROL!$C$42, 114.6754, 114.6754) * CHOOSE(CONTROL!$C$21, $C$9, 100%, $E$9)</f>
        <v>114.6754</v>
      </c>
      <c r="P974" s="14">
        <f>CHOOSE(CONTROL!$C$42, 114.9416, 114.9416) * CHOOSE(CONTROL!$C$21, $C$9, 100%, $E$9)</f>
        <v>114.94159999999999</v>
      </c>
      <c r="Q974" s="14">
        <f>CHOOSE(CONTROL!$C$42, 115.2701, 115.2701) * CHOOSE(CONTROL!$C$21, $C$9, 100%, $E$9)</f>
        <v>115.2701</v>
      </c>
      <c r="R974" s="14">
        <f>CHOOSE(CONTROL!$C$42, 116.1453, 116.1453) * CHOOSE(CONTROL!$C$21, $C$9, 100%, $E$9)</f>
        <v>116.14530000000001</v>
      </c>
      <c r="S974" s="14">
        <f>CHOOSE(CONTROL!$C$42, 112.3894, 112.3894) * CHOOSE(CONTROL!$C$21, $C$9, 100%, $E$9)</f>
        <v>112.38939999999999</v>
      </c>
      <c r="T97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74" s="57">
        <f>(1000*CHOOSE(CONTROL!$C$42, 695, 695)*CHOOSE(CONTROL!$C$42, 0.5599, 0.5599)*CHOOSE(CONTROL!$C$42, 28, 28))/1000000</f>
        <v>10.895653999999999</v>
      </c>
      <c r="V974" s="57">
        <f>(1000*CHOOSE(CONTROL!$C$42, 500, 500)*CHOOSE(CONTROL!$C$42, 0.275, 0.275)*CHOOSE(CONTROL!$C$42, 28, 28))/1000000</f>
        <v>3.85</v>
      </c>
      <c r="W974" s="57">
        <f>(1000*CHOOSE(CONTROL!$C$42, 0.1146, 0.1146)*CHOOSE(CONTROL!$C$42, 121.5, 121.5)*CHOOSE(CONTROL!$C$42, 28, 28))/1000000</f>
        <v>0.38986920000000003</v>
      </c>
      <c r="X974" s="57">
        <f>(28*0.1790888*100000/1000000)+(28*0.2374*100000/1000000)</f>
        <v>1.16616864</v>
      </c>
      <c r="Y974" s="57"/>
      <c r="Z974" s="14"/>
      <c r="AA974" s="56"/>
      <c r="AB974" s="50">
        <f>(B974*122.58+C974*297.941+D974*89.177+E974*40.302+F974*40+G974*160+H974*0+I974*100+J974*300)/(122.58+297.941+89.177+40.302+0+40+160+100+300)</f>
        <v>117.0094404746087</v>
      </c>
      <c r="AC974" s="45">
        <f>(M974*'RAP TEMPLATE-GAS AVAILABILITY'!O973+N974*'RAP TEMPLATE-GAS AVAILABILITY'!P973+O974*'RAP TEMPLATE-GAS AVAILABILITY'!Q973+P974*'RAP TEMPLATE-GAS AVAILABILITY'!R973)/('RAP TEMPLATE-GAS AVAILABILITY'!O973+'RAP TEMPLATE-GAS AVAILABILITY'!P973+'RAP TEMPLATE-GAS AVAILABILITY'!Q973+'RAP TEMPLATE-GAS AVAILABILITY'!R973)</f>
        <v>114.6694489208633</v>
      </c>
    </row>
    <row r="975" spans="1:29" ht="15.75" x14ac:dyDescent="0.25">
      <c r="A975" s="32">
        <v>70584</v>
      </c>
      <c r="B975" s="14">
        <f>CHOOSE(CONTROL!$C$42, 113.6509, 113.6509) * CHOOSE(CONTROL!$C$21, $C$9, 100%, $E$9)</f>
        <v>113.65089999999999</v>
      </c>
      <c r="C975" s="14">
        <f>CHOOSE(CONTROL!$C$42, 113.656, 113.656) * CHOOSE(CONTROL!$C$21, $C$9, 100%, $E$9)</f>
        <v>113.65600000000001</v>
      </c>
      <c r="D975" s="14">
        <f>CHOOSE(CONTROL!$C$42, 113.7224, 113.7224) * CHOOSE(CONTROL!$C$21, $C$9, 100%, $E$9)</f>
        <v>113.72239999999999</v>
      </c>
      <c r="E975" s="14">
        <f>CHOOSE(CONTROL!$C$42, 113.7565, 113.7565) * CHOOSE(CONTROL!$C$21, $C$9, 100%, $E$9)</f>
        <v>113.7565</v>
      </c>
      <c r="F975" s="14">
        <f>CHOOSE(CONTROL!$C$42, 113.6379, 113.6379)*CHOOSE(CONTROL!$C$21, $C$9, 100%, $E$9)</f>
        <v>113.6379</v>
      </c>
      <c r="G975" s="14">
        <f>CHOOSE(CONTROL!$C$42, 113.6533, 113.6533)*CHOOSE(CONTROL!$C$21, $C$9, 100%, $E$9)</f>
        <v>113.6533</v>
      </c>
      <c r="H975" s="14">
        <f>CHOOSE(CONTROL!$C$42, 113.7457, 113.7457) * CHOOSE(CONTROL!$C$21, $C$9, 100%, $E$9)</f>
        <v>113.7457</v>
      </c>
      <c r="I975" s="14">
        <f>CHOOSE(CONTROL!$C$42, 114.0145, 114.0145)* CHOOSE(CONTROL!$C$21, $C$9, 100%, $E$9)</f>
        <v>114.0145</v>
      </c>
      <c r="J975" s="14">
        <f>CHOOSE(CONTROL!$C$42, 113.6309, 113.6309)* CHOOSE(CONTROL!$C$21, $C$9, 100%, $E$9)</f>
        <v>113.6309</v>
      </c>
      <c r="K975" s="53">
        <f>CHOOSE(CONTROL!$C$42, 114.0106, 114.0106) * CHOOSE(CONTROL!$C$21, $C$9, 100%, $E$9)</f>
        <v>114.0106</v>
      </c>
      <c r="L975" s="14">
        <f>CHOOSE(CONTROL!$C$42, 114.3327, 114.3327) * CHOOSE(CONTROL!$C$21, $C$9, 100%, $E$9)</f>
        <v>114.3327</v>
      </c>
      <c r="M975" s="14">
        <f>CHOOSE(CONTROL!$C$42, 111.3104, 111.3104) * CHOOSE(CONTROL!$C$21, $C$9, 100%, $E$9)</f>
        <v>111.3104</v>
      </c>
      <c r="N975" s="14">
        <f>CHOOSE(CONTROL!$C$42, 111.3254, 111.3254) * CHOOSE(CONTROL!$C$21, $C$9, 100%, $E$9)</f>
        <v>111.3254</v>
      </c>
      <c r="O975" s="14">
        <f>CHOOSE(CONTROL!$C$42, 111.4228, 111.4228) * CHOOSE(CONTROL!$C$21, $C$9, 100%, $E$9)</f>
        <v>111.4228</v>
      </c>
      <c r="P975" s="14">
        <f>CHOOSE(CONTROL!$C$42, 111.679, 111.679) * CHOOSE(CONTROL!$C$21, $C$9, 100%, $E$9)</f>
        <v>111.679</v>
      </c>
      <c r="Q975" s="14">
        <f>CHOOSE(CONTROL!$C$42, 112.0175, 112.0175) * CHOOSE(CONTROL!$C$21, $C$9, 100%, $E$9)</f>
        <v>112.0175</v>
      </c>
      <c r="R975" s="14">
        <f>CHOOSE(CONTROL!$C$42, 112.8845, 112.8845) * CHOOSE(CONTROL!$C$21, $C$9, 100%, $E$9)</f>
        <v>112.8845</v>
      </c>
      <c r="S975" s="14">
        <f>CHOOSE(CONTROL!$C$42, 109.1986, 109.1986) * CHOOSE(CONTROL!$C$21, $C$9, 100%, $E$9)</f>
        <v>109.1986</v>
      </c>
      <c r="T97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75" s="57">
        <f>(1000*CHOOSE(CONTROL!$C$42, 695, 695)*CHOOSE(CONTROL!$C$42, 0.5599, 0.5599)*CHOOSE(CONTROL!$C$42, 31, 31))/1000000</f>
        <v>12.063045499999998</v>
      </c>
      <c r="V975" s="57">
        <f>(1000*CHOOSE(CONTROL!$C$42, 500, 500)*CHOOSE(CONTROL!$C$42, 0.275, 0.275)*CHOOSE(CONTROL!$C$42, 31, 31))/1000000</f>
        <v>4.2625000000000002</v>
      </c>
      <c r="W975" s="57">
        <f>(1000*CHOOSE(CONTROL!$C$42, 0.1146, 0.1146)*CHOOSE(CONTROL!$C$42, 121.5, 121.5)*CHOOSE(CONTROL!$C$42, 31, 31))/1000000</f>
        <v>0.43164089999999994</v>
      </c>
      <c r="X975" s="57">
        <f>(31*0.1790888*100000/1000000)+(31*0.2374*100000/1000000)</f>
        <v>1.2911152800000001</v>
      </c>
      <c r="Y975" s="57"/>
      <c r="Z975" s="14"/>
      <c r="AA975" s="56"/>
      <c r="AB975" s="50">
        <f>(B975*122.58+C975*297.941+D975*89.177+E975*40.302+F975*40+G975*160+H975*0+I975*100+J975*300)/(122.58+297.941+89.177+40.302+0+40+160+100+300)</f>
        <v>113.68774830069565</v>
      </c>
      <c r="AC975" s="45">
        <f>(M975*'RAP TEMPLATE-GAS AVAILABILITY'!O974+N975*'RAP TEMPLATE-GAS AVAILABILITY'!P974+O975*'RAP TEMPLATE-GAS AVAILABILITY'!Q974+P975*'RAP TEMPLATE-GAS AVAILABILITY'!R974)/('RAP TEMPLATE-GAS AVAILABILITY'!O974+'RAP TEMPLATE-GAS AVAILABILITY'!P974+'RAP TEMPLATE-GAS AVAILABILITY'!Q974+'RAP TEMPLATE-GAS AVAILABILITY'!R974)</f>
        <v>111.41524316546761</v>
      </c>
    </row>
    <row r="976" spans="1:29" ht="15.75" x14ac:dyDescent="0.25">
      <c r="A976" s="32">
        <v>70614</v>
      </c>
      <c r="B976" s="14">
        <f>CHOOSE(CONTROL!$C$42, 113.3118, 113.3118) * CHOOSE(CONTROL!$C$21, $C$9, 100%, $E$9)</f>
        <v>113.31180000000001</v>
      </c>
      <c r="C976" s="14">
        <f>CHOOSE(CONTROL!$C$42, 113.3163, 113.3163) * CHOOSE(CONTROL!$C$21, $C$9, 100%, $E$9)</f>
        <v>113.3163</v>
      </c>
      <c r="D976" s="14">
        <f>CHOOSE(CONTROL!$C$42, 113.5234, 113.5234) * CHOOSE(CONTROL!$C$21, $C$9, 100%, $E$9)</f>
        <v>113.5234</v>
      </c>
      <c r="E976" s="14">
        <f>CHOOSE(CONTROL!$C$42, 113.5555, 113.5555) * CHOOSE(CONTROL!$C$21, $C$9, 100%, $E$9)</f>
        <v>113.55549999999999</v>
      </c>
      <c r="F976" s="14">
        <f>CHOOSE(CONTROL!$C$42, 113.2937, 113.2937)*CHOOSE(CONTROL!$C$21, $C$9, 100%, $E$9)</f>
        <v>113.2937</v>
      </c>
      <c r="G976" s="14">
        <f>CHOOSE(CONTROL!$C$42, 113.3089, 113.3089)*CHOOSE(CONTROL!$C$21, $C$9, 100%, $E$9)</f>
        <v>113.30889999999999</v>
      </c>
      <c r="H976" s="14">
        <f>CHOOSE(CONTROL!$C$42, 113.5453, 113.5453) * CHOOSE(CONTROL!$C$21, $C$9, 100%, $E$9)</f>
        <v>113.5453</v>
      </c>
      <c r="I976" s="14">
        <f>CHOOSE(CONTROL!$C$42, 113.6735, 113.6735)* CHOOSE(CONTROL!$C$21, $C$9, 100%, $E$9)</f>
        <v>113.6735</v>
      </c>
      <c r="J976" s="14">
        <f>CHOOSE(CONTROL!$C$42, 113.2867, 113.2867)* CHOOSE(CONTROL!$C$21, $C$9, 100%, $E$9)</f>
        <v>113.2867</v>
      </c>
      <c r="K976" s="53">
        <f>CHOOSE(CONTROL!$C$42, 113.6696, 113.6696) * CHOOSE(CONTROL!$C$21, $C$9, 100%, $E$9)</f>
        <v>113.6696</v>
      </c>
      <c r="L976" s="14">
        <f>CHOOSE(CONTROL!$C$42, 114.1323, 114.1323) * CHOOSE(CONTROL!$C$21, $C$9, 100%, $E$9)</f>
        <v>114.1323</v>
      </c>
      <c r="M976" s="14">
        <f>CHOOSE(CONTROL!$C$42, 110.9732, 110.9732) * CHOOSE(CONTROL!$C$21, $C$9, 100%, $E$9)</f>
        <v>110.97320000000001</v>
      </c>
      <c r="N976" s="14">
        <f>CHOOSE(CONTROL!$C$42, 110.9881, 110.9881) * CHOOSE(CONTROL!$C$21, $C$9, 100%, $E$9)</f>
        <v>110.9881</v>
      </c>
      <c r="O976" s="14">
        <f>CHOOSE(CONTROL!$C$42, 111.2265, 111.2265) * CHOOSE(CONTROL!$C$21, $C$9, 100%, $E$9)</f>
        <v>111.2265</v>
      </c>
      <c r="P976" s="14">
        <f>CHOOSE(CONTROL!$C$42, 111.3451, 111.3451) * CHOOSE(CONTROL!$C$21, $C$9, 100%, $E$9)</f>
        <v>111.3451</v>
      </c>
      <c r="Q976" s="14">
        <f>CHOOSE(CONTROL!$C$42, 111.8212, 111.8212) * CHOOSE(CONTROL!$C$21, $C$9, 100%, $E$9)</f>
        <v>111.8212</v>
      </c>
      <c r="R976" s="14">
        <f>CHOOSE(CONTROL!$C$42, 112.6877, 112.6877) * CHOOSE(CONTROL!$C$21, $C$9, 100%, $E$9)</f>
        <v>112.68770000000001</v>
      </c>
      <c r="S976" s="14">
        <f>CHOOSE(CONTROL!$C$42, 108.872, 108.872) * CHOOSE(CONTROL!$C$21, $C$9, 100%, $E$9)</f>
        <v>108.872</v>
      </c>
      <c r="T97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76" s="57">
        <f>(1000*CHOOSE(CONTROL!$C$42, 695, 695)*CHOOSE(CONTROL!$C$42, 0.5599, 0.5599)*CHOOSE(CONTROL!$C$42, 30, 30))/1000000</f>
        <v>11.673914999999997</v>
      </c>
      <c r="V976" s="57">
        <f>(1000*CHOOSE(CONTROL!$C$42, 500, 500)*CHOOSE(CONTROL!$C$42, 0.275, 0.275)*CHOOSE(CONTROL!$C$42, 30, 30))/1000000</f>
        <v>4.125</v>
      </c>
      <c r="W976" s="57">
        <f>(1000*CHOOSE(CONTROL!$C$42, 0.1146, 0.1146)*CHOOSE(CONTROL!$C$42, 121.5, 121.5)*CHOOSE(CONTROL!$C$42, 30, 30))/1000000</f>
        <v>0.417717</v>
      </c>
      <c r="X976" s="57">
        <f>(30*0.1790888*245000/1000000)+(30*0.2374*100000/1000000)</f>
        <v>2.0285026799999999</v>
      </c>
      <c r="Y976" s="57"/>
      <c r="Z976" s="14"/>
      <c r="AA976" s="56"/>
      <c r="AB976" s="50">
        <f>(B976*141.293+C976*267.993+D976*115.016+E976*89.698+F976*40+G976*185+H976*0+I976*100+J976*300)/(141.293+267.993+115.016+89.698+0+40+185+100+300)</f>
        <v>113.37215694648913</v>
      </c>
      <c r="AC976" s="45">
        <f>(M976*'RAP TEMPLATE-GAS AVAILABILITY'!O975+N976*'RAP TEMPLATE-GAS AVAILABILITY'!P975+O976*'RAP TEMPLATE-GAS AVAILABILITY'!Q975+P976*'RAP TEMPLATE-GAS AVAILABILITY'!R975)/('RAP TEMPLATE-GAS AVAILABILITY'!O975+'RAP TEMPLATE-GAS AVAILABILITY'!P975+'RAP TEMPLATE-GAS AVAILABILITY'!Q975+'RAP TEMPLATE-GAS AVAILABILITY'!R975)</f>
        <v>111.14237338129497</v>
      </c>
    </row>
    <row r="977" spans="1:29" ht="15.75" x14ac:dyDescent="0.25">
      <c r="A977" s="32">
        <v>70645</v>
      </c>
      <c r="B977" s="14">
        <f>CHOOSE(CONTROL!$C$42, 114.3132, 114.3132) * CHOOSE(CONTROL!$C$21, $C$9, 100%, $E$9)</f>
        <v>114.31319999999999</v>
      </c>
      <c r="C977" s="14">
        <f>CHOOSE(CONTROL!$C$42, 114.3212, 114.3212) * CHOOSE(CONTROL!$C$21, $C$9, 100%, $E$9)</f>
        <v>114.3212</v>
      </c>
      <c r="D977" s="14">
        <f>CHOOSE(CONTROL!$C$42, 114.5252, 114.5252) * CHOOSE(CONTROL!$C$21, $C$9, 100%, $E$9)</f>
        <v>114.5252</v>
      </c>
      <c r="E977" s="14">
        <f>CHOOSE(CONTROL!$C$42, 114.5566, 114.5566) * CHOOSE(CONTROL!$C$21, $C$9, 100%, $E$9)</f>
        <v>114.5566</v>
      </c>
      <c r="F977" s="14">
        <f>CHOOSE(CONTROL!$C$42, 114.294, 114.294)*CHOOSE(CONTROL!$C$21, $C$9, 100%, $E$9)</f>
        <v>114.294</v>
      </c>
      <c r="G977" s="14">
        <f>CHOOSE(CONTROL!$C$42, 114.3096, 114.3096)*CHOOSE(CONTROL!$C$21, $C$9, 100%, $E$9)</f>
        <v>114.3096</v>
      </c>
      <c r="H977" s="14">
        <f>CHOOSE(CONTROL!$C$42, 114.5453, 114.5453) * CHOOSE(CONTROL!$C$21, $C$9, 100%, $E$9)</f>
        <v>114.5453</v>
      </c>
      <c r="I977" s="14">
        <f>CHOOSE(CONTROL!$C$42, 114.6767, 114.6767)* CHOOSE(CONTROL!$C$21, $C$9, 100%, $E$9)</f>
        <v>114.6767</v>
      </c>
      <c r="J977" s="14">
        <f>CHOOSE(CONTROL!$C$42, 114.287, 114.287)* CHOOSE(CONTROL!$C$21, $C$9, 100%, $E$9)</f>
        <v>114.28700000000001</v>
      </c>
      <c r="K977" s="53">
        <f>CHOOSE(CONTROL!$C$42, 114.6728, 114.6728) * CHOOSE(CONTROL!$C$21, $C$9, 100%, $E$9)</f>
        <v>114.6728</v>
      </c>
      <c r="L977" s="14">
        <f>CHOOSE(CONTROL!$C$42, 115.1323, 115.1323) * CHOOSE(CONTROL!$C$21, $C$9, 100%, $E$9)</f>
        <v>115.1323</v>
      </c>
      <c r="M977" s="14">
        <f>CHOOSE(CONTROL!$C$42, 111.953, 111.953) * CHOOSE(CONTROL!$C$21, $C$9, 100%, $E$9)</f>
        <v>111.953</v>
      </c>
      <c r="N977" s="14">
        <f>CHOOSE(CONTROL!$C$42, 111.9683, 111.9683) * CHOOSE(CONTROL!$C$21, $C$9, 100%, $E$9)</f>
        <v>111.9683</v>
      </c>
      <c r="O977" s="14">
        <f>CHOOSE(CONTROL!$C$42, 112.206, 112.206) * CHOOSE(CONTROL!$C$21, $C$9, 100%, $E$9)</f>
        <v>112.206</v>
      </c>
      <c r="P977" s="14">
        <f>CHOOSE(CONTROL!$C$42, 112.3276, 112.3276) * CHOOSE(CONTROL!$C$21, $C$9, 100%, $E$9)</f>
        <v>112.3276</v>
      </c>
      <c r="Q977" s="14">
        <f>CHOOSE(CONTROL!$C$42, 112.8007, 112.8007) * CHOOSE(CONTROL!$C$21, $C$9, 100%, $E$9)</f>
        <v>112.80070000000001</v>
      </c>
      <c r="R977" s="14">
        <f>CHOOSE(CONTROL!$C$42, 113.6697, 113.6697) * CHOOSE(CONTROL!$C$21, $C$9, 100%, $E$9)</f>
        <v>113.66970000000001</v>
      </c>
      <c r="S977" s="14">
        <f>CHOOSE(CONTROL!$C$42, 109.8329, 109.8329) * CHOOSE(CONTROL!$C$21, $C$9, 100%, $E$9)</f>
        <v>109.8329</v>
      </c>
      <c r="T97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77" s="57">
        <f>(1000*CHOOSE(CONTROL!$C$42, 695, 695)*CHOOSE(CONTROL!$C$42, 0.5599, 0.5599)*CHOOSE(CONTROL!$C$42, 31, 31))/1000000</f>
        <v>12.063045499999998</v>
      </c>
      <c r="V977" s="57">
        <f>(1000*CHOOSE(CONTROL!$C$42, 500, 500)*CHOOSE(CONTROL!$C$42, 0.275, 0.275)*CHOOSE(CONTROL!$C$42, 31, 31))/1000000</f>
        <v>4.2625000000000002</v>
      </c>
      <c r="W977" s="57">
        <f>(1000*CHOOSE(CONTROL!$C$42, 0.1146, 0.1146)*CHOOSE(CONTROL!$C$42, 121.5, 121.5)*CHOOSE(CONTROL!$C$42, 31, 31))/1000000</f>
        <v>0.43164089999999994</v>
      </c>
      <c r="X977" s="57">
        <f>(31*0.1790888*245000/1000000)+(31*0.2374*100000/1000000)</f>
        <v>2.0961194359999999</v>
      </c>
      <c r="Y977" s="57"/>
      <c r="Z977" s="14"/>
      <c r="AA977" s="56"/>
      <c r="AB977" s="50">
        <f>(B977*194.205+C977*267.466+D977*133.845+E977*53.484+F977*40+G977*185+H977*0+I977*100+J977*300)/(194.205+267.466+133.845+53.484+0+40+185+100+300)</f>
        <v>114.36860727912087</v>
      </c>
      <c r="AC977" s="45">
        <f>(M977*'RAP TEMPLATE-GAS AVAILABILITY'!O976+N977*'RAP TEMPLATE-GAS AVAILABILITY'!P976+O977*'RAP TEMPLATE-GAS AVAILABILITY'!Q976+P977*'RAP TEMPLATE-GAS AVAILABILITY'!R976)/('RAP TEMPLATE-GAS AVAILABILITY'!O976+'RAP TEMPLATE-GAS AVAILABILITY'!P976+'RAP TEMPLATE-GAS AVAILABILITY'!Q976+'RAP TEMPLATE-GAS AVAILABILITY'!R976)</f>
        <v>112.12244892086331</v>
      </c>
    </row>
    <row r="978" spans="1:29" ht="15.75" x14ac:dyDescent="0.25">
      <c r="A978" s="32">
        <v>70675</v>
      </c>
      <c r="B978" s="14">
        <f>CHOOSE(CONTROL!$C$42, 117.5555, 117.5555) * CHOOSE(CONTROL!$C$21, $C$9, 100%, $E$9)</f>
        <v>117.55549999999999</v>
      </c>
      <c r="C978" s="14">
        <f>CHOOSE(CONTROL!$C$42, 117.5636, 117.5636) * CHOOSE(CONTROL!$C$21, $C$9, 100%, $E$9)</f>
        <v>117.56359999999999</v>
      </c>
      <c r="D978" s="14">
        <f>CHOOSE(CONTROL!$C$42, 117.7675, 117.7675) * CHOOSE(CONTROL!$C$21, $C$9, 100%, $E$9)</f>
        <v>117.7675</v>
      </c>
      <c r="E978" s="14">
        <f>CHOOSE(CONTROL!$C$42, 117.799, 117.799) * CHOOSE(CONTROL!$C$21, $C$9, 100%, $E$9)</f>
        <v>117.79900000000001</v>
      </c>
      <c r="F978" s="14">
        <f>CHOOSE(CONTROL!$C$42, 117.5367, 117.5367)*CHOOSE(CONTROL!$C$21, $C$9, 100%, $E$9)</f>
        <v>117.5367</v>
      </c>
      <c r="G978" s="14">
        <f>CHOOSE(CONTROL!$C$42, 117.5525, 117.5525)*CHOOSE(CONTROL!$C$21, $C$9, 100%, $E$9)</f>
        <v>117.55249999999999</v>
      </c>
      <c r="H978" s="14">
        <f>CHOOSE(CONTROL!$C$42, 117.7876, 117.7876) * CHOOSE(CONTROL!$C$21, $C$9, 100%, $E$9)</f>
        <v>117.7876</v>
      </c>
      <c r="I978" s="14">
        <f>CHOOSE(CONTROL!$C$42, 117.9291, 117.9291)* CHOOSE(CONTROL!$C$21, $C$9, 100%, $E$9)</f>
        <v>117.92910000000001</v>
      </c>
      <c r="J978" s="14">
        <f>CHOOSE(CONTROL!$C$42, 117.5297, 117.5297)* CHOOSE(CONTROL!$C$21, $C$9, 100%, $E$9)</f>
        <v>117.52970000000001</v>
      </c>
      <c r="K978" s="53">
        <f>CHOOSE(CONTROL!$C$42, 117.9252, 117.9252) * CHOOSE(CONTROL!$C$21, $C$9, 100%, $E$9)</f>
        <v>117.9252</v>
      </c>
      <c r="L978" s="14">
        <f>CHOOSE(CONTROL!$C$42, 118.3746, 118.3746) * CHOOSE(CONTROL!$C$21, $C$9, 100%, $E$9)</f>
        <v>118.3746</v>
      </c>
      <c r="M978" s="14">
        <f>CHOOSE(CONTROL!$C$42, 115.1293, 115.1293) * CHOOSE(CONTROL!$C$21, $C$9, 100%, $E$9)</f>
        <v>115.1293</v>
      </c>
      <c r="N978" s="14">
        <f>CHOOSE(CONTROL!$C$42, 115.1447, 115.1447) * CHOOSE(CONTROL!$C$21, $C$9, 100%, $E$9)</f>
        <v>115.1447</v>
      </c>
      <c r="O978" s="14">
        <f>CHOOSE(CONTROL!$C$42, 115.3819, 115.3819) * CHOOSE(CONTROL!$C$21, $C$9, 100%, $E$9)</f>
        <v>115.3819</v>
      </c>
      <c r="P978" s="14">
        <f>CHOOSE(CONTROL!$C$42, 115.5132, 115.5132) * CHOOSE(CONTROL!$C$21, $C$9, 100%, $E$9)</f>
        <v>115.5132</v>
      </c>
      <c r="Q978" s="14">
        <f>CHOOSE(CONTROL!$C$42, 115.9766, 115.9766) * CHOOSE(CONTROL!$C$21, $C$9, 100%, $E$9)</f>
        <v>115.9766</v>
      </c>
      <c r="R978" s="14">
        <f>CHOOSE(CONTROL!$C$42, 116.8535, 116.8535) * CHOOSE(CONTROL!$C$21, $C$9, 100%, $E$9)</f>
        <v>116.8535</v>
      </c>
      <c r="S978" s="14">
        <f>CHOOSE(CONTROL!$C$42, 112.9485, 112.9485) * CHOOSE(CONTROL!$C$21, $C$9, 100%, $E$9)</f>
        <v>112.9485</v>
      </c>
      <c r="T97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78" s="57">
        <f>(1000*CHOOSE(CONTROL!$C$42, 695, 695)*CHOOSE(CONTROL!$C$42, 0.5599, 0.5599)*CHOOSE(CONTROL!$C$42, 30, 30))/1000000</f>
        <v>11.673914999999997</v>
      </c>
      <c r="V978" s="57">
        <f>(1000*CHOOSE(CONTROL!$C$42, 500, 500)*CHOOSE(CONTROL!$C$42, 0.275, 0.275)*CHOOSE(CONTROL!$C$42, 30, 30))/1000000</f>
        <v>4.125</v>
      </c>
      <c r="W978" s="57">
        <f>(1000*CHOOSE(CONTROL!$C$42, 0.1146, 0.1146)*CHOOSE(CONTROL!$C$42, 121.5, 121.5)*CHOOSE(CONTROL!$C$42, 30, 30))/1000000</f>
        <v>0.417717</v>
      </c>
      <c r="X978" s="57">
        <f>(30*0.1790888*245000/1000000)+(30*0.2374*100000/1000000)</f>
        <v>2.0285026799999999</v>
      </c>
      <c r="Y978" s="57"/>
      <c r="Z978" s="14"/>
      <c r="AA978" s="56"/>
      <c r="AB978" s="50">
        <f>(B978*194.205+C978*267.466+D978*133.845+E978*53.484+F978*40+G978*185+H978*0+I978*100+J978*300)/(194.205+267.466+133.845+53.484+0+40+185+100+300)</f>
        <v>117.61191912762951</v>
      </c>
      <c r="AC978" s="45">
        <f>(M978*'RAP TEMPLATE-GAS AVAILABILITY'!O977+N978*'RAP TEMPLATE-GAS AVAILABILITY'!P977+O978*'RAP TEMPLATE-GAS AVAILABILITY'!Q977+P978*'RAP TEMPLATE-GAS AVAILABILITY'!R977)/('RAP TEMPLATE-GAS AVAILABILITY'!O977+'RAP TEMPLATE-GAS AVAILABILITY'!P977+'RAP TEMPLATE-GAS AVAILABILITY'!Q977+'RAP TEMPLATE-GAS AVAILABILITY'!R977)</f>
        <v>115.29991151079135</v>
      </c>
    </row>
    <row r="979" spans="1:29" ht="15.75" x14ac:dyDescent="0.25">
      <c r="A979" s="32">
        <v>70706</v>
      </c>
      <c r="B979" s="14">
        <f>CHOOSE(CONTROL!$C$42, 115.3005, 115.3005) * CHOOSE(CONTROL!$C$21, $C$9, 100%, $E$9)</f>
        <v>115.3005</v>
      </c>
      <c r="C979" s="14">
        <f>CHOOSE(CONTROL!$C$42, 115.3085, 115.3085) * CHOOSE(CONTROL!$C$21, $C$9, 100%, $E$9)</f>
        <v>115.3085</v>
      </c>
      <c r="D979" s="14">
        <f>CHOOSE(CONTROL!$C$42, 115.5124, 115.5124) * CHOOSE(CONTROL!$C$21, $C$9, 100%, $E$9)</f>
        <v>115.5124</v>
      </c>
      <c r="E979" s="14">
        <f>CHOOSE(CONTROL!$C$42, 115.5439, 115.5439) * CHOOSE(CONTROL!$C$21, $C$9, 100%, $E$9)</f>
        <v>115.54389999999999</v>
      </c>
      <c r="F979" s="14">
        <f>CHOOSE(CONTROL!$C$42, 115.2821, 115.2821)*CHOOSE(CONTROL!$C$21, $C$9, 100%, $E$9)</f>
        <v>115.2821</v>
      </c>
      <c r="G979" s="14">
        <f>CHOOSE(CONTROL!$C$42, 115.298, 115.298)*CHOOSE(CONTROL!$C$21, $C$9, 100%, $E$9)</f>
        <v>115.298</v>
      </c>
      <c r="H979" s="14">
        <f>CHOOSE(CONTROL!$C$42, 115.5325, 115.5325) * CHOOSE(CONTROL!$C$21, $C$9, 100%, $E$9)</f>
        <v>115.5325</v>
      </c>
      <c r="I979" s="14">
        <f>CHOOSE(CONTROL!$C$42, 115.667, 115.667)* CHOOSE(CONTROL!$C$21, $C$9, 100%, $E$9)</f>
        <v>115.667</v>
      </c>
      <c r="J979" s="14">
        <f>CHOOSE(CONTROL!$C$42, 115.2751, 115.2751)* CHOOSE(CONTROL!$C$21, $C$9, 100%, $E$9)</f>
        <v>115.27509999999999</v>
      </c>
      <c r="K979" s="53">
        <f>CHOOSE(CONTROL!$C$42, 115.6631, 115.6631) * CHOOSE(CONTROL!$C$21, $C$9, 100%, $E$9)</f>
        <v>115.6631</v>
      </c>
      <c r="L979" s="14">
        <f>CHOOSE(CONTROL!$C$42, 116.1195, 116.1195) * CHOOSE(CONTROL!$C$21, $C$9, 100%, $E$9)</f>
        <v>116.1195</v>
      </c>
      <c r="M979" s="14">
        <f>CHOOSE(CONTROL!$C$42, 112.9209, 112.9209) * CHOOSE(CONTROL!$C$21, $C$9, 100%, $E$9)</f>
        <v>112.9209</v>
      </c>
      <c r="N979" s="14">
        <f>CHOOSE(CONTROL!$C$42, 112.9365, 112.9365) * CHOOSE(CONTROL!$C$21, $C$9, 100%, $E$9)</f>
        <v>112.9365</v>
      </c>
      <c r="O979" s="14">
        <f>CHOOSE(CONTROL!$C$42, 113.173, 113.173) * CHOOSE(CONTROL!$C$21, $C$9, 100%, $E$9)</f>
        <v>113.173</v>
      </c>
      <c r="P979" s="14">
        <f>CHOOSE(CONTROL!$C$42, 113.2976, 113.2976) * CHOOSE(CONTROL!$C$21, $C$9, 100%, $E$9)</f>
        <v>113.2976</v>
      </c>
      <c r="Q979" s="14">
        <f>CHOOSE(CONTROL!$C$42, 113.7677, 113.7677) * CHOOSE(CONTROL!$C$21, $C$9, 100%, $E$9)</f>
        <v>113.7677</v>
      </c>
      <c r="R979" s="14">
        <f>CHOOSE(CONTROL!$C$42, 114.6392, 114.6392) * CHOOSE(CONTROL!$C$21, $C$9, 100%, $E$9)</f>
        <v>114.6392</v>
      </c>
      <c r="S979" s="14">
        <f>CHOOSE(CONTROL!$C$42, 110.7816, 110.7816) * CHOOSE(CONTROL!$C$21, $C$9, 100%, $E$9)</f>
        <v>110.7816</v>
      </c>
      <c r="T97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79" s="57">
        <f>(1000*CHOOSE(CONTROL!$C$42, 695, 695)*CHOOSE(CONTROL!$C$42, 0.5599, 0.5599)*CHOOSE(CONTROL!$C$42, 31, 31))/1000000</f>
        <v>12.063045499999998</v>
      </c>
      <c r="V979" s="57">
        <f>(1000*CHOOSE(CONTROL!$C$42, 500, 500)*CHOOSE(CONTROL!$C$42, 0.275, 0.275)*CHOOSE(CONTROL!$C$42, 31, 31))/1000000</f>
        <v>4.2625000000000002</v>
      </c>
      <c r="W979" s="57">
        <f>(1000*CHOOSE(CONTROL!$C$42, 0.1146, 0.1146)*CHOOSE(CONTROL!$C$42, 121.5, 121.5)*CHOOSE(CONTROL!$C$42, 31, 31))/1000000</f>
        <v>0.43164089999999994</v>
      </c>
      <c r="X979" s="57">
        <f>(31*0.1790888*245000/1000000)+(31*0.2374*100000/1000000)</f>
        <v>2.0961194359999999</v>
      </c>
      <c r="Y979" s="57"/>
      <c r="Z979" s="14"/>
      <c r="AA979" s="56"/>
      <c r="AB979" s="50">
        <f>(B979*194.205+C979*267.466+D979*133.845+E979*53.484+F979*40+G979*185+H979*0+I979*100+J979*300)/(194.205+267.466+133.845+53.484+0+40+185+100+300)</f>
        <v>115.35650548594977</v>
      </c>
      <c r="AC979" s="45">
        <f>(M979*'RAP TEMPLATE-GAS AVAILABILITY'!O978+N979*'RAP TEMPLATE-GAS AVAILABILITY'!P978+O979*'RAP TEMPLATE-GAS AVAILABILITY'!Q978+P979*'RAP TEMPLATE-GAS AVAILABILITY'!R978)/('RAP TEMPLATE-GAS AVAILABILITY'!O978+'RAP TEMPLATE-GAS AVAILABILITY'!P978+'RAP TEMPLATE-GAS AVAILABILITY'!Q978+'RAP TEMPLATE-GAS AVAILABILITY'!R978)</f>
        <v>113.09026043165467</v>
      </c>
    </row>
    <row r="980" spans="1:29" ht="15.75" x14ac:dyDescent="0.25">
      <c r="A980" s="32">
        <v>70737</v>
      </c>
      <c r="B980" s="14">
        <f>CHOOSE(CONTROL!$C$42, 109.6058, 109.6058) * CHOOSE(CONTROL!$C$21, $C$9, 100%, $E$9)</f>
        <v>109.6058</v>
      </c>
      <c r="C980" s="14">
        <f>CHOOSE(CONTROL!$C$42, 109.6138, 109.6138) * CHOOSE(CONTROL!$C$21, $C$9, 100%, $E$9)</f>
        <v>109.6138</v>
      </c>
      <c r="D980" s="14">
        <f>CHOOSE(CONTROL!$C$42, 109.8177, 109.8177) * CHOOSE(CONTROL!$C$21, $C$9, 100%, $E$9)</f>
        <v>109.8177</v>
      </c>
      <c r="E980" s="14">
        <f>CHOOSE(CONTROL!$C$42, 109.8492, 109.8492) * CHOOSE(CONTROL!$C$21, $C$9, 100%, $E$9)</f>
        <v>109.8492</v>
      </c>
      <c r="F980" s="14">
        <f>CHOOSE(CONTROL!$C$42, 109.5876, 109.5876)*CHOOSE(CONTROL!$C$21, $C$9, 100%, $E$9)</f>
        <v>109.58759999999999</v>
      </c>
      <c r="G980" s="14">
        <f>CHOOSE(CONTROL!$C$42, 109.6036, 109.6036)*CHOOSE(CONTROL!$C$21, $C$9, 100%, $E$9)</f>
        <v>109.6036</v>
      </c>
      <c r="H980" s="14">
        <f>CHOOSE(CONTROL!$C$42, 109.8378, 109.8378) * CHOOSE(CONTROL!$C$21, $C$9, 100%, $E$9)</f>
        <v>109.8378</v>
      </c>
      <c r="I980" s="14">
        <f>CHOOSE(CONTROL!$C$42, 109.9545, 109.9545)* CHOOSE(CONTROL!$C$21, $C$9, 100%, $E$9)</f>
        <v>109.9545</v>
      </c>
      <c r="J980" s="14">
        <f>CHOOSE(CONTROL!$C$42, 109.5806, 109.5806)* CHOOSE(CONTROL!$C$21, $C$9, 100%, $E$9)</f>
        <v>109.5806</v>
      </c>
      <c r="K980" s="53">
        <f>CHOOSE(CONTROL!$C$42, 109.9506, 109.9506) * CHOOSE(CONTROL!$C$21, $C$9, 100%, $E$9)</f>
        <v>109.95059999999999</v>
      </c>
      <c r="L980" s="14">
        <f>CHOOSE(CONTROL!$C$42, 110.4248, 110.4248) * CHOOSE(CONTROL!$C$21, $C$9, 100%, $E$9)</f>
        <v>110.4248</v>
      </c>
      <c r="M980" s="14">
        <f>CHOOSE(CONTROL!$C$42, 107.3431, 107.3431) * CHOOSE(CONTROL!$C$21, $C$9, 100%, $E$9)</f>
        <v>107.34310000000001</v>
      </c>
      <c r="N980" s="14">
        <f>CHOOSE(CONTROL!$C$42, 107.3587, 107.3587) * CHOOSE(CONTROL!$C$21, $C$9, 100%, $E$9)</f>
        <v>107.3587</v>
      </c>
      <c r="O980" s="14">
        <f>CHOOSE(CONTROL!$C$42, 107.595, 107.595) * CHOOSE(CONTROL!$C$21, $C$9, 100%, $E$9)</f>
        <v>107.595</v>
      </c>
      <c r="P980" s="14">
        <f>CHOOSE(CONTROL!$C$42, 107.7025, 107.7025) * CHOOSE(CONTROL!$C$21, $C$9, 100%, $E$9)</f>
        <v>107.7025</v>
      </c>
      <c r="Q980" s="14">
        <f>CHOOSE(CONTROL!$C$42, 108.1897, 108.1897) * CHOOSE(CONTROL!$C$21, $C$9, 100%, $E$9)</f>
        <v>108.1897</v>
      </c>
      <c r="R980" s="14">
        <f>CHOOSE(CONTROL!$C$42, 109.0472, 109.0472) * CHOOSE(CONTROL!$C$21, $C$9, 100%, $E$9)</f>
        <v>109.0472</v>
      </c>
      <c r="S980" s="14">
        <f>CHOOSE(CONTROL!$C$42, 105.3096, 105.3096) * CHOOSE(CONTROL!$C$21, $C$9, 100%, $E$9)</f>
        <v>105.3096</v>
      </c>
      <c r="T98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80" s="57">
        <f>(1000*CHOOSE(CONTROL!$C$42, 695, 695)*CHOOSE(CONTROL!$C$42, 0.5599, 0.5599)*CHOOSE(CONTROL!$C$42, 31, 31))/1000000</f>
        <v>12.063045499999998</v>
      </c>
      <c r="V980" s="57">
        <f>(1000*CHOOSE(CONTROL!$C$42, 500, 500)*CHOOSE(CONTROL!$C$42, 0.275, 0.275)*CHOOSE(CONTROL!$C$42, 31, 31))/1000000</f>
        <v>4.2625000000000002</v>
      </c>
      <c r="W980" s="57">
        <f>(1000*CHOOSE(CONTROL!$C$42, 0.1146, 0.1146)*CHOOSE(CONTROL!$C$42, 121.5, 121.5)*CHOOSE(CONTROL!$C$42, 31, 31))/1000000</f>
        <v>0.43164089999999994</v>
      </c>
      <c r="X980" s="57">
        <f>(31*0.1790888*245000/1000000)+(31*0.2374*100000/1000000)</f>
        <v>2.0961194359999999</v>
      </c>
      <c r="Y980" s="57"/>
      <c r="Z980" s="14"/>
      <c r="AA980" s="56"/>
      <c r="AB980" s="50">
        <f>(B980*194.205+C980*267.466+D980*133.845+E980*53.484+F980*40+G980*185+H980*0+I980*100+J980*300)/(194.205+267.466+133.845+53.484+0+40+185+100+300)</f>
        <v>109.66050525047095</v>
      </c>
      <c r="AC980" s="45">
        <f>(M980*'RAP TEMPLATE-GAS AVAILABILITY'!O979+N980*'RAP TEMPLATE-GAS AVAILABILITY'!P979+O980*'RAP TEMPLATE-GAS AVAILABILITY'!Q979+P980*'RAP TEMPLATE-GAS AVAILABILITY'!R979)/('RAP TEMPLATE-GAS AVAILABILITY'!O979+'RAP TEMPLATE-GAS AVAILABILITY'!P979+'RAP TEMPLATE-GAS AVAILABILITY'!Q979+'RAP TEMPLATE-GAS AVAILABILITY'!R979)</f>
        <v>107.50988057553957</v>
      </c>
    </row>
    <row r="981" spans="1:29" ht="15.75" x14ac:dyDescent="0.25">
      <c r="A981" s="32">
        <v>70767</v>
      </c>
      <c r="B981" s="14">
        <f>CHOOSE(CONTROL!$C$42, 102.6475, 102.6475) * CHOOSE(CONTROL!$C$21, $C$9, 100%, $E$9)</f>
        <v>102.64749999999999</v>
      </c>
      <c r="C981" s="14">
        <f>CHOOSE(CONTROL!$C$42, 102.6555, 102.6555) * CHOOSE(CONTROL!$C$21, $C$9, 100%, $E$9)</f>
        <v>102.6555</v>
      </c>
      <c r="D981" s="14">
        <f>CHOOSE(CONTROL!$C$42, 102.8595, 102.8595) * CHOOSE(CONTROL!$C$21, $C$9, 100%, $E$9)</f>
        <v>102.8595</v>
      </c>
      <c r="E981" s="14">
        <f>CHOOSE(CONTROL!$C$42, 102.8909, 102.8909) * CHOOSE(CONTROL!$C$21, $C$9, 100%, $E$9)</f>
        <v>102.8909</v>
      </c>
      <c r="F981" s="14">
        <f>CHOOSE(CONTROL!$C$42, 102.6294, 102.6294)*CHOOSE(CONTROL!$C$21, $C$9, 100%, $E$9)</f>
        <v>102.6294</v>
      </c>
      <c r="G981" s="14">
        <f>CHOOSE(CONTROL!$C$42, 102.6454, 102.6454)*CHOOSE(CONTROL!$C$21, $C$9, 100%, $E$9)</f>
        <v>102.6454</v>
      </c>
      <c r="H981" s="14">
        <f>CHOOSE(CONTROL!$C$42, 102.8796, 102.8796) * CHOOSE(CONTROL!$C$21, $C$9, 100%, $E$9)</f>
        <v>102.8796</v>
      </c>
      <c r="I981" s="14">
        <f>CHOOSE(CONTROL!$C$42, 102.9744, 102.9744)* CHOOSE(CONTROL!$C$21, $C$9, 100%, $E$9)</f>
        <v>102.9744</v>
      </c>
      <c r="J981" s="14">
        <f>CHOOSE(CONTROL!$C$42, 102.6224, 102.6224)* CHOOSE(CONTROL!$C$21, $C$9, 100%, $E$9)</f>
        <v>102.6224</v>
      </c>
      <c r="K981" s="53">
        <f>CHOOSE(CONTROL!$C$42, 102.9705, 102.9705) * CHOOSE(CONTROL!$C$21, $C$9, 100%, $E$9)</f>
        <v>102.9705</v>
      </c>
      <c r="L981" s="14">
        <f>CHOOSE(CONTROL!$C$42, 103.4666, 103.4666) * CHOOSE(CONTROL!$C$21, $C$9, 100%, $E$9)</f>
        <v>103.4666</v>
      </c>
      <c r="M981" s="14">
        <f>CHOOSE(CONTROL!$C$42, 100.5274, 100.5274) * CHOOSE(CONTROL!$C$21, $C$9, 100%, $E$9)</f>
        <v>100.5274</v>
      </c>
      <c r="N981" s="14">
        <f>CHOOSE(CONTROL!$C$42, 100.5431, 100.5431) * CHOOSE(CONTROL!$C$21, $C$9, 100%, $E$9)</f>
        <v>100.5431</v>
      </c>
      <c r="O981" s="14">
        <f>CHOOSE(CONTROL!$C$42, 100.7793, 100.7793) * CHOOSE(CONTROL!$C$21, $C$9, 100%, $E$9)</f>
        <v>100.77930000000001</v>
      </c>
      <c r="P981" s="14">
        <f>CHOOSE(CONTROL!$C$42, 100.8659, 100.8659) * CHOOSE(CONTROL!$C$21, $C$9, 100%, $E$9)</f>
        <v>100.8659</v>
      </c>
      <c r="Q981" s="14">
        <f>CHOOSE(CONTROL!$C$42, 101.374, 101.374) * CHOOSE(CONTROL!$C$21, $C$9, 100%, $E$9)</f>
        <v>101.374</v>
      </c>
      <c r="R981" s="14">
        <f>CHOOSE(CONTROL!$C$42, 102.2145, 102.2145) * CHOOSE(CONTROL!$C$21, $C$9, 100%, $E$9)</f>
        <v>102.2145</v>
      </c>
      <c r="S981" s="14">
        <f>CHOOSE(CONTROL!$C$42, 98.6234, 98.6234) * CHOOSE(CONTROL!$C$21, $C$9, 100%, $E$9)</f>
        <v>98.623400000000004</v>
      </c>
      <c r="T98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81" s="57">
        <f>(1000*CHOOSE(CONTROL!$C$42, 695, 695)*CHOOSE(CONTROL!$C$42, 0.5599, 0.5599)*CHOOSE(CONTROL!$C$42, 30, 30))/1000000</f>
        <v>11.673914999999997</v>
      </c>
      <c r="V981" s="57">
        <f>(1000*CHOOSE(CONTROL!$C$42, 500, 500)*CHOOSE(CONTROL!$C$42, 0.275, 0.275)*CHOOSE(CONTROL!$C$42, 30, 30))/1000000</f>
        <v>4.125</v>
      </c>
      <c r="W981" s="57">
        <f>(1000*CHOOSE(CONTROL!$C$42, 0.1146, 0.1146)*CHOOSE(CONTROL!$C$42, 121.5, 121.5)*CHOOSE(CONTROL!$C$42, 30, 30))/1000000</f>
        <v>0.417717</v>
      </c>
      <c r="X981" s="57">
        <f>(30*0.1790888*245000/1000000)+(30*0.2374*100000/1000000)</f>
        <v>2.0285026799999999</v>
      </c>
      <c r="Y981" s="57"/>
      <c r="Z981" s="14"/>
      <c r="AA981" s="56"/>
      <c r="AB981" s="50">
        <f>(B981*194.205+C981*267.466+D981*133.845+E981*53.484+F981*40+G981*185+H981*0+I981*100+J981*300)/(194.205+267.466+133.845+53.484+0+40+185+100+300)</f>
        <v>102.7005458191523</v>
      </c>
      <c r="AC981" s="45">
        <f>(M981*'RAP TEMPLATE-GAS AVAILABILITY'!O980+N981*'RAP TEMPLATE-GAS AVAILABILITY'!P980+O981*'RAP TEMPLATE-GAS AVAILABILITY'!Q980+P981*'RAP TEMPLATE-GAS AVAILABILITY'!R980)/('RAP TEMPLATE-GAS AVAILABILITY'!O980+'RAP TEMPLATE-GAS AVAILABILITY'!P980+'RAP TEMPLATE-GAS AVAILABILITY'!Q980+'RAP TEMPLATE-GAS AVAILABILITY'!R980)</f>
        <v>100.69117913669065</v>
      </c>
    </row>
    <row r="982" spans="1:29" ht="15.75" x14ac:dyDescent="0.25">
      <c r="A982" s="32">
        <v>70798</v>
      </c>
      <c r="B982" s="14">
        <f>CHOOSE(CONTROL!$C$42, 100.5618, 100.5618) * CHOOSE(CONTROL!$C$21, $C$9, 100%, $E$9)</f>
        <v>100.56180000000001</v>
      </c>
      <c r="C982" s="14">
        <f>CHOOSE(CONTROL!$C$42, 100.5672, 100.5672) * CHOOSE(CONTROL!$C$21, $C$9, 100%, $E$9)</f>
        <v>100.5672</v>
      </c>
      <c r="D982" s="14">
        <f>CHOOSE(CONTROL!$C$42, 100.7761, 100.7761) * CHOOSE(CONTROL!$C$21, $C$9, 100%, $E$9)</f>
        <v>100.7761</v>
      </c>
      <c r="E982" s="14">
        <f>CHOOSE(CONTROL!$C$42, 100.8052, 100.8052) * CHOOSE(CONTROL!$C$21, $C$9, 100%, $E$9)</f>
        <v>100.8052</v>
      </c>
      <c r="F982" s="14">
        <f>CHOOSE(CONTROL!$C$42, 100.5458, 100.5458)*CHOOSE(CONTROL!$C$21, $C$9, 100%, $E$9)</f>
        <v>100.5458</v>
      </c>
      <c r="G982" s="14">
        <f>CHOOSE(CONTROL!$C$42, 100.5615, 100.5615)*CHOOSE(CONTROL!$C$21, $C$9, 100%, $E$9)</f>
        <v>100.5615</v>
      </c>
      <c r="H982" s="14">
        <f>CHOOSE(CONTROL!$C$42, 100.7956, 100.7956) * CHOOSE(CONTROL!$C$21, $C$9, 100%, $E$9)</f>
        <v>100.79559999999999</v>
      </c>
      <c r="I982" s="14">
        <f>CHOOSE(CONTROL!$C$42, 100.884, 100.884)* CHOOSE(CONTROL!$C$21, $C$9, 100%, $E$9)</f>
        <v>100.884</v>
      </c>
      <c r="J982" s="14">
        <f>CHOOSE(CONTROL!$C$42, 100.5388, 100.5388)* CHOOSE(CONTROL!$C$21, $C$9, 100%, $E$9)</f>
        <v>100.53879999999999</v>
      </c>
      <c r="K982" s="53">
        <f>CHOOSE(CONTROL!$C$42, 100.8801, 100.8801) * CHOOSE(CONTROL!$C$21, $C$9, 100%, $E$9)</f>
        <v>100.8801</v>
      </c>
      <c r="L982" s="14">
        <f>CHOOSE(CONTROL!$C$42, 101.3826, 101.3826) * CHOOSE(CONTROL!$C$21, $C$9, 100%, $E$9)</f>
        <v>101.3826</v>
      </c>
      <c r="M982" s="14">
        <f>CHOOSE(CONTROL!$C$42, 98.4865, 98.4865) * CHOOSE(CONTROL!$C$21, $C$9, 100%, $E$9)</f>
        <v>98.486500000000007</v>
      </c>
      <c r="N982" s="14">
        <f>CHOOSE(CONTROL!$C$42, 98.5019, 98.5019) * CHOOSE(CONTROL!$C$21, $C$9, 100%, $E$9)</f>
        <v>98.501900000000006</v>
      </c>
      <c r="O982" s="14">
        <f>CHOOSE(CONTROL!$C$42, 98.7381, 98.7381) * CHOOSE(CONTROL!$C$21, $C$9, 100%, $E$9)</f>
        <v>98.738100000000003</v>
      </c>
      <c r="P982" s="14">
        <f>CHOOSE(CONTROL!$C$42, 98.8184, 98.8184) * CHOOSE(CONTROL!$C$21, $C$9, 100%, $E$9)</f>
        <v>98.818399999999997</v>
      </c>
      <c r="Q982" s="14">
        <f>CHOOSE(CONTROL!$C$42, 99.3328, 99.3328) * CHOOSE(CONTROL!$C$21, $C$9, 100%, $E$9)</f>
        <v>99.332800000000006</v>
      </c>
      <c r="R982" s="14">
        <f>CHOOSE(CONTROL!$C$42, 100.1681, 100.1681) * CHOOSE(CONTROL!$C$21, $C$9, 100%, $E$9)</f>
        <v>100.1681</v>
      </c>
      <c r="S982" s="14">
        <f>CHOOSE(CONTROL!$C$42, 96.6209, 96.6209) * CHOOSE(CONTROL!$C$21, $C$9, 100%, $E$9)</f>
        <v>96.620900000000006</v>
      </c>
      <c r="T98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82" s="57">
        <f>(1000*CHOOSE(CONTROL!$C$42, 695, 695)*CHOOSE(CONTROL!$C$42, 0.5599, 0.5599)*CHOOSE(CONTROL!$C$42, 31, 31))/1000000</f>
        <v>12.063045499999998</v>
      </c>
      <c r="V982" s="57">
        <f>(1000*CHOOSE(CONTROL!$C$42, 500, 500)*CHOOSE(CONTROL!$C$42, 0.275, 0.275)*CHOOSE(CONTROL!$C$42, 31, 31))/1000000</f>
        <v>4.2625000000000002</v>
      </c>
      <c r="W982" s="57">
        <f>(1000*CHOOSE(CONTROL!$C$42, 0.1146, 0.1146)*CHOOSE(CONTROL!$C$42, 121.5, 121.5)*CHOOSE(CONTROL!$C$42, 31, 31))/1000000</f>
        <v>0.43164089999999994</v>
      </c>
      <c r="X982" s="57">
        <f>(31*0.1790888*245000/1000000)+(31*0.2374*100000/1000000)</f>
        <v>2.0961194359999999</v>
      </c>
      <c r="Y982" s="57"/>
      <c r="Z982" s="14"/>
      <c r="AA982" s="56"/>
      <c r="AB982" s="50">
        <f>(B982*131.881+C982*277.167+D982*79.08+E982*125.872+F982*40+G982*185+H982*0+I982*100+J982*300)/(131.881+277.167+79.08+125.872+0+40+185+100+300)</f>
        <v>100.6212877244552</v>
      </c>
      <c r="AC982" s="45">
        <f>(M982*'RAP TEMPLATE-GAS AVAILABILITY'!O981+N982*'RAP TEMPLATE-GAS AVAILABILITY'!P981+O982*'RAP TEMPLATE-GAS AVAILABILITY'!Q981+P982*'RAP TEMPLATE-GAS AVAILABILITY'!R981)/('RAP TEMPLATE-GAS AVAILABILITY'!O981+'RAP TEMPLATE-GAS AVAILABILITY'!P981+'RAP TEMPLATE-GAS AVAILABILITY'!Q981+'RAP TEMPLATE-GAS AVAILABILITY'!R981)</f>
        <v>98.64917625899281</v>
      </c>
    </row>
    <row r="983" spans="1:29" ht="15.75" x14ac:dyDescent="0.25">
      <c r="A983" s="32">
        <v>70828</v>
      </c>
      <c r="B983" s="14">
        <f>CHOOSE(CONTROL!$C$42, 103.2104, 103.2104) * CHOOSE(CONTROL!$C$21, $C$9, 100%, $E$9)</f>
        <v>103.21040000000001</v>
      </c>
      <c r="C983" s="14">
        <f>CHOOSE(CONTROL!$C$42, 103.2155, 103.2155) * CHOOSE(CONTROL!$C$21, $C$9, 100%, $E$9)</f>
        <v>103.21550000000001</v>
      </c>
      <c r="D983" s="14">
        <f>CHOOSE(CONTROL!$C$42, 103.2793, 103.2793) * CHOOSE(CONTROL!$C$21, $C$9, 100%, $E$9)</f>
        <v>103.27930000000001</v>
      </c>
      <c r="E983" s="14">
        <f>CHOOSE(CONTROL!$C$42, 103.3134, 103.3134) * CHOOSE(CONTROL!$C$21, $C$9, 100%, $E$9)</f>
        <v>103.3134</v>
      </c>
      <c r="F983" s="14">
        <f>CHOOSE(CONTROL!$C$42, 103.2128, 103.2128)*CHOOSE(CONTROL!$C$21, $C$9, 100%, $E$9)</f>
        <v>103.2128</v>
      </c>
      <c r="G983" s="14">
        <f>CHOOSE(CONTROL!$C$42, 103.2288, 103.2288)*CHOOSE(CONTROL!$C$21, $C$9, 100%, $E$9)</f>
        <v>103.22880000000001</v>
      </c>
      <c r="H983" s="14">
        <f>CHOOSE(CONTROL!$C$42, 103.3026, 103.3026) * CHOOSE(CONTROL!$C$21, $C$9, 100%, $E$9)</f>
        <v>103.3026</v>
      </c>
      <c r="I983" s="14">
        <f>CHOOSE(CONTROL!$C$42, 103.5465, 103.5465)* CHOOSE(CONTROL!$C$21, $C$9, 100%, $E$9)</f>
        <v>103.54649999999999</v>
      </c>
      <c r="J983" s="14">
        <f>CHOOSE(CONTROL!$C$42, 103.2058, 103.2058)* CHOOSE(CONTROL!$C$21, $C$9, 100%, $E$9)</f>
        <v>103.2058</v>
      </c>
      <c r="K983" s="53">
        <f>CHOOSE(CONTROL!$C$42, 103.5426, 103.5426) * CHOOSE(CONTROL!$C$21, $C$9, 100%, $E$9)</f>
        <v>103.54259999999999</v>
      </c>
      <c r="L983" s="14">
        <f>CHOOSE(CONTROL!$C$42, 103.8896, 103.8896) * CHOOSE(CONTROL!$C$21, $C$9, 100%, $E$9)</f>
        <v>103.8896</v>
      </c>
      <c r="M983" s="14">
        <f>CHOOSE(CONTROL!$C$42, 101.0989, 101.0989) * CHOOSE(CONTROL!$C$21, $C$9, 100%, $E$9)</f>
        <v>101.0989</v>
      </c>
      <c r="N983" s="14">
        <f>CHOOSE(CONTROL!$C$42, 101.1146, 101.1146) * CHOOSE(CONTROL!$C$21, $C$9, 100%, $E$9)</f>
        <v>101.1146</v>
      </c>
      <c r="O983" s="14">
        <f>CHOOSE(CONTROL!$C$42, 101.1937, 101.1937) * CHOOSE(CONTROL!$C$21, $C$9, 100%, $E$9)</f>
        <v>101.19370000000001</v>
      </c>
      <c r="P983" s="14">
        <f>CHOOSE(CONTROL!$C$42, 101.4262, 101.4262) * CHOOSE(CONTROL!$C$21, $C$9, 100%, $E$9)</f>
        <v>101.42619999999999</v>
      </c>
      <c r="Q983" s="14">
        <f>CHOOSE(CONTROL!$C$42, 101.7884, 101.7884) * CHOOSE(CONTROL!$C$21, $C$9, 100%, $E$9)</f>
        <v>101.7884</v>
      </c>
      <c r="R983" s="14">
        <f>CHOOSE(CONTROL!$C$42, 102.6299, 102.6299) * CHOOSE(CONTROL!$C$21, $C$9, 100%, $E$9)</f>
        <v>102.62990000000001</v>
      </c>
      <c r="S983" s="14">
        <f>CHOOSE(CONTROL!$C$42, 99.1664, 99.1664) * CHOOSE(CONTROL!$C$21, $C$9, 100%, $E$9)</f>
        <v>99.166399999999996</v>
      </c>
      <c r="T98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83" s="57">
        <f>(1000*CHOOSE(CONTROL!$C$42, 695, 695)*CHOOSE(CONTROL!$C$42, 0.5599, 0.5599)*CHOOSE(CONTROL!$C$42, 30, 30))/1000000</f>
        <v>11.673914999999997</v>
      </c>
      <c r="V983" s="57">
        <f>(1000*CHOOSE(CONTROL!$C$42, 500, 500)*CHOOSE(CONTROL!$C$42, 0.275, 0.275)*CHOOSE(CONTROL!$C$42, 30, 30))/1000000</f>
        <v>4.125</v>
      </c>
      <c r="W983" s="57">
        <f>(1000*CHOOSE(CONTROL!$C$42, 0.1146, 0.1146)*CHOOSE(CONTROL!$C$42, 121.5, 121.5)*CHOOSE(CONTROL!$C$42, 30, 30))/1000000</f>
        <v>0.417717</v>
      </c>
      <c r="X983" s="57">
        <f>(30*0.1790888*100000/1000000)+(30*0.2374*100000/1000000)</f>
        <v>1.2494664</v>
      </c>
      <c r="Y983" s="57"/>
      <c r="Z983" s="14"/>
      <c r="AA983" s="56"/>
      <c r="AB983" s="50">
        <f>(B983*122.58+C983*297.941+D983*89.177+E983*40.302+F983*40+G983*160+H983*0+I983*100+J983*300)/(122.58+297.941+89.177+40.302+0+40+160+100+300)</f>
        <v>103.25134339165216</v>
      </c>
      <c r="AC983" s="45">
        <f>(M983*'RAP TEMPLATE-GAS AVAILABILITY'!O982+N983*'RAP TEMPLATE-GAS AVAILABILITY'!P982+O983*'RAP TEMPLATE-GAS AVAILABILITY'!Q982+P983*'RAP TEMPLATE-GAS AVAILABILITY'!R982)/('RAP TEMPLATE-GAS AVAILABILITY'!O982+'RAP TEMPLATE-GAS AVAILABILITY'!P982+'RAP TEMPLATE-GAS AVAILABILITY'!Q982+'RAP TEMPLATE-GAS AVAILABILITY'!R982)</f>
        <v>101.18986402877697</v>
      </c>
    </row>
    <row r="984" spans="1:29" ht="15.75" x14ac:dyDescent="0.25">
      <c r="A984" s="32">
        <v>70859</v>
      </c>
      <c r="B984" s="14">
        <f>CHOOSE(CONTROL!$C$42, 110.2466, 110.2466) * CHOOSE(CONTROL!$C$21, $C$9, 100%, $E$9)</f>
        <v>110.2466</v>
      </c>
      <c r="C984" s="14">
        <f>CHOOSE(CONTROL!$C$42, 110.2517, 110.2517) * CHOOSE(CONTROL!$C$21, $C$9, 100%, $E$9)</f>
        <v>110.2517</v>
      </c>
      <c r="D984" s="14">
        <f>CHOOSE(CONTROL!$C$42, 110.3155, 110.3155) * CHOOSE(CONTROL!$C$21, $C$9, 100%, $E$9)</f>
        <v>110.3155</v>
      </c>
      <c r="E984" s="14">
        <f>CHOOSE(CONTROL!$C$42, 110.3496, 110.3496) * CHOOSE(CONTROL!$C$21, $C$9, 100%, $E$9)</f>
        <v>110.3496</v>
      </c>
      <c r="F984" s="14">
        <f>CHOOSE(CONTROL!$C$42, 110.2513, 110.2513)*CHOOSE(CONTROL!$C$21, $C$9, 100%, $E$9)</f>
        <v>110.2513</v>
      </c>
      <c r="G984" s="14">
        <f>CHOOSE(CONTROL!$C$42, 110.2679, 110.2679)*CHOOSE(CONTROL!$C$21, $C$9, 100%, $E$9)</f>
        <v>110.2679</v>
      </c>
      <c r="H984" s="14">
        <f>CHOOSE(CONTROL!$C$42, 110.3388, 110.3388) * CHOOSE(CONTROL!$C$21, $C$9, 100%, $E$9)</f>
        <v>110.33880000000001</v>
      </c>
      <c r="I984" s="14">
        <f>CHOOSE(CONTROL!$C$42, 110.6047, 110.6047)* CHOOSE(CONTROL!$C$21, $C$9, 100%, $E$9)</f>
        <v>110.60469999999999</v>
      </c>
      <c r="J984" s="14">
        <f>CHOOSE(CONTROL!$C$42, 110.2443, 110.2443)* CHOOSE(CONTROL!$C$21, $C$9, 100%, $E$9)</f>
        <v>110.2443</v>
      </c>
      <c r="K984" s="53">
        <f>CHOOSE(CONTROL!$C$42, 110.6008, 110.6008) * CHOOSE(CONTROL!$C$21, $C$9, 100%, $E$9)</f>
        <v>110.60080000000001</v>
      </c>
      <c r="L984" s="14">
        <f>CHOOSE(CONTROL!$C$42, 110.9258, 110.9258) * CHOOSE(CONTROL!$C$21, $C$9, 100%, $E$9)</f>
        <v>110.9258</v>
      </c>
      <c r="M984" s="14">
        <f>CHOOSE(CONTROL!$C$42, 107.9931, 107.9931) * CHOOSE(CONTROL!$C$21, $C$9, 100%, $E$9)</f>
        <v>107.9931</v>
      </c>
      <c r="N984" s="14">
        <f>CHOOSE(CONTROL!$C$42, 108.0094, 108.0094) * CHOOSE(CONTROL!$C$21, $C$9, 100%, $E$9)</f>
        <v>108.0094</v>
      </c>
      <c r="O984" s="14">
        <f>CHOOSE(CONTROL!$C$42, 108.0857, 108.0857) * CHOOSE(CONTROL!$C$21, $C$9, 100%, $E$9)</f>
        <v>108.0857</v>
      </c>
      <c r="P984" s="14">
        <f>CHOOSE(CONTROL!$C$42, 108.3393, 108.3393) * CHOOSE(CONTROL!$C$21, $C$9, 100%, $E$9)</f>
        <v>108.33929999999999</v>
      </c>
      <c r="Q984" s="14">
        <f>CHOOSE(CONTROL!$C$42, 108.6804, 108.6804) * CHOOSE(CONTROL!$C$21, $C$9, 100%, $E$9)</f>
        <v>108.68040000000001</v>
      </c>
      <c r="R984" s="14">
        <f>CHOOSE(CONTROL!$C$42, 109.5391, 109.5391) * CHOOSE(CONTROL!$C$21, $C$9, 100%, $E$9)</f>
        <v>109.5391</v>
      </c>
      <c r="S984" s="14">
        <f>CHOOSE(CONTROL!$C$42, 105.9274, 105.9274) * CHOOSE(CONTROL!$C$21, $C$9, 100%, $E$9)</f>
        <v>105.92740000000001</v>
      </c>
      <c r="T98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84" s="57">
        <f>(1000*CHOOSE(CONTROL!$C$42, 695, 695)*CHOOSE(CONTROL!$C$42, 0.5599, 0.5599)*CHOOSE(CONTROL!$C$42, 31, 31))/1000000</f>
        <v>12.063045499999998</v>
      </c>
      <c r="V984" s="57">
        <f>(1000*CHOOSE(CONTROL!$C$42, 500, 500)*CHOOSE(CONTROL!$C$42, 0.275, 0.275)*CHOOSE(CONTROL!$C$42, 31, 31))/1000000</f>
        <v>4.2625000000000002</v>
      </c>
      <c r="W984" s="57">
        <f>(1000*CHOOSE(CONTROL!$C$42, 0.1146, 0.1146)*CHOOSE(CONTROL!$C$42, 121.5, 121.5)*CHOOSE(CONTROL!$C$42, 31, 31))/1000000</f>
        <v>0.43164089999999994</v>
      </c>
      <c r="X984" s="57">
        <f>(31*0.1790888*100000/1000000)+(31*0.2374*100000/1000000)</f>
        <v>1.2911152800000001</v>
      </c>
      <c r="Y984" s="57"/>
      <c r="Z984" s="14"/>
      <c r="AA984" s="56"/>
      <c r="AB984" s="50">
        <f>(B984*122.58+C984*297.941+D984*89.177+E984*40.302+F984*40+G984*160+H984*0+I984*100+J984*300)/(122.58+297.941+89.177+40.302+0+40+160+100+300)</f>
        <v>110.29053991339129</v>
      </c>
      <c r="AC984" s="45">
        <f>(M984*'RAP TEMPLATE-GAS AVAILABILITY'!O983+N984*'RAP TEMPLATE-GAS AVAILABILITY'!P983+O984*'RAP TEMPLATE-GAS AVAILABILITY'!Q983+P984*'RAP TEMPLATE-GAS AVAILABILITY'!R983)/('RAP TEMPLATE-GAS AVAILABILITY'!O983+'RAP TEMPLATE-GAS AVAILABILITY'!P983+'RAP TEMPLATE-GAS AVAILABILITY'!Q983+'RAP TEMPLATE-GAS AVAILABILITY'!R983)</f>
        <v>108.08582086330935</v>
      </c>
    </row>
    <row r="985" spans="1:29" ht="15.75" x14ac:dyDescent="0.25">
      <c r="A985" s="32">
        <v>70890</v>
      </c>
      <c r="B985" s="14">
        <f>CHOOSE(CONTROL!$C$42, 119.2766, 119.2766) * CHOOSE(CONTROL!$C$21, $C$9, 100%, $E$9)</f>
        <v>119.2766</v>
      </c>
      <c r="C985" s="14">
        <f>CHOOSE(CONTROL!$C$42, 119.2816, 119.2816) * CHOOSE(CONTROL!$C$21, $C$9, 100%, $E$9)</f>
        <v>119.2816</v>
      </c>
      <c r="D985" s="14">
        <f>CHOOSE(CONTROL!$C$42, 119.3481, 119.3481) * CHOOSE(CONTROL!$C$21, $C$9, 100%, $E$9)</f>
        <v>119.3481</v>
      </c>
      <c r="E985" s="14">
        <f>CHOOSE(CONTROL!$C$42, 119.3822, 119.3822) * CHOOSE(CONTROL!$C$21, $C$9, 100%, $E$9)</f>
        <v>119.3822</v>
      </c>
      <c r="F985" s="14">
        <f>CHOOSE(CONTROL!$C$42, 119.2639, 119.2639)*CHOOSE(CONTROL!$C$21, $C$9, 100%, $E$9)</f>
        <v>119.26390000000001</v>
      </c>
      <c r="G985" s="14">
        <f>CHOOSE(CONTROL!$C$42, 119.2794, 119.2794)*CHOOSE(CONTROL!$C$21, $C$9, 100%, $E$9)</f>
        <v>119.2794</v>
      </c>
      <c r="H985" s="14">
        <f>CHOOSE(CONTROL!$C$42, 119.3714, 119.3714) * CHOOSE(CONTROL!$C$21, $C$9, 100%, $E$9)</f>
        <v>119.37139999999999</v>
      </c>
      <c r="I985" s="14">
        <f>CHOOSE(CONTROL!$C$42, 119.6578, 119.6578)* CHOOSE(CONTROL!$C$21, $C$9, 100%, $E$9)</f>
        <v>119.65779999999999</v>
      </c>
      <c r="J985" s="14">
        <f>CHOOSE(CONTROL!$C$42, 119.2569, 119.2569)* CHOOSE(CONTROL!$C$21, $C$9, 100%, $E$9)</f>
        <v>119.2569</v>
      </c>
      <c r="K985" s="53">
        <f>CHOOSE(CONTROL!$C$42, 119.6539, 119.6539) * CHOOSE(CONTROL!$C$21, $C$9, 100%, $E$9)</f>
        <v>119.65389999999999</v>
      </c>
      <c r="L985" s="14">
        <f>CHOOSE(CONTROL!$C$42, 119.9584, 119.9584) * CHOOSE(CONTROL!$C$21, $C$9, 100%, $E$9)</f>
        <v>119.9584</v>
      </c>
      <c r="M985" s="14">
        <f>CHOOSE(CONTROL!$C$42, 116.8211, 116.8211) * CHOOSE(CONTROL!$C$21, $C$9, 100%, $E$9)</f>
        <v>116.8211</v>
      </c>
      <c r="N985" s="14">
        <f>CHOOSE(CONTROL!$C$42, 116.8363, 116.8363) * CHOOSE(CONTROL!$C$21, $C$9, 100%, $E$9)</f>
        <v>116.83629999999999</v>
      </c>
      <c r="O985" s="14">
        <f>CHOOSE(CONTROL!$C$42, 116.9332, 116.9332) * CHOOSE(CONTROL!$C$21, $C$9, 100%, $E$9)</f>
        <v>116.9332</v>
      </c>
      <c r="P985" s="14">
        <f>CHOOSE(CONTROL!$C$42, 117.2063, 117.2063) * CHOOSE(CONTROL!$C$21, $C$9, 100%, $E$9)</f>
        <v>117.2063</v>
      </c>
      <c r="Q985" s="14">
        <f>CHOOSE(CONTROL!$C$42, 117.5279, 117.5279) * CHOOSE(CONTROL!$C$21, $C$9, 100%, $E$9)</f>
        <v>117.5279</v>
      </c>
      <c r="R985" s="14">
        <f>CHOOSE(CONTROL!$C$42, 118.4087, 118.4087) * CHOOSE(CONTROL!$C$21, $C$9, 100%, $E$9)</f>
        <v>118.4087</v>
      </c>
      <c r="S985" s="14">
        <f>CHOOSE(CONTROL!$C$42, 114.6043, 114.6043) * CHOOSE(CONTROL!$C$21, $C$9, 100%, $E$9)</f>
        <v>114.60429999999999</v>
      </c>
      <c r="T98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85" s="57">
        <f>(1000*CHOOSE(CONTROL!$C$42, 695, 695)*CHOOSE(CONTROL!$C$42, 0.5599, 0.5599)*CHOOSE(CONTROL!$C$42, 31, 31))/1000000</f>
        <v>12.063045499999998</v>
      </c>
      <c r="V985" s="57">
        <f>(1000*CHOOSE(CONTROL!$C$42, 500, 500)*CHOOSE(CONTROL!$C$42, 0.275, 0.275)*CHOOSE(CONTROL!$C$42, 31, 31))/1000000</f>
        <v>4.2625000000000002</v>
      </c>
      <c r="W985" s="57">
        <f>(1000*CHOOSE(CONTROL!$C$42, 0.1146, 0.1146)*CHOOSE(CONTROL!$C$42, 121.5, 121.5)*CHOOSE(CONTROL!$C$42, 31, 31))/1000000</f>
        <v>0.43164089999999994</v>
      </c>
      <c r="X985" s="57">
        <f>(31*0.1790888*100000/1000000)+(31*0.2374*100000/1000000)</f>
        <v>1.2911152800000001</v>
      </c>
      <c r="Y985" s="57"/>
      <c r="Z985" s="14"/>
      <c r="AA985" s="56"/>
      <c r="AB985" s="50">
        <f>(B985*122.58+C985*297.941+D985*89.177+E985*40.302+F985*40+G985*160+H985*0+I985*100+J985*300)/(122.58+297.941+89.177+40.302+0+40+160+100+300)</f>
        <v>119.3150971753913</v>
      </c>
      <c r="AC985" s="45">
        <f>(M985*'RAP TEMPLATE-GAS AVAILABILITY'!O984+N985*'RAP TEMPLATE-GAS AVAILABILITY'!P984+O985*'RAP TEMPLATE-GAS AVAILABILITY'!Q984+P985*'RAP TEMPLATE-GAS AVAILABILITY'!R984)/('RAP TEMPLATE-GAS AVAILABILITY'!O984+'RAP TEMPLATE-GAS AVAILABILITY'!P984+'RAP TEMPLATE-GAS AVAILABILITY'!Q984+'RAP TEMPLATE-GAS AVAILABILITY'!R984)</f>
        <v>116.92820719424459</v>
      </c>
    </row>
    <row r="986" spans="1:29" ht="15.75" x14ac:dyDescent="0.25">
      <c r="A986" s="32">
        <v>70918</v>
      </c>
      <c r="B986" s="14">
        <f>CHOOSE(CONTROL!$C$42, 121.3997, 121.3997) * CHOOSE(CONTROL!$C$21, $C$9, 100%, $E$9)</f>
        <v>121.3997</v>
      </c>
      <c r="C986" s="14">
        <f>CHOOSE(CONTROL!$C$42, 121.4048, 121.4048) * CHOOSE(CONTROL!$C$21, $C$9, 100%, $E$9)</f>
        <v>121.40479999999999</v>
      </c>
      <c r="D986" s="14">
        <f>CHOOSE(CONTROL!$C$42, 121.4712, 121.4712) * CHOOSE(CONTROL!$C$21, $C$9, 100%, $E$9)</f>
        <v>121.4712</v>
      </c>
      <c r="E986" s="14">
        <f>CHOOSE(CONTROL!$C$42, 121.5053, 121.5053) * CHOOSE(CONTROL!$C$21, $C$9, 100%, $E$9)</f>
        <v>121.50530000000001</v>
      </c>
      <c r="F986" s="14">
        <f>CHOOSE(CONTROL!$C$42, 121.3871, 121.3871)*CHOOSE(CONTROL!$C$21, $C$9, 100%, $E$9)</f>
        <v>121.3871</v>
      </c>
      <c r="G986" s="14">
        <f>CHOOSE(CONTROL!$C$42, 121.4026, 121.4026)*CHOOSE(CONTROL!$C$21, $C$9, 100%, $E$9)</f>
        <v>121.40260000000001</v>
      </c>
      <c r="H986" s="14">
        <f>CHOOSE(CONTROL!$C$42, 121.4945, 121.4945) * CHOOSE(CONTROL!$C$21, $C$9, 100%, $E$9)</f>
        <v>121.4945</v>
      </c>
      <c r="I986" s="14">
        <f>CHOOSE(CONTROL!$C$42, 121.7875, 121.7875)* CHOOSE(CONTROL!$C$21, $C$9, 100%, $E$9)</f>
        <v>121.78749999999999</v>
      </c>
      <c r="J986" s="14">
        <f>CHOOSE(CONTROL!$C$42, 121.3801, 121.3801)* CHOOSE(CONTROL!$C$21, $C$9, 100%, $E$9)</f>
        <v>121.3801</v>
      </c>
      <c r="K986" s="53">
        <f>CHOOSE(CONTROL!$C$42, 121.7836, 121.7836) * CHOOSE(CONTROL!$C$21, $C$9, 100%, $E$9)</f>
        <v>121.78360000000001</v>
      </c>
      <c r="L986" s="14">
        <f>CHOOSE(CONTROL!$C$42, 122.0815, 122.0815) * CHOOSE(CONTROL!$C$21, $C$9, 100%, $E$9)</f>
        <v>122.08150000000001</v>
      </c>
      <c r="M986" s="14">
        <f>CHOOSE(CONTROL!$C$42, 118.9008, 118.9008) * CHOOSE(CONTROL!$C$21, $C$9, 100%, $E$9)</f>
        <v>118.9008</v>
      </c>
      <c r="N986" s="14">
        <f>CHOOSE(CONTROL!$C$42, 118.916, 118.916) * CHOOSE(CONTROL!$C$21, $C$9, 100%, $E$9)</f>
        <v>118.916</v>
      </c>
      <c r="O986" s="14">
        <f>CHOOSE(CONTROL!$C$42, 119.0128, 119.0128) * CHOOSE(CONTROL!$C$21, $C$9, 100%, $E$9)</f>
        <v>119.0128</v>
      </c>
      <c r="P986" s="14">
        <f>CHOOSE(CONTROL!$C$42, 119.2923, 119.2923) * CHOOSE(CONTROL!$C$21, $C$9, 100%, $E$9)</f>
        <v>119.2923</v>
      </c>
      <c r="Q986" s="14">
        <f>CHOOSE(CONTROL!$C$42, 119.6075, 119.6075) * CHOOSE(CONTROL!$C$21, $C$9, 100%, $E$9)</f>
        <v>119.6075</v>
      </c>
      <c r="R986" s="14">
        <f>CHOOSE(CONTROL!$C$42, 120.4936, 120.4936) * CHOOSE(CONTROL!$C$21, $C$9, 100%, $E$9)</f>
        <v>120.4936</v>
      </c>
      <c r="S986" s="14">
        <f>CHOOSE(CONTROL!$C$42, 116.6444, 116.6444) * CHOOSE(CONTROL!$C$21, $C$9, 100%, $E$9)</f>
        <v>116.6444</v>
      </c>
      <c r="T98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86" s="57">
        <f>(1000*CHOOSE(CONTROL!$C$42, 695, 695)*CHOOSE(CONTROL!$C$42, 0.5599, 0.5599)*CHOOSE(CONTROL!$C$42, 28, 28))/1000000</f>
        <v>10.895653999999999</v>
      </c>
      <c r="V986" s="57">
        <f>(1000*CHOOSE(CONTROL!$C$42, 500, 500)*CHOOSE(CONTROL!$C$42, 0.275, 0.275)*CHOOSE(CONTROL!$C$42, 28, 28))/1000000</f>
        <v>3.85</v>
      </c>
      <c r="W986" s="57">
        <f>(1000*CHOOSE(CONTROL!$C$42, 0.1146, 0.1146)*CHOOSE(CONTROL!$C$42, 121.5, 121.5)*CHOOSE(CONTROL!$C$42, 28, 28))/1000000</f>
        <v>0.38986920000000003</v>
      </c>
      <c r="X986" s="57">
        <f>(28*0.1790888*100000/1000000)+(28*0.2374*100000/1000000)</f>
        <v>1.16616864</v>
      </c>
      <c r="Y986" s="57"/>
      <c r="Z986" s="14"/>
      <c r="AA986" s="56"/>
      <c r="AB986" s="50">
        <f>(B986*122.58+C986*297.941+D986*89.177+E986*40.302+F986*40+G986*160+H986*0+I986*100+J986*300)/(122.58+297.941+89.177+40.302+0+40+160+100+300)</f>
        <v>121.43884047460868</v>
      </c>
      <c r="AC986" s="45">
        <f>(M986*'RAP TEMPLATE-GAS AVAILABILITY'!O985+N986*'RAP TEMPLATE-GAS AVAILABILITY'!P985+O986*'RAP TEMPLATE-GAS AVAILABILITY'!Q985+P986*'RAP TEMPLATE-GAS AVAILABILITY'!R985)/('RAP TEMPLATE-GAS AVAILABILITY'!O985+'RAP TEMPLATE-GAS AVAILABILITY'!P985+'RAP TEMPLATE-GAS AVAILABILITY'!Q985+'RAP TEMPLATE-GAS AVAILABILITY'!R985)</f>
        <v>119.00876834532373</v>
      </c>
    </row>
    <row r="987" spans="1:29" ht="15.75" x14ac:dyDescent="0.25">
      <c r="A987" s="32">
        <v>70949</v>
      </c>
      <c r="B987" s="14">
        <f>CHOOSE(CONTROL!$C$42, 117.9534, 117.9534) * CHOOSE(CONTROL!$C$21, $C$9, 100%, $E$9)</f>
        <v>117.9534</v>
      </c>
      <c r="C987" s="14">
        <f>CHOOSE(CONTROL!$C$42, 117.9584, 117.9584) * CHOOSE(CONTROL!$C$21, $C$9, 100%, $E$9)</f>
        <v>117.9584</v>
      </c>
      <c r="D987" s="14">
        <f>CHOOSE(CONTROL!$C$42, 118.0248, 118.0248) * CHOOSE(CONTROL!$C$21, $C$9, 100%, $E$9)</f>
        <v>118.0248</v>
      </c>
      <c r="E987" s="14">
        <f>CHOOSE(CONTROL!$C$42, 118.0589, 118.0589) * CHOOSE(CONTROL!$C$21, $C$9, 100%, $E$9)</f>
        <v>118.05889999999999</v>
      </c>
      <c r="F987" s="14">
        <f>CHOOSE(CONTROL!$C$42, 117.9404, 117.9404)*CHOOSE(CONTROL!$C$21, $C$9, 100%, $E$9)</f>
        <v>117.9404</v>
      </c>
      <c r="G987" s="14">
        <f>CHOOSE(CONTROL!$C$42, 117.9557, 117.9557)*CHOOSE(CONTROL!$C$21, $C$9, 100%, $E$9)</f>
        <v>117.95569999999999</v>
      </c>
      <c r="H987" s="14">
        <f>CHOOSE(CONTROL!$C$42, 118.0481, 118.0481) * CHOOSE(CONTROL!$C$21, $C$9, 100%, $E$9)</f>
        <v>118.04810000000001</v>
      </c>
      <c r="I987" s="14">
        <f>CHOOSE(CONTROL!$C$42, 118.3304, 118.3304)* CHOOSE(CONTROL!$C$21, $C$9, 100%, $E$9)</f>
        <v>118.3304</v>
      </c>
      <c r="J987" s="14">
        <f>CHOOSE(CONTROL!$C$42, 117.9334, 117.9334)* CHOOSE(CONTROL!$C$21, $C$9, 100%, $E$9)</f>
        <v>117.93340000000001</v>
      </c>
      <c r="K987" s="53">
        <f>CHOOSE(CONTROL!$C$42, 118.3265, 118.3265) * CHOOSE(CONTROL!$C$21, $C$9, 100%, $E$9)</f>
        <v>118.3265</v>
      </c>
      <c r="L987" s="14">
        <f>CHOOSE(CONTROL!$C$42, 118.6351, 118.6351) * CHOOSE(CONTROL!$C$21, $C$9, 100%, $E$9)</f>
        <v>118.63509999999999</v>
      </c>
      <c r="M987" s="14">
        <f>CHOOSE(CONTROL!$C$42, 115.5247, 115.5247) * CHOOSE(CONTROL!$C$21, $C$9, 100%, $E$9)</f>
        <v>115.5247</v>
      </c>
      <c r="N987" s="14">
        <f>CHOOSE(CONTROL!$C$42, 115.5397, 115.5397) * CHOOSE(CONTROL!$C$21, $C$9, 100%, $E$9)</f>
        <v>115.5397</v>
      </c>
      <c r="O987" s="14">
        <f>CHOOSE(CONTROL!$C$42, 115.6371, 115.6371) * CHOOSE(CONTROL!$C$21, $C$9, 100%, $E$9)</f>
        <v>115.6371</v>
      </c>
      <c r="P987" s="14">
        <f>CHOOSE(CONTROL!$C$42, 115.9062, 115.9062) * CHOOSE(CONTROL!$C$21, $C$9, 100%, $E$9)</f>
        <v>115.9062</v>
      </c>
      <c r="Q987" s="14">
        <f>CHOOSE(CONTROL!$C$42, 116.2318, 116.2318) * CHOOSE(CONTROL!$C$21, $C$9, 100%, $E$9)</f>
        <v>116.23180000000001</v>
      </c>
      <c r="R987" s="14">
        <f>CHOOSE(CONTROL!$C$42, 117.1094, 117.1094) * CHOOSE(CONTROL!$C$21, $C$9, 100%, $E$9)</f>
        <v>117.10939999999999</v>
      </c>
      <c r="S987" s="14">
        <f>CHOOSE(CONTROL!$C$42, 113.3328, 113.3328) * CHOOSE(CONTROL!$C$21, $C$9, 100%, $E$9)</f>
        <v>113.33280000000001</v>
      </c>
      <c r="T98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87" s="57">
        <f>(1000*CHOOSE(CONTROL!$C$42, 695, 695)*CHOOSE(CONTROL!$C$42, 0.5599, 0.5599)*CHOOSE(CONTROL!$C$42, 31, 31))/1000000</f>
        <v>12.063045499999998</v>
      </c>
      <c r="V987" s="57">
        <f>(1000*CHOOSE(CONTROL!$C$42, 500, 500)*CHOOSE(CONTROL!$C$42, 0.275, 0.275)*CHOOSE(CONTROL!$C$42, 31, 31))/1000000</f>
        <v>4.2625000000000002</v>
      </c>
      <c r="W987" s="57">
        <f>(1000*CHOOSE(CONTROL!$C$42, 0.1146, 0.1146)*CHOOSE(CONTROL!$C$42, 121.5, 121.5)*CHOOSE(CONTROL!$C$42, 31, 31))/1000000</f>
        <v>0.43164089999999994</v>
      </c>
      <c r="X987" s="57">
        <f>(31*0.1790888*100000/1000000)+(31*0.2374*100000/1000000)</f>
        <v>1.2911152800000001</v>
      </c>
      <c r="Y987" s="57"/>
      <c r="Z987" s="14"/>
      <c r="AA987" s="56"/>
      <c r="AB987" s="50">
        <f>(B987*122.58+C987*297.941+D987*89.177+E987*40.302+F987*40+G987*160+H987*0+I987*100+J987*300)/(122.58+297.941+89.177+40.302+0+40+160+100+300)</f>
        <v>117.99136243808695</v>
      </c>
      <c r="AC987" s="45">
        <f>(M987*'RAP TEMPLATE-GAS AVAILABILITY'!O986+N987*'RAP TEMPLATE-GAS AVAILABILITY'!P986+O987*'RAP TEMPLATE-GAS AVAILABILITY'!Q986+P987*'RAP TEMPLATE-GAS AVAILABILITY'!R986)/('RAP TEMPLATE-GAS AVAILABILITY'!O986+'RAP TEMPLATE-GAS AVAILABILITY'!P986+'RAP TEMPLATE-GAS AVAILABILITY'!Q986+'RAP TEMPLATE-GAS AVAILABILITY'!R986)</f>
        <v>115.63139928057554</v>
      </c>
    </row>
    <row r="988" spans="1:29" ht="15.75" x14ac:dyDescent="0.25">
      <c r="A988" s="32">
        <v>70979</v>
      </c>
      <c r="B988" s="14">
        <f>CHOOSE(CONTROL!$C$42, 117.6014, 117.6014) * CHOOSE(CONTROL!$C$21, $C$9, 100%, $E$9)</f>
        <v>117.6014</v>
      </c>
      <c r="C988" s="14">
        <f>CHOOSE(CONTROL!$C$42, 117.6059, 117.6059) * CHOOSE(CONTROL!$C$21, $C$9, 100%, $E$9)</f>
        <v>117.60590000000001</v>
      </c>
      <c r="D988" s="14">
        <f>CHOOSE(CONTROL!$C$42, 117.8129, 117.8129) * CHOOSE(CONTROL!$C$21, $C$9, 100%, $E$9)</f>
        <v>117.8129</v>
      </c>
      <c r="E988" s="14">
        <f>CHOOSE(CONTROL!$C$42, 117.845, 117.845) * CHOOSE(CONTROL!$C$21, $C$9, 100%, $E$9)</f>
        <v>117.845</v>
      </c>
      <c r="F988" s="14">
        <f>CHOOSE(CONTROL!$C$42, 117.5833, 117.5833)*CHOOSE(CONTROL!$C$21, $C$9, 100%, $E$9)</f>
        <v>117.58329999999999</v>
      </c>
      <c r="G988" s="14">
        <f>CHOOSE(CONTROL!$C$42, 117.5985, 117.5985)*CHOOSE(CONTROL!$C$21, $C$9, 100%, $E$9)</f>
        <v>117.5985</v>
      </c>
      <c r="H988" s="14">
        <f>CHOOSE(CONTROL!$C$42, 117.8348, 117.8348) * CHOOSE(CONTROL!$C$21, $C$9, 100%, $E$9)</f>
        <v>117.8348</v>
      </c>
      <c r="I988" s="14">
        <f>CHOOSE(CONTROL!$C$42, 117.9765, 117.9765)* CHOOSE(CONTROL!$C$21, $C$9, 100%, $E$9)</f>
        <v>117.9765</v>
      </c>
      <c r="J988" s="14">
        <f>CHOOSE(CONTROL!$C$42, 117.5763, 117.5763)* CHOOSE(CONTROL!$C$21, $C$9, 100%, $E$9)</f>
        <v>117.5763</v>
      </c>
      <c r="K988" s="53">
        <f>CHOOSE(CONTROL!$C$42, 117.9726, 117.9726) * CHOOSE(CONTROL!$C$21, $C$9, 100%, $E$9)</f>
        <v>117.9726</v>
      </c>
      <c r="L988" s="14">
        <f>CHOOSE(CONTROL!$C$42, 118.4218, 118.4218) * CHOOSE(CONTROL!$C$21, $C$9, 100%, $E$9)</f>
        <v>118.4218</v>
      </c>
      <c r="M988" s="14">
        <f>CHOOSE(CONTROL!$C$42, 115.1749, 115.1749) * CHOOSE(CONTROL!$C$21, $C$9, 100%, $E$9)</f>
        <v>115.17489999999999</v>
      </c>
      <c r="N988" s="14">
        <f>CHOOSE(CONTROL!$C$42, 115.1898, 115.1898) * CHOOSE(CONTROL!$C$21, $C$9, 100%, $E$9)</f>
        <v>115.18980000000001</v>
      </c>
      <c r="O988" s="14">
        <f>CHOOSE(CONTROL!$C$42, 115.4282, 115.4282) * CHOOSE(CONTROL!$C$21, $C$9, 100%, $E$9)</f>
        <v>115.4282</v>
      </c>
      <c r="P988" s="14">
        <f>CHOOSE(CONTROL!$C$42, 115.5596, 115.5596) * CHOOSE(CONTROL!$C$21, $C$9, 100%, $E$9)</f>
        <v>115.5596</v>
      </c>
      <c r="Q988" s="14">
        <f>CHOOSE(CONTROL!$C$42, 116.0229, 116.0229) * CHOOSE(CONTROL!$C$21, $C$9, 100%, $E$9)</f>
        <v>116.02290000000001</v>
      </c>
      <c r="R988" s="14">
        <f>CHOOSE(CONTROL!$C$42, 116.8999, 116.8999) * CHOOSE(CONTROL!$C$21, $C$9, 100%, $E$9)</f>
        <v>116.8999</v>
      </c>
      <c r="S988" s="14">
        <f>CHOOSE(CONTROL!$C$42, 112.9939, 112.9939) * CHOOSE(CONTROL!$C$21, $C$9, 100%, $E$9)</f>
        <v>112.9939</v>
      </c>
      <c r="T98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88" s="57">
        <f>(1000*CHOOSE(CONTROL!$C$42, 695, 695)*CHOOSE(CONTROL!$C$42, 0.5599, 0.5599)*CHOOSE(CONTROL!$C$42, 30, 30))/1000000</f>
        <v>11.673914999999997</v>
      </c>
      <c r="V988" s="57">
        <f>(1000*CHOOSE(CONTROL!$C$42, 500, 500)*CHOOSE(CONTROL!$C$42, 0.275, 0.275)*CHOOSE(CONTROL!$C$42, 30, 30))/1000000</f>
        <v>4.125</v>
      </c>
      <c r="W988" s="57">
        <f>(1000*CHOOSE(CONTROL!$C$42, 0.1146, 0.1146)*CHOOSE(CONTROL!$C$42, 121.5, 121.5)*CHOOSE(CONTROL!$C$42, 30, 30))/1000000</f>
        <v>0.417717</v>
      </c>
      <c r="X988" s="57">
        <f>(30*0.1790888*245000/1000000)+(30*0.2374*100000/1000000)</f>
        <v>2.0285026799999999</v>
      </c>
      <c r="Y988" s="57"/>
      <c r="Z988" s="14"/>
      <c r="AA988" s="56"/>
      <c r="AB988" s="50">
        <f>(B988*141.293+C988*267.993+D988*115.016+E988*89.698+F988*40+G988*185+H988*0+I988*100+J988*300)/(141.293+267.993+115.016+89.698+0+40+185+100+300)</f>
        <v>117.66282194132364</v>
      </c>
      <c r="AC988" s="45">
        <f>(M988*'RAP TEMPLATE-GAS AVAILABILITY'!O987+N988*'RAP TEMPLATE-GAS AVAILABILITY'!P987+O988*'RAP TEMPLATE-GAS AVAILABILITY'!Q987+P988*'RAP TEMPLATE-GAS AVAILABILITY'!R987)/('RAP TEMPLATE-GAS AVAILABILITY'!O987+'RAP TEMPLATE-GAS AVAILABILITY'!P987+'RAP TEMPLATE-GAS AVAILABILITY'!Q987+'RAP TEMPLATE-GAS AVAILABILITY'!R987)</f>
        <v>115.34591510791368</v>
      </c>
    </row>
    <row r="989" spans="1:29" ht="15.75" x14ac:dyDescent="0.25">
      <c r="A989" s="32">
        <v>71010</v>
      </c>
      <c r="B989" s="14">
        <f>CHOOSE(CONTROL!$C$42, 118.6406, 118.6406) * CHOOSE(CONTROL!$C$21, $C$9, 100%, $E$9)</f>
        <v>118.64060000000001</v>
      </c>
      <c r="C989" s="14">
        <f>CHOOSE(CONTROL!$C$42, 118.6487, 118.6487) * CHOOSE(CONTROL!$C$21, $C$9, 100%, $E$9)</f>
        <v>118.64870000000001</v>
      </c>
      <c r="D989" s="14">
        <f>CHOOSE(CONTROL!$C$42, 118.8526, 118.8526) * CHOOSE(CONTROL!$C$21, $C$9, 100%, $E$9)</f>
        <v>118.8526</v>
      </c>
      <c r="E989" s="14">
        <f>CHOOSE(CONTROL!$C$42, 118.8841, 118.8841) * CHOOSE(CONTROL!$C$21, $C$9, 100%, $E$9)</f>
        <v>118.8841</v>
      </c>
      <c r="F989" s="14">
        <f>CHOOSE(CONTROL!$C$42, 118.6214, 118.6214)*CHOOSE(CONTROL!$C$21, $C$9, 100%, $E$9)</f>
        <v>118.62139999999999</v>
      </c>
      <c r="G989" s="14">
        <f>CHOOSE(CONTROL!$C$42, 118.637, 118.637)*CHOOSE(CONTROL!$C$21, $C$9, 100%, $E$9)</f>
        <v>118.637</v>
      </c>
      <c r="H989" s="14">
        <f>CHOOSE(CONTROL!$C$42, 118.8727, 118.8727) * CHOOSE(CONTROL!$C$21, $C$9, 100%, $E$9)</f>
        <v>118.87269999999999</v>
      </c>
      <c r="I989" s="14">
        <f>CHOOSE(CONTROL!$C$42, 119.0176, 119.0176)* CHOOSE(CONTROL!$C$21, $C$9, 100%, $E$9)</f>
        <v>119.0176</v>
      </c>
      <c r="J989" s="14">
        <f>CHOOSE(CONTROL!$C$42, 118.6144, 118.6144)* CHOOSE(CONTROL!$C$21, $C$9, 100%, $E$9)</f>
        <v>118.6144</v>
      </c>
      <c r="K989" s="53">
        <f>CHOOSE(CONTROL!$C$42, 119.0138, 119.0138) * CHOOSE(CONTROL!$C$21, $C$9, 100%, $E$9)</f>
        <v>119.0138</v>
      </c>
      <c r="L989" s="14">
        <f>CHOOSE(CONTROL!$C$42, 119.4597, 119.4597) * CHOOSE(CONTROL!$C$21, $C$9, 100%, $E$9)</f>
        <v>119.4597</v>
      </c>
      <c r="M989" s="14">
        <f>CHOOSE(CONTROL!$C$42, 116.1917, 116.1917) * CHOOSE(CONTROL!$C$21, $C$9, 100%, $E$9)</f>
        <v>116.1917</v>
      </c>
      <c r="N989" s="14">
        <f>CHOOSE(CONTROL!$C$42, 116.2071, 116.2071) * CHOOSE(CONTROL!$C$21, $C$9, 100%, $E$9)</f>
        <v>116.2071</v>
      </c>
      <c r="O989" s="14">
        <f>CHOOSE(CONTROL!$C$42, 116.4448, 116.4448) * CHOOSE(CONTROL!$C$21, $C$9, 100%, $E$9)</f>
        <v>116.4448</v>
      </c>
      <c r="P989" s="14">
        <f>CHOOSE(CONTROL!$C$42, 116.5794, 116.5794) * CHOOSE(CONTROL!$C$21, $C$9, 100%, $E$9)</f>
        <v>116.57940000000001</v>
      </c>
      <c r="Q989" s="14">
        <f>CHOOSE(CONTROL!$C$42, 117.0395, 117.0395) * CHOOSE(CONTROL!$C$21, $C$9, 100%, $E$9)</f>
        <v>117.0395</v>
      </c>
      <c r="R989" s="14">
        <f>CHOOSE(CONTROL!$C$42, 117.9191, 117.9191) * CHOOSE(CONTROL!$C$21, $C$9, 100%, $E$9)</f>
        <v>117.9191</v>
      </c>
      <c r="S989" s="14">
        <f>CHOOSE(CONTROL!$C$42, 113.9912, 113.9912) * CHOOSE(CONTROL!$C$21, $C$9, 100%, $E$9)</f>
        <v>113.99120000000001</v>
      </c>
      <c r="T98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89" s="57">
        <f>(1000*CHOOSE(CONTROL!$C$42, 695, 695)*CHOOSE(CONTROL!$C$42, 0.5599, 0.5599)*CHOOSE(CONTROL!$C$42, 31, 31))/1000000</f>
        <v>12.063045499999998</v>
      </c>
      <c r="V989" s="57">
        <f>(1000*CHOOSE(CONTROL!$C$42, 500, 500)*CHOOSE(CONTROL!$C$42, 0.275, 0.275)*CHOOSE(CONTROL!$C$42, 31, 31))/1000000</f>
        <v>4.2625000000000002</v>
      </c>
      <c r="W989" s="57">
        <f>(1000*CHOOSE(CONTROL!$C$42, 0.1146, 0.1146)*CHOOSE(CONTROL!$C$42, 121.5, 121.5)*CHOOSE(CONTROL!$C$42, 31, 31))/1000000</f>
        <v>0.43164089999999994</v>
      </c>
      <c r="X989" s="57">
        <f>(31*0.1790888*245000/1000000)+(31*0.2374*100000/1000000)</f>
        <v>2.0961194359999999</v>
      </c>
      <c r="Y989" s="57"/>
      <c r="Z989" s="14"/>
      <c r="AA989" s="56"/>
      <c r="AB989" s="50">
        <f>(B989*194.205+C989*267.466+D989*133.845+E989*53.484+F989*40+G989*185+H989*0+I989*100+J989*300)/(194.205+267.466+133.845+53.484+0+40+185+100+300)</f>
        <v>118.69709212605967</v>
      </c>
      <c r="AC989" s="45">
        <f>(M989*'RAP TEMPLATE-GAS AVAILABILITY'!O988+N989*'RAP TEMPLATE-GAS AVAILABILITY'!P988+O989*'RAP TEMPLATE-GAS AVAILABILITY'!Q988+P989*'RAP TEMPLATE-GAS AVAILABILITY'!R988)/('RAP TEMPLATE-GAS AVAILABILITY'!O988+'RAP TEMPLATE-GAS AVAILABILITY'!P988+'RAP TEMPLATE-GAS AVAILABILITY'!Q988+'RAP TEMPLATE-GAS AVAILABILITY'!R988)</f>
        <v>116.36308489208632</v>
      </c>
    </row>
    <row r="990" spans="1:29" ht="15.75" x14ac:dyDescent="0.25">
      <c r="A990" s="32">
        <v>71040</v>
      </c>
      <c r="B990" s="14">
        <f>CHOOSE(CONTROL!$C$42, 122.0057, 122.0057) * CHOOSE(CONTROL!$C$21, $C$9, 100%, $E$9)</f>
        <v>122.0057</v>
      </c>
      <c r="C990" s="14">
        <f>CHOOSE(CONTROL!$C$42, 122.0137, 122.0137) * CHOOSE(CONTROL!$C$21, $C$9, 100%, $E$9)</f>
        <v>122.0137</v>
      </c>
      <c r="D990" s="14">
        <f>CHOOSE(CONTROL!$C$42, 122.2177, 122.2177) * CHOOSE(CONTROL!$C$21, $C$9, 100%, $E$9)</f>
        <v>122.21769999999999</v>
      </c>
      <c r="E990" s="14">
        <f>CHOOSE(CONTROL!$C$42, 122.2491, 122.2491) * CHOOSE(CONTROL!$C$21, $C$9, 100%, $E$9)</f>
        <v>122.2491</v>
      </c>
      <c r="F990" s="14">
        <f>CHOOSE(CONTROL!$C$42, 121.9869, 121.9869)*CHOOSE(CONTROL!$C$21, $C$9, 100%, $E$9)</f>
        <v>121.98690000000001</v>
      </c>
      <c r="G990" s="14">
        <f>CHOOSE(CONTROL!$C$42, 122.0027, 122.0027)*CHOOSE(CONTROL!$C$21, $C$9, 100%, $E$9)</f>
        <v>122.0027</v>
      </c>
      <c r="H990" s="14">
        <f>CHOOSE(CONTROL!$C$42, 122.2378, 122.2378) * CHOOSE(CONTROL!$C$21, $C$9, 100%, $E$9)</f>
        <v>122.23779999999999</v>
      </c>
      <c r="I990" s="14">
        <f>CHOOSE(CONTROL!$C$42, 122.3933, 122.3933)* CHOOSE(CONTROL!$C$21, $C$9, 100%, $E$9)</f>
        <v>122.3933</v>
      </c>
      <c r="J990" s="14">
        <f>CHOOSE(CONTROL!$C$42, 121.9799, 121.9799)* CHOOSE(CONTROL!$C$21, $C$9, 100%, $E$9)</f>
        <v>121.9799</v>
      </c>
      <c r="K990" s="53">
        <f>CHOOSE(CONTROL!$C$42, 122.3894, 122.3894) * CHOOSE(CONTROL!$C$21, $C$9, 100%, $E$9)</f>
        <v>122.38939999999999</v>
      </c>
      <c r="L990" s="14">
        <f>CHOOSE(CONTROL!$C$42, 122.8248, 122.8248) * CHOOSE(CONTROL!$C$21, $C$9, 100%, $E$9)</f>
        <v>122.8248</v>
      </c>
      <c r="M990" s="14">
        <f>CHOOSE(CONTROL!$C$42, 119.4883, 119.4883) * CHOOSE(CONTROL!$C$21, $C$9, 100%, $E$9)</f>
        <v>119.4883</v>
      </c>
      <c r="N990" s="14">
        <f>CHOOSE(CONTROL!$C$42, 119.5037, 119.5037) * CHOOSE(CONTROL!$C$21, $C$9, 100%, $E$9)</f>
        <v>119.50369999999999</v>
      </c>
      <c r="O990" s="14">
        <f>CHOOSE(CONTROL!$C$42, 119.7409, 119.7409) * CHOOSE(CONTROL!$C$21, $C$9, 100%, $E$9)</f>
        <v>119.7409</v>
      </c>
      <c r="P990" s="14">
        <f>CHOOSE(CONTROL!$C$42, 119.8856, 119.8856) * CHOOSE(CONTROL!$C$21, $C$9, 100%, $E$9)</f>
        <v>119.8856</v>
      </c>
      <c r="Q990" s="14">
        <f>CHOOSE(CONTROL!$C$42, 120.3356, 120.3356) * CHOOSE(CONTROL!$C$21, $C$9, 100%, $E$9)</f>
        <v>120.3356</v>
      </c>
      <c r="R990" s="14">
        <f>CHOOSE(CONTROL!$C$42, 121.2234, 121.2234) * CHOOSE(CONTROL!$C$21, $C$9, 100%, $E$9)</f>
        <v>121.2234</v>
      </c>
      <c r="S990" s="14">
        <f>CHOOSE(CONTROL!$C$42, 117.2247, 117.2247) * CHOOSE(CONTROL!$C$21, $C$9, 100%, $E$9)</f>
        <v>117.2247</v>
      </c>
      <c r="T99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90" s="57">
        <f>(1000*CHOOSE(CONTROL!$C$42, 695, 695)*CHOOSE(CONTROL!$C$42, 0.5599, 0.5599)*CHOOSE(CONTROL!$C$42, 30, 30))/1000000</f>
        <v>11.673914999999997</v>
      </c>
      <c r="V990" s="57">
        <f>(1000*CHOOSE(CONTROL!$C$42, 500, 500)*CHOOSE(CONTROL!$C$42, 0.275, 0.275)*CHOOSE(CONTROL!$C$42, 30, 30))/1000000</f>
        <v>4.125</v>
      </c>
      <c r="W990" s="57">
        <f>(1000*CHOOSE(CONTROL!$C$42, 0.1146, 0.1146)*CHOOSE(CONTROL!$C$42, 121.5, 121.5)*CHOOSE(CONTROL!$C$42, 30, 30))/1000000</f>
        <v>0.417717</v>
      </c>
      <c r="X990" s="57">
        <f>(30*0.1790888*245000/1000000)+(30*0.2374*100000/1000000)</f>
        <v>2.0285026799999999</v>
      </c>
      <c r="Y990" s="57"/>
      <c r="Z990" s="14"/>
      <c r="AA990" s="56"/>
      <c r="AB990" s="50">
        <f>(B990*194.205+C990*267.466+D990*133.845+E990*53.484+F990*40+G990*185+H990*0+I990*100+J990*300)/(194.205+267.466+133.845+53.484+0+40+185+100+300)</f>
        <v>122.06319283642071</v>
      </c>
      <c r="AC990" s="45">
        <f>(M990*'RAP TEMPLATE-GAS AVAILABILITY'!O989+N990*'RAP TEMPLATE-GAS AVAILABILITY'!P989+O990*'RAP TEMPLATE-GAS AVAILABILITY'!Q989+P990*'RAP TEMPLATE-GAS AVAILABILITY'!R989)/('RAP TEMPLATE-GAS AVAILABILITY'!O989+'RAP TEMPLATE-GAS AVAILABILITY'!P989+'RAP TEMPLATE-GAS AVAILABILITY'!Q989+'RAP TEMPLATE-GAS AVAILABILITY'!R989)</f>
        <v>119.66083956834531</v>
      </c>
    </row>
    <row r="991" spans="1:29" ht="15.75" x14ac:dyDescent="0.25">
      <c r="A991" s="32">
        <v>71071</v>
      </c>
      <c r="B991" s="14">
        <f>CHOOSE(CONTROL!$C$42, 119.6653, 119.6653) * CHOOSE(CONTROL!$C$21, $C$9, 100%, $E$9)</f>
        <v>119.6653</v>
      </c>
      <c r="C991" s="14">
        <f>CHOOSE(CONTROL!$C$42, 119.6733, 119.6733) * CHOOSE(CONTROL!$C$21, $C$9, 100%, $E$9)</f>
        <v>119.6733</v>
      </c>
      <c r="D991" s="14">
        <f>CHOOSE(CONTROL!$C$42, 119.8772, 119.8772) * CHOOSE(CONTROL!$C$21, $C$9, 100%, $E$9)</f>
        <v>119.8772</v>
      </c>
      <c r="E991" s="14">
        <f>CHOOSE(CONTROL!$C$42, 119.9087, 119.9087) * CHOOSE(CONTROL!$C$21, $C$9, 100%, $E$9)</f>
        <v>119.9087</v>
      </c>
      <c r="F991" s="14">
        <f>CHOOSE(CONTROL!$C$42, 119.6469, 119.6469)*CHOOSE(CONTROL!$C$21, $C$9, 100%, $E$9)</f>
        <v>119.6469</v>
      </c>
      <c r="G991" s="14">
        <f>CHOOSE(CONTROL!$C$42, 119.6628, 119.6628)*CHOOSE(CONTROL!$C$21, $C$9, 100%, $E$9)</f>
        <v>119.6628</v>
      </c>
      <c r="H991" s="14">
        <f>CHOOSE(CONTROL!$C$42, 119.8973, 119.8973) * CHOOSE(CONTROL!$C$21, $C$9, 100%, $E$9)</f>
        <v>119.8973</v>
      </c>
      <c r="I991" s="14">
        <f>CHOOSE(CONTROL!$C$42, 120.0455, 120.0455)* CHOOSE(CONTROL!$C$21, $C$9, 100%, $E$9)</f>
        <v>120.0455</v>
      </c>
      <c r="J991" s="14">
        <f>CHOOSE(CONTROL!$C$42, 119.6399, 119.6399)* CHOOSE(CONTROL!$C$21, $C$9, 100%, $E$9)</f>
        <v>119.6399</v>
      </c>
      <c r="K991" s="53">
        <f>CHOOSE(CONTROL!$C$42, 120.0416, 120.0416) * CHOOSE(CONTROL!$C$21, $C$9, 100%, $E$9)</f>
        <v>120.0416</v>
      </c>
      <c r="L991" s="14">
        <f>CHOOSE(CONTROL!$C$42, 120.4843, 120.4843) * CHOOSE(CONTROL!$C$21, $C$9, 100%, $E$9)</f>
        <v>120.4843</v>
      </c>
      <c r="M991" s="14">
        <f>CHOOSE(CONTROL!$C$42, 117.1963, 117.1963) * CHOOSE(CONTROL!$C$21, $C$9, 100%, $E$9)</f>
        <v>117.19629999999999</v>
      </c>
      <c r="N991" s="14">
        <f>CHOOSE(CONTROL!$C$42, 117.2118, 117.2118) * CHOOSE(CONTROL!$C$21, $C$9, 100%, $E$9)</f>
        <v>117.2118</v>
      </c>
      <c r="O991" s="14">
        <f>CHOOSE(CONTROL!$C$42, 117.4484, 117.4484) * CHOOSE(CONTROL!$C$21, $C$9, 100%, $E$9)</f>
        <v>117.44840000000001</v>
      </c>
      <c r="P991" s="14">
        <f>CHOOSE(CONTROL!$C$42, 117.5861, 117.5861) * CHOOSE(CONTROL!$C$21, $C$9, 100%, $E$9)</f>
        <v>117.5861</v>
      </c>
      <c r="Q991" s="14">
        <f>CHOOSE(CONTROL!$C$42, 118.0431, 118.0431) * CHOOSE(CONTROL!$C$21, $C$9, 100%, $E$9)</f>
        <v>118.0431</v>
      </c>
      <c r="R991" s="14">
        <f>CHOOSE(CONTROL!$C$42, 118.9252, 118.9252) * CHOOSE(CONTROL!$C$21, $C$9, 100%, $E$9)</f>
        <v>118.9252</v>
      </c>
      <c r="S991" s="14">
        <f>CHOOSE(CONTROL!$C$42, 114.9757, 114.9757) * CHOOSE(CONTROL!$C$21, $C$9, 100%, $E$9)</f>
        <v>114.9757</v>
      </c>
      <c r="T99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91" s="57">
        <f>(1000*CHOOSE(CONTROL!$C$42, 695, 695)*CHOOSE(CONTROL!$C$42, 0.5599, 0.5599)*CHOOSE(CONTROL!$C$42, 31, 31))/1000000</f>
        <v>12.063045499999998</v>
      </c>
      <c r="V991" s="57">
        <f>(1000*CHOOSE(CONTROL!$C$42, 500, 500)*CHOOSE(CONTROL!$C$42, 0.275, 0.275)*CHOOSE(CONTROL!$C$42, 31, 31))/1000000</f>
        <v>4.2625000000000002</v>
      </c>
      <c r="W991" s="57">
        <f>(1000*CHOOSE(CONTROL!$C$42, 0.1146, 0.1146)*CHOOSE(CONTROL!$C$42, 121.5, 121.5)*CHOOSE(CONTROL!$C$42, 31, 31))/1000000</f>
        <v>0.43164089999999994</v>
      </c>
      <c r="X991" s="57">
        <f>(31*0.1790888*245000/1000000)+(31*0.2374*100000/1000000)</f>
        <v>2.0961194359999999</v>
      </c>
      <c r="Y991" s="57"/>
      <c r="Z991" s="14"/>
      <c r="AA991" s="56"/>
      <c r="AB991" s="50">
        <f>(B991*194.205+C991*267.466+D991*133.845+E991*53.484+F991*40+G991*185+H991*0+I991*100+J991*300)/(194.205+267.466+133.845+53.484+0+40+185+100+300)</f>
        <v>119.72238083916798</v>
      </c>
      <c r="AC991" s="45">
        <f>(M991*'RAP TEMPLATE-GAS AVAILABILITY'!O990+N991*'RAP TEMPLATE-GAS AVAILABILITY'!P990+O991*'RAP TEMPLATE-GAS AVAILABILITY'!Q990+P991*'RAP TEMPLATE-GAS AVAILABILITY'!R990)/('RAP TEMPLATE-GAS AVAILABILITY'!O990+'RAP TEMPLATE-GAS AVAILABILITY'!P990+'RAP TEMPLATE-GAS AVAILABILITY'!Q990+'RAP TEMPLATE-GAS AVAILABILITY'!R990)</f>
        <v>117.36753956834531</v>
      </c>
    </row>
    <row r="992" spans="1:29" ht="15.75" x14ac:dyDescent="0.25">
      <c r="A992" s="32">
        <v>71102</v>
      </c>
      <c r="B992" s="14">
        <f>CHOOSE(CONTROL!$C$42, 113.755, 113.755) * CHOOSE(CONTROL!$C$21, $C$9, 100%, $E$9)</f>
        <v>113.755</v>
      </c>
      <c r="C992" s="14">
        <f>CHOOSE(CONTROL!$C$42, 113.763, 113.763) * CHOOSE(CONTROL!$C$21, $C$9, 100%, $E$9)</f>
        <v>113.76300000000001</v>
      </c>
      <c r="D992" s="14">
        <f>CHOOSE(CONTROL!$C$42, 113.9669, 113.9669) * CHOOSE(CONTROL!$C$21, $C$9, 100%, $E$9)</f>
        <v>113.9669</v>
      </c>
      <c r="E992" s="14">
        <f>CHOOSE(CONTROL!$C$42, 113.9984, 113.9984) * CHOOSE(CONTROL!$C$21, $C$9, 100%, $E$9)</f>
        <v>113.9984</v>
      </c>
      <c r="F992" s="14">
        <f>CHOOSE(CONTROL!$C$42, 113.7368, 113.7368)*CHOOSE(CONTROL!$C$21, $C$9, 100%, $E$9)</f>
        <v>113.7368</v>
      </c>
      <c r="G992" s="14">
        <f>CHOOSE(CONTROL!$C$42, 113.7528, 113.7528)*CHOOSE(CONTROL!$C$21, $C$9, 100%, $E$9)</f>
        <v>113.75279999999999</v>
      </c>
      <c r="H992" s="14">
        <f>CHOOSE(CONTROL!$C$42, 113.987, 113.987) * CHOOSE(CONTROL!$C$21, $C$9, 100%, $E$9)</f>
        <v>113.98699999999999</v>
      </c>
      <c r="I992" s="14">
        <f>CHOOSE(CONTROL!$C$42, 114.1167, 114.1167)* CHOOSE(CONTROL!$C$21, $C$9, 100%, $E$9)</f>
        <v>114.11669999999999</v>
      </c>
      <c r="J992" s="14">
        <f>CHOOSE(CONTROL!$C$42, 113.7298, 113.7298)* CHOOSE(CONTROL!$C$21, $C$9, 100%, $E$9)</f>
        <v>113.7298</v>
      </c>
      <c r="K992" s="53">
        <f>CHOOSE(CONTROL!$C$42, 114.1128, 114.1128) * CHOOSE(CONTROL!$C$21, $C$9, 100%, $E$9)</f>
        <v>114.11279999999999</v>
      </c>
      <c r="L992" s="14">
        <f>CHOOSE(CONTROL!$C$42, 114.574, 114.574) * CHOOSE(CONTROL!$C$21, $C$9, 100%, $E$9)</f>
        <v>114.574</v>
      </c>
      <c r="M992" s="14">
        <f>CHOOSE(CONTROL!$C$42, 111.4073, 111.4073) * CHOOSE(CONTROL!$C$21, $C$9, 100%, $E$9)</f>
        <v>111.40730000000001</v>
      </c>
      <c r="N992" s="14">
        <f>CHOOSE(CONTROL!$C$42, 111.4229, 111.4229) * CHOOSE(CONTROL!$C$21, $C$9, 100%, $E$9)</f>
        <v>111.4229</v>
      </c>
      <c r="O992" s="14">
        <f>CHOOSE(CONTROL!$C$42, 111.6592, 111.6592) * CHOOSE(CONTROL!$C$21, $C$9, 100%, $E$9)</f>
        <v>111.6592</v>
      </c>
      <c r="P992" s="14">
        <f>CHOOSE(CONTROL!$C$42, 111.7791, 111.7791) * CHOOSE(CONTROL!$C$21, $C$9, 100%, $E$9)</f>
        <v>111.7791</v>
      </c>
      <c r="Q992" s="14">
        <f>CHOOSE(CONTROL!$C$42, 112.2539, 112.2539) * CHOOSE(CONTROL!$C$21, $C$9, 100%, $E$9)</f>
        <v>112.2539</v>
      </c>
      <c r="R992" s="14">
        <f>CHOOSE(CONTROL!$C$42, 113.1216, 113.1216) * CHOOSE(CONTROL!$C$21, $C$9, 100%, $E$9)</f>
        <v>113.1216</v>
      </c>
      <c r="S992" s="14">
        <f>CHOOSE(CONTROL!$C$42, 109.2965, 109.2965) * CHOOSE(CONTROL!$C$21, $C$9, 100%, $E$9)</f>
        <v>109.29649999999999</v>
      </c>
      <c r="T99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92" s="57">
        <f>(1000*CHOOSE(CONTROL!$C$42, 695, 695)*CHOOSE(CONTROL!$C$42, 0.5599, 0.5599)*CHOOSE(CONTROL!$C$42, 31, 31))/1000000</f>
        <v>12.063045499999998</v>
      </c>
      <c r="V992" s="57">
        <f>(1000*CHOOSE(CONTROL!$C$42, 500, 500)*CHOOSE(CONTROL!$C$42, 0.275, 0.275)*CHOOSE(CONTROL!$C$42, 31, 31))/1000000</f>
        <v>4.2625000000000002</v>
      </c>
      <c r="W992" s="57">
        <f>(1000*CHOOSE(CONTROL!$C$42, 0.1146, 0.1146)*CHOOSE(CONTROL!$C$42, 121.5, 121.5)*CHOOSE(CONTROL!$C$42, 31, 31))/1000000</f>
        <v>0.43164089999999994</v>
      </c>
      <c r="X992" s="57">
        <f>(31*0.1790888*245000/1000000)+(31*0.2374*100000/1000000)</f>
        <v>2.0961194359999999</v>
      </c>
      <c r="Y992" s="57"/>
      <c r="Z992" s="14"/>
      <c r="AA992" s="56"/>
      <c r="AB992" s="50">
        <f>(B992*194.205+C992*267.466+D992*133.845+E992*53.484+F992*40+G992*185+H992*0+I992*100+J992*300)/(194.205+267.466+133.845+53.484+0+40+185+100+300)</f>
        <v>113.81072565863423</v>
      </c>
      <c r="AC992" s="45">
        <f>(M992*'RAP TEMPLATE-GAS AVAILABILITY'!O991+N992*'RAP TEMPLATE-GAS AVAILABILITY'!P991+O992*'RAP TEMPLATE-GAS AVAILABILITY'!Q991+P992*'RAP TEMPLATE-GAS AVAILABILITY'!R991)/('RAP TEMPLATE-GAS AVAILABILITY'!O991+'RAP TEMPLATE-GAS AVAILABILITY'!P991+'RAP TEMPLATE-GAS AVAILABILITY'!Q991+'RAP TEMPLATE-GAS AVAILABILITY'!R991)</f>
        <v>111.57586474820145</v>
      </c>
    </row>
    <row r="993" spans="1:29" ht="15.75" x14ac:dyDescent="0.25">
      <c r="A993" s="32">
        <v>71132</v>
      </c>
      <c r="B993" s="14">
        <f>CHOOSE(CONTROL!$C$42, 106.5333, 106.5333) * CHOOSE(CONTROL!$C$21, $C$9, 100%, $E$9)</f>
        <v>106.5333</v>
      </c>
      <c r="C993" s="14">
        <f>CHOOSE(CONTROL!$C$42, 106.5413, 106.5413) * CHOOSE(CONTROL!$C$21, $C$9, 100%, $E$9)</f>
        <v>106.54130000000001</v>
      </c>
      <c r="D993" s="14">
        <f>CHOOSE(CONTROL!$C$42, 106.7453, 106.7453) * CHOOSE(CONTROL!$C$21, $C$9, 100%, $E$9)</f>
        <v>106.7453</v>
      </c>
      <c r="E993" s="14">
        <f>CHOOSE(CONTROL!$C$42, 106.7767, 106.7767) * CHOOSE(CONTROL!$C$21, $C$9, 100%, $E$9)</f>
        <v>106.77670000000001</v>
      </c>
      <c r="F993" s="14">
        <f>CHOOSE(CONTROL!$C$42, 106.5152, 106.5152)*CHOOSE(CONTROL!$C$21, $C$9, 100%, $E$9)</f>
        <v>106.51519999999999</v>
      </c>
      <c r="G993" s="14">
        <f>CHOOSE(CONTROL!$C$42, 106.5312, 106.5312)*CHOOSE(CONTROL!$C$21, $C$9, 100%, $E$9)</f>
        <v>106.5312</v>
      </c>
      <c r="H993" s="14">
        <f>CHOOSE(CONTROL!$C$42, 106.7653, 106.7653) * CHOOSE(CONTROL!$C$21, $C$9, 100%, $E$9)</f>
        <v>106.7653</v>
      </c>
      <c r="I993" s="14">
        <f>CHOOSE(CONTROL!$C$42, 106.8724, 106.8724)* CHOOSE(CONTROL!$C$21, $C$9, 100%, $E$9)</f>
        <v>106.8724</v>
      </c>
      <c r="J993" s="14">
        <f>CHOOSE(CONTROL!$C$42, 106.5082, 106.5082)* CHOOSE(CONTROL!$C$21, $C$9, 100%, $E$9)</f>
        <v>106.5082</v>
      </c>
      <c r="K993" s="53">
        <f>CHOOSE(CONTROL!$C$42, 106.8685, 106.8685) * CHOOSE(CONTROL!$C$21, $C$9, 100%, $E$9)</f>
        <v>106.8685</v>
      </c>
      <c r="L993" s="14">
        <f>CHOOSE(CONTROL!$C$42, 107.3523, 107.3523) * CHOOSE(CONTROL!$C$21, $C$9, 100%, $E$9)</f>
        <v>107.3523</v>
      </c>
      <c r="M993" s="14">
        <f>CHOOSE(CONTROL!$C$42, 104.3336, 104.3336) * CHOOSE(CONTROL!$C$21, $C$9, 100%, $E$9)</f>
        <v>104.3336</v>
      </c>
      <c r="N993" s="14">
        <f>CHOOSE(CONTROL!$C$42, 104.3493, 104.3493) * CHOOSE(CONTROL!$C$21, $C$9, 100%, $E$9)</f>
        <v>104.3493</v>
      </c>
      <c r="O993" s="14">
        <f>CHOOSE(CONTROL!$C$42, 104.5855, 104.5855) * CHOOSE(CONTROL!$C$21, $C$9, 100%, $E$9)</f>
        <v>104.5855</v>
      </c>
      <c r="P993" s="14">
        <f>CHOOSE(CONTROL!$C$42, 104.6837, 104.6837) * CHOOSE(CONTROL!$C$21, $C$9, 100%, $E$9)</f>
        <v>104.6837</v>
      </c>
      <c r="Q993" s="14">
        <f>CHOOSE(CONTROL!$C$42, 105.1802, 105.1802) * CHOOSE(CONTROL!$C$21, $C$9, 100%, $E$9)</f>
        <v>105.1802</v>
      </c>
      <c r="R993" s="14">
        <f>CHOOSE(CONTROL!$C$42, 106.0301, 106.0301) * CHOOSE(CONTROL!$C$21, $C$9, 100%, $E$9)</f>
        <v>106.0301</v>
      </c>
      <c r="S993" s="14">
        <f>CHOOSE(CONTROL!$C$42, 102.3572, 102.3572) * CHOOSE(CONTROL!$C$21, $C$9, 100%, $E$9)</f>
        <v>102.35720000000001</v>
      </c>
      <c r="T99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93" s="57">
        <f>(1000*CHOOSE(CONTROL!$C$42, 695, 695)*CHOOSE(CONTROL!$C$42, 0.5599, 0.5599)*CHOOSE(CONTROL!$C$42, 30, 30))/1000000</f>
        <v>11.673914999999997</v>
      </c>
      <c r="V993" s="57">
        <f>(1000*CHOOSE(CONTROL!$C$42, 500, 500)*CHOOSE(CONTROL!$C$42, 0.275, 0.275)*CHOOSE(CONTROL!$C$42, 30, 30))/1000000</f>
        <v>4.125</v>
      </c>
      <c r="W993" s="57">
        <f>(1000*CHOOSE(CONTROL!$C$42, 0.1146, 0.1146)*CHOOSE(CONTROL!$C$42, 121.5, 121.5)*CHOOSE(CONTROL!$C$42, 30, 30))/1000000</f>
        <v>0.417717</v>
      </c>
      <c r="X993" s="57">
        <f>(30*0.1790888*245000/1000000)+(30*0.2374*100000/1000000)</f>
        <v>2.0285026799999999</v>
      </c>
      <c r="Y993" s="57"/>
      <c r="Z993" s="14"/>
      <c r="AA993" s="56"/>
      <c r="AB993" s="50">
        <f>(B993*194.205+C993*267.466+D993*133.845+E993*53.484+F993*40+G993*185+H993*0+I993*100+J993*300)/(194.205+267.466+133.845+53.484+0+40+185+100+300)</f>
        <v>106.58730343296705</v>
      </c>
      <c r="AC993" s="45">
        <f>(M993*'RAP TEMPLATE-GAS AVAILABILITY'!O992+N993*'RAP TEMPLATE-GAS AVAILABILITY'!P992+O993*'RAP TEMPLATE-GAS AVAILABILITY'!Q992+P993*'RAP TEMPLATE-GAS AVAILABILITY'!R992)/('RAP TEMPLATE-GAS AVAILABILITY'!O992+'RAP TEMPLATE-GAS AVAILABILITY'!P992+'RAP TEMPLATE-GAS AVAILABILITY'!Q992+'RAP TEMPLATE-GAS AVAILABILITY'!R992)</f>
        <v>104.49904820143884</v>
      </c>
    </row>
    <row r="994" spans="1:29" ht="15.75" x14ac:dyDescent="0.25">
      <c r="A994" s="32">
        <v>71163</v>
      </c>
      <c r="B994" s="14">
        <f>CHOOSE(CONTROL!$C$42, 104.3687, 104.3687) * CHOOSE(CONTROL!$C$21, $C$9, 100%, $E$9)</f>
        <v>104.3687</v>
      </c>
      <c r="C994" s="14">
        <f>CHOOSE(CONTROL!$C$42, 104.374, 104.374) * CHOOSE(CONTROL!$C$21, $C$9, 100%, $E$9)</f>
        <v>104.374</v>
      </c>
      <c r="D994" s="14">
        <f>CHOOSE(CONTROL!$C$42, 104.5829, 104.5829) * CHOOSE(CONTROL!$C$21, $C$9, 100%, $E$9)</f>
        <v>104.5829</v>
      </c>
      <c r="E994" s="14">
        <f>CHOOSE(CONTROL!$C$42, 104.6121, 104.6121) * CHOOSE(CONTROL!$C$21, $C$9, 100%, $E$9)</f>
        <v>104.6121</v>
      </c>
      <c r="F994" s="14">
        <f>CHOOSE(CONTROL!$C$42, 104.3527, 104.3527)*CHOOSE(CONTROL!$C$21, $C$9, 100%, $E$9)</f>
        <v>104.3527</v>
      </c>
      <c r="G994" s="14">
        <f>CHOOSE(CONTROL!$C$42, 104.3684, 104.3684)*CHOOSE(CONTROL!$C$21, $C$9, 100%, $E$9)</f>
        <v>104.36839999999999</v>
      </c>
      <c r="H994" s="14">
        <f>CHOOSE(CONTROL!$C$42, 104.6025, 104.6025) * CHOOSE(CONTROL!$C$21, $C$9, 100%, $E$9)</f>
        <v>104.60250000000001</v>
      </c>
      <c r="I994" s="14">
        <f>CHOOSE(CONTROL!$C$42, 104.7028, 104.7028)* CHOOSE(CONTROL!$C$21, $C$9, 100%, $E$9)</f>
        <v>104.7028</v>
      </c>
      <c r="J994" s="14">
        <f>CHOOSE(CONTROL!$C$42, 104.3457, 104.3457)* CHOOSE(CONTROL!$C$21, $C$9, 100%, $E$9)</f>
        <v>104.34569999999999</v>
      </c>
      <c r="K994" s="53">
        <f>CHOOSE(CONTROL!$C$42, 104.6989, 104.6989) * CHOOSE(CONTROL!$C$21, $C$9, 100%, $E$9)</f>
        <v>104.69889999999999</v>
      </c>
      <c r="L994" s="14">
        <f>CHOOSE(CONTROL!$C$42, 105.1895, 105.1895) * CHOOSE(CONTROL!$C$21, $C$9, 100%, $E$9)</f>
        <v>105.1895</v>
      </c>
      <c r="M994" s="14">
        <f>CHOOSE(CONTROL!$C$42, 102.2154, 102.2154) * CHOOSE(CONTROL!$C$21, $C$9, 100%, $E$9)</f>
        <v>102.2154</v>
      </c>
      <c r="N994" s="14">
        <f>CHOOSE(CONTROL!$C$42, 102.2308, 102.2308) * CHOOSE(CONTROL!$C$21, $C$9, 100%, $E$9)</f>
        <v>102.2308</v>
      </c>
      <c r="O994" s="14">
        <f>CHOOSE(CONTROL!$C$42, 102.467, 102.467) * CHOOSE(CONTROL!$C$21, $C$9, 100%, $E$9)</f>
        <v>102.467</v>
      </c>
      <c r="P994" s="14">
        <f>CHOOSE(CONTROL!$C$42, 102.5587, 102.5587) * CHOOSE(CONTROL!$C$21, $C$9, 100%, $E$9)</f>
        <v>102.5587</v>
      </c>
      <c r="Q994" s="14">
        <f>CHOOSE(CONTROL!$C$42, 103.0617, 103.0617) * CHOOSE(CONTROL!$C$21, $C$9, 100%, $E$9)</f>
        <v>103.0617</v>
      </c>
      <c r="R994" s="14">
        <f>CHOOSE(CONTROL!$C$42, 103.9063, 103.9063) * CHOOSE(CONTROL!$C$21, $C$9, 100%, $E$9)</f>
        <v>103.9063</v>
      </c>
      <c r="S994" s="14">
        <f>CHOOSE(CONTROL!$C$42, 100.279, 100.279) * CHOOSE(CONTROL!$C$21, $C$9, 100%, $E$9)</f>
        <v>100.279</v>
      </c>
      <c r="T99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94" s="57">
        <f>(1000*CHOOSE(CONTROL!$C$42, 695, 695)*CHOOSE(CONTROL!$C$42, 0.5599, 0.5599)*CHOOSE(CONTROL!$C$42, 31, 31))/1000000</f>
        <v>12.063045499999998</v>
      </c>
      <c r="V994" s="57">
        <f>(1000*CHOOSE(CONTROL!$C$42, 500, 500)*CHOOSE(CONTROL!$C$42, 0.275, 0.275)*CHOOSE(CONTROL!$C$42, 31, 31))/1000000</f>
        <v>4.2625000000000002</v>
      </c>
      <c r="W994" s="57">
        <f>(1000*CHOOSE(CONTROL!$C$42, 0.1146, 0.1146)*CHOOSE(CONTROL!$C$42, 121.5, 121.5)*CHOOSE(CONTROL!$C$42, 31, 31))/1000000</f>
        <v>0.43164089999999994</v>
      </c>
      <c r="X994" s="57">
        <f>(31*0.1790888*245000/1000000)+(31*0.2374*100000/1000000)</f>
        <v>2.0961194359999999</v>
      </c>
      <c r="Y994" s="57"/>
      <c r="Z994" s="14"/>
      <c r="AA994" s="56"/>
      <c r="AB994" s="50">
        <f>(B994*131.881+C994*277.167+D994*79.08+E994*125.872+F994*40+G994*185+H994*0+I994*100+J994*300)/(131.881+277.167+79.08+125.872+0+40+185+100+300)</f>
        <v>104.4291194236481</v>
      </c>
      <c r="AC994" s="45">
        <f>(M994*'RAP TEMPLATE-GAS AVAILABILITY'!O993+N994*'RAP TEMPLATE-GAS AVAILABILITY'!P993+O994*'RAP TEMPLATE-GAS AVAILABILITY'!Q993+P994*'RAP TEMPLATE-GAS AVAILABILITY'!R993)/('RAP TEMPLATE-GAS AVAILABILITY'!O993+'RAP TEMPLATE-GAS AVAILABILITY'!P993+'RAP TEMPLATE-GAS AVAILABILITY'!Q993+'RAP TEMPLATE-GAS AVAILABILITY'!R993)</f>
        <v>102.37971654676258</v>
      </c>
    </row>
    <row r="995" spans="1:29" ht="15.75" x14ac:dyDescent="0.25">
      <c r="A995" s="32">
        <v>71193</v>
      </c>
      <c r="B995" s="14">
        <f>CHOOSE(CONTROL!$C$42, 107.1176, 107.1176) * CHOOSE(CONTROL!$C$21, $C$9, 100%, $E$9)</f>
        <v>107.1176</v>
      </c>
      <c r="C995" s="14">
        <f>CHOOSE(CONTROL!$C$42, 107.1227, 107.1227) * CHOOSE(CONTROL!$C$21, $C$9, 100%, $E$9)</f>
        <v>107.12269999999999</v>
      </c>
      <c r="D995" s="14">
        <f>CHOOSE(CONTROL!$C$42, 107.1865, 107.1865) * CHOOSE(CONTROL!$C$21, $C$9, 100%, $E$9)</f>
        <v>107.1865</v>
      </c>
      <c r="E995" s="14">
        <f>CHOOSE(CONTROL!$C$42, 107.2206, 107.2206) * CHOOSE(CONTROL!$C$21, $C$9, 100%, $E$9)</f>
        <v>107.2206</v>
      </c>
      <c r="F995" s="14">
        <f>CHOOSE(CONTROL!$C$42, 107.12, 107.12)*CHOOSE(CONTROL!$C$21, $C$9, 100%, $E$9)</f>
        <v>107.12</v>
      </c>
      <c r="G995" s="14">
        <f>CHOOSE(CONTROL!$C$42, 107.136, 107.136)*CHOOSE(CONTROL!$C$21, $C$9, 100%, $E$9)</f>
        <v>107.136</v>
      </c>
      <c r="H995" s="14">
        <f>CHOOSE(CONTROL!$C$42, 107.2098, 107.2098) * CHOOSE(CONTROL!$C$21, $C$9, 100%, $E$9)</f>
        <v>107.2098</v>
      </c>
      <c r="I995" s="14">
        <f>CHOOSE(CONTROL!$C$42, 107.4659, 107.4659)* CHOOSE(CONTROL!$C$21, $C$9, 100%, $E$9)</f>
        <v>107.4659</v>
      </c>
      <c r="J995" s="14">
        <f>CHOOSE(CONTROL!$C$42, 107.113, 107.113)* CHOOSE(CONTROL!$C$21, $C$9, 100%, $E$9)</f>
        <v>107.113</v>
      </c>
      <c r="K995" s="53">
        <f>CHOOSE(CONTROL!$C$42, 107.462, 107.462) * CHOOSE(CONTROL!$C$21, $C$9, 100%, $E$9)</f>
        <v>107.462</v>
      </c>
      <c r="L995" s="14">
        <f>CHOOSE(CONTROL!$C$42, 107.7968, 107.7968) * CHOOSE(CONTROL!$C$21, $C$9, 100%, $E$9)</f>
        <v>107.7968</v>
      </c>
      <c r="M995" s="14">
        <f>CHOOSE(CONTROL!$C$42, 104.926, 104.926) * CHOOSE(CONTROL!$C$21, $C$9, 100%, $E$9)</f>
        <v>104.926</v>
      </c>
      <c r="N995" s="14">
        <f>CHOOSE(CONTROL!$C$42, 104.9417, 104.9417) * CHOOSE(CONTROL!$C$21, $C$9, 100%, $E$9)</f>
        <v>104.9417</v>
      </c>
      <c r="O995" s="14">
        <f>CHOOSE(CONTROL!$C$42, 105.0208, 105.0208) * CHOOSE(CONTROL!$C$21, $C$9, 100%, $E$9)</f>
        <v>105.02079999999999</v>
      </c>
      <c r="P995" s="14">
        <f>CHOOSE(CONTROL!$C$42, 105.265, 105.265) * CHOOSE(CONTROL!$C$21, $C$9, 100%, $E$9)</f>
        <v>105.265</v>
      </c>
      <c r="Q995" s="14">
        <f>CHOOSE(CONTROL!$C$42, 105.6155, 105.6155) * CHOOSE(CONTROL!$C$21, $C$9, 100%, $E$9)</f>
        <v>105.6155</v>
      </c>
      <c r="R995" s="14">
        <f>CHOOSE(CONTROL!$C$42, 106.4666, 106.4666) * CHOOSE(CONTROL!$C$21, $C$9, 100%, $E$9)</f>
        <v>106.4666</v>
      </c>
      <c r="S995" s="14">
        <f>CHOOSE(CONTROL!$C$42, 102.9208, 102.9208) * CHOOSE(CONTROL!$C$21, $C$9, 100%, $E$9)</f>
        <v>102.9208</v>
      </c>
      <c r="T99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95" s="57">
        <f>(1000*CHOOSE(CONTROL!$C$42, 695, 695)*CHOOSE(CONTROL!$C$42, 0.5599, 0.5599)*CHOOSE(CONTROL!$C$42, 30, 30))/1000000</f>
        <v>11.673914999999997</v>
      </c>
      <c r="V995" s="57">
        <f>(1000*CHOOSE(CONTROL!$C$42, 500, 500)*CHOOSE(CONTROL!$C$42, 0.275, 0.275)*CHOOSE(CONTROL!$C$42, 30, 30))/1000000</f>
        <v>4.125</v>
      </c>
      <c r="W995" s="57">
        <f>(1000*CHOOSE(CONTROL!$C$42, 0.1146, 0.1146)*CHOOSE(CONTROL!$C$42, 121.5, 121.5)*CHOOSE(CONTROL!$C$42, 30, 30))/1000000</f>
        <v>0.417717</v>
      </c>
      <c r="X995" s="57">
        <f>(30*0.1790888*100000/1000000)+(30*0.2374*100000/1000000)</f>
        <v>1.2494664</v>
      </c>
      <c r="Y995" s="57"/>
      <c r="Z995" s="14"/>
      <c r="AA995" s="56"/>
      <c r="AB995" s="50">
        <f>(B995*122.58+C995*297.941+D995*89.177+E995*40.302+F995*40+G995*160+H995*0+I995*100+J995*300)/(122.58+297.941+89.177+40.302+0+40+160+100+300)</f>
        <v>107.15960426121738</v>
      </c>
      <c r="AC995" s="45">
        <f>(M995*'RAP TEMPLATE-GAS AVAILABILITY'!O994+N995*'RAP TEMPLATE-GAS AVAILABILITY'!P994+O995*'RAP TEMPLATE-GAS AVAILABILITY'!Q994+P995*'RAP TEMPLATE-GAS AVAILABILITY'!R994)/('RAP TEMPLATE-GAS AVAILABILITY'!O994+'RAP TEMPLATE-GAS AVAILABILITY'!P994+'RAP TEMPLATE-GAS AVAILABILITY'!Q994+'RAP TEMPLATE-GAS AVAILABILITY'!R994)</f>
        <v>105.01864748201437</v>
      </c>
    </row>
    <row r="996" spans="1:29" ht="15.75" x14ac:dyDescent="0.25">
      <c r="A996" s="32">
        <v>71224</v>
      </c>
      <c r="B996" s="14">
        <f>CHOOSE(CONTROL!$C$42, 114.4202, 114.4202) * CHOOSE(CONTROL!$C$21, $C$9, 100%, $E$9)</f>
        <v>114.42019999999999</v>
      </c>
      <c r="C996" s="14">
        <f>CHOOSE(CONTROL!$C$42, 114.4252, 114.4252) * CHOOSE(CONTROL!$C$21, $C$9, 100%, $E$9)</f>
        <v>114.4252</v>
      </c>
      <c r="D996" s="14">
        <f>CHOOSE(CONTROL!$C$42, 114.4891, 114.4891) * CHOOSE(CONTROL!$C$21, $C$9, 100%, $E$9)</f>
        <v>114.48909999999999</v>
      </c>
      <c r="E996" s="14">
        <f>CHOOSE(CONTROL!$C$42, 114.5232, 114.5232) * CHOOSE(CONTROL!$C$21, $C$9, 100%, $E$9)</f>
        <v>114.5232</v>
      </c>
      <c r="F996" s="14">
        <f>CHOOSE(CONTROL!$C$42, 114.4248, 114.4248)*CHOOSE(CONTROL!$C$21, $C$9, 100%, $E$9)</f>
        <v>114.4248</v>
      </c>
      <c r="G996" s="14">
        <f>CHOOSE(CONTROL!$C$42, 114.4414, 114.4414)*CHOOSE(CONTROL!$C$21, $C$9, 100%, $E$9)</f>
        <v>114.4414</v>
      </c>
      <c r="H996" s="14">
        <f>CHOOSE(CONTROL!$C$42, 114.5124, 114.5124) * CHOOSE(CONTROL!$C$21, $C$9, 100%, $E$9)</f>
        <v>114.5124</v>
      </c>
      <c r="I996" s="14">
        <f>CHOOSE(CONTROL!$C$42, 114.7914, 114.7914)* CHOOSE(CONTROL!$C$21, $C$9, 100%, $E$9)</f>
        <v>114.7914</v>
      </c>
      <c r="J996" s="14">
        <f>CHOOSE(CONTROL!$C$42, 114.4178, 114.4178)* CHOOSE(CONTROL!$C$21, $C$9, 100%, $E$9)</f>
        <v>114.4178</v>
      </c>
      <c r="K996" s="53">
        <f>CHOOSE(CONTROL!$C$42, 114.7875, 114.7875) * CHOOSE(CONTROL!$C$21, $C$9, 100%, $E$9)</f>
        <v>114.78749999999999</v>
      </c>
      <c r="L996" s="14">
        <f>CHOOSE(CONTROL!$C$42, 115.0994, 115.0994) * CHOOSE(CONTROL!$C$21, $C$9, 100%, $E$9)</f>
        <v>115.0994</v>
      </c>
      <c r="M996" s="14">
        <f>CHOOSE(CONTROL!$C$42, 112.0812, 112.0812) * CHOOSE(CONTROL!$C$21, $C$9, 100%, $E$9)</f>
        <v>112.0812</v>
      </c>
      <c r="N996" s="14">
        <f>CHOOSE(CONTROL!$C$42, 112.0974, 112.0974) * CHOOSE(CONTROL!$C$21, $C$9, 100%, $E$9)</f>
        <v>112.09739999999999</v>
      </c>
      <c r="O996" s="14">
        <f>CHOOSE(CONTROL!$C$42, 112.1738, 112.1738) * CHOOSE(CONTROL!$C$21, $C$9, 100%, $E$9)</f>
        <v>112.1738</v>
      </c>
      <c r="P996" s="14">
        <f>CHOOSE(CONTROL!$C$42, 112.4399, 112.4399) * CHOOSE(CONTROL!$C$21, $C$9, 100%, $E$9)</f>
        <v>112.43989999999999</v>
      </c>
      <c r="Q996" s="14">
        <f>CHOOSE(CONTROL!$C$42, 112.7685, 112.7685) * CHOOSE(CONTROL!$C$21, $C$9, 100%, $E$9)</f>
        <v>112.7685</v>
      </c>
      <c r="R996" s="14">
        <f>CHOOSE(CONTROL!$C$42, 113.6374, 113.6374) * CHOOSE(CONTROL!$C$21, $C$9, 100%, $E$9)</f>
        <v>113.6374</v>
      </c>
      <c r="S996" s="14">
        <f>CHOOSE(CONTROL!$C$42, 109.9378, 109.9378) * CHOOSE(CONTROL!$C$21, $C$9, 100%, $E$9)</f>
        <v>109.9378</v>
      </c>
      <c r="T99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96" s="57">
        <f>(1000*CHOOSE(CONTROL!$C$42, 695, 695)*CHOOSE(CONTROL!$C$42, 0.5599, 0.5599)*CHOOSE(CONTROL!$C$42, 31, 31))/1000000</f>
        <v>12.063045499999998</v>
      </c>
      <c r="V996" s="57">
        <f>(1000*CHOOSE(CONTROL!$C$42, 500, 500)*CHOOSE(CONTROL!$C$42, 0.275, 0.275)*CHOOSE(CONTROL!$C$42, 31, 31))/1000000</f>
        <v>4.2625000000000002</v>
      </c>
      <c r="W996" s="57">
        <f>(1000*CHOOSE(CONTROL!$C$42, 0.1146, 0.1146)*CHOOSE(CONTROL!$C$42, 121.5, 121.5)*CHOOSE(CONTROL!$C$42, 31, 31))/1000000</f>
        <v>0.43164089999999994</v>
      </c>
      <c r="X996" s="57">
        <f>(31*0.1790888*100000/1000000)+(31*0.2374*100000/1000000)</f>
        <v>1.2911152800000001</v>
      </c>
      <c r="Y996" s="57"/>
      <c r="Z996" s="14"/>
      <c r="AA996" s="56"/>
      <c r="AB996" s="50">
        <f>(B996*122.58+C996*297.941+D996*89.177+E996*40.302+F996*40+G996*160+H996*0+I996*100+J996*300)/(122.58+297.941+89.177+40.302+0+40+160+100+300)</f>
        <v>114.46520965765215</v>
      </c>
      <c r="AC996" s="45">
        <f>(M996*'RAP TEMPLATE-GAS AVAILABILITY'!O995+N996*'RAP TEMPLATE-GAS AVAILABILITY'!P995+O996*'RAP TEMPLATE-GAS AVAILABILITY'!Q995+P996*'RAP TEMPLATE-GAS AVAILABILITY'!R995)/('RAP TEMPLATE-GAS AVAILABILITY'!O995+'RAP TEMPLATE-GAS AVAILABILITY'!P995+'RAP TEMPLATE-GAS AVAILABILITY'!Q995+'RAP TEMPLATE-GAS AVAILABILITY'!R995)</f>
        <v>112.17571366906475</v>
      </c>
    </row>
    <row r="997" spans="1:29" ht="15.75" x14ac:dyDescent="0.25">
      <c r="A997" s="32">
        <v>71255</v>
      </c>
      <c r="B997" s="14">
        <f>CHOOSE(CONTROL!$C$42, 123.792, 123.792) * CHOOSE(CONTROL!$C$21, $C$9, 100%, $E$9)</f>
        <v>123.792</v>
      </c>
      <c r="C997" s="14">
        <f>CHOOSE(CONTROL!$C$42, 123.7971, 123.7971) * CHOOSE(CONTROL!$C$21, $C$9, 100%, $E$9)</f>
        <v>123.7971</v>
      </c>
      <c r="D997" s="14">
        <f>CHOOSE(CONTROL!$C$42, 123.8635, 123.8635) * CHOOSE(CONTROL!$C$21, $C$9, 100%, $E$9)</f>
        <v>123.8635</v>
      </c>
      <c r="E997" s="14">
        <f>CHOOSE(CONTROL!$C$42, 123.8976, 123.8976) * CHOOSE(CONTROL!$C$21, $C$9, 100%, $E$9)</f>
        <v>123.8976</v>
      </c>
      <c r="F997" s="14">
        <f>CHOOSE(CONTROL!$C$42, 123.7793, 123.7793)*CHOOSE(CONTROL!$C$21, $C$9, 100%, $E$9)</f>
        <v>123.77930000000001</v>
      </c>
      <c r="G997" s="14">
        <f>CHOOSE(CONTROL!$C$42, 123.7948, 123.7948)*CHOOSE(CONTROL!$C$21, $C$9, 100%, $E$9)</f>
        <v>123.7948</v>
      </c>
      <c r="H997" s="14">
        <f>CHOOSE(CONTROL!$C$42, 123.8868, 123.8868) * CHOOSE(CONTROL!$C$21, $C$9, 100%, $E$9)</f>
        <v>123.88679999999999</v>
      </c>
      <c r="I997" s="14">
        <f>CHOOSE(CONTROL!$C$42, 124.1873, 124.1873)* CHOOSE(CONTROL!$C$21, $C$9, 100%, $E$9)</f>
        <v>124.18729999999999</v>
      </c>
      <c r="J997" s="14">
        <f>CHOOSE(CONTROL!$C$42, 123.7723, 123.7723)* CHOOSE(CONTROL!$C$21, $C$9, 100%, $E$9)</f>
        <v>123.7723</v>
      </c>
      <c r="K997" s="53">
        <f>CHOOSE(CONTROL!$C$42, 124.1834, 124.1834) * CHOOSE(CONTROL!$C$21, $C$9, 100%, $E$9)</f>
        <v>124.18340000000001</v>
      </c>
      <c r="L997" s="14">
        <f>CHOOSE(CONTROL!$C$42, 124.4738, 124.4738) * CHOOSE(CONTROL!$C$21, $C$9, 100%, $E$9)</f>
        <v>124.4738</v>
      </c>
      <c r="M997" s="14">
        <f>CHOOSE(CONTROL!$C$42, 121.244, 121.244) * CHOOSE(CONTROL!$C$21, $C$9, 100%, $E$9)</f>
        <v>121.244</v>
      </c>
      <c r="N997" s="14">
        <f>CHOOSE(CONTROL!$C$42, 121.2592, 121.2592) * CHOOSE(CONTROL!$C$21, $C$9, 100%, $E$9)</f>
        <v>121.25920000000001</v>
      </c>
      <c r="O997" s="14">
        <f>CHOOSE(CONTROL!$C$42, 121.3561, 121.3561) * CHOOSE(CONTROL!$C$21, $C$9, 100%, $E$9)</f>
        <v>121.3561</v>
      </c>
      <c r="P997" s="14">
        <f>CHOOSE(CONTROL!$C$42, 121.6428, 121.6428) * CHOOSE(CONTROL!$C$21, $C$9, 100%, $E$9)</f>
        <v>121.64279999999999</v>
      </c>
      <c r="Q997" s="14">
        <f>CHOOSE(CONTROL!$C$42, 121.9508, 121.9508) * CHOOSE(CONTROL!$C$21, $C$9, 100%, $E$9)</f>
        <v>121.9508</v>
      </c>
      <c r="R997" s="14">
        <f>CHOOSE(CONTROL!$C$42, 122.8427, 122.8427) * CHOOSE(CONTROL!$C$21, $C$9, 100%, $E$9)</f>
        <v>122.84269999999999</v>
      </c>
      <c r="S997" s="14">
        <f>CHOOSE(CONTROL!$C$42, 118.9432, 118.9432) * CHOOSE(CONTROL!$C$21, $C$9, 100%, $E$9)</f>
        <v>118.9432</v>
      </c>
      <c r="T99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97" s="57">
        <f>(1000*CHOOSE(CONTROL!$C$42, 695, 695)*CHOOSE(CONTROL!$C$42, 0.5599, 0.5599)*CHOOSE(CONTROL!$C$42, 31, 31))/1000000</f>
        <v>12.063045499999998</v>
      </c>
      <c r="V997" s="57">
        <f>(1000*CHOOSE(CONTROL!$C$42, 500, 500)*CHOOSE(CONTROL!$C$42, 0.275, 0.275)*CHOOSE(CONTROL!$C$42, 31, 31))/1000000</f>
        <v>4.2625000000000002</v>
      </c>
      <c r="W997" s="57">
        <f>(1000*CHOOSE(CONTROL!$C$42, 0.1146, 0.1146)*CHOOSE(CONTROL!$C$42, 121.5, 121.5)*CHOOSE(CONTROL!$C$42, 31, 31))/1000000</f>
        <v>0.43164089999999994</v>
      </c>
      <c r="X997" s="57">
        <f>(31*0.1790888*100000/1000000)+(31*0.2374*100000/1000000)</f>
        <v>1.2911152800000001</v>
      </c>
      <c r="Y997" s="57"/>
      <c r="Z997" s="14"/>
      <c r="AA997" s="56"/>
      <c r="AB997" s="50">
        <f>(B997*122.58+C997*297.941+D997*89.177+E997*40.302+F997*40+G997*160+H997*0+I997*100+J997*300)/(122.58+297.941+89.177+40.302+0+40+160+100+300)</f>
        <v>123.83174917026089</v>
      </c>
      <c r="AC997" s="45">
        <f>(M997*'RAP TEMPLATE-GAS AVAILABILITY'!O996+N997*'RAP TEMPLATE-GAS AVAILABILITY'!P996+O997*'RAP TEMPLATE-GAS AVAILABILITY'!Q996+P997*'RAP TEMPLATE-GAS AVAILABILITY'!R996)/('RAP TEMPLATE-GAS AVAILABILITY'!O996+'RAP TEMPLATE-GAS AVAILABILITY'!P996+'RAP TEMPLATE-GAS AVAILABILITY'!Q996+'RAP TEMPLATE-GAS AVAILABILITY'!R996)</f>
        <v>121.35306402877697</v>
      </c>
    </row>
    <row r="998" spans="1:29" ht="15.75" x14ac:dyDescent="0.25">
      <c r="A998" s="32">
        <v>71283</v>
      </c>
      <c r="B998" s="14">
        <f>CHOOSE(CONTROL!$C$42, 125.9955, 125.9955) * CHOOSE(CONTROL!$C$21, $C$9, 100%, $E$9)</f>
        <v>125.99550000000001</v>
      </c>
      <c r="C998" s="14">
        <f>CHOOSE(CONTROL!$C$42, 126.0006, 126.0006) * CHOOSE(CONTROL!$C$21, $C$9, 100%, $E$9)</f>
        <v>126.00060000000001</v>
      </c>
      <c r="D998" s="14">
        <f>CHOOSE(CONTROL!$C$42, 126.067, 126.067) * CHOOSE(CONTROL!$C$21, $C$9, 100%, $E$9)</f>
        <v>126.06699999999999</v>
      </c>
      <c r="E998" s="14">
        <f>CHOOSE(CONTROL!$C$42, 126.1011, 126.1011) * CHOOSE(CONTROL!$C$21, $C$9, 100%, $E$9)</f>
        <v>126.1011</v>
      </c>
      <c r="F998" s="14">
        <f>CHOOSE(CONTROL!$C$42, 125.9829, 125.9829)*CHOOSE(CONTROL!$C$21, $C$9, 100%, $E$9)</f>
        <v>125.9829</v>
      </c>
      <c r="G998" s="14">
        <f>CHOOSE(CONTROL!$C$42, 125.9984, 125.9984)*CHOOSE(CONTROL!$C$21, $C$9, 100%, $E$9)</f>
        <v>125.9984</v>
      </c>
      <c r="H998" s="14">
        <f>CHOOSE(CONTROL!$C$42, 126.0903, 126.0903) * CHOOSE(CONTROL!$C$21, $C$9, 100%, $E$9)</f>
        <v>126.0903</v>
      </c>
      <c r="I998" s="14">
        <f>CHOOSE(CONTROL!$C$42, 126.3977, 126.3977)* CHOOSE(CONTROL!$C$21, $C$9, 100%, $E$9)</f>
        <v>126.3977</v>
      </c>
      <c r="J998" s="14">
        <f>CHOOSE(CONTROL!$C$42, 125.9759, 125.9759)* CHOOSE(CONTROL!$C$21, $C$9, 100%, $E$9)</f>
        <v>125.9759</v>
      </c>
      <c r="K998" s="53">
        <f>CHOOSE(CONTROL!$C$42, 126.3939, 126.3939) * CHOOSE(CONTROL!$C$21, $C$9, 100%, $E$9)</f>
        <v>126.3939</v>
      </c>
      <c r="L998" s="14">
        <f>CHOOSE(CONTROL!$C$42, 126.6773, 126.6773) * CHOOSE(CONTROL!$C$21, $C$9, 100%, $E$9)</f>
        <v>126.6773</v>
      </c>
      <c r="M998" s="14">
        <f>CHOOSE(CONTROL!$C$42, 123.4025, 123.4025) * CHOOSE(CONTROL!$C$21, $C$9, 100%, $E$9)</f>
        <v>123.4025</v>
      </c>
      <c r="N998" s="14">
        <f>CHOOSE(CONTROL!$C$42, 123.4176, 123.4176) * CHOOSE(CONTROL!$C$21, $C$9, 100%, $E$9)</f>
        <v>123.41759999999999</v>
      </c>
      <c r="O998" s="14">
        <f>CHOOSE(CONTROL!$C$42, 123.5145, 123.5145) * CHOOSE(CONTROL!$C$21, $C$9, 100%, $E$9)</f>
        <v>123.5145</v>
      </c>
      <c r="P998" s="14">
        <f>CHOOSE(CONTROL!$C$42, 123.8078, 123.8078) * CHOOSE(CONTROL!$C$21, $C$9, 100%, $E$9)</f>
        <v>123.8078</v>
      </c>
      <c r="Q998" s="14">
        <f>CHOOSE(CONTROL!$C$42, 124.1092, 124.1092) * CHOOSE(CONTROL!$C$21, $C$9, 100%, $E$9)</f>
        <v>124.1092</v>
      </c>
      <c r="R998" s="14">
        <f>CHOOSE(CONTROL!$C$42, 125.0065, 125.0065) * CHOOSE(CONTROL!$C$21, $C$9, 100%, $E$9)</f>
        <v>125.0065</v>
      </c>
      <c r="S998" s="14">
        <f>CHOOSE(CONTROL!$C$42, 121.0606, 121.0606) * CHOOSE(CONTROL!$C$21, $C$9, 100%, $E$9)</f>
        <v>121.06059999999999</v>
      </c>
      <c r="T99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98" s="57">
        <f>(1000*CHOOSE(CONTROL!$C$42, 695, 695)*CHOOSE(CONTROL!$C$42, 0.5599, 0.5599)*CHOOSE(CONTROL!$C$42, 28, 28))/1000000</f>
        <v>10.895653999999999</v>
      </c>
      <c r="V998" s="57">
        <f>(1000*CHOOSE(CONTROL!$C$42, 500, 500)*CHOOSE(CONTROL!$C$42, 0.275, 0.275)*CHOOSE(CONTROL!$C$42, 28, 28))/1000000</f>
        <v>3.85</v>
      </c>
      <c r="W998" s="57">
        <f>(1000*CHOOSE(CONTROL!$C$42, 0.1146, 0.1146)*CHOOSE(CONTROL!$C$42, 121.5, 121.5)*CHOOSE(CONTROL!$C$42, 28, 28))/1000000</f>
        <v>0.38986920000000003</v>
      </c>
      <c r="X998" s="57">
        <f>(28*0.1790888*100000/1000000)+(28*0.2374*100000/1000000)</f>
        <v>1.16616864</v>
      </c>
      <c r="Y998" s="57"/>
      <c r="Z998" s="14"/>
      <c r="AA998" s="56"/>
      <c r="AB998" s="50">
        <f>(B998*122.58+C998*297.941+D998*89.177+E998*40.302+F998*40+G998*160+H998*0+I998*100+J998*300)/(122.58+297.941+89.177+40.302+0+40+160+100+300)</f>
        <v>126.03589264852174</v>
      </c>
      <c r="AC998" s="45">
        <f>(M998*'RAP TEMPLATE-GAS AVAILABILITY'!O997+N998*'RAP TEMPLATE-GAS AVAILABILITY'!P997+O998*'RAP TEMPLATE-GAS AVAILABILITY'!Q997+P998*'RAP TEMPLATE-GAS AVAILABILITY'!R997)/('RAP TEMPLATE-GAS AVAILABILITY'!O997+'RAP TEMPLATE-GAS AVAILABILITY'!P997+'RAP TEMPLATE-GAS AVAILABILITY'!Q997+'RAP TEMPLATE-GAS AVAILABILITY'!R997)</f>
        <v>123.51244820143886</v>
      </c>
    </row>
    <row r="999" spans="1:29" ht="15.75" x14ac:dyDescent="0.25">
      <c r="A999" s="32">
        <v>71314</v>
      </c>
      <c r="B999" s="14">
        <f>CHOOSE(CONTROL!$C$42, 122.4187, 122.4187) * CHOOSE(CONTROL!$C$21, $C$9, 100%, $E$9)</f>
        <v>122.4187</v>
      </c>
      <c r="C999" s="14">
        <f>CHOOSE(CONTROL!$C$42, 122.4238, 122.4238) * CHOOSE(CONTROL!$C$21, $C$9, 100%, $E$9)</f>
        <v>122.4238</v>
      </c>
      <c r="D999" s="14">
        <f>CHOOSE(CONTROL!$C$42, 122.4902, 122.4902) * CHOOSE(CONTROL!$C$21, $C$9, 100%, $E$9)</f>
        <v>122.4902</v>
      </c>
      <c r="E999" s="14">
        <f>CHOOSE(CONTROL!$C$42, 122.5243, 122.5243) * CHOOSE(CONTROL!$C$21, $C$9, 100%, $E$9)</f>
        <v>122.5243</v>
      </c>
      <c r="F999" s="14">
        <f>CHOOSE(CONTROL!$C$42, 122.4057, 122.4057)*CHOOSE(CONTROL!$C$21, $C$9, 100%, $E$9)</f>
        <v>122.4057</v>
      </c>
      <c r="G999" s="14">
        <f>CHOOSE(CONTROL!$C$42, 122.4211, 122.4211)*CHOOSE(CONTROL!$C$21, $C$9, 100%, $E$9)</f>
        <v>122.4211</v>
      </c>
      <c r="H999" s="14">
        <f>CHOOSE(CONTROL!$C$42, 122.5135, 122.5135) * CHOOSE(CONTROL!$C$21, $C$9, 100%, $E$9)</f>
        <v>122.51349999999999</v>
      </c>
      <c r="I999" s="14">
        <f>CHOOSE(CONTROL!$C$42, 122.8097, 122.8097)* CHOOSE(CONTROL!$C$21, $C$9, 100%, $E$9)</f>
        <v>122.80970000000001</v>
      </c>
      <c r="J999" s="14">
        <f>CHOOSE(CONTROL!$C$42, 122.3987, 122.3987)* CHOOSE(CONTROL!$C$21, $C$9, 100%, $E$9)</f>
        <v>122.39870000000001</v>
      </c>
      <c r="K999" s="53">
        <f>CHOOSE(CONTROL!$C$42, 122.8058, 122.8058) * CHOOSE(CONTROL!$C$21, $C$9, 100%, $E$9)</f>
        <v>122.8058</v>
      </c>
      <c r="L999" s="14">
        <f>CHOOSE(CONTROL!$C$42, 123.1005, 123.1005) * CHOOSE(CONTROL!$C$21, $C$9, 100%, $E$9)</f>
        <v>123.1005</v>
      </c>
      <c r="M999" s="14">
        <f>CHOOSE(CONTROL!$C$42, 119.8985, 119.8985) * CHOOSE(CONTROL!$C$21, $C$9, 100%, $E$9)</f>
        <v>119.8985</v>
      </c>
      <c r="N999" s="14">
        <f>CHOOSE(CONTROL!$C$42, 119.9136, 119.9136) * CHOOSE(CONTROL!$C$21, $C$9, 100%, $E$9)</f>
        <v>119.9136</v>
      </c>
      <c r="O999" s="14">
        <f>CHOOSE(CONTROL!$C$42, 120.011, 120.011) * CHOOSE(CONTROL!$C$21, $C$9, 100%, $E$9)</f>
        <v>120.011</v>
      </c>
      <c r="P999" s="14">
        <f>CHOOSE(CONTROL!$C$42, 120.2935, 120.2935) * CHOOSE(CONTROL!$C$21, $C$9, 100%, $E$9)</f>
        <v>120.29349999999999</v>
      </c>
      <c r="Q999" s="14">
        <f>CHOOSE(CONTROL!$C$42, 120.6057, 120.6057) * CHOOSE(CONTROL!$C$21, $C$9, 100%, $E$9)</f>
        <v>120.6057</v>
      </c>
      <c r="R999" s="14">
        <f>CHOOSE(CONTROL!$C$42, 121.4942, 121.4942) * CHOOSE(CONTROL!$C$21, $C$9, 100%, $E$9)</f>
        <v>121.49420000000001</v>
      </c>
      <c r="S999" s="14">
        <f>CHOOSE(CONTROL!$C$42, 117.6236, 117.6236) * CHOOSE(CONTROL!$C$21, $C$9, 100%, $E$9)</f>
        <v>117.6236</v>
      </c>
      <c r="T99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99" s="57">
        <f>(1000*CHOOSE(CONTROL!$C$42, 695, 695)*CHOOSE(CONTROL!$C$42, 0.5599, 0.5599)*CHOOSE(CONTROL!$C$42, 31, 31))/1000000</f>
        <v>12.063045499999998</v>
      </c>
      <c r="V999" s="57">
        <f>(1000*CHOOSE(CONTROL!$C$42, 500, 500)*CHOOSE(CONTROL!$C$42, 0.275, 0.275)*CHOOSE(CONTROL!$C$42, 31, 31))/1000000</f>
        <v>4.2625000000000002</v>
      </c>
      <c r="W999" s="57">
        <f>(1000*CHOOSE(CONTROL!$C$42, 0.1146, 0.1146)*CHOOSE(CONTROL!$C$42, 121.5, 121.5)*CHOOSE(CONTROL!$C$42, 31, 31))/1000000</f>
        <v>0.43164089999999994</v>
      </c>
      <c r="X999" s="57">
        <f>(31*0.1790888*100000/1000000)+(31*0.2374*100000/1000000)</f>
        <v>1.2911152800000001</v>
      </c>
      <c r="Y999" s="57"/>
      <c r="Z999" s="14"/>
      <c r="AA999" s="56"/>
      <c r="AB999" s="50">
        <f>(B999*122.58+C999*297.941+D999*89.177+E999*40.302+F999*40+G999*160+H999*0+I999*100+J999*300)/(122.58+297.941+89.177+40.302+0+40+160+100+300)</f>
        <v>122.45793090939132</v>
      </c>
      <c r="AC999" s="45">
        <f>(M999*'RAP TEMPLATE-GAS AVAILABILITY'!O998+N999*'RAP TEMPLATE-GAS AVAILABILITY'!P998+O999*'RAP TEMPLATE-GAS AVAILABILITY'!Q998+P999*'RAP TEMPLATE-GAS AVAILABILITY'!R998)/('RAP TEMPLATE-GAS AVAILABILITY'!O998+'RAP TEMPLATE-GAS AVAILABILITY'!P998+'RAP TEMPLATE-GAS AVAILABILITY'!Q998+'RAP TEMPLATE-GAS AVAILABILITY'!R998)</f>
        <v>120.00719280575541</v>
      </c>
    </row>
    <row r="1000" spans="1:29" ht="15.75" x14ac:dyDescent="0.25">
      <c r="A1000" s="32">
        <v>71344</v>
      </c>
      <c r="B1000" s="14">
        <f>CHOOSE(CONTROL!$C$42, 122.0534, 122.0534) * CHOOSE(CONTROL!$C$21, $C$9, 100%, $E$9)</f>
        <v>122.0534</v>
      </c>
      <c r="C1000" s="14">
        <f>CHOOSE(CONTROL!$C$42, 122.0578, 122.0578) * CHOOSE(CONTROL!$C$21, $C$9, 100%, $E$9)</f>
        <v>122.0578</v>
      </c>
      <c r="D1000" s="14">
        <f>CHOOSE(CONTROL!$C$42, 122.2649, 122.2649) * CHOOSE(CONTROL!$C$21, $C$9, 100%, $E$9)</f>
        <v>122.2649</v>
      </c>
      <c r="E1000" s="14">
        <f>CHOOSE(CONTROL!$C$42, 122.297, 122.297) * CHOOSE(CONTROL!$C$21, $C$9, 100%, $E$9)</f>
        <v>122.297</v>
      </c>
      <c r="F1000" s="14">
        <f>CHOOSE(CONTROL!$C$42, 122.0352, 122.0352)*CHOOSE(CONTROL!$C$21, $C$9, 100%, $E$9)</f>
        <v>122.0352</v>
      </c>
      <c r="G1000" s="14">
        <f>CHOOSE(CONTROL!$C$42, 122.0504, 122.0504)*CHOOSE(CONTROL!$C$21, $C$9, 100%, $E$9)</f>
        <v>122.0504</v>
      </c>
      <c r="H1000" s="14">
        <f>CHOOSE(CONTROL!$C$42, 122.2868, 122.2868) * CHOOSE(CONTROL!$C$21, $C$9, 100%, $E$9)</f>
        <v>122.2868</v>
      </c>
      <c r="I1000" s="14">
        <f>CHOOSE(CONTROL!$C$42, 122.4424, 122.4424)* CHOOSE(CONTROL!$C$21, $C$9, 100%, $E$9)</f>
        <v>122.44240000000001</v>
      </c>
      <c r="J1000" s="14">
        <f>CHOOSE(CONTROL!$C$42, 122.0282, 122.0282)* CHOOSE(CONTROL!$C$21, $C$9, 100%, $E$9)</f>
        <v>122.0282</v>
      </c>
      <c r="K1000" s="53">
        <f>CHOOSE(CONTROL!$C$42, 122.4386, 122.4386) * CHOOSE(CONTROL!$C$21, $C$9, 100%, $E$9)</f>
        <v>122.43859999999999</v>
      </c>
      <c r="L1000" s="14">
        <f>CHOOSE(CONTROL!$C$42, 122.8738, 122.8738) * CHOOSE(CONTROL!$C$21, $C$9, 100%, $E$9)</f>
        <v>122.8738</v>
      </c>
      <c r="M1000" s="14">
        <f>CHOOSE(CONTROL!$C$42, 119.5356, 119.5356) * CHOOSE(CONTROL!$C$21, $C$9, 100%, $E$9)</f>
        <v>119.5356</v>
      </c>
      <c r="N1000" s="14">
        <f>CHOOSE(CONTROL!$C$42, 119.5505, 119.5505) * CHOOSE(CONTROL!$C$21, $C$9, 100%, $E$9)</f>
        <v>119.5505</v>
      </c>
      <c r="O1000" s="14">
        <f>CHOOSE(CONTROL!$C$42, 119.7889, 119.7889) * CHOOSE(CONTROL!$C$21, $C$9, 100%, $E$9)</f>
        <v>119.7889</v>
      </c>
      <c r="P1000" s="14">
        <f>CHOOSE(CONTROL!$C$42, 119.9338, 119.9338) * CHOOSE(CONTROL!$C$21, $C$9, 100%, $E$9)</f>
        <v>119.93380000000001</v>
      </c>
      <c r="Q1000" s="14">
        <f>CHOOSE(CONTROL!$C$42, 120.3836, 120.3836) * CHOOSE(CONTROL!$C$21, $C$9, 100%, $E$9)</f>
        <v>120.3836</v>
      </c>
      <c r="R1000" s="14">
        <f>CHOOSE(CONTROL!$C$42, 121.2716, 121.2716) * CHOOSE(CONTROL!$C$21, $C$9, 100%, $E$9)</f>
        <v>121.27160000000001</v>
      </c>
      <c r="S1000" s="14">
        <f>CHOOSE(CONTROL!$C$42, 117.2718, 117.2718) * CHOOSE(CONTROL!$C$21, $C$9, 100%, $E$9)</f>
        <v>117.2718</v>
      </c>
      <c r="T100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00" s="57">
        <f>(1000*CHOOSE(CONTROL!$C$42, 695, 695)*CHOOSE(CONTROL!$C$42, 0.5599, 0.5599)*CHOOSE(CONTROL!$C$42, 30, 30))/1000000</f>
        <v>11.673914999999997</v>
      </c>
      <c r="V1000" s="57">
        <f>(1000*CHOOSE(CONTROL!$C$42, 500, 500)*CHOOSE(CONTROL!$C$42, 0.275, 0.275)*CHOOSE(CONTROL!$C$42, 30, 30))/1000000</f>
        <v>4.125</v>
      </c>
      <c r="W1000" s="57">
        <f>(1000*CHOOSE(CONTROL!$C$42, 0.1146, 0.1146)*CHOOSE(CONTROL!$C$42, 121.5, 121.5)*CHOOSE(CONTROL!$C$42, 30, 30))/1000000</f>
        <v>0.417717</v>
      </c>
      <c r="X1000" s="57">
        <f>(30*0.1790888*245000/1000000)+(30*0.2374*100000/1000000)</f>
        <v>2.0285026799999999</v>
      </c>
      <c r="Y1000" s="57"/>
      <c r="Z1000" s="14"/>
      <c r="AA1000" s="56"/>
      <c r="AB1000" s="50">
        <f>(B1000*141.293+C1000*267.993+D1000*115.016+E1000*89.698+F1000*40+G1000*185+H1000*0+I1000*100+J1000*300)/(141.293+267.993+115.016+89.698+0+40+185+100+300)</f>
        <v>122.11587981113802</v>
      </c>
      <c r="AC1000" s="45">
        <f>(M1000*'RAP TEMPLATE-GAS AVAILABILITY'!O999+N1000*'RAP TEMPLATE-GAS AVAILABILITY'!P999+O1000*'RAP TEMPLATE-GAS AVAILABILITY'!Q999+P1000*'RAP TEMPLATE-GAS AVAILABILITY'!R999)/('RAP TEMPLATE-GAS AVAILABILITY'!O999+'RAP TEMPLATE-GAS AVAILABILITY'!P999+'RAP TEMPLATE-GAS AVAILABILITY'!Q999+'RAP TEMPLATE-GAS AVAILABILITY'!R999)</f>
        <v>119.70855755395685</v>
      </c>
    </row>
    <row r="1001" spans="1:29" ht="15.75" x14ac:dyDescent="0.25">
      <c r="A1001" s="32">
        <v>71375</v>
      </c>
      <c r="B1001" s="14">
        <f>CHOOSE(CONTROL!$C$42, 123.1319, 123.1319) * CHOOSE(CONTROL!$C$21, $C$9, 100%, $E$9)</f>
        <v>123.1319</v>
      </c>
      <c r="C1001" s="14">
        <f>CHOOSE(CONTROL!$C$42, 123.1399, 123.1399) * CHOOSE(CONTROL!$C$21, $C$9, 100%, $E$9)</f>
        <v>123.1399</v>
      </c>
      <c r="D1001" s="14">
        <f>CHOOSE(CONTROL!$C$42, 123.3439, 123.3439) * CHOOSE(CONTROL!$C$21, $C$9, 100%, $E$9)</f>
        <v>123.3439</v>
      </c>
      <c r="E1001" s="14">
        <f>CHOOSE(CONTROL!$C$42, 123.3753, 123.3753) * CHOOSE(CONTROL!$C$21, $C$9, 100%, $E$9)</f>
        <v>123.3753</v>
      </c>
      <c r="F1001" s="14">
        <f>CHOOSE(CONTROL!$C$42, 123.1127, 123.1127)*CHOOSE(CONTROL!$C$21, $C$9, 100%, $E$9)</f>
        <v>123.1127</v>
      </c>
      <c r="G1001" s="14">
        <f>CHOOSE(CONTROL!$C$42, 123.1283, 123.1283)*CHOOSE(CONTROL!$C$21, $C$9, 100%, $E$9)</f>
        <v>123.1283</v>
      </c>
      <c r="H1001" s="14">
        <f>CHOOSE(CONTROL!$C$42, 123.364, 123.364) * CHOOSE(CONTROL!$C$21, $C$9, 100%, $E$9)</f>
        <v>123.364</v>
      </c>
      <c r="I1001" s="14">
        <f>CHOOSE(CONTROL!$C$42, 123.523, 123.523)* CHOOSE(CONTROL!$C$21, $C$9, 100%, $E$9)</f>
        <v>123.523</v>
      </c>
      <c r="J1001" s="14">
        <f>CHOOSE(CONTROL!$C$42, 123.1057, 123.1057)* CHOOSE(CONTROL!$C$21, $C$9, 100%, $E$9)</f>
        <v>123.1057</v>
      </c>
      <c r="K1001" s="53">
        <f>CHOOSE(CONTROL!$C$42, 123.5191, 123.5191) * CHOOSE(CONTROL!$C$21, $C$9, 100%, $E$9)</f>
        <v>123.51909999999999</v>
      </c>
      <c r="L1001" s="14">
        <f>CHOOSE(CONTROL!$C$42, 123.951, 123.951) * CHOOSE(CONTROL!$C$21, $C$9, 100%, $E$9)</f>
        <v>123.95099999999999</v>
      </c>
      <c r="M1001" s="14">
        <f>CHOOSE(CONTROL!$C$42, 120.591, 120.591) * CHOOSE(CONTROL!$C$21, $C$9, 100%, $E$9)</f>
        <v>120.59099999999999</v>
      </c>
      <c r="N1001" s="14">
        <f>CHOOSE(CONTROL!$C$42, 120.6063, 120.6063) * CHOOSE(CONTROL!$C$21, $C$9, 100%, $E$9)</f>
        <v>120.6063</v>
      </c>
      <c r="O1001" s="14">
        <f>CHOOSE(CONTROL!$C$42, 120.844, 120.844) * CHOOSE(CONTROL!$C$21, $C$9, 100%, $E$9)</f>
        <v>120.84399999999999</v>
      </c>
      <c r="P1001" s="14">
        <f>CHOOSE(CONTROL!$C$42, 120.9921, 120.9921) * CHOOSE(CONTROL!$C$21, $C$9, 100%, $E$9)</f>
        <v>120.99209999999999</v>
      </c>
      <c r="Q1001" s="14">
        <f>CHOOSE(CONTROL!$C$42, 121.4387, 121.4387) * CHOOSE(CONTROL!$C$21, $C$9, 100%, $E$9)</f>
        <v>121.4387</v>
      </c>
      <c r="R1001" s="14">
        <f>CHOOSE(CONTROL!$C$42, 122.3293, 122.3293) * CHOOSE(CONTROL!$C$21, $C$9, 100%, $E$9)</f>
        <v>122.3293</v>
      </c>
      <c r="S1001" s="14">
        <f>CHOOSE(CONTROL!$C$42, 118.3068, 118.3068) * CHOOSE(CONTROL!$C$21, $C$9, 100%, $E$9)</f>
        <v>118.3068</v>
      </c>
      <c r="T100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01" s="57">
        <f>(1000*CHOOSE(CONTROL!$C$42, 695, 695)*CHOOSE(CONTROL!$C$42, 0.5599, 0.5599)*CHOOSE(CONTROL!$C$42, 31, 31))/1000000</f>
        <v>12.063045499999998</v>
      </c>
      <c r="V1001" s="57">
        <f>(1000*CHOOSE(CONTROL!$C$42, 500, 500)*CHOOSE(CONTROL!$C$42, 0.275, 0.275)*CHOOSE(CONTROL!$C$42, 31, 31))/1000000</f>
        <v>4.2625000000000002</v>
      </c>
      <c r="W1001" s="57">
        <f>(1000*CHOOSE(CONTROL!$C$42, 0.1146, 0.1146)*CHOOSE(CONTROL!$C$42, 121.5, 121.5)*CHOOSE(CONTROL!$C$42, 31, 31))/1000000</f>
        <v>0.43164089999999994</v>
      </c>
      <c r="X1001" s="57">
        <f>(31*0.1790888*245000/1000000)+(31*0.2374*100000/1000000)</f>
        <v>2.0961194359999999</v>
      </c>
      <c r="Y1001" s="57"/>
      <c r="Z1001" s="14"/>
      <c r="AA1001" s="56"/>
      <c r="AB1001" s="50">
        <f>(B1001*194.205+C1001*267.466+D1001*133.845+E1001*53.484+F1001*40+G1001*185+H1001*0+I1001*100+J1001*300)/(194.205+267.466+133.845+53.484+0+40+185+100+300)</f>
        <v>123.18947368414442</v>
      </c>
      <c r="AC1001" s="45">
        <f>(M1001*'RAP TEMPLATE-GAS AVAILABILITY'!O1000+N1001*'RAP TEMPLATE-GAS AVAILABILITY'!P1000+O1001*'RAP TEMPLATE-GAS AVAILABILITY'!Q1000+P1001*'RAP TEMPLATE-GAS AVAILABILITY'!R1000)/('RAP TEMPLATE-GAS AVAILABILITY'!O1000+'RAP TEMPLATE-GAS AVAILABILITY'!P1000+'RAP TEMPLATE-GAS AVAILABILITY'!Q1000+'RAP TEMPLATE-GAS AVAILABILITY'!R1000)</f>
        <v>120.76426187050362</v>
      </c>
    </row>
    <row r="1002" spans="1:29" ht="15.75" x14ac:dyDescent="0.25">
      <c r="A1002" s="32">
        <v>71405</v>
      </c>
      <c r="B1002" s="14">
        <f>CHOOSE(CONTROL!$C$42, 126.6244, 126.6244) * CHOOSE(CONTROL!$C$21, $C$9, 100%, $E$9)</f>
        <v>126.62439999999999</v>
      </c>
      <c r="C1002" s="14">
        <f>CHOOSE(CONTROL!$C$42, 126.6324, 126.6324) * CHOOSE(CONTROL!$C$21, $C$9, 100%, $E$9)</f>
        <v>126.6324</v>
      </c>
      <c r="D1002" s="14">
        <f>CHOOSE(CONTROL!$C$42, 126.8363, 126.8363) * CHOOSE(CONTROL!$C$21, $C$9, 100%, $E$9)</f>
        <v>126.83629999999999</v>
      </c>
      <c r="E1002" s="14">
        <f>CHOOSE(CONTROL!$C$42, 126.8678, 126.8678) * CHOOSE(CONTROL!$C$21, $C$9, 100%, $E$9)</f>
        <v>126.8678</v>
      </c>
      <c r="F1002" s="14">
        <f>CHOOSE(CONTROL!$C$42, 126.6056, 126.6056)*CHOOSE(CONTROL!$C$21, $C$9, 100%, $E$9)</f>
        <v>126.6056</v>
      </c>
      <c r="G1002" s="14">
        <f>CHOOSE(CONTROL!$C$42, 126.6213, 126.6213)*CHOOSE(CONTROL!$C$21, $C$9, 100%, $E$9)</f>
        <v>126.62130000000001</v>
      </c>
      <c r="H1002" s="14">
        <f>CHOOSE(CONTROL!$C$42, 126.8564, 126.8564) * CHOOSE(CONTROL!$C$21, $C$9, 100%, $E$9)</f>
        <v>126.85639999999999</v>
      </c>
      <c r="I1002" s="14">
        <f>CHOOSE(CONTROL!$C$42, 127.0264, 127.0264)* CHOOSE(CONTROL!$C$21, $C$9, 100%, $E$9)</f>
        <v>127.0264</v>
      </c>
      <c r="J1002" s="14">
        <f>CHOOSE(CONTROL!$C$42, 126.5986, 126.5986)* CHOOSE(CONTROL!$C$21, $C$9, 100%, $E$9)</f>
        <v>126.5986</v>
      </c>
      <c r="K1002" s="53">
        <f>CHOOSE(CONTROL!$C$42, 127.0225, 127.0225) * CHOOSE(CONTROL!$C$21, $C$9, 100%, $E$9)</f>
        <v>127.02249999999999</v>
      </c>
      <c r="L1002" s="14">
        <f>CHOOSE(CONTROL!$C$42, 127.4434, 127.4434) * CHOOSE(CONTROL!$C$21, $C$9, 100%, $E$9)</f>
        <v>127.4434</v>
      </c>
      <c r="M1002" s="14">
        <f>CHOOSE(CONTROL!$C$42, 124.0123, 124.0123) * CHOOSE(CONTROL!$C$21, $C$9, 100%, $E$9)</f>
        <v>124.0123</v>
      </c>
      <c r="N1002" s="14">
        <f>CHOOSE(CONTROL!$C$42, 124.0278, 124.0278) * CHOOSE(CONTROL!$C$21, $C$9, 100%, $E$9)</f>
        <v>124.0278</v>
      </c>
      <c r="O1002" s="14">
        <f>CHOOSE(CONTROL!$C$42, 124.2649, 124.2649) * CHOOSE(CONTROL!$C$21, $C$9, 100%, $E$9)</f>
        <v>124.2649</v>
      </c>
      <c r="P1002" s="14">
        <f>CHOOSE(CONTROL!$C$42, 124.4235, 124.4235) * CHOOSE(CONTROL!$C$21, $C$9, 100%, $E$9)</f>
        <v>124.4235</v>
      </c>
      <c r="Q1002" s="14">
        <f>CHOOSE(CONTROL!$C$42, 124.8596, 124.8596) * CHOOSE(CONTROL!$C$21, $C$9, 100%, $E$9)</f>
        <v>124.8596</v>
      </c>
      <c r="R1002" s="14">
        <f>CHOOSE(CONTROL!$C$42, 125.7588, 125.7588) * CHOOSE(CONTROL!$C$21, $C$9, 100%, $E$9)</f>
        <v>125.75879999999999</v>
      </c>
      <c r="S1002" s="14">
        <f>CHOOSE(CONTROL!$C$42, 121.6627, 121.6627) * CHOOSE(CONTROL!$C$21, $C$9, 100%, $E$9)</f>
        <v>121.6627</v>
      </c>
      <c r="T100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02" s="57">
        <f>(1000*CHOOSE(CONTROL!$C$42, 695, 695)*CHOOSE(CONTROL!$C$42, 0.5599, 0.5599)*CHOOSE(CONTROL!$C$42, 30, 30))/1000000</f>
        <v>11.673914999999997</v>
      </c>
      <c r="V1002" s="57">
        <f>(1000*CHOOSE(CONTROL!$C$42, 500, 500)*CHOOSE(CONTROL!$C$42, 0.275, 0.275)*CHOOSE(CONTROL!$C$42, 30, 30))/1000000</f>
        <v>4.125</v>
      </c>
      <c r="W1002" s="57">
        <f>(1000*CHOOSE(CONTROL!$C$42, 0.1146, 0.1146)*CHOOSE(CONTROL!$C$42, 121.5, 121.5)*CHOOSE(CONTROL!$C$42, 30, 30))/1000000</f>
        <v>0.417717</v>
      </c>
      <c r="X1002" s="57">
        <f>(30*0.1790888*245000/1000000)+(30*0.2374*100000/1000000)</f>
        <v>2.0285026799999999</v>
      </c>
      <c r="Y1002" s="57"/>
      <c r="Z1002" s="14"/>
      <c r="AA1002" s="56"/>
      <c r="AB1002" s="50">
        <f>(B1002*194.205+C1002*267.466+D1002*133.845+E1002*53.484+F1002*40+G1002*185+H1002*0+I1002*100+J1002*300)/(194.205+267.466+133.845+53.484+0+40+185+100+300)</f>
        <v>126.68299810761381</v>
      </c>
      <c r="AC1002" s="45">
        <f>(M1002*'RAP TEMPLATE-GAS AVAILABILITY'!O1001+N1002*'RAP TEMPLATE-GAS AVAILABILITY'!P1001+O1002*'RAP TEMPLATE-GAS AVAILABILITY'!Q1001+P1002*'RAP TEMPLATE-GAS AVAILABILITY'!R1001)/('RAP TEMPLATE-GAS AVAILABILITY'!O1001+'RAP TEMPLATE-GAS AVAILABILITY'!P1001+'RAP TEMPLATE-GAS AVAILABILITY'!Q1001+'RAP TEMPLATE-GAS AVAILABILITY'!R1001)</f>
        <v>124.18684532374103</v>
      </c>
    </row>
    <row r="1003" spans="1:29" ht="15.75" x14ac:dyDescent="0.25">
      <c r="A1003" s="32">
        <v>71436</v>
      </c>
      <c r="B1003" s="14">
        <f>CHOOSE(CONTROL!$C$42, 124.1954, 124.1954) * CHOOSE(CONTROL!$C$21, $C$9, 100%, $E$9)</f>
        <v>124.19540000000001</v>
      </c>
      <c r="C1003" s="14">
        <f>CHOOSE(CONTROL!$C$42, 124.2034, 124.2034) * CHOOSE(CONTROL!$C$21, $C$9, 100%, $E$9)</f>
        <v>124.2034</v>
      </c>
      <c r="D1003" s="14">
        <f>CHOOSE(CONTROL!$C$42, 124.4073, 124.4073) * CHOOSE(CONTROL!$C$21, $C$9, 100%, $E$9)</f>
        <v>124.40730000000001</v>
      </c>
      <c r="E1003" s="14">
        <f>CHOOSE(CONTROL!$C$42, 124.4388, 124.4388) * CHOOSE(CONTROL!$C$21, $C$9, 100%, $E$9)</f>
        <v>124.4388</v>
      </c>
      <c r="F1003" s="14">
        <f>CHOOSE(CONTROL!$C$42, 124.177, 124.177)*CHOOSE(CONTROL!$C$21, $C$9, 100%, $E$9)</f>
        <v>124.17700000000001</v>
      </c>
      <c r="G1003" s="14">
        <f>CHOOSE(CONTROL!$C$42, 124.1929, 124.1929)*CHOOSE(CONTROL!$C$21, $C$9, 100%, $E$9)</f>
        <v>124.19289999999999</v>
      </c>
      <c r="H1003" s="14">
        <f>CHOOSE(CONTROL!$C$42, 124.4274, 124.4274) * CHOOSE(CONTROL!$C$21, $C$9, 100%, $E$9)</f>
        <v>124.42740000000001</v>
      </c>
      <c r="I1003" s="14">
        <f>CHOOSE(CONTROL!$C$42, 124.5898, 124.5898)* CHOOSE(CONTROL!$C$21, $C$9, 100%, $E$9)</f>
        <v>124.5898</v>
      </c>
      <c r="J1003" s="14">
        <f>CHOOSE(CONTROL!$C$42, 124.17, 124.17)* CHOOSE(CONTROL!$C$21, $C$9, 100%, $E$9)</f>
        <v>124.17</v>
      </c>
      <c r="K1003" s="53">
        <f>CHOOSE(CONTROL!$C$42, 124.5859, 124.5859) * CHOOSE(CONTROL!$C$21, $C$9, 100%, $E$9)</f>
        <v>124.5859</v>
      </c>
      <c r="L1003" s="14">
        <f>CHOOSE(CONTROL!$C$42, 125.0144, 125.0144) * CHOOSE(CONTROL!$C$21, $C$9, 100%, $E$9)</f>
        <v>125.01439999999999</v>
      </c>
      <c r="M1003" s="14">
        <f>CHOOSE(CONTROL!$C$42, 121.6335, 121.6335) * CHOOSE(CONTROL!$C$21, $C$9, 100%, $E$9)</f>
        <v>121.6335</v>
      </c>
      <c r="N1003" s="14">
        <f>CHOOSE(CONTROL!$C$42, 121.6491, 121.6491) * CHOOSE(CONTROL!$C$21, $C$9, 100%, $E$9)</f>
        <v>121.6491</v>
      </c>
      <c r="O1003" s="14">
        <f>CHOOSE(CONTROL!$C$42, 121.8857, 121.8857) * CHOOSE(CONTROL!$C$21, $C$9, 100%, $E$9)</f>
        <v>121.8857</v>
      </c>
      <c r="P1003" s="14">
        <f>CHOOSE(CONTROL!$C$42, 122.0369, 122.0369) * CHOOSE(CONTROL!$C$21, $C$9, 100%, $E$9)</f>
        <v>122.0369</v>
      </c>
      <c r="Q1003" s="14">
        <f>CHOOSE(CONTROL!$C$42, 122.4804, 122.4804) * CHOOSE(CONTROL!$C$21, $C$9, 100%, $E$9)</f>
        <v>122.4804</v>
      </c>
      <c r="R1003" s="14">
        <f>CHOOSE(CONTROL!$C$42, 123.3736, 123.3736) * CHOOSE(CONTROL!$C$21, $C$9, 100%, $E$9)</f>
        <v>123.3736</v>
      </c>
      <c r="S1003" s="14">
        <f>CHOOSE(CONTROL!$C$42, 119.3287, 119.3287) * CHOOSE(CONTROL!$C$21, $C$9, 100%, $E$9)</f>
        <v>119.3287</v>
      </c>
      <c r="T100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03" s="57">
        <f>(1000*CHOOSE(CONTROL!$C$42, 695, 695)*CHOOSE(CONTROL!$C$42, 0.5599, 0.5599)*CHOOSE(CONTROL!$C$42, 31, 31))/1000000</f>
        <v>12.063045499999998</v>
      </c>
      <c r="V1003" s="57">
        <f>(1000*CHOOSE(CONTROL!$C$42, 500, 500)*CHOOSE(CONTROL!$C$42, 0.275, 0.275)*CHOOSE(CONTROL!$C$42, 31, 31))/1000000</f>
        <v>4.2625000000000002</v>
      </c>
      <c r="W1003" s="57">
        <f>(1000*CHOOSE(CONTROL!$C$42, 0.1146, 0.1146)*CHOOSE(CONTROL!$C$42, 121.5, 121.5)*CHOOSE(CONTROL!$C$42, 31, 31))/1000000</f>
        <v>0.43164089999999994</v>
      </c>
      <c r="X1003" s="57">
        <f>(31*0.1790888*245000/1000000)+(31*0.2374*100000/1000000)</f>
        <v>2.0961194359999999</v>
      </c>
      <c r="Y1003" s="57"/>
      <c r="Z1003" s="14"/>
      <c r="AA1003" s="56"/>
      <c r="AB1003" s="50">
        <f>(B1003*194.205+C1003*267.466+D1003*133.845+E1003*53.484+F1003*40+G1003*185+H1003*0+I1003*100+J1003*300)/(194.205+267.466+133.845+53.484+0+40+185+100+300)</f>
        <v>124.25359543885402</v>
      </c>
      <c r="AC1003" s="45">
        <f>(M1003*'RAP TEMPLATE-GAS AVAILABILITY'!O1002+N1003*'RAP TEMPLATE-GAS AVAILABILITY'!P1002+O1003*'RAP TEMPLATE-GAS AVAILABILITY'!Q1002+P1003*'RAP TEMPLATE-GAS AVAILABILITY'!R1002)/('RAP TEMPLATE-GAS AVAILABILITY'!O1002+'RAP TEMPLATE-GAS AVAILABILITY'!P1002+'RAP TEMPLATE-GAS AVAILABILITY'!Q1002+'RAP TEMPLATE-GAS AVAILABILITY'!R1002)</f>
        <v>121.8067474820144</v>
      </c>
    </row>
    <row r="1004" spans="1:29" ht="15.75" x14ac:dyDescent="0.25">
      <c r="A1004" s="32">
        <v>71467</v>
      </c>
      <c r="B1004" s="14">
        <f>CHOOSE(CONTROL!$C$42, 118.0613, 118.0613) * CHOOSE(CONTROL!$C$21, $C$9, 100%, $E$9)</f>
        <v>118.0613</v>
      </c>
      <c r="C1004" s="14">
        <f>CHOOSE(CONTROL!$C$42, 118.0693, 118.0693) * CHOOSE(CONTROL!$C$21, $C$9, 100%, $E$9)</f>
        <v>118.0693</v>
      </c>
      <c r="D1004" s="14">
        <f>CHOOSE(CONTROL!$C$42, 118.2732, 118.2732) * CHOOSE(CONTROL!$C$21, $C$9, 100%, $E$9)</f>
        <v>118.2732</v>
      </c>
      <c r="E1004" s="14">
        <f>CHOOSE(CONTROL!$C$42, 118.3047, 118.3047) * CHOOSE(CONTROL!$C$21, $C$9, 100%, $E$9)</f>
        <v>118.3047</v>
      </c>
      <c r="F1004" s="14">
        <f>CHOOSE(CONTROL!$C$42, 118.0431, 118.0431)*CHOOSE(CONTROL!$C$21, $C$9, 100%, $E$9)</f>
        <v>118.0431</v>
      </c>
      <c r="G1004" s="14">
        <f>CHOOSE(CONTROL!$C$42, 118.0591, 118.0591)*CHOOSE(CONTROL!$C$21, $C$9, 100%, $E$9)</f>
        <v>118.0591</v>
      </c>
      <c r="H1004" s="14">
        <f>CHOOSE(CONTROL!$C$42, 118.2933, 118.2933) * CHOOSE(CONTROL!$C$21, $C$9, 100%, $E$9)</f>
        <v>118.2933</v>
      </c>
      <c r="I1004" s="14">
        <f>CHOOSE(CONTROL!$C$42, 118.4365, 118.4365)* CHOOSE(CONTROL!$C$21, $C$9, 100%, $E$9)</f>
        <v>118.4365</v>
      </c>
      <c r="J1004" s="14">
        <f>CHOOSE(CONTROL!$C$42, 118.0361, 118.0361)* CHOOSE(CONTROL!$C$21, $C$9, 100%, $E$9)</f>
        <v>118.0361</v>
      </c>
      <c r="K1004" s="53">
        <f>CHOOSE(CONTROL!$C$42, 118.4326, 118.4326) * CHOOSE(CONTROL!$C$21, $C$9, 100%, $E$9)</f>
        <v>118.43259999999999</v>
      </c>
      <c r="L1004" s="14">
        <f>CHOOSE(CONTROL!$C$42, 118.8803, 118.8803) * CHOOSE(CONTROL!$C$21, $C$9, 100%, $E$9)</f>
        <v>118.88030000000001</v>
      </c>
      <c r="M1004" s="14">
        <f>CHOOSE(CONTROL!$C$42, 115.6253, 115.6253) * CHOOSE(CONTROL!$C$21, $C$9, 100%, $E$9)</f>
        <v>115.6253</v>
      </c>
      <c r="N1004" s="14">
        <f>CHOOSE(CONTROL!$C$42, 115.641, 115.641) * CHOOSE(CONTROL!$C$21, $C$9, 100%, $E$9)</f>
        <v>115.64100000000001</v>
      </c>
      <c r="O1004" s="14">
        <f>CHOOSE(CONTROL!$C$42, 115.8773, 115.8773) * CHOOSE(CONTROL!$C$21, $C$9, 100%, $E$9)</f>
        <v>115.87730000000001</v>
      </c>
      <c r="P1004" s="14">
        <f>CHOOSE(CONTROL!$C$42, 116.0101, 116.0101) * CHOOSE(CONTROL!$C$21, $C$9, 100%, $E$9)</f>
        <v>116.01009999999999</v>
      </c>
      <c r="Q1004" s="14">
        <f>CHOOSE(CONTROL!$C$42, 116.472, 116.472) * CHOOSE(CONTROL!$C$21, $C$9, 100%, $E$9)</f>
        <v>116.47199999999999</v>
      </c>
      <c r="R1004" s="14">
        <f>CHOOSE(CONTROL!$C$42, 117.3502, 117.3502) * CHOOSE(CONTROL!$C$21, $C$9, 100%, $E$9)</f>
        <v>117.3502</v>
      </c>
      <c r="S1004" s="14">
        <f>CHOOSE(CONTROL!$C$42, 113.4345, 113.4345) * CHOOSE(CONTROL!$C$21, $C$9, 100%, $E$9)</f>
        <v>113.4345</v>
      </c>
      <c r="T100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04" s="57">
        <f>(1000*CHOOSE(CONTROL!$C$42, 695, 695)*CHOOSE(CONTROL!$C$42, 0.5599, 0.5599)*CHOOSE(CONTROL!$C$42, 31, 31))/1000000</f>
        <v>12.063045499999998</v>
      </c>
      <c r="V1004" s="57">
        <f>(1000*CHOOSE(CONTROL!$C$42, 500, 500)*CHOOSE(CONTROL!$C$42, 0.275, 0.275)*CHOOSE(CONTROL!$C$42, 31, 31))/1000000</f>
        <v>4.2625000000000002</v>
      </c>
      <c r="W1004" s="57">
        <f>(1000*CHOOSE(CONTROL!$C$42, 0.1146, 0.1146)*CHOOSE(CONTROL!$C$42, 121.5, 121.5)*CHOOSE(CONTROL!$C$42, 31, 31))/1000000</f>
        <v>0.43164089999999994</v>
      </c>
      <c r="X1004" s="57">
        <f>(31*0.1790888*245000/1000000)+(31*0.2374*100000/1000000)</f>
        <v>2.0961194359999999</v>
      </c>
      <c r="Y1004" s="57"/>
      <c r="Z1004" s="14"/>
      <c r="AA1004" s="56"/>
      <c r="AB1004" s="50">
        <f>(B1004*194.205+C1004*267.466+D1004*133.845+E1004*53.484+F1004*40+G1004*185+H1004*0+I1004*100+J1004*300)/(194.205+267.466+133.845+53.484+0+40+185+100+300)</f>
        <v>118.11808531326531</v>
      </c>
      <c r="AC1004" s="45">
        <f>(M1004*'RAP TEMPLATE-GAS AVAILABILITY'!O1003+N1004*'RAP TEMPLATE-GAS AVAILABILITY'!P1003+O1004*'RAP TEMPLATE-GAS AVAILABILITY'!Q1003+P1004*'RAP TEMPLATE-GAS AVAILABILITY'!R1003)/('RAP TEMPLATE-GAS AVAILABILITY'!O1003+'RAP TEMPLATE-GAS AVAILABILITY'!P1003+'RAP TEMPLATE-GAS AVAILABILITY'!Q1003+'RAP TEMPLATE-GAS AVAILABILITY'!R1003)</f>
        <v>115.79578633093526</v>
      </c>
    </row>
    <row r="1005" spans="1:29" ht="15.75" x14ac:dyDescent="0.25">
      <c r="A1005" s="32">
        <v>71497</v>
      </c>
      <c r="B1005" s="14">
        <f>CHOOSE(CONTROL!$C$42, 110.5662, 110.5662) * CHOOSE(CONTROL!$C$21, $C$9, 100%, $E$9)</f>
        <v>110.56619999999999</v>
      </c>
      <c r="C1005" s="14">
        <f>CHOOSE(CONTROL!$C$42, 110.5742, 110.5742) * CHOOSE(CONTROL!$C$21, $C$9, 100%, $E$9)</f>
        <v>110.5742</v>
      </c>
      <c r="D1005" s="14">
        <f>CHOOSE(CONTROL!$C$42, 110.7782, 110.7782) * CHOOSE(CONTROL!$C$21, $C$9, 100%, $E$9)</f>
        <v>110.7782</v>
      </c>
      <c r="E1005" s="14">
        <f>CHOOSE(CONTROL!$C$42, 110.8096, 110.8096) * CHOOSE(CONTROL!$C$21, $C$9, 100%, $E$9)</f>
        <v>110.8096</v>
      </c>
      <c r="F1005" s="14">
        <f>CHOOSE(CONTROL!$C$42, 110.5481, 110.5481)*CHOOSE(CONTROL!$C$21, $C$9, 100%, $E$9)</f>
        <v>110.54810000000001</v>
      </c>
      <c r="G1005" s="14">
        <f>CHOOSE(CONTROL!$C$42, 110.5641, 110.5641)*CHOOSE(CONTROL!$C$21, $C$9, 100%, $E$9)</f>
        <v>110.5641</v>
      </c>
      <c r="H1005" s="14">
        <f>CHOOSE(CONTROL!$C$42, 110.7982, 110.7982) * CHOOSE(CONTROL!$C$21, $C$9, 100%, $E$9)</f>
        <v>110.79819999999999</v>
      </c>
      <c r="I1005" s="14">
        <f>CHOOSE(CONTROL!$C$42, 110.9179, 110.9179)* CHOOSE(CONTROL!$C$21, $C$9, 100%, $E$9)</f>
        <v>110.9179</v>
      </c>
      <c r="J1005" s="14">
        <f>CHOOSE(CONTROL!$C$42, 110.5411, 110.5411)* CHOOSE(CONTROL!$C$21, $C$9, 100%, $E$9)</f>
        <v>110.5411</v>
      </c>
      <c r="K1005" s="53">
        <f>CHOOSE(CONTROL!$C$42, 110.914, 110.914) * CHOOSE(CONTROL!$C$21, $C$9, 100%, $E$9)</f>
        <v>110.914</v>
      </c>
      <c r="L1005" s="14">
        <f>CHOOSE(CONTROL!$C$42, 111.3852, 111.3852) * CHOOSE(CONTROL!$C$21, $C$9, 100%, $E$9)</f>
        <v>111.3852</v>
      </c>
      <c r="M1005" s="14">
        <f>CHOOSE(CONTROL!$C$42, 108.2839, 108.2839) * CHOOSE(CONTROL!$C$21, $C$9, 100%, $E$9)</f>
        <v>108.2839</v>
      </c>
      <c r="N1005" s="14">
        <f>CHOOSE(CONTROL!$C$42, 108.2995, 108.2995) * CHOOSE(CONTROL!$C$21, $C$9, 100%, $E$9)</f>
        <v>108.29949999999999</v>
      </c>
      <c r="O1005" s="14">
        <f>CHOOSE(CONTROL!$C$42, 108.5358, 108.5358) * CHOOSE(CONTROL!$C$21, $C$9, 100%, $E$9)</f>
        <v>108.53579999999999</v>
      </c>
      <c r="P1005" s="14">
        <f>CHOOSE(CONTROL!$C$42, 108.6461, 108.6461) * CHOOSE(CONTROL!$C$21, $C$9, 100%, $E$9)</f>
        <v>108.6461</v>
      </c>
      <c r="Q1005" s="14">
        <f>CHOOSE(CONTROL!$C$42, 109.1305, 109.1305) * CHOOSE(CONTROL!$C$21, $C$9, 100%, $E$9)</f>
        <v>109.1305</v>
      </c>
      <c r="R1005" s="14">
        <f>CHOOSE(CONTROL!$C$42, 109.9903, 109.9903) * CHOOSE(CONTROL!$C$21, $C$9, 100%, $E$9)</f>
        <v>109.9903</v>
      </c>
      <c r="S1005" s="14">
        <f>CHOOSE(CONTROL!$C$42, 106.2324, 106.2324) * CHOOSE(CONTROL!$C$21, $C$9, 100%, $E$9)</f>
        <v>106.2324</v>
      </c>
      <c r="T100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05" s="57">
        <f>(1000*CHOOSE(CONTROL!$C$42, 695, 695)*CHOOSE(CONTROL!$C$42, 0.5599, 0.5599)*CHOOSE(CONTROL!$C$42, 30, 30))/1000000</f>
        <v>11.673914999999997</v>
      </c>
      <c r="V1005" s="57">
        <f>(1000*CHOOSE(CONTROL!$C$42, 500, 500)*CHOOSE(CONTROL!$C$42, 0.275, 0.275)*CHOOSE(CONTROL!$C$42, 30, 30))/1000000</f>
        <v>4.125</v>
      </c>
      <c r="W1005" s="57">
        <f>(1000*CHOOSE(CONTROL!$C$42, 0.1146, 0.1146)*CHOOSE(CONTROL!$C$42, 121.5, 121.5)*CHOOSE(CONTROL!$C$42, 30, 30))/1000000</f>
        <v>0.417717</v>
      </c>
      <c r="X1005" s="57">
        <f>(30*0.1790888*245000/1000000)+(30*0.2374*100000/1000000)</f>
        <v>2.0285026799999999</v>
      </c>
      <c r="Y1005" s="57"/>
      <c r="Z1005" s="14"/>
      <c r="AA1005" s="56"/>
      <c r="AB1005" s="50">
        <f>(B1005*194.205+C1005*267.466+D1005*133.845+E1005*53.484+F1005*40+G1005*185+H1005*0+I1005*100+J1005*300)/(194.205+267.466+133.845+53.484+0+40+185+100+300)</f>
        <v>110.62119244395606</v>
      </c>
      <c r="AC1005" s="45">
        <f>(M1005*'RAP TEMPLATE-GAS AVAILABILITY'!O1004+N1005*'RAP TEMPLATE-GAS AVAILABILITY'!P1004+O1005*'RAP TEMPLATE-GAS AVAILABILITY'!Q1004+P1005*'RAP TEMPLATE-GAS AVAILABILITY'!R1004)/('RAP TEMPLATE-GAS AVAILABILITY'!O1004+'RAP TEMPLATE-GAS AVAILABILITY'!P1004+'RAP TEMPLATE-GAS AVAILABILITY'!Q1004+'RAP TEMPLATE-GAS AVAILABILITY'!R1004)</f>
        <v>108.4510834532374</v>
      </c>
    </row>
    <row r="1006" spans="1:29" ht="15.75" x14ac:dyDescent="0.25">
      <c r="A1006" s="32">
        <v>71528</v>
      </c>
      <c r="B1006" s="14">
        <f>CHOOSE(CONTROL!$C$42, 108.3197, 108.3197) * CHOOSE(CONTROL!$C$21, $C$9, 100%, $E$9)</f>
        <v>108.3197</v>
      </c>
      <c r="C1006" s="14">
        <f>CHOOSE(CONTROL!$C$42, 108.3251, 108.3251) * CHOOSE(CONTROL!$C$21, $C$9, 100%, $E$9)</f>
        <v>108.32510000000001</v>
      </c>
      <c r="D1006" s="14">
        <f>CHOOSE(CONTROL!$C$42, 108.534, 108.534) * CHOOSE(CONTROL!$C$21, $C$9, 100%, $E$9)</f>
        <v>108.53400000000001</v>
      </c>
      <c r="E1006" s="14">
        <f>CHOOSE(CONTROL!$C$42, 108.5631, 108.5631) * CHOOSE(CONTROL!$C$21, $C$9, 100%, $E$9)</f>
        <v>108.56310000000001</v>
      </c>
      <c r="F1006" s="14">
        <f>CHOOSE(CONTROL!$C$42, 108.3037, 108.3037)*CHOOSE(CONTROL!$C$21, $C$9, 100%, $E$9)</f>
        <v>108.30370000000001</v>
      </c>
      <c r="G1006" s="14">
        <f>CHOOSE(CONTROL!$C$42, 108.3194, 108.3194)*CHOOSE(CONTROL!$C$21, $C$9, 100%, $E$9)</f>
        <v>108.3194</v>
      </c>
      <c r="H1006" s="14">
        <f>CHOOSE(CONTROL!$C$42, 108.5535, 108.5535) * CHOOSE(CONTROL!$C$21, $C$9, 100%, $E$9)</f>
        <v>108.5535</v>
      </c>
      <c r="I1006" s="14">
        <f>CHOOSE(CONTROL!$C$42, 108.6662, 108.6662)* CHOOSE(CONTROL!$C$21, $C$9, 100%, $E$9)</f>
        <v>108.6662</v>
      </c>
      <c r="J1006" s="14">
        <f>CHOOSE(CONTROL!$C$42, 108.2967, 108.2967)* CHOOSE(CONTROL!$C$21, $C$9, 100%, $E$9)</f>
        <v>108.2967</v>
      </c>
      <c r="K1006" s="53">
        <f>CHOOSE(CONTROL!$C$42, 108.6623, 108.6623) * CHOOSE(CONTROL!$C$21, $C$9, 100%, $E$9)</f>
        <v>108.6623</v>
      </c>
      <c r="L1006" s="14">
        <f>CHOOSE(CONTROL!$C$42, 109.1405, 109.1405) * CHOOSE(CONTROL!$C$21, $C$9, 100%, $E$9)</f>
        <v>109.1405</v>
      </c>
      <c r="M1006" s="14">
        <f>CHOOSE(CONTROL!$C$42, 106.0855, 106.0855) * CHOOSE(CONTROL!$C$21, $C$9, 100%, $E$9)</f>
        <v>106.0855</v>
      </c>
      <c r="N1006" s="14">
        <f>CHOOSE(CONTROL!$C$42, 106.1008, 106.1008) * CHOOSE(CONTROL!$C$21, $C$9, 100%, $E$9)</f>
        <v>106.10080000000001</v>
      </c>
      <c r="O1006" s="14">
        <f>CHOOSE(CONTROL!$C$42, 106.3371, 106.3371) * CHOOSE(CONTROL!$C$21, $C$9, 100%, $E$9)</f>
        <v>106.33710000000001</v>
      </c>
      <c r="P1006" s="14">
        <f>CHOOSE(CONTROL!$C$42, 106.4406, 106.4406) * CHOOSE(CONTROL!$C$21, $C$9, 100%, $E$9)</f>
        <v>106.4406</v>
      </c>
      <c r="Q1006" s="14">
        <f>CHOOSE(CONTROL!$C$42, 106.9318, 106.9318) * CHOOSE(CONTROL!$C$21, $C$9, 100%, $E$9)</f>
        <v>106.9318</v>
      </c>
      <c r="R1006" s="14">
        <f>CHOOSE(CONTROL!$C$42, 107.7861, 107.7861) * CHOOSE(CONTROL!$C$21, $C$9, 100%, $E$9)</f>
        <v>107.7861</v>
      </c>
      <c r="S1006" s="14">
        <f>CHOOSE(CONTROL!$C$42, 104.0755, 104.0755) * CHOOSE(CONTROL!$C$21, $C$9, 100%, $E$9)</f>
        <v>104.07550000000001</v>
      </c>
      <c r="T100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06" s="57">
        <f>(1000*CHOOSE(CONTROL!$C$42, 695, 695)*CHOOSE(CONTROL!$C$42, 0.5599, 0.5599)*CHOOSE(CONTROL!$C$42, 31, 31))/1000000</f>
        <v>12.063045499999998</v>
      </c>
      <c r="V1006" s="57">
        <f>(1000*CHOOSE(CONTROL!$C$42, 500, 500)*CHOOSE(CONTROL!$C$42, 0.275, 0.275)*CHOOSE(CONTROL!$C$42, 31, 31))/1000000</f>
        <v>4.2625000000000002</v>
      </c>
      <c r="W1006" s="57">
        <f>(1000*CHOOSE(CONTROL!$C$42, 0.1146, 0.1146)*CHOOSE(CONTROL!$C$42, 121.5, 121.5)*CHOOSE(CONTROL!$C$42, 31, 31))/1000000</f>
        <v>0.43164089999999994</v>
      </c>
      <c r="X1006" s="57">
        <f>(31*0.1790888*245000/1000000)+(31*0.2374*100000/1000000)</f>
        <v>2.0961194359999999</v>
      </c>
      <c r="Y1006" s="57"/>
      <c r="Z1006" s="14"/>
      <c r="AA1006" s="56"/>
      <c r="AB1006" s="50">
        <f>(B1006*131.881+C1006*277.167+D1006*79.08+E1006*125.872+F1006*40+G1006*185+H1006*0+I1006*100+J1006*300)/(131.881+277.167+79.08+125.872+0+40+185+100+300)</f>
        <v>108.38114898353511</v>
      </c>
      <c r="AC1006" s="45">
        <f>(M1006*'RAP TEMPLATE-GAS AVAILABILITY'!O1005+N1006*'RAP TEMPLATE-GAS AVAILABILITY'!P1005+O1006*'RAP TEMPLATE-GAS AVAILABILITY'!Q1005+P1006*'RAP TEMPLATE-GAS AVAILABILITY'!R1005)/('RAP TEMPLATE-GAS AVAILABILITY'!O1005+'RAP TEMPLATE-GAS AVAILABILITY'!P1005+'RAP TEMPLATE-GAS AVAILABILITY'!Q1005+'RAP TEMPLATE-GAS AVAILABILITY'!R1005)</f>
        <v>106.25150863309354</v>
      </c>
    </row>
    <row r="1007" spans="1:29" ht="15.75" x14ac:dyDescent="0.25">
      <c r="A1007" s="32">
        <v>71558</v>
      </c>
      <c r="B1007" s="14">
        <f>CHOOSE(CONTROL!$C$42, 111.1727, 111.1727) * CHOOSE(CONTROL!$C$21, $C$9, 100%, $E$9)</f>
        <v>111.17270000000001</v>
      </c>
      <c r="C1007" s="14">
        <f>CHOOSE(CONTROL!$C$42, 111.1778, 111.1778) * CHOOSE(CONTROL!$C$21, $C$9, 100%, $E$9)</f>
        <v>111.1778</v>
      </c>
      <c r="D1007" s="14">
        <f>CHOOSE(CONTROL!$C$42, 111.2416, 111.2416) * CHOOSE(CONTROL!$C$21, $C$9, 100%, $E$9)</f>
        <v>111.24160000000001</v>
      </c>
      <c r="E1007" s="14">
        <f>CHOOSE(CONTROL!$C$42, 111.2757, 111.2757) * CHOOSE(CONTROL!$C$21, $C$9, 100%, $E$9)</f>
        <v>111.2757</v>
      </c>
      <c r="F1007" s="14">
        <f>CHOOSE(CONTROL!$C$42, 111.1751, 111.1751)*CHOOSE(CONTROL!$C$21, $C$9, 100%, $E$9)</f>
        <v>111.1751</v>
      </c>
      <c r="G1007" s="14">
        <f>CHOOSE(CONTROL!$C$42, 111.1911, 111.1911)*CHOOSE(CONTROL!$C$21, $C$9, 100%, $E$9)</f>
        <v>111.19110000000001</v>
      </c>
      <c r="H1007" s="14">
        <f>CHOOSE(CONTROL!$C$42, 111.2649, 111.2649) * CHOOSE(CONTROL!$C$21, $C$9, 100%, $E$9)</f>
        <v>111.2649</v>
      </c>
      <c r="I1007" s="14">
        <f>CHOOSE(CONTROL!$C$42, 111.5337, 111.5337)* CHOOSE(CONTROL!$C$21, $C$9, 100%, $E$9)</f>
        <v>111.5337</v>
      </c>
      <c r="J1007" s="14">
        <f>CHOOSE(CONTROL!$C$42, 111.1681, 111.1681)* CHOOSE(CONTROL!$C$21, $C$9, 100%, $E$9)</f>
        <v>111.1681</v>
      </c>
      <c r="K1007" s="53">
        <f>CHOOSE(CONTROL!$C$42, 111.5298, 111.5298) * CHOOSE(CONTROL!$C$21, $C$9, 100%, $E$9)</f>
        <v>111.52979999999999</v>
      </c>
      <c r="L1007" s="14">
        <f>CHOOSE(CONTROL!$C$42, 111.8519, 111.8519) * CHOOSE(CONTROL!$C$21, $C$9, 100%, $E$9)</f>
        <v>111.8519</v>
      </c>
      <c r="M1007" s="14">
        <f>CHOOSE(CONTROL!$C$42, 108.898, 108.898) * CHOOSE(CONTROL!$C$21, $C$9, 100%, $E$9)</f>
        <v>108.898</v>
      </c>
      <c r="N1007" s="14">
        <f>CHOOSE(CONTROL!$C$42, 108.9137, 108.9137) * CHOOSE(CONTROL!$C$21, $C$9, 100%, $E$9)</f>
        <v>108.91370000000001</v>
      </c>
      <c r="O1007" s="14">
        <f>CHOOSE(CONTROL!$C$42, 108.9928, 108.9928) * CHOOSE(CONTROL!$C$21, $C$9, 100%, $E$9)</f>
        <v>108.9928</v>
      </c>
      <c r="P1007" s="14">
        <f>CHOOSE(CONTROL!$C$42, 109.2492, 109.2492) * CHOOSE(CONTROL!$C$21, $C$9, 100%, $E$9)</f>
        <v>109.2492</v>
      </c>
      <c r="Q1007" s="14">
        <f>CHOOSE(CONTROL!$C$42, 109.5875, 109.5875) * CHOOSE(CONTROL!$C$21, $C$9, 100%, $E$9)</f>
        <v>109.58750000000001</v>
      </c>
      <c r="R1007" s="14">
        <f>CHOOSE(CONTROL!$C$42, 110.4485, 110.4485) * CHOOSE(CONTROL!$C$21, $C$9, 100%, $E$9)</f>
        <v>110.4485</v>
      </c>
      <c r="S1007" s="14">
        <f>CHOOSE(CONTROL!$C$42, 106.8173, 106.8173) * CHOOSE(CONTROL!$C$21, $C$9, 100%, $E$9)</f>
        <v>106.8173</v>
      </c>
      <c r="T100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07" s="57">
        <f>(1000*CHOOSE(CONTROL!$C$42, 695, 695)*CHOOSE(CONTROL!$C$42, 0.5599, 0.5599)*CHOOSE(CONTROL!$C$42, 30, 30))/1000000</f>
        <v>11.673914999999997</v>
      </c>
      <c r="V1007" s="57">
        <f>(1000*CHOOSE(CONTROL!$C$42, 500, 500)*CHOOSE(CONTROL!$C$42, 0.275, 0.275)*CHOOSE(CONTROL!$C$42, 30, 30))/1000000</f>
        <v>4.125</v>
      </c>
      <c r="W1007" s="57">
        <f>(1000*CHOOSE(CONTROL!$C$42, 0.1146, 0.1146)*CHOOSE(CONTROL!$C$42, 121.5, 121.5)*CHOOSE(CONTROL!$C$42, 30, 30))/1000000</f>
        <v>0.417717</v>
      </c>
      <c r="X1007" s="57">
        <f>(30*0.1790888*100000/1000000)+(30*0.2374*100000/1000000)</f>
        <v>1.2494664</v>
      </c>
      <c r="Y1007" s="57"/>
      <c r="Z1007" s="14"/>
      <c r="AA1007" s="56"/>
      <c r="AB1007" s="50">
        <f>(B1007*122.58+C1007*297.941+D1007*89.177+E1007*40.302+F1007*40+G1007*160+H1007*0+I1007*100+J1007*300)/(122.58+297.941+89.177+40.302+0+40+160+100+300)</f>
        <v>111.21580860904346</v>
      </c>
      <c r="AC1007" s="45">
        <f>(M1007*'RAP TEMPLATE-GAS AVAILABILITY'!O1006+N1007*'RAP TEMPLATE-GAS AVAILABILITY'!P1006+O1007*'RAP TEMPLATE-GAS AVAILABILITY'!Q1006+P1007*'RAP TEMPLATE-GAS AVAILABILITY'!R1006)/('RAP TEMPLATE-GAS AVAILABILITY'!O1006+'RAP TEMPLATE-GAS AVAILABILITY'!P1006+'RAP TEMPLATE-GAS AVAILABILITY'!Q1006+'RAP TEMPLATE-GAS AVAILABILITY'!R1006)</f>
        <v>108.99240287769784</v>
      </c>
    </row>
    <row r="1008" spans="1:29" ht="15.75" x14ac:dyDescent="0.25">
      <c r="A1008" s="32">
        <v>71589</v>
      </c>
      <c r="B1008" s="14">
        <f>CHOOSE(CONTROL!$C$42, 118.7518, 118.7518) * CHOOSE(CONTROL!$C$21, $C$9, 100%, $E$9)</f>
        <v>118.7518</v>
      </c>
      <c r="C1008" s="14">
        <f>CHOOSE(CONTROL!$C$42, 118.7568, 118.7568) * CHOOSE(CONTROL!$C$21, $C$9, 100%, $E$9)</f>
        <v>118.7568</v>
      </c>
      <c r="D1008" s="14">
        <f>CHOOSE(CONTROL!$C$42, 118.8206, 118.8206) * CHOOSE(CONTROL!$C$21, $C$9, 100%, $E$9)</f>
        <v>118.8206</v>
      </c>
      <c r="E1008" s="14">
        <f>CHOOSE(CONTROL!$C$42, 118.8547, 118.8547) * CHOOSE(CONTROL!$C$21, $C$9, 100%, $E$9)</f>
        <v>118.85469999999999</v>
      </c>
      <c r="F1008" s="14">
        <f>CHOOSE(CONTROL!$C$42, 118.7564, 118.7564)*CHOOSE(CONTROL!$C$21, $C$9, 100%, $E$9)</f>
        <v>118.7564</v>
      </c>
      <c r="G1008" s="14">
        <f>CHOOSE(CONTROL!$C$42, 118.773, 118.773)*CHOOSE(CONTROL!$C$21, $C$9, 100%, $E$9)</f>
        <v>118.773</v>
      </c>
      <c r="H1008" s="14">
        <f>CHOOSE(CONTROL!$C$42, 118.8439, 118.8439) * CHOOSE(CONTROL!$C$21, $C$9, 100%, $E$9)</f>
        <v>118.8439</v>
      </c>
      <c r="I1008" s="14">
        <f>CHOOSE(CONTROL!$C$42, 119.1365, 119.1365)* CHOOSE(CONTROL!$C$21, $C$9, 100%, $E$9)</f>
        <v>119.1365</v>
      </c>
      <c r="J1008" s="14">
        <f>CHOOSE(CONTROL!$C$42, 118.7494, 118.7494)* CHOOSE(CONTROL!$C$21, $C$9, 100%, $E$9)</f>
        <v>118.74939999999999</v>
      </c>
      <c r="K1008" s="53">
        <f>CHOOSE(CONTROL!$C$42, 119.1326, 119.1326) * CHOOSE(CONTROL!$C$21, $C$9, 100%, $E$9)</f>
        <v>119.1326</v>
      </c>
      <c r="L1008" s="14">
        <f>CHOOSE(CONTROL!$C$42, 119.4309, 119.4309) * CHOOSE(CONTROL!$C$21, $C$9, 100%, $E$9)</f>
        <v>119.43089999999999</v>
      </c>
      <c r="M1008" s="14">
        <f>CHOOSE(CONTROL!$C$42, 116.324, 116.324) * CHOOSE(CONTROL!$C$21, $C$9, 100%, $E$9)</f>
        <v>116.324</v>
      </c>
      <c r="N1008" s="14">
        <f>CHOOSE(CONTROL!$C$42, 116.3403, 116.3403) * CHOOSE(CONTROL!$C$21, $C$9, 100%, $E$9)</f>
        <v>116.3403</v>
      </c>
      <c r="O1008" s="14">
        <f>CHOOSE(CONTROL!$C$42, 116.4166, 116.4166) * CHOOSE(CONTROL!$C$21, $C$9, 100%, $E$9)</f>
        <v>116.4166</v>
      </c>
      <c r="P1008" s="14">
        <f>CHOOSE(CONTROL!$C$42, 116.6958, 116.6958) * CHOOSE(CONTROL!$C$21, $C$9, 100%, $E$9)</f>
        <v>116.69580000000001</v>
      </c>
      <c r="Q1008" s="14">
        <f>CHOOSE(CONTROL!$C$42, 117.0113, 117.0113) * CHOOSE(CONTROL!$C$21, $C$9, 100%, $E$9)</f>
        <v>117.01130000000001</v>
      </c>
      <c r="R1008" s="14">
        <f>CHOOSE(CONTROL!$C$42, 117.8908, 117.8908) * CHOOSE(CONTROL!$C$21, $C$9, 100%, $E$9)</f>
        <v>117.8908</v>
      </c>
      <c r="S1008" s="14">
        <f>CHOOSE(CONTROL!$C$42, 114.1, 114.1) * CHOOSE(CONTROL!$C$21, $C$9, 100%, $E$9)</f>
        <v>114.1</v>
      </c>
      <c r="T100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08" s="57">
        <f>(1000*CHOOSE(CONTROL!$C$42, 695, 695)*CHOOSE(CONTROL!$C$42, 0.5599, 0.5599)*CHOOSE(CONTROL!$C$42, 31, 31))/1000000</f>
        <v>12.063045499999998</v>
      </c>
      <c r="V1008" s="57">
        <f>(1000*CHOOSE(CONTROL!$C$42, 500, 500)*CHOOSE(CONTROL!$C$42, 0.275, 0.275)*CHOOSE(CONTROL!$C$42, 31, 31))/1000000</f>
        <v>4.2625000000000002</v>
      </c>
      <c r="W1008" s="57">
        <f>(1000*CHOOSE(CONTROL!$C$42, 0.1146, 0.1146)*CHOOSE(CONTROL!$C$42, 121.5, 121.5)*CHOOSE(CONTROL!$C$42, 31, 31))/1000000</f>
        <v>0.43164089999999994</v>
      </c>
      <c r="X1008" s="57">
        <f>(31*0.1790888*100000/1000000)+(31*0.2374*100000/1000000)</f>
        <v>1.2911152800000001</v>
      </c>
      <c r="Y1008" s="57"/>
      <c r="Z1008" s="14"/>
      <c r="AA1008" s="56"/>
      <c r="AB1008" s="50">
        <f>(B1008*122.58+C1008*297.941+D1008*89.177+E1008*40.302+F1008*40+G1008*160+H1008*0+I1008*100+J1008*300)/(122.58+297.941+89.177+40.302+0+40+160+100+300)</f>
        <v>118.79797231165216</v>
      </c>
      <c r="AC1008" s="45">
        <f>(M1008*'RAP TEMPLATE-GAS AVAILABILITY'!O1007+N1008*'RAP TEMPLATE-GAS AVAILABILITY'!P1007+O1008*'RAP TEMPLATE-GAS AVAILABILITY'!Q1007+P1008*'RAP TEMPLATE-GAS AVAILABILITY'!R1007)/('RAP TEMPLATE-GAS AVAILABILITY'!O1007+'RAP TEMPLATE-GAS AVAILABILITY'!P1007+'RAP TEMPLATE-GAS AVAILABILITY'!Q1007+'RAP TEMPLATE-GAS AVAILABILITY'!R1007)</f>
        <v>116.42040431654675</v>
      </c>
    </row>
    <row r="1009" spans="1:29" ht="15.75" x14ac:dyDescent="0.25">
      <c r="A1009" s="32">
        <v>71620</v>
      </c>
      <c r="B1009" s="14">
        <f>CHOOSE(CONTROL!$C$42, 128.4784, 128.4784) * CHOOSE(CONTROL!$C$21, $C$9, 100%, $E$9)</f>
        <v>128.47839999999999</v>
      </c>
      <c r="C1009" s="14">
        <f>CHOOSE(CONTROL!$C$42, 128.4835, 128.4835) * CHOOSE(CONTROL!$C$21, $C$9, 100%, $E$9)</f>
        <v>128.48349999999999</v>
      </c>
      <c r="D1009" s="14">
        <f>CHOOSE(CONTROL!$C$42, 128.5499, 128.5499) * CHOOSE(CONTROL!$C$21, $C$9, 100%, $E$9)</f>
        <v>128.54990000000001</v>
      </c>
      <c r="E1009" s="14">
        <f>CHOOSE(CONTROL!$C$42, 128.584, 128.584) * CHOOSE(CONTROL!$C$21, $C$9, 100%, $E$9)</f>
        <v>128.584</v>
      </c>
      <c r="F1009" s="14">
        <f>CHOOSE(CONTROL!$C$42, 128.4657, 128.4657)*CHOOSE(CONTROL!$C$21, $C$9, 100%, $E$9)</f>
        <v>128.4657</v>
      </c>
      <c r="G1009" s="14">
        <f>CHOOSE(CONTROL!$C$42, 128.4812, 128.4812)*CHOOSE(CONTROL!$C$21, $C$9, 100%, $E$9)</f>
        <v>128.4812</v>
      </c>
      <c r="H1009" s="14">
        <f>CHOOSE(CONTROL!$C$42, 128.5732, 128.5732) * CHOOSE(CONTROL!$C$21, $C$9, 100%, $E$9)</f>
        <v>128.57320000000001</v>
      </c>
      <c r="I1009" s="14">
        <f>CHOOSE(CONTROL!$C$42, 128.8884, 128.8884)* CHOOSE(CONTROL!$C$21, $C$9, 100%, $E$9)</f>
        <v>128.88839999999999</v>
      </c>
      <c r="J1009" s="14">
        <f>CHOOSE(CONTROL!$C$42, 128.4587, 128.4587)* CHOOSE(CONTROL!$C$21, $C$9, 100%, $E$9)</f>
        <v>128.45869999999999</v>
      </c>
      <c r="K1009" s="53">
        <f>CHOOSE(CONTROL!$C$42, 128.8845, 128.8845) * CHOOSE(CONTROL!$C$21, $C$9, 100%, $E$9)</f>
        <v>128.8845</v>
      </c>
      <c r="L1009" s="14">
        <f>CHOOSE(CONTROL!$C$42, 129.1602, 129.1602) * CHOOSE(CONTROL!$C$21, $C$9, 100%, $E$9)</f>
        <v>129.1602</v>
      </c>
      <c r="M1009" s="14">
        <f>CHOOSE(CONTROL!$C$42, 125.8344, 125.8344) * CHOOSE(CONTROL!$C$21, $C$9, 100%, $E$9)</f>
        <v>125.8344</v>
      </c>
      <c r="N1009" s="14">
        <f>CHOOSE(CONTROL!$C$42, 125.8496, 125.8496) * CHOOSE(CONTROL!$C$21, $C$9, 100%, $E$9)</f>
        <v>125.8496</v>
      </c>
      <c r="O1009" s="14">
        <f>CHOOSE(CONTROL!$C$42, 125.9465, 125.9465) * CHOOSE(CONTROL!$C$21, $C$9, 100%, $E$9)</f>
        <v>125.9465</v>
      </c>
      <c r="P1009" s="14">
        <f>CHOOSE(CONTROL!$C$42, 126.2473, 126.2473) * CHOOSE(CONTROL!$C$21, $C$9, 100%, $E$9)</f>
        <v>126.2473</v>
      </c>
      <c r="Q1009" s="14">
        <f>CHOOSE(CONTROL!$C$42, 126.5412, 126.5412) * CHOOSE(CONTROL!$C$21, $C$9, 100%, $E$9)</f>
        <v>126.5412</v>
      </c>
      <c r="R1009" s="14">
        <f>CHOOSE(CONTROL!$C$42, 127.4446, 127.4446) * CHOOSE(CONTROL!$C$21, $C$9, 100%, $E$9)</f>
        <v>127.44459999999999</v>
      </c>
      <c r="S1009" s="14">
        <f>CHOOSE(CONTROL!$C$42, 123.4464, 123.4464) * CHOOSE(CONTROL!$C$21, $C$9, 100%, $E$9)</f>
        <v>123.4464</v>
      </c>
      <c r="T100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09" s="57">
        <f>(1000*CHOOSE(CONTROL!$C$42, 695, 695)*CHOOSE(CONTROL!$C$42, 0.5599, 0.5599)*CHOOSE(CONTROL!$C$42, 31, 31))/1000000</f>
        <v>12.063045499999998</v>
      </c>
      <c r="V1009" s="57">
        <f>(1000*CHOOSE(CONTROL!$C$42, 500, 500)*CHOOSE(CONTROL!$C$42, 0.275, 0.275)*CHOOSE(CONTROL!$C$42, 31, 31))/1000000</f>
        <v>4.2625000000000002</v>
      </c>
      <c r="W1009" s="57">
        <f>(1000*CHOOSE(CONTROL!$C$42, 0.1146, 0.1146)*CHOOSE(CONTROL!$C$42, 121.5, 121.5)*CHOOSE(CONTROL!$C$42, 31, 31))/1000000</f>
        <v>0.43164089999999994</v>
      </c>
      <c r="X1009" s="57">
        <f>(31*0.1790888*100000/1000000)+(31*0.2374*100000/1000000)</f>
        <v>1.2911152800000001</v>
      </c>
      <c r="Y1009" s="57"/>
      <c r="Z1009" s="14"/>
      <c r="AA1009" s="56"/>
      <c r="AB1009" s="50">
        <f>(B1009*122.58+C1009*297.941+D1009*89.177+E1009*40.302+F1009*40+G1009*160+H1009*0+I1009*100+J1009*300)/(122.58+297.941+89.177+40.302+0+40+160+100+300)</f>
        <v>128.51942743113042</v>
      </c>
      <c r="AC1009" s="45">
        <f>(M1009*'RAP TEMPLATE-GAS AVAILABILITY'!O1008+N1009*'RAP TEMPLATE-GAS AVAILABILITY'!P1008+O1009*'RAP TEMPLATE-GAS AVAILABILITY'!Q1008+P1009*'RAP TEMPLATE-GAS AVAILABILITY'!R1008)/('RAP TEMPLATE-GAS AVAILABILITY'!O1008+'RAP TEMPLATE-GAS AVAILABILITY'!P1008+'RAP TEMPLATE-GAS AVAILABILITY'!Q1008+'RAP TEMPLATE-GAS AVAILABILITY'!R1008)</f>
        <v>125.94549280575538</v>
      </c>
    </row>
    <row r="1010" spans="1:29" ht="15.75" x14ac:dyDescent="0.25">
      <c r="A1010" s="32">
        <v>71649</v>
      </c>
      <c r="B1010" s="14">
        <f>CHOOSE(CONTROL!$C$42, 130.7653, 130.7653) * CHOOSE(CONTROL!$C$21, $C$9, 100%, $E$9)</f>
        <v>130.7653</v>
      </c>
      <c r="C1010" s="14">
        <f>CHOOSE(CONTROL!$C$42, 130.7704, 130.7704) * CHOOSE(CONTROL!$C$21, $C$9, 100%, $E$9)</f>
        <v>130.7704</v>
      </c>
      <c r="D1010" s="14">
        <f>CHOOSE(CONTROL!$C$42, 130.8368, 130.8368) * CHOOSE(CONTROL!$C$21, $C$9, 100%, $E$9)</f>
        <v>130.83680000000001</v>
      </c>
      <c r="E1010" s="14">
        <f>CHOOSE(CONTROL!$C$42, 130.8709, 130.8709) * CHOOSE(CONTROL!$C$21, $C$9, 100%, $E$9)</f>
        <v>130.87090000000001</v>
      </c>
      <c r="F1010" s="14">
        <f>CHOOSE(CONTROL!$C$42, 130.7528, 130.7528)*CHOOSE(CONTROL!$C$21, $C$9, 100%, $E$9)</f>
        <v>130.75280000000001</v>
      </c>
      <c r="G1010" s="14">
        <f>CHOOSE(CONTROL!$C$42, 130.7682, 130.7682)*CHOOSE(CONTROL!$C$21, $C$9, 100%, $E$9)</f>
        <v>130.76820000000001</v>
      </c>
      <c r="H1010" s="14">
        <f>CHOOSE(CONTROL!$C$42, 130.8601, 130.8601) * CHOOSE(CONTROL!$C$21, $C$9, 100%, $E$9)</f>
        <v>130.86009999999999</v>
      </c>
      <c r="I1010" s="14">
        <f>CHOOSE(CONTROL!$C$42, 131.1825, 131.1825)* CHOOSE(CONTROL!$C$21, $C$9, 100%, $E$9)</f>
        <v>131.1825</v>
      </c>
      <c r="J1010" s="14">
        <f>CHOOSE(CONTROL!$C$42, 130.7458, 130.7458)* CHOOSE(CONTROL!$C$21, $C$9, 100%, $E$9)</f>
        <v>130.7458</v>
      </c>
      <c r="K1010" s="53">
        <f>CHOOSE(CONTROL!$C$42, 131.1786, 131.1786) * CHOOSE(CONTROL!$C$21, $C$9, 100%, $E$9)</f>
        <v>131.17859999999999</v>
      </c>
      <c r="L1010" s="14">
        <f>CHOOSE(CONTROL!$C$42, 131.4471, 131.4471) * CHOOSE(CONTROL!$C$21, $C$9, 100%, $E$9)</f>
        <v>131.44710000000001</v>
      </c>
      <c r="M1010" s="14">
        <f>CHOOSE(CONTROL!$C$42, 128.0746, 128.0746) * CHOOSE(CONTROL!$C$21, $C$9, 100%, $E$9)</f>
        <v>128.0746</v>
      </c>
      <c r="N1010" s="14">
        <f>CHOOSE(CONTROL!$C$42, 128.0897, 128.0897) * CHOOSE(CONTROL!$C$21, $C$9, 100%, $E$9)</f>
        <v>128.08969999999999</v>
      </c>
      <c r="O1010" s="14">
        <f>CHOOSE(CONTROL!$C$42, 128.1866, 128.1866) * CHOOSE(CONTROL!$C$21, $C$9, 100%, $E$9)</f>
        <v>128.1866</v>
      </c>
      <c r="P1010" s="14">
        <f>CHOOSE(CONTROL!$C$42, 128.4942, 128.4942) * CHOOSE(CONTROL!$C$21, $C$9, 100%, $E$9)</f>
        <v>128.49420000000001</v>
      </c>
      <c r="Q1010" s="14">
        <f>CHOOSE(CONTROL!$C$42, 128.7813, 128.7813) * CHOOSE(CONTROL!$C$21, $C$9, 100%, $E$9)</f>
        <v>128.78129999999999</v>
      </c>
      <c r="R1010" s="14">
        <f>CHOOSE(CONTROL!$C$42, 129.6902, 129.6902) * CHOOSE(CONTROL!$C$21, $C$9, 100%, $E$9)</f>
        <v>129.6902</v>
      </c>
      <c r="S1010" s="14">
        <f>CHOOSE(CONTROL!$C$42, 125.6439, 125.6439) * CHOOSE(CONTROL!$C$21, $C$9, 100%, $E$9)</f>
        <v>125.6439</v>
      </c>
      <c r="T1010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010" s="57">
        <f>(1000*CHOOSE(CONTROL!$C$42, 695, 695)*CHOOSE(CONTROL!$C$42, 0.5599, 0.5599)*CHOOSE(CONTROL!$C$42, 29, 29))/1000000</f>
        <v>11.284784499999999</v>
      </c>
      <c r="V1010" s="57">
        <f>(1000*CHOOSE(CONTROL!$C$42, 500, 500)*CHOOSE(CONTROL!$C$42, 0.275, 0.275)*CHOOSE(CONTROL!$C$42, 29, 29))/1000000</f>
        <v>3.9874999999999998</v>
      </c>
      <c r="W1010" s="57">
        <f>(1000*CHOOSE(CONTROL!$C$42, 0.1146, 0.1146)*CHOOSE(CONTROL!$C$42, 121.5, 121.5)*CHOOSE(CONTROL!$C$42, 29, 29))/1000000</f>
        <v>0.40379309999999996</v>
      </c>
      <c r="X1010" s="57">
        <f>(29*0.1790888*100000/1000000)+(29*0.2374*100000/1000000)</f>
        <v>1.2078175199999999</v>
      </c>
      <c r="Y1010" s="57"/>
      <c r="Z1010" s="14"/>
      <c r="AA1010" s="56"/>
      <c r="AB1010" s="50">
        <f>(B1010*122.58+C1010*297.941+D1010*89.177+E1010*40.302+F1010*40+G1010*160+H1010*0+I1010*100+J1010*300)/(122.58+297.941+89.177+40.302+0+40+160+100+300)</f>
        <v>130.80702656156521</v>
      </c>
      <c r="AC1010" s="45">
        <f>(M1010*'RAP TEMPLATE-GAS AVAILABILITY'!O1009+N1010*'RAP TEMPLATE-GAS AVAILABILITY'!P1009+O1010*'RAP TEMPLATE-GAS AVAILABILITY'!Q1009+P1010*'RAP TEMPLATE-GAS AVAILABILITY'!R1009)/('RAP TEMPLATE-GAS AVAILABILITY'!O1009+'RAP TEMPLATE-GAS AVAILABILITY'!P1009+'RAP TEMPLATE-GAS AVAILABILITY'!Q1009+'RAP TEMPLATE-GAS AVAILABILITY'!R1009)</f>
        <v>128.1866057553957</v>
      </c>
    </row>
    <row r="1011" spans="1:29" ht="15.75" x14ac:dyDescent="0.25">
      <c r="A1011" s="32">
        <v>71680</v>
      </c>
      <c r="B1011" s="14">
        <f>CHOOSE(CONTROL!$C$42, 127.0531, 127.0531) * CHOOSE(CONTROL!$C$21, $C$9, 100%, $E$9)</f>
        <v>127.0531</v>
      </c>
      <c r="C1011" s="14">
        <f>CHOOSE(CONTROL!$C$42, 127.0582, 127.0582) * CHOOSE(CONTROL!$C$21, $C$9, 100%, $E$9)</f>
        <v>127.0582</v>
      </c>
      <c r="D1011" s="14">
        <f>CHOOSE(CONTROL!$C$42, 127.1246, 127.1246) * CHOOSE(CONTROL!$C$21, $C$9, 100%, $E$9)</f>
        <v>127.1246</v>
      </c>
      <c r="E1011" s="14">
        <f>CHOOSE(CONTROL!$C$42, 127.1587, 127.1587) * CHOOSE(CONTROL!$C$21, $C$9, 100%, $E$9)</f>
        <v>127.1587</v>
      </c>
      <c r="F1011" s="14">
        <f>CHOOSE(CONTROL!$C$42, 127.0401, 127.0401)*CHOOSE(CONTROL!$C$21, $C$9, 100%, $E$9)</f>
        <v>127.0401</v>
      </c>
      <c r="G1011" s="14">
        <f>CHOOSE(CONTROL!$C$42, 127.0555, 127.0555)*CHOOSE(CONTROL!$C$21, $C$9, 100%, $E$9)</f>
        <v>127.05549999999999</v>
      </c>
      <c r="H1011" s="14">
        <f>CHOOSE(CONTROL!$C$42, 127.1479, 127.1479) * CHOOSE(CONTROL!$C$21, $C$9, 100%, $E$9)</f>
        <v>127.14790000000001</v>
      </c>
      <c r="I1011" s="14">
        <f>CHOOSE(CONTROL!$C$42, 127.4586, 127.4586)* CHOOSE(CONTROL!$C$21, $C$9, 100%, $E$9)</f>
        <v>127.4586</v>
      </c>
      <c r="J1011" s="14">
        <f>CHOOSE(CONTROL!$C$42, 127.0331, 127.0331)* CHOOSE(CONTROL!$C$21, $C$9, 100%, $E$9)</f>
        <v>127.0331</v>
      </c>
      <c r="K1011" s="53">
        <f>CHOOSE(CONTROL!$C$42, 127.4547, 127.4547) * CHOOSE(CONTROL!$C$21, $C$9, 100%, $E$9)</f>
        <v>127.4547</v>
      </c>
      <c r="L1011" s="14">
        <f>CHOOSE(CONTROL!$C$42, 127.7349, 127.7349) * CHOOSE(CONTROL!$C$21, $C$9, 100%, $E$9)</f>
        <v>127.7349</v>
      </c>
      <c r="M1011" s="14">
        <f>CHOOSE(CONTROL!$C$42, 124.438, 124.438) * CHOOSE(CONTROL!$C$21, $C$9, 100%, $E$9)</f>
        <v>124.438</v>
      </c>
      <c r="N1011" s="14">
        <f>CHOOSE(CONTROL!$C$42, 124.453, 124.453) * CHOOSE(CONTROL!$C$21, $C$9, 100%, $E$9)</f>
        <v>124.453</v>
      </c>
      <c r="O1011" s="14">
        <f>CHOOSE(CONTROL!$C$42, 124.5504, 124.5504) * CHOOSE(CONTROL!$C$21, $C$9, 100%, $E$9)</f>
        <v>124.5504</v>
      </c>
      <c r="P1011" s="14">
        <f>CHOOSE(CONTROL!$C$42, 124.8469, 124.8469) * CHOOSE(CONTROL!$C$21, $C$9, 100%, $E$9)</f>
        <v>124.84690000000001</v>
      </c>
      <c r="Q1011" s="14">
        <f>CHOOSE(CONTROL!$C$42, 125.1451, 125.1451) * CHOOSE(CONTROL!$C$21, $C$9, 100%, $E$9)</f>
        <v>125.1451</v>
      </c>
      <c r="R1011" s="14">
        <f>CHOOSE(CONTROL!$C$42, 126.045, 126.045) * CHOOSE(CONTROL!$C$21, $C$9, 100%, $E$9)</f>
        <v>126.045</v>
      </c>
      <c r="S1011" s="14">
        <f>CHOOSE(CONTROL!$C$42, 122.0768, 122.0768) * CHOOSE(CONTROL!$C$21, $C$9, 100%, $E$9)</f>
        <v>122.07680000000001</v>
      </c>
      <c r="T101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11" s="57">
        <f>(1000*CHOOSE(CONTROL!$C$42, 695, 695)*CHOOSE(CONTROL!$C$42, 0.5599, 0.5599)*CHOOSE(CONTROL!$C$42, 31, 31))/1000000</f>
        <v>12.063045499999998</v>
      </c>
      <c r="V1011" s="57">
        <f>(1000*CHOOSE(CONTROL!$C$42, 500, 500)*CHOOSE(CONTROL!$C$42, 0.275, 0.275)*CHOOSE(CONTROL!$C$42, 31, 31))/1000000</f>
        <v>4.2625000000000002</v>
      </c>
      <c r="W1011" s="57">
        <f>(1000*CHOOSE(CONTROL!$C$42, 0.1146, 0.1146)*CHOOSE(CONTROL!$C$42, 121.5, 121.5)*CHOOSE(CONTROL!$C$42, 31, 31))/1000000</f>
        <v>0.43164089999999994</v>
      </c>
      <c r="X1011" s="57">
        <f>(31*0.1790888*100000/1000000)+(31*0.2374*100000/1000000)</f>
        <v>1.2911152800000001</v>
      </c>
      <c r="Y1011" s="57"/>
      <c r="Z1011" s="14"/>
      <c r="AA1011" s="56"/>
      <c r="AB1011" s="50">
        <f>(B1011*122.58+C1011*297.941+D1011*89.177+E1011*40.302+F1011*40+G1011*160+H1011*0+I1011*100+J1011*300)/(122.58+297.941+89.177+40.302+0+40+160+100+300)</f>
        <v>127.09359177895652</v>
      </c>
      <c r="AC1011" s="45">
        <f>(M1011*'RAP TEMPLATE-GAS AVAILABILITY'!O1010+N1011*'RAP TEMPLATE-GAS AVAILABILITY'!P1010+O1011*'RAP TEMPLATE-GAS AVAILABILITY'!Q1010+P1011*'RAP TEMPLATE-GAS AVAILABILITY'!R1010)/('RAP TEMPLATE-GAS AVAILABILITY'!O1010+'RAP TEMPLATE-GAS AVAILABILITY'!P1010+'RAP TEMPLATE-GAS AVAILABILITY'!Q1010+'RAP TEMPLATE-GAS AVAILABILITY'!R1010)</f>
        <v>124.5486417266187</v>
      </c>
    </row>
    <row r="1012" spans="1:29" ht="15.75" x14ac:dyDescent="0.25">
      <c r="A1012" s="32">
        <v>71710</v>
      </c>
      <c r="B1012" s="14">
        <f>CHOOSE(CONTROL!$C$42, 126.6739, 126.6739) * CHOOSE(CONTROL!$C$21, $C$9, 100%, $E$9)</f>
        <v>126.6739</v>
      </c>
      <c r="C1012" s="14">
        <f>CHOOSE(CONTROL!$C$42, 126.6784, 126.6784) * CHOOSE(CONTROL!$C$21, $C$9, 100%, $E$9)</f>
        <v>126.6784</v>
      </c>
      <c r="D1012" s="14">
        <f>CHOOSE(CONTROL!$C$42, 126.8854, 126.8854) * CHOOSE(CONTROL!$C$21, $C$9, 100%, $E$9)</f>
        <v>126.8854</v>
      </c>
      <c r="E1012" s="14">
        <f>CHOOSE(CONTROL!$C$42, 126.9175, 126.9175) * CHOOSE(CONTROL!$C$21, $C$9, 100%, $E$9)</f>
        <v>126.9175</v>
      </c>
      <c r="F1012" s="14">
        <f>CHOOSE(CONTROL!$C$42, 126.6558, 126.6558)*CHOOSE(CONTROL!$C$21, $C$9, 100%, $E$9)</f>
        <v>126.6558</v>
      </c>
      <c r="G1012" s="14">
        <f>CHOOSE(CONTROL!$C$42, 126.671, 126.671)*CHOOSE(CONTROL!$C$21, $C$9, 100%, $E$9)</f>
        <v>126.67100000000001</v>
      </c>
      <c r="H1012" s="14">
        <f>CHOOSE(CONTROL!$C$42, 126.9073, 126.9073) * CHOOSE(CONTROL!$C$21, $C$9, 100%, $E$9)</f>
        <v>126.90730000000001</v>
      </c>
      <c r="I1012" s="14">
        <f>CHOOSE(CONTROL!$C$42, 127.0774, 127.0774)* CHOOSE(CONTROL!$C$21, $C$9, 100%, $E$9)</f>
        <v>127.0774</v>
      </c>
      <c r="J1012" s="14">
        <f>CHOOSE(CONTROL!$C$42, 126.6488, 126.6488)* CHOOSE(CONTROL!$C$21, $C$9, 100%, $E$9)</f>
        <v>126.64879999999999</v>
      </c>
      <c r="K1012" s="53">
        <f>CHOOSE(CONTROL!$C$42, 127.0736, 127.0736) * CHOOSE(CONTROL!$C$21, $C$9, 100%, $E$9)</f>
        <v>127.0736</v>
      </c>
      <c r="L1012" s="14">
        <f>CHOOSE(CONTROL!$C$42, 127.4943, 127.4943) * CHOOSE(CONTROL!$C$21, $C$9, 100%, $E$9)</f>
        <v>127.4943</v>
      </c>
      <c r="M1012" s="14">
        <f>CHOOSE(CONTROL!$C$42, 124.0615, 124.0615) * CHOOSE(CONTROL!$C$21, $C$9, 100%, $E$9)</f>
        <v>124.0615</v>
      </c>
      <c r="N1012" s="14">
        <f>CHOOSE(CONTROL!$C$42, 124.0764, 124.0764) * CHOOSE(CONTROL!$C$21, $C$9, 100%, $E$9)</f>
        <v>124.07640000000001</v>
      </c>
      <c r="O1012" s="14">
        <f>CHOOSE(CONTROL!$C$42, 124.3148, 124.3148) * CHOOSE(CONTROL!$C$21, $C$9, 100%, $E$9)</f>
        <v>124.31480000000001</v>
      </c>
      <c r="P1012" s="14">
        <f>CHOOSE(CONTROL!$C$42, 124.4735, 124.4735) * CHOOSE(CONTROL!$C$21, $C$9, 100%, $E$9)</f>
        <v>124.4735</v>
      </c>
      <c r="Q1012" s="14">
        <f>CHOOSE(CONTROL!$C$42, 124.9095, 124.9095) * CHOOSE(CONTROL!$C$21, $C$9, 100%, $E$9)</f>
        <v>124.90949999999999</v>
      </c>
      <c r="R1012" s="14">
        <f>CHOOSE(CONTROL!$C$42, 125.8088, 125.8088) * CHOOSE(CONTROL!$C$21, $C$9, 100%, $E$9)</f>
        <v>125.80880000000001</v>
      </c>
      <c r="S1012" s="14">
        <f>CHOOSE(CONTROL!$C$42, 121.7116, 121.7116) * CHOOSE(CONTROL!$C$21, $C$9, 100%, $E$9)</f>
        <v>121.7116</v>
      </c>
      <c r="T101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12" s="57">
        <f>(1000*CHOOSE(CONTROL!$C$42, 695, 695)*CHOOSE(CONTROL!$C$42, 0.5599, 0.5599)*CHOOSE(CONTROL!$C$42, 30, 30))/1000000</f>
        <v>11.673914999999997</v>
      </c>
      <c r="V1012" s="57">
        <f>(1000*CHOOSE(CONTROL!$C$42, 500, 500)*CHOOSE(CONTROL!$C$42, 0.275, 0.275)*CHOOSE(CONTROL!$C$42, 30, 30))/1000000</f>
        <v>4.125</v>
      </c>
      <c r="W1012" s="57">
        <f>(1000*CHOOSE(CONTROL!$C$42, 0.1146, 0.1146)*CHOOSE(CONTROL!$C$42, 121.5, 121.5)*CHOOSE(CONTROL!$C$42, 30, 30))/1000000</f>
        <v>0.417717</v>
      </c>
      <c r="X1012" s="57">
        <f>(30*0.1790888*245000/1000000)+(30*0.2374*100000/1000000)</f>
        <v>2.0285026799999999</v>
      </c>
      <c r="Y1012" s="57"/>
      <c r="Z1012" s="14"/>
      <c r="AA1012" s="56"/>
      <c r="AB1012" s="50">
        <f>(B1012*141.293+C1012*267.993+D1012*115.016+E1012*89.698+F1012*40+G1012*185+H1012*0+I1012*100+J1012*300)/(141.293+267.993+115.016+89.698+0+40+185+100+300)</f>
        <v>126.73761411242938</v>
      </c>
      <c r="AC1012" s="45">
        <f>(M1012*'RAP TEMPLATE-GAS AVAILABILITY'!O1011+N1012*'RAP TEMPLATE-GAS AVAILABILITY'!P1011+O1012*'RAP TEMPLATE-GAS AVAILABILITY'!Q1011+P1012*'RAP TEMPLATE-GAS AVAILABILITY'!R1011)/('RAP TEMPLATE-GAS AVAILABILITY'!O1011+'RAP TEMPLATE-GAS AVAILABILITY'!P1011+'RAP TEMPLATE-GAS AVAILABILITY'!Q1011+'RAP TEMPLATE-GAS AVAILABILITY'!R1011)</f>
        <v>124.23644316546763</v>
      </c>
    </row>
    <row r="1013" spans="1:29" ht="15.75" x14ac:dyDescent="0.25">
      <c r="A1013" s="32">
        <v>71741</v>
      </c>
      <c r="B1013" s="14">
        <f>CHOOSE(CONTROL!$C$42, 127.7932, 127.7932) * CHOOSE(CONTROL!$C$21, $C$9, 100%, $E$9)</f>
        <v>127.7932</v>
      </c>
      <c r="C1013" s="14">
        <f>CHOOSE(CONTROL!$C$42, 127.8013, 127.8013) * CHOOSE(CONTROL!$C$21, $C$9, 100%, $E$9)</f>
        <v>127.8013</v>
      </c>
      <c r="D1013" s="14">
        <f>CHOOSE(CONTROL!$C$42, 128.0052, 128.0052) * CHOOSE(CONTROL!$C$21, $C$9, 100%, $E$9)</f>
        <v>128.0052</v>
      </c>
      <c r="E1013" s="14">
        <f>CHOOSE(CONTROL!$C$42, 128.0366, 128.0366) * CHOOSE(CONTROL!$C$21, $C$9, 100%, $E$9)</f>
        <v>128.03659999999999</v>
      </c>
      <c r="F1013" s="14">
        <f>CHOOSE(CONTROL!$C$42, 127.774, 127.774)*CHOOSE(CONTROL!$C$21, $C$9, 100%, $E$9)</f>
        <v>127.774</v>
      </c>
      <c r="G1013" s="14">
        <f>CHOOSE(CONTROL!$C$42, 127.7896, 127.7896)*CHOOSE(CONTROL!$C$21, $C$9, 100%, $E$9)</f>
        <v>127.78959999999999</v>
      </c>
      <c r="H1013" s="14">
        <f>CHOOSE(CONTROL!$C$42, 128.0253, 128.0253) * CHOOSE(CONTROL!$C$21, $C$9, 100%, $E$9)</f>
        <v>128.02529999999999</v>
      </c>
      <c r="I1013" s="14">
        <f>CHOOSE(CONTROL!$C$42, 128.1989, 128.1989)* CHOOSE(CONTROL!$C$21, $C$9, 100%, $E$9)</f>
        <v>128.19890000000001</v>
      </c>
      <c r="J1013" s="14">
        <f>CHOOSE(CONTROL!$C$42, 127.767, 127.767)* CHOOSE(CONTROL!$C$21, $C$9, 100%, $E$9)</f>
        <v>127.767</v>
      </c>
      <c r="K1013" s="53">
        <f>CHOOSE(CONTROL!$C$42, 128.195, 128.195) * CHOOSE(CONTROL!$C$21, $C$9, 100%, $E$9)</f>
        <v>128.19499999999999</v>
      </c>
      <c r="L1013" s="14">
        <f>CHOOSE(CONTROL!$C$42, 128.6123, 128.6123) * CHOOSE(CONTROL!$C$21, $C$9, 100%, $E$9)</f>
        <v>128.6123</v>
      </c>
      <c r="M1013" s="14">
        <f>CHOOSE(CONTROL!$C$42, 125.1568, 125.1568) * CHOOSE(CONTROL!$C$21, $C$9, 100%, $E$9)</f>
        <v>125.1568</v>
      </c>
      <c r="N1013" s="14">
        <f>CHOOSE(CONTROL!$C$42, 125.1721, 125.1721) * CHOOSE(CONTROL!$C$21, $C$9, 100%, $E$9)</f>
        <v>125.1721</v>
      </c>
      <c r="O1013" s="14">
        <f>CHOOSE(CONTROL!$C$42, 125.4098, 125.4098) * CHOOSE(CONTROL!$C$21, $C$9, 100%, $E$9)</f>
        <v>125.4098</v>
      </c>
      <c r="P1013" s="14">
        <f>CHOOSE(CONTROL!$C$42, 125.5719, 125.5719) * CHOOSE(CONTROL!$C$21, $C$9, 100%, $E$9)</f>
        <v>125.5719</v>
      </c>
      <c r="Q1013" s="14">
        <f>CHOOSE(CONTROL!$C$42, 126.0045, 126.0045) * CHOOSE(CONTROL!$C$21, $C$9, 100%, $E$9)</f>
        <v>126.00449999999999</v>
      </c>
      <c r="R1013" s="14">
        <f>CHOOSE(CONTROL!$C$42, 126.9065, 126.9065) * CHOOSE(CONTROL!$C$21, $C$9, 100%, $E$9)</f>
        <v>126.90649999999999</v>
      </c>
      <c r="S1013" s="14">
        <f>CHOOSE(CONTROL!$C$42, 122.7859, 122.7859) * CHOOSE(CONTROL!$C$21, $C$9, 100%, $E$9)</f>
        <v>122.7859</v>
      </c>
      <c r="T101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13" s="57">
        <f>(1000*CHOOSE(CONTROL!$C$42, 695, 695)*CHOOSE(CONTROL!$C$42, 0.5599, 0.5599)*CHOOSE(CONTROL!$C$42, 31, 31))/1000000</f>
        <v>12.063045499999998</v>
      </c>
      <c r="V1013" s="57">
        <f>(1000*CHOOSE(CONTROL!$C$42, 500, 500)*CHOOSE(CONTROL!$C$42, 0.275, 0.275)*CHOOSE(CONTROL!$C$42, 31, 31))/1000000</f>
        <v>4.2625000000000002</v>
      </c>
      <c r="W1013" s="57">
        <f>(1000*CHOOSE(CONTROL!$C$42, 0.1146, 0.1146)*CHOOSE(CONTROL!$C$42, 121.5, 121.5)*CHOOSE(CONTROL!$C$42, 31, 31))/1000000</f>
        <v>0.43164089999999994</v>
      </c>
      <c r="X1013" s="57">
        <f>(31*0.1790888*245000/1000000)+(31*0.2374*100000/1000000)</f>
        <v>2.0961194359999999</v>
      </c>
      <c r="Y1013" s="57"/>
      <c r="Z1013" s="14"/>
      <c r="AA1013" s="56"/>
      <c r="AB1013" s="50">
        <f>(B1013*194.205+C1013*267.466+D1013*133.845+E1013*53.484+F1013*40+G1013*185+H1013*0+I1013*100+J1013*300)/(194.205+267.466+133.845+53.484+0+40+185+100+300)</f>
        <v>127.85194067519623</v>
      </c>
      <c r="AC1013" s="45">
        <f>(M1013*'RAP TEMPLATE-GAS AVAILABILITY'!O1012+N1013*'RAP TEMPLATE-GAS AVAILABILITY'!P1012+O1013*'RAP TEMPLATE-GAS AVAILABILITY'!Q1012+P1013*'RAP TEMPLATE-GAS AVAILABILITY'!R1012)/('RAP TEMPLATE-GAS AVAILABILITY'!O1012+'RAP TEMPLATE-GAS AVAILABILITY'!P1012+'RAP TEMPLATE-GAS AVAILABILITY'!Q1012+'RAP TEMPLATE-GAS AVAILABILITY'!R1012)</f>
        <v>125.33207625899281</v>
      </c>
    </row>
    <row r="1014" spans="1:29" ht="15.75" x14ac:dyDescent="0.25">
      <c r="A1014" s="32">
        <v>71771</v>
      </c>
      <c r="B1014" s="14">
        <f>CHOOSE(CONTROL!$C$42, 131.4179, 131.4179) * CHOOSE(CONTROL!$C$21, $C$9, 100%, $E$9)</f>
        <v>131.4179</v>
      </c>
      <c r="C1014" s="14">
        <f>CHOOSE(CONTROL!$C$42, 131.4259, 131.4259) * CHOOSE(CONTROL!$C$21, $C$9, 100%, $E$9)</f>
        <v>131.42590000000001</v>
      </c>
      <c r="D1014" s="14">
        <f>CHOOSE(CONTROL!$C$42, 131.6299, 131.6299) * CHOOSE(CONTROL!$C$21, $C$9, 100%, $E$9)</f>
        <v>131.62989999999999</v>
      </c>
      <c r="E1014" s="14">
        <f>CHOOSE(CONTROL!$C$42, 131.6613, 131.6613) * CHOOSE(CONTROL!$C$21, $C$9, 100%, $E$9)</f>
        <v>131.66130000000001</v>
      </c>
      <c r="F1014" s="14">
        <f>CHOOSE(CONTROL!$C$42, 131.3991, 131.3991)*CHOOSE(CONTROL!$C$21, $C$9, 100%, $E$9)</f>
        <v>131.3991</v>
      </c>
      <c r="G1014" s="14">
        <f>CHOOSE(CONTROL!$C$42, 131.4149, 131.4149)*CHOOSE(CONTROL!$C$21, $C$9, 100%, $E$9)</f>
        <v>131.41489999999999</v>
      </c>
      <c r="H1014" s="14">
        <f>CHOOSE(CONTROL!$C$42, 131.65, 131.65) * CHOOSE(CONTROL!$C$21, $C$9, 100%, $E$9)</f>
        <v>131.65</v>
      </c>
      <c r="I1014" s="14">
        <f>CHOOSE(CONTROL!$C$42, 131.8349, 131.8349)* CHOOSE(CONTROL!$C$21, $C$9, 100%, $E$9)</f>
        <v>131.8349</v>
      </c>
      <c r="J1014" s="14">
        <f>CHOOSE(CONTROL!$C$42, 131.3921, 131.3921)* CHOOSE(CONTROL!$C$21, $C$9, 100%, $E$9)</f>
        <v>131.3921</v>
      </c>
      <c r="K1014" s="53">
        <f>CHOOSE(CONTROL!$C$42, 131.8311, 131.8311) * CHOOSE(CONTROL!$C$21, $C$9, 100%, $E$9)</f>
        <v>131.83109999999999</v>
      </c>
      <c r="L1014" s="14">
        <f>CHOOSE(CONTROL!$C$42, 132.237, 132.237) * CHOOSE(CONTROL!$C$21, $C$9, 100%, $E$9)</f>
        <v>132.23699999999999</v>
      </c>
      <c r="M1014" s="14">
        <f>CHOOSE(CONTROL!$C$42, 128.7076, 128.7076) * CHOOSE(CONTROL!$C$21, $C$9, 100%, $E$9)</f>
        <v>128.70760000000001</v>
      </c>
      <c r="N1014" s="14">
        <f>CHOOSE(CONTROL!$C$42, 128.7231, 128.7231) * CHOOSE(CONTROL!$C$21, $C$9, 100%, $E$9)</f>
        <v>128.72309999999999</v>
      </c>
      <c r="O1014" s="14">
        <f>CHOOSE(CONTROL!$C$42, 128.9603, 128.9603) * CHOOSE(CONTROL!$C$21, $C$9, 100%, $E$9)</f>
        <v>128.96029999999999</v>
      </c>
      <c r="P1014" s="14">
        <f>CHOOSE(CONTROL!$C$42, 129.1332, 129.1332) * CHOOSE(CONTROL!$C$21, $C$9, 100%, $E$9)</f>
        <v>129.13319999999999</v>
      </c>
      <c r="Q1014" s="14">
        <f>CHOOSE(CONTROL!$C$42, 129.555, 129.555) * CHOOSE(CONTROL!$C$21, $C$9, 100%, $E$9)</f>
        <v>129.55500000000001</v>
      </c>
      <c r="R1014" s="14">
        <f>CHOOSE(CONTROL!$C$42, 130.4658, 130.4658) * CHOOSE(CONTROL!$C$21, $C$9, 100%, $E$9)</f>
        <v>130.4658</v>
      </c>
      <c r="S1014" s="14">
        <f>CHOOSE(CONTROL!$C$42, 126.2688, 126.2688) * CHOOSE(CONTROL!$C$21, $C$9, 100%, $E$9)</f>
        <v>126.2688</v>
      </c>
      <c r="T101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14" s="57">
        <f>(1000*CHOOSE(CONTROL!$C$42, 695, 695)*CHOOSE(CONTROL!$C$42, 0.5599, 0.5599)*CHOOSE(CONTROL!$C$42, 30, 30))/1000000</f>
        <v>11.673914999999997</v>
      </c>
      <c r="V1014" s="57">
        <f>(1000*CHOOSE(CONTROL!$C$42, 500, 500)*CHOOSE(CONTROL!$C$42, 0.275, 0.275)*CHOOSE(CONTROL!$C$42, 30, 30))/1000000</f>
        <v>4.125</v>
      </c>
      <c r="W1014" s="57">
        <f>(1000*CHOOSE(CONTROL!$C$42, 0.1146, 0.1146)*CHOOSE(CONTROL!$C$42, 121.5, 121.5)*CHOOSE(CONTROL!$C$42, 30, 30))/1000000</f>
        <v>0.417717</v>
      </c>
      <c r="X1014" s="57">
        <f>(30*0.1790888*245000/1000000)+(30*0.2374*100000/1000000)</f>
        <v>2.0285026799999999</v>
      </c>
      <c r="Y1014" s="57"/>
      <c r="Z1014" s="14"/>
      <c r="AA1014" s="56"/>
      <c r="AB1014" s="50">
        <f>(B1014*194.205+C1014*267.466+D1014*133.845+E1014*53.484+F1014*40+G1014*185+H1014*0+I1014*100+J1014*300)/(194.205+267.466+133.845+53.484+0+40+185+100+300)</f>
        <v>131.47770052872843</v>
      </c>
      <c r="AC1014" s="45">
        <f>(M1014*'RAP TEMPLATE-GAS AVAILABILITY'!O1013+N1014*'RAP TEMPLATE-GAS AVAILABILITY'!P1013+O1014*'RAP TEMPLATE-GAS AVAILABILITY'!Q1013+P1014*'RAP TEMPLATE-GAS AVAILABILITY'!R1013)/('RAP TEMPLATE-GAS AVAILABILITY'!O1013+'RAP TEMPLATE-GAS AVAILABILITY'!P1013+'RAP TEMPLATE-GAS AVAILABILITY'!Q1013+'RAP TEMPLATE-GAS AVAILABILITY'!R1013)</f>
        <v>128.88426258992806</v>
      </c>
    </row>
    <row r="1015" spans="1:29" ht="15.75" x14ac:dyDescent="0.25">
      <c r="A1015" s="32">
        <v>71802</v>
      </c>
      <c r="B1015" s="14">
        <f>CHOOSE(CONTROL!$C$42, 128.8969, 128.8969) * CHOOSE(CONTROL!$C$21, $C$9, 100%, $E$9)</f>
        <v>128.89689999999999</v>
      </c>
      <c r="C1015" s="14">
        <f>CHOOSE(CONTROL!$C$42, 128.905, 128.905) * CHOOSE(CONTROL!$C$21, $C$9, 100%, $E$9)</f>
        <v>128.905</v>
      </c>
      <c r="D1015" s="14">
        <f>CHOOSE(CONTROL!$C$42, 129.1089, 129.1089) * CHOOSE(CONTROL!$C$21, $C$9, 100%, $E$9)</f>
        <v>129.10890000000001</v>
      </c>
      <c r="E1015" s="14">
        <f>CHOOSE(CONTROL!$C$42, 129.1403, 129.1403) * CHOOSE(CONTROL!$C$21, $C$9, 100%, $E$9)</f>
        <v>129.1403</v>
      </c>
      <c r="F1015" s="14">
        <f>CHOOSE(CONTROL!$C$42, 128.8785, 128.8785)*CHOOSE(CONTROL!$C$21, $C$9, 100%, $E$9)</f>
        <v>128.8785</v>
      </c>
      <c r="G1015" s="14">
        <f>CHOOSE(CONTROL!$C$42, 128.8944, 128.8944)*CHOOSE(CONTROL!$C$21, $C$9, 100%, $E$9)</f>
        <v>128.89439999999999</v>
      </c>
      <c r="H1015" s="14">
        <f>CHOOSE(CONTROL!$C$42, 129.129, 129.129) * CHOOSE(CONTROL!$C$21, $C$9, 100%, $E$9)</f>
        <v>129.12899999999999</v>
      </c>
      <c r="I1015" s="14">
        <f>CHOOSE(CONTROL!$C$42, 129.306, 129.306)* CHOOSE(CONTROL!$C$21, $C$9, 100%, $E$9)</f>
        <v>129.30600000000001</v>
      </c>
      <c r="J1015" s="14">
        <f>CHOOSE(CONTROL!$C$42, 128.8715, 128.8715)* CHOOSE(CONTROL!$C$21, $C$9, 100%, $E$9)</f>
        <v>128.8715</v>
      </c>
      <c r="K1015" s="53">
        <f>CHOOSE(CONTROL!$C$42, 129.3022, 129.3022) * CHOOSE(CONTROL!$C$21, $C$9, 100%, $E$9)</f>
        <v>129.3022</v>
      </c>
      <c r="L1015" s="14">
        <f>CHOOSE(CONTROL!$C$42, 129.716, 129.716) * CHOOSE(CONTROL!$C$21, $C$9, 100%, $E$9)</f>
        <v>129.71600000000001</v>
      </c>
      <c r="M1015" s="14">
        <f>CHOOSE(CONTROL!$C$42, 126.2387, 126.2387) * CHOOSE(CONTROL!$C$21, $C$9, 100%, $E$9)</f>
        <v>126.23869999999999</v>
      </c>
      <c r="N1015" s="14">
        <f>CHOOSE(CONTROL!$C$42, 126.2543, 126.2543) * CHOOSE(CONTROL!$C$21, $C$9, 100%, $E$9)</f>
        <v>126.2543</v>
      </c>
      <c r="O1015" s="14">
        <f>CHOOSE(CONTROL!$C$42, 126.4909, 126.4909) * CHOOSE(CONTROL!$C$21, $C$9, 100%, $E$9)</f>
        <v>126.4909</v>
      </c>
      <c r="P1015" s="14">
        <f>CHOOSE(CONTROL!$C$42, 126.6563, 126.6563) * CHOOSE(CONTROL!$C$21, $C$9, 100%, $E$9)</f>
        <v>126.6563</v>
      </c>
      <c r="Q1015" s="14">
        <f>CHOOSE(CONTROL!$C$42, 127.0856, 127.0856) * CHOOSE(CONTROL!$C$21, $C$9, 100%, $E$9)</f>
        <v>127.0856</v>
      </c>
      <c r="R1015" s="14">
        <f>CHOOSE(CONTROL!$C$42, 127.9903, 127.9903) * CHOOSE(CONTROL!$C$21, $C$9, 100%, $E$9)</f>
        <v>127.9903</v>
      </c>
      <c r="S1015" s="14">
        <f>CHOOSE(CONTROL!$C$42, 123.8464, 123.8464) * CHOOSE(CONTROL!$C$21, $C$9, 100%, $E$9)</f>
        <v>123.8464</v>
      </c>
      <c r="T101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15" s="57">
        <f>(1000*CHOOSE(CONTROL!$C$42, 695, 695)*CHOOSE(CONTROL!$C$42, 0.5599, 0.5599)*CHOOSE(CONTROL!$C$42, 31, 31))/1000000</f>
        <v>12.063045499999998</v>
      </c>
      <c r="V1015" s="57">
        <f>(1000*CHOOSE(CONTROL!$C$42, 500, 500)*CHOOSE(CONTROL!$C$42, 0.275, 0.275)*CHOOSE(CONTROL!$C$42, 31, 31))/1000000</f>
        <v>4.2625000000000002</v>
      </c>
      <c r="W1015" s="57">
        <f>(1000*CHOOSE(CONTROL!$C$42, 0.1146, 0.1146)*CHOOSE(CONTROL!$C$42, 121.5, 121.5)*CHOOSE(CONTROL!$C$42, 31, 31))/1000000</f>
        <v>0.43164089999999994</v>
      </c>
      <c r="X1015" s="57">
        <f>(31*0.1790888*245000/1000000)+(31*0.2374*100000/1000000)</f>
        <v>2.0961194359999999</v>
      </c>
      <c r="Y1015" s="57"/>
      <c r="Z1015" s="14"/>
      <c r="AA1015" s="56"/>
      <c r="AB1015" s="50">
        <f>(B1015*194.205+C1015*267.466+D1015*133.845+E1015*53.484+F1015*40+G1015*185+H1015*0+I1015*100+J1015*300)/(194.205+267.466+133.845+53.484+0+40+185+100+300)</f>
        <v>128.95628078508634</v>
      </c>
      <c r="AC1015" s="45">
        <f>(M1015*'RAP TEMPLATE-GAS AVAILABILITY'!O1014+N1015*'RAP TEMPLATE-GAS AVAILABILITY'!P1014+O1015*'RAP TEMPLATE-GAS AVAILABILITY'!Q1014+P1015*'RAP TEMPLATE-GAS AVAILABILITY'!R1014)/('RAP TEMPLATE-GAS AVAILABILITY'!O1014+'RAP TEMPLATE-GAS AVAILABILITY'!P1014+'RAP TEMPLATE-GAS AVAILABILITY'!Q1014+'RAP TEMPLATE-GAS AVAILABILITY'!R1014)</f>
        <v>126.41399064748201</v>
      </c>
    </row>
    <row r="1016" spans="1:29" ht="15.75" x14ac:dyDescent="0.25">
      <c r="A1016" s="32">
        <v>71833</v>
      </c>
      <c r="B1016" s="14">
        <f>CHOOSE(CONTROL!$C$42, 122.5306, 122.5306) * CHOOSE(CONTROL!$C$21, $C$9, 100%, $E$9)</f>
        <v>122.53060000000001</v>
      </c>
      <c r="C1016" s="14">
        <f>CHOOSE(CONTROL!$C$42, 122.5386, 122.5386) * CHOOSE(CONTROL!$C$21, $C$9, 100%, $E$9)</f>
        <v>122.5386</v>
      </c>
      <c r="D1016" s="14">
        <f>CHOOSE(CONTROL!$C$42, 122.7426, 122.7426) * CHOOSE(CONTROL!$C$21, $C$9, 100%, $E$9)</f>
        <v>122.7426</v>
      </c>
      <c r="E1016" s="14">
        <f>CHOOSE(CONTROL!$C$42, 122.774, 122.774) * CHOOSE(CONTROL!$C$21, $C$9, 100%, $E$9)</f>
        <v>122.774</v>
      </c>
      <c r="F1016" s="14">
        <f>CHOOSE(CONTROL!$C$42, 122.5125, 122.5125)*CHOOSE(CONTROL!$C$21, $C$9, 100%, $E$9)</f>
        <v>122.5125</v>
      </c>
      <c r="G1016" s="14">
        <f>CHOOSE(CONTROL!$C$42, 122.5284, 122.5284)*CHOOSE(CONTROL!$C$21, $C$9, 100%, $E$9)</f>
        <v>122.5284</v>
      </c>
      <c r="H1016" s="14">
        <f>CHOOSE(CONTROL!$C$42, 122.7627, 122.7627) * CHOOSE(CONTROL!$C$21, $C$9, 100%, $E$9)</f>
        <v>122.7627</v>
      </c>
      <c r="I1016" s="14">
        <f>CHOOSE(CONTROL!$C$42, 122.9198, 122.9198)* CHOOSE(CONTROL!$C$21, $C$9, 100%, $E$9)</f>
        <v>122.9198</v>
      </c>
      <c r="J1016" s="14">
        <f>CHOOSE(CONTROL!$C$42, 122.5055, 122.5055)* CHOOSE(CONTROL!$C$21, $C$9, 100%, $E$9)</f>
        <v>122.5055</v>
      </c>
      <c r="K1016" s="53">
        <f>CHOOSE(CONTROL!$C$42, 122.9159, 122.9159) * CHOOSE(CONTROL!$C$21, $C$9, 100%, $E$9)</f>
        <v>122.91589999999999</v>
      </c>
      <c r="L1016" s="14">
        <f>CHOOSE(CONTROL!$C$42, 123.3497, 123.3497) * CHOOSE(CONTROL!$C$21, $C$9, 100%, $E$9)</f>
        <v>123.3497</v>
      </c>
      <c r="M1016" s="14">
        <f>CHOOSE(CONTROL!$C$42, 120.0031, 120.0031) * CHOOSE(CONTROL!$C$21, $C$9, 100%, $E$9)</f>
        <v>120.0031</v>
      </c>
      <c r="N1016" s="14">
        <f>CHOOSE(CONTROL!$C$42, 120.0187, 120.0187) * CHOOSE(CONTROL!$C$21, $C$9, 100%, $E$9)</f>
        <v>120.0187</v>
      </c>
      <c r="O1016" s="14">
        <f>CHOOSE(CONTROL!$C$42, 120.255, 120.255) * CHOOSE(CONTROL!$C$21, $C$9, 100%, $E$9)</f>
        <v>120.255</v>
      </c>
      <c r="P1016" s="14">
        <f>CHOOSE(CONTROL!$C$42, 120.4013, 120.4013) * CHOOSE(CONTROL!$C$21, $C$9, 100%, $E$9)</f>
        <v>120.40130000000001</v>
      </c>
      <c r="Q1016" s="14">
        <f>CHOOSE(CONTROL!$C$42, 120.8497, 120.8497) * CHOOSE(CONTROL!$C$21, $C$9, 100%, $E$9)</f>
        <v>120.8497</v>
      </c>
      <c r="R1016" s="14">
        <f>CHOOSE(CONTROL!$C$42, 121.7389, 121.7389) * CHOOSE(CONTROL!$C$21, $C$9, 100%, $E$9)</f>
        <v>121.7389</v>
      </c>
      <c r="S1016" s="14">
        <f>CHOOSE(CONTROL!$C$42, 117.729, 117.729) * CHOOSE(CONTROL!$C$21, $C$9, 100%, $E$9)</f>
        <v>117.729</v>
      </c>
      <c r="T101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16" s="57">
        <f>(1000*CHOOSE(CONTROL!$C$42, 695, 695)*CHOOSE(CONTROL!$C$42, 0.5599, 0.5599)*CHOOSE(CONTROL!$C$42, 31, 31))/1000000</f>
        <v>12.063045499999998</v>
      </c>
      <c r="V1016" s="57">
        <f>(1000*CHOOSE(CONTROL!$C$42, 500, 500)*CHOOSE(CONTROL!$C$42, 0.275, 0.275)*CHOOSE(CONTROL!$C$42, 31, 31))/1000000</f>
        <v>4.2625000000000002</v>
      </c>
      <c r="W1016" s="57">
        <f>(1000*CHOOSE(CONTROL!$C$42, 0.1146, 0.1146)*CHOOSE(CONTROL!$C$42, 121.5, 121.5)*CHOOSE(CONTROL!$C$42, 31, 31))/1000000</f>
        <v>0.43164089999999994</v>
      </c>
      <c r="X1016" s="57">
        <f>(31*0.1790888*245000/1000000)+(31*0.2374*100000/1000000)</f>
        <v>2.0961194359999999</v>
      </c>
      <c r="Y1016" s="57"/>
      <c r="Z1016" s="14"/>
      <c r="AA1016" s="56"/>
      <c r="AB1016" s="50">
        <f>(B1016*194.205+C1016*267.466+D1016*133.845+E1016*53.484+F1016*40+G1016*185+H1016*0+I1016*100+J1016*300)/(194.205+267.466+133.845+53.484+0+40+185+100+300)</f>
        <v>122.5885214078493</v>
      </c>
      <c r="AC1016" s="45">
        <f>(M1016*'RAP TEMPLATE-GAS AVAILABILITY'!O1015+N1016*'RAP TEMPLATE-GAS AVAILABILITY'!P1015+O1016*'RAP TEMPLATE-GAS AVAILABILITY'!Q1015+P1016*'RAP TEMPLATE-GAS AVAILABILITY'!R1015)/('RAP TEMPLATE-GAS AVAILABILITY'!O1015+'RAP TEMPLATE-GAS AVAILABILITY'!P1015+'RAP TEMPLATE-GAS AVAILABILITY'!Q1015+'RAP TEMPLATE-GAS AVAILABILITY'!R1015)</f>
        <v>120.17546330935252</v>
      </c>
    </row>
    <row r="1017" spans="1:29" ht="15.75" x14ac:dyDescent="0.25">
      <c r="A1017" s="32">
        <v>71863</v>
      </c>
      <c r="B1017" s="14">
        <f>CHOOSE(CONTROL!$C$42, 114.7518, 114.7518) * CHOOSE(CONTROL!$C$21, $C$9, 100%, $E$9)</f>
        <v>114.7518</v>
      </c>
      <c r="C1017" s="14">
        <f>CHOOSE(CONTROL!$C$42, 114.7598, 114.7598) * CHOOSE(CONTROL!$C$21, $C$9, 100%, $E$9)</f>
        <v>114.7598</v>
      </c>
      <c r="D1017" s="14">
        <f>CHOOSE(CONTROL!$C$42, 114.9637, 114.9637) * CHOOSE(CONTROL!$C$21, $C$9, 100%, $E$9)</f>
        <v>114.9637</v>
      </c>
      <c r="E1017" s="14">
        <f>CHOOSE(CONTROL!$C$42, 114.9952, 114.9952) * CHOOSE(CONTROL!$C$21, $C$9, 100%, $E$9)</f>
        <v>114.9952</v>
      </c>
      <c r="F1017" s="14">
        <f>CHOOSE(CONTROL!$C$42, 114.7337, 114.7337)*CHOOSE(CONTROL!$C$21, $C$9, 100%, $E$9)</f>
        <v>114.7337</v>
      </c>
      <c r="G1017" s="14">
        <f>CHOOSE(CONTROL!$C$42, 114.7497, 114.7497)*CHOOSE(CONTROL!$C$21, $C$9, 100%, $E$9)</f>
        <v>114.7497</v>
      </c>
      <c r="H1017" s="14">
        <f>CHOOSE(CONTROL!$C$42, 114.9838, 114.9838) * CHOOSE(CONTROL!$C$21, $C$9, 100%, $E$9)</f>
        <v>114.9838</v>
      </c>
      <c r="I1017" s="14">
        <f>CHOOSE(CONTROL!$C$42, 115.1166, 115.1166)* CHOOSE(CONTROL!$C$21, $C$9, 100%, $E$9)</f>
        <v>115.11660000000001</v>
      </c>
      <c r="J1017" s="14">
        <f>CHOOSE(CONTROL!$C$42, 114.7267, 114.7267)* CHOOSE(CONTROL!$C$21, $C$9, 100%, $E$9)</f>
        <v>114.72669999999999</v>
      </c>
      <c r="K1017" s="53">
        <f>CHOOSE(CONTROL!$C$42, 115.1127, 115.1127) * CHOOSE(CONTROL!$C$21, $C$9, 100%, $E$9)</f>
        <v>115.1127</v>
      </c>
      <c r="L1017" s="14">
        <f>CHOOSE(CONTROL!$C$42, 115.5708, 115.5708) * CHOOSE(CONTROL!$C$21, $C$9, 100%, $E$9)</f>
        <v>115.57080000000001</v>
      </c>
      <c r="M1017" s="14">
        <f>CHOOSE(CONTROL!$C$42, 112.3837, 112.3837) * CHOOSE(CONTROL!$C$21, $C$9, 100%, $E$9)</f>
        <v>112.3837</v>
      </c>
      <c r="N1017" s="14">
        <f>CHOOSE(CONTROL!$C$42, 112.3993, 112.3993) * CHOOSE(CONTROL!$C$21, $C$9, 100%, $E$9)</f>
        <v>112.3993</v>
      </c>
      <c r="O1017" s="14">
        <f>CHOOSE(CONTROL!$C$42, 112.6356, 112.6356) * CHOOSE(CONTROL!$C$21, $C$9, 100%, $E$9)</f>
        <v>112.6356</v>
      </c>
      <c r="P1017" s="14">
        <f>CHOOSE(CONTROL!$C$42, 112.7585, 112.7585) * CHOOSE(CONTROL!$C$21, $C$9, 100%, $E$9)</f>
        <v>112.7585</v>
      </c>
      <c r="Q1017" s="14">
        <f>CHOOSE(CONTROL!$C$42, 113.2303, 113.2303) * CHOOSE(CONTROL!$C$21, $C$9, 100%, $E$9)</f>
        <v>113.2303</v>
      </c>
      <c r="R1017" s="14">
        <f>CHOOSE(CONTROL!$C$42, 114.1004, 114.1004) * CHOOSE(CONTROL!$C$21, $C$9, 100%, $E$9)</f>
        <v>114.10039999999999</v>
      </c>
      <c r="S1017" s="14">
        <f>CHOOSE(CONTROL!$C$42, 110.2544, 110.2544) * CHOOSE(CONTROL!$C$21, $C$9, 100%, $E$9)</f>
        <v>110.2544</v>
      </c>
      <c r="T101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17" s="57">
        <f>(1000*CHOOSE(CONTROL!$C$42, 695, 695)*CHOOSE(CONTROL!$C$42, 0.5599, 0.5599)*CHOOSE(CONTROL!$C$42, 30, 30))/1000000</f>
        <v>11.673914999999997</v>
      </c>
      <c r="V1017" s="57">
        <f>(1000*CHOOSE(CONTROL!$C$42, 500, 500)*CHOOSE(CONTROL!$C$42, 0.275, 0.275)*CHOOSE(CONTROL!$C$42, 30, 30))/1000000</f>
        <v>4.125</v>
      </c>
      <c r="W1017" s="57">
        <f>(1000*CHOOSE(CONTROL!$C$42, 0.1146, 0.1146)*CHOOSE(CONTROL!$C$42, 121.5, 121.5)*CHOOSE(CONTROL!$C$42, 30, 30))/1000000</f>
        <v>0.417717</v>
      </c>
      <c r="X1017" s="57">
        <f>(30*0.1790888*245000/1000000)+(30*0.2374*100000/1000000)</f>
        <v>2.0285026799999999</v>
      </c>
      <c r="Y1017" s="57"/>
      <c r="Z1017" s="14"/>
      <c r="AA1017" s="56"/>
      <c r="AB1017" s="50">
        <f>(B1017*194.205+C1017*267.466+D1017*133.845+E1017*53.484+F1017*40+G1017*185+H1017*0+I1017*100+J1017*300)/(194.205+267.466+133.845+53.484+0+40+185+100+300)</f>
        <v>114.8078101955259</v>
      </c>
      <c r="AC1017" s="45">
        <f>(M1017*'RAP TEMPLATE-GAS AVAILABILITY'!O1016+N1017*'RAP TEMPLATE-GAS AVAILABILITY'!P1016+O1017*'RAP TEMPLATE-GAS AVAILABILITY'!Q1016+P1017*'RAP TEMPLATE-GAS AVAILABILITY'!R1016)/('RAP TEMPLATE-GAS AVAILABILITY'!O1016+'RAP TEMPLATE-GAS AVAILABILITY'!P1016+'RAP TEMPLATE-GAS AVAILABILITY'!Q1016+'RAP TEMPLATE-GAS AVAILABILITY'!R1016)</f>
        <v>112.55269640287771</v>
      </c>
    </row>
    <row r="1018" spans="1:29" ht="15.75" x14ac:dyDescent="0.25">
      <c r="A1018" s="32">
        <v>71894</v>
      </c>
      <c r="B1018" s="14">
        <f>CHOOSE(CONTROL!$C$42, 112.4203, 112.4203) * CHOOSE(CONTROL!$C$21, $C$9, 100%, $E$9)</f>
        <v>112.4203</v>
      </c>
      <c r="C1018" s="14">
        <f>CHOOSE(CONTROL!$C$42, 112.4257, 112.4257) * CHOOSE(CONTROL!$C$21, $C$9, 100%, $E$9)</f>
        <v>112.42570000000001</v>
      </c>
      <c r="D1018" s="14">
        <f>CHOOSE(CONTROL!$C$42, 112.6346, 112.6346) * CHOOSE(CONTROL!$C$21, $C$9, 100%, $E$9)</f>
        <v>112.63460000000001</v>
      </c>
      <c r="E1018" s="14">
        <f>CHOOSE(CONTROL!$C$42, 112.6637, 112.6637) * CHOOSE(CONTROL!$C$21, $C$9, 100%, $E$9)</f>
        <v>112.66370000000001</v>
      </c>
      <c r="F1018" s="14">
        <f>CHOOSE(CONTROL!$C$42, 112.4043, 112.4043)*CHOOSE(CONTROL!$C$21, $C$9, 100%, $E$9)</f>
        <v>112.40430000000001</v>
      </c>
      <c r="G1018" s="14">
        <f>CHOOSE(CONTROL!$C$42, 112.42, 112.42)*CHOOSE(CONTROL!$C$21, $C$9, 100%, $E$9)</f>
        <v>112.42</v>
      </c>
      <c r="H1018" s="14">
        <f>CHOOSE(CONTROL!$C$42, 112.6541, 112.6541) * CHOOSE(CONTROL!$C$21, $C$9, 100%, $E$9)</f>
        <v>112.6541</v>
      </c>
      <c r="I1018" s="14">
        <f>CHOOSE(CONTROL!$C$42, 112.7796, 112.7796)* CHOOSE(CONTROL!$C$21, $C$9, 100%, $E$9)</f>
        <v>112.7796</v>
      </c>
      <c r="J1018" s="14">
        <f>CHOOSE(CONTROL!$C$42, 112.3973, 112.3973)* CHOOSE(CONTROL!$C$21, $C$9, 100%, $E$9)</f>
        <v>112.3973</v>
      </c>
      <c r="K1018" s="53">
        <f>CHOOSE(CONTROL!$C$42, 112.7757, 112.7757) * CHOOSE(CONTROL!$C$21, $C$9, 100%, $E$9)</f>
        <v>112.7757</v>
      </c>
      <c r="L1018" s="14">
        <f>CHOOSE(CONTROL!$C$42, 113.2411, 113.2411) * CHOOSE(CONTROL!$C$21, $C$9, 100%, $E$9)</f>
        <v>113.2411</v>
      </c>
      <c r="M1018" s="14">
        <f>CHOOSE(CONTROL!$C$42, 110.1021, 110.1021) * CHOOSE(CONTROL!$C$21, $C$9, 100%, $E$9)</f>
        <v>110.10209999999999</v>
      </c>
      <c r="N1018" s="14">
        <f>CHOOSE(CONTROL!$C$42, 110.1174, 110.1174) * CHOOSE(CONTROL!$C$21, $C$9, 100%, $E$9)</f>
        <v>110.1174</v>
      </c>
      <c r="O1018" s="14">
        <f>CHOOSE(CONTROL!$C$42, 110.3536, 110.3536) * CHOOSE(CONTROL!$C$21, $C$9, 100%, $E$9)</f>
        <v>110.3536</v>
      </c>
      <c r="P1018" s="14">
        <f>CHOOSE(CONTROL!$C$42, 110.4695, 110.4695) * CHOOSE(CONTROL!$C$21, $C$9, 100%, $E$9)</f>
        <v>110.4695</v>
      </c>
      <c r="Q1018" s="14">
        <f>CHOOSE(CONTROL!$C$42, 110.9483, 110.9483) * CHOOSE(CONTROL!$C$21, $C$9, 100%, $E$9)</f>
        <v>110.9483</v>
      </c>
      <c r="R1018" s="14">
        <f>CHOOSE(CONTROL!$C$42, 111.8127, 111.8127) * CHOOSE(CONTROL!$C$21, $C$9, 100%, $E$9)</f>
        <v>111.81270000000001</v>
      </c>
      <c r="S1018" s="14">
        <f>CHOOSE(CONTROL!$C$42, 108.0158, 108.0158) * CHOOSE(CONTROL!$C$21, $C$9, 100%, $E$9)</f>
        <v>108.0158</v>
      </c>
      <c r="T101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18" s="57">
        <f>(1000*CHOOSE(CONTROL!$C$42, 695, 695)*CHOOSE(CONTROL!$C$42, 0.5599, 0.5599)*CHOOSE(CONTROL!$C$42, 31, 31))/1000000</f>
        <v>12.063045499999998</v>
      </c>
      <c r="V1018" s="57">
        <f>(1000*CHOOSE(CONTROL!$C$42, 500, 500)*CHOOSE(CONTROL!$C$42, 0.275, 0.275)*CHOOSE(CONTROL!$C$42, 31, 31))/1000000</f>
        <v>4.2625000000000002</v>
      </c>
      <c r="W1018" s="57">
        <f>(1000*CHOOSE(CONTROL!$C$42, 0.1146, 0.1146)*CHOOSE(CONTROL!$C$42, 121.5, 121.5)*CHOOSE(CONTROL!$C$42, 31, 31))/1000000</f>
        <v>0.43164089999999994</v>
      </c>
      <c r="X1018" s="57">
        <f>(31*0.1790888*245000/1000000)+(31*0.2374*100000/1000000)</f>
        <v>2.0961194359999999</v>
      </c>
      <c r="Y1018" s="57"/>
      <c r="Z1018" s="14"/>
      <c r="AA1018" s="56"/>
      <c r="AB1018" s="50">
        <f>(B1018*131.881+C1018*277.167+D1018*79.08+E1018*125.872+F1018*40+G1018*185+H1018*0+I1018*100+J1018*300)/(131.881+277.167+79.08+125.872+0+40+185+100+300)</f>
        <v>112.4827820747377</v>
      </c>
      <c r="AC1018" s="45">
        <f>(M1018*'RAP TEMPLATE-GAS AVAILABILITY'!O1017+N1018*'RAP TEMPLATE-GAS AVAILABILITY'!P1017+O1018*'RAP TEMPLATE-GAS AVAILABILITY'!Q1017+P1018*'RAP TEMPLATE-GAS AVAILABILITY'!R1017)/('RAP TEMPLATE-GAS AVAILABILITY'!O1017+'RAP TEMPLATE-GAS AVAILABILITY'!P1017+'RAP TEMPLATE-GAS AVAILABILITY'!Q1017+'RAP TEMPLATE-GAS AVAILABILITY'!R1017)</f>
        <v>110.26983309352518</v>
      </c>
    </row>
    <row r="1019" spans="1:29" ht="15.75" x14ac:dyDescent="0.25">
      <c r="A1019" s="32">
        <v>71924</v>
      </c>
      <c r="B1019" s="14">
        <f>CHOOSE(CONTROL!$C$42, 115.3813, 115.3813) * CHOOSE(CONTROL!$C$21, $C$9, 100%, $E$9)</f>
        <v>115.3813</v>
      </c>
      <c r="C1019" s="14">
        <f>CHOOSE(CONTROL!$C$42, 115.3864, 115.3864) * CHOOSE(CONTROL!$C$21, $C$9, 100%, $E$9)</f>
        <v>115.38639999999999</v>
      </c>
      <c r="D1019" s="14">
        <f>CHOOSE(CONTROL!$C$42, 115.4502, 115.4502) * CHOOSE(CONTROL!$C$21, $C$9, 100%, $E$9)</f>
        <v>115.4502</v>
      </c>
      <c r="E1019" s="14">
        <f>CHOOSE(CONTROL!$C$42, 115.4843, 115.4843) * CHOOSE(CONTROL!$C$21, $C$9, 100%, $E$9)</f>
        <v>115.4843</v>
      </c>
      <c r="F1019" s="14">
        <f>CHOOSE(CONTROL!$C$42, 115.3837, 115.3837)*CHOOSE(CONTROL!$C$21, $C$9, 100%, $E$9)</f>
        <v>115.3837</v>
      </c>
      <c r="G1019" s="14">
        <f>CHOOSE(CONTROL!$C$42, 115.3997, 115.3997)*CHOOSE(CONTROL!$C$21, $C$9, 100%, $E$9)</f>
        <v>115.3997</v>
      </c>
      <c r="H1019" s="14">
        <f>CHOOSE(CONTROL!$C$42, 115.4735, 115.4735) * CHOOSE(CONTROL!$C$21, $C$9, 100%, $E$9)</f>
        <v>115.4735</v>
      </c>
      <c r="I1019" s="14">
        <f>CHOOSE(CONTROL!$C$42, 115.7555, 115.7555)* CHOOSE(CONTROL!$C$21, $C$9, 100%, $E$9)</f>
        <v>115.7555</v>
      </c>
      <c r="J1019" s="14">
        <f>CHOOSE(CONTROL!$C$42, 115.3767, 115.3767)* CHOOSE(CONTROL!$C$21, $C$9, 100%, $E$9)</f>
        <v>115.3767</v>
      </c>
      <c r="K1019" s="53">
        <f>CHOOSE(CONTROL!$C$42, 115.7517, 115.7517) * CHOOSE(CONTROL!$C$21, $C$9, 100%, $E$9)</f>
        <v>115.7517</v>
      </c>
      <c r="L1019" s="14">
        <f>CHOOSE(CONTROL!$C$42, 116.0605, 116.0605) * CHOOSE(CONTROL!$C$21, $C$9, 100%, $E$9)</f>
        <v>116.0605</v>
      </c>
      <c r="M1019" s="14">
        <f>CHOOSE(CONTROL!$C$42, 113.0204, 113.0204) * CHOOSE(CONTROL!$C$21, $C$9, 100%, $E$9)</f>
        <v>113.0204</v>
      </c>
      <c r="N1019" s="14">
        <f>CHOOSE(CONTROL!$C$42, 113.0361, 113.0361) * CHOOSE(CONTROL!$C$21, $C$9, 100%, $E$9)</f>
        <v>113.0361</v>
      </c>
      <c r="O1019" s="14">
        <f>CHOOSE(CONTROL!$C$42, 113.1152, 113.1152) * CHOOSE(CONTROL!$C$21, $C$9, 100%, $E$9)</f>
        <v>113.1152</v>
      </c>
      <c r="P1019" s="14">
        <f>CHOOSE(CONTROL!$C$42, 113.3843, 113.3843) * CHOOSE(CONTROL!$C$21, $C$9, 100%, $E$9)</f>
        <v>113.3843</v>
      </c>
      <c r="Q1019" s="14">
        <f>CHOOSE(CONTROL!$C$42, 113.7099, 113.7099) * CHOOSE(CONTROL!$C$21, $C$9, 100%, $E$9)</f>
        <v>113.7099</v>
      </c>
      <c r="R1019" s="14">
        <f>CHOOSE(CONTROL!$C$42, 114.5812, 114.5812) * CHOOSE(CONTROL!$C$21, $C$9, 100%, $E$9)</f>
        <v>114.5812</v>
      </c>
      <c r="S1019" s="14">
        <f>CHOOSE(CONTROL!$C$42, 110.8614, 110.8614) * CHOOSE(CONTROL!$C$21, $C$9, 100%, $E$9)</f>
        <v>110.8614</v>
      </c>
      <c r="T101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19" s="57">
        <f>(1000*CHOOSE(CONTROL!$C$42, 695, 695)*CHOOSE(CONTROL!$C$42, 0.5599, 0.5599)*CHOOSE(CONTROL!$C$42, 30, 30))/1000000</f>
        <v>11.673914999999997</v>
      </c>
      <c r="V1019" s="57">
        <f>(1000*CHOOSE(CONTROL!$C$42, 500, 500)*CHOOSE(CONTROL!$C$42, 0.275, 0.275)*CHOOSE(CONTROL!$C$42, 30, 30))/1000000</f>
        <v>4.125</v>
      </c>
      <c r="W1019" s="57">
        <f>(1000*CHOOSE(CONTROL!$C$42, 0.1146, 0.1146)*CHOOSE(CONTROL!$C$42, 121.5, 121.5)*CHOOSE(CONTROL!$C$42, 30, 30))/1000000</f>
        <v>0.417717</v>
      </c>
      <c r="X1019" s="57">
        <f>(30*0.1790888*100000/1000000)+(30*0.2374*100000/1000000)</f>
        <v>1.2494664</v>
      </c>
      <c r="Y1019" s="57"/>
      <c r="Z1019" s="14"/>
      <c r="AA1019" s="56"/>
      <c r="AB1019" s="50">
        <f>(B1019*122.58+C1019*297.941+D1019*89.177+E1019*40.302+F1019*40+G1019*160+H1019*0+I1019*100+J1019*300)/(122.58+297.941+89.177+40.302+0+40+160+100+300)</f>
        <v>115.42555643513042</v>
      </c>
      <c r="AC1019" s="45">
        <f>(M1019*'RAP TEMPLATE-GAS AVAILABILITY'!O1018+N1019*'RAP TEMPLATE-GAS AVAILABILITY'!P1018+O1019*'RAP TEMPLATE-GAS AVAILABILITY'!Q1018+P1019*'RAP TEMPLATE-GAS AVAILABILITY'!R1018)/('RAP TEMPLATE-GAS AVAILABILITY'!O1018+'RAP TEMPLATE-GAS AVAILABILITY'!P1018+'RAP TEMPLATE-GAS AVAILABILITY'!Q1018+'RAP TEMPLATE-GAS AVAILABILITY'!R1018)</f>
        <v>113.11663021582733</v>
      </c>
    </row>
    <row r="1020" spans="1:29" ht="15.75" x14ac:dyDescent="0.25">
      <c r="A1020" s="32">
        <v>71955</v>
      </c>
      <c r="B1020" s="14">
        <f>CHOOSE(CONTROL!$C$42, 123.2473, 123.2473) * CHOOSE(CONTROL!$C$21, $C$9, 100%, $E$9)</f>
        <v>123.2473</v>
      </c>
      <c r="C1020" s="14">
        <f>CHOOSE(CONTROL!$C$42, 123.2524, 123.2524) * CHOOSE(CONTROL!$C$21, $C$9, 100%, $E$9)</f>
        <v>123.25239999999999</v>
      </c>
      <c r="D1020" s="14">
        <f>CHOOSE(CONTROL!$C$42, 123.3162, 123.3162) * CHOOSE(CONTROL!$C$21, $C$9, 100%, $E$9)</f>
        <v>123.31619999999999</v>
      </c>
      <c r="E1020" s="14">
        <f>CHOOSE(CONTROL!$C$42, 123.3503, 123.3503) * CHOOSE(CONTROL!$C$21, $C$9, 100%, $E$9)</f>
        <v>123.3503</v>
      </c>
      <c r="F1020" s="14">
        <f>CHOOSE(CONTROL!$C$42, 123.252, 123.252)*CHOOSE(CONTROL!$C$21, $C$9, 100%, $E$9)</f>
        <v>123.252</v>
      </c>
      <c r="G1020" s="14">
        <f>CHOOSE(CONTROL!$C$42, 123.2686, 123.2686)*CHOOSE(CONTROL!$C$21, $C$9, 100%, $E$9)</f>
        <v>123.26860000000001</v>
      </c>
      <c r="H1020" s="14">
        <f>CHOOSE(CONTROL!$C$42, 123.3395, 123.3395) * CHOOSE(CONTROL!$C$21, $C$9, 100%, $E$9)</f>
        <v>123.3395</v>
      </c>
      <c r="I1020" s="14">
        <f>CHOOSE(CONTROL!$C$42, 123.6462, 123.6462)* CHOOSE(CONTROL!$C$21, $C$9, 100%, $E$9)</f>
        <v>123.64619999999999</v>
      </c>
      <c r="J1020" s="14">
        <f>CHOOSE(CONTROL!$C$42, 123.245, 123.245)* CHOOSE(CONTROL!$C$21, $C$9, 100%, $E$9)</f>
        <v>123.245</v>
      </c>
      <c r="K1020" s="53">
        <f>CHOOSE(CONTROL!$C$42, 123.6423, 123.6423) * CHOOSE(CONTROL!$C$21, $C$9, 100%, $E$9)</f>
        <v>123.64230000000001</v>
      </c>
      <c r="L1020" s="14">
        <f>CHOOSE(CONTROL!$C$42, 123.9265, 123.9265) * CHOOSE(CONTROL!$C$21, $C$9, 100%, $E$9)</f>
        <v>123.9265</v>
      </c>
      <c r="M1020" s="14">
        <f>CHOOSE(CONTROL!$C$42, 120.7275, 120.7275) * CHOOSE(CONTROL!$C$21, $C$9, 100%, $E$9)</f>
        <v>120.72750000000001</v>
      </c>
      <c r="N1020" s="14">
        <f>CHOOSE(CONTROL!$C$42, 120.7437, 120.7437) * CHOOSE(CONTROL!$C$21, $C$9, 100%, $E$9)</f>
        <v>120.7437</v>
      </c>
      <c r="O1020" s="14">
        <f>CHOOSE(CONTROL!$C$42, 120.8201, 120.8201) * CHOOSE(CONTROL!$C$21, $C$9, 100%, $E$9)</f>
        <v>120.8201</v>
      </c>
      <c r="P1020" s="14">
        <f>CHOOSE(CONTROL!$C$42, 121.1127, 121.1127) * CHOOSE(CONTROL!$C$21, $C$9, 100%, $E$9)</f>
        <v>121.1127</v>
      </c>
      <c r="Q1020" s="14">
        <f>CHOOSE(CONTROL!$C$42, 121.4148, 121.4148) * CHOOSE(CONTROL!$C$21, $C$9, 100%, $E$9)</f>
        <v>121.4148</v>
      </c>
      <c r="R1020" s="14">
        <f>CHOOSE(CONTROL!$C$42, 122.3053, 122.3053) * CHOOSE(CONTROL!$C$21, $C$9, 100%, $E$9)</f>
        <v>122.3053</v>
      </c>
      <c r="S1020" s="14">
        <f>CHOOSE(CONTROL!$C$42, 118.4198, 118.4198) * CHOOSE(CONTROL!$C$21, $C$9, 100%, $E$9)</f>
        <v>118.4198</v>
      </c>
      <c r="T102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20" s="57">
        <f>(1000*CHOOSE(CONTROL!$C$42, 695, 695)*CHOOSE(CONTROL!$C$42, 0.5599, 0.5599)*CHOOSE(CONTROL!$C$42, 31, 31))/1000000</f>
        <v>12.063045499999998</v>
      </c>
      <c r="V1020" s="57">
        <f>(1000*CHOOSE(CONTROL!$C$42, 500, 500)*CHOOSE(CONTROL!$C$42, 0.275, 0.275)*CHOOSE(CONTROL!$C$42, 31, 31))/1000000</f>
        <v>4.2625000000000002</v>
      </c>
      <c r="W1020" s="57">
        <f>(1000*CHOOSE(CONTROL!$C$42, 0.1146, 0.1146)*CHOOSE(CONTROL!$C$42, 121.5, 121.5)*CHOOSE(CONTROL!$C$42, 31, 31))/1000000</f>
        <v>0.43164089999999994</v>
      </c>
      <c r="X1020" s="57">
        <f>(31*0.1790888*100000/1000000)+(31*0.2374*100000/1000000)</f>
        <v>1.2911152800000001</v>
      </c>
      <c r="Y1020" s="57"/>
      <c r="Z1020" s="14"/>
      <c r="AA1020" s="56"/>
      <c r="AB1020" s="50">
        <f>(B1020*122.58+C1020*297.941+D1020*89.177+E1020*40.302+F1020*40+G1020*160+H1020*0+I1020*100+J1020*300)/(122.58+297.941+89.177+40.302+0+40+160+100+300)</f>
        <v>123.29478773947825</v>
      </c>
      <c r="AC1020" s="45">
        <f>(M1020*'RAP TEMPLATE-GAS AVAILABILITY'!O1019+N1020*'RAP TEMPLATE-GAS AVAILABILITY'!P1019+O1020*'RAP TEMPLATE-GAS AVAILABILITY'!Q1019+P1020*'RAP TEMPLATE-GAS AVAILABILITY'!R1019)/('RAP TEMPLATE-GAS AVAILABILITY'!O1019+'RAP TEMPLATE-GAS AVAILABILITY'!P1019+'RAP TEMPLATE-GAS AVAILABILITY'!Q1019+'RAP TEMPLATE-GAS AVAILABILITY'!R1019)</f>
        <v>120.82582661870504</v>
      </c>
    </row>
    <row r="1021" spans="1:29" ht="15.75" x14ac:dyDescent="0.25">
      <c r="A1021" s="32">
        <v>71986</v>
      </c>
      <c r="B1021" s="14">
        <f>CHOOSE(CONTROL!$C$42, 133.3422, 133.3422) * CHOOSE(CONTROL!$C$21, $C$9, 100%, $E$9)</f>
        <v>133.34219999999999</v>
      </c>
      <c r="C1021" s="14">
        <f>CHOOSE(CONTROL!$C$42, 133.3473, 133.3473) * CHOOSE(CONTROL!$C$21, $C$9, 100%, $E$9)</f>
        <v>133.34729999999999</v>
      </c>
      <c r="D1021" s="14">
        <f>CHOOSE(CONTROL!$C$42, 133.4137, 133.4137) * CHOOSE(CONTROL!$C$21, $C$9, 100%, $E$9)</f>
        <v>133.41370000000001</v>
      </c>
      <c r="E1021" s="14">
        <f>CHOOSE(CONTROL!$C$42, 133.4478, 133.4478) * CHOOSE(CONTROL!$C$21, $C$9, 100%, $E$9)</f>
        <v>133.4478</v>
      </c>
      <c r="F1021" s="14">
        <f>CHOOSE(CONTROL!$C$42, 133.3296, 133.3296)*CHOOSE(CONTROL!$C$21, $C$9, 100%, $E$9)</f>
        <v>133.3296</v>
      </c>
      <c r="G1021" s="14">
        <f>CHOOSE(CONTROL!$C$42, 133.345, 133.345)*CHOOSE(CONTROL!$C$21, $C$9, 100%, $E$9)</f>
        <v>133.345</v>
      </c>
      <c r="H1021" s="14">
        <f>CHOOSE(CONTROL!$C$42, 133.437, 133.437) * CHOOSE(CONTROL!$C$21, $C$9, 100%, $E$9)</f>
        <v>133.43700000000001</v>
      </c>
      <c r="I1021" s="14">
        <f>CHOOSE(CONTROL!$C$42, 133.7675, 133.7675)* CHOOSE(CONTROL!$C$21, $C$9, 100%, $E$9)</f>
        <v>133.76750000000001</v>
      </c>
      <c r="J1021" s="14">
        <f>CHOOSE(CONTROL!$C$42, 133.3226, 133.3226)* CHOOSE(CONTROL!$C$21, $C$9, 100%, $E$9)</f>
        <v>133.32259999999999</v>
      </c>
      <c r="K1021" s="53">
        <f>CHOOSE(CONTROL!$C$42, 133.7636, 133.7636) * CHOOSE(CONTROL!$C$21, $C$9, 100%, $E$9)</f>
        <v>133.7636</v>
      </c>
      <c r="L1021" s="14">
        <f>CHOOSE(CONTROL!$C$42, 134.024, 134.024) * CHOOSE(CONTROL!$C$21, $C$9, 100%, $E$9)</f>
        <v>134.024</v>
      </c>
      <c r="M1021" s="14">
        <f>CHOOSE(CONTROL!$C$42, 130.5986, 130.5986) * CHOOSE(CONTROL!$C$21, $C$9, 100%, $E$9)</f>
        <v>130.5986</v>
      </c>
      <c r="N1021" s="14">
        <f>CHOOSE(CONTROL!$C$42, 130.6137, 130.6137) * CHOOSE(CONTROL!$C$21, $C$9, 100%, $E$9)</f>
        <v>130.61369999999999</v>
      </c>
      <c r="O1021" s="14">
        <f>CHOOSE(CONTROL!$C$42, 130.7107, 130.7107) * CHOOSE(CONTROL!$C$21, $C$9, 100%, $E$9)</f>
        <v>130.7107</v>
      </c>
      <c r="P1021" s="14">
        <f>CHOOSE(CONTROL!$C$42, 131.026, 131.026) * CHOOSE(CONTROL!$C$21, $C$9, 100%, $E$9)</f>
        <v>131.02600000000001</v>
      </c>
      <c r="Q1021" s="14">
        <f>CHOOSE(CONTROL!$C$42, 131.3054, 131.3054) * CHOOSE(CONTROL!$C$21, $C$9, 100%, $E$9)</f>
        <v>131.30539999999999</v>
      </c>
      <c r="R1021" s="14">
        <f>CHOOSE(CONTROL!$C$42, 132.2206, 132.2206) * CHOOSE(CONTROL!$C$21, $C$9, 100%, $E$9)</f>
        <v>132.22059999999999</v>
      </c>
      <c r="S1021" s="14">
        <f>CHOOSE(CONTROL!$C$42, 128.12, 128.12) * CHOOSE(CONTROL!$C$21, $C$9, 100%, $E$9)</f>
        <v>128.12</v>
      </c>
      <c r="T102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21" s="57">
        <f>(1000*CHOOSE(CONTROL!$C$42, 695, 695)*CHOOSE(CONTROL!$C$42, 0.5599, 0.5599)*CHOOSE(CONTROL!$C$42, 31, 31))/1000000</f>
        <v>12.063045499999998</v>
      </c>
      <c r="V1021" s="57">
        <f>(1000*CHOOSE(CONTROL!$C$42, 500, 500)*CHOOSE(CONTROL!$C$42, 0.275, 0.275)*CHOOSE(CONTROL!$C$42, 31, 31))/1000000</f>
        <v>4.2625000000000002</v>
      </c>
      <c r="W1021" s="57">
        <f>(1000*CHOOSE(CONTROL!$C$42, 0.1146, 0.1146)*CHOOSE(CONTROL!$C$42, 121.5, 121.5)*CHOOSE(CONTROL!$C$42, 31, 31))/1000000</f>
        <v>0.43164089999999994</v>
      </c>
      <c r="X1021" s="57">
        <f>(31*0.1790888*100000/1000000)+(31*0.2374*100000/1000000)</f>
        <v>1.2911152800000001</v>
      </c>
      <c r="Y1021" s="57"/>
      <c r="Z1021" s="14"/>
      <c r="AA1021" s="56"/>
      <c r="AB1021" s="50">
        <f>(B1021*122.58+C1021*297.941+D1021*89.177+E1021*40.302+F1021*40+G1021*160+H1021*0+I1021*100+J1021*300)/(122.58+297.941+89.177+40.302+0+40+160+100+300)</f>
        <v>133.38458743113043</v>
      </c>
      <c r="AC1021" s="45">
        <f>(M1021*'RAP TEMPLATE-GAS AVAILABILITY'!O1020+N1021*'RAP TEMPLATE-GAS AVAILABILITY'!P1020+O1021*'RAP TEMPLATE-GAS AVAILABILITY'!Q1020+P1021*'RAP TEMPLATE-GAS AVAILABILITY'!R1020)/('RAP TEMPLATE-GAS AVAILABILITY'!O1020+'RAP TEMPLATE-GAS AVAILABILITY'!P1020+'RAP TEMPLATE-GAS AVAILABILITY'!Q1020+'RAP TEMPLATE-GAS AVAILABILITY'!R1020)</f>
        <v>130.71177338129496</v>
      </c>
    </row>
    <row r="1022" spans="1:29" ht="15.75" x14ac:dyDescent="0.25">
      <c r="A1022" s="32">
        <v>72014</v>
      </c>
      <c r="B1022" s="14">
        <f>CHOOSE(CONTROL!$C$42, 135.7158, 135.7158) * CHOOSE(CONTROL!$C$21, $C$9, 100%, $E$9)</f>
        <v>135.7158</v>
      </c>
      <c r="C1022" s="14">
        <f>CHOOSE(CONTROL!$C$42, 135.7208, 135.7208) * CHOOSE(CONTROL!$C$21, $C$9, 100%, $E$9)</f>
        <v>135.7208</v>
      </c>
      <c r="D1022" s="14">
        <f>CHOOSE(CONTROL!$C$42, 135.7872, 135.7872) * CHOOSE(CONTROL!$C$21, $C$9, 100%, $E$9)</f>
        <v>135.78720000000001</v>
      </c>
      <c r="E1022" s="14">
        <f>CHOOSE(CONTROL!$C$42, 135.8213, 135.8213) * CHOOSE(CONTROL!$C$21, $C$9, 100%, $E$9)</f>
        <v>135.82130000000001</v>
      </c>
      <c r="F1022" s="14">
        <f>CHOOSE(CONTROL!$C$42, 135.7032, 135.7032)*CHOOSE(CONTROL!$C$21, $C$9, 100%, $E$9)</f>
        <v>135.70320000000001</v>
      </c>
      <c r="G1022" s="14">
        <f>CHOOSE(CONTROL!$C$42, 135.7187, 135.7187)*CHOOSE(CONTROL!$C$21, $C$9, 100%, $E$9)</f>
        <v>135.71870000000001</v>
      </c>
      <c r="H1022" s="14">
        <f>CHOOSE(CONTROL!$C$42, 135.8105, 135.8105) * CHOOSE(CONTROL!$C$21, $C$9, 100%, $E$9)</f>
        <v>135.81049999999999</v>
      </c>
      <c r="I1022" s="14">
        <f>CHOOSE(CONTROL!$C$42, 136.1484, 136.1484)* CHOOSE(CONTROL!$C$21, $C$9, 100%, $E$9)</f>
        <v>136.14840000000001</v>
      </c>
      <c r="J1022" s="14">
        <f>CHOOSE(CONTROL!$C$42, 135.6962, 135.6962)* CHOOSE(CONTROL!$C$21, $C$9, 100%, $E$9)</f>
        <v>135.6962</v>
      </c>
      <c r="K1022" s="53">
        <f>CHOOSE(CONTROL!$C$42, 136.1445, 136.1445) * CHOOSE(CONTROL!$C$21, $C$9, 100%, $E$9)</f>
        <v>136.14449999999999</v>
      </c>
      <c r="L1022" s="14">
        <f>CHOOSE(CONTROL!$C$42, 136.3975, 136.3975) * CHOOSE(CONTROL!$C$21, $C$9, 100%, $E$9)</f>
        <v>136.39750000000001</v>
      </c>
      <c r="M1022" s="14">
        <f>CHOOSE(CONTROL!$C$42, 132.9235, 132.9235) * CHOOSE(CONTROL!$C$21, $C$9, 100%, $E$9)</f>
        <v>132.92349999999999</v>
      </c>
      <c r="N1022" s="14">
        <f>CHOOSE(CONTROL!$C$42, 132.9387, 132.9387) * CHOOSE(CONTROL!$C$21, $C$9, 100%, $E$9)</f>
        <v>132.93870000000001</v>
      </c>
      <c r="O1022" s="14">
        <f>CHOOSE(CONTROL!$C$42, 133.0356, 133.0356) * CHOOSE(CONTROL!$C$21, $C$9, 100%, $E$9)</f>
        <v>133.03559999999999</v>
      </c>
      <c r="P1022" s="14">
        <f>CHOOSE(CONTROL!$C$42, 133.3581, 133.3581) * CHOOSE(CONTROL!$C$21, $C$9, 100%, $E$9)</f>
        <v>133.35810000000001</v>
      </c>
      <c r="Q1022" s="14">
        <f>CHOOSE(CONTROL!$C$42, 133.6303, 133.6303) * CHOOSE(CONTROL!$C$21, $C$9, 100%, $E$9)</f>
        <v>133.63030000000001</v>
      </c>
      <c r="R1022" s="14">
        <f>CHOOSE(CONTROL!$C$42, 134.5513, 134.5513) * CHOOSE(CONTROL!$C$21, $C$9, 100%, $E$9)</f>
        <v>134.5513</v>
      </c>
      <c r="S1022" s="14">
        <f>CHOOSE(CONTROL!$C$42, 130.4007, 130.4007) * CHOOSE(CONTROL!$C$21, $C$9, 100%, $E$9)</f>
        <v>130.4007</v>
      </c>
      <c r="T102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22" s="57">
        <f>(1000*CHOOSE(CONTROL!$C$42, 695, 695)*CHOOSE(CONTROL!$C$42, 0.5599, 0.5599)*CHOOSE(CONTROL!$C$42, 28, 28))/1000000</f>
        <v>10.895653999999999</v>
      </c>
      <c r="V1022" s="57">
        <f>(1000*CHOOSE(CONTROL!$C$42, 500, 500)*CHOOSE(CONTROL!$C$42, 0.275, 0.275)*CHOOSE(CONTROL!$C$42, 28, 28))/1000000</f>
        <v>3.85</v>
      </c>
      <c r="W1022" s="57">
        <f>(1000*CHOOSE(CONTROL!$C$42, 0.1146, 0.1146)*CHOOSE(CONTROL!$C$42, 121.5, 121.5)*CHOOSE(CONTROL!$C$42, 28, 28))/1000000</f>
        <v>0.38986920000000003</v>
      </c>
      <c r="X1022" s="57">
        <f>(28*0.1790888*100000/1000000)+(28*0.2374*100000/1000000)</f>
        <v>1.16616864</v>
      </c>
      <c r="Y1022" s="57"/>
      <c r="Z1022" s="14"/>
      <c r="AA1022" s="56"/>
      <c r="AB1022" s="50">
        <f>(B1022*122.58+C1022*297.941+D1022*89.177+E1022*40.302+F1022*40+G1022*160+H1022*0+I1022*100+J1022*300)/(122.58+297.941+89.177+40.302+0+40+160+100+300)</f>
        <v>135.75879895982609</v>
      </c>
      <c r="AC1022" s="45">
        <f>(M1022*'RAP TEMPLATE-GAS AVAILABILITY'!O1021+N1022*'RAP TEMPLATE-GAS AVAILABILITY'!P1021+O1022*'RAP TEMPLATE-GAS AVAILABILITY'!Q1021+P1022*'RAP TEMPLATE-GAS AVAILABILITY'!R1021)/('RAP TEMPLATE-GAS AVAILABILITY'!O1021+'RAP TEMPLATE-GAS AVAILABILITY'!P1021+'RAP TEMPLATE-GAS AVAILABILITY'!Q1021+'RAP TEMPLATE-GAS AVAILABILITY'!R1021)</f>
        <v>133.03771510791367</v>
      </c>
    </row>
    <row r="1023" spans="1:29" ht="15.75" x14ac:dyDescent="0.25">
      <c r="A1023" s="32">
        <v>72045</v>
      </c>
      <c r="B1023" s="14">
        <f>CHOOSE(CONTROL!$C$42, 131.863, 131.863) * CHOOSE(CONTROL!$C$21, $C$9, 100%, $E$9)</f>
        <v>131.863</v>
      </c>
      <c r="C1023" s="14">
        <f>CHOOSE(CONTROL!$C$42, 131.868, 131.868) * CHOOSE(CONTROL!$C$21, $C$9, 100%, $E$9)</f>
        <v>131.86799999999999</v>
      </c>
      <c r="D1023" s="14">
        <f>CHOOSE(CONTROL!$C$42, 131.9344, 131.9344) * CHOOSE(CONTROL!$C$21, $C$9, 100%, $E$9)</f>
        <v>131.93440000000001</v>
      </c>
      <c r="E1023" s="14">
        <f>CHOOSE(CONTROL!$C$42, 131.9685, 131.9685) * CHOOSE(CONTROL!$C$21, $C$9, 100%, $E$9)</f>
        <v>131.96850000000001</v>
      </c>
      <c r="F1023" s="14">
        <f>CHOOSE(CONTROL!$C$42, 131.85, 131.85)*CHOOSE(CONTROL!$C$21, $C$9, 100%, $E$9)</f>
        <v>131.85</v>
      </c>
      <c r="G1023" s="14">
        <f>CHOOSE(CONTROL!$C$42, 131.8654, 131.8654)*CHOOSE(CONTROL!$C$21, $C$9, 100%, $E$9)</f>
        <v>131.86539999999999</v>
      </c>
      <c r="H1023" s="14">
        <f>CHOOSE(CONTROL!$C$42, 131.9577, 131.9577) * CHOOSE(CONTROL!$C$21, $C$9, 100%, $E$9)</f>
        <v>131.95769999999999</v>
      </c>
      <c r="I1023" s="14">
        <f>CHOOSE(CONTROL!$C$42, 132.2836, 132.2836)* CHOOSE(CONTROL!$C$21, $C$9, 100%, $E$9)</f>
        <v>132.28360000000001</v>
      </c>
      <c r="J1023" s="14">
        <f>CHOOSE(CONTROL!$C$42, 131.843, 131.843)* CHOOSE(CONTROL!$C$21, $C$9, 100%, $E$9)</f>
        <v>131.84299999999999</v>
      </c>
      <c r="K1023" s="53">
        <f>CHOOSE(CONTROL!$C$42, 132.2797, 132.2797) * CHOOSE(CONTROL!$C$21, $C$9, 100%, $E$9)</f>
        <v>132.27969999999999</v>
      </c>
      <c r="L1023" s="14">
        <f>CHOOSE(CONTROL!$C$42, 132.5447, 132.5447) * CHOOSE(CONTROL!$C$21, $C$9, 100%, $E$9)</f>
        <v>132.54470000000001</v>
      </c>
      <c r="M1023" s="14">
        <f>CHOOSE(CONTROL!$C$42, 129.1493, 129.1493) * CHOOSE(CONTROL!$C$21, $C$9, 100%, $E$9)</f>
        <v>129.14930000000001</v>
      </c>
      <c r="N1023" s="14">
        <f>CHOOSE(CONTROL!$C$42, 129.1644, 129.1644) * CHOOSE(CONTROL!$C$21, $C$9, 100%, $E$9)</f>
        <v>129.1644</v>
      </c>
      <c r="O1023" s="14">
        <f>CHOOSE(CONTROL!$C$42, 129.2617, 129.2617) * CHOOSE(CONTROL!$C$21, $C$9, 100%, $E$9)</f>
        <v>129.26169999999999</v>
      </c>
      <c r="P1023" s="14">
        <f>CHOOSE(CONTROL!$C$42, 129.5726, 129.5726) * CHOOSE(CONTROL!$C$21, $C$9, 100%, $E$9)</f>
        <v>129.57259999999999</v>
      </c>
      <c r="Q1023" s="14">
        <f>CHOOSE(CONTROL!$C$42, 129.8564, 129.8564) * CHOOSE(CONTROL!$C$21, $C$9, 100%, $E$9)</f>
        <v>129.85640000000001</v>
      </c>
      <c r="R1023" s="14">
        <f>CHOOSE(CONTROL!$C$42, 130.7681, 130.7681) * CHOOSE(CONTROL!$C$21, $C$9, 100%, $E$9)</f>
        <v>130.7681</v>
      </c>
      <c r="S1023" s="14">
        <f>CHOOSE(CONTROL!$C$42, 126.6986, 126.6986) * CHOOSE(CONTROL!$C$21, $C$9, 100%, $E$9)</f>
        <v>126.6986</v>
      </c>
      <c r="T102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23" s="57">
        <f>(1000*CHOOSE(CONTROL!$C$42, 695, 695)*CHOOSE(CONTROL!$C$42, 0.5599, 0.5599)*CHOOSE(CONTROL!$C$42, 31, 31))/1000000</f>
        <v>12.063045499999998</v>
      </c>
      <c r="V1023" s="57">
        <f>(1000*CHOOSE(CONTROL!$C$42, 500, 500)*CHOOSE(CONTROL!$C$42, 0.275, 0.275)*CHOOSE(CONTROL!$C$42, 31, 31))/1000000</f>
        <v>4.2625000000000002</v>
      </c>
      <c r="W1023" s="57">
        <f>(1000*CHOOSE(CONTROL!$C$42, 0.1146, 0.1146)*CHOOSE(CONTROL!$C$42, 121.5, 121.5)*CHOOSE(CONTROL!$C$42, 31, 31))/1000000</f>
        <v>0.43164089999999994</v>
      </c>
      <c r="X1023" s="57">
        <f>(31*0.1790888*100000/1000000)+(31*0.2374*100000/1000000)</f>
        <v>1.2911152800000001</v>
      </c>
      <c r="Y1023" s="57"/>
      <c r="Z1023" s="14"/>
      <c r="AA1023" s="56"/>
      <c r="AB1023" s="50">
        <f>(B1023*122.58+C1023*297.941+D1023*89.177+E1023*40.302+F1023*40+G1023*160+H1023*0+I1023*100+J1023*300)/(122.58+297.941+89.177+40.302+0+40+160+100+300)</f>
        <v>131.90476765547822</v>
      </c>
      <c r="AC1023" s="45">
        <f>(M1023*'RAP TEMPLATE-GAS AVAILABILITY'!O1022+N1023*'RAP TEMPLATE-GAS AVAILABILITY'!P1022+O1023*'RAP TEMPLATE-GAS AVAILABILITY'!Q1022+P1023*'RAP TEMPLATE-GAS AVAILABILITY'!R1022)/('RAP TEMPLATE-GAS AVAILABILITY'!O1022+'RAP TEMPLATE-GAS AVAILABILITY'!P1022+'RAP TEMPLATE-GAS AVAILABILITY'!Q1022+'RAP TEMPLATE-GAS AVAILABILITY'!R1022)</f>
        <v>129.26201942446042</v>
      </c>
    </row>
    <row r="1024" spans="1:29" ht="15.75" x14ac:dyDescent="0.25">
      <c r="A1024" s="32">
        <v>72075</v>
      </c>
      <c r="B1024" s="14">
        <f>CHOOSE(CONTROL!$C$42, 131.4693, 131.4693) * CHOOSE(CONTROL!$C$21, $C$9, 100%, $E$9)</f>
        <v>131.4693</v>
      </c>
      <c r="C1024" s="14">
        <f>CHOOSE(CONTROL!$C$42, 131.4738, 131.4738) * CHOOSE(CONTROL!$C$21, $C$9, 100%, $E$9)</f>
        <v>131.47380000000001</v>
      </c>
      <c r="D1024" s="14">
        <f>CHOOSE(CONTROL!$C$42, 131.6809, 131.6809) * CHOOSE(CONTROL!$C$21, $C$9, 100%, $E$9)</f>
        <v>131.68090000000001</v>
      </c>
      <c r="E1024" s="14">
        <f>CHOOSE(CONTROL!$C$42, 131.713, 131.713) * CHOOSE(CONTROL!$C$21, $C$9, 100%, $E$9)</f>
        <v>131.71299999999999</v>
      </c>
      <c r="F1024" s="14">
        <f>CHOOSE(CONTROL!$C$42, 131.4512, 131.4512)*CHOOSE(CONTROL!$C$21, $C$9, 100%, $E$9)</f>
        <v>131.4512</v>
      </c>
      <c r="G1024" s="14">
        <f>CHOOSE(CONTROL!$C$42, 131.4664, 131.4664)*CHOOSE(CONTROL!$C$21, $C$9, 100%, $E$9)</f>
        <v>131.46639999999999</v>
      </c>
      <c r="H1024" s="14">
        <f>CHOOSE(CONTROL!$C$42, 131.7028, 131.7028) * CHOOSE(CONTROL!$C$21, $C$9, 100%, $E$9)</f>
        <v>131.7028</v>
      </c>
      <c r="I1024" s="14">
        <f>CHOOSE(CONTROL!$C$42, 131.8879, 131.8879)* CHOOSE(CONTROL!$C$21, $C$9, 100%, $E$9)</f>
        <v>131.8879</v>
      </c>
      <c r="J1024" s="14">
        <f>CHOOSE(CONTROL!$C$42, 131.4442, 131.4442)* CHOOSE(CONTROL!$C$21, $C$9, 100%, $E$9)</f>
        <v>131.4442</v>
      </c>
      <c r="K1024" s="53">
        <f>CHOOSE(CONTROL!$C$42, 131.884, 131.884) * CHOOSE(CONTROL!$C$21, $C$9, 100%, $E$9)</f>
        <v>131.88399999999999</v>
      </c>
      <c r="L1024" s="14">
        <f>CHOOSE(CONTROL!$C$42, 132.2898, 132.2898) * CHOOSE(CONTROL!$C$21, $C$9, 100%, $E$9)</f>
        <v>132.28980000000001</v>
      </c>
      <c r="M1024" s="14">
        <f>CHOOSE(CONTROL!$C$42, 128.7587, 128.7587) * CHOOSE(CONTROL!$C$21, $C$9, 100%, $E$9)</f>
        <v>128.7587</v>
      </c>
      <c r="N1024" s="14">
        <f>CHOOSE(CONTROL!$C$42, 128.7736, 128.7736) * CHOOSE(CONTROL!$C$21, $C$9, 100%, $E$9)</f>
        <v>128.77359999999999</v>
      </c>
      <c r="O1024" s="14">
        <f>CHOOSE(CONTROL!$C$42, 129.012, 129.012) * CHOOSE(CONTROL!$C$21, $C$9, 100%, $E$9)</f>
        <v>129.012</v>
      </c>
      <c r="P1024" s="14">
        <f>CHOOSE(CONTROL!$C$42, 129.1851, 129.1851) * CHOOSE(CONTROL!$C$21, $C$9, 100%, $E$9)</f>
        <v>129.18510000000001</v>
      </c>
      <c r="Q1024" s="14">
        <f>CHOOSE(CONTROL!$C$42, 129.6067, 129.6067) * CHOOSE(CONTROL!$C$21, $C$9, 100%, $E$9)</f>
        <v>129.60669999999999</v>
      </c>
      <c r="R1024" s="14">
        <f>CHOOSE(CONTROL!$C$42, 130.5177, 130.5177) * CHOOSE(CONTROL!$C$21, $C$9, 100%, $E$9)</f>
        <v>130.51769999999999</v>
      </c>
      <c r="S1024" s="14">
        <f>CHOOSE(CONTROL!$C$42, 126.3196, 126.3196) * CHOOSE(CONTROL!$C$21, $C$9, 100%, $E$9)</f>
        <v>126.31959999999999</v>
      </c>
      <c r="T102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24" s="57">
        <f>(1000*CHOOSE(CONTROL!$C$42, 695, 695)*CHOOSE(CONTROL!$C$42, 0.5599, 0.5599)*CHOOSE(CONTROL!$C$42, 30, 30))/1000000</f>
        <v>11.673914999999997</v>
      </c>
      <c r="V1024" s="57">
        <f>(1000*CHOOSE(CONTROL!$C$42, 500, 500)*CHOOSE(CONTROL!$C$42, 0.275, 0.275)*CHOOSE(CONTROL!$C$42, 30, 30))/1000000</f>
        <v>4.125</v>
      </c>
      <c r="W1024" s="57">
        <f>(1000*CHOOSE(CONTROL!$C$42, 0.1146, 0.1146)*CHOOSE(CONTROL!$C$42, 121.5, 121.5)*CHOOSE(CONTROL!$C$42, 30, 30))/1000000</f>
        <v>0.417717</v>
      </c>
      <c r="X1024" s="57">
        <f>(30*0.1790888*245000/1000000)+(30*0.2374*100000/1000000)</f>
        <v>2.0285026799999999</v>
      </c>
      <c r="Y1024" s="57"/>
      <c r="Z1024" s="14"/>
      <c r="AA1024" s="56"/>
      <c r="AB1024" s="50">
        <f>(B1024*141.293+C1024*267.993+D1024*115.016+E1024*89.698+F1024*40+G1024*185+H1024*0+I1024*100+J1024*300)/(141.293+267.993+115.016+89.698+0+40+185+100+300)</f>
        <v>131.53424935972561</v>
      </c>
      <c r="AC1024" s="45">
        <f>(M1024*'RAP TEMPLATE-GAS AVAILABILITY'!O1023+N1024*'RAP TEMPLATE-GAS AVAILABILITY'!P1023+O1024*'RAP TEMPLATE-GAS AVAILABILITY'!Q1023+P1024*'RAP TEMPLATE-GAS AVAILABILITY'!R1023)/('RAP TEMPLATE-GAS AVAILABILITY'!O1023+'RAP TEMPLATE-GAS AVAILABILITY'!P1023+'RAP TEMPLATE-GAS AVAILABILITY'!Q1023+'RAP TEMPLATE-GAS AVAILABILITY'!R1023)</f>
        <v>128.93571510791367</v>
      </c>
    </row>
    <row r="1025" spans="1:29" ht="15.75" x14ac:dyDescent="0.25">
      <c r="A1025" s="32">
        <v>72106</v>
      </c>
      <c r="B1025" s="14">
        <f>CHOOSE(CONTROL!$C$42, 132.631, 132.631) * CHOOSE(CONTROL!$C$21, $C$9, 100%, $E$9)</f>
        <v>132.631</v>
      </c>
      <c r="C1025" s="14">
        <f>CHOOSE(CONTROL!$C$42, 132.639, 132.639) * CHOOSE(CONTROL!$C$21, $C$9, 100%, $E$9)</f>
        <v>132.63900000000001</v>
      </c>
      <c r="D1025" s="14">
        <f>CHOOSE(CONTROL!$C$42, 132.843, 132.843) * CHOOSE(CONTROL!$C$21, $C$9, 100%, $E$9)</f>
        <v>132.84299999999999</v>
      </c>
      <c r="E1025" s="14">
        <f>CHOOSE(CONTROL!$C$42, 132.8744, 132.8744) * CHOOSE(CONTROL!$C$21, $C$9, 100%, $E$9)</f>
        <v>132.87440000000001</v>
      </c>
      <c r="F1025" s="14">
        <f>CHOOSE(CONTROL!$C$42, 132.6117, 132.6117)*CHOOSE(CONTROL!$C$21, $C$9, 100%, $E$9)</f>
        <v>132.61170000000001</v>
      </c>
      <c r="G1025" s="14">
        <f>CHOOSE(CONTROL!$C$42, 132.6274, 132.6274)*CHOOSE(CONTROL!$C$21, $C$9, 100%, $E$9)</f>
        <v>132.62739999999999</v>
      </c>
      <c r="H1025" s="14">
        <f>CHOOSE(CONTROL!$C$42, 132.8631, 132.8631) * CHOOSE(CONTROL!$C$21, $C$9, 100%, $E$9)</f>
        <v>132.8631</v>
      </c>
      <c r="I1025" s="14">
        <f>CHOOSE(CONTROL!$C$42, 133.0518, 133.0518)* CHOOSE(CONTROL!$C$21, $C$9, 100%, $E$9)</f>
        <v>133.05179999999999</v>
      </c>
      <c r="J1025" s="14">
        <f>CHOOSE(CONTROL!$C$42, 132.6047, 132.6047)* CHOOSE(CONTROL!$C$21, $C$9, 100%, $E$9)</f>
        <v>132.60470000000001</v>
      </c>
      <c r="K1025" s="53">
        <f>CHOOSE(CONTROL!$C$42, 133.0479, 133.0479) * CHOOSE(CONTROL!$C$21, $C$9, 100%, $E$9)</f>
        <v>133.0479</v>
      </c>
      <c r="L1025" s="14">
        <f>CHOOSE(CONTROL!$C$42, 133.4501, 133.4501) * CHOOSE(CONTROL!$C$21, $C$9, 100%, $E$9)</f>
        <v>133.45009999999999</v>
      </c>
      <c r="M1025" s="14">
        <f>CHOOSE(CONTROL!$C$42, 129.8955, 129.8955) * CHOOSE(CONTROL!$C$21, $C$9, 100%, $E$9)</f>
        <v>129.8955</v>
      </c>
      <c r="N1025" s="14">
        <f>CHOOSE(CONTROL!$C$42, 129.9108, 129.9108) * CHOOSE(CONTROL!$C$21, $C$9, 100%, $E$9)</f>
        <v>129.91079999999999</v>
      </c>
      <c r="O1025" s="14">
        <f>CHOOSE(CONTROL!$C$42, 130.1485, 130.1485) * CHOOSE(CONTROL!$C$21, $C$9, 100%, $E$9)</f>
        <v>130.14850000000001</v>
      </c>
      <c r="P1025" s="14">
        <f>CHOOSE(CONTROL!$C$42, 130.3251, 130.3251) * CHOOSE(CONTROL!$C$21, $C$9, 100%, $E$9)</f>
        <v>130.32509999999999</v>
      </c>
      <c r="Q1025" s="14">
        <f>CHOOSE(CONTROL!$C$42, 130.7432, 130.7432) * CHOOSE(CONTROL!$C$21, $C$9, 100%, $E$9)</f>
        <v>130.7432</v>
      </c>
      <c r="R1025" s="14">
        <f>CHOOSE(CONTROL!$C$42, 131.657, 131.657) * CHOOSE(CONTROL!$C$21, $C$9, 100%, $E$9)</f>
        <v>131.65700000000001</v>
      </c>
      <c r="S1025" s="14">
        <f>CHOOSE(CONTROL!$C$42, 127.4345, 127.4345) * CHOOSE(CONTROL!$C$21, $C$9, 100%, $E$9)</f>
        <v>127.4345</v>
      </c>
      <c r="T102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25" s="57">
        <f>(1000*CHOOSE(CONTROL!$C$42, 695, 695)*CHOOSE(CONTROL!$C$42, 0.5599, 0.5599)*CHOOSE(CONTROL!$C$42, 31, 31))/1000000</f>
        <v>12.063045499999998</v>
      </c>
      <c r="V1025" s="57">
        <f>(1000*CHOOSE(CONTROL!$C$42, 500, 500)*CHOOSE(CONTROL!$C$42, 0.275, 0.275)*CHOOSE(CONTROL!$C$42, 31, 31))/1000000</f>
        <v>4.2625000000000002</v>
      </c>
      <c r="W1025" s="57">
        <f>(1000*CHOOSE(CONTROL!$C$42, 0.1146, 0.1146)*CHOOSE(CONTROL!$C$42, 121.5, 121.5)*CHOOSE(CONTROL!$C$42, 31, 31))/1000000</f>
        <v>0.43164089999999994</v>
      </c>
      <c r="X1025" s="57">
        <f>(31*0.1790888*245000/1000000)+(31*0.2374*100000/1000000)</f>
        <v>2.0961194359999999</v>
      </c>
      <c r="Y1025" s="57"/>
      <c r="Z1025" s="14"/>
      <c r="AA1025" s="56"/>
      <c r="AB1025" s="50">
        <f>(B1025*194.205+C1025*267.466+D1025*133.845+E1025*53.484+F1025*40+G1025*185+H1025*0+I1025*100+J1025*300)/(194.205+267.466+133.845+53.484+0+40+185+100+300)</f>
        <v>132.6908782367347</v>
      </c>
      <c r="AC1025" s="45">
        <f>(M1025*'RAP TEMPLATE-GAS AVAILABILITY'!O1024+N1025*'RAP TEMPLATE-GAS AVAILABILITY'!P1024+O1025*'RAP TEMPLATE-GAS AVAILABILITY'!Q1024+P1025*'RAP TEMPLATE-GAS AVAILABILITY'!R1024)/('RAP TEMPLATE-GAS AVAILABILITY'!O1024+'RAP TEMPLATE-GAS AVAILABILITY'!P1024+'RAP TEMPLATE-GAS AVAILABILITY'!Q1024+'RAP TEMPLATE-GAS AVAILABILITY'!R1024)</f>
        <v>130.07286258992806</v>
      </c>
    </row>
    <row r="1026" spans="1:29" ht="15.75" x14ac:dyDescent="0.25">
      <c r="A1026" s="32">
        <v>72136</v>
      </c>
      <c r="B1026" s="14">
        <f>CHOOSE(CONTROL!$C$42, 136.3929, 136.3929) * CHOOSE(CONTROL!$C$21, $C$9, 100%, $E$9)</f>
        <v>136.3929</v>
      </c>
      <c r="C1026" s="14">
        <f>CHOOSE(CONTROL!$C$42, 136.401, 136.401) * CHOOSE(CONTROL!$C$21, $C$9, 100%, $E$9)</f>
        <v>136.40100000000001</v>
      </c>
      <c r="D1026" s="14">
        <f>CHOOSE(CONTROL!$C$42, 136.6049, 136.6049) * CHOOSE(CONTROL!$C$21, $C$9, 100%, $E$9)</f>
        <v>136.60489999999999</v>
      </c>
      <c r="E1026" s="14">
        <f>CHOOSE(CONTROL!$C$42, 136.6364, 136.6364) * CHOOSE(CONTROL!$C$21, $C$9, 100%, $E$9)</f>
        <v>136.63640000000001</v>
      </c>
      <c r="F1026" s="14">
        <f>CHOOSE(CONTROL!$C$42, 136.3741, 136.3741)*CHOOSE(CONTROL!$C$21, $C$9, 100%, $E$9)</f>
        <v>136.3741</v>
      </c>
      <c r="G1026" s="14">
        <f>CHOOSE(CONTROL!$C$42, 136.3899, 136.3899)*CHOOSE(CONTROL!$C$21, $C$9, 100%, $E$9)</f>
        <v>136.38990000000001</v>
      </c>
      <c r="H1026" s="14">
        <f>CHOOSE(CONTROL!$C$42, 136.625, 136.625) * CHOOSE(CONTROL!$C$21, $C$9, 100%, $E$9)</f>
        <v>136.625</v>
      </c>
      <c r="I1026" s="14">
        <f>CHOOSE(CONTROL!$C$42, 136.8255, 136.8255)* CHOOSE(CONTROL!$C$21, $C$9, 100%, $E$9)</f>
        <v>136.82550000000001</v>
      </c>
      <c r="J1026" s="14">
        <f>CHOOSE(CONTROL!$C$42, 136.3671, 136.3671)* CHOOSE(CONTROL!$C$21, $C$9, 100%, $E$9)</f>
        <v>136.36709999999999</v>
      </c>
      <c r="K1026" s="53">
        <f>CHOOSE(CONTROL!$C$42, 136.8216, 136.8216) * CHOOSE(CONTROL!$C$21, $C$9, 100%, $E$9)</f>
        <v>136.82159999999999</v>
      </c>
      <c r="L1026" s="14">
        <f>CHOOSE(CONTROL!$C$42, 137.212, 137.212) * CHOOSE(CONTROL!$C$21, $C$9, 100%, $E$9)</f>
        <v>137.21199999999999</v>
      </c>
      <c r="M1026" s="14">
        <f>CHOOSE(CONTROL!$C$42, 133.5807, 133.5807) * CHOOSE(CONTROL!$C$21, $C$9, 100%, $E$9)</f>
        <v>133.58070000000001</v>
      </c>
      <c r="N1026" s="14">
        <f>CHOOSE(CONTROL!$C$42, 133.5962, 133.5962) * CHOOSE(CONTROL!$C$21, $C$9, 100%, $E$9)</f>
        <v>133.59620000000001</v>
      </c>
      <c r="O1026" s="14">
        <f>CHOOSE(CONTROL!$C$42, 133.8333, 133.8333) * CHOOSE(CONTROL!$C$21, $C$9, 100%, $E$9)</f>
        <v>133.83330000000001</v>
      </c>
      <c r="P1026" s="14">
        <f>CHOOSE(CONTROL!$C$42, 134.0213, 134.0213) * CHOOSE(CONTROL!$C$21, $C$9, 100%, $E$9)</f>
        <v>134.0213</v>
      </c>
      <c r="Q1026" s="14">
        <f>CHOOSE(CONTROL!$C$42, 134.428, 134.428) * CHOOSE(CONTROL!$C$21, $C$9, 100%, $E$9)</f>
        <v>134.428</v>
      </c>
      <c r="R1026" s="14">
        <f>CHOOSE(CONTROL!$C$42, 135.3511, 135.3511) * CHOOSE(CONTROL!$C$21, $C$9, 100%, $E$9)</f>
        <v>135.3511</v>
      </c>
      <c r="S1026" s="14">
        <f>CHOOSE(CONTROL!$C$42, 131.0493, 131.0493) * CHOOSE(CONTROL!$C$21, $C$9, 100%, $E$9)</f>
        <v>131.04929999999999</v>
      </c>
      <c r="T102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26" s="57">
        <f>(1000*CHOOSE(CONTROL!$C$42, 695, 695)*CHOOSE(CONTROL!$C$42, 0.5599, 0.5599)*CHOOSE(CONTROL!$C$42, 30, 30))/1000000</f>
        <v>11.673914999999997</v>
      </c>
      <c r="V1026" s="57">
        <f>(1000*CHOOSE(CONTROL!$C$42, 500, 500)*CHOOSE(CONTROL!$C$42, 0.275, 0.275)*CHOOSE(CONTROL!$C$42, 30, 30))/1000000</f>
        <v>4.125</v>
      </c>
      <c r="W1026" s="57">
        <f>(1000*CHOOSE(CONTROL!$C$42, 0.1146, 0.1146)*CHOOSE(CONTROL!$C$42, 121.5, 121.5)*CHOOSE(CONTROL!$C$42, 30, 30))/1000000</f>
        <v>0.417717</v>
      </c>
      <c r="X1026" s="57">
        <f>(30*0.1790888*245000/1000000)+(30*0.2374*100000/1000000)</f>
        <v>2.0285026799999999</v>
      </c>
      <c r="Y1026" s="57"/>
      <c r="Z1026" s="14"/>
      <c r="AA1026" s="56"/>
      <c r="AB1026" s="50">
        <f>(B1026*194.205+C1026*267.466+D1026*133.845+E1026*53.484+F1026*40+G1026*185+H1026*0+I1026*100+J1026*300)/(194.205+267.466+133.845+53.484+0+40+185+100+300)</f>
        <v>136.45395021083203</v>
      </c>
      <c r="AC1026" s="45">
        <f>(M1026*'RAP TEMPLATE-GAS AVAILABILITY'!O1025+N1026*'RAP TEMPLATE-GAS AVAILABILITY'!P1025+O1026*'RAP TEMPLATE-GAS AVAILABILITY'!Q1025+P1026*'RAP TEMPLATE-GAS AVAILABILITY'!R1025)/('RAP TEMPLATE-GAS AVAILABILITY'!O1025+'RAP TEMPLATE-GAS AVAILABILITY'!P1025+'RAP TEMPLATE-GAS AVAILABILITY'!Q1025+'RAP TEMPLATE-GAS AVAILABILITY'!R1025)</f>
        <v>133.75947553956837</v>
      </c>
    </row>
    <row r="1027" spans="1:29" ht="15.75" x14ac:dyDescent="0.25">
      <c r="A1027" s="32">
        <v>72167</v>
      </c>
      <c r="B1027" s="14">
        <f>CHOOSE(CONTROL!$C$42, 133.7765, 133.7765) * CHOOSE(CONTROL!$C$21, $C$9, 100%, $E$9)</f>
        <v>133.7765</v>
      </c>
      <c r="C1027" s="14">
        <f>CHOOSE(CONTROL!$C$42, 133.7845, 133.7845) * CHOOSE(CONTROL!$C$21, $C$9, 100%, $E$9)</f>
        <v>133.78450000000001</v>
      </c>
      <c r="D1027" s="14">
        <f>CHOOSE(CONTROL!$C$42, 133.9885, 133.9885) * CHOOSE(CONTROL!$C$21, $C$9, 100%, $E$9)</f>
        <v>133.98849999999999</v>
      </c>
      <c r="E1027" s="14">
        <f>CHOOSE(CONTROL!$C$42, 134.0199, 134.0199) * CHOOSE(CONTROL!$C$21, $C$9, 100%, $E$9)</f>
        <v>134.01990000000001</v>
      </c>
      <c r="F1027" s="14">
        <f>CHOOSE(CONTROL!$C$42, 133.7581, 133.7581)*CHOOSE(CONTROL!$C$21, $C$9, 100%, $E$9)</f>
        <v>133.75810000000001</v>
      </c>
      <c r="G1027" s="14">
        <f>CHOOSE(CONTROL!$C$42, 133.774, 133.774)*CHOOSE(CONTROL!$C$21, $C$9, 100%, $E$9)</f>
        <v>133.774</v>
      </c>
      <c r="H1027" s="14">
        <f>CHOOSE(CONTROL!$C$42, 134.0086, 134.0086) * CHOOSE(CONTROL!$C$21, $C$9, 100%, $E$9)</f>
        <v>134.0086</v>
      </c>
      <c r="I1027" s="14">
        <f>CHOOSE(CONTROL!$C$42, 134.2009, 134.2009)* CHOOSE(CONTROL!$C$21, $C$9, 100%, $E$9)</f>
        <v>134.20089999999999</v>
      </c>
      <c r="J1027" s="14">
        <f>CHOOSE(CONTROL!$C$42, 133.7511, 133.7511)* CHOOSE(CONTROL!$C$21, $C$9, 100%, $E$9)</f>
        <v>133.75110000000001</v>
      </c>
      <c r="K1027" s="53">
        <f>CHOOSE(CONTROL!$C$42, 134.197, 134.197) * CHOOSE(CONTROL!$C$21, $C$9, 100%, $E$9)</f>
        <v>134.197</v>
      </c>
      <c r="L1027" s="14">
        <f>CHOOSE(CONTROL!$C$42, 134.5956, 134.5956) * CHOOSE(CONTROL!$C$21, $C$9, 100%, $E$9)</f>
        <v>134.59559999999999</v>
      </c>
      <c r="M1027" s="14">
        <f>CHOOSE(CONTROL!$C$42, 131.0183, 131.0183) * CHOOSE(CONTROL!$C$21, $C$9, 100%, $E$9)</f>
        <v>131.01830000000001</v>
      </c>
      <c r="N1027" s="14">
        <f>CHOOSE(CONTROL!$C$42, 131.0339, 131.0339) * CHOOSE(CONTROL!$C$21, $C$9, 100%, $E$9)</f>
        <v>131.03389999999999</v>
      </c>
      <c r="O1027" s="14">
        <f>CHOOSE(CONTROL!$C$42, 131.2705, 131.2705) * CHOOSE(CONTROL!$C$21, $C$9, 100%, $E$9)</f>
        <v>131.2705</v>
      </c>
      <c r="P1027" s="14">
        <f>CHOOSE(CONTROL!$C$42, 131.4506, 131.4506) * CHOOSE(CONTROL!$C$21, $C$9, 100%, $E$9)</f>
        <v>131.45060000000001</v>
      </c>
      <c r="Q1027" s="14">
        <f>CHOOSE(CONTROL!$C$42, 131.8652, 131.8652) * CHOOSE(CONTROL!$C$21, $C$9, 100%, $E$9)</f>
        <v>131.86519999999999</v>
      </c>
      <c r="R1027" s="14">
        <f>CHOOSE(CONTROL!$C$42, 132.7819, 132.7819) * CHOOSE(CONTROL!$C$21, $C$9, 100%, $E$9)</f>
        <v>132.78190000000001</v>
      </c>
      <c r="S1027" s="14">
        <f>CHOOSE(CONTROL!$C$42, 128.5352, 128.5352) * CHOOSE(CONTROL!$C$21, $C$9, 100%, $E$9)</f>
        <v>128.5352</v>
      </c>
      <c r="T102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27" s="57">
        <f>(1000*CHOOSE(CONTROL!$C$42, 695, 695)*CHOOSE(CONTROL!$C$42, 0.5599, 0.5599)*CHOOSE(CONTROL!$C$42, 31, 31))/1000000</f>
        <v>12.063045499999998</v>
      </c>
      <c r="V1027" s="57">
        <f>(1000*CHOOSE(CONTROL!$C$42, 500, 500)*CHOOSE(CONTROL!$C$42, 0.275, 0.275)*CHOOSE(CONTROL!$C$42, 31, 31))/1000000</f>
        <v>4.2625000000000002</v>
      </c>
      <c r="W1027" s="57">
        <f>(1000*CHOOSE(CONTROL!$C$42, 0.1146, 0.1146)*CHOOSE(CONTROL!$C$42, 121.5, 121.5)*CHOOSE(CONTROL!$C$42, 31, 31))/1000000</f>
        <v>0.43164089999999994</v>
      </c>
      <c r="X1027" s="57">
        <f>(31*0.1790888*245000/1000000)+(31*0.2374*100000/1000000)</f>
        <v>2.0961194359999999</v>
      </c>
      <c r="Y1027" s="57"/>
      <c r="Z1027" s="14"/>
      <c r="AA1027" s="56"/>
      <c r="AB1027" s="50">
        <f>(B1027*194.205+C1027*267.466+D1027*133.845+E1027*53.484+F1027*40+G1027*185+H1027*0+I1027*100+J1027*300)/(194.205+267.466+133.845+53.484+0+40+185+100+300)</f>
        <v>133.83706073281007</v>
      </c>
      <c r="AC1027" s="45">
        <f>(M1027*'RAP TEMPLATE-GAS AVAILABILITY'!O1026+N1027*'RAP TEMPLATE-GAS AVAILABILITY'!P1026+O1027*'RAP TEMPLATE-GAS AVAILABILITY'!Q1026+P1027*'RAP TEMPLATE-GAS AVAILABILITY'!R1026)/('RAP TEMPLATE-GAS AVAILABILITY'!O1026+'RAP TEMPLATE-GAS AVAILABILITY'!P1026+'RAP TEMPLATE-GAS AVAILABILITY'!Q1026+'RAP TEMPLATE-GAS AVAILABILITY'!R1026)</f>
        <v>131.19570575539569</v>
      </c>
    </row>
    <row r="1028" spans="1:29" ht="15.75" x14ac:dyDescent="0.25">
      <c r="A1028" s="32">
        <v>72198</v>
      </c>
      <c r="B1028" s="14">
        <f>CHOOSE(CONTROL!$C$42, 127.1692, 127.1692) * CHOOSE(CONTROL!$C$21, $C$9, 100%, $E$9)</f>
        <v>127.1692</v>
      </c>
      <c r="C1028" s="14">
        <f>CHOOSE(CONTROL!$C$42, 127.1772, 127.1772) * CHOOSE(CONTROL!$C$21, $C$9, 100%, $E$9)</f>
        <v>127.1772</v>
      </c>
      <c r="D1028" s="14">
        <f>CHOOSE(CONTROL!$C$42, 127.3811, 127.3811) * CHOOSE(CONTROL!$C$21, $C$9, 100%, $E$9)</f>
        <v>127.3811</v>
      </c>
      <c r="E1028" s="14">
        <f>CHOOSE(CONTROL!$C$42, 127.4126, 127.4126) * CHOOSE(CONTROL!$C$21, $C$9, 100%, $E$9)</f>
        <v>127.4126</v>
      </c>
      <c r="F1028" s="14">
        <f>CHOOSE(CONTROL!$C$42, 127.151, 127.151)*CHOOSE(CONTROL!$C$21, $C$9, 100%, $E$9)</f>
        <v>127.151</v>
      </c>
      <c r="G1028" s="14">
        <f>CHOOSE(CONTROL!$C$42, 127.167, 127.167)*CHOOSE(CONTROL!$C$21, $C$9, 100%, $E$9)</f>
        <v>127.167</v>
      </c>
      <c r="H1028" s="14">
        <f>CHOOSE(CONTROL!$C$42, 127.4012, 127.4012) * CHOOSE(CONTROL!$C$21, $C$9, 100%, $E$9)</f>
        <v>127.4012</v>
      </c>
      <c r="I1028" s="14">
        <f>CHOOSE(CONTROL!$C$42, 127.5729, 127.5729)* CHOOSE(CONTROL!$C$21, $C$9, 100%, $E$9)</f>
        <v>127.5729</v>
      </c>
      <c r="J1028" s="14">
        <f>CHOOSE(CONTROL!$C$42, 127.144, 127.144)* CHOOSE(CONTROL!$C$21, $C$9, 100%, $E$9)</f>
        <v>127.14400000000001</v>
      </c>
      <c r="K1028" s="53">
        <f>CHOOSE(CONTROL!$C$42, 127.569, 127.569) * CHOOSE(CONTROL!$C$21, $C$9, 100%, $E$9)</f>
        <v>127.569</v>
      </c>
      <c r="L1028" s="14">
        <f>CHOOSE(CONTROL!$C$42, 127.9882, 127.9882) * CHOOSE(CONTROL!$C$21, $C$9, 100%, $E$9)</f>
        <v>127.98820000000001</v>
      </c>
      <c r="M1028" s="14">
        <f>CHOOSE(CONTROL!$C$42, 124.5466, 124.5466) * CHOOSE(CONTROL!$C$21, $C$9, 100%, $E$9)</f>
        <v>124.5466</v>
      </c>
      <c r="N1028" s="14">
        <f>CHOOSE(CONTROL!$C$42, 124.5622, 124.5622) * CHOOSE(CONTROL!$C$21, $C$9, 100%, $E$9)</f>
        <v>124.5622</v>
      </c>
      <c r="O1028" s="14">
        <f>CHOOSE(CONTROL!$C$42, 124.7985, 124.7985) * CHOOSE(CONTROL!$C$21, $C$9, 100%, $E$9)</f>
        <v>124.7985</v>
      </c>
      <c r="P1028" s="14">
        <f>CHOOSE(CONTROL!$C$42, 124.9587, 124.9587) * CHOOSE(CONTROL!$C$21, $C$9, 100%, $E$9)</f>
        <v>124.95869999999999</v>
      </c>
      <c r="Q1028" s="14">
        <f>CHOOSE(CONTROL!$C$42, 125.3932, 125.3932) * CHOOSE(CONTROL!$C$21, $C$9, 100%, $E$9)</f>
        <v>125.39319999999999</v>
      </c>
      <c r="R1028" s="14">
        <f>CHOOSE(CONTROL!$C$42, 126.2937, 126.2937) * CHOOSE(CONTROL!$C$21, $C$9, 100%, $E$9)</f>
        <v>126.2937</v>
      </c>
      <c r="S1028" s="14">
        <f>CHOOSE(CONTROL!$C$42, 122.1862, 122.1862) * CHOOSE(CONTROL!$C$21, $C$9, 100%, $E$9)</f>
        <v>122.1862</v>
      </c>
      <c r="T102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28" s="57">
        <f>(1000*CHOOSE(CONTROL!$C$42, 695, 695)*CHOOSE(CONTROL!$C$42, 0.5599, 0.5599)*CHOOSE(CONTROL!$C$42, 31, 31))/1000000</f>
        <v>12.063045499999998</v>
      </c>
      <c r="V1028" s="57">
        <f>(1000*CHOOSE(CONTROL!$C$42, 500, 500)*CHOOSE(CONTROL!$C$42, 0.275, 0.275)*CHOOSE(CONTROL!$C$42, 31, 31))/1000000</f>
        <v>4.2625000000000002</v>
      </c>
      <c r="W1028" s="57">
        <f>(1000*CHOOSE(CONTROL!$C$42, 0.1146, 0.1146)*CHOOSE(CONTROL!$C$42, 121.5, 121.5)*CHOOSE(CONTROL!$C$42, 31, 31))/1000000</f>
        <v>0.43164089999999994</v>
      </c>
      <c r="X1028" s="57">
        <f>(31*0.1790888*245000/1000000)+(31*0.2374*100000/1000000)</f>
        <v>2.0961194359999999</v>
      </c>
      <c r="Y1028" s="57"/>
      <c r="Z1028" s="14"/>
      <c r="AA1028" s="56"/>
      <c r="AB1028" s="50">
        <f>(B1028*194.205+C1028*267.466+D1028*133.845+E1028*53.484+F1028*40+G1028*185+H1028*0+I1028*100+J1028*300)/(194.205+267.466+133.845+53.484+0+40+185+100+300)</f>
        <v>127.22822236193092</v>
      </c>
      <c r="AC1028" s="45">
        <f>(M1028*'RAP TEMPLATE-GAS AVAILABILITY'!O1027+N1028*'RAP TEMPLATE-GAS AVAILABILITY'!P1027+O1028*'RAP TEMPLATE-GAS AVAILABILITY'!Q1027+P1028*'RAP TEMPLATE-GAS AVAILABILITY'!R1027)/('RAP TEMPLATE-GAS AVAILABILITY'!O1027+'RAP TEMPLATE-GAS AVAILABILITY'!P1027+'RAP TEMPLATE-GAS AVAILABILITY'!Q1027+'RAP TEMPLATE-GAS AVAILABILITY'!R1027)</f>
        <v>124.72096330935251</v>
      </c>
    </row>
    <row r="1029" spans="1:29" ht="15.75" x14ac:dyDescent="0.25">
      <c r="A1029" s="32">
        <v>72228</v>
      </c>
      <c r="B1029" s="14">
        <f>CHOOSE(CONTROL!$C$42, 119.0958, 119.0958) * CHOOSE(CONTROL!$C$21, $C$9, 100%, $E$9)</f>
        <v>119.0958</v>
      </c>
      <c r="C1029" s="14">
        <f>CHOOSE(CONTROL!$C$42, 119.1039, 119.1039) * CHOOSE(CONTROL!$C$21, $C$9, 100%, $E$9)</f>
        <v>119.1039</v>
      </c>
      <c r="D1029" s="14">
        <f>CHOOSE(CONTROL!$C$42, 119.3078, 119.3078) * CHOOSE(CONTROL!$C$21, $C$9, 100%, $E$9)</f>
        <v>119.3078</v>
      </c>
      <c r="E1029" s="14">
        <f>CHOOSE(CONTROL!$C$42, 119.3393, 119.3393) * CHOOSE(CONTROL!$C$21, $C$9, 100%, $E$9)</f>
        <v>119.33929999999999</v>
      </c>
      <c r="F1029" s="14">
        <f>CHOOSE(CONTROL!$C$42, 119.0777, 119.0777)*CHOOSE(CONTROL!$C$21, $C$9, 100%, $E$9)</f>
        <v>119.07769999999999</v>
      </c>
      <c r="G1029" s="14">
        <f>CHOOSE(CONTROL!$C$42, 119.0937, 119.0937)*CHOOSE(CONTROL!$C$21, $C$9, 100%, $E$9)</f>
        <v>119.0937</v>
      </c>
      <c r="H1029" s="14">
        <f>CHOOSE(CONTROL!$C$42, 119.3279, 119.3279) * CHOOSE(CONTROL!$C$21, $C$9, 100%, $E$9)</f>
        <v>119.3279</v>
      </c>
      <c r="I1029" s="14">
        <f>CHOOSE(CONTROL!$C$42, 119.4743, 119.4743)* CHOOSE(CONTROL!$C$21, $C$9, 100%, $E$9)</f>
        <v>119.4743</v>
      </c>
      <c r="J1029" s="14">
        <f>CHOOSE(CONTROL!$C$42, 119.0707, 119.0707)* CHOOSE(CONTROL!$C$21, $C$9, 100%, $E$9)</f>
        <v>119.0707</v>
      </c>
      <c r="K1029" s="53">
        <f>CHOOSE(CONTROL!$C$42, 119.4704, 119.4704) * CHOOSE(CONTROL!$C$21, $C$9, 100%, $E$9)</f>
        <v>119.4704</v>
      </c>
      <c r="L1029" s="14">
        <f>CHOOSE(CONTROL!$C$42, 119.9149, 119.9149) * CHOOSE(CONTROL!$C$21, $C$9, 100%, $E$9)</f>
        <v>119.9149</v>
      </c>
      <c r="M1029" s="14">
        <f>CHOOSE(CONTROL!$C$42, 116.6387, 116.6387) * CHOOSE(CONTROL!$C$21, $C$9, 100%, $E$9)</f>
        <v>116.6387</v>
      </c>
      <c r="N1029" s="14">
        <f>CHOOSE(CONTROL!$C$42, 116.6544, 116.6544) * CHOOSE(CONTROL!$C$21, $C$9, 100%, $E$9)</f>
        <v>116.6544</v>
      </c>
      <c r="O1029" s="14">
        <f>CHOOSE(CONTROL!$C$42, 116.8906, 116.8906) * CHOOSE(CONTROL!$C$21, $C$9, 100%, $E$9)</f>
        <v>116.89060000000001</v>
      </c>
      <c r="P1029" s="14">
        <f>CHOOSE(CONTROL!$C$42, 117.0266, 117.0266) * CHOOSE(CONTROL!$C$21, $C$9, 100%, $E$9)</f>
        <v>117.0266</v>
      </c>
      <c r="Q1029" s="14">
        <f>CHOOSE(CONTROL!$C$42, 117.4853, 117.4853) * CHOOSE(CONTROL!$C$21, $C$9, 100%, $E$9)</f>
        <v>117.4853</v>
      </c>
      <c r="R1029" s="14">
        <f>CHOOSE(CONTROL!$C$42, 118.366, 118.366) * CHOOSE(CONTROL!$C$21, $C$9, 100%, $E$9)</f>
        <v>118.366</v>
      </c>
      <c r="S1029" s="14">
        <f>CHOOSE(CONTROL!$C$42, 114.4286, 114.4286) * CHOOSE(CONTROL!$C$21, $C$9, 100%, $E$9)</f>
        <v>114.4286</v>
      </c>
      <c r="T102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29" s="57">
        <f>(1000*CHOOSE(CONTROL!$C$42, 695, 695)*CHOOSE(CONTROL!$C$42, 0.5599, 0.5599)*CHOOSE(CONTROL!$C$42, 30, 30))/1000000</f>
        <v>11.673914999999997</v>
      </c>
      <c r="V1029" s="57">
        <f>(1000*CHOOSE(CONTROL!$C$42, 500, 500)*CHOOSE(CONTROL!$C$42, 0.275, 0.275)*CHOOSE(CONTROL!$C$42, 30, 30))/1000000</f>
        <v>4.125</v>
      </c>
      <c r="W1029" s="57">
        <f>(1000*CHOOSE(CONTROL!$C$42, 0.1146, 0.1146)*CHOOSE(CONTROL!$C$42, 121.5, 121.5)*CHOOSE(CONTROL!$C$42, 30, 30))/1000000</f>
        <v>0.417717</v>
      </c>
      <c r="X1029" s="57">
        <f>(30*0.1790888*245000/1000000)+(30*0.2374*100000/1000000)</f>
        <v>2.0285026799999999</v>
      </c>
      <c r="Y1029" s="57"/>
      <c r="Z1029" s="14"/>
      <c r="AA1029" s="56"/>
      <c r="AB1029" s="50">
        <f>(B1029*194.205+C1029*267.466+D1029*133.845+E1029*53.484+F1029*40+G1029*185+H1029*0+I1029*100+J1029*300)/(194.205+267.466+133.845+53.484+0+40+185+100+300)</f>
        <v>119.15292124693875</v>
      </c>
      <c r="AC1029" s="45">
        <f>(M1029*'RAP TEMPLATE-GAS AVAILABILITY'!O1028+N1029*'RAP TEMPLATE-GAS AVAILABILITY'!P1028+O1029*'RAP TEMPLATE-GAS AVAILABILITY'!Q1028+P1029*'RAP TEMPLATE-GAS AVAILABILITY'!R1028)/('RAP TEMPLATE-GAS AVAILABILITY'!O1028+'RAP TEMPLATE-GAS AVAILABILITY'!P1028+'RAP TEMPLATE-GAS AVAILABILITY'!Q1028+'RAP TEMPLATE-GAS AVAILABILITY'!R1028)</f>
        <v>116.80958705035971</v>
      </c>
    </row>
    <row r="1030" spans="1:29" ht="15.75" x14ac:dyDescent="0.25">
      <c r="A1030" s="32">
        <v>72259</v>
      </c>
      <c r="B1030" s="14">
        <f>CHOOSE(CONTROL!$C$42, 116.6762, 116.6762) * CHOOSE(CONTROL!$C$21, $C$9, 100%, $E$9)</f>
        <v>116.67619999999999</v>
      </c>
      <c r="C1030" s="14">
        <f>CHOOSE(CONTROL!$C$42, 116.6815, 116.6815) * CHOOSE(CONTROL!$C$21, $C$9, 100%, $E$9)</f>
        <v>116.6815</v>
      </c>
      <c r="D1030" s="14">
        <f>CHOOSE(CONTROL!$C$42, 116.8904, 116.8904) * CHOOSE(CONTROL!$C$21, $C$9, 100%, $E$9)</f>
        <v>116.8904</v>
      </c>
      <c r="E1030" s="14">
        <f>CHOOSE(CONTROL!$C$42, 116.9195, 116.9195) * CHOOSE(CONTROL!$C$21, $C$9, 100%, $E$9)</f>
        <v>116.9195</v>
      </c>
      <c r="F1030" s="14">
        <f>CHOOSE(CONTROL!$C$42, 116.6602, 116.6602)*CHOOSE(CONTROL!$C$21, $C$9, 100%, $E$9)</f>
        <v>116.6602</v>
      </c>
      <c r="G1030" s="14">
        <f>CHOOSE(CONTROL!$C$42, 116.6758, 116.6758)*CHOOSE(CONTROL!$C$21, $C$9, 100%, $E$9)</f>
        <v>116.6758</v>
      </c>
      <c r="H1030" s="14">
        <f>CHOOSE(CONTROL!$C$42, 116.91, 116.91) * CHOOSE(CONTROL!$C$21, $C$9, 100%, $E$9)</f>
        <v>116.91</v>
      </c>
      <c r="I1030" s="14">
        <f>CHOOSE(CONTROL!$C$42, 117.0488, 117.0488)* CHOOSE(CONTROL!$C$21, $C$9, 100%, $E$9)</f>
        <v>117.0488</v>
      </c>
      <c r="J1030" s="14">
        <f>CHOOSE(CONTROL!$C$42, 116.6532, 116.6532)* CHOOSE(CONTROL!$C$21, $C$9, 100%, $E$9)</f>
        <v>116.6532</v>
      </c>
      <c r="K1030" s="53">
        <f>CHOOSE(CONTROL!$C$42, 117.0449, 117.0449) * CHOOSE(CONTROL!$C$21, $C$9, 100%, $E$9)</f>
        <v>117.0449</v>
      </c>
      <c r="L1030" s="14">
        <f>CHOOSE(CONTROL!$C$42, 117.497, 117.497) * CHOOSE(CONTROL!$C$21, $C$9, 100%, $E$9)</f>
        <v>117.497</v>
      </c>
      <c r="M1030" s="14">
        <f>CHOOSE(CONTROL!$C$42, 114.2707, 114.2707) * CHOOSE(CONTROL!$C$21, $C$9, 100%, $E$9)</f>
        <v>114.27070000000001</v>
      </c>
      <c r="N1030" s="14">
        <f>CHOOSE(CONTROL!$C$42, 114.2861, 114.2861) * CHOOSE(CONTROL!$C$21, $C$9, 100%, $E$9)</f>
        <v>114.2861</v>
      </c>
      <c r="O1030" s="14">
        <f>CHOOSE(CONTROL!$C$42, 114.5223, 114.5223) * CHOOSE(CONTROL!$C$21, $C$9, 100%, $E$9)</f>
        <v>114.5223</v>
      </c>
      <c r="P1030" s="14">
        <f>CHOOSE(CONTROL!$C$42, 114.651, 114.651) * CHOOSE(CONTROL!$C$21, $C$9, 100%, $E$9)</f>
        <v>114.651</v>
      </c>
      <c r="Q1030" s="14">
        <f>CHOOSE(CONTROL!$C$42, 115.117, 115.117) * CHOOSE(CONTROL!$C$21, $C$9, 100%, $E$9)</f>
        <v>115.117</v>
      </c>
      <c r="R1030" s="14">
        <f>CHOOSE(CONTROL!$C$42, 115.9918, 115.9918) * CHOOSE(CONTROL!$C$21, $C$9, 100%, $E$9)</f>
        <v>115.9918</v>
      </c>
      <c r="S1030" s="14">
        <f>CHOOSE(CONTROL!$C$42, 112.1052, 112.1052) * CHOOSE(CONTROL!$C$21, $C$9, 100%, $E$9)</f>
        <v>112.1052</v>
      </c>
      <c r="T103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30" s="57">
        <f>(1000*CHOOSE(CONTROL!$C$42, 695, 695)*CHOOSE(CONTROL!$C$42, 0.5599, 0.5599)*CHOOSE(CONTROL!$C$42, 31, 31))/1000000</f>
        <v>12.063045499999998</v>
      </c>
      <c r="V1030" s="57">
        <f>(1000*CHOOSE(CONTROL!$C$42, 500, 500)*CHOOSE(CONTROL!$C$42, 0.275, 0.275)*CHOOSE(CONTROL!$C$42, 31, 31))/1000000</f>
        <v>4.2625000000000002</v>
      </c>
      <c r="W1030" s="57">
        <f>(1000*CHOOSE(CONTROL!$C$42, 0.1146, 0.1146)*CHOOSE(CONTROL!$C$42, 121.5, 121.5)*CHOOSE(CONTROL!$C$42, 31, 31))/1000000</f>
        <v>0.43164089999999994</v>
      </c>
      <c r="X1030" s="57">
        <f>(31*0.1790888*245000/1000000)+(31*0.2374*100000/1000000)</f>
        <v>2.0961194359999999</v>
      </c>
      <c r="Y1030" s="57"/>
      <c r="Z1030" s="14"/>
      <c r="AA1030" s="56"/>
      <c r="AB1030" s="50">
        <f>(B1030*131.881+C1030*277.167+D1030*79.08+E1030*125.872+F1030*40+G1030*185+H1030*0+I1030*100+J1030*300)/(131.881+277.167+79.08+125.872+0+40+185+100+300)</f>
        <v>116.73970167772397</v>
      </c>
      <c r="AC1030" s="45">
        <f>(M1030*'RAP TEMPLATE-GAS AVAILABILITY'!O1029+N1030*'RAP TEMPLATE-GAS AVAILABILITY'!P1029+O1030*'RAP TEMPLATE-GAS AVAILABILITY'!Q1029+P1030*'RAP TEMPLATE-GAS AVAILABILITY'!R1029)/('RAP TEMPLATE-GAS AVAILABILITY'!O1029+'RAP TEMPLATE-GAS AVAILABILITY'!P1029+'RAP TEMPLATE-GAS AVAILABILITY'!Q1029+'RAP TEMPLATE-GAS AVAILABILITY'!R1029)</f>
        <v>114.44034028776979</v>
      </c>
    </row>
    <row r="1031" spans="1:29" ht="15.75" x14ac:dyDescent="0.25">
      <c r="A1031" s="32">
        <v>72289</v>
      </c>
      <c r="B1031" s="14">
        <f>CHOOSE(CONTROL!$C$42, 119.7493, 119.7493) * CHOOSE(CONTROL!$C$21, $C$9, 100%, $E$9)</f>
        <v>119.74930000000001</v>
      </c>
      <c r="C1031" s="14">
        <f>CHOOSE(CONTROL!$C$42, 119.7544, 119.7544) * CHOOSE(CONTROL!$C$21, $C$9, 100%, $E$9)</f>
        <v>119.7544</v>
      </c>
      <c r="D1031" s="14">
        <f>CHOOSE(CONTROL!$C$42, 119.8182, 119.8182) * CHOOSE(CONTROL!$C$21, $C$9, 100%, $E$9)</f>
        <v>119.8182</v>
      </c>
      <c r="E1031" s="14">
        <f>CHOOSE(CONTROL!$C$42, 119.8523, 119.8523) * CHOOSE(CONTROL!$C$21, $C$9, 100%, $E$9)</f>
        <v>119.8523</v>
      </c>
      <c r="F1031" s="14">
        <f>CHOOSE(CONTROL!$C$42, 119.7517, 119.7517)*CHOOSE(CONTROL!$C$21, $C$9, 100%, $E$9)</f>
        <v>119.7517</v>
      </c>
      <c r="G1031" s="14">
        <f>CHOOSE(CONTROL!$C$42, 119.7677, 119.7677)*CHOOSE(CONTROL!$C$21, $C$9, 100%, $E$9)</f>
        <v>119.7677</v>
      </c>
      <c r="H1031" s="14">
        <f>CHOOSE(CONTROL!$C$42, 119.8415, 119.8415) * CHOOSE(CONTROL!$C$21, $C$9, 100%, $E$9)</f>
        <v>119.8415</v>
      </c>
      <c r="I1031" s="14">
        <f>CHOOSE(CONTROL!$C$42, 120.1372, 120.1372)* CHOOSE(CONTROL!$C$21, $C$9, 100%, $E$9)</f>
        <v>120.13720000000001</v>
      </c>
      <c r="J1031" s="14">
        <f>CHOOSE(CONTROL!$C$42, 119.7447, 119.7447)* CHOOSE(CONTROL!$C$21, $C$9, 100%, $E$9)</f>
        <v>119.74469999999999</v>
      </c>
      <c r="K1031" s="53">
        <f>CHOOSE(CONTROL!$C$42, 120.1333, 120.1333) * CHOOSE(CONTROL!$C$21, $C$9, 100%, $E$9)</f>
        <v>120.13330000000001</v>
      </c>
      <c r="L1031" s="14">
        <f>CHOOSE(CONTROL!$C$42, 120.4285, 120.4285) * CHOOSE(CONTROL!$C$21, $C$9, 100%, $E$9)</f>
        <v>120.4285</v>
      </c>
      <c r="M1031" s="14">
        <f>CHOOSE(CONTROL!$C$42, 117.2989, 117.2989) * CHOOSE(CONTROL!$C$21, $C$9, 100%, $E$9)</f>
        <v>117.2989</v>
      </c>
      <c r="N1031" s="14">
        <f>CHOOSE(CONTROL!$C$42, 117.3146, 117.3146) * CHOOSE(CONTROL!$C$21, $C$9, 100%, $E$9)</f>
        <v>117.3146</v>
      </c>
      <c r="O1031" s="14">
        <f>CHOOSE(CONTROL!$C$42, 117.3937, 117.3937) * CHOOSE(CONTROL!$C$21, $C$9, 100%, $E$9)</f>
        <v>117.3937</v>
      </c>
      <c r="P1031" s="14">
        <f>CHOOSE(CONTROL!$C$42, 117.6759, 117.6759) * CHOOSE(CONTROL!$C$21, $C$9, 100%, $E$9)</f>
        <v>117.6759</v>
      </c>
      <c r="Q1031" s="14">
        <f>CHOOSE(CONTROL!$C$42, 117.9884, 117.9884) * CHOOSE(CONTROL!$C$21, $C$9, 100%, $E$9)</f>
        <v>117.9884</v>
      </c>
      <c r="R1031" s="14">
        <f>CHOOSE(CONTROL!$C$42, 118.8704, 118.8704) * CHOOSE(CONTROL!$C$21, $C$9, 100%, $E$9)</f>
        <v>118.8704</v>
      </c>
      <c r="S1031" s="14">
        <f>CHOOSE(CONTROL!$C$42, 115.0586, 115.0586) * CHOOSE(CONTROL!$C$21, $C$9, 100%, $E$9)</f>
        <v>115.0586</v>
      </c>
      <c r="T103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31" s="57">
        <f>(1000*CHOOSE(CONTROL!$C$42, 695, 695)*CHOOSE(CONTROL!$C$42, 0.5599, 0.5599)*CHOOSE(CONTROL!$C$42, 30, 30))/1000000</f>
        <v>11.673914999999997</v>
      </c>
      <c r="V1031" s="57">
        <f>(1000*CHOOSE(CONTROL!$C$42, 500, 500)*CHOOSE(CONTROL!$C$42, 0.275, 0.275)*CHOOSE(CONTROL!$C$42, 30, 30))/1000000</f>
        <v>4.125</v>
      </c>
      <c r="W1031" s="57">
        <f>(1000*CHOOSE(CONTROL!$C$42, 0.1146, 0.1146)*CHOOSE(CONTROL!$C$42, 121.5, 121.5)*CHOOSE(CONTROL!$C$42, 30, 30))/1000000</f>
        <v>0.417717</v>
      </c>
      <c r="X1031" s="57">
        <f>(30*0.1790888*100000/1000000)+(30*0.2374*100000/1000000)</f>
        <v>1.2494664</v>
      </c>
      <c r="Y1031" s="57"/>
      <c r="Z1031" s="14"/>
      <c r="AA1031" s="56"/>
      <c r="AB1031" s="50">
        <f>(B1031*122.58+C1031*297.941+D1031*89.177+E1031*40.302+F1031*40+G1031*160+H1031*0+I1031*100+J1031*300)/(122.58+297.941+89.177+40.302+0+40+160+100+300)</f>
        <v>119.79474773947828</v>
      </c>
      <c r="AC1031" s="45">
        <f>(M1031*'RAP TEMPLATE-GAS AVAILABILITY'!O1030+N1031*'RAP TEMPLATE-GAS AVAILABILITY'!P1030+O1031*'RAP TEMPLATE-GAS AVAILABILITY'!Q1030+P1031*'RAP TEMPLATE-GAS AVAILABILITY'!R1030)/('RAP TEMPLATE-GAS AVAILABILITY'!O1030+'RAP TEMPLATE-GAS AVAILABILITY'!P1030+'RAP TEMPLATE-GAS AVAILABILITY'!Q1030+'RAP TEMPLATE-GAS AVAILABILITY'!R1030)</f>
        <v>117.39701510791366</v>
      </c>
    </row>
    <row r="1032" spans="1:29" ht="15.75" x14ac:dyDescent="0.25">
      <c r="A1032" s="32">
        <v>72320</v>
      </c>
      <c r="B1032" s="14">
        <f>CHOOSE(CONTROL!$C$42, 127.9131, 127.9131) * CHOOSE(CONTROL!$C$21, $C$9, 100%, $E$9)</f>
        <v>127.9131</v>
      </c>
      <c r="C1032" s="14">
        <f>CHOOSE(CONTROL!$C$42, 127.9182, 127.9182) * CHOOSE(CONTROL!$C$21, $C$9, 100%, $E$9)</f>
        <v>127.9182</v>
      </c>
      <c r="D1032" s="14">
        <f>CHOOSE(CONTROL!$C$42, 127.982, 127.982) * CHOOSE(CONTROL!$C$21, $C$9, 100%, $E$9)</f>
        <v>127.982</v>
      </c>
      <c r="E1032" s="14">
        <f>CHOOSE(CONTROL!$C$42, 128.0161, 128.0161) * CHOOSE(CONTROL!$C$21, $C$9, 100%, $E$9)</f>
        <v>128.01609999999999</v>
      </c>
      <c r="F1032" s="14">
        <f>CHOOSE(CONTROL!$C$42, 127.9178, 127.9178)*CHOOSE(CONTROL!$C$21, $C$9, 100%, $E$9)</f>
        <v>127.9178</v>
      </c>
      <c r="G1032" s="14">
        <f>CHOOSE(CONTROL!$C$42, 127.9344, 127.9344)*CHOOSE(CONTROL!$C$21, $C$9, 100%, $E$9)</f>
        <v>127.9344</v>
      </c>
      <c r="H1032" s="14">
        <f>CHOOSE(CONTROL!$C$42, 128.0053, 128.0053) * CHOOSE(CONTROL!$C$21, $C$9, 100%, $E$9)</f>
        <v>128.00530000000001</v>
      </c>
      <c r="I1032" s="14">
        <f>CHOOSE(CONTROL!$C$42, 128.3266, 128.3266)* CHOOSE(CONTROL!$C$21, $C$9, 100%, $E$9)</f>
        <v>128.32660000000001</v>
      </c>
      <c r="J1032" s="14">
        <f>CHOOSE(CONTROL!$C$42, 127.9108, 127.9108)* CHOOSE(CONTROL!$C$21, $C$9, 100%, $E$9)</f>
        <v>127.91079999999999</v>
      </c>
      <c r="K1032" s="53">
        <f>CHOOSE(CONTROL!$C$42, 128.3227, 128.3227) * CHOOSE(CONTROL!$C$21, $C$9, 100%, $E$9)</f>
        <v>128.3227</v>
      </c>
      <c r="L1032" s="14">
        <f>CHOOSE(CONTROL!$C$42, 128.5923, 128.5923) * CHOOSE(CONTROL!$C$21, $C$9, 100%, $E$9)</f>
        <v>128.59229999999999</v>
      </c>
      <c r="M1032" s="14">
        <f>CHOOSE(CONTROL!$C$42, 125.2976, 125.2976) * CHOOSE(CONTROL!$C$21, $C$9, 100%, $E$9)</f>
        <v>125.2976</v>
      </c>
      <c r="N1032" s="14">
        <f>CHOOSE(CONTROL!$C$42, 125.3139, 125.3139) * CHOOSE(CONTROL!$C$21, $C$9, 100%, $E$9)</f>
        <v>125.3139</v>
      </c>
      <c r="O1032" s="14">
        <f>CHOOSE(CONTROL!$C$42, 125.3902, 125.3902) * CHOOSE(CONTROL!$C$21, $C$9, 100%, $E$9)</f>
        <v>125.39019999999999</v>
      </c>
      <c r="P1032" s="14">
        <f>CHOOSE(CONTROL!$C$42, 125.6969, 125.6969) * CHOOSE(CONTROL!$C$21, $C$9, 100%, $E$9)</f>
        <v>125.6969</v>
      </c>
      <c r="Q1032" s="14">
        <f>CHOOSE(CONTROL!$C$42, 125.9849, 125.9849) * CHOOSE(CONTROL!$C$21, $C$9, 100%, $E$9)</f>
        <v>125.9849</v>
      </c>
      <c r="R1032" s="14">
        <f>CHOOSE(CONTROL!$C$42, 126.8869, 126.8869) * CHOOSE(CONTROL!$C$21, $C$9, 100%, $E$9)</f>
        <v>126.8869</v>
      </c>
      <c r="S1032" s="14">
        <f>CHOOSE(CONTROL!$C$42, 122.9032, 122.9032) * CHOOSE(CONTROL!$C$21, $C$9, 100%, $E$9)</f>
        <v>122.9032</v>
      </c>
      <c r="T103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32" s="57">
        <f>(1000*CHOOSE(CONTROL!$C$42, 695, 695)*CHOOSE(CONTROL!$C$42, 0.5599, 0.5599)*CHOOSE(CONTROL!$C$42, 31, 31))/1000000</f>
        <v>12.063045499999998</v>
      </c>
      <c r="V1032" s="57">
        <f>(1000*CHOOSE(CONTROL!$C$42, 500, 500)*CHOOSE(CONTROL!$C$42, 0.275, 0.275)*CHOOSE(CONTROL!$C$42, 31, 31))/1000000</f>
        <v>4.2625000000000002</v>
      </c>
      <c r="W1032" s="57">
        <f>(1000*CHOOSE(CONTROL!$C$42, 0.1146, 0.1146)*CHOOSE(CONTROL!$C$42, 121.5, 121.5)*CHOOSE(CONTROL!$C$42, 31, 31))/1000000</f>
        <v>0.43164089999999994</v>
      </c>
      <c r="X1032" s="57">
        <f>(31*0.1790888*100000/1000000)+(31*0.2374*100000/1000000)</f>
        <v>1.2911152800000001</v>
      </c>
      <c r="Y1032" s="57"/>
      <c r="Z1032" s="14"/>
      <c r="AA1032" s="56"/>
      <c r="AB1032" s="50">
        <f>(B1032*122.58+C1032*297.941+D1032*89.177+E1032*40.302+F1032*40+G1032*160+H1032*0+I1032*100+J1032*300)/(122.58+297.941+89.177+40.302+0+40+160+100+300)</f>
        <v>127.96185730469566</v>
      </c>
      <c r="AC1032" s="45">
        <f>(M1032*'RAP TEMPLATE-GAS AVAILABILITY'!O1031+N1032*'RAP TEMPLATE-GAS AVAILABILITY'!P1031+O1032*'RAP TEMPLATE-GAS AVAILABILITY'!Q1031+P1032*'RAP TEMPLATE-GAS AVAILABILITY'!R1031)/('RAP TEMPLATE-GAS AVAILABILITY'!O1031+'RAP TEMPLATE-GAS AVAILABILITY'!P1031+'RAP TEMPLATE-GAS AVAILABILITY'!Q1031+'RAP TEMPLATE-GAS AVAILABILITY'!R1031)</f>
        <v>125.39796115107913</v>
      </c>
    </row>
    <row r="1033" spans="1:29" ht="15.75" x14ac:dyDescent="0.25">
      <c r="A1033" s="32">
        <v>72351</v>
      </c>
      <c r="B1033" s="14">
        <f>CHOOSE(CONTROL!$C$42, 138.3902, 138.3902) * CHOOSE(CONTROL!$C$21, $C$9, 100%, $E$9)</f>
        <v>138.39019999999999</v>
      </c>
      <c r="C1033" s="14">
        <f>CHOOSE(CONTROL!$C$42, 138.3953, 138.3953) * CHOOSE(CONTROL!$C$21, $C$9, 100%, $E$9)</f>
        <v>138.39529999999999</v>
      </c>
      <c r="D1033" s="14">
        <f>CHOOSE(CONTROL!$C$42, 138.4617, 138.4617) * CHOOSE(CONTROL!$C$21, $C$9, 100%, $E$9)</f>
        <v>138.46170000000001</v>
      </c>
      <c r="E1033" s="14">
        <f>CHOOSE(CONTROL!$C$42, 138.4958, 138.4958) * CHOOSE(CONTROL!$C$21, $C$9, 100%, $E$9)</f>
        <v>138.4958</v>
      </c>
      <c r="F1033" s="14">
        <f>CHOOSE(CONTROL!$C$42, 138.3775, 138.3775)*CHOOSE(CONTROL!$C$21, $C$9, 100%, $E$9)</f>
        <v>138.3775</v>
      </c>
      <c r="G1033" s="14">
        <f>CHOOSE(CONTROL!$C$42, 138.393, 138.393)*CHOOSE(CONTROL!$C$21, $C$9, 100%, $E$9)</f>
        <v>138.393</v>
      </c>
      <c r="H1033" s="14">
        <f>CHOOSE(CONTROL!$C$42, 138.485, 138.485) * CHOOSE(CONTROL!$C$21, $C$9, 100%, $E$9)</f>
        <v>138.48500000000001</v>
      </c>
      <c r="I1033" s="14">
        <f>CHOOSE(CONTROL!$C$42, 138.8312, 138.8312)* CHOOSE(CONTROL!$C$21, $C$9, 100%, $E$9)</f>
        <v>138.8312</v>
      </c>
      <c r="J1033" s="14">
        <f>CHOOSE(CONTROL!$C$42, 138.3705, 138.3705)* CHOOSE(CONTROL!$C$21, $C$9, 100%, $E$9)</f>
        <v>138.37049999999999</v>
      </c>
      <c r="K1033" s="53">
        <f>CHOOSE(CONTROL!$C$42, 138.8274, 138.8274) * CHOOSE(CONTROL!$C$21, $C$9, 100%, $E$9)</f>
        <v>138.82740000000001</v>
      </c>
      <c r="L1033" s="14">
        <f>CHOOSE(CONTROL!$C$42, 139.072, 139.072) * CHOOSE(CONTROL!$C$21, $C$9, 100%, $E$9)</f>
        <v>139.072</v>
      </c>
      <c r="M1033" s="14">
        <f>CHOOSE(CONTROL!$C$42, 135.5431, 135.5431) * CHOOSE(CONTROL!$C$21, $C$9, 100%, $E$9)</f>
        <v>135.54310000000001</v>
      </c>
      <c r="N1033" s="14">
        <f>CHOOSE(CONTROL!$C$42, 135.5583, 135.5583) * CHOOSE(CONTROL!$C$21, $C$9, 100%, $E$9)</f>
        <v>135.5583</v>
      </c>
      <c r="O1033" s="14">
        <f>CHOOSE(CONTROL!$C$42, 135.6552, 135.6552) * CHOOSE(CONTROL!$C$21, $C$9, 100%, $E$9)</f>
        <v>135.65520000000001</v>
      </c>
      <c r="P1033" s="14">
        <f>CHOOSE(CONTROL!$C$42, 135.9857, 135.9857) * CHOOSE(CONTROL!$C$21, $C$9, 100%, $E$9)</f>
        <v>135.98570000000001</v>
      </c>
      <c r="Q1033" s="14">
        <f>CHOOSE(CONTROL!$C$42, 136.2499, 136.2499) * CHOOSE(CONTROL!$C$21, $C$9, 100%, $E$9)</f>
        <v>136.2499</v>
      </c>
      <c r="R1033" s="14">
        <f>CHOOSE(CONTROL!$C$42, 137.1775, 137.1775) * CHOOSE(CONTROL!$C$21, $C$9, 100%, $E$9)</f>
        <v>137.17750000000001</v>
      </c>
      <c r="S1033" s="14">
        <f>CHOOSE(CONTROL!$C$42, 132.9706, 132.9706) * CHOOSE(CONTROL!$C$21, $C$9, 100%, $E$9)</f>
        <v>132.97059999999999</v>
      </c>
      <c r="T103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33" s="57">
        <f>(1000*CHOOSE(CONTROL!$C$42, 695, 695)*CHOOSE(CONTROL!$C$42, 0.5599, 0.5599)*CHOOSE(CONTROL!$C$42, 31, 31))/1000000</f>
        <v>12.063045499999998</v>
      </c>
      <c r="V1033" s="57">
        <f>(1000*CHOOSE(CONTROL!$C$42, 500, 500)*CHOOSE(CONTROL!$C$42, 0.275, 0.275)*CHOOSE(CONTROL!$C$42, 31, 31))/1000000</f>
        <v>4.2625000000000002</v>
      </c>
      <c r="W1033" s="57">
        <f>(1000*CHOOSE(CONTROL!$C$42, 0.1146, 0.1146)*CHOOSE(CONTROL!$C$42, 121.5, 121.5)*CHOOSE(CONTROL!$C$42, 31, 31))/1000000</f>
        <v>0.43164089999999994</v>
      </c>
      <c r="X1033" s="57">
        <f>(31*0.1790888*100000/1000000)+(31*0.2374*100000/1000000)</f>
        <v>1.2911152800000001</v>
      </c>
      <c r="Y1033" s="57"/>
      <c r="Z1033" s="14"/>
      <c r="AA1033" s="56"/>
      <c r="AB1033" s="50">
        <f>(B1033*122.58+C1033*297.941+D1033*89.177+E1033*40.302+F1033*40+G1033*160+H1033*0+I1033*100+J1033*300)/(122.58+297.941+89.177+40.302+0+40+160+100+300)</f>
        <v>138.43392308330436</v>
      </c>
      <c r="AC1033" s="45">
        <f>(M1033*'RAP TEMPLATE-GAS AVAILABILITY'!O1032+N1033*'RAP TEMPLATE-GAS AVAILABILITY'!P1032+O1033*'RAP TEMPLATE-GAS AVAILABILITY'!Q1032+P1033*'RAP TEMPLATE-GAS AVAILABILITY'!R1032)/('RAP TEMPLATE-GAS AVAILABILITY'!O1032+'RAP TEMPLATE-GAS AVAILABILITY'!P1032+'RAP TEMPLATE-GAS AVAILABILITY'!Q1032+'RAP TEMPLATE-GAS AVAILABILITY'!R1032)</f>
        <v>135.65846618705038</v>
      </c>
    </row>
    <row r="1034" spans="1:29" ht="15.75" x14ac:dyDescent="0.25">
      <c r="A1034" s="32">
        <v>72379</v>
      </c>
      <c r="B1034" s="14">
        <f>CHOOSE(CONTROL!$C$42, 140.8536, 140.8536) * CHOOSE(CONTROL!$C$21, $C$9, 100%, $E$9)</f>
        <v>140.8536</v>
      </c>
      <c r="C1034" s="14">
        <f>CHOOSE(CONTROL!$C$42, 140.8587, 140.8587) * CHOOSE(CONTROL!$C$21, $C$9, 100%, $E$9)</f>
        <v>140.8587</v>
      </c>
      <c r="D1034" s="14">
        <f>CHOOSE(CONTROL!$C$42, 140.9251, 140.9251) * CHOOSE(CONTROL!$C$21, $C$9, 100%, $E$9)</f>
        <v>140.92509999999999</v>
      </c>
      <c r="E1034" s="14">
        <f>CHOOSE(CONTROL!$C$42, 140.9592, 140.9592) * CHOOSE(CONTROL!$C$21, $C$9, 100%, $E$9)</f>
        <v>140.95920000000001</v>
      </c>
      <c r="F1034" s="14">
        <f>CHOOSE(CONTROL!$C$42, 140.841, 140.841)*CHOOSE(CONTROL!$C$21, $C$9, 100%, $E$9)</f>
        <v>140.84100000000001</v>
      </c>
      <c r="G1034" s="14">
        <f>CHOOSE(CONTROL!$C$42, 140.8565, 140.8565)*CHOOSE(CONTROL!$C$21, $C$9, 100%, $E$9)</f>
        <v>140.85650000000001</v>
      </c>
      <c r="H1034" s="14">
        <f>CHOOSE(CONTROL!$C$42, 140.9484, 140.9484) * CHOOSE(CONTROL!$C$21, $C$9, 100%, $E$9)</f>
        <v>140.94839999999999</v>
      </c>
      <c r="I1034" s="14">
        <f>CHOOSE(CONTROL!$C$42, 141.3023, 141.3023)* CHOOSE(CONTROL!$C$21, $C$9, 100%, $E$9)</f>
        <v>141.3023</v>
      </c>
      <c r="J1034" s="14">
        <f>CHOOSE(CONTROL!$C$42, 140.834, 140.834)* CHOOSE(CONTROL!$C$21, $C$9, 100%, $E$9)</f>
        <v>140.834</v>
      </c>
      <c r="K1034" s="53">
        <f>CHOOSE(CONTROL!$C$42, 141.2985, 141.2985) * CHOOSE(CONTROL!$C$21, $C$9, 100%, $E$9)</f>
        <v>141.29849999999999</v>
      </c>
      <c r="L1034" s="14">
        <f>CHOOSE(CONTROL!$C$42, 141.5354, 141.5354) * CHOOSE(CONTROL!$C$21, $C$9, 100%, $E$9)</f>
        <v>141.53540000000001</v>
      </c>
      <c r="M1034" s="14">
        <f>CHOOSE(CONTROL!$C$42, 137.9561, 137.9561) * CHOOSE(CONTROL!$C$21, $C$9, 100%, $E$9)</f>
        <v>137.95609999999999</v>
      </c>
      <c r="N1034" s="14">
        <f>CHOOSE(CONTROL!$C$42, 137.9713, 137.9713) * CHOOSE(CONTROL!$C$21, $C$9, 100%, $E$9)</f>
        <v>137.97130000000001</v>
      </c>
      <c r="O1034" s="14">
        <f>CHOOSE(CONTROL!$C$42, 138.0681, 138.0681) * CHOOSE(CONTROL!$C$21, $C$9, 100%, $E$9)</f>
        <v>138.06809999999999</v>
      </c>
      <c r="P1034" s="14">
        <f>CHOOSE(CONTROL!$C$42, 138.406, 138.406) * CHOOSE(CONTROL!$C$21, $C$9, 100%, $E$9)</f>
        <v>138.40600000000001</v>
      </c>
      <c r="Q1034" s="14">
        <f>CHOOSE(CONTROL!$C$42, 138.6628, 138.6628) * CHOOSE(CONTROL!$C$21, $C$9, 100%, $E$9)</f>
        <v>138.6628</v>
      </c>
      <c r="R1034" s="14">
        <f>CHOOSE(CONTROL!$C$42, 139.5965, 139.5965) * CHOOSE(CONTROL!$C$21, $C$9, 100%, $E$9)</f>
        <v>139.59649999999999</v>
      </c>
      <c r="S1034" s="14">
        <f>CHOOSE(CONTROL!$C$42, 135.3377, 135.3377) * CHOOSE(CONTROL!$C$21, $C$9, 100%, $E$9)</f>
        <v>135.33770000000001</v>
      </c>
      <c r="T103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34" s="57">
        <f>(1000*CHOOSE(CONTROL!$C$42, 695, 695)*CHOOSE(CONTROL!$C$42, 0.5599, 0.5599)*CHOOSE(CONTROL!$C$42, 28, 28))/1000000</f>
        <v>10.895653999999999</v>
      </c>
      <c r="V1034" s="57">
        <f>(1000*CHOOSE(CONTROL!$C$42, 500, 500)*CHOOSE(CONTROL!$C$42, 0.275, 0.275)*CHOOSE(CONTROL!$C$42, 28, 28))/1000000</f>
        <v>3.85</v>
      </c>
      <c r="W1034" s="57">
        <f>(1000*CHOOSE(CONTROL!$C$42, 0.1146, 0.1146)*CHOOSE(CONTROL!$C$42, 121.5, 121.5)*CHOOSE(CONTROL!$C$42, 28, 28))/1000000</f>
        <v>0.38986920000000003</v>
      </c>
      <c r="X1034" s="57">
        <f>(28*0.1790888*100000/1000000)+(28*0.2374*100000/1000000)</f>
        <v>1.16616864</v>
      </c>
      <c r="Y1034" s="57"/>
      <c r="Z1034" s="14"/>
      <c r="AA1034" s="56"/>
      <c r="AB1034" s="50">
        <f>(B1034*122.58+C1034*297.941+D1034*89.177+E1034*40.302+F1034*40+G1034*160+H1034*0+I1034*100+J1034*300)/(122.58+297.941+89.177+40.302+0+40+160+100+300)</f>
        <v>140.89803612678261</v>
      </c>
      <c r="AC1034" s="45">
        <f>(M1034*'RAP TEMPLATE-GAS AVAILABILITY'!O1033+N1034*'RAP TEMPLATE-GAS AVAILABILITY'!P1033+O1034*'RAP TEMPLATE-GAS AVAILABILITY'!Q1033+P1034*'RAP TEMPLATE-GAS AVAILABILITY'!R1033)/('RAP TEMPLATE-GAS AVAILABILITY'!O1033+'RAP TEMPLATE-GAS AVAILABILITY'!P1033+'RAP TEMPLATE-GAS AVAILABILITY'!Q1033+'RAP TEMPLATE-GAS AVAILABILITY'!R1033)</f>
        <v>138.07247122302158</v>
      </c>
    </row>
    <row r="1035" spans="1:29" ht="15.75" x14ac:dyDescent="0.25">
      <c r="A1035" s="32">
        <v>72410</v>
      </c>
      <c r="B1035" s="14">
        <f>CHOOSE(CONTROL!$C$42, 136.8549, 136.8549) * CHOOSE(CONTROL!$C$21, $C$9, 100%, $E$9)</f>
        <v>136.85489999999999</v>
      </c>
      <c r="C1035" s="14">
        <f>CHOOSE(CONTROL!$C$42, 136.86, 136.86) * CHOOSE(CONTROL!$C$21, $C$9, 100%, $E$9)</f>
        <v>136.86000000000001</v>
      </c>
      <c r="D1035" s="14">
        <f>CHOOSE(CONTROL!$C$42, 136.9264, 136.9264) * CHOOSE(CONTROL!$C$21, $C$9, 100%, $E$9)</f>
        <v>136.9264</v>
      </c>
      <c r="E1035" s="14">
        <f>CHOOSE(CONTROL!$C$42, 136.9605, 136.9605) * CHOOSE(CONTROL!$C$21, $C$9, 100%, $E$9)</f>
        <v>136.9605</v>
      </c>
      <c r="F1035" s="14">
        <f>CHOOSE(CONTROL!$C$42, 136.8419, 136.8419)*CHOOSE(CONTROL!$C$21, $C$9, 100%, $E$9)</f>
        <v>136.84190000000001</v>
      </c>
      <c r="G1035" s="14">
        <f>CHOOSE(CONTROL!$C$42, 136.8573, 136.8573)*CHOOSE(CONTROL!$C$21, $C$9, 100%, $E$9)</f>
        <v>136.85730000000001</v>
      </c>
      <c r="H1035" s="14">
        <f>CHOOSE(CONTROL!$C$42, 136.9497, 136.9497) * CHOOSE(CONTROL!$C$21, $C$9, 100%, $E$9)</f>
        <v>136.94970000000001</v>
      </c>
      <c r="I1035" s="14">
        <f>CHOOSE(CONTROL!$C$42, 137.2912, 137.2912)* CHOOSE(CONTROL!$C$21, $C$9, 100%, $E$9)</f>
        <v>137.2912</v>
      </c>
      <c r="J1035" s="14">
        <f>CHOOSE(CONTROL!$C$42, 136.8349, 136.8349)* CHOOSE(CONTROL!$C$21, $C$9, 100%, $E$9)</f>
        <v>136.8349</v>
      </c>
      <c r="K1035" s="53">
        <f>CHOOSE(CONTROL!$C$42, 137.2873, 137.2873) * CHOOSE(CONTROL!$C$21, $C$9, 100%, $E$9)</f>
        <v>137.28729999999999</v>
      </c>
      <c r="L1035" s="14">
        <f>CHOOSE(CONTROL!$C$42, 137.5367, 137.5367) * CHOOSE(CONTROL!$C$21, $C$9, 100%, $E$9)</f>
        <v>137.5367</v>
      </c>
      <c r="M1035" s="14">
        <f>CHOOSE(CONTROL!$C$42, 134.039, 134.039) * CHOOSE(CONTROL!$C$21, $C$9, 100%, $E$9)</f>
        <v>134.03899999999999</v>
      </c>
      <c r="N1035" s="14">
        <f>CHOOSE(CONTROL!$C$42, 134.054, 134.054) * CHOOSE(CONTROL!$C$21, $C$9, 100%, $E$9)</f>
        <v>134.054</v>
      </c>
      <c r="O1035" s="14">
        <f>CHOOSE(CONTROL!$C$42, 134.1514, 134.1514) * CHOOSE(CONTROL!$C$21, $C$9, 100%, $E$9)</f>
        <v>134.1514</v>
      </c>
      <c r="P1035" s="14">
        <f>CHOOSE(CONTROL!$C$42, 134.4773, 134.4773) * CHOOSE(CONTROL!$C$21, $C$9, 100%, $E$9)</f>
        <v>134.47730000000001</v>
      </c>
      <c r="Q1035" s="14">
        <f>CHOOSE(CONTROL!$C$42, 134.7461, 134.7461) * CHOOSE(CONTROL!$C$21, $C$9, 100%, $E$9)</f>
        <v>134.74610000000001</v>
      </c>
      <c r="R1035" s="14">
        <f>CHOOSE(CONTROL!$C$42, 135.67, 135.67) * CHOOSE(CONTROL!$C$21, $C$9, 100%, $E$9)</f>
        <v>135.66999999999999</v>
      </c>
      <c r="S1035" s="14">
        <f>CHOOSE(CONTROL!$C$42, 131.4954, 131.4954) * CHOOSE(CONTROL!$C$21, $C$9, 100%, $E$9)</f>
        <v>131.49539999999999</v>
      </c>
      <c r="T103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35" s="57">
        <f>(1000*CHOOSE(CONTROL!$C$42, 695, 695)*CHOOSE(CONTROL!$C$42, 0.5599, 0.5599)*CHOOSE(CONTROL!$C$42, 31, 31))/1000000</f>
        <v>12.063045499999998</v>
      </c>
      <c r="V1035" s="57">
        <f>(1000*CHOOSE(CONTROL!$C$42, 500, 500)*CHOOSE(CONTROL!$C$42, 0.275, 0.275)*CHOOSE(CONTROL!$C$42, 31, 31))/1000000</f>
        <v>4.2625000000000002</v>
      </c>
      <c r="W1035" s="57">
        <f>(1000*CHOOSE(CONTROL!$C$42, 0.1146, 0.1146)*CHOOSE(CONTROL!$C$42, 121.5, 121.5)*CHOOSE(CONTROL!$C$42, 31, 31))/1000000</f>
        <v>0.43164089999999994</v>
      </c>
      <c r="X1035" s="57">
        <f>(31*0.1790888*100000/1000000)+(31*0.2374*100000/1000000)</f>
        <v>1.2911152800000001</v>
      </c>
      <c r="Y1035" s="57"/>
      <c r="Z1035" s="14"/>
      <c r="AA1035" s="56"/>
      <c r="AB1035" s="50">
        <f>(B1035*122.58+C1035*297.941+D1035*89.177+E1035*40.302+F1035*40+G1035*160+H1035*0+I1035*100+J1035*300)/(122.58+297.941+89.177+40.302+0+40+160+100+300)</f>
        <v>136.89807003982608</v>
      </c>
      <c r="AC1035" s="45">
        <f>(M1035*'RAP TEMPLATE-GAS AVAILABILITY'!O1034+N1035*'RAP TEMPLATE-GAS AVAILABILITY'!P1034+O1035*'RAP TEMPLATE-GAS AVAILABILITY'!Q1034+P1035*'RAP TEMPLATE-GAS AVAILABILITY'!R1034)/('RAP TEMPLATE-GAS AVAILABILITY'!O1034+'RAP TEMPLATE-GAS AVAILABILITY'!P1034+'RAP TEMPLATE-GAS AVAILABILITY'!Q1034+'RAP TEMPLATE-GAS AVAILABILITY'!R1034)</f>
        <v>134.15387194244605</v>
      </c>
    </row>
    <row r="1036" spans="1:29" ht="15.75" x14ac:dyDescent="0.25">
      <c r="A1036" s="32">
        <v>72440</v>
      </c>
      <c r="B1036" s="14">
        <f>CHOOSE(CONTROL!$C$42, 136.4464, 136.4464) * CHOOSE(CONTROL!$C$21, $C$9, 100%, $E$9)</f>
        <v>136.44640000000001</v>
      </c>
      <c r="C1036" s="14">
        <f>CHOOSE(CONTROL!$C$42, 136.4508, 136.4508) * CHOOSE(CONTROL!$C$21, $C$9, 100%, $E$9)</f>
        <v>136.45079999999999</v>
      </c>
      <c r="D1036" s="14">
        <f>CHOOSE(CONTROL!$C$42, 136.6579, 136.6579) * CHOOSE(CONTROL!$C$21, $C$9, 100%, $E$9)</f>
        <v>136.65790000000001</v>
      </c>
      <c r="E1036" s="14">
        <f>CHOOSE(CONTROL!$C$42, 136.69, 136.69) * CHOOSE(CONTROL!$C$21, $C$9, 100%, $E$9)</f>
        <v>136.69</v>
      </c>
      <c r="F1036" s="14">
        <f>CHOOSE(CONTROL!$C$42, 136.4282, 136.4282)*CHOOSE(CONTROL!$C$21, $C$9, 100%, $E$9)</f>
        <v>136.4282</v>
      </c>
      <c r="G1036" s="14">
        <f>CHOOSE(CONTROL!$C$42, 136.4434, 136.4434)*CHOOSE(CONTROL!$C$21, $C$9, 100%, $E$9)</f>
        <v>136.4434</v>
      </c>
      <c r="H1036" s="14">
        <f>CHOOSE(CONTROL!$C$42, 136.6798, 136.6798) * CHOOSE(CONTROL!$C$21, $C$9, 100%, $E$9)</f>
        <v>136.6798</v>
      </c>
      <c r="I1036" s="14">
        <f>CHOOSE(CONTROL!$C$42, 136.8805, 136.8805)* CHOOSE(CONTROL!$C$21, $C$9, 100%, $E$9)</f>
        <v>136.88050000000001</v>
      </c>
      <c r="J1036" s="14">
        <f>CHOOSE(CONTROL!$C$42, 136.4212, 136.4212)* CHOOSE(CONTROL!$C$21, $C$9, 100%, $E$9)</f>
        <v>136.4212</v>
      </c>
      <c r="K1036" s="53">
        <f>CHOOSE(CONTROL!$C$42, 136.8766, 136.8766) * CHOOSE(CONTROL!$C$21, $C$9, 100%, $E$9)</f>
        <v>136.8766</v>
      </c>
      <c r="L1036" s="14">
        <f>CHOOSE(CONTROL!$C$42, 137.2668, 137.2668) * CHOOSE(CONTROL!$C$21, $C$9, 100%, $E$9)</f>
        <v>137.26679999999999</v>
      </c>
      <c r="M1036" s="14">
        <f>CHOOSE(CONTROL!$C$42, 133.6338, 133.6338) * CHOOSE(CONTROL!$C$21, $C$9, 100%, $E$9)</f>
        <v>133.63380000000001</v>
      </c>
      <c r="N1036" s="14">
        <f>CHOOSE(CONTROL!$C$42, 133.6486, 133.6486) * CHOOSE(CONTROL!$C$21, $C$9, 100%, $E$9)</f>
        <v>133.64859999999999</v>
      </c>
      <c r="O1036" s="14">
        <f>CHOOSE(CONTROL!$C$42, 133.887, 133.887) * CHOOSE(CONTROL!$C$21, $C$9, 100%, $E$9)</f>
        <v>133.887</v>
      </c>
      <c r="P1036" s="14">
        <f>CHOOSE(CONTROL!$C$42, 134.0751, 134.0751) * CHOOSE(CONTROL!$C$21, $C$9, 100%, $E$9)</f>
        <v>134.07509999999999</v>
      </c>
      <c r="Q1036" s="14">
        <f>CHOOSE(CONTROL!$C$42, 134.4817, 134.4817) * CHOOSE(CONTROL!$C$21, $C$9, 100%, $E$9)</f>
        <v>134.48169999999999</v>
      </c>
      <c r="R1036" s="14">
        <f>CHOOSE(CONTROL!$C$42, 135.4049, 135.4049) * CHOOSE(CONTROL!$C$21, $C$9, 100%, $E$9)</f>
        <v>135.4049</v>
      </c>
      <c r="S1036" s="14">
        <f>CHOOSE(CONTROL!$C$42, 131.102, 131.102) * CHOOSE(CONTROL!$C$21, $C$9, 100%, $E$9)</f>
        <v>131.102</v>
      </c>
      <c r="T103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36" s="57">
        <f>(1000*CHOOSE(CONTROL!$C$42, 695, 695)*CHOOSE(CONTROL!$C$42, 0.5599, 0.5599)*CHOOSE(CONTROL!$C$42, 30, 30))/1000000</f>
        <v>11.673914999999997</v>
      </c>
      <c r="V1036" s="57">
        <f>(1000*CHOOSE(CONTROL!$C$42, 500, 500)*CHOOSE(CONTROL!$C$42, 0.275, 0.275)*CHOOSE(CONTROL!$C$42, 30, 30))/1000000</f>
        <v>4.125</v>
      </c>
      <c r="W1036" s="57">
        <f>(1000*CHOOSE(CONTROL!$C$42, 0.1146, 0.1146)*CHOOSE(CONTROL!$C$42, 121.5, 121.5)*CHOOSE(CONTROL!$C$42, 30, 30))/1000000</f>
        <v>0.417717</v>
      </c>
      <c r="X1036" s="57">
        <f>(30*0.1790888*245000/1000000)+(30*0.2374*100000/1000000)</f>
        <v>2.0285026799999999</v>
      </c>
      <c r="Y1036" s="57"/>
      <c r="Z1036" s="14"/>
      <c r="AA1036" s="56"/>
      <c r="AB1036" s="50">
        <f>(B1036*141.293+C1036*267.993+D1036*115.016+E1036*89.698+F1036*40+G1036*185+H1036*0+I1036*100+J1036*300)/(141.293+267.993+115.016+89.698+0+40+185+100+300)</f>
        <v>136.51251984342213</v>
      </c>
      <c r="AC1036" s="45">
        <f>(M1036*'RAP TEMPLATE-GAS AVAILABILITY'!O1035+N1036*'RAP TEMPLATE-GAS AVAILABILITY'!P1035+O1036*'RAP TEMPLATE-GAS AVAILABILITY'!Q1035+P1036*'RAP TEMPLATE-GAS AVAILABILITY'!R1035)/('RAP TEMPLATE-GAS AVAILABILITY'!O1035+'RAP TEMPLATE-GAS AVAILABILITY'!P1035+'RAP TEMPLATE-GAS AVAILABILITY'!Q1035+'RAP TEMPLATE-GAS AVAILABILITY'!R1035)</f>
        <v>133.81290791366905</v>
      </c>
    </row>
    <row r="1037" spans="1:29" ht="15.75" x14ac:dyDescent="0.25">
      <c r="A1037" s="32">
        <v>72471</v>
      </c>
      <c r="B1037" s="14">
        <f>CHOOSE(CONTROL!$C$42, 137.652, 137.652) * CHOOSE(CONTROL!$C$21, $C$9, 100%, $E$9)</f>
        <v>137.65199999999999</v>
      </c>
      <c r="C1037" s="14">
        <f>CHOOSE(CONTROL!$C$42, 137.66, 137.66) * CHOOSE(CONTROL!$C$21, $C$9, 100%, $E$9)</f>
        <v>137.66</v>
      </c>
      <c r="D1037" s="14">
        <f>CHOOSE(CONTROL!$C$42, 137.8639, 137.8639) * CHOOSE(CONTROL!$C$21, $C$9, 100%, $E$9)</f>
        <v>137.8639</v>
      </c>
      <c r="E1037" s="14">
        <f>CHOOSE(CONTROL!$C$42, 137.8954, 137.8954) * CHOOSE(CONTROL!$C$21, $C$9, 100%, $E$9)</f>
        <v>137.8954</v>
      </c>
      <c r="F1037" s="14">
        <f>CHOOSE(CONTROL!$C$42, 137.6327, 137.6327)*CHOOSE(CONTROL!$C$21, $C$9, 100%, $E$9)</f>
        <v>137.6327</v>
      </c>
      <c r="G1037" s="14">
        <f>CHOOSE(CONTROL!$C$42, 137.6484, 137.6484)*CHOOSE(CONTROL!$C$21, $C$9, 100%, $E$9)</f>
        <v>137.64840000000001</v>
      </c>
      <c r="H1037" s="14">
        <f>CHOOSE(CONTROL!$C$42, 137.884, 137.884) * CHOOSE(CONTROL!$C$21, $C$9, 100%, $E$9)</f>
        <v>137.88399999999999</v>
      </c>
      <c r="I1037" s="14">
        <f>CHOOSE(CONTROL!$C$42, 138.0885, 138.0885)* CHOOSE(CONTROL!$C$21, $C$9, 100%, $E$9)</f>
        <v>138.08850000000001</v>
      </c>
      <c r="J1037" s="14">
        <f>CHOOSE(CONTROL!$C$42, 137.6257, 137.6257)* CHOOSE(CONTROL!$C$21, $C$9, 100%, $E$9)</f>
        <v>137.62569999999999</v>
      </c>
      <c r="K1037" s="53">
        <f>CHOOSE(CONTROL!$C$42, 138.0846, 138.0846) * CHOOSE(CONTROL!$C$21, $C$9, 100%, $E$9)</f>
        <v>138.08459999999999</v>
      </c>
      <c r="L1037" s="14">
        <f>CHOOSE(CONTROL!$C$42, 138.471, 138.471) * CHOOSE(CONTROL!$C$21, $C$9, 100%, $E$9)</f>
        <v>138.471</v>
      </c>
      <c r="M1037" s="14">
        <f>CHOOSE(CONTROL!$C$42, 134.8135, 134.8135) * CHOOSE(CONTROL!$C$21, $C$9, 100%, $E$9)</f>
        <v>134.8135</v>
      </c>
      <c r="N1037" s="14">
        <f>CHOOSE(CONTROL!$C$42, 134.8289, 134.8289) * CHOOSE(CONTROL!$C$21, $C$9, 100%, $E$9)</f>
        <v>134.8289</v>
      </c>
      <c r="O1037" s="14">
        <f>CHOOSE(CONTROL!$C$42, 135.0666, 135.0666) * CHOOSE(CONTROL!$C$21, $C$9, 100%, $E$9)</f>
        <v>135.06659999999999</v>
      </c>
      <c r="P1037" s="14">
        <f>CHOOSE(CONTROL!$C$42, 135.2583, 135.2583) * CHOOSE(CONTROL!$C$21, $C$9, 100%, $E$9)</f>
        <v>135.25829999999999</v>
      </c>
      <c r="Q1037" s="14">
        <f>CHOOSE(CONTROL!$C$42, 135.6613, 135.6613) * CHOOSE(CONTROL!$C$21, $C$9, 100%, $E$9)</f>
        <v>135.66130000000001</v>
      </c>
      <c r="R1037" s="14">
        <f>CHOOSE(CONTROL!$C$42, 136.5874, 136.5874) * CHOOSE(CONTROL!$C$21, $C$9, 100%, $E$9)</f>
        <v>136.5874</v>
      </c>
      <c r="S1037" s="14">
        <f>CHOOSE(CONTROL!$C$42, 132.2591, 132.2591) * CHOOSE(CONTROL!$C$21, $C$9, 100%, $E$9)</f>
        <v>132.25909999999999</v>
      </c>
      <c r="T103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37" s="57">
        <f>(1000*CHOOSE(CONTROL!$C$42, 695, 695)*CHOOSE(CONTROL!$C$42, 0.5599, 0.5599)*CHOOSE(CONTROL!$C$42, 31, 31))/1000000</f>
        <v>12.063045499999998</v>
      </c>
      <c r="V1037" s="57">
        <f>(1000*CHOOSE(CONTROL!$C$42, 500, 500)*CHOOSE(CONTROL!$C$42, 0.275, 0.275)*CHOOSE(CONTROL!$C$42, 31, 31))/1000000</f>
        <v>4.2625000000000002</v>
      </c>
      <c r="W1037" s="57">
        <f>(1000*CHOOSE(CONTROL!$C$42, 0.1146, 0.1146)*CHOOSE(CONTROL!$C$42, 121.5, 121.5)*CHOOSE(CONTROL!$C$42, 31, 31))/1000000</f>
        <v>0.43164089999999994</v>
      </c>
      <c r="X1037" s="57">
        <f>(31*0.1790888*245000/1000000)+(31*0.2374*100000/1000000)</f>
        <v>2.0961194359999999</v>
      </c>
      <c r="Y1037" s="57"/>
      <c r="Z1037" s="14"/>
      <c r="AA1037" s="56"/>
      <c r="AB1037" s="50">
        <f>(B1037*194.205+C1037*267.466+D1037*133.845+E1037*53.484+F1037*40+G1037*185+H1037*0+I1037*100+J1037*300)/(194.205+267.466+133.845+53.484+0+40+185+100+300)</f>
        <v>137.71310006993721</v>
      </c>
      <c r="AC1037" s="45">
        <f>(M1037*'RAP TEMPLATE-GAS AVAILABILITY'!O1036+N1037*'RAP TEMPLATE-GAS AVAILABILITY'!P1036+O1037*'RAP TEMPLATE-GAS AVAILABILITY'!Q1036+P1037*'RAP TEMPLATE-GAS AVAILABILITY'!R1036)/('RAP TEMPLATE-GAS AVAILABILITY'!O1036+'RAP TEMPLATE-GAS AVAILABILITY'!P1036+'RAP TEMPLATE-GAS AVAILABILITY'!Q1036+'RAP TEMPLATE-GAS AVAILABILITY'!R1036)</f>
        <v>134.99310071942446</v>
      </c>
    </row>
    <row r="1038" spans="1:29" ht="15.75" x14ac:dyDescent="0.25">
      <c r="A1038" s="32">
        <v>72501</v>
      </c>
      <c r="B1038" s="14">
        <f>CHOOSE(CONTROL!$C$42, 141.5563, 141.5563) * CHOOSE(CONTROL!$C$21, $C$9, 100%, $E$9)</f>
        <v>141.55629999999999</v>
      </c>
      <c r="C1038" s="14">
        <f>CHOOSE(CONTROL!$C$42, 141.5643, 141.5643) * CHOOSE(CONTROL!$C$21, $C$9, 100%, $E$9)</f>
        <v>141.5643</v>
      </c>
      <c r="D1038" s="14">
        <f>CHOOSE(CONTROL!$C$42, 141.7683, 141.7683) * CHOOSE(CONTROL!$C$21, $C$9, 100%, $E$9)</f>
        <v>141.76830000000001</v>
      </c>
      <c r="E1038" s="14">
        <f>CHOOSE(CONTROL!$C$42, 141.7997, 141.7997) * CHOOSE(CONTROL!$C$21, $C$9, 100%, $E$9)</f>
        <v>141.7997</v>
      </c>
      <c r="F1038" s="14">
        <f>CHOOSE(CONTROL!$C$42, 141.5375, 141.5375)*CHOOSE(CONTROL!$C$21, $C$9, 100%, $E$9)</f>
        <v>141.53749999999999</v>
      </c>
      <c r="G1038" s="14">
        <f>CHOOSE(CONTROL!$C$42, 141.5533, 141.5533)*CHOOSE(CONTROL!$C$21, $C$9, 100%, $E$9)</f>
        <v>141.55330000000001</v>
      </c>
      <c r="H1038" s="14">
        <f>CHOOSE(CONTROL!$C$42, 141.7884, 141.7884) * CHOOSE(CONTROL!$C$21, $C$9, 100%, $E$9)</f>
        <v>141.7884</v>
      </c>
      <c r="I1038" s="14">
        <f>CHOOSE(CONTROL!$C$42, 142.0051, 142.0051)* CHOOSE(CONTROL!$C$21, $C$9, 100%, $E$9)</f>
        <v>142.0051</v>
      </c>
      <c r="J1038" s="14">
        <f>CHOOSE(CONTROL!$C$42, 141.5305, 141.5305)* CHOOSE(CONTROL!$C$21, $C$9, 100%, $E$9)</f>
        <v>141.53049999999999</v>
      </c>
      <c r="K1038" s="53">
        <f>CHOOSE(CONTROL!$C$42, 142.0012, 142.0012) * CHOOSE(CONTROL!$C$21, $C$9, 100%, $E$9)</f>
        <v>142.00120000000001</v>
      </c>
      <c r="L1038" s="14">
        <f>CHOOSE(CONTROL!$C$42, 142.3754, 142.3754) * CHOOSE(CONTROL!$C$21, $C$9, 100%, $E$9)</f>
        <v>142.37540000000001</v>
      </c>
      <c r="M1038" s="14">
        <f>CHOOSE(CONTROL!$C$42, 138.6383, 138.6383) * CHOOSE(CONTROL!$C$21, $C$9, 100%, $E$9)</f>
        <v>138.63829999999999</v>
      </c>
      <c r="N1038" s="14">
        <f>CHOOSE(CONTROL!$C$42, 138.6538, 138.6538) * CHOOSE(CONTROL!$C$21, $C$9, 100%, $E$9)</f>
        <v>138.65379999999999</v>
      </c>
      <c r="O1038" s="14">
        <f>CHOOSE(CONTROL!$C$42, 138.8909, 138.8909) * CHOOSE(CONTROL!$C$21, $C$9, 100%, $E$9)</f>
        <v>138.89089999999999</v>
      </c>
      <c r="P1038" s="14">
        <f>CHOOSE(CONTROL!$C$42, 139.0943, 139.0943) * CHOOSE(CONTROL!$C$21, $C$9, 100%, $E$9)</f>
        <v>139.0943</v>
      </c>
      <c r="Q1038" s="14">
        <f>CHOOSE(CONTROL!$C$42, 139.4856, 139.4856) * CHOOSE(CONTROL!$C$21, $C$9, 100%, $E$9)</f>
        <v>139.48560000000001</v>
      </c>
      <c r="R1038" s="14">
        <f>CHOOSE(CONTROL!$C$42, 140.4213, 140.4213) * CHOOSE(CONTROL!$C$21, $C$9, 100%, $E$9)</f>
        <v>140.4213</v>
      </c>
      <c r="S1038" s="14">
        <f>CHOOSE(CONTROL!$C$42, 136.0108, 136.0108) * CHOOSE(CONTROL!$C$21, $C$9, 100%, $E$9)</f>
        <v>136.01079999999999</v>
      </c>
      <c r="T103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38" s="57">
        <f>(1000*CHOOSE(CONTROL!$C$42, 695, 695)*CHOOSE(CONTROL!$C$42, 0.5599, 0.5599)*CHOOSE(CONTROL!$C$42, 30, 30))/1000000</f>
        <v>11.673914999999997</v>
      </c>
      <c r="V1038" s="57">
        <f>(1000*CHOOSE(CONTROL!$C$42, 500, 500)*CHOOSE(CONTROL!$C$42, 0.275, 0.275)*CHOOSE(CONTROL!$C$42, 30, 30))/1000000</f>
        <v>4.125</v>
      </c>
      <c r="W1038" s="57">
        <f>(1000*CHOOSE(CONTROL!$C$42, 0.1146, 0.1146)*CHOOSE(CONTROL!$C$42, 121.5, 121.5)*CHOOSE(CONTROL!$C$42, 30, 30))/1000000</f>
        <v>0.417717</v>
      </c>
      <c r="X1038" s="57">
        <f>(30*0.1790888*245000/1000000)+(30*0.2374*100000/1000000)</f>
        <v>2.0285026799999999</v>
      </c>
      <c r="Y1038" s="57"/>
      <c r="Z1038" s="14"/>
      <c r="AA1038" s="56"/>
      <c r="AB1038" s="50">
        <f>(B1038*194.205+C1038*267.466+D1038*133.845+E1038*53.484+F1038*40+G1038*185+H1038*0+I1038*100+J1038*300)/(194.205+267.466+133.845+53.484+0+40+185+100+300)</f>
        <v>141.61859660408163</v>
      </c>
      <c r="AC1038" s="45">
        <f>(M1038*'RAP TEMPLATE-GAS AVAILABILITY'!O1037+N1038*'RAP TEMPLATE-GAS AVAILABILITY'!P1037+O1038*'RAP TEMPLATE-GAS AVAILABILITY'!Q1037+P1038*'RAP TEMPLATE-GAS AVAILABILITY'!R1037)/('RAP TEMPLATE-GAS AVAILABILITY'!O1037+'RAP TEMPLATE-GAS AVAILABILITY'!P1037+'RAP TEMPLATE-GAS AVAILABILITY'!Q1037+'RAP TEMPLATE-GAS AVAILABILITY'!R1037)</f>
        <v>138.81929136690647</v>
      </c>
    </row>
    <row r="1039" spans="1:29" ht="15.75" x14ac:dyDescent="0.25">
      <c r="A1039" s="32">
        <v>72532</v>
      </c>
      <c r="B1039" s="14">
        <f>CHOOSE(CONTROL!$C$42, 138.8408, 138.8408) * CHOOSE(CONTROL!$C$21, $C$9, 100%, $E$9)</f>
        <v>138.8408</v>
      </c>
      <c r="C1039" s="14">
        <f>CHOOSE(CONTROL!$C$42, 138.8488, 138.8488) * CHOOSE(CONTROL!$C$21, $C$9, 100%, $E$9)</f>
        <v>138.84880000000001</v>
      </c>
      <c r="D1039" s="14">
        <f>CHOOSE(CONTROL!$C$42, 139.0528, 139.0528) * CHOOSE(CONTROL!$C$21, $C$9, 100%, $E$9)</f>
        <v>139.05279999999999</v>
      </c>
      <c r="E1039" s="14">
        <f>CHOOSE(CONTROL!$C$42, 139.0842, 139.0842) * CHOOSE(CONTROL!$C$21, $C$9, 100%, $E$9)</f>
        <v>139.08420000000001</v>
      </c>
      <c r="F1039" s="14">
        <f>CHOOSE(CONTROL!$C$42, 138.8224, 138.8224)*CHOOSE(CONTROL!$C$21, $C$9, 100%, $E$9)</f>
        <v>138.82239999999999</v>
      </c>
      <c r="G1039" s="14">
        <f>CHOOSE(CONTROL!$C$42, 138.8383, 138.8383)*CHOOSE(CONTROL!$C$21, $C$9, 100%, $E$9)</f>
        <v>138.8383</v>
      </c>
      <c r="H1039" s="14">
        <f>CHOOSE(CONTROL!$C$42, 139.0729, 139.0729) * CHOOSE(CONTROL!$C$21, $C$9, 100%, $E$9)</f>
        <v>139.0729</v>
      </c>
      <c r="I1039" s="14">
        <f>CHOOSE(CONTROL!$C$42, 139.2811, 139.2811)* CHOOSE(CONTROL!$C$21, $C$9, 100%, $E$9)</f>
        <v>139.28110000000001</v>
      </c>
      <c r="J1039" s="14">
        <f>CHOOSE(CONTROL!$C$42, 138.8154, 138.8154)* CHOOSE(CONTROL!$C$21, $C$9, 100%, $E$9)</f>
        <v>138.81540000000001</v>
      </c>
      <c r="K1039" s="53">
        <f>CHOOSE(CONTROL!$C$42, 139.2772, 139.2772) * CHOOSE(CONTROL!$C$21, $C$9, 100%, $E$9)</f>
        <v>139.27719999999999</v>
      </c>
      <c r="L1039" s="14">
        <f>CHOOSE(CONTROL!$C$42, 139.6599, 139.6599) * CHOOSE(CONTROL!$C$21, $C$9, 100%, $E$9)</f>
        <v>139.65989999999999</v>
      </c>
      <c r="M1039" s="14">
        <f>CHOOSE(CONTROL!$C$42, 135.9789, 135.9789) * CHOOSE(CONTROL!$C$21, $C$9, 100%, $E$9)</f>
        <v>135.97890000000001</v>
      </c>
      <c r="N1039" s="14">
        <f>CHOOSE(CONTROL!$C$42, 135.9945, 135.9945) * CHOOSE(CONTROL!$C$21, $C$9, 100%, $E$9)</f>
        <v>135.99449999999999</v>
      </c>
      <c r="O1039" s="14">
        <f>CHOOSE(CONTROL!$C$42, 136.2311, 136.2311) * CHOOSE(CONTROL!$C$21, $C$9, 100%, $E$9)</f>
        <v>136.2311</v>
      </c>
      <c r="P1039" s="14">
        <f>CHOOSE(CONTROL!$C$42, 136.4263, 136.4263) * CHOOSE(CONTROL!$C$21, $C$9, 100%, $E$9)</f>
        <v>136.4263</v>
      </c>
      <c r="Q1039" s="14">
        <f>CHOOSE(CONTROL!$C$42, 136.8258, 136.8258) * CHOOSE(CONTROL!$C$21, $C$9, 100%, $E$9)</f>
        <v>136.82579999999999</v>
      </c>
      <c r="R1039" s="14">
        <f>CHOOSE(CONTROL!$C$42, 137.7548, 137.7548) * CHOOSE(CONTROL!$C$21, $C$9, 100%, $E$9)</f>
        <v>137.75479999999999</v>
      </c>
      <c r="S1039" s="14">
        <f>CHOOSE(CONTROL!$C$42, 133.4015, 133.4015) * CHOOSE(CONTROL!$C$21, $C$9, 100%, $E$9)</f>
        <v>133.4015</v>
      </c>
      <c r="T103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39" s="57">
        <f>(1000*CHOOSE(CONTROL!$C$42, 695, 695)*CHOOSE(CONTROL!$C$42, 0.5599, 0.5599)*CHOOSE(CONTROL!$C$42, 31, 31))/1000000</f>
        <v>12.063045499999998</v>
      </c>
      <c r="V1039" s="57">
        <f>(1000*CHOOSE(CONTROL!$C$42, 500, 500)*CHOOSE(CONTROL!$C$42, 0.275, 0.275)*CHOOSE(CONTROL!$C$42, 31, 31))/1000000</f>
        <v>4.2625000000000002</v>
      </c>
      <c r="W1039" s="57">
        <f>(1000*CHOOSE(CONTROL!$C$42, 0.1146, 0.1146)*CHOOSE(CONTROL!$C$42, 121.5, 121.5)*CHOOSE(CONTROL!$C$42, 31, 31))/1000000</f>
        <v>0.43164089999999994</v>
      </c>
      <c r="X1039" s="57">
        <f>(31*0.1790888*245000/1000000)+(31*0.2374*100000/1000000)</f>
        <v>2.0961194359999999</v>
      </c>
      <c r="Y1039" s="57"/>
      <c r="Z1039" s="14"/>
      <c r="AA1039" s="56"/>
      <c r="AB1039" s="50">
        <f>(B1039*194.205+C1039*267.466+D1039*133.845+E1039*53.484+F1039*40+G1039*185+H1039*0+I1039*100+J1039*300)/(194.205+267.466+133.845+53.484+0+40+185+100+300)</f>
        <v>138.90260877048667</v>
      </c>
      <c r="AC1039" s="45">
        <f>(M1039*'RAP TEMPLATE-GAS AVAILABILITY'!O1038+N1039*'RAP TEMPLATE-GAS AVAILABILITY'!P1038+O1039*'RAP TEMPLATE-GAS AVAILABILITY'!Q1038+P1039*'RAP TEMPLATE-GAS AVAILABILITY'!R1038)/('RAP TEMPLATE-GAS AVAILABILITY'!O1038+'RAP TEMPLATE-GAS AVAILABILITY'!P1038+'RAP TEMPLATE-GAS AVAILABILITY'!Q1038+'RAP TEMPLATE-GAS AVAILABILITY'!R1038)</f>
        <v>136.1584784172662</v>
      </c>
    </row>
    <row r="1040" spans="1:29" ht="15.75" x14ac:dyDescent="0.25">
      <c r="A1040" s="32">
        <v>72563</v>
      </c>
      <c r="B1040" s="14">
        <f>CHOOSE(CONTROL!$C$42, 131.9833, 131.9833) * CHOOSE(CONTROL!$C$21, $C$9, 100%, $E$9)</f>
        <v>131.98330000000001</v>
      </c>
      <c r="C1040" s="14">
        <f>CHOOSE(CONTROL!$C$42, 131.9913, 131.9913) * CHOOSE(CONTROL!$C$21, $C$9, 100%, $E$9)</f>
        <v>131.9913</v>
      </c>
      <c r="D1040" s="14">
        <f>CHOOSE(CONTROL!$C$42, 132.1953, 132.1953) * CHOOSE(CONTROL!$C$21, $C$9, 100%, $E$9)</f>
        <v>132.1953</v>
      </c>
      <c r="E1040" s="14">
        <f>CHOOSE(CONTROL!$C$42, 132.2267, 132.2267) * CHOOSE(CONTROL!$C$21, $C$9, 100%, $E$9)</f>
        <v>132.22669999999999</v>
      </c>
      <c r="F1040" s="14">
        <f>CHOOSE(CONTROL!$C$42, 131.9652, 131.9652)*CHOOSE(CONTROL!$C$21, $C$9, 100%, $E$9)</f>
        <v>131.96520000000001</v>
      </c>
      <c r="G1040" s="14">
        <f>CHOOSE(CONTROL!$C$42, 131.9811, 131.9811)*CHOOSE(CONTROL!$C$21, $C$9, 100%, $E$9)</f>
        <v>131.9811</v>
      </c>
      <c r="H1040" s="14">
        <f>CHOOSE(CONTROL!$C$42, 132.2154, 132.2154) * CHOOSE(CONTROL!$C$21, $C$9, 100%, $E$9)</f>
        <v>132.21539999999999</v>
      </c>
      <c r="I1040" s="14">
        <f>CHOOSE(CONTROL!$C$42, 132.4021, 132.4021)* CHOOSE(CONTROL!$C$21, $C$9, 100%, $E$9)</f>
        <v>132.40209999999999</v>
      </c>
      <c r="J1040" s="14">
        <f>CHOOSE(CONTROL!$C$42, 131.9582, 131.9582)* CHOOSE(CONTROL!$C$21, $C$9, 100%, $E$9)</f>
        <v>131.95820000000001</v>
      </c>
      <c r="K1040" s="53">
        <f>CHOOSE(CONTROL!$C$42, 132.3982, 132.3982) * CHOOSE(CONTROL!$C$21, $C$9, 100%, $E$9)</f>
        <v>132.3982</v>
      </c>
      <c r="L1040" s="14">
        <f>CHOOSE(CONTROL!$C$42, 132.8024, 132.8024) * CHOOSE(CONTROL!$C$21, $C$9, 100%, $E$9)</f>
        <v>132.80240000000001</v>
      </c>
      <c r="M1040" s="14">
        <f>CHOOSE(CONTROL!$C$42, 129.2621, 129.2621) * CHOOSE(CONTROL!$C$21, $C$9, 100%, $E$9)</f>
        <v>129.2621</v>
      </c>
      <c r="N1040" s="14">
        <f>CHOOSE(CONTROL!$C$42, 129.2778, 129.2778) * CHOOSE(CONTROL!$C$21, $C$9, 100%, $E$9)</f>
        <v>129.27780000000001</v>
      </c>
      <c r="O1040" s="14">
        <f>CHOOSE(CONTROL!$C$42, 129.5141, 129.5141) * CHOOSE(CONTROL!$C$21, $C$9, 100%, $E$9)</f>
        <v>129.51410000000001</v>
      </c>
      <c r="P1040" s="14">
        <f>CHOOSE(CONTROL!$C$42, 129.6887, 129.6887) * CHOOSE(CONTROL!$C$21, $C$9, 100%, $E$9)</f>
        <v>129.68870000000001</v>
      </c>
      <c r="Q1040" s="14">
        <f>CHOOSE(CONTROL!$C$42, 130.1088, 130.1088) * CHOOSE(CONTROL!$C$21, $C$9, 100%, $E$9)</f>
        <v>130.1088</v>
      </c>
      <c r="R1040" s="14">
        <f>CHOOSE(CONTROL!$C$42, 131.021, 131.021) * CHOOSE(CONTROL!$C$21, $C$9, 100%, $E$9)</f>
        <v>131.02099999999999</v>
      </c>
      <c r="S1040" s="14">
        <f>CHOOSE(CONTROL!$C$42, 126.8121, 126.8121) * CHOOSE(CONTROL!$C$21, $C$9, 100%, $E$9)</f>
        <v>126.8121</v>
      </c>
      <c r="T104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40" s="57">
        <f>(1000*CHOOSE(CONTROL!$C$42, 695, 695)*CHOOSE(CONTROL!$C$42, 0.5599, 0.5599)*CHOOSE(CONTROL!$C$42, 31, 31))/1000000</f>
        <v>12.063045499999998</v>
      </c>
      <c r="V1040" s="57">
        <f>(1000*CHOOSE(CONTROL!$C$42, 500, 500)*CHOOSE(CONTROL!$C$42, 0.275, 0.275)*CHOOSE(CONTROL!$C$42, 31, 31))/1000000</f>
        <v>4.2625000000000002</v>
      </c>
      <c r="W1040" s="57">
        <f>(1000*CHOOSE(CONTROL!$C$42, 0.1146, 0.1146)*CHOOSE(CONTROL!$C$42, 121.5, 121.5)*CHOOSE(CONTROL!$C$42, 31, 31))/1000000</f>
        <v>0.43164089999999994</v>
      </c>
      <c r="X1040" s="57">
        <f>(31*0.1790888*245000/1000000)+(31*0.2374*100000/1000000)</f>
        <v>2.0961194359999999</v>
      </c>
      <c r="Y1040" s="57"/>
      <c r="Z1040" s="14"/>
      <c r="AA1040" s="56"/>
      <c r="AB1040" s="50">
        <f>(B1040*194.205+C1040*267.466+D1040*133.845+E1040*53.484+F1040*40+G1040*185+H1040*0+I1040*100+J1040*300)/(194.205+267.466+133.845+53.484+0+40+185+100+300)</f>
        <v>132.04354479874408</v>
      </c>
      <c r="AC1040" s="45">
        <f>(M1040*'RAP TEMPLATE-GAS AVAILABILITY'!O1039+N1040*'RAP TEMPLATE-GAS AVAILABILITY'!P1039+O1040*'RAP TEMPLATE-GAS AVAILABILITY'!Q1039+P1040*'RAP TEMPLATE-GAS AVAILABILITY'!R1039)/('RAP TEMPLATE-GAS AVAILABILITY'!O1039+'RAP TEMPLATE-GAS AVAILABILITY'!P1039+'RAP TEMPLATE-GAS AVAILABILITY'!Q1039+'RAP TEMPLATE-GAS AVAILABILITY'!R1039)</f>
        <v>129.43860071942447</v>
      </c>
    </row>
    <row r="1041" spans="1:29" ht="15.75" x14ac:dyDescent="0.25">
      <c r="A1041" s="32">
        <v>72593</v>
      </c>
      <c r="B1041" s="14">
        <f>CHOOSE(CONTROL!$C$42, 123.6043, 123.6043) * CHOOSE(CONTROL!$C$21, $C$9, 100%, $E$9)</f>
        <v>123.60429999999999</v>
      </c>
      <c r="C1041" s="14">
        <f>CHOOSE(CONTROL!$C$42, 123.6124, 123.6124) * CHOOSE(CONTROL!$C$21, $C$9, 100%, $E$9)</f>
        <v>123.61239999999999</v>
      </c>
      <c r="D1041" s="14">
        <f>CHOOSE(CONTROL!$C$42, 123.8163, 123.8163) * CHOOSE(CONTROL!$C$21, $C$9, 100%, $E$9)</f>
        <v>123.8163</v>
      </c>
      <c r="E1041" s="14">
        <f>CHOOSE(CONTROL!$C$42, 123.8478, 123.8478) * CHOOSE(CONTROL!$C$21, $C$9, 100%, $E$9)</f>
        <v>123.84780000000001</v>
      </c>
      <c r="F1041" s="14">
        <f>CHOOSE(CONTROL!$C$42, 123.5863, 123.5863)*CHOOSE(CONTROL!$C$21, $C$9, 100%, $E$9)</f>
        <v>123.58629999999999</v>
      </c>
      <c r="G1041" s="14">
        <f>CHOOSE(CONTROL!$C$42, 123.6022, 123.6022)*CHOOSE(CONTROL!$C$21, $C$9, 100%, $E$9)</f>
        <v>123.6022</v>
      </c>
      <c r="H1041" s="14">
        <f>CHOOSE(CONTROL!$C$42, 123.8364, 123.8364) * CHOOSE(CONTROL!$C$21, $C$9, 100%, $E$9)</f>
        <v>123.8364</v>
      </c>
      <c r="I1041" s="14">
        <f>CHOOSE(CONTROL!$C$42, 123.9969, 123.9969)* CHOOSE(CONTROL!$C$21, $C$9, 100%, $E$9)</f>
        <v>123.9969</v>
      </c>
      <c r="J1041" s="14">
        <f>CHOOSE(CONTROL!$C$42, 123.5793, 123.5793)* CHOOSE(CONTROL!$C$21, $C$9, 100%, $E$9)</f>
        <v>123.5793</v>
      </c>
      <c r="K1041" s="53">
        <f>CHOOSE(CONTROL!$C$42, 123.993, 123.993) * CHOOSE(CONTROL!$C$21, $C$9, 100%, $E$9)</f>
        <v>123.99299999999999</v>
      </c>
      <c r="L1041" s="14">
        <f>CHOOSE(CONTROL!$C$42, 124.4234, 124.4234) * CHOOSE(CONTROL!$C$21, $C$9, 100%, $E$9)</f>
        <v>124.4234</v>
      </c>
      <c r="M1041" s="14">
        <f>CHOOSE(CONTROL!$C$42, 121.0549, 121.0549) * CHOOSE(CONTROL!$C$21, $C$9, 100%, $E$9)</f>
        <v>121.0549</v>
      </c>
      <c r="N1041" s="14">
        <f>CHOOSE(CONTROL!$C$42, 121.0705, 121.0705) * CHOOSE(CONTROL!$C$21, $C$9, 100%, $E$9)</f>
        <v>121.0705</v>
      </c>
      <c r="O1041" s="14">
        <f>CHOOSE(CONTROL!$C$42, 121.3068, 121.3068) * CHOOSE(CONTROL!$C$21, $C$9, 100%, $E$9)</f>
        <v>121.3068</v>
      </c>
      <c r="P1041" s="14">
        <f>CHOOSE(CONTROL!$C$42, 121.4563, 121.4563) * CHOOSE(CONTROL!$C$21, $C$9, 100%, $E$9)</f>
        <v>121.4563</v>
      </c>
      <c r="Q1041" s="14">
        <f>CHOOSE(CONTROL!$C$42, 121.9015, 121.9015) * CHOOSE(CONTROL!$C$21, $C$9, 100%, $E$9)</f>
        <v>121.9015</v>
      </c>
      <c r="R1041" s="14">
        <f>CHOOSE(CONTROL!$C$42, 122.7932, 122.7932) * CHOOSE(CONTROL!$C$21, $C$9, 100%, $E$9)</f>
        <v>122.7932</v>
      </c>
      <c r="S1041" s="14">
        <f>CHOOSE(CONTROL!$C$42, 118.7608, 118.7608) * CHOOSE(CONTROL!$C$21, $C$9, 100%, $E$9)</f>
        <v>118.7608</v>
      </c>
      <c r="T104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41" s="57">
        <f>(1000*CHOOSE(CONTROL!$C$42, 695, 695)*CHOOSE(CONTROL!$C$42, 0.5599, 0.5599)*CHOOSE(CONTROL!$C$42, 30, 30))/1000000</f>
        <v>11.673914999999997</v>
      </c>
      <c r="V1041" s="57">
        <f>(1000*CHOOSE(CONTROL!$C$42, 500, 500)*CHOOSE(CONTROL!$C$42, 0.275, 0.275)*CHOOSE(CONTROL!$C$42, 30, 30))/1000000</f>
        <v>4.125</v>
      </c>
      <c r="W1041" s="57">
        <f>(1000*CHOOSE(CONTROL!$C$42, 0.1146, 0.1146)*CHOOSE(CONTROL!$C$42, 121.5, 121.5)*CHOOSE(CONTROL!$C$42, 30, 30))/1000000</f>
        <v>0.417717</v>
      </c>
      <c r="X1041" s="57">
        <f>(30*0.1790888*245000/1000000)+(30*0.2374*100000/1000000)</f>
        <v>2.0285026799999999</v>
      </c>
      <c r="Y1041" s="57"/>
      <c r="Z1041" s="14"/>
      <c r="AA1041" s="56"/>
      <c r="AB1041" s="50">
        <f>(B1041*194.205+C1041*267.466+D1041*133.845+E1041*53.484+F1041*40+G1041*185+H1041*0+I1041*100+J1041*300)/(194.205+267.466+133.845+53.484+0+40+185+100+300)</f>
        <v>123.66255468492936</v>
      </c>
      <c r="AC1041" s="45">
        <f>(M1041*'RAP TEMPLATE-GAS AVAILABILITY'!O1040+N1041*'RAP TEMPLATE-GAS AVAILABILITY'!P1040+O1041*'RAP TEMPLATE-GAS AVAILABILITY'!Q1040+P1041*'RAP TEMPLATE-GAS AVAILABILITY'!R1040)/('RAP TEMPLATE-GAS AVAILABILITY'!O1040+'RAP TEMPLATE-GAS AVAILABILITY'!P1040+'RAP TEMPLATE-GAS AVAILABILITY'!Q1040+'RAP TEMPLATE-GAS AVAILABILITY'!R1040)</f>
        <v>121.22772374100721</v>
      </c>
    </row>
    <row r="1042" spans="1:29" ht="15.75" x14ac:dyDescent="0.25">
      <c r="A1042" s="32">
        <v>72624</v>
      </c>
      <c r="B1042" s="14">
        <f>CHOOSE(CONTROL!$C$42, 121.0932, 121.0932) * CHOOSE(CONTROL!$C$21, $C$9, 100%, $E$9)</f>
        <v>121.0932</v>
      </c>
      <c r="C1042" s="14">
        <f>CHOOSE(CONTROL!$C$42, 121.0985, 121.0985) * CHOOSE(CONTROL!$C$21, $C$9, 100%, $E$9)</f>
        <v>121.0985</v>
      </c>
      <c r="D1042" s="14">
        <f>CHOOSE(CONTROL!$C$42, 121.3074, 121.3074) * CHOOSE(CONTROL!$C$21, $C$9, 100%, $E$9)</f>
        <v>121.3074</v>
      </c>
      <c r="E1042" s="14">
        <f>CHOOSE(CONTROL!$C$42, 121.3365, 121.3365) * CHOOSE(CONTROL!$C$21, $C$9, 100%, $E$9)</f>
        <v>121.3365</v>
      </c>
      <c r="F1042" s="14">
        <f>CHOOSE(CONTROL!$C$42, 121.0771, 121.0771)*CHOOSE(CONTROL!$C$21, $C$9, 100%, $E$9)</f>
        <v>121.0771</v>
      </c>
      <c r="G1042" s="14">
        <f>CHOOSE(CONTROL!$C$42, 121.0928, 121.0928)*CHOOSE(CONTROL!$C$21, $C$9, 100%, $E$9)</f>
        <v>121.0928</v>
      </c>
      <c r="H1042" s="14">
        <f>CHOOSE(CONTROL!$C$42, 121.327, 121.327) * CHOOSE(CONTROL!$C$21, $C$9, 100%, $E$9)</f>
        <v>121.327</v>
      </c>
      <c r="I1042" s="14">
        <f>CHOOSE(CONTROL!$C$42, 121.4796, 121.4796)* CHOOSE(CONTROL!$C$21, $C$9, 100%, $E$9)</f>
        <v>121.4796</v>
      </c>
      <c r="J1042" s="14">
        <f>CHOOSE(CONTROL!$C$42, 121.0701, 121.0701)* CHOOSE(CONTROL!$C$21, $C$9, 100%, $E$9)</f>
        <v>121.0701</v>
      </c>
      <c r="K1042" s="53">
        <f>CHOOSE(CONTROL!$C$42, 121.4757, 121.4757) * CHOOSE(CONTROL!$C$21, $C$9, 100%, $E$9)</f>
        <v>121.4757</v>
      </c>
      <c r="L1042" s="14">
        <f>CHOOSE(CONTROL!$C$42, 121.914, 121.914) * CHOOSE(CONTROL!$C$21, $C$9, 100%, $E$9)</f>
        <v>121.914</v>
      </c>
      <c r="M1042" s="14">
        <f>CHOOSE(CONTROL!$C$42, 118.5972, 118.5972) * CHOOSE(CONTROL!$C$21, $C$9, 100%, $E$9)</f>
        <v>118.5972</v>
      </c>
      <c r="N1042" s="14">
        <f>CHOOSE(CONTROL!$C$42, 118.6125, 118.6125) * CHOOSE(CONTROL!$C$21, $C$9, 100%, $E$9)</f>
        <v>118.6125</v>
      </c>
      <c r="O1042" s="14">
        <f>CHOOSE(CONTROL!$C$42, 118.8488, 118.8488) * CHOOSE(CONTROL!$C$21, $C$9, 100%, $E$9)</f>
        <v>118.8488</v>
      </c>
      <c r="P1042" s="14">
        <f>CHOOSE(CONTROL!$C$42, 118.9907, 118.9907) * CHOOSE(CONTROL!$C$21, $C$9, 100%, $E$9)</f>
        <v>118.9907</v>
      </c>
      <c r="Q1042" s="14">
        <f>CHOOSE(CONTROL!$C$42, 119.4435, 119.4435) * CHOOSE(CONTROL!$C$21, $C$9, 100%, $E$9)</f>
        <v>119.4435</v>
      </c>
      <c r="R1042" s="14">
        <f>CHOOSE(CONTROL!$C$42, 120.3291, 120.3291) * CHOOSE(CONTROL!$C$21, $C$9, 100%, $E$9)</f>
        <v>120.3291</v>
      </c>
      <c r="S1042" s="14">
        <f>CHOOSE(CONTROL!$C$42, 116.3495, 116.3495) * CHOOSE(CONTROL!$C$21, $C$9, 100%, $E$9)</f>
        <v>116.34950000000001</v>
      </c>
      <c r="T104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42" s="57">
        <f>(1000*CHOOSE(CONTROL!$C$42, 695, 695)*CHOOSE(CONTROL!$C$42, 0.5599, 0.5599)*CHOOSE(CONTROL!$C$42, 31, 31))/1000000</f>
        <v>12.063045499999998</v>
      </c>
      <c r="V1042" s="57">
        <f>(1000*CHOOSE(CONTROL!$C$42, 500, 500)*CHOOSE(CONTROL!$C$42, 0.275, 0.275)*CHOOSE(CONTROL!$C$42, 31, 31))/1000000</f>
        <v>4.2625000000000002</v>
      </c>
      <c r="W1042" s="57">
        <f>(1000*CHOOSE(CONTROL!$C$42, 0.1146, 0.1146)*CHOOSE(CONTROL!$C$42, 121.5, 121.5)*CHOOSE(CONTROL!$C$42, 31, 31))/1000000</f>
        <v>0.43164089999999994</v>
      </c>
      <c r="X1042" s="57">
        <f>(31*0.1790888*245000/1000000)+(31*0.2374*100000/1000000)</f>
        <v>2.0961194359999999</v>
      </c>
      <c r="Y1042" s="57"/>
      <c r="Z1042" s="14"/>
      <c r="AA1042" s="56"/>
      <c r="AB1042" s="50">
        <f>(B1042*131.881+C1042*277.167+D1042*79.08+E1042*125.872+F1042*40+G1042*185+H1042*0+I1042*100+J1042*300)/(131.881+277.167+79.08+125.872+0+40+185+100+300)</f>
        <v>121.15778803769167</v>
      </c>
      <c r="AC1042" s="45">
        <f>(M1042*'RAP TEMPLATE-GAS AVAILABILITY'!O1041+N1042*'RAP TEMPLATE-GAS AVAILABILITY'!P1041+O1042*'RAP TEMPLATE-GAS AVAILABILITY'!Q1041+P1042*'RAP TEMPLATE-GAS AVAILABILITY'!R1041)/('RAP TEMPLATE-GAS AVAILABILITY'!O1041+'RAP TEMPLATE-GAS AVAILABILITY'!P1041+'RAP TEMPLATE-GAS AVAILABILITY'!Q1041+'RAP TEMPLATE-GAS AVAILABILITY'!R1041)</f>
        <v>118.76873381294962</v>
      </c>
    </row>
    <row r="1043" spans="1:29" ht="15.75" x14ac:dyDescent="0.25">
      <c r="A1043" s="32">
        <v>72654</v>
      </c>
      <c r="B1043" s="14">
        <f>CHOOSE(CONTROL!$C$42, 124.2827, 124.2827) * CHOOSE(CONTROL!$C$21, $C$9, 100%, $E$9)</f>
        <v>124.28270000000001</v>
      </c>
      <c r="C1043" s="14">
        <f>CHOOSE(CONTROL!$C$42, 124.2877, 124.2877) * CHOOSE(CONTROL!$C$21, $C$9, 100%, $E$9)</f>
        <v>124.2877</v>
      </c>
      <c r="D1043" s="14">
        <f>CHOOSE(CONTROL!$C$42, 124.3515, 124.3515) * CHOOSE(CONTROL!$C$21, $C$9, 100%, $E$9)</f>
        <v>124.3515</v>
      </c>
      <c r="E1043" s="14">
        <f>CHOOSE(CONTROL!$C$42, 124.3856, 124.3856) * CHOOSE(CONTROL!$C$21, $C$9, 100%, $E$9)</f>
        <v>124.3856</v>
      </c>
      <c r="F1043" s="14">
        <f>CHOOSE(CONTROL!$C$42, 124.285, 124.285)*CHOOSE(CONTROL!$C$21, $C$9, 100%, $E$9)</f>
        <v>124.285</v>
      </c>
      <c r="G1043" s="14">
        <f>CHOOSE(CONTROL!$C$42, 124.3011, 124.3011)*CHOOSE(CONTROL!$C$21, $C$9, 100%, $E$9)</f>
        <v>124.30110000000001</v>
      </c>
      <c r="H1043" s="14">
        <f>CHOOSE(CONTROL!$C$42, 124.3748, 124.3748) * CHOOSE(CONTROL!$C$21, $C$9, 100%, $E$9)</f>
        <v>124.37479999999999</v>
      </c>
      <c r="I1043" s="14">
        <f>CHOOSE(CONTROL!$C$42, 124.6847, 124.6847)* CHOOSE(CONTROL!$C$21, $C$9, 100%, $E$9)</f>
        <v>124.68470000000001</v>
      </c>
      <c r="J1043" s="14">
        <f>CHOOSE(CONTROL!$C$42, 124.278, 124.278)* CHOOSE(CONTROL!$C$21, $C$9, 100%, $E$9)</f>
        <v>124.27800000000001</v>
      </c>
      <c r="K1043" s="53">
        <f>CHOOSE(CONTROL!$C$42, 124.6808, 124.6808) * CHOOSE(CONTROL!$C$21, $C$9, 100%, $E$9)</f>
        <v>124.6808</v>
      </c>
      <c r="L1043" s="14">
        <f>CHOOSE(CONTROL!$C$42, 124.9618, 124.9618) * CHOOSE(CONTROL!$C$21, $C$9, 100%, $E$9)</f>
        <v>124.9618</v>
      </c>
      <c r="M1043" s="14">
        <f>CHOOSE(CONTROL!$C$42, 121.7394, 121.7394) * CHOOSE(CONTROL!$C$21, $C$9, 100%, $E$9)</f>
        <v>121.7394</v>
      </c>
      <c r="N1043" s="14">
        <f>CHOOSE(CONTROL!$C$42, 121.7551, 121.7551) * CHOOSE(CONTROL!$C$21, $C$9, 100%, $E$9)</f>
        <v>121.7551</v>
      </c>
      <c r="O1043" s="14">
        <f>CHOOSE(CONTROL!$C$42, 121.8342, 121.8342) * CHOOSE(CONTROL!$C$21, $C$9, 100%, $E$9)</f>
        <v>121.8342</v>
      </c>
      <c r="P1043" s="14">
        <f>CHOOSE(CONTROL!$C$42, 122.13, 122.13) * CHOOSE(CONTROL!$C$21, $C$9, 100%, $E$9)</f>
        <v>122.13</v>
      </c>
      <c r="Q1043" s="14">
        <f>CHOOSE(CONTROL!$C$42, 122.4289, 122.4289) * CHOOSE(CONTROL!$C$21, $C$9, 100%, $E$9)</f>
        <v>122.4289</v>
      </c>
      <c r="R1043" s="14">
        <f>CHOOSE(CONTROL!$C$42, 123.3219, 123.3219) * CHOOSE(CONTROL!$C$21, $C$9, 100%, $E$9)</f>
        <v>123.3219</v>
      </c>
      <c r="S1043" s="14">
        <f>CHOOSE(CONTROL!$C$42, 119.4147, 119.4147) * CHOOSE(CONTROL!$C$21, $C$9, 100%, $E$9)</f>
        <v>119.4147</v>
      </c>
      <c r="T104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43" s="57">
        <f>(1000*CHOOSE(CONTROL!$C$42, 695, 695)*CHOOSE(CONTROL!$C$42, 0.5599, 0.5599)*CHOOSE(CONTROL!$C$42, 30, 30))/1000000</f>
        <v>11.673914999999997</v>
      </c>
      <c r="V1043" s="57">
        <f>(1000*CHOOSE(CONTROL!$C$42, 500, 500)*CHOOSE(CONTROL!$C$42, 0.275, 0.275)*CHOOSE(CONTROL!$C$42, 30, 30))/1000000</f>
        <v>4.125</v>
      </c>
      <c r="W1043" s="57">
        <f>(1000*CHOOSE(CONTROL!$C$42, 0.1146, 0.1146)*CHOOSE(CONTROL!$C$42, 121.5, 121.5)*CHOOSE(CONTROL!$C$42, 30, 30))/1000000</f>
        <v>0.417717</v>
      </c>
      <c r="X1043" s="57">
        <f>(30*0.1790888*100000/1000000)+(30*0.2374*100000/1000000)</f>
        <v>1.2494664</v>
      </c>
      <c r="Y1043" s="57"/>
      <c r="Z1043" s="14"/>
      <c r="AA1043" s="56"/>
      <c r="AB1043" s="50">
        <f>(B1043*122.58+C1043*297.941+D1043*89.177+E1043*40.302+F1043*40+G1043*160+H1043*0+I1043*100+J1043*300)/(122.58+297.941+89.177+40.302+0+40+160+100+300)</f>
        <v>124.32930709426087</v>
      </c>
      <c r="AC1043" s="45">
        <f>(M1043*'RAP TEMPLATE-GAS AVAILABILITY'!O1042+N1043*'RAP TEMPLATE-GAS AVAILABILITY'!P1042+O1043*'RAP TEMPLATE-GAS AVAILABILITY'!Q1042+P1043*'RAP TEMPLATE-GAS AVAILABILITY'!R1042)/('RAP TEMPLATE-GAS AVAILABILITY'!O1042+'RAP TEMPLATE-GAS AVAILABILITY'!P1042+'RAP TEMPLATE-GAS AVAILABILITY'!Q1042+'RAP TEMPLATE-GAS AVAILABILITY'!R1042)</f>
        <v>121.83947194244605</v>
      </c>
    </row>
    <row r="1044" spans="1:29" ht="15.75" x14ac:dyDescent="0.25">
      <c r="A1044" s="32">
        <v>72685</v>
      </c>
      <c r="B1044" s="14">
        <f>CHOOSE(CONTROL!$C$42, 132.7555, 132.7555) * CHOOSE(CONTROL!$C$21, $C$9, 100%, $E$9)</f>
        <v>132.75550000000001</v>
      </c>
      <c r="C1044" s="14">
        <f>CHOOSE(CONTROL!$C$42, 132.7606, 132.7606) * CHOOSE(CONTROL!$C$21, $C$9, 100%, $E$9)</f>
        <v>132.76060000000001</v>
      </c>
      <c r="D1044" s="14">
        <f>CHOOSE(CONTROL!$C$42, 132.8244, 132.8244) * CHOOSE(CONTROL!$C$21, $C$9, 100%, $E$9)</f>
        <v>132.8244</v>
      </c>
      <c r="E1044" s="14">
        <f>CHOOSE(CONTROL!$C$42, 132.8585, 132.8585) * CHOOSE(CONTROL!$C$21, $C$9, 100%, $E$9)</f>
        <v>132.85849999999999</v>
      </c>
      <c r="F1044" s="14">
        <f>CHOOSE(CONTROL!$C$42, 132.7602, 132.7602)*CHOOSE(CONTROL!$C$21, $C$9, 100%, $E$9)</f>
        <v>132.7602</v>
      </c>
      <c r="G1044" s="14">
        <f>CHOOSE(CONTROL!$C$42, 132.7768, 132.7768)*CHOOSE(CONTROL!$C$21, $C$9, 100%, $E$9)</f>
        <v>132.77680000000001</v>
      </c>
      <c r="H1044" s="14">
        <f>CHOOSE(CONTROL!$C$42, 132.8477, 132.8477) * CHOOSE(CONTROL!$C$21, $C$9, 100%, $E$9)</f>
        <v>132.8477</v>
      </c>
      <c r="I1044" s="14">
        <f>CHOOSE(CONTROL!$C$42, 133.1841, 133.1841)* CHOOSE(CONTROL!$C$21, $C$9, 100%, $E$9)</f>
        <v>133.1841</v>
      </c>
      <c r="J1044" s="14">
        <f>CHOOSE(CONTROL!$C$42, 132.7532, 132.7532)* CHOOSE(CONTROL!$C$21, $C$9, 100%, $E$9)</f>
        <v>132.75319999999999</v>
      </c>
      <c r="K1044" s="53">
        <f>CHOOSE(CONTROL!$C$42, 133.1803, 133.1803) * CHOOSE(CONTROL!$C$21, $C$9, 100%, $E$9)</f>
        <v>133.18029999999999</v>
      </c>
      <c r="L1044" s="14">
        <f>CHOOSE(CONTROL!$C$42, 133.4347, 133.4347) * CHOOSE(CONTROL!$C$21, $C$9, 100%, $E$9)</f>
        <v>133.43469999999999</v>
      </c>
      <c r="M1044" s="14">
        <f>CHOOSE(CONTROL!$C$42, 130.0408, 130.0408) * CHOOSE(CONTROL!$C$21, $C$9, 100%, $E$9)</f>
        <v>130.04079999999999</v>
      </c>
      <c r="N1044" s="14">
        <f>CHOOSE(CONTROL!$C$42, 130.0571, 130.0571) * CHOOSE(CONTROL!$C$21, $C$9, 100%, $E$9)</f>
        <v>130.05709999999999</v>
      </c>
      <c r="O1044" s="14">
        <f>CHOOSE(CONTROL!$C$42, 130.1334, 130.1334) * CHOOSE(CONTROL!$C$21, $C$9, 100%, $E$9)</f>
        <v>130.13339999999999</v>
      </c>
      <c r="P1044" s="14">
        <f>CHOOSE(CONTROL!$C$42, 130.4547, 130.4547) * CHOOSE(CONTROL!$C$21, $C$9, 100%, $E$9)</f>
        <v>130.4547</v>
      </c>
      <c r="Q1044" s="14">
        <f>CHOOSE(CONTROL!$C$42, 130.7281, 130.7281) * CHOOSE(CONTROL!$C$21, $C$9, 100%, $E$9)</f>
        <v>130.72810000000001</v>
      </c>
      <c r="R1044" s="14">
        <f>CHOOSE(CONTROL!$C$42, 131.642, 131.642) * CHOOSE(CONTROL!$C$21, $C$9, 100%, $E$9)</f>
        <v>131.642</v>
      </c>
      <c r="S1044" s="14">
        <f>CHOOSE(CONTROL!$C$42, 127.5563, 127.5563) * CHOOSE(CONTROL!$C$21, $C$9, 100%, $E$9)</f>
        <v>127.55629999999999</v>
      </c>
      <c r="T104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44" s="57">
        <f>(1000*CHOOSE(CONTROL!$C$42, 695, 695)*CHOOSE(CONTROL!$C$42, 0.5599, 0.5599)*CHOOSE(CONTROL!$C$42, 31, 31))/1000000</f>
        <v>12.063045499999998</v>
      </c>
      <c r="V1044" s="57">
        <f>(1000*CHOOSE(CONTROL!$C$42, 500, 500)*CHOOSE(CONTROL!$C$42, 0.275, 0.275)*CHOOSE(CONTROL!$C$42, 31, 31))/1000000</f>
        <v>4.2625000000000002</v>
      </c>
      <c r="W1044" s="57">
        <f>(1000*CHOOSE(CONTROL!$C$42, 0.1146, 0.1146)*CHOOSE(CONTROL!$C$42, 121.5, 121.5)*CHOOSE(CONTROL!$C$42, 31, 31))/1000000</f>
        <v>0.43164089999999994</v>
      </c>
      <c r="X1044" s="57">
        <f>(31*0.1790888*100000/1000000)+(31*0.2374*100000/1000000)</f>
        <v>1.2911152800000001</v>
      </c>
      <c r="Y1044" s="57"/>
      <c r="Z1044" s="14"/>
      <c r="AA1044" s="56"/>
      <c r="AB1044" s="50">
        <f>(B1044*122.58+C1044*297.941+D1044*89.177+E1044*40.302+F1044*40+G1044*160+H1044*0+I1044*100+J1044*300)/(122.58+297.941+89.177+40.302+0+40+160+100+300)</f>
        <v>132.80557034817392</v>
      </c>
      <c r="AC1044" s="45">
        <f>(M1044*'RAP TEMPLATE-GAS AVAILABILITY'!O1043+N1044*'RAP TEMPLATE-GAS AVAILABILITY'!P1043+O1044*'RAP TEMPLATE-GAS AVAILABILITY'!Q1043+P1044*'RAP TEMPLATE-GAS AVAILABILITY'!R1043)/('RAP TEMPLATE-GAS AVAILABILITY'!O1043+'RAP TEMPLATE-GAS AVAILABILITY'!P1043+'RAP TEMPLATE-GAS AVAILABILITY'!Q1043+'RAP TEMPLATE-GAS AVAILABILITY'!R1043)</f>
        <v>130.14326187050361</v>
      </c>
    </row>
    <row r="1045" spans="1:29" ht="15.75" x14ac:dyDescent="0.25">
      <c r="A1045" s="32">
        <v>72716</v>
      </c>
      <c r="B1045" s="14">
        <f>CHOOSE(CONTROL!$C$42, 143.6293, 143.6293) * CHOOSE(CONTROL!$C$21, $C$9, 100%, $E$9)</f>
        <v>143.6293</v>
      </c>
      <c r="C1045" s="14">
        <f>CHOOSE(CONTROL!$C$42, 143.6344, 143.6344) * CHOOSE(CONTROL!$C$21, $C$9, 100%, $E$9)</f>
        <v>143.6344</v>
      </c>
      <c r="D1045" s="14">
        <f>CHOOSE(CONTROL!$C$42, 143.7008, 143.7008) * CHOOSE(CONTROL!$C$21, $C$9, 100%, $E$9)</f>
        <v>143.70079999999999</v>
      </c>
      <c r="E1045" s="14">
        <f>CHOOSE(CONTROL!$C$42, 143.7349, 143.7349) * CHOOSE(CONTROL!$C$21, $C$9, 100%, $E$9)</f>
        <v>143.73490000000001</v>
      </c>
      <c r="F1045" s="14">
        <f>CHOOSE(CONTROL!$C$42, 143.6166, 143.6166)*CHOOSE(CONTROL!$C$21, $C$9, 100%, $E$9)</f>
        <v>143.61660000000001</v>
      </c>
      <c r="G1045" s="14">
        <f>CHOOSE(CONTROL!$C$42, 143.6321, 143.6321)*CHOOSE(CONTROL!$C$21, $C$9, 100%, $E$9)</f>
        <v>143.63210000000001</v>
      </c>
      <c r="H1045" s="14">
        <f>CHOOSE(CONTROL!$C$42, 143.7241, 143.7241) * CHOOSE(CONTROL!$C$21, $C$9, 100%, $E$9)</f>
        <v>143.72409999999999</v>
      </c>
      <c r="I1045" s="14">
        <f>CHOOSE(CONTROL!$C$42, 144.0867, 144.0867)* CHOOSE(CONTROL!$C$21, $C$9, 100%, $E$9)</f>
        <v>144.08670000000001</v>
      </c>
      <c r="J1045" s="14">
        <f>CHOOSE(CONTROL!$C$42, 143.6096, 143.6096)* CHOOSE(CONTROL!$C$21, $C$9, 100%, $E$9)</f>
        <v>143.6096</v>
      </c>
      <c r="K1045" s="53">
        <f>CHOOSE(CONTROL!$C$42, 144.0829, 144.0829) * CHOOSE(CONTROL!$C$21, $C$9, 100%, $E$9)</f>
        <v>144.0829</v>
      </c>
      <c r="L1045" s="14">
        <f>CHOOSE(CONTROL!$C$42, 144.3111, 144.3111) * CHOOSE(CONTROL!$C$21, $C$9, 100%, $E$9)</f>
        <v>144.31110000000001</v>
      </c>
      <c r="M1045" s="14">
        <f>CHOOSE(CONTROL!$C$42, 140.6749, 140.6749) * CHOOSE(CONTROL!$C$21, $C$9, 100%, $E$9)</f>
        <v>140.67490000000001</v>
      </c>
      <c r="N1045" s="14">
        <f>CHOOSE(CONTROL!$C$42, 140.69, 140.69) * CHOOSE(CONTROL!$C$21, $C$9, 100%, $E$9)</f>
        <v>140.69</v>
      </c>
      <c r="O1045" s="14">
        <f>CHOOSE(CONTROL!$C$42, 140.787, 140.787) * CHOOSE(CONTROL!$C$21, $C$9, 100%, $E$9)</f>
        <v>140.78700000000001</v>
      </c>
      <c r="P1045" s="14">
        <f>CHOOSE(CONTROL!$C$42, 141.1332, 141.1332) * CHOOSE(CONTROL!$C$21, $C$9, 100%, $E$9)</f>
        <v>141.13319999999999</v>
      </c>
      <c r="Q1045" s="14">
        <f>CHOOSE(CONTROL!$C$42, 141.3817, 141.3817) * CHOOSE(CONTROL!$C$21, $C$9, 100%, $E$9)</f>
        <v>141.3817</v>
      </c>
      <c r="R1045" s="14">
        <f>CHOOSE(CONTROL!$C$42, 142.3221, 142.3221) * CHOOSE(CONTROL!$C$21, $C$9, 100%, $E$9)</f>
        <v>142.32210000000001</v>
      </c>
      <c r="S1045" s="14">
        <f>CHOOSE(CONTROL!$C$42, 138.0048, 138.0048) * CHOOSE(CONTROL!$C$21, $C$9, 100%, $E$9)</f>
        <v>138.00479999999999</v>
      </c>
      <c r="T104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45" s="57">
        <f>(1000*CHOOSE(CONTROL!$C$42, 695, 695)*CHOOSE(CONTROL!$C$42, 0.5599, 0.5599)*CHOOSE(CONTROL!$C$42, 31, 31))/1000000</f>
        <v>12.063045499999998</v>
      </c>
      <c r="V1045" s="57">
        <f>(1000*CHOOSE(CONTROL!$C$42, 500, 500)*CHOOSE(CONTROL!$C$42, 0.275, 0.275)*CHOOSE(CONTROL!$C$42, 31, 31))/1000000</f>
        <v>4.2625000000000002</v>
      </c>
      <c r="W1045" s="57">
        <f>(1000*CHOOSE(CONTROL!$C$42, 0.1146, 0.1146)*CHOOSE(CONTROL!$C$42, 121.5, 121.5)*CHOOSE(CONTROL!$C$42, 31, 31))/1000000</f>
        <v>0.43164089999999994</v>
      </c>
      <c r="X1045" s="57">
        <f>(31*0.1790888*100000/1000000)+(31*0.2374*100000/1000000)</f>
        <v>1.2911152800000001</v>
      </c>
      <c r="Y1045" s="57"/>
      <c r="Z1045" s="14"/>
      <c r="AA1045" s="56"/>
      <c r="AB1045" s="50">
        <f>(B1045*122.58+C1045*297.941+D1045*89.177+E1045*40.302+F1045*40+G1045*160+H1045*0+I1045*100+J1045*300)/(122.58+297.941+89.177+40.302+0+40+160+100+300)</f>
        <v>143.67444917026089</v>
      </c>
      <c r="AC1045" s="45">
        <f>(M1045*'RAP TEMPLATE-GAS AVAILABILITY'!O1044+N1045*'RAP TEMPLATE-GAS AVAILABILITY'!P1044+O1045*'RAP TEMPLATE-GAS AVAILABILITY'!Q1044+P1045*'RAP TEMPLATE-GAS AVAILABILITY'!R1044)/('RAP TEMPLATE-GAS AVAILABILITY'!O1044+'RAP TEMPLATE-GAS AVAILABILITY'!P1044+'RAP TEMPLATE-GAS AVAILABILITY'!Q1044+'RAP TEMPLATE-GAS AVAILABILITY'!R1044)</f>
        <v>140.79251942446044</v>
      </c>
    </row>
    <row r="1046" spans="1:29" ht="15.75" x14ac:dyDescent="0.25">
      <c r="A1046" s="32">
        <v>72744</v>
      </c>
      <c r="B1046" s="14">
        <f>CHOOSE(CONTROL!$C$42, 146.1859, 146.1859) * CHOOSE(CONTROL!$C$21, $C$9, 100%, $E$9)</f>
        <v>146.1859</v>
      </c>
      <c r="C1046" s="14">
        <f>CHOOSE(CONTROL!$C$42, 146.191, 146.191) * CHOOSE(CONTROL!$C$21, $C$9, 100%, $E$9)</f>
        <v>146.191</v>
      </c>
      <c r="D1046" s="14">
        <f>CHOOSE(CONTROL!$C$42, 146.2574, 146.2574) * CHOOSE(CONTROL!$C$21, $C$9, 100%, $E$9)</f>
        <v>146.25739999999999</v>
      </c>
      <c r="E1046" s="14">
        <f>CHOOSE(CONTROL!$C$42, 146.2915, 146.2915) * CHOOSE(CONTROL!$C$21, $C$9, 100%, $E$9)</f>
        <v>146.29150000000001</v>
      </c>
      <c r="F1046" s="14">
        <f>CHOOSE(CONTROL!$C$42, 146.1733, 146.1733)*CHOOSE(CONTROL!$C$21, $C$9, 100%, $E$9)</f>
        <v>146.17330000000001</v>
      </c>
      <c r="G1046" s="14">
        <f>CHOOSE(CONTROL!$C$42, 146.1888, 146.1888)*CHOOSE(CONTROL!$C$21, $C$9, 100%, $E$9)</f>
        <v>146.18879999999999</v>
      </c>
      <c r="H1046" s="14">
        <f>CHOOSE(CONTROL!$C$42, 146.2807, 146.2807) * CHOOSE(CONTROL!$C$21, $C$9, 100%, $E$9)</f>
        <v>146.2807</v>
      </c>
      <c r="I1046" s="14">
        <f>CHOOSE(CONTROL!$C$42, 146.6514, 146.6514)* CHOOSE(CONTROL!$C$21, $C$9, 100%, $E$9)</f>
        <v>146.6514</v>
      </c>
      <c r="J1046" s="14">
        <f>CHOOSE(CONTROL!$C$42, 146.1663, 146.1663)* CHOOSE(CONTROL!$C$21, $C$9, 100%, $E$9)</f>
        <v>146.16630000000001</v>
      </c>
      <c r="K1046" s="53">
        <f>CHOOSE(CONTROL!$C$42, 146.6475, 146.6475) * CHOOSE(CONTROL!$C$21, $C$9, 100%, $E$9)</f>
        <v>146.64750000000001</v>
      </c>
      <c r="L1046" s="14">
        <f>CHOOSE(CONTROL!$C$42, 146.8677, 146.8677) * CHOOSE(CONTROL!$C$21, $C$9, 100%, $E$9)</f>
        <v>146.86770000000001</v>
      </c>
      <c r="M1046" s="14">
        <f>CHOOSE(CONTROL!$C$42, 143.1792, 143.1792) * CHOOSE(CONTROL!$C$21, $C$9, 100%, $E$9)</f>
        <v>143.17920000000001</v>
      </c>
      <c r="N1046" s="14">
        <f>CHOOSE(CONTROL!$C$42, 143.1944, 143.1944) * CHOOSE(CONTROL!$C$21, $C$9, 100%, $E$9)</f>
        <v>143.1944</v>
      </c>
      <c r="O1046" s="14">
        <f>CHOOSE(CONTROL!$C$42, 143.2912, 143.2912) * CHOOSE(CONTROL!$C$21, $C$9, 100%, $E$9)</f>
        <v>143.2912</v>
      </c>
      <c r="P1046" s="14">
        <f>CHOOSE(CONTROL!$C$42, 143.6452, 143.6452) * CHOOSE(CONTROL!$C$21, $C$9, 100%, $E$9)</f>
        <v>143.64519999999999</v>
      </c>
      <c r="Q1046" s="14">
        <f>CHOOSE(CONTROL!$C$42, 143.8859, 143.8859) * CHOOSE(CONTROL!$C$21, $C$9, 100%, $E$9)</f>
        <v>143.88589999999999</v>
      </c>
      <c r="R1046" s="14">
        <f>CHOOSE(CONTROL!$C$42, 144.8326, 144.8326) * CHOOSE(CONTROL!$C$21, $C$9, 100%, $E$9)</f>
        <v>144.83260000000001</v>
      </c>
      <c r="S1046" s="14">
        <f>CHOOSE(CONTROL!$C$42, 140.4615, 140.4615) * CHOOSE(CONTROL!$C$21, $C$9, 100%, $E$9)</f>
        <v>140.4615</v>
      </c>
      <c r="T104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46" s="57">
        <f>(1000*CHOOSE(CONTROL!$C$42, 695, 695)*CHOOSE(CONTROL!$C$42, 0.5599, 0.5599)*CHOOSE(CONTROL!$C$42, 28, 28))/1000000</f>
        <v>10.895653999999999</v>
      </c>
      <c r="V1046" s="57">
        <f>(1000*CHOOSE(CONTROL!$C$42, 500, 500)*CHOOSE(CONTROL!$C$42, 0.275, 0.275)*CHOOSE(CONTROL!$C$42, 28, 28))/1000000</f>
        <v>3.85</v>
      </c>
      <c r="W1046" s="57">
        <f>(1000*CHOOSE(CONTROL!$C$42, 0.1146, 0.1146)*CHOOSE(CONTROL!$C$42, 121.5, 121.5)*CHOOSE(CONTROL!$C$42, 28, 28))/1000000</f>
        <v>0.38986920000000003</v>
      </c>
      <c r="X1046" s="57">
        <f>(28*0.1790888*100000/1000000)+(28*0.2374*100000/1000000)</f>
        <v>1.16616864</v>
      </c>
      <c r="Y1046" s="57"/>
      <c r="Z1046" s="14"/>
      <c r="AA1046" s="56"/>
      <c r="AB1046" s="50">
        <f>(B1046*122.58+C1046*297.941+D1046*89.177+E1046*40.302+F1046*40+G1046*160+H1046*0+I1046*100+J1046*300)/(122.58+297.941+89.177+40.302+0+40+160+100+300)</f>
        <v>146.23179699634781</v>
      </c>
      <c r="AC1046" s="45">
        <f>(M1046*'RAP TEMPLATE-GAS AVAILABILITY'!O1045+N1046*'RAP TEMPLATE-GAS AVAILABILITY'!P1045+O1046*'RAP TEMPLATE-GAS AVAILABILITY'!Q1045+P1046*'RAP TEMPLATE-GAS AVAILABILITY'!R1045)/('RAP TEMPLATE-GAS AVAILABILITY'!O1045+'RAP TEMPLATE-GAS AVAILABILITY'!P1045+'RAP TEMPLATE-GAS AVAILABILITY'!Q1045+'RAP TEMPLATE-GAS AVAILABILITY'!R1045)</f>
        <v>143.29788776978418</v>
      </c>
    </row>
    <row r="1047" spans="1:29" ht="15.75" x14ac:dyDescent="0.25">
      <c r="A1047" s="32">
        <v>72775</v>
      </c>
      <c r="B1047" s="14">
        <f>CHOOSE(CONTROL!$C$42, 142.0359, 142.0359) * CHOOSE(CONTROL!$C$21, $C$9, 100%, $E$9)</f>
        <v>142.0359</v>
      </c>
      <c r="C1047" s="14">
        <f>CHOOSE(CONTROL!$C$42, 142.041, 142.041) * CHOOSE(CONTROL!$C$21, $C$9, 100%, $E$9)</f>
        <v>142.041</v>
      </c>
      <c r="D1047" s="14">
        <f>CHOOSE(CONTROL!$C$42, 142.1074, 142.1074) * CHOOSE(CONTROL!$C$21, $C$9, 100%, $E$9)</f>
        <v>142.10740000000001</v>
      </c>
      <c r="E1047" s="14">
        <f>CHOOSE(CONTROL!$C$42, 142.1415, 142.1415) * CHOOSE(CONTROL!$C$21, $C$9, 100%, $E$9)</f>
        <v>142.14150000000001</v>
      </c>
      <c r="F1047" s="14">
        <f>CHOOSE(CONTROL!$C$42, 142.0229, 142.0229)*CHOOSE(CONTROL!$C$21, $C$9, 100%, $E$9)</f>
        <v>142.02289999999999</v>
      </c>
      <c r="G1047" s="14">
        <f>CHOOSE(CONTROL!$C$42, 142.0383, 142.0383)*CHOOSE(CONTROL!$C$21, $C$9, 100%, $E$9)</f>
        <v>142.03829999999999</v>
      </c>
      <c r="H1047" s="14">
        <f>CHOOSE(CONTROL!$C$42, 142.1307, 142.1307) * CHOOSE(CONTROL!$C$21, $C$9, 100%, $E$9)</f>
        <v>142.13069999999999</v>
      </c>
      <c r="I1047" s="14">
        <f>CHOOSE(CONTROL!$C$42, 142.4883, 142.4883)* CHOOSE(CONTROL!$C$21, $C$9, 100%, $E$9)</f>
        <v>142.48830000000001</v>
      </c>
      <c r="J1047" s="14">
        <f>CHOOSE(CONTROL!$C$42, 142.0159, 142.0159)* CHOOSE(CONTROL!$C$21, $C$9, 100%, $E$9)</f>
        <v>142.01589999999999</v>
      </c>
      <c r="K1047" s="53">
        <f>CHOOSE(CONTROL!$C$42, 142.4845, 142.4845) * CHOOSE(CONTROL!$C$21, $C$9, 100%, $E$9)</f>
        <v>142.4845</v>
      </c>
      <c r="L1047" s="14">
        <f>CHOOSE(CONTROL!$C$42, 142.7177, 142.7177) * CHOOSE(CONTROL!$C$21, $C$9, 100%, $E$9)</f>
        <v>142.71770000000001</v>
      </c>
      <c r="M1047" s="14">
        <f>CHOOSE(CONTROL!$C$42, 139.1138, 139.1138) * CHOOSE(CONTROL!$C$21, $C$9, 100%, $E$9)</f>
        <v>139.1138</v>
      </c>
      <c r="N1047" s="14">
        <f>CHOOSE(CONTROL!$C$42, 139.1288, 139.1288) * CHOOSE(CONTROL!$C$21, $C$9, 100%, $E$9)</f>
        <v>139.12880000000001</v>
      </c>
      <c r="O1047" s="14">
        <f>CHOOSE(CONTROL!$C$42, 139.2262, 139.2262) * CHOOSE(CONTROL!$C$21, $C$9, 100%, $E$9)</f>
        <v>139.22620000000001</v>
      </c>
      <c r="P1047" s="14">
        <f>CHOOSE(CONTROL!$C$42, 139.5677, 139.5677) * CHOOSE(CONTROL!$C$21, $C$9, 100%, $E$9)</f>
        <v>139.5677</v>
      </c>
      <c r="Q1047" s="14">
        <f>CHOOSE(CONTROL!$C$42, 139.8209, 139.8209) * CHOOSE(CONTROL!$C$21, $C$9, 100%, $E$9)</f>
        <v>139.82089999999999</v>
      </c>
      <c r="R1047" s="14">
        <f>CHOOSE(CONTROL!$C$42, 140.7575, 140.7575) * CHOOSE(CONTROL!$C$21, $C$9, 100%, $E$9)</f>
        <v>140.75749999999999</v>
      </c>
      <c r="S1047" s="14">
        <f>CHOOSE(CONTROL!$C$42, 136.4737, 136.4737) * CHOOSE(CONTROL!$C$21, $C$9, 100%, $E$9)</f>
        <v>136.47370000000001</v>
      </c>
      <c r="T104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47" s="57">
        <f>(1000*CHOOSE(CONTROL!$C$42, 695, 695)*CHOOSE(CONTROL!$C$42, 0.5599, 0.5599)*CHOOSE(CONTROL!$C$42, 31, 31))/1000000</f>
        <v>12.063045499999998</v>
      </c>
      <c r="V1047" s="57">
        <f>(1000*CHOOSE(CONTROL!$C$42, 500, 500)*CHOOSE(CONTROL!$C$42, 0.275, 0.275)*CHOOSE(CONTROL!$C$42, 31, 31))/1000000</f>
        <v>4.2625000000000002</v>
      </c>
      <c r="W1047" s="57">
        <f>(1000*CHOOSE(CONTROL!$C$42, 0.1146, 0.1146)*CHOOSE(CONTROL!$C$42, 121.5, 121.5)*CHOOSE(CONTROL!$C$42, 31, 31))/1000000</f>
        <v>0.43164089999999994</v>
      </c>
      <c r="X1047" s="57">
        <f>(31*0.1790888*100000/1000000)+(31*0.2374*100000/1000000)</f>
        <v>1.2911152800000001</v>
      </c>
      <c r="Y1047" s="57"/>
      <c r="Z1047" s="14"/>
      <c r="AA1047" s="56"/>
      <c r="AB1047" s="50">
        <f>(B1047*122.58+C1047*297.941+D1047*89.177+E1047*40.302+F1047*40+G1047*160+H1047*0+I1047*100+J1047*300)/(122.58+297.941+89.177+40.302+0+40+160+100+300)</f>
        <v>142.08047003982605</v>
      </c>
      <c r="AC1047" s="45">
        <f>(M1047*'RAP TEMPLATE-GAS AVAILABILITY'!O1046+N1047*'RAP TEMPLATE-GAS AVAILABILITY'!P1046+O1047*'RAP TEMPLATE-GAS AVAILABILITY'!Q1046+P1047*'RAP TEMPLATE-GAS AVAILABILITY'!R1046)/('RAP TEMPLATE-GAS AVAILABILITY'!O1046+'RAP TEMPLATE-GAS AVAILABILITY'!P1046+'RAP TEMPLATE-GAS AVAILABILITY'!Q1046+'RAP TEMPLATE-GAS AVAILABILITY'!R1046)</f>
        <v>139.23091654676261</v>
      </c>
    </row>
    <row r="1048" spans="1:29" ht="15.75" x14ac:dyDescent="0.25">
      <c r="A1048" s="32">
        <v>72805</v>
      </c>
      <c r="B1048" s="14">
        <f>CHOOSE(CONTROL!$C$42, 141.6118, 141.6118) * CHOOSE(CONTROL!$C$21, $C$9, 100%, $E$9)</f>
        <v>141.61179999999999</v>
      </c>
      <c r="C1048" s="14">
        <f>CHOOSE(CONTROL!$C$42, 141.6163, 141.6163) * CHOOSE(CONTROL!$C$21, $C$9, 100%, $E$9)</f>
        <v>141.6163</v>
      </c>
      <c r="D1048" s="14">
        <f>CHOOSE(CONTROL!$C$42, 141.8234, 141.8234) * CHOOSE(CONTROL!$C$21, $C$9, 100%, $E$9)</f>
        <v>141.82339999999999</v>
      </c>
      <c r="E1048" s="14">
        <f>CHOOSE(CONTROL!$C$42, 141.8555, 141.8555) * CHOOSE(CONTROL!$C$21, $C$9, 100%, $E$9)</f>
        <v>141.85550000000001</v>
      </c>
      <c r="F1048" s="14">
        <f>CHOOSE(CONTROL!$C$42, 141.5937, 141.5937)*CHOOSE(CONTROL!$C$21, $C$9, 100%, $E$9)</f>
        <v>141.59370000000001</v>
      </c>
      <c r="G1048" s="14">
        <f>CHOOSE(CONTROL!$C$42, 141.6089, 141.6089)*CHOOSE(CONTROL!$C$21, $C$9, 100%, $E$9)</f>
        <v>141.60890000000001</v>
      </c>
      <c r="H1048" s="14">
        <f>CHOOSE(CONTROL!$C$42, 141.8453, 141.8453) * CHOOSE(CONTROL!$C$21, $C$9, 100%, $E$9)</f>
        <v>141.84530000000001</v>
      </c>
      <c r="I1048" s="14">
        <f>CHOOSE(CONTROL!$C$42, 142.0621, 142.0621)* CHOOSE(CONTROL!$C$21, $C$9, 100%, $E$9)</f>
        <v>142.06209999999999</v>
      </c>
      <c r="J1048" s="14">
        <f>CHOOSE(CONTROL!$C$42, 141.5867, 141.5867)* CHOOSE(CONTROL!$C$21, $C$9, 100%, $E$9)</f>
        <v>141.58670000000001</v>
      </c>
      <c r="K1048" s="53">
        <f>CHOOSE(CONTROL!$C$42, 142.0583, 142.0583) * CHOOSE(CONTROL!$C$21, $C$9, 100%, $E$9)</f>
        <v>142.0583</v>
      </c>
      <c r="L1048" s="14">
        <f>CHOOSE(CONTROL!$C$42, 142.4323, 142.4323) * CHOOSE(CONTROL!$C$21, $C$9, 100%, $E$9)</f>
        <v>142.4323</v>
      </c>
      <c r="M1048" s="14">
        <f>CHOOSE(CONTROL!$C$42, 138.6934, 138.6934) * CHOOSE(CONTROL!$C$21, $C$9, 100%, $E$9)</f>
        <v>138.6934</v>
      </c>
      <c r="N1048" s="14">
        <f>CHOOSE(CONTROL!$C$42, 138.7083, 138.7083) * CHOOSE(CONTROL!$C$21, $C$9, 100%, $E$9)</f>
        <v>138.70830000000001</v>
      </c>
      <c r="O1048" s="14">
        <f>CHOOSE(CONTROL!$C$42, 138.9466, 138.9466) * CHOOSE(CONTROL!$C$21, $C$9, 100%, $E$9)</f>
        <v>138.94659999999999</v>
      </c>
      <c r="P1048" s="14">
        <f>CHOOSE(CONTROL!$C$42, 139.1502, 139.1502) * CHOOSE(CONTROL!$C$21, $C$9, 100%, $E$9)</f>
        <v>139.15020000000001</v>
      </c>
      <c r="Q1048" s="14">
        <f>CHOOSE(CONTROL!$C$42, 139.5413, 139.5413) * CHOOSE(CONTROL!$C$21, $C$9, 100%, $E$9)</f>
        <v>139.54130000000001</v>
      </c>
      <c r="R1048" s="14">
        <f>CHOOSE(CONTROL!$C$42, 140.4772, 140.4772) * CHOOSE(CONTROL!$C$21, $C$9, 100%, $E$9)</f>
        <v>140.47720000000001</v>
      </c>
      <c r="S1048" s="14">
        <f>CHOOSE(CONTROL!$C$42, 136.0655, 136.0655) * CHOOSE(CONTROL!$C$21, $C$9, 100%, $E$9)</f>
        <v>136.06549999999999</v>
      </c>
      <c r="T104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48" s="57">
        <f>(1000*CHOOSE(CONTROL!$C$42, 695, 695)*CHOOSE(CONTROL!$C$42, 0.5599, 0.5599)*CHOOSE(CONTROL!$C$42, 30, 30))/1000000</f>
        <v>11.673914999999997</v>
      </c>
      <c r="V1048" s="57">
        <f>(1000*CHOOSE(CONTROL!$C$42, 500, 500)*CHOOSE(CONTROL!$C$42, 0.275, 0.275)*CHOOSE(CONTROL!$C$42, 30, 30))/1000000</f>
        <v>4.125</v>
      </c>
      <c r="W1048" s="57">
        <f>(1000*CHOOSE(CONTROL!$C$42, 0.1146, 0.1146)*CHOOSE(CONTROL!$C$42, 121.5, 121.5)*CHOOSE(CONTROL!$C$42, 30, 30))/1000000</f>
        <v>0.417717</v>
      </c>
      <c r="X1048" s="57">
        <f>(30*0.1790888*245000/1000000)+(30*0.2374*100000/1000000)</f>
        <v>2.0285026799999999</v>
      </c>
      <c r="Y1048" s="57"/>
      <c r="Z1048" s="14"/>
      <c r="AA1048" s="56"/>
      <c r="AB1048" s="50">
        <f>(B1048*141.293+C1048*267.993+D1048*115.016+E1048*89.698+F1048*40+G1048*185+H1048*0+I1048*100+J1048*300)/(141.293+267.993+115.016+89.698+0+40+185+100+300)</f>
        <v>141.67930787465698</v>
      </c>
      <c r="AC1048" s="45">
        <f>(M1048*'RAP TEMPLATE-GAS AVAILABILITY'!O1047+N1048*'RAP TEMPLATE-GAS AVAILABILITY'!P1047+O1048*'RAP TEMPLATE-GAS AVAILABILITY'!Q1047+P1048*'RAP TEMPLATE-GAS AVAILABILITY'!R1047)/('RAP TEMPLATE-GAS AVAILABILITY'!O1047+'RAP TEMPLATE-GAS AVAILABILITY'!P1047+'RAP TEMPLATE-GAS AVAILABILITY'!Q1047+'RAP TEMPLATE-GAS AVAILABILITY'!R1047)</f>
        <v>138.8747438848921</v>
      </c>
    </row>
    <row r="1049" spans="1:29" ht="15.75" x14ac:dyDescent="0.25">
      <c r="A1049" s="32">
        <v>72836</v>
      </c>
      <c r="B1049" s="14">
        <f>CHOOSE(CONTROL!$C$42, 142.863, 142.863) * CHOOSE(CONTROL!$C$21, $C$9, 100%, $E$9)</f>
        <v>142.863</v>
      </c>
      <c r="C1049" s="14">
        <f>CHOOSE(CONTROL!$C$42, 142.871, 142.871) * CHOOSE(CONTROL!$C$21, $C$9, 100%, $E$9)</f>
        <v>142.87100000000001</v>
      </c>
      <c r="D1049" s="14">
        <f>CHOOSE(CONTROL!$C$42, 143.075, 143.075) * CHOOSE(CONTROL!$C$21, $C$9, 100%, $E$9)</f>
        <v>143.07499999999999</v>
      </c>
      <c r="E1049" s="14">
        <f>CHOOSE(CONTROL!$C$42, 143.1064, 143.1064) * CHOOSE(CONTROL!$C$21, $C$9, 100%, $E$9)</f>
        <v>143.10640000000001</v>
      </c>
      <c r="F1049" s="14">
        <f>CHOOSE(CONTROL!$C$42, 142.8437, 142.8437)*CHOOSE(CONTROL!$C$21, $C$9, 100%, $E$9)</f>
        <v>142.84370000000001</v>
      </c>
      <c r="G1049" s="14">
        <f>CHOOSE(CONTROL!$C$42, 142.8594, 142.8594)*CHOOSE(CONTROL!$C$21, $C$9, 100%, $E$9)</f>
        <v>142.85939999999999</v>
      </c>
      <c r="H1049" s="14">
        <f>CHOOSE(CONTROL!$C$42, 143.095, 143.095) * CHOOSE(CONTROL!$C$21, $C$9, 100%, $E$9)</f>
        <v>143.095</v>
      </c>
      <c r="I1049" s="14">
        <f>CHOOSE(CONTROL!$C$42, 143.3159, 143.3159)* CHOOSE(CONTROL!$C$21, $C$9, 100%, $E$9)</f>
        <v>143.3159</v>
      </c>
      <c r="J1049" s="14">
        <f>CHOOSE(CONTROL!$C$42, 142.8367, 142.8367)* CHOOSE(CONTROL!$C$21, $C$9, 100%, $E$9)</f>
        <v>142.83670000000001</v>
      </c>
      <c r="K1049" s="53">
        <f>CHOOSE(CONTROL!$C$42, 143.312, 143.312) * CHOOSE(CONTROL!$C$21, $C$9, 100%, $E$9)</f>
        <v>143.31200000000001</v>
      </c>
      <c r="L1049" s="14">
        <f>CHOOSE(CONTROL!$C$42, 143.682, 143.682) * CHOOSE(CONTROL!$C$21, $C$9, 100%, $E$9)</f>
        <v>143.68199999999999</v>
      </c>
      <c r="M1049" s="14">
        <f>CHOOSE(CONTROL!$C$42, 139.9178, 139.9178) * CHOOSE(CONTROL!$C$21, $C$9, 100%, $E$9)</f>
        <v>139.9178</v>
      </c>
      <c r="N1049" s="14">
        <f>CHOOSE(CONTROL!$C$42, 139.9331, 139.9331) * CHOOSE(CONTROL!$C$21, $C$9, 100%, $E$9)</f>
        <v>139.9331</v>
      </c>
      <c r="O1049" s="14">
        <f>CHOOSE(CONTROL!$C$42, 140.1708, 140.1708) * CHOOSE(CONTROL!$C$21, $C$9, 100%, $E$9)</f>
        <v>140.17080000000001</v>
      </c>
      <c r="P1049" s="14">
        <f>CHOOSE(CONTROL!$C$42, 140.3782, 140.3782) * CHOOSE(CONTROL!$C$21, $C$9, 100%, $E$9)</f>
        <v>140.37819999999999</v>
      </c>
      <c r="Q1049" s="14">
        <f>CHOOSE(CONTROL!$C$42, 140.7655, 140.7655) * CHOOSE(CONTROL!$C$21, $C$9, 100%, $E$9)</f>
        <v>140.7655</v>
      </c>
      <c r="R1049" s="14">
        <f>CHOOSE(CONTROL!$C$42, 141.7044, 141.7044) * CHOOSE(CONTROL!$C$21, $C$9, 100%, $E$9)</f>
        <v>141.70439999999999</v>
      </c>
      <c r="S1049" s="14">
        <f>CHOOSE(CONTROL!$C$42, 137.2664, 137.2664) * CHOOSE(CONTROL!$C$21, $C$9, 100%, $E$9)</f>
        <v>137.2664</v>
      </c>
      <c r="T104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49" s="57">
        <f>(1000*CHOOSE(CONTROL!$C$42, 695, 695)*CHOOSE(CONTROL!$C$42, 0.5599, 0.5599)*CHOOSE(CONTROL!$C$42, 31, 31))/1000000</f>
        <v>12.063045499999998</v>
      </c>
      <c r="V1049" s="57">
        <f>(1000*CHOOSE(CONTROL!$C$42, 500, 500)*CHOOSE(CONTROL!$C$42, 0.275, 0.275)*CHOOSE(CONTROL!$C$42, 31, 31))/1000000</f>
        <v>4.2625000000000002</v>
      </c>
      <c r="W1049" s="57">
        <f>(1000*CHOOSE(CONTROL!$C$42, 0.1146, 0.1146)*CHOOSE(CONTROL!$C$42, 121.5, 121.5)*CHOOSE(CONTROL!$C$42, 31, 31))/1000000</f>
        <v>0.43164089999999994</v>
      </c>
      <c r="X1049" s="57">
        <f>(31*0.1790888*245000/1000000)+(31*0.2374*100000/1000000)</f>
        <v>2.0961194359999999</v>
      </c>
      <c r="Y1049" s="57"/>
      <c r="Z1049" s="14"/>
      <c r="AA1049" s="56"/>
      <c r="AB1049" s="50">
        <f>(B1049*194.205+C1049*267.466+D1049*133.845+E1049*53.484+F1049*40+G1049*185+H1049*0+I1049*100+J1049*300)/(194.205+267.466+133.845+53.484+0+40+185+100+300)</f>
        <v>142.92539785996863</v>
      </c>
      <c r="AC1049" s="45">
        <f>(M1049*'RAP TEMPLATE-GAS AVAILABILITY'!O1048+N1049*'RAP TEMPLATE-GAS AVAILABILITY'!P1048+O1049*'RAP TEMPLATE-GAS AVAILABILITY'!Q1048+P1049*'RAP TEMPLATE-GAS AVAILABILITY'!R1048)/('RAP TEMPLATE-GAS AVAILABILITY'!O1048+'RAP TEMPLATE-GAS AVAILABILITY'!P1048+'RAP TEMPLATE-GAS AVAILABILITY'!Q1048+'RAP TEMPLATE-GAS AVAILABILITY'!R1048)</f>
        <v>140.0995942446043</v>
      </c>
    </row>
    <row r="1050" spans="1:29" ht="15.75" x14ac:dyDescent="0.25">
      <c r="A1050" s="32">
        <v>72866</v>
      </c>
      <c r="B1050" s="14">
        <f>CHOOSE(CONTROL!$C$42, 146.9152, 146.9152) * CHOOSE(CONTROL!$C$21, $C$9, 100%, $E$9)</f>
        <v>146.9152</v>
      </c>
      <c r="C1050" s="14">
        <f>CHOOSE(CONTROL!$C$42, 146.9232, 146.9232) * CHOOSE(CONTROL!$C$21, $C$9, 100%, $E$9)</f>
        <v>146.92320000000001</v>
      </c>
      <c r="D1050" s="14">
        <f>CHOOSE(CONTROL!$C$42, 147.1271, 147.1271) * CHOOSE(CONTROL!$C$21, $C$9, 100%, $E$9)</f>
        <v>147.12710000000001</v>
      </c>
      <c r="E1050" s="14">
        <f>CHOOSE(CONTROL!$C$42, 147.1586, 147.1586) * CHOOSE(CONTROL!$C$21, $C$9, 100%, $E$9)</f>
        <v>147.15860000000001</v>
      </c>
      <c r="F1050" s="14">
        <f>CHOOSE(CONTROL!$C$42, 146.8963, 146.8963)*CHOOSE(CONTROL!$C$21, $C$9, 100%, $E$9)</f>
        <v>146.8963</v>
      </c>
      <c r="G1050" s="14">
        <f>CHOOSE(CONTROL!$C$42, 146.9121, 146.9121)*CHOOSE(CONTROL!$C$21, $C$9, 100%, $E$9)</f>
        <v>146.91210000000001</v>
      </c>
      <c r="H1050" s="14">
        <f>CHOOSE(CONTROL!$C$42, 147.1472, 147.1472) * CHOOSE(CONTROL!$C$21, $C$9, 100%, $E$9)</f>
        <v>147.1472</v>
      </c>
      <c r="I1050" s="14">
        <f>CHOOSE(CONTROL!$C$42, 147.3807, 147.3807)* CHOOSE(CONTROL!$C$21, $C$9, 100%, $E$9)</f>
        <v>147.38069999999999</v>
      </c>
      <c r="J1050" s="14">
        <f>CHOOSE(CONTROL!$C$42, 146.8893, 146.8893)* CHOOSE(CONTROL!$C$21, $C$9, 100%, $E$9)</f>
        <v>146.88929999999999</v>
      </c>
      <c r="K1050" s="53">
        <f>CHOOSE(CONTROL!$C$42, 147.3768, 147.3768) * CHOOSE(CONTROL!$C$21, $C$9, 100%, $E$9)</f>
        <v>147.3768</v>
      </c>
      <c r="L1050" s="14">
        <f>CHOOSE(CONTROL!$C$42, 147.7342, 147.7342) * CHOOSE(CONTROL!$C$21, $C$9, 100%, $E$9)</f>
        <v>147.73419999999999</v>
      </c>
      <c r="M1050" s="14">
        <f>CHOOSE(CONTROL!$C$42, 143.8874, 143.8874) * CHOOSE(CONTROL!$C$21, $C$9, 100%, $E$9)</f>
        <v>143.88740000000001</v>
      </c>
      <c r="N1050" s="14">
        <f>CHOOSE(CONTROL!$C$42, 143.9028, 143.9028) * CHOOSE(CONTROL!$C$21, $C$9, 100%, $E$9)</f>
        <v>143.90280000000001</v>
      </c>
      <c r="O1050" s="14">
        <f>CHOOSE(CONTROL!$C$42, 144.14, 144.14) * CHOOSE(CONTROL!$C$21, $C$9, 100%, $E$9)</f>
        <v>144.13999999999999</v>
      </c>
      <c r="P1050" s="14">
        <f>CHOOSE(CONTROL!$C$42, 144.3595, 144.3595) * CHOOSE(CONTROL!$C$21, $C$9, 100%, $E$9)</f>
        <v>144.3595</v>
      </c>
      <c r="Q1050" s="14">
        <f>CHOOSE(CONTROL!$C$42, 144.7347, 144.7347) * CHOOSE(CONTROL!$C$21, $C$9, 100%, $E$9)</f>
        <v>144.7347</v>
      </c>
      <c r="R1050" s="14">
        <f>CHOOSE(CONTROL!$C$42, 145.6835, 145.6835) * CHOOSE(CONTROL!$C$21, $C$9, 100%, $E$9)</f>
        <v>145.68350000000001</v>
      </c>
      <c r="S1050" s="14">
        <f>CHOOSE(CONTROL!$C$42, 141.1601, 141.1601) * CHOOSE(CONTROL!$C$21, $C$9, 100%, $E$9)</f>
        <v>141.1601</v>
      </c>
      <c r="T105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50" s="57">
        <f>(1000*CHOOSE(CONTROL!$C$42, 695, 695)*CHOOSE(CONTROL!$C$42, 0.5599, 0.5599)*CHOOSE(CONTROL!$C$42, 30, 30))/1000000</f>
        <v>11.673914999999997</v>
      </c>
      <c r="V1050" s="57">
        <f>(1000*CHOOSE(CONTROL!$C$42, 500, 500)*CHOOSE(CONTROL!$C$42, 0.275, 0.275)*CHOOSE(CONTROL!$C$42, 30, 30))/1000000</f>
        <v>4.125</v>
      </c>
      <c r="W1050" s="57">
        <f>(1000*CHOOSE(CONTROL!$C$42, 0.1146, 0.1146)*CHOOSE(CONTROL!$C$42, 121.5, 121.5)*CHOOSE(CONTROL!$C$42, 30, 30))/1000000</f>
        <v>0.417717</v>
      </c>
      <c r="X1050" s="57">
        <f>(30*0.1790888*245000/1000000)+(30*0.2374*100000/1000000)</f>
        <v>2.0285026799999999</v>
      </c>
      <c r="Y1050" s="57"/>
      <c r="Z1050" s="14"/>
      <c r="AA1050" s="56"/>
      <c r="AB1050" s="50">
        <f>(B1050*194.205+C1050*267.466+D1050*133.845+E1050*53.484+F1050*40+G1050*185+H1050*0+I1050*100+J1050*300)/(194.205+267.466+133.845+53.484+0+40+185+100+300)</f>
        <v>146.9787557214286</v>
      </c>
      <c r="AC1050" s="45">
        <f>(M1050*'RAP TEMPLATE-GAS AVAILABILITY'!O1049+N1050*'RAP TEMPLATE-GAS AVAILABILITY'!P1049+O1050*'RAP TEMPLATE-GAS AVAILABILITY'!Q1049+P1050*'RAP TEMPLATE-GAS AVAILABILITY'!R1049)/('RAP TEMPLATE-GAS AVAILABILITY'!O1049+'RAP TEMPLATE-GAS AVAILABILITY'!P1049+'RAP TEMPLATE-GAS AVAILABILITY'!Q1049+'RAP TEMPLATE-GAS AVAILABILITY'!R1049)</f>
        <v>144.07070215827338</v>
      </c>
    </row>
    <row r="1051" spans="1:29" ht="15.75" x14ac:dyDescent="0.25">
      <c r="A1051" s="32">
        <v>72897</v>
      </c>
      <c r="B1051" s="14">
        <f>CHOOSE(CONTROL!$C$42, 144.0969, 144.0969) * CHOOSE(CONTROL!$C$21, $C$9, 100%, $E$9)</f>
        <v>144.09690000000001</v>
      </c>
      <c r="C1051" s="14">
        <f>CHOOSE(CONTROL!$C$42, 144.1049, 144.1049) * CHOOSE(CONTROL!$C$21, $C$9, 100%, $E$9)</f>
        <v>144.10489999999999</v>
      </c>
      <c r="D1051" s="14">
        <f>CHOOSE(CONTROL!$C$42, 144.3088, 144.3088) * CHOOSE(CONTROL!$C$21, $C$9, 100%, $E$9)</f>
        <v>144.30879999999999</v>
      </c>
      <c r="E1051" s="14">
        <f>CHOOSE(CONTROL!$C$42, 144.3403, 144.3403) * CHOOSE(CONTROL!$C$21, $C$9, 100%, $E$9)</f>
        <v>144.34030000000001</v>
      </c>
      <c r="F1051" s="14">
        <f>CHOOSE(CONTROL!$C$42, 144.0785, 144.0785)*CHOOSE(CONTROL!$C$21, $C$9, 100%, $E$9)</f>
        <v>144.07849999999999</v>
      </c>
      <c r="G1051" s="14">
        <f>CHOOSE(CONTROL!$C$42, 144.0944, 144.0944)*CHOOSE(CONTROL!$C$21, $C$9, 100%, $E$9)</f>
        <v>144.09440000000001</v>
      </c>
      <c r="H1051" s="14">
        <f>CHOOSE(CONTROL!$C$42, 144.3289, 144.3289) * CHOOSE(CONTROL!$C$21, $C$9, 100%, $E$9)</f>
        <v>144.3289</v>
      </c>
      <c r="I1051" s="14">
        <f>CHOOSE(CONTROL!$C$42, 144.5536, 144.5536)* CHOOSE(CONTROL!$C$21, $C$9, 100%, $E$9)</f>
        <v>144.55359999999999</v>
      </c>
      <c r="J1051" s="14">
        <f>CHOOSE(CONTROL!$C$42, 144.0715, 144.0715)* CHOOSE(CONTROL!$C$21, $C$9, 100%, $E$9)</f>
        <v>144.07149999999999</v>
      </c>
      <c r="K1051" s="53">
        <f>CHOOSE(CONTROL!$C$42, 144.5497, 144.5497) * CHOOSE(CONTROL!$C$21, $C$9, 100%, $E$9)</f>
        <v>144.5497</v>
      </c>
      <c r="L1051" s="14">
        <f>CHOOSE(CONTROL!$C$42, 144.9159, 144.9159) * CHOOSE(CONTROL!$C$21, $C$9, 100%, $E$9)</f>
        <v>144.91589999999999</v>
      </c>
      <c r="M1051" s="14">
        <f>CHOOSE(CONTROL!$C$42, 141.1272, 141.1272) * CHOOSE(CONTROL!$C$21, $C$9, 100%, $E$9)</f>
        <v>141.12719999999999</v>
      </c>
      <c r="N1051" s="14">
        <f>CHOOSE(CONTROL!$C$42, 141.1428, 141.1428) * CHOOSE(CONTROL!$C$21, $C$9, 100%, $E$9)</f>
        <v>141.14279999999999</v>
      </c>
      <c r="O1051" s="14">
        <f>CHOOSE(CONTROL!$C$42, 141.3794, 141.3794) * CHOOSE(CONTROL!$C$21, $C$9, 100%, $E$9)</f>
        <v>141.3794</v>
      </c>
      <c r="P1051" s="14">
        <f>CHOOSE(CONTROL!$C$42, 141.5905, 141.5905) * CHOOSE(CONTROL!$C$21, $C$9, 100%, $E$9)</f>
        <v>141.59049999999999</v>
      </c>
      <c r="Q1051" s="14">
        <f>CHOOSE(CONTROL!$C$42, 141.9741, 141.9741) * CHOOSE(CONTROL!$C$21, $C$9, 100%, $E$9)</f>
        <v>141.97409999999999</v>
      </c>
      <c r="R1051" s="14">
        <f>CHOOSE(CONTROL!$C$42, 142.916, 142.916) * CHOOSE(CONTROL!$C$21, $C$9, 100%, $E$9)</f>
        <v>142.916</v>
      </c>
      <c r="S1051" s="14">
        <f>CHOOSE(CONTROL!$C$42, 138.452, 138.452) * CHOOSE(CONTROL!$C$21, $C$9, 100%, $E$9)</f>
        <v>138.452</v>
      </c>
      <c r="T105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51" s="57">
        <f>(1000*CHOOSE(CONTROL!$C$42, 695, 695)*CHOOSE(CONTROL!$C$42, 0.5599, 0.5599)*CHOOSE(CONTROL!$C$42, 31, 31))/1000000</f>
        <v>12.063045499999998</v>
      </c>
      <c r="V1051" s="57">
        <f>(1000*CHOOSE(CONTROL!$C$42, 500, 500)*CHOOSE(CONTROL!$C$42, 0.275, 0.275)*CHOOSE(CONTROL!$C$42, 31, 31))/1000000</f>
        <v>4.2625000000000002</v>
      </c>
      <c r="W1051" s="57">
        <f>(1000*CHOOSE(CONTROL!$C$42, 0.1146, 0.1146)*CHOOSE(CONTROL!$C$42, 121.5, 121.5)*CHOOSE(CONTROL!$C$42, 31, 31))/1000000</f>
        <v>0.43164089999999994</v>
      </c>
      <c r="X1051" s="57">
        <f>(31*0.1790888*245000/1000000)+(31*0.2374*100000/1000000)</f>
        <v>2.0961194359999999</v>
      </c>
      <c r="Y1051" s="57"/>
      <c r="Z1051" s="14"/>
      <c r="AA1051" s="56"/>
      <c r="AB1051" s="50">
        <f>(B1051*194.205+C1051*267.466+D1051*133.845+E1051*53.484+F1051*40+G1051*185+H1051*0+I1051*100+J1051*300)/(194.205+267.466+133.845+53.484+0+40+185+100+300)</f>
        <v>144.15998554874412</v>
      </c>
      <c r="AC1051" s="45">
        <f>(M1051*'RAP TEMPLATE-GAS AVAILABILITY'!O1050+N1051*'RAP TEMPLATE-GAS AVAILABILITY'!P1050+O1051*'RAP TEMPLATE-GAS AVAILABILITY'!Q1050+P1051*'RAP TEMPLATE-GAS AVAILABILITY'!R1050)/('RAP TEMPLATE-GAS AVAILABILITY'!O1050+'RAP TEMPLATE-GAS AVAILABILITY'!P1050+'RAP TEMPLATE-GAS AVAILABILITY'!Q1050+'RAP TEMPLATE-GAS AVAILABILITY'!R1050)</f>
        <v>141.30906618705035</v>
      </c>
    </row>
    <row r="1052" spans="1:29" ht="15.75" x14ac:dyDescent="0.25">
      <c r="A1052" s="32">
        <v>72928</v>
      </c>
      <c r="B1052" s="14">
        <f>CHOOSE(CONTROL!$C$42, 136.9797, 136.9797) * CHOOSE(CONTROL!$C$21, $C$9, 100%, $E$9)</f>
        <v>136.97970000000001</v>
      </c>
      <c r="C1052" s="14">
        <f>CHOOSE(CONTROL!$C$42, 136.9878, 136.9878) * CHOOSE(CONTROL!$C$21, $C$9, 100%, $E$9)</f>
        <v>136.98779999999999</v>
      </c>
      <c r="D1052" s="14">
        <f>CHOOSE(CONTROL!$C$42, 137.1917, 137.1917) * CHOOSE(CONTROL!$C$21, $C$9, 100%, $E$9)</f>
        <v>137.1917</v>
      </c>
      <c r="E1052" s="14">
        <f>CHOOSE(CONTROL!$C$42, 137.2232, 137.2232) * CHOOSE(CONTROL!$C$21, $C$9, 100%, $E$9)</f>
        <v>137.22319999999999</v>
      </c>
      <c r="F1052" s="14">
        <f>CHOOSE(CONTROL!$C$42, 136.9616, 136.9616)*CHOOSE(CONTROL!$C$21, $C$9, 100%, $E$9)</f>
        <v>136.9616</v>
      </c>
      <c r="G1052" s="14">
        <f>CHOOSE(CONTROL!$C$42, 136.9775, 136.9775)*CHOOSE(CONTROL!$C$21, $C$9, 100%, $E$9)</f>
        <v>136.97749999999999</v>
      </c>
      <c r="H1052" s="14">
        <f>CHOOSE(CONTROL!$C$42, 137.2118, 137.2118) * CHOOSE(CONTROL!$C$21, $C$9, 100%, $E$9)</f>
        <v>137.21180000000001</v>
      </c>
      <c r="I1052" s="14">
        <f>CHOOSE(CONTROL!$C$42, 137.4142, 137.4142)* CHOOSE(CONTROL!$C$21, $C$9, 100%, $E$9)</f>
        <v>137.41419999999999</v>
      </c>
      <c r="J1052" s="14">
        <f>CHOOSE(CONTROL!$C$42, 136.9546, 136.9546)* CHOOSE(CONTROL!$C$21, $C$9, 100%, $E$9)</f>
        <v>136.9546</v>
      </c>
      <c r="K1052" s="53">
        <f>CHOOSE(CONTROL!$C$42, 137.4103, 137.4103) * CHOOSE(CONTROL!$C$21, $C$9, 100%, $E$9)</f>
        <v>137.41030000000001</v>
      </c>
      <c r="L1052" s="14">
        <f>CHOOSE(CONTROL!$C$42, 137.7988, 137.7988) * CHOOSE(CONTROL!$C$21, $C$9, 100%, $E$9)</f>
        <v>137.7988</v>
      </c>
      <c r="M1052" s="14">
        <f>CHOOSE(CONTROL!$C$42, 134.1562, 134.1562) * CHOOSE(CONTROL!$C$21, $C$9, 100%, $E$9)</f>
        <v>134.15620000000001</v>
      </c>
      <c r="N1052" s="14">
        <f>CHOOSE(CONTROL!$C$42, 134.1718, 134.1718) * CHOOSE(CONTROL!$C$21, $C$9, 100%, $E$9)</f>
        <v>134.17179999999999</v>
      </c>
      <c r="O1052" s="14">
        <f>CHOOSE(CONTROL!$C$42, 134.4081, 134.4081) * CHOOSE(CONTROL!$C$21, $C$9, 100%, $E$9)</f>
        <v>134.40809999999999</v>
      </c>
      <c r="P1052" s="14">
        <f>CHOOSE(CONTROL!$C$42, 134.5978, 134.5978) * CHOOSE(CONTROL!$C$21, $C$9, 100%, $E$9)</f>
        <v>134.59780000000001</v>
      </c>
      <c r="Q1052" s="14">
        <f>CHOOSE(CONTROL!$C$42, 135.0028, 135.0028) * CHOOSE(CONTROL!$C$21, $C$9, 100%, $E$9)</f>
        <v>135.00280000000001</v>
      </c>
      <c r="R1052" s="14">
        <f>CHOOSE(CONTROL!$C$42, 135.9273, 135.9273) * CHOOSE(CONTROL!$C$21, $C$9, 100%, $E$9)</f>
        <v>135.9273</v>
      </c>
      <c r="S1052" s="14">
        <f>CHOOSE(CONTROL!$C$42, 131.6132, 131.6132) * CHOOSE(CONTROL!$C$21, $C$9, 100%, $E$9)</f>
        <v>131.61320000000001</v>
      </c>
      <c r="T105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52" s="57">
        <f>(1000*CHOOSE(CONTROL!$C$42, 695, 695)*CHOOSE(CONTROL!$C$42, 0.5599, 0.5599)*CHOOSE(CONTROL!$C$42, 31, 31))/1000000</f>
        <v>12.063045499999998</v>
      </c>
      <c r="V1052" s="57">
        <f>(1000*CHOOSE(CONTROL!$C$42, 500, 500)*CHOOSE(CONTROL!$C$42, 0.275, 0.275)*CHOOSE(CONTROL!$C$42, 31, 31))/1000000</f>
        <v>4.2625000000000002</v>
      </c>
      <c r="W1052" s="57">
        <f>(1000*CHOOSE(CONTROL!$C$42, 0.1146, 0.1146)*CHOOSE(CONTROL!$C$42, 121.5, 121.5)*CHOOSE(CONTROL!$C$42, 31, 31))/1000000</f>
        <v>0.43164089999999994</v>
      </c>
      <c r="X1052" s="57">
        <f>(31*0.1790888*245000/1000000)+(31*0.2374*100000/1000000)</f>
        <v>2.0961194359999999</v>
      </c>
      <c r="Y1052" s="57"/>
      <c r="Z1052" s="14"/>
      <c r="AA1052" s="56"/>
      <c r="AB1052" s="50">
        <f>(B1052*194.205+C1052*267.466+D1052*133.845+E1052*53.484+F1052*40+G1052*185+H1052*0+I1052*100+J1052*300)/(194.205+267.466+133.845+53.484+0+40+185+100+300)</f>
        <v>137.04120233014129</v>
      </c>
      <c r="AC1052" s="45">
        <f>(M1052*'RAP TEMPLATE-GAS AVAILABILITY'!O1051+N1052*'RAP TEMPLATE-GAS AVAILABILITY'!P1051+O1052*'RAP TEMPLATE-GAS AVAILABILITY'!Q1051+P1052*'RAP TEMPLATE-GAS AVAILABILITY'!R1051)/('RAP TEMPLATE-GAS AVAILABILITY'!O1051+'RAP TEMPLATE-GAS AVAILABILITY'!P1051+'RAP TEMPLATE-GAS AVAILABILITY'!Q1051+'RAP TEMPLATE-GAS AVAILABILITY'!R1051)</f>
        <v>134.33480791366904</v>
      </c>
    </row>
    <row r="1053" spans="1:29" ht="15.75" x14ac:dyDescent="0.25">
      <c r="A1053" s="32">
        <v>72958</v>
      </c>
      <c r="B1053" s="14">
        <f>CHOOSE(CONTROL!$C$42, 128.2836, 128.2836) * CHOOSE(CONTROL!$C$21, $C$9, 100%, $E$9)</f>
        <v>128.28360000000001</v>
      </c>
      <c r="C1053" s="14">
        <f>CHOOSE(CONTROL!$C$42, 128.2916, 128.2916) * CHOOSE(CONTROL!$C$21, $C$9, 100%, $E$9)</f>
        <v>128.29159999999999</v>
      </c>
      <c r="D1053" s="14">
        <f>CHOOSE(CONTROL!$C$42, 128.4955, 128.4955) * CHOOSE(CONTROL!$C$21, $C$9, 100%, $E$9)</f>
        <v>128.49549999999999</v>
      </c>
      <c r="E1053" s="14">
        <f>CHOOSE(CONTROL!$C$42, 128.527, 128.527) * CHOOSE(CONTROL!$C$21, $C$9, 100%, $E$9)</f>
        <v>128.52699999999999</v>
      </c>
      <c r="F1053" s="14">
        <f>CHOOSE(CONTROL!$C$42, 128.2655, 128.2655)*CHOOSE(CONTROL!$C$21, $C$9, 100%, $E$9)</f>
        <v>128.2655</v>
      </c>
      <c r="G1053" s="14">
        <f>CHOOSE(CONTROL!$C$42, 128.2814, 128.2814)*CHOOSE(CONTROL!$C$21, $C$9, 100%, $E$9)</f>
        <v>128.28139999999999</v>
      </c>
      <c r="H1053" s="14">
        <f>CHOOSE(CONTROL!$C$42, 128.5156, 128.5156) * CHOOSE(CONTROL!$C$21, $C$9, 100%, $E$9)</f>
        <v>128.51560000000001</v>
      </c>
      <c r="I1053" s="14">
        <f>CHOOSE(CONTROL!$C$42, 128.6908, 128.6908)* CHOOSE(CONTROL!$C$21, $C$9, 100%, $E$9)</f>
        <v>128.6908</v>
      </c>
      <c r="J1053" s="14">
        <f>CHOOSE(CONTROL!$C$42, 128.2585, 128.2585)* CHOOSE(CONTROL!$C$21, $C$9, 100%, $E$9)</f>
        <v>128.2585</v>
      </c>
      <c r="K1053" s="53">
        <f>CHOOSE(CONTROL!$C$42, 128.6869, 128.6869) * CHOOSE(CONTROL!$C$21, $C$9, 100%, $E$9)</f>
        <v>128.68690000000001</v>
      </c>
      <c r="L1053" s="14">
        <f>CHOOSE(CONTROL!$C$42, 129.1026, 129.1026) * CHOOSE(CONTROL!$C$21, $C$9, 100%, $E$9)</f>
        <v>129.1026</v>
      </c>
      <c r="M1053" s="14">
        <f>CHOOSE(CONTROL!$C$42, 125.6382, 125.6382) * CHOOSE(CONTROL!$C$21, $C$9, 100%, $E$9)</f>
        <v>125.6382</v>
      </c>
      <c r="N1053" s="14">
        <f>CHOOSE(CONTROL!$C$42, 125.6539, 125.6539) * CHOOSE(CONTROL!$C$21, $C$9, 100%, $E$9)</f>
        <v>125.65389999999999</v>
      </c>
      <c r="O1053" s="14">
        <f>CHOOSE(CONTROL!$C$42, 125.8901, 125.8901) * CHOOSE(CONTROL!$C$21, $C$9, 100%, $E$9)</f>
        <v>125.8901</v>
      </c>
      <c r="P1053" s="14">
        <f>CHOOSE(CONTROL!$C$42, 126.0537, 126.0537) * CHOOSE(CONTROL!$C$21, $C$9, 100%, $E$9)</f>
        <v>126.05370000000001</v>
      </c>
      <c r="Q1053" s="14">
        <f>CHOOSE(CONTROL!$C$42, 126.4848, 126.4848) * CHOOSE(CONTROL!$C$21, $C$9, 100%, $E$9)</f>
        <v>126.48480000000001</v>
      </c>
      <c r="R1053" s="14">
        <f>CHOOSE(CONTROL!$C$42, 127.388, 127.388) * CHOOSE(CONTROL!$C$21, $C$9, 100%, $E$9)</f>
        <v>127.38800000000001</v>
      </c>
      <c r="S1053" s="14">
        <f>CHOOSE(CONTROL!$C$42, 123.257, 123.257) * CHOOSE(CONTROL!$C$21, $C$9, 100%, $E$9)</f>
        <v>123.25700000000001</v>
      </c>
      <c r="T105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53" s="57">
        <f>(1000*CHOOSE(CONTROL!$C$42, 695, 695)*CHOOSE(CONTROL!$C$42, 0.5599, 0.5599)*CHOOSE(CONTROL!$C$42, 30, 30))/1000000</f>
        <v>11.673914999999997</v>
      </c>
      <c r="V1053" s="57">
        <f>(1000*CHOOSE(CONTROL!$C$42, 500, 500)*CHOOSE(CONTROL!$C$42, 0.275, 0.275)*CHOOSE(CONTROL!$C$42, 30, 30))/1000000</f>
        <v>4.125</v>
      </c>
      <c r="W1053" s="57">
        <f>(1000*CHOOSE(CONTROL!$C$42, 0.1146, 0.1146)*CHOOSE(CONTROL!$C$42, 121.5, 121.5)*CHOOSE(CONTROL!$C$42, 30, 30))/1000000</f>
        <v>0.417717</v>
      </c>
      <c r="X1053" s="57">
        <f>(30*0.1790888*245000/1000000)+(30*0.2374*100000/1000000)</f>
        <v>2.0285026799999999</v>
      </c>
      <c r="Y1053" s="57"/>
      <c r="Z1053" s="14"/>
      <c r="AA1053" s="56"/>
      <c r="AB1053" s="50">
        <f>(B1053*194.205+C1053*267.466+D1053*133.845+E1053*53.484+F1053*40+G1053*185+H1053*0+I1053*100+J1053*300)/(194.205+267.466+133.845+53.484+0+40+185+100+300)</f>
        <v>128.34292377480375</v>
      </c>
      <c r="AC1053" s="45">
        <f>(M1053*'RAP TEMPLATE-GAS AVAILABILITY'!O1052+N1053*'RAP TEMPLATE-GAS AVAILABILITY'!P1052+O1053*'RAP TEMPLATE-GAS AVAILABILITY'!Q1052+P1053*'RAP TEMPLATE-GAS AVAILABILITY'!R1052)/('RAP TEMPLATE-GAS AVAILABILITY'!O1052+'RAP TEMPLATE-GAS AVAILABILITY'!P1052+'RAP TEMPLATE-GAS AVAILABILITY'!Q1052+'RAP TEMPLATE-GAS AVAILABILITY'!R1052)</f>
        <v>125.8130582733813</v>
      </c>
    </row>
    <row r="1054" spans="1:29" ht="15.75" x14ac:dyDescent="0.25">
      <c r="A1054" s="32">
        <v>72989</v>
      </c>
      <c r="B1054" s="14">
        <f>CHOOSE(CONTROL!$C$42, 125.6774, 125.6774) * CHOOSE(CONTROL!$C$21, $C$9, 100%, $E$9)</f>
        <v>125.67740000000001</v>
      </c>
      <c r="C1054" s="14">
        <f>CHOOSE(CONTROL!$C$42, 125.6827, 125.6827) * CHOOSE(CONTROL!$C$21, $C$9, 100%, $E$9)</f>
        <v>125.6827</v>
      </c>
      <c r="D1054" s="14">
        <f>CHOOSE(CONTROL!$C$42, 125.8916, 125.8916) * CHOOSE(CONTROL!$C$21, $C$9, 100%, $E$9)</f>
        <v>125.8916</v>
      </c>
      <c r="E1054" s="14">
        <f>CHOOSE(CONTROL!$C$42, 125.9207, 125.9207) * CHOOSE(CONTROL!$C$21, $C$9, 100%, $E$9)</f>
        <v>125.9207</v>
      </c>
      <c r="F1054" s="14">
        <f>CHOOSE(CONTROL!$C$42, 125.6613, 125.6613)*CHOOSE(CONTROL!$C$21, $C$9, 100%, $E$9)</f>
        <v>125.6613</v>
      </c>
      <c r="G1054" s="14">
        <f>CHOOSE(CONTROL!$C$42, 125.677, 125.677)*CHOOSE(CONTROL!$C$21, $C$9, 100%, $E$9)</f>
        <v>125.67700000000001</v>
      </c>
      <c r="H1054" s="14">
        <f>CHOOSE(CONTROL!$C$42, 125.9112, 125.9112) * CHOOSE(CONTROL!$C$21, $C$9, 100%, $E$9)</f>
        <v>125.91119999999999</v>
      </c>
      <c r="I1054" s="14">
        <f>CHOOSE(CONTROL!$C$42, 126.0782, 126.0782)* CHOOSE(CONTROL!$C$21, $C$9, 100%, $E$9)</f>
        <v>126.0782</v>
      </c>
      <c r="J1054" s="14">
        <f>CHOOSE(CONTROL!$C$42, 125.6543, 125.6543)* CHOOSE(CONTROL!$C$21, $C$9, 100%, $E$9)</f>
        <v>125.65430000000001</v>
      </c>
      <c r="K1054" s="53">
        <f>CHOOSE(CONTROL!$C$42, 126.0743, 126.0743) * CHOOSE(CONTROL!$C$21, $C$9, 100%, $E$9)</f>
        <v>126.07429999999999</v>
      </c>
      <c r="L1054" s="14">
        <f>CHOOSE(CONTROL!$C$42, 126.4982, 126.4982) * CHOOSE(CONTROL!$C$21, $C$9, 100%, $E$9)</f>
        <v>126.4982</v>
      </c>
      <c r="M1054" s="14">
        <f>CHOOSE(CONTROL!$C$42, 123.0875, 123.0875) * CHOOSE(CONTROL!$C$21, $C$9, 100%, $E$9)</f>
        <v>123.08750000000001</v>
      </c>
      <c r="N1054" s="14">
        <f>CHOOSE(CONTROL!$C$42, 123.1028, 123.1028) * CHOOSE(CONTROL!$C$21, $C$9, 100%, $E$9)</f>
        <v>123.1028</v>
      </c>
      <c r="O1054" s="14">
        <f>CHOOSE(CONTROL!$C$42, 123.339, 123.339) * CHOOSE(CONTROL!$C$21, $C$9, 100%, $E$9)</f>
        <v>123.339</v>
      </c>
      <c r="P1054" s="14">
        <f>CHOOSE(CONTROL!$C$42, 123.4948, 123.4948) * CHOOSE(CONTROL!$C$21, $C$9, 100%, $E$9)</f>
        <v>123.4948</v>
      </c>
      <c r="Q1054" s="14">
        <f>CHOOSE(CONTROL!$C$42, 123.9337, 123.9337) * CHOOSE(CONTROL!$C$21, $C$9, 100%, $E$9)</f>
        <v>123.9337</v>
      </c>
      <c r="R1054" s="14">
        <f>CHOOSE(CONTROL!$C$42, 124.8306, 124.8306) * CHOOSE(CONTROL!$C$21, $C$9, 100%, $E$9)</f>
        <v>124.8306</v>
      </c>
      <c r="S1054" s="14">
        <f>CHOOSE(CONTROL!$C$42, 120.7544, 120.7544) * CHOOSE(CONTROL!$C$21, $C$9, 100%, $E$9)</f>
        <v>120.7544</v>
      </c>
      <c r="T105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54" s="57">
        <f>(1000*CHOOSE(CONTROL!$C$42, 695, 695)*CHOOSE(CONTROL!$C$42, 0.5599, 0.5599)*CHOOSE(CONTROL!$C$42, 31, 31))/1000000</f>
        <v>12.063045499999998</v>
      </c>
      <c r="V1054" s="57">
        <f>(1000*CHOOSE(CONTROL!$C$42, 500, 500)*CHOOSE(CONTROL!$C$42, 0.275, 0.275)*CHOOSE(CONTROL!$C$42, 31, 31))/1000000</f>
        <v>4.2625000000000002</v>
      </c>
      <c r="W1054" s="57">
        <f>(1000*CHOOSE(CONTROL!$C$42, 0.1146, 0.1146)*CHOOSE(CONTROL!$C$42, 121.5, 121.5)*CHOOSE(CONTROL!$C$42, 31, 31))/1000000</f>
        <v>0.43164089999999994</v>
      </c>
      <c r="X1054" s="57">
        <f>(31*0.1790888*245000/1000000)+(31*0.2374*100000/1000000)</f>
        <v>2.0961194359999999</v>
      </c>
      <c r="Y1054" s="57"/>
      <c r="Z1054" s="14"/>
      <c r="AA1054" s="56"/>
      <c r="AB1054" s="50">
        <f>(B1054*131.881+C1054*277.167+D1054*79.08+E1054*125.872+F1054*40+G1054*185+H1054*0+I1054*100+J1054*300)/(131.881+277.167+79.08+125.872+0+40+185+100+300)</f>
        <v>125.74315026529462</v>
      </c>
      <c r="AC1054" s="45">
        <f>(M1054*'RAP TEMPLATE-GAS AVAILABILITY'!O1053+N1054*'RAP TEMPLATE-GAS AVAILABILITY'!P1053+O1054*'RAP TEMPLATE-GAS AVAILABILITY'!Q1053+P1054*'RAP TEMPLATE-GAS AVAILABILITY'!R1053)/('RAP TEMPLATE-GAS AVAILABILITY'!O1053+'RAP TEMPLATE-GAS AVAILABILITY'!P1053+'RAP TEMPLATE-GAS AVAILABILITY'!Q1053+'RAP TEMPLATE-GAS AVAILABILITY'!R1053)</f>
        <v>123.26097410071941</v>
      </c>
    </row>
    <row r="1055" spans="1:29" ht="15.75" x14ac:dyDescent="0.25">
      <c r="A1055" s="32">
        <v>73019</v>
      </c>
      <c r="B1055" s="14">
        <f>CHOOSE(CONTROL!$C$42, 128.9876, 128.9876) * CHOOSE(CONTROL!$C$21, $C$9, 100%, $E$9)</f>
        <v>128.98759999999999</v>
      </c>
      <c r="C1055" s="14">
        <f>CHOOSE(CONTROL!$C$42, 128.9927, 128.9927) * CHOOSE(CONTROL!$C$21, $C$9, 100%, $E$9)</f>
        <v>128.99270000000001</v>
      </c>
      <c r="D1055" s="14">
        <f>CHOOSE(CONTROL!$C$42, 129.0565, 129.0565) * CHOOSE(CONTROL!$C$21, $C$9, 100%, $E$9)</f>
        <v>129.0565</v>
      </c>
      <c r="E1055" s="14">
        <f>CHOOSE(CONTROL!$C$42, 129.0906, 129.0906) * CHOOSE(CONTROL!$C$21, $C$9, 100%, $E$9)</f>
        <v>129.09059999999999</v>
      </c>
      <c r="F1055" s="14">
        <f>CHOOSE(CONTROL!$C$42, 128.99, 128.99)*CHOOSE(CONTROL!$C$21, $C$9, 100%, $E$9)</f>
        <v>128.99</v>
      </c>
      <c r="G1055" s="14">
        <f>CHOOSE(CONTROL!$C$42, 129.006, 129.006)*CHOOSE(CONTROL!$C$21, $C$9, 100%, $E$9)</f>
        <v>129.006</v>
      </c>
      <c r="H1055" s="14">
        <f>CHOOSE(CONTROL!$C$42, 129.0798, 129.0798) * CHOOSE(CONTROL!$C$21, $C$9, 100%, $E$9)</f>
        <v>129.07980000000001</v>
      </c>
      <c r="I1055" s="14">
        <f>CHOOSE(CONTROL!$C$42, 129.4044, 129.4044)* CHOOSE(CONTROL!$C$21, $C$9, 100%, $E$9)</f>
        <v>129.40440000000001</v>
      </c>
      <c r="J1055" s="14">
        <f>CHOOSE(CONTROL!$C$42, 128.983, 128.983)* CHOOSE(CONTROL!$C$21, $C$9, 100%, $E$9)</f>
        <v>128.983</v>
      </c>
      <c r="K1055" s="53">
        <f>CHOOSE(CONTROL!$C$42, 129.4005, 129.4005) * CHOOSE(CONTROL!$C$21, $C$9, 100%, $E$9)</f>
        <v>129.40049999999999</v>
      </c>
      <c r="L1055" s="14">
        <f>CHOOSE(CONTROL!$C$42, 129.6668, 129.6668) * CHOOSE(CONTROL!$C$21, $C$9, 100%, $E$9)</f>
        <v>129.66679999999999</v>
      </c>
      <c r="M1055" s="14">
        <f>CHOOSE(CONTROL!$C$42, 126.3479, 126.3479) * CHOOSE(CONTROL!$C$21, $C$9, 100%, $E$9)</f>
        <v>126.3479</v>
      </c>
      <c r="N1055" s="14">
        <f>CHOOSE(CONTROL!$C$42, 126.3636, 126.3636) * CHOOSE(CONTROL!$C$21, $C$9, 100%, $E$9)</f>
        <v>126.36360000000001</v>
      </c>
      <c r="O1055" s="14">
        <f>CHOOSE(CONTROL!$C$42, 126.4427, 126.4427) * CHOOSE(CONTROL!$C$21, $C$9, 100%, $E$9)</f>
        <v>126.4427</v>
      </c>
      <c r="P1055" s="14">
        <f>CHOOSE(CONTROL!$C$42, 126.7527, 126.7527) * CHOOSE(CONTROL!$C$21, $C$9, 100%, $E$9)</f>
        <v>126.7527</v>
      </c>
      <c r="Q1055" s="14">
        <f>CHOOSE(CONTROL!$C$42, 127.0374, 127.0374) * CHOOSE(CONTROL!$C$21, $C$9, 100%, $E$9)</f>
        <v>127.03740000000001</v>
      </c>
      <c r="R1055" s="14">
        <f>CHOOSE(CONTROL!$C$42, 127.942, 127.942) * CHOOSE(CONTROL!$C$21, $C$9, 100%, $E$9)</f>
        <v>127.94199999999999</v>
      </c>
      <c r="S1055" s="14">
        <f>CHOOSE(CONTROL!$C$42, 123.9357, 123.9357) * CHOOSE(CONTROL!$C$21, $C$9, 100%, $E$9)</f>
        <v>123.9357</v>
      </c>
      <c r="T105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55" s="57">
        <f>(1000*CHOOSE(CONTROL!$C$42, 695, 695)*CHOOSE(CONTROL!$C$42, 0.5599, 0.5599)*CHOOSE(CONTROL!$C$42, 30, 30))/1000000</f>
        <v>11.673914999999997</v>
      </c>
      <c r="V1055" s="57">
        <f>(1000*CHOOSE(CONTROL!$C$42, 500, 500)*CHOOSE(CONTROL!$C$42, 0.275, 0.275)*CHOOSE(CONTROL!$C$42, 30, 30))/1000000</f>
        <v>4.125</v>
      </c>
      <c r="W1055" s="57">
        <f>(1000*CHOOSE(CONTROL!$C$42, 0.1146, 0.1146)*CHOOSE(CONTROL!$C$42, 121.5, 121.5)*CHOOSE(CONTROL!$C$42, 30, 30))/1000000</f>
        <v>0.417717</v>
      </c>
      <c r="X1055" s="57">
        <f>(30*0.1790888*100000/1000000)+(30*0.2374*100000/1000000)</f>
        <v>1.2494664</v>
      </c>
      <c r="Y1055" s="57"/>
      <c r="Z1055" s="14"/>
      <c r="AA1055" s="56"/>
      <c r="AB1055" s="50">
        <f>(B1055*122.58+C1055*297.941+D1055*89.177+E1055*40.302+F1055*40+G1055*160+H1055*0+I1055*100+J1055*300)/(122.58+297.941+89.177+40.302+0+40+160+100+300)</f>
        <v>129.03556078295651</v>
      </c>
      <c r="AC1055" s="45">
        <f>(M1055*'RAP TEMPLATE-GAS AVAILABILITY'!O1054+N1055*'RAP TEMPLATE-GAS AVAILABILITY'!P1054+O1055*'RAP TEMPLATE-GAS AVAILABILITY'!Q1054+P1055*'RAP TEMPLATE-GAS AVAILABILITY'!R1054)/('RAP TEMPLATE-GAS AVAILABILITY'!O1054+'RAP TEMPLATE-GAS AVAILABILITY'!P1054+'RAP TEMPLATE-GAS AVAILABILITY'!Q1054+'RAP TEMPLATE-GAS AVAILABILITY'!R1054)</f>
        <v>126.45001510791367</v>
      </c>
    </row>
    <row r="1056" spans="1:29" ht="15.75" x14ac:dyDescent="0.25">
      <c r="A1056" s="32">
        <v>73050</v>
      </c>
      <c r="B1056" s="14">
        <f>CHOOSE(CONTROL!$C$42, 137.7813, 137.7813) * CHOOSE(CONTROL!$C$21, $C$9, 100%, $E$9)</f>
        <v>137.78129999999999</v>
      </c>
      <c r="C1056" s="14">
        <f>CHOOSE(CONTROL!$C$42, 137.7864, 137.7864) * CHOOSE(CONTROL!$C$21, $C$9, 100%, $E$9)</f>
        <v>137.78639999999999</v>
      </c>
      <c r="D1056" s="14">
        <f>CHOOSE(CONTROL!$C$42, 137.8502, 137.8502) * CHOOSE(CONTROL!$C$21, $C$9, 100%, $E$9)</f>
        <v>137.8502</v>
      </c>
      <c r="E1056" s="14">
        <f>CHOOSE(CONTROL!$C$42, 137.8843, 137.8843) * CHOOSE(CONTROL!$C$21, $C$9, 100%, $E$9)</f>
        <v>137.8843</v>
      </c>
      <c r="F1056" s="14">
        <f>CHOOSE(CONTROL!$C$42, 137.7859, 137.7859)*CHOOSE(CONTROL!$C$21, $C$9, 100%, $E$9)</f>
        <v>137.7859</v>
      </c>
      <c r="G1056" s="14">
        <f>CHOOSE(CONTROL!$C$42, 137.8025, 137.8025)*CHOOSE(CONTROL!$C$21, $C$9, 100%, $E$9)</f>
        <v>137.80250000000001</v>
      </c>
      <c r="H1056" s="14">
        <f>CHOOSE(CONTROL!$C$42, 137.8735, 137.8735) * CHOOSE(CONTROL!$C$21, $C$9, 100%, $E$9)</f>
        <v>137.87350000000001</v>
      </c>
      <c r="I1056" s="14">
        <f>CHOOSE(CONTROL!$C$42, 138.2256, 138.2256)* CHOOSE(CONTROL!$C$21, $C$9, 100%, $E$9)</f>
        <v>138.22559999999999</v>
      </c>
      <c r="J1056" s="14">
        <f>CHOOSE(CONTROL!$C$42, 137.7789, 137.7789)* CHOOSE(CONTROL!$C$21, $C$9, 100%, $E$9)</f>
        <v>137.77889999999999</v>
      </c>
      <c r="K1056" s="53">
        <f>CHOOSE(CONTROL!$C$42, 138.2218, 138.2218) * CHOOSE(CONTROL!$C$21, $C$9, 100%, $E$9)</f>
        <v>138.2218</v>
      </c>
      <c r="L1056" s="14">
        <f>CHOOSE(CONTROL!$C$42, 138.4605, 138.4605) * CHOOSE(CONTROL!$C$21, $C$9, 100%, $E$9)</f>
        <v>138.4605</v>
      </c>
      <c r="M1056" s="14">
        <f>CHOOSE(CONTROL!$C$42, 134.9636, 134.9636) * CHOOSE(CONTROL!$C$21, $C$9, 100%, $E$9)</f>
        <v>134.96360000000001</v>
      </c>
      <c r="N1056" s="14">
        <f>CHOOSE(CONTROL!$C$42, 134.9799, 134.9799) * CHOOSE(CONTROL!$C$21, $C$9, 100%, $E$9)</f>
        <v>134.97989999999999</v>
      </c>
      <c r="O1056" s="14">
        <f>CHOOSE(CONTROL!$C$42, 135.0562, 135.0562) * CHOOSE(CONTROL!$C$21, $C$9, 100%, $E$9)</f>
        <v>135.05619999999999</v>
      </c>
      <c r="P1056" s="14">
        <f>CHOOSE(CONTROL!$C$42, 135.3926, 135.3926) * CHOOSE(CONTROL!$C$21, $C$9, 100%, $E$9)</f>
        <v>135.39259999999999</v>
      </c>
      <c r="Q1056" s="14">
        <f>CHOOSE(CONTROL!$C$42, 135.6509, 135.6509) * CHOOSE(CONTROL!$C$21, $C$9, 100%, $E$9)</f>
        <v>135.65090000000001</v>
      </c>
      <c r="R1056" s="14">
        <f>CHOOSE(CONTROL!$C$42, 136.5771, 136.5771) * CHOOSE(CONTROL!$C$21, $C$9, 100%, $E$9)</f>
        <v>136.5771</v>
      </c>
      <c r="S1056" s="14">
        <f>CHOOSE(CONTROL!$C$42, 132.3855, 132.3855) * CHOOSE(CONTROL!$C$21, $C$9, 100%, $E$9)</f>
        <v>132.38550000000001</v>
      </c>
      <c r="T105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56" s="57">
        <f>(1000*CHOOSE(CONTROL!$C$42, 695, 695)*CHOOSE(CONTROL!$C$42, 0.5599, 0.5599)*CHOOSE(CONTROL!$C$42, 31, 31))/1000000</f>
        <v>12.063045499999998</v>
      </c>
      <c r="V1056" s="57">
        <f>(1000*CHOOSE(CONTROL!$C$42, 500, 500)*CHOOSE(CONTROL!$C$42, 0.275, 0.275)*CHOOSE(CONTROL!$C$42, 31, 31))/1000000</f>
        <v>4.2625000000000002</v>
      </c>
      <c r="W1056" s="57">
        <f>(1000*CHOOSE(CONTROL!$C$42, 0.1146, 0.1146)*CHOOSE(CONTROL!$C$42, 121.5, 121.5)*CHOOSE(CONTROL!$C$42, 31, 31))/1000000</f>
        <v>0.43164089999999994</v>
      </c>
      <c r="X1056" s="57">
        <f>(31*0.1790888*100000/1000000)+(31*0.2374*100000/1000000)</f>
        <v>1.2911152800000001</v>
      </c>
      <c r="Y1056" s="57"/>
      <c r="Z1056" s="14"/>
      <c r="AA1056" s="56"/>
      <c r="AB1056" s="50">
        <f>(B1056*122.58+C1056*297.941+D1056*89.177+E1056*40.302+F1056*40+G1056*160+H1056*0+I1056*100+J1056*300)/(122.58+297.941+89.177+40.302+0+40+160+100+300)</f>
        <v>137.83269208730437</v>
      </c>
      <c r="AC1056" s="45">
        <f>(M1056*'RAP TEMPLATE-GAS AVAILABILITY'!O1055+N1056*'RAP TEMPLATE-GAS AVAILABILITY'!P1055+O1056*'RAP TEMPLATE-GAS AVAILABILITY'!Q1055+P1056*'RAP TEMPLATE-GAS AVAILABILITY'!R1055)/('RAP TEMPLATE-GAS AVAILABILITY'!O1055+'RAP TEMPLATE-GAS AVAILABILITY'!P1055+'RAP TEMPLATE-GAS AVAILABILITY'!Q1055+'RAP TEMPLATE-GAS AVAILABILITY'!R1055)</f>
        <v>135.06823453237411</v>
      </c>
    </row>
    <row r="1057" spans="1:29" ht="15.75" x14ac:dyDescent="0.25">
      <c r="A1057" s="32">
        <v>73081</v>
      </c>
      <c r="B1057" s="14">
        <f>CHOOSE(CONTROL!$C$42, 149.0667, 149.0667) * CHOOSE(CONTROL!$C$21, $C$9, 100%, $E$9)</f>
        <v>149.0667</v>
      </c>
      <c r="C1057" s="14">
        <f>CHOOSE(CONTROL!$C$42, 149.0718, 149.0718) * CHOOSE(CONTROL!$C$21, $C$9, 100%, $E$9)</f>
        <v>149.0718</v>
      </c>
      <c r="D1057" s="14">
        <f>CHOOSE(CONTROL!$C$42, 149.1382, 149.1382) * CHOOSE(CONTROL!$C$21, $C$9, 100%, $E$9)</f>
        <v>149.13820000000001</v>
      </c>
      <c r="E1057" s="14">
        <f>CHOOSE(CONTROL!$C$42, 149.1723, 149.1723) * CHOOSE(CONTROL!$C$21, $C$9, 100%, $E$9)</f>
        <v>149.17230000000001</v>
      </c>
      <c r="F1057" s="14">
        <f>CHOOSE(CONTROL!$C$42, 149.0541, 149.0541)*CHOOSE(CONTROL!$C$21, $C$9, 100%, $E$9)</f>
        <v>149.05410000000001</v>
      </c>
      <c r="G1057" s="14">
        <f>CHOOSE(CONTROL!$C$42, 149.0695, 149.0695)*CHOOSE(CONTROL!$C$21, $C$9, 100%, $E$9)</f>
        <v>149.06950000000001</v>
      </c>
      <c r="H1057" s="14">
        <f>CHOOSE(CONTROL!$C$42, 149.1615, 149.1615) * CHOOSE(CONTROL!$C$21, $C$9, 100%, $E$9)</f>
        <v>149.16149999999999</v>
      </c>
      <c r="I1057" s="14">
        <f>CHOOSE(CONTROL!$C$42, 149.5412, 149.5412)* CHOOSE(CONTROL!$C$21, $C$9, 100%, $E$9)</f>
        <v>149.5412</v>
      </c>
      <c r="J1057" s="14">
        <f>CHOOSE(CONTROL!$C$42, 149.0471, 149.0471)* CHOOSE(CONTROL!$C$21, $C$9, 100%, $E$9)</f>
        <v>149.0471</v>
      </c>
      <c r="K1057" s="53">
        <f>CHOOSE(CONTROL!$C$42, 149.5373, 149.5373) * CHOOSE(CONTROL!$C$21, $C$9, 100%, $E$9)</f>
        <v>149.53729999999999</v>
      </c>
      <c r="L1057" s="14">
        <f>CHOOSE(CONTROL!$C$42, 149.7485, 149.7485) * CHOOSE(CONTROL!$C$21, $C$9, 100%, $E$9)</f>
        <v>149.74850000000001</v>
      </c>
      <c r="M1057" s="14">
        <f>CHOOSE(CONTROL!$C$42, 146.0009, 146.0009) * CHOOSE(CONTROL!$C$21, $C$9, 100%, $E$9)</f>
        <v>146.0009</v>
      </c>
      <c r="N1057" s="14">
        <f>CHOOSE(CONTROL!$C$42, 146.016, 146.016) * CHOOSE(CONTROL!$C$21, $C$9, 100%, $E$9)</f>
        <v>146.01599999999999</v>
      </c>
      <c r="O1057" s="14">
        <f>CHOOSE(CONTROL!$C$42, 146.113, 146.113) * CHOOSE(CONTROL!$C$21, $C$9, 100%, $E$9)</f>
        <v>146.113</v>
      </c>
      <c r="P1057" s="14">
        <f>CHOOSE(CONTROL!$C$42, 146.4756, 146.4756) * CHOOSE(CONTROL!$C$21, $C$9, 100%, $E$9)</f>
        <v>146.47559999999999</v>
      </c>
      <c r="Q1057" s="14">
        <f>CHOOSE(CONTROL!$C$42, 146.7077, 146.7077) * CHOOSE(CONTROL!$C$21, $C$9, 100%, $E$9)</f>
        <v>146.70769999999999</v>
      </c>
      <c r="R1057" s="14">
        <f>CHOOSE(CONTROL!$C$42, 147.6615, 147.6615) * CHOOSE(CONTROL!$C$21, $C$9, 100%, $E$9)</f>
        <v>147.66149999999999</v>
      </c>
      <c r="S1057" s="14">
        <f>CHOOSE(CONTROL!$C$42, 143.2297, 143.2297) * CHOOSE(CONTROL!$C$21, $C$9, 100%, $E$9)</f>
        <v>143.22970000000001</v>
      </c>
      <c r="T105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57" s="57">
        <f>(1000*CHOOSE(CONTROL!$C$42, 695, 695)*CHOOSE(CONTROL!$C$42, 0.5599, 0.5599)*CHOOSE(CONTROL!$C$42, 31, 31))/1000000</f>
        <v>12.063045499999998</v>
      </c>
      <c r="V1057" s="57">
        <f>(1000*CHOOSE(CONTROL!$C$42, 500, 500)*CHOOSE(CONTROL!$C$42, 0.275, 0.275)*CHOOSE(CONTROL!$C$42, 31, 31))/1000000</f>
        <v>4.2625000000000002</v>
      </c>
      <c r="W1057" s="57">
        <f>(1000*CHOOSE(CONTROL!$C$42, 0.1146, 0.1146)*CHOOSE(CONTROL!$C$42, 121.5, 121.5)*CHOOSE(CONTROL!$C$42, 31, 31))/1000000</f>
        <v>0.43164089999999994</v>
      </c>
      <c r="X1057" s="57">
        <f>(31*0.1790888*100000/1000000)+(31*0.2374*100000/1000000)</f>
        <v>1.2911152800000001</v>
      </c>
      <c r="Y1057" s="57"/>
      <c r="Z1057" s="14"/>
      <c r="AA1057" s="56"/>
      <c r="AB1057" s="50">
        <f>(B1057*122.58+C1057*297.941+D1057*89.177+E1057*40.302+F1057*40+G1057*160+H1057*0+I1057*100+J1057*300)/(122.58+297.941+89.177+40.302+0+40+160+100+300)</f>
        <v>149.113365692</v>
      </c>
      <c r="AC1057" s="45">
        <f>(M1057*'RAP TEMPLATE-GAS AVAILABILITY'!O1056+N1057*'RAP TEMPLATE-GAS AVAILABILITY'!P1056+O1057*'RAP TEMPLATE-GAS AVAILABILITY'!Q1056+P1057*'RAP TEMPLATE-GAS AVAILABILITY'!R1056)/('RAP TEMPLATE-GAS AVAILABILITY'!O1056+'RAP TEMPLATE-GAS AVAILABILITY'!P1056+'RAP TEMPLATE-GAS AVAILABILITY'!Q1056+'RAP TEMPLATE-GAS AVAILABILITY'!R1056)</f>
        <v>146.12087913669063</v>
      </c>
    </row>
    <row r="1058" spans="1:29" ht="15.75" x14ac:dyDescent="0.25">
      <c r="A1058" s="32">
        <v>73109</v>
      </c>
      <c r="B1058" s="14">
        <f>CHOOSE(CONTROL!$C$42, 151.7202, 151.7202) * CHOOSE(CONTROL!$C$21, $C$9, 100%, $E$9)</f>
        <v>151.72020000000001</v>
      </c>
      <c r="C1058" s="14">
        <f>CHOOSE(CONTROL!$C$42, 151.7252, 151.7252) * CHOOSE(CONTROL!$C$21, $C$9, 100%, $E$9)</f>
        <v>151.7252</v>
      </c>
      <c r="D1058" s="14">
        <f>CHOOSE(CONTROL!$C$42, 151.7916, 151.7916) * CHOOSE(CONTROL!$C$21, $C$9, 100%, $E$9)</f>
        <v>151.79159999999999</v>
      </c>
      <c r="E1058" s="14">
        <f>CHOOSE(CONTROL!$C$42, 151.8258, 151.8258) * CHOOSE(CONTROL!$C$21, $C$9, 100%, $E$9)</f>
        <v>151.82579999999999</v>
      </c>
      <c r="F1058" s="14">
        <f>CHOOSE(CONTROL!$C$42, 151.7076, 151.7076)*CHOOSE(CONTROL!$C$21, $C$9, 100%, $E$9)</f>
        <v>151.70760000000001</v>
      </c>
      <c r="G1058" s="14">
        <f>CHOOSE(CONTROL!$C$42, 151.7231, 151.7231)*CHOOSE(CONTROL!$C$21, $C$9, 100%, $E$9)</f>
        <v>151.72309999999999</v>
      </c>
      <c r="H1058" s="14">
        <f>CHOOSE(CONTROL!$C$42, 151.8149, 151.8149) * CHOOSE(CONTROL!$C$21, $C$9, 100%, $E$9)</f>
        <v>151.81489999999999</v>
      </c>
      <c r="I1058" s="14">
        <f>CHOOSE(CONTROL!$C$42, 152.203, 152.203)* CHOOSE(CONTROL!$C$21, $C$9, 100%, $E$9)</f>
        <v>152.203</v>
      </c>
      <c r="J1058" s="14">
        <f>CHOOSE(CONTROL!$C$42, 151.7006, 151.7006)* CHOOSE(CONTROL!$C$21, $C$9, 100%, $E$9)</f>
        <v>151.70060000000001</v>
      </c>
      <c r="K1058" s="53">
        <f>CHOOSE(CONTROL!$C$42, 152.1991, 152.1991) * CHOOSE(CONTROL!$C$21, $C$9, 100%, $E$9)</f>
        <v>152.19909999999999</v>
      </c>
      <c r="L1058" s="14">
        <f>CHOOSE(CONTROL!$C$42, 152.4019, 152.4019) * CHOOSE(CONTROL!$C$21, $C$9, 100%, $E$9)</f>
        <v>152.40190000000001</v>
      </c>
      <c r="M1058" s="14">
        <f>CHOOSE(CONTROL!$C$42, 148.6, 148.6) * CHOOSE(CONTROL!$C$21, $C$9, 100%, $E$9)</f>
        <v>148.6</v>
      </c>
      <c r="N1058" s="14">
        <f>CHOOSE(CONTROL!$C$42, 148.6152, 148.6152) * CHOOSE(CONTROL!$C$21, $C$9, 100%, $E$9)</f>
        <v>148.61519999999999</v>
      </c>
      <c r="O1058" s="14">
        <f>CHOOSE(CONTROL!$C$42, 148.7121, 148.7121) * CHOOSE(CONTROL!$C$21, $C$9, 100%, $E$9)</f>
        <v>148.71209999999999</v>
      </c>
      <c r="P1058" s="14">
        <f>CHOOSE(CONTROL!$C$42, 149.0826, 149.0826) * CHOOSE(CONTROL!$C$21, $C$9, 100%, $E$9)</f>
        <v>149.08260000000001</v>
      </c>
      <c r="Q1058" s="14">
        <f>CHOOSE(CONTROL!$C$42, 149.3068, 149.3068) * CHOOSE(CONTROL!$C$21, $C$9, 100%, $E$9)</f>
        <v>149.30680000000001</v>
      </c>
      <c r="R1058" s="14">
        <f>CHOOSE(CONTROL!$C$42, 150.267, 150.267) * CHOOSE(CONTROL!$C$21, $C$9, 100%, $E$9)</f>
        <v>150.267</v>
      </c>
      <c r="S1058" s="14">
        <f>CHOOSE(CONTROL!$C$42, 145.7794, 145.7794) * CHOOSE(CONTROL!$C$21, $C$9, 100%, $E$9)</f>
        <v>145.77940000000001</v>
      </c>
      <c r="T1058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058" s="57">
        <f>(1000*CHOOSE(CONTROL!$C$42, 695, 695)*CHOOSE(CONTROL!$C$42, 0.5599, 0.5599)*CHOOSE(CONTROL!$C$42, 29, 29))/1000000</f>
        <v>11.284784499999999</v>
      </c>
      <c r="V1058" s="57">
        <f>(1000*CHOOSE(CONTROL!$C$42, 500, 500)*CHOOSE(CONTROL!$C$42, 0.275, 0.275)*CHOOSE(CONTROL!$C$42, 29, 29))/1000000</f>
        <v>3.9874999999999998</v>
      </c>
      <c r="W1058" s="57">
        <f>(1000*CHOOSE(CONTROL!$C$42, 0.1146, 0.1146)*CHOOSE(CONTROL!$C$42, 121.5, 121.5)*CHOOSE(CONTROL!$C$42, 29, 29))/1000000</f>
        <v>0.40379309999999996</v>
      </c>
      <c r="X1058" s="57">
        <f>(28*0.1790888*100000/1000000)+(28*0.2374*100000/1000000)</f>
        <v>1.16616864</v>
      </c>
      <c r="Y1058" s="57"/>
      <c r="Z1058" s="14"/>
      <c r="AA1058" s="56"/>
      <c r="AB1058" s="50">
        <f>(B1058*122.58+C1058*297.941+D1058*89.177+E1058*40.302+F1058*40+G1058*160+H1058*0+I1058*100+J1058*300)/(122.58+297.941+89.177+40.302+0+40+160+100+300)</f>
        <v>151.76756768173914</v>
      </c>
      <c r="AC1058" s="45">
        <f>(M1058*'RAP TEMPLATE-GAS AVAILABILITY'!O1057+N1058*'RAP TEMPLATE-GAS AVAILABILITY'!P1057+O1058*'RAP TEMPLATE-GAS AVAILABILITY'!Q1057+P1058*'RAP TEMPLATE-GAS AVAILABILITY'!R1057)/('RAP TEMPLATE-GAS AVAILABILITY'!O1057+'RAP TEMPLATE-GAS AVAILABILITY'!P1057+'RAP TEMPLATE-GAS AVAILABILITY'!Q1057+'RAP TEMPLATE-GAS AVAILABILITY'!R1057)</f>
        <v>148.72112158273382</v>
      </c>
    </row>
    <row r="1059" spans="1:29" ht="15.75" x14ac:dyDescent="0.25">
      <c r="A1059" s="32">
        <v>73140</v>
      </c>
      <c r="B1059" s="14">
        <f>CHOOSE(CONTROL!$C$42, 147.413, 147.413) * CHOOSE(CONTROL!$C$21, $C$9, 100%, $E$9)</f>
        <v>147.41300000000001</v>
      </c>
      <c r="C1059" s="14">
        <f>CHOOSE(CONTROL!$C$42, 147.4181, 147.4181) * CHOOSE(CONTROL!$C$21, $C$9, 100%, $E$9)</f>
        <v>147.41810000000001</v>
      </c>
      <c r="D1059" s="14">
        <f>CHOOSE(CONTROL!$C$42, 147.4845, 147.4845) * CHOOSE(CONTROL!$C$21, $C$9, 100%, $E$9)</f>
        <v>147.4845</v>
      </c>
      <c r="E1059" s="14">
        <f>CHOOSE(CONTROL!$C$42, 147.5186, 147.5186) * CHOOSE(CONTROL!$C$21, $C$9, 100%, $E$9)</f>
        <v>147.51859999999999</v>
      </c>
      <c r="F1059" s="14">
        <f>CHOOSE(CONTROL!$C$42, 147.4, 147.4)*CHOOSE(CONTROL!$C$21, $C$9, 100%, $E$9)</f>
        <v>147.4</v>
      </c>
      <c r="G1059" s="14">
        <f>CHOOSE(CONTROL!$C$42, 147.4154, 147.4154)*CHOOSE(CONTROL!$C$21, $C$9, 100%, $E$9)</f>
        <v>147.41540000000001</v>
      </c>
      <c r="H1059" s="14">
        <f>CHOOSE(CONTROL!$C$42, 147.5078, 147.5078) * CHOOSE(CONTROL!$C$21, $C$9, 100%, $E$9)</f>
        <v>147.5078</v>
      </c>
      <c r="I1059" s="14">
        <f>CHOOSE(CONTROL!$C$42, 147.8823, 147.8823)* CHOOSE(CONTROL!$C$21, $C$9, 100%, $E$9)</f>
        <v>147.88229999999999</v>
      </c>
      <c r="J1059" s="14">
        <f>CHOOSE(CONTROL!$C$42, 147.393, 147.393)* CHOOSE(CONTROL!$C$21, $C$9, 100%, $E$9)</f>
        <v>147.393</v>
      </c>
      <c r="K1059" s="53">
        <f>CHOOSE(CONTROL!$C$42, 147.8784, 147.8784) * CHOOSE(CONTROL!$C$21, $C$9, 100%, $E$9)</f>
        <v>147.8784</v>
      </c>
      <c r="L1059" s="14">
        <f>CHOOSE(CONTROL!$C$42, 148.0948, 148.0948) * CHOOSE(CONTROL!$C$21, $C$9, 100%, $E$9)</f>
        <v>148.09479999999999</v>
      </c>
      <c r="M1059" s="14">
        <f>CHOOSE(CONTROL!$C$42, 144.3807, 144.3807) * CHOOSE(CONTROL!$C$21, $C$9, 100%, $E$9)</f>
        <v>144.38069999999999</v>
      </c>
      <c r="N1059" s="14">
        <f>CHOOSE(CONTROL!$C$42, 144.3958, 144.3958) * CHOOSE(CONTROL!$C$21, $C$9, 100%, $E$9)</f>
        <v>144.39580000000001</v>
      </c>
      <c r="O1059" s="14">
        <f>CHOOSE(CONTROL!$C$42, 144.4931, 144.4931) * CHOOSE(CONTROL!$C$21, $C$9, 100%, $E$9)</f>
        <v>144.4931</v>
      </c>
      <c r="P1059" s="14">
        <f>CHOOSE(CONTROL!$C$42, 144.8508, 144.8508) * CHOOSE(CONTROL!$C$21, $C$9, 100%, $E$9)</f>
        <v>144.85079999999999</v>
      </c>
      <c r="Q1059" s="14">
        <f>CHOOSE(CONTROL!$C$42, 145.0878, 145.0878) * CHOOSE(CONTROL!$C$21, $C$9, 100%, $E$9)</f>
        <v>145.08779999999999</v>
      </c>
      <c r="R1059" s="14">
        <f>CHOOSE(CONTROL!$C$42, 146.0376, 146.0376) * CHOOSE(CONTROL!$C$21, $C$9, 100%, $E$9)</f>
        <v>146.0376</v>
      </c>
      <c r="S1059" s="14">
        <f>CHOOSE(CONTROL!$C$42, 141.6406, 141.6406) * CHOOSE(CONTROL!$C$21, $C$9, 100%, $E$9)</f>
        <v>141.64060000000001</v>
      </c>
      <c r="T105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59" s="57">
        <f>(1000*CHOOSE(CONTROL!$C$42, 695, 695)*CHOOSE(CONTROL!$C$42, 0.5599, 0.5599)*CHOOSE(CONTROL!$C$42, 31, 31))/1000000</f>
        <v>12.063045499999998</v>
      </c>
      <c r="V1059" s="57">
        <f>(1000*CHOOSE(CONTROL!$C$42, 500, 500)*CHOOSE(CONTROL!$C$42, 0.275, 0.275)*CHOOSE(CONTROL!$C$42, 31, 31))/1000000</f>
        <v>4.2625000000000002</v>
      </c>
      <c r="W1059" s="57">
        <f>(1000*CHOOSE(CONTROL!$C$42, 0.1146, 0.1146)*CHOOSE(CONTROL!$C$42, 121.5, 121.5)*CHOOSE(CONTROL!$C$42, 31, 31))/1000000</f>
        <v>0.43164089999999994</v>
      </c>
      <c r="X1059" s="57">
        <f>(31*0.1790888*100000/1000000)+(31*0.2374*100000/1000000)</f>
        <v>1.2911152800000001</v>
      </c>
      <c r="Y1059" s="57"/>
      <c r="Z1059" s="14"/>
      <c r="AA1059" s="56"/>
      <c r="AB1059" s="50">
        <f>(B1059*122.58+C1059*297.941+D1059*89.177+E1059*40.302+F1059*40+G1059*160+H1059*0+I1059*100+J1059*300)/(122.58+297.941+89.177+40.302+0+40+160+100+300)</f>
        <v>147.45903960504347</v>
      </c>
      <c r="AC1059" s="45">
        <f>(M1059*'RAP TEMPLATE-GAS AVAILABILITY'!O1058+N1059*'RAP TEMPLATE-GAS AVAILABILITY'!P1058+O1059*'RAP TEMPLATE-GAS AVAILABILITY'!Q1058+P1059*'RAP TEMPLATE-GAS AVAILABILITY'!R1058)/('RAP TEMPLATE-GAS AVAILABILITY'!O1058+'RAP TEMPLATE-GAS AVAILABILITY'!P1058+'RAP TEMPLATE-GAS AVAILABILITY'!Q1058+'RAP TEMPLATE-GAS AVAILABILITY'!R1058)</f>
        <v>144.50015323741007</v>
      </c>
    </row>
    <row r="1060" spans="1:29" ht="15.75" x14ac:dyDescent="0.25">
      <c r="A1060" s="32">
        <v>73170</v>
      </c>
      <c r="B1060" s="14">
        <f>CHOOSE(CONTROL!$C$42, 146.9728, 146.9728) * CHOOSE(CONTROL!$C$21, $C$9, 100%, $E$9)</f>
        <v>146.97280000000001</v>
      </c>
      <c r="C1060" s="14">
        <f>CHOOSE(CONTROL!$C$42, 146.9773, 146.9773) * CHOOSE(CONTROL!$C$21, $C$9, 100%, $E$9)</f>
        <v>146.97730000000001</v>
      </c>
      <c r="D1060" s="14">
        <f>CHOOSE(CONTROL!$C$42, 147.1844, 147.1844) * CHOOSE(CONTROL!$C$21, $C$9, 100%, $E$9)</f>
        <v>147.18440000000001</v>
      </c>
      <c r="E1060" s="14">
        <f>CHOOSE(CONTROL!$C$42, 147.2165, 147.2165) * CHOOSE(CONTROL!$C$21, $C$9, 100%, $E$9)</f>
        <v>147.2165</v>
      </c>
      <c r="F1060" s="14">
        <f>CHOOSE(CONTROL!$C$42, 146.9547, 146.9547)*CHOOSE(CONTROL!$C$21, $C$9, 100%, $E$9)</f>
        <v>146.9547</v>
      </c>
      <c r="G1060" s="14">
        <f>CHOOSE(CONTROL!$C$42, 146.9699, 146.9699)*CHOOSE(CONTROL!$C$21, $C$9, 100%, $E$9)</f>
        <v>146.9699</v>
      </c>
      <c r="H1060" s="14">
        <f>CHOOSE(CONTROL!$C$42, 147.2063, 147.2063) * CHOOSE(CONTROL!$C$21, $C$9, 100%, $E$9)</f>
        <v>147.2063</v>
      </c>
      <c r="I1060" s="14">
        <f>CHOOSE(CONTROL!$C$42, 147.4399, 147.4399)* CHOOSE(CONTROL!$C$21, $C$9, 100%, $E$9)</f>
        <v>147.43989999999999</v>
      </c>
      <c r="J1060" s="14">
        <f>CHOOSE(CONTROL!$C$42, 146.9477, 146.9477)* CHOOSE(CONTROL!$C$21, $C$9, 100%, $E$9)</f>
        <v>146.9477</v>
      </c>
      <c r="K1060" s="53">
        <f>CHOOSE(CONTROL!$C$42, 147.4361, 147.4361) * CHOOSE(CONTROL!$C$21, $C$9, 100%, $E$9)</f>
        <v>147.43610000000001</v>
      </c>
      <c r="L1060" s="14">
        <f>CHOOSE(CONTROL!$C$42, 147.7933, 147.7933) * CHOOSE(CONTROL!$C$21, $C$9, 100%, $E$9)</f>
        <v>147.79329999999999</v>
      </c>
      <c r="M1060" s="14">
        <f>CHOOSE(CONTROL!$C$42, 143.9445, 143.9445) * CHOOSE(CONTROL!$C$21, $C$9, 100%, $E$9)</f>
        <v>143.94450000000001</v>
      </c>
      <c r="N1060" s="14">
        <f>CHOOSE(CONTROL!$C$42, 143.9594, 143.9594) * CHOOSE(CONTROL!$C$21, $C$9, 100%, $E$9)</f>
        <v>143.95939999999999</v>
      </c>
      <c r="O1060" s="14">
        <f>CHOOSE(CONTROL!$C$42, 144.1978, 144.1978) * CHOOSE(CONTROL!$C$21, $C$9, 100%, $E$9)</f>
        <v>144.1978</v>
      </c>
      <c r="P1060" s="14">
        <f>CHOOSE(CONTROL!$C$42, 144.4175, 144.4175) * CHOOSE(CONTROL!$C$21, $C$9, 100%, $E$9)</f>
        <v>144.41749999999999</v>
      </c>
      <c r="Q1060" s="14">
        <f>CHOOSE(CONTROL!$C$42, 144.7925, 144.7925) * CHOOSE(CONTROL!$C$21, $C$9, 100%, $E$9)</f>
        <v>144.79249999999999</v>
      </c>
      <c r="R1060" s="14">
        <f>CHOOSE(CONTROL!$C$42, 145.7415, 145.7415) * CHOOSE(CONTROL!$C$21, $C$9, 100%, $E$9)</f>
        <v>145.7415</v>
      </c>
      <c r="S1060" s="14">
        <f>CHOOSE(CONTROL!$C$42, 141.2169, 141.2169) * CHOOSE(CONTROL!$C$21, $C$9, 100%, $E$9)</f>
        <v>141.21690000000001</v>
      </c>
      <c r="T106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60" s="57">
        <f>(1000*CHOOSE(CONTROL!$C$42, 695, 695)*CHOOSE(CONTROL!$C$42, 0.5599, 0.5599)*CHOOSE(CONTROL!$C$42, 30, 30))/1000000</f>
        <v>11.673914999999997</v>
      </c>
      <c r="V1060" s="57">
        <f>(1000*CHOOSE(CONTROL!$C$42, 500, 500)*CHOOSE(CONTROL!$C$42, 0.275, 0.275)*CHOOSE(CONTROL!$C$42, 30, 30))/1000000</f>
        <v>4.125</v>
      </c>
      <c r="W1060" s="57">
        <f>(1000*CHOOSE(CONTROL!$C$42, 0.1146, 0.1146)*CHOOSE(CONTROL!$C$42, 121.5, 121.5)*CHOOSE(CONTROL!$C$42, 30, 30))/1000000</f>
        <v>0.417717</v>
      </c>
      <c r="X1060" s="57">
        <f>(30*0.1790888*245000/1000000)+(30*0.2374*100000/1000000)</f>
        <v>2.0285026799999999</v>
      </c>
      <c r="Y1060" s="57"/>
      <c r="Z1060" s="14"/>
      <c r="AA1060" s="56"/>
      <c r="AB1060" s="50">
        <f>(B1060*141.293+C1060*267.993+D1060*115.016+E1060*89.698+F1060*40+G1060*185+H1060*0+I1060*100+J1060*300)/(141.293+267.993+115.016+89.698+0+40+185+100+300)</f>
        <v>147.04166380686038</v>
      </c>
      <c r="AC1060" s="45">
        <f>(M1060*'RAP TEMPLATE-GAS AVAILABILITY'!O1059+N1060*'RAP TEMPLATE-GAS AVAILABILITY'!P1059+O1060*'RAP TEMPLATE-GAS AVAILABILITY'!Q1059+P1060*'RAP TEMPLATE-GAS AVAILABILITY'!R1059)/('RAP TEMPLATE-GAS AVAILABILITY'!O1059+'RAP TEMPLATE-GAS AVAILABILITY'!P1059+'RAP TEMPLATE-GAS AVAILABILITY'!Q1059+'RAP TEMPLATE-GAS AVAILABILITY'!R1059)</f>
        <v>144.12822014388487</v>
      </c>
    </row>
    <row r="1061" spans="1:29" ht="15.75" x14ac:dyDescent="0.25">
      <c r="A1061" s="32">
        <v>73201</v>
      </c>
      <c r="B1061" s="14">
        <f>CHOOSE(CONTROL!$C$42, 148.2713, 148.2713) * CHOOSE(CONTROL!$C$21, $C$9, 100%, $E$9)</f>
        <v>148.2713</v>
      </c>
      <c r="C1061" s="14">
        <f>CHOOSE(CONTROL!$C$42, 148.2793, 148.2793) * CHOOSE(CONTROL!$C$21, $C$9, 100%, $E$9)</f>
        <v>148.27930000000001</v>
      </c>
      <c r="D1061" s="14">
        <f>CHOOSE(CONTROL!$C$42, 148.4833, 148.4833) * CHOOSE(CONTROL!$C$21, $C$9, 100%, $E$9)</f>
        <v>148.48330000000001</v>
      </c>
      <c r="E1061" s="14">
        <f>CHOOSE(CONTROL!$C$42, 148.5147, 148.5147) * CHOOSE(CONTROL!$C$21, $C$9, 100%, $E$9)</f>
        <v>148.5147</v>
      </c>
      <c r="F1061" s="14">
        <f>CHOOSE(CONTROL!$C$42, 148.2521, 148.2521)*CHOOSE(CONTROL!$C$21, $C$9, 100%, $E$9)</f>
        <v>148.25210000000001</v>
      </c>
      <c r="G1061" s="14">
        <f>CHOOSE(CONTROL!$C$42, 148.2677, 148.2677)*CHOOSE(CONTROL!$C$21, $C$9, 100%, $E$9)</f>
        <v>148.26769999999999</v>
      </c>
      <c r="H1061" s="14">
        <f>CHOOSE(CONTROL!$C$42, 148.5034, 148.5034) * CHOOSE(CONTROL!$C$21, $C$9, 100%, $E$9)</f>
        <v>148.5034</v>
      </c>
      <c r="I1061" s="14">
        <f>CHOOSE(CONTROL!$C$42, 148.7411, 148.7411)* CHOOSE(CONTROL!$C$21, $C$9, 100%, $E$9)</f>
        <v>148.74109999999999</v>
      </c>
      <c r="J1061" s="14">
        <f>CHOOSE(CONTROL!$C$42, 148.2451, 148.2451)* CHOOSE(CONTROL!$C$21, $C$9, 100%, $E$9)</f>
        <v>148.24510000000001</v>
      </c>
      <c r="K1061" s="53">
        <f>CHOOSE(CONTROL!$C$42, 148.7372, 148.7372) * CHOOSE(CONTROL!$C$21, $C$9, 100%, $E$9)</f>
        <v>148.7372</v>
      </c>
      <c r="L1061" s="14">
        <f>CHOOSE(CONTROL!$C$42, 149.0904, 149.0904) * CHOOSE(CONTROL!$C$21, $C$9, 100%, $E$9)</f>
        <v>149.09039999999999</v>
      </c>
      <c r="M1061" s="14">
        <f>CHOOSE(CONTROL!$C$42, 145.2153, 145.2153) * CHOOSE(CONTROL!$C$21, $C$9, 100%, $E$9)</f>
        <v>145.21530000000001</v>
      </c>
      <c r="N1061" s="14">
        <f>CHOOSE(CONTROL!$C$42, 145.2307, 145.2307) * CHOOSE(CONTROL!$C$21, $C$9, 100%, $E$9)</f>
        <v>145.23070000000001</v>
      </c>
      <c r="O1061" s="14">
        <f>CHOOSE(CONTROL!$C$42, 145.4683, 145.4683) * CHOOSE(CONTROL!$C$21, $C$9, 100%, $E$9)</f>
        <v>145.4683</v>
      </c>
      <c r="P1061" s="14">
        <f>CHOOSE(CONTROL!$C$42, 145.6919, 145.6919) * CHOOSE(CONTROL!$C$21, $C$9, 100%, $E$9)</f>
        <v>145.6919</v>
      </c>
      <c r="Q1061" s="14">
        <f>CHOOSE(CONTROL!$C$42, 146.063, 146.063) * CHOOSE(CONTROL!$C$21, $C$9, 100%, $E$9)</f>
        <v>146.06299999999999</v>
      </c>
      <c r="R1061" s="14">
        <f>CHOOSE(CONTROL!$C$42, 147.0152, 147.0152) * CHOOSE(CONTROL!$C$21, $C$9, 100%, $E$9)</f>
        <v>147.01519999999999</v>
      </c>
      <c r="S1061" s="14">
        <f>CHOOSE(CONTROL!$C$42, 142.4633, 142.4633) * CHOOSE(CONTROL!$C$21, $C$9, 100%, $E$9)</f>
        <v>142.4633</v>
      </c>
      <c r="T106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61" s="57">
        <f>(1000*CHOOSE(CONTROL!$C$42, 695, 695)*CHOOSE(CONTROL!$C$42, 0.5599, 0.5599)*CHOOSE(CONTROL!$C$42, 31, 31))/1000000</f>
        <v>12.063045499999998</v>
      </c>
      <c r="V1061" s="57">
        <f>(1000*CHOOSE(CONTROL!$C$42, 500, 500)*CHOOSE(CONTROL!$C$42, 0.275, 0.275)*CHOOSE(CONTROL!$C$42, 31, 31))/1000000</f>
        <v>4.2625000000000002</v>
      </c>
      <c r="W1061" s="57">
        <f>(1000*CHOOSE(CONTROL!$C$42, 0.1146, 0.1146)*CHOOSE(CONTROL!$C$42, 121.5, 121.5)*CHOOSE(CONTROL!$C$42, 31, 31))/1000000</f>
        <v>0.43164089999999994</v>
      </c>
      <c r="X1061" s="57">
        <f>(31*0.1790888*245000/1000000)+(31*0.2374*100000/1000000)</f>
        <v>2.0961194359999999</v>
      </c>
      <c r="Y1061" s="57"/>
      <c r="Z1061" s="14"/>
      <c r="AA1061" s="56"/>
      <c r="AB1061" s="50">
        <f>(B1061*194.205+C1061*267.466+D1061*133.845+E1061*53.484+F1061*40+G1061*185+H1061*0+I1061*100+J1061*300)/(194.205+267.466+133.845+53.484+0+40+185+100+300)</f>
        <v>148.33505107817896</v>
      </c>
      <c r="AC1061" s="45">
        <f>(M1061*'RAP TEMPLATE-GAS AVAILABILITY'!O1060+N1061*'RAP TEMPLATE-GAS AVAILABILITY'!P1060+O1061*'RAP TEMPLATE-GAS AVAILABILITY'!Q1060+P1061*'RAP TEMPLATE-GAS AVAILABILITY'!R1060)/('RAP TEMPLATE-GAS AVAILABILITY'!O1060+'RAP TEMPLATE-GAS AVAILABILITY'!P1060+'RAP TEMPLATE-GAS AVAILABILITY'!Q1060+'RAP TEMPLATE-GAS AVAILABILITY'!R1060)</f>
        <v>145.39943093525181</v>
      </c>
    </row>
    <row r="1062" spans="1:29" ht="15.75" x14ac:dyDescent="0.25">
      <c r="A1062" s="32">
        <v>73231</v>
      </c>
      <c r="B1062" s="14">
        <f>CHOOSE(CONTROL!$C$42, 152.4769, 152.4769) * CHOOSE(CONTROL!$C$21, $C$9, 100%, $E$9)</f>
        <v>152.4769</v>
      </c>
      <c r="C1062" s="14">
        <f>CHOOSE(CONTROL!$C$42, 152.4849, 152.4849) * CHOOSE(CONTROL!$C$21, $C$9, 100%, $E$9)</f>
        <v>152.48490000000001</v>
      </c>
      <c r="D1062" s="14">
        <f>CHOOSE(CONTROL!$C$42, 152.6889, 152.6889) * CHOOSE(CONTROL!$C$21, $C$9, 100%, $E$9)</f>
        <v>152.68889999999999</v>
      </c>
      <c r="E1062" s="14">
        <f>CHOOSE(CONTROL!$C$42, 152.7203, 152.7203) * CHOOSE(CONTROL!$C$21, $C$9, 100%, $E$9)</f>
        <v>152.72030000000001</v>
      </c>
      <c r="F1062" s="14">
        <f>CHOOSE(CONTROL!$C$42, 152.4581, 152.4581)*CHOOSE(CONTROL!$C$21, $C$9, 100%, $E$9)</f>
        <v>152.4581</v>
      </c>
      <c r="G1062" s="14">
        <f>CHOOSE(CONTROL!$C$42, 152.4738, 152.4738)*CHOOSE(CONTROL!$C$21, $C$9, 100%, $E$9)</f>
        <v>152.47380000000001</v>
      </c>
      <c r="H1062" s="14">
        <f>CHOOSE(CONTROL!$C$42, 152.709, 152.709) * CHOOSE(CONTROL!$C$21, $C$9, 100%, $E$9)</f>
        <v>152.709</v>
      </c>
      <c r="I1062" s="14">
        <f>CHOOSE(CONTROL!$C$42, 152.9599, 152.9599)* CHOOSE(CONTROL!$C$21, $C$9, 100%, $E$9)</f>
        <v>152.9599</v>
      </c>
      <c r="J1062" s="14">
        <f>CHOOSE(CONTROL!$C$42, 152.4511, 152.4511)* CHOOSE(CONTROL!$C$21, $C$9, 100%, $E$9)</f>
        <v>152.4511</v>
      </c>
      <c r="K1062" s="53">
        <f>CHOOSE(CONTROL!$C$42, 152.956, 152.956) * CHOOSE(CONTROL!$C$21, $C$9, 100%, $E$9)</f>
        <v>152.95599999999999</v>
      </c>
      <c r="L1062" s="14">
        <f>CHOOSE(CONTROL!$C$42, 153.296, 153.296) * CHOOSE(CONTROL!$C$21, $C$9, 100%, $E$9)</f>
        <v>153.29599999999999</v>
      </c>
      <c r="M1062" s="14">
        <f>CHOOSE(CONTROL!$C$42, 149.3352, 149.3352) * CHOOSE(CONTROL!$C$21, $C$9, 100%, $E$9)</f>
        <v>149.33519999999999</v>
      </c>
      <c r="N1062" s="14">
        <f>CHOOSE(CONTROL!$C$42, 149.3506, 149.3506) * CHOOSE(CONTROL!$C$21, $C$9, 100%, $E$9)</f>
        <v>149.35059999999999</v>
      </c>
      <c r="O1062" s="14">
        <f>CHOOSE(CONTROL!$C$42, 149.5878, 149.5878) * CHOOSE(CONTROL!$C$21, $C$9, 100%, $E$9)</f>
        <v>149.58779999999999</v>
      </c>
      <c r="P1062" s="14">
        <f>CHOOSE(CONTROL!$C$42, 149.824, 149.824) * CHOOSE(CONTROL!$C$21, $C$9, 100%, $E$9)</f>
        <v>149.82400000000001</v>
      </c>
      <c r="Q1062" s="14">
        <f>CHOOSE(CONTROL!$C$42, 150.1825, 150.1825) * CHOOSE(CONTROL!$C$21, $C$9, 100%, $E$9)</f>
        <v>150.1825</v>
      </c>
      <c r="R1062" s="14">
        <f>CHOOSE(CONTROL!$C$42, 151.1449, 151.1449) * CHOOSE(CONTROL!$C$21, $C$9, 100%, $E$9)</f>
        <v>151.14490000000001</v>
      </c>
      <c r="S1062" s="14">
        <f>CHOOSE(CONTROL!$C$42, 146.5044, 146.5044) * CHOOSE(CONTROL!$C$21, $C$9, 100%, $E$9)</f>
        <v>146.5044</v>
      </c>
      <c r="T106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62" s="57">
        <f>(1000*CHOOSE(CONTROL!$C$42, 695, 695)*CHOOSE(CONTROL!$C$42, 0.5599, 0.5599)*CHOOSE(CONTROL!$C$42, 30, 30))/1000000</f>
        <v>11.673914999999997</v>
      </c>
      <c r="V1062" s="57">
        <f>(1000*CHOOSE(CONTROL!$C$42, 500, 500)*CHOOSE(CONTROL!$C$42, 0.275, 0.275)*CHOOSE(CONTROL!$C$42, 30, 30))/1000000</f>
        <v>4.125</v>
      </c>
      <c r="W1062" s="57">
        <f>(1000*CHOOSE(CONTROL!$C$42, 0.1146, 0.1146)*CHOOSE(CONTROL!$C$42, 121.5, 121.5)*CHOOSE(CONTROL!$C$42, 30, 30))/1000000</f>
        <v>0.417717</v>
      </c>
      <c r="X1062" s="57">
        <f>(30*0.1790888*245000/1000000)+(30*0.2374*100000/1000000)</f>
        <v>2.0285026799999999</v>
      </c>
      <c r="Y1062" s="57"/>
      <c r="Z1062" s="14"/>
      <c r="AA1062" s="56"/>
      <c r="AB1062" s="50">
        <f>(B1062*194.205+C1062*267.466+D1062*133.845+E1062*53.484+F1062*40+G1062*185+H1062*0+I1062*100+J1062*300)/(194.205+267.466+133.845+53.484+0+40+185+100+300)</f>
        <v>152.54186654128725</v>
      </c>
      <c r="AC1062" s="45">
        <f>(M1062*'RAP TEMPLATE-GAS AVAILABILITY'!O1061+N1062*'RAP TEMPLATE-GAS AVAILABILITY'!P1061+O1062*'RAP TEMPLATE-GAS AVAILABILITY'!Q1061+P1062*'RAP TEMPLATE-GAS AVAILABILITY'!R1061)/('RAP TEMPLATE-GAS AVAILABILITY'!O1061+'RAP TEMPLATE-GAS AVAILABILITY'!P1061+'RAP TEMPLATE-GAS AVAILABILITY'!Q1061+'RAP TEMPLATE-GAS AVAILABILITY'!R1061)</f>
        <v>149.5209050359712</v>
      </c>
    </row>
    <row r="1063" spans="1:29" ht="15.75" x14ac:dyDescent="0.25">
      <c r="A1063" s="32">
        <v>73262</v>
      </c>
      <c r="B1063" s="14">
        <f>CHOOSE(CONTROL!$C$42, 149.5519, 149.5519) * CHOOSE(CONTROL!$C$21, $C$9, 100%, $E$9)</f>
        <v>149.55189999999999</v>
      </c>
      <c r="C1063" s="14">
        <f>CHOOSE(CONTROL!$C$42, 149.5599, 149.5599) * CHOOSE(CONTROL!$C$21, $C$9, 100%, $E$9)</f>
        <v>149.5599</v>
      </c>
      <c r="D1063" s="14">
        <f>CHOOSE(CONTROL!$C$42, 149.7639, 149.7639) * CHOOSE(CONTROL!$C$21, $C$9, 100%, $E$9)</f>
        <v>149.76390000000001</v>
      </c>
      <c r="E1063" s="14">
        <f>CHOOSE(CONTROL!$C$42, 149.7953, 149.7953) * CHOOSE(CONTROL!$C$21, $C$9, 100%, $E$9)</f>
        <v>149.7953</v>
      </c>
      <c r="F1063" s="14">
        <f>CHOOSE(CONTROL!$C$42, 149.5335, 149.5335)*CHOOSE(CONTROL!$C$21, $C$9, 100%, $E$9)</f>
        <v>149.5335</v>
      </c>
      <c r="G1063" s="14">
        <f>CHOOSE(CONTROL!$C$42, 149.5494, 149.5494)*CHOOSE(CONTROL!$C$21, $C$9, 100%, $E$9)</f>
        <v>149.54939999999999</v>
      </c>
      <c r="H1063" s="14">
        <f>CHOOSE(CONTROL!$C$42, 149.784, 149.784) * CHOOSE(CONTROL!$C$21, $C$9, 100%, $E$9)</f>
        <v>149.78399999999999</v>
      </c>
      <c r="I1063" s="14">
        <f>CHOOSE(CONTROL!$C$42, 150.0257, 150.0257)* CHOOSE(CONTROL!$C$21, $C$9, 100%, $E$9)</f>
        <v>150.0257</v>
      </c>
      <c r="J1063" s="14">
        <f>CHOOSE(CONTROL!$C$42, 149.5265, 149.5265)* CHOOSE(CONTROL!$C$21, $C$9, 100%, $E$9)</f>
        <v>149.5265</v>
      </c>
      <c r="K1063" s="53">
        <f>CHOOSE(CONTROL!$C$42, 150.0218, 150.0218) * CHOOSE(CONTROL!$C$21, $C$9, 100%, $E$9)</f>
        <v>150.02180000000001</v>
      </c>
      <c r="L1063" s="14">
        <f>CHOOSE(CONTROL!$C$42, 150.371, 150.371) * CHOOSE(CONTROL!$C$21, $C$9, 100%, $E$9)</f>
        <v>150.37100000000001</v>
      </c>
      <c r="M1063" s="14">
        <f>CHOOSE(CONTROL!$C$42, 146.4705, 146.4705) * CHOOSE(CONTROL!$C$21, $C$9, 100%, $E$9)</f>
        <v>146.47049999999999</v>
      </c>
      <c r="N1063" s="14">
        <f>CHOOSE(CONTROL!$C$42, 146.4861, 146.4861) * CHOOSE(CONTROL!$C$21, $C$9, 100%, $E$9)</f>
        <v>146.48609999999999</v>
      </c>
      <c r="O1063" s="14">
        <f>CHOOSE(CONTROL!$C$42, 146.7227, 146.7227) * CHOOSE(CONTROL!$C$21, $C$9, 100%, $E$9)</f>
        <v>146.7227</v>
      </c>
      <c r="P1063" s="14">
        <f>CHOOSE(CONTROL!$C$42, 146.9501, 146.9501) * CHOOSE(CONTROL!$C$21, $C$9, 100%, $E$9)</f>
        <v>146.95009999999999</v>
      </c>
      <c r="Q1063" s="14">
        <f>CHOOSE(CONTROL!$C$42, 147.3174, 147.3174) * CHOOSE(CONTROL!$C$21, $C$9, 100%, $E$9)</f>
        <v>147.31739999999999</v>
      </c>
      <c r="R1063" s="14">
        <f>CHOOSE(CONTROL!$C$42, 148.2727, 148.2727) * CHOOSE(CONTROL!$C$21, $C$9, 100%, $E$9)</f>
        <v>148.27269999999999</v>
      </c>
      <c r="S1063" s="14">
        <f>CHOOSE(CONTROL!$C$42, 143.6938, 143.6938) * CHOOSE(CONTROL!$C$21, $C$9, 100%, $E$9)</f>
        <v>143.69380000000001</v>
      </c>
      <c r="T106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63" s="57">
        <f>(1000*CHOOSE(CONTROL!$C$42, 695, 695)*CHOOSE(CONTROL!$C$42, 0.5599, 0.5599)*CHOOSE(CONTROL!$C$42, 31, 31))/1000000</f>
        <v>12.063045499999998</v>
      </c>
      <c r="V1063" s="57">
        <f>(1000*CHOOSE(CONTROL!$C$42, 500, 500)*CHOOSE(CONTROL!$C$42, 0.275, 0.275)*CHOOSE(CONTROL!$C$42, 31, 31))/1000000</f>
        <v>4.2625000000000002</v>
      </c>
      <c r="W1063" s="57">
        <f>(1000*CHOOSE(CONTROL!$C$42, 0.1146, 0.1146)*CHOOSE(CONTROL!$C$42, 121.5, 121.5)*CHOOSE(CONTROL!$C$42, 31, 31))/1000000</f>
        <v>0.43164089999999994</v>
      </c>
      <c r="X1063" s="57">
        <f>(31*0.1790888*245000/1000000)+(31*0.2374*100000/1000000)</f>
        <v>2.0961194359999999</v>
      </c>
      <c r="Y1063" s="57"/>
      <c r="Z1063" s="14"/>
      <c r="AA1063" s="56"/>
      <c r="AB1063" s="50">
        <f>(B1063*194.205+C1063*267.466+D1063*133.845+E1063*53.484+F1063*40+G1063*185+H1063*0+I1063*100+J1063*300)/(194.205+267.466+133.845+53.484+0+40+185+100+300)</f>
        <v>149.61633828383046</v>
      </c>
      <c r="AC1063" s="45">
        <f>(M1063*'RAP TEMPLATE-GAS AVAILABILITY'!O1062+N1063*'RAP TEMPLATE-GAS AVAILABILITY'!P1062+O1063*'RAP TEMPLATE-GAS AVAILABILITY'!Q1062+P1063*'RAP TEMPLATE-GAS AVAILABILITY'!R1062)/('RAP TEMPLATE-GAS AVAILABILITY'!O1062+'RAP TEMPLATE-GAS AVAILABILITY'!P1062+'RAP TEMPLATE-GAS AVAILABILITY'!Q1062+'RAP TEMPLATE-GAS AVAILABILITY'!R1062)</f>
        <v>146.65471151079137</v>
      </c>
    </row>
    <row r="1064" spans="1:29" ht="15.75" x14ac:dyDescent="0.25">
      <c r="A1064" s="32">
        <v>73293</v>
      </c>
      <c r="B1064" s="14">
        <f>CHOOSE(CONTROL!$C$42, 142.1653, 142.1653) * CHOOSE(CONTROL!$C$21, $C$9, 100%, $E$9)</f>
        <v>142.1653</v>
      </c>
      <c r="C1064" s="14">
        <f>CHOOSE(CONTROL!$C$42, 142.1734, 142.1734) * CHOOSE(CONTROL!$C$21, $C$9, 100%, $E$9)</f>
        <v>142.17339999999999</v>
      </c>
      <c r="D1064" s="14">
        <f>CHOOSE(CONTROL!$C$42, 142.3773, 142.3773) * CHOOSE(CONTROL!$C$21, $C$9, 100%, $E$9)</f>
        <v>142.37729999999999</v>
      </c>
      <c r="E1064" s="14">
        <f>CHOOSE(CONTROL!$C$42, 142.4088, 142.4088) * CHOOSE(CONTROL!$C$21, $C$9, 100%, $E$9)</f>
        <v>142.40880000000001</v>
      </c>
      <c r="F1064" s="14">
        <f>CHOOSE(CONTROL!$C$42, 142.1472, 142.1472)*CHOOSE(CONTROL!$C$21, $C$9, 100%, $E$9)</f>
        <v>142.1472</v>
      </c>
      <c r="G1064" s="14">
        <f>CHOOSE(CONTROL!$C$42, 142.1631, 142.1631)*CHOOSE(CONTROL!$C$21, $C$9, 100%, $E$9)</f>
        <v>142.16309999999999</v>
      </c>
      <c r="H1064" s="14">
        <f>CHOOSE(CONTROL!$C$42, 142.3974, 142.3974) * CHOOSE(CONTROL!$C$21, $C$9, 100%, $E$9)</f>
        <v>142.3974</v>
      </c>
      <c r="I1064" s="14">
        <f>CHOOSE(CONTROL!$C$42, 142.616, 142.616)* CHOOSE(CONTROL!$C$21, $C$9, 100%, $E$9)</f>
        <v>142.61600000000001</v>
      </c>
      <c r="J1064" s="14">
        <f>CHOOSE(CONTROL!$C$42, 142.1402, 142.1402)* CHOOSE(CONTROL!$C$21, $C$9, 100%, $E$9)</f>
        <v>142.14019999999999</v>
      </c>
      <c r="K1064" s="53">
        <f>CHOOSE(CONTROL!$C$42, 142.6121, 142.6121) * CHOOSE(CONTROL!$C$21, $C$9, 100%, $E$9)</f>
        <v>142.6121</v>
      </c>
      <c r="L1064" s="14">
        <f>CHOOSE(CONTROL!$C$42, 142.9844, 142.9844) * CHOOSE(CONTROL!$C$21, $C$9, 100%, $E$9)</f>
        <v>142.98439999999999</v>
      </c>
      <c r="M1064" s="14">
        <f>CHOOSE(CONTROL!$C$42, 139.2355, 139.2355) * CHOOSE(CONTROL!$C$21, $C$9, 100%, $E$9)</f>
        <v>139.2355</v>
      </c>
      <c r="N1064" s="14">
        <f>CHOOSE(CONTROL!$C$42, 139.2511, 139.2511) * CHOOSE(CONTROL!$C$21, $C$9, 100%, $E$9)</f>
        <v>139.25110000000001</v>
      </c>
      <c r="O1064" s="14">
        <f>CHOOSE(CONTROL!$C$42, 139.4875, 139.4875) * CHOOSE(CONTROL!$C$21, $C$9, 100%, $E$9)</f>
        <v>139.48750000000001</v>
      </c>
      <c r="P1064" s="14">
        <f>CHOOSE(CONTROL!$C$42, 139.6927, 139.6927) * CHOOSE(CONTROL!$C$21, $C$9, 100%, $E$9)</f>
        <v>139.6927</v>
      </c>
      <c r="Q1064" s="14">
        <f>CHOOSE(CONTROL!$C$42, 140.0822, 140.0822) * CHOOSE(CONTROL!$C$21, $C$9, 100%, $E$9)</f>
        <v>140.0822</v>
      </c>
      <c r="R1064" s="14">
        <f>CHOOSE(CONTROL!$C$42, 141.0194, 141.0194) * CHOOSE(CONTROL!$C$21, $C$9, 100%, $E$9)</f>
        <v>141.01939999999999</v>
      </c>
      <c r="S1064" s="14">
        <f>CHOOSE(CONTROL!$C$42, 136.596, 136.596) * CHOOSE(CONTROL!$C$21, $C$9, 100%, $E$9)</f>
        <v>136.596</v>
      </c>
      <c r="T106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64" s="57">
        <f>(1000*CHOOSE(CONTROL!$C$42, 695, 695)*CHOOSE(CONTROL!$C$42, 0.5599, 0.5599)*CHOOSE(CONTROL!$C$42, 31, 31))/1000000</f>
        <v>12.063045499999998</v>
      </c>
      <c r="V1064" s="57">
        <f>(1000*CHOOSE(CONTROL!$C$42, 500, 500)*CHOOSE(CONTROL!$C$42, 0.275, 0.275)*CHOOSE(CONTROL!$C$42, 31, 31))/1000000</f>
        <v>4.2625000000000002</v>
      </c>
      <c r="W1064" s="57">
        <f>(1000*CHOOSE(CONTROL!$C$42, 0.1146, 0.1146)*CHOOSE(CONTROL!$C$42, 121.5, 121.5)*CHOOSE(CONTROL!$C$42, 31, 31))/1000000</f>
        <v>0.43164089999999994</v>
      </c>
      <c r="X1064" s="57">
        <f>(31*0.1790888*245000/1000000)+(31*0.2374*100000/1000000)</f>
        <v>2.0961194359999999</v>
      </c>
      <c r="Y1064" s="57"/>
      <c r="Z1064" s="14"/>
      <c r="AA1064" s="56"/>
      <c r="AB1064" s="50">
        <f>(B1064*194.205+C1064*267.466+D1064*133.845+E1064*53.484+F1064*40+G1064*185+H1064*0+I1064*100+J1064*300)/(194.205+267.466+133.845+53.484+0+40+185+100+300)</f>
        <v>142.22807391569862</v>
      </c>
      <c r="AC1064" s="45">
        <f>(M1064*'RAP TEMPLATE-GAS AVAILABILITY'!O1063+N1064*'RAP TEMPLATE-GAS AVAILABILITY'!P1063+O1064*'RAP TEMPLATE-GAS AVAILABILITY'!Q1063+P1064*'RAP TEMPLATE-GAS AVAILABILITY'!R1063)/('RAP TEMPLATE-GAS AVAILABILITY'!O1063+'RAP TEMPLATE-GAS AVAILABILITY'!P1063+'RAP TEMPLATE-GAS AVAILABILITY'!Q1063+'RAP TEMPLATE-GAS AVAILABILITY'!R1063)</f>
        <v>139.41639784172665</v>
      </c>
    </row>
    <row r="1065" spans="1:29" ht="15.75" x14ac:dyDescent="0.25">
      <c r="A1065" s="32">
        <v>73323</v>
      </c>
      <c r="B1065" s="14">
        <f>CHOOSE(CONTROL!$C$42, 133.1399, 133.1399) * CHOOSE(CONTROL!$C$21, $C$9, 100%, $E$9)</f>
        <v>133.13990000000001</v>
      </c>
      <c r="C1065" s="14">
        <f>CHOOSE(CONTROL!$C$42, 133.148, 133.148) * CHOOSE(CONTROL!$C$21, $C$9, 100%, $E$9)</f>
        <v>133.148</v>
      </c>
      <c r="D1065" s="14">
        <f>CHOOSE(CONTROL!$C$42, 133.3519, 133.3519) * CHOOSE(CONTROL!$C$21, $C$9, 100%, $E$9)</f>
        <v>133.3519</v>
      </c>
      <c r="E1065" s="14">
        <f>CHOOSE(CONTROL!$C$42, 133.3833, 133.3833) * CHOOSE(CONTROL!$C$21, $C$9, 100%, $E$9)</f>
        <v>133.38329999999999</v>
      </c>
      <c r="F1065" s="14">
        <f>CHOOSE(CONTROL!$C$42, 133.1218, 133.1218)*CHOOSE(CONTROL!$C$21, $C$9, 100%, $E$9)</f>
        <v>133.12180000000001</v>
      </c>
      <c r="G1065" s="14">
        <f>CHOOSE(CONTROL!$C$42, 133.1378, 133.1378)*CHOOSE(CONTROL!$C$21, $C$9, 100%, $E$9)</f>
        <v>133.1378</v>
      </c>
      <c r="H1065" s="14">
        <f>CHOOSE(CONTROL!$C$42, 133.372, 133.372) * CHOOSE(CONTROL!$C$21, $C$9, 100%, $E$9)</f>
        <v>133.37200000000001</v>
      </c>
      <c r="I1065" s="14">
        <f>CHOOSE(CONTROL!$C$42, 133.5623, 133.5623)* CHOOSE(CONTROL!$C$21, $C$9, 100%, $E$9)</f>
        <v>133.56229999999999</v>
      </c>
      <c r="J1065" s="14">
        <f>CHOOSE(CONTROL!$C$42, 133.1148, 133.1148)* CHOOSE(CONTROL!$C$21, $C$9, 100%, $E$9)</f>
        <v>133.1148</v>
      </c>
      <c r="K1065" s="53">
        <f>CHOOSE(CONTROL!$C$42, 133.5584, 133.5584) * CHOOSE(CONTROL!$C$21, $C$9, 100%, $E$9)</f>
        <v>133.55840000000001</v>
      </c>
      <c r="L1065" s="14">
        <f>CHOOSE(CONTROL!$C$42, 133.959, 133.959) * CHOOSE(CONTROL!$C$21, $C$9, 100%, $E$9)</f>
        <v>133.959</v>
      </c>
      <c r="M1065" s="14">
        <f>CHOOSE(CONTROL!$C$42, 130.3951, 130.3951) * CHOOSE(CONTROL!$C$21, $C$9, 100%, $E$9)</f>
        <v>130.39510000000001</v>
      </c>
      <c r="N1065" s="14">
        <f>CHOOSE(CONTROL!$C$42, 130.4107, 130.4107) * CHOOSE(CONTROL!$C$21, $C$9, 100%, $E$9)</f>
        <v>130.41069999999999</v>
      </c>
      <c r="O1065" s="14">
        <f>CHOOSE(CONTROL!$C$42, 130.647, 130.647) * CHOOSE(CONTROL!$C$21, $C$9, 100%, $E$9)</f>
        <v>130.64699999999999</v>
      </c>
      <c r="P1065" s="14">
        <f>CHOOSE(CONTROL!$C$42, 130.8251, 130.8251) * CHOOSE(CONTROL!$C$21, $C$9, 100%, $E$9)</f>
        <v>130.82509999999999</v>
      </c>
      <c r="Q1065" s="14">
        <f>CHOOSE(CONTROL!$C$42, 131.2417, 131.2417) * CHOOSE(CONTROL!$C$21, $C$9, 100%, $E$9)</f>
        <v>131.24170000000001</v>
      </c>
      <c r="R1065" s="14">
        <f>CHOOSE(CONTROL!$C$42, 132.1568, 132.1568) * CHOOSE(CONTROL!$C$21, $C$9, 100%, $E$9)</f>
        <v>132.1568</v>
      </c>
      <c r="S1065" s="14">
        <f>CHOOSE(CONTROL!$C$42, 127.9235, 127.9235) * CHOOSE(CONTROL!$C$21, $C$9, 100%, $E$9)</f>
        <v>127.9235</v>
      </c>
      <c r="T106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65" s="57">
        <f>(1000*CHOOSE(CONTROL!$C$42, 695, 695)*CHOOSE(CONTROL!$C$42, 0.5599, 0.5599)*CHOOSE(CONTROL!$C$42, 30, 30))/1000000</f>
        <v>11.673914999999997</v>
      </c>
      <c r="V1065" s="57">
        <f>(1000*CHOOSE(CONTROL!$C$42, 500, 500)*CHOOSE(CONTROL!$C$42, 0.275, 0.275)*CHOOSE(CONTROL!$C$42, 30, 30))/1000000</f>
        <v>4.125</v>
      </c>
      <c r="W1065" s="57">
        <f>(1000*CHOOSE(CONTROL!$C$42, 0.1146, 0.1146)*CHOOSE(CONTROL!$C$42, 121.5, 121.5)*CHOOSE(CONTROL!$C$42, 30, 30))/1000000</f>
        <v>0.417717</v>
      </c>
      <c r="X1065" s="57">
        <f>(30*0.1790888*245000/1000000)+(30*0.2374*100000/1000000)</f>
        <v>2.0285026799999999</v>
      </c>
      <c r="Y1065" s="57"/>
      <c r="Z1065" s="14"/>
      <c r="AA1065" s="56"/>
      <c r="AB1065" s="50">
        <f>(B1065*194.205+C1065*267.466+D1065*133.845+E1065*53.484+F1065*40+G1065*185+H1065*0+I1065*100+J1065*300)/(194.205+267.466+133.845+53.484+0+40+185+100+300)</f>
        <v>133.20046288869702</v>
      </c>
      <c r="AC1065" s="45">
        <f>(M1065*'RAP TEMPLATE-GAS AVAILABILITY'!O1064+N1065*'RAP TEMPLATE-GAS AVAILABILITY'!P1064+O1065*'RAP TEMPLATE-GAS AVAILABILITY'!Q1064+P1065*'RAP TEMPLATE-GAS AVAILABILITY'!R1064)/('RAP TEMPLATE-GAS AVAILABILITY'!O1064+'RAP TEMPLATE-GAS AVAILABILITY'!P1064+'RAP TEMPLATE-GAS AVAILABILITY'!Q1064+'RAP TEMPLATE-GAS AVAILABILITY'!R1064)</f>
        <v>130.57203884892087</v>
      </c>
    </row>
    <row r="1066" spans="1:29" ht="15.75" x14ac:dyDescent="0.25">
      <c r="A1066" s="32">
        <v>73354</v>
      </c>
      <c r="B1066" s="14">
        <f>CHOOSE(CONTROL!$C$42, 130.4351, 130.4351) * CHOOSE(CONTROL!$C$21, $C$9, 100%, $E$9)</f>
        <v>130.43510000000001</v>
      </c>
      <c r="C1066" s="14">
        <f>CHOOSE(CONTROL!$C$42, 130.4404, 130.4404) * CHOOSE(CONTROL!$C$21, $C$9, 100%, $E$9)</f>
        <v>130.44040000000001</v>
      </c>
      <c r="D1066" s="14">
        <f>CHOOSE(CONTROL!$C$42, 130.6493, 130.6493) * CHOOSE(CONTROL!$C$21, $C$9, 100%, $E$9)</f>
        <v>130.64930000000001</v>
      </c>
      <c r="E1066" s="14">
        <f>CHOOSE(CONTROL!$C$42, 130.6785, 130.6785) * CHOOSE(CONTROL!$C$21, $C$9, 100%, $E$9)</f>
        <v>130.67850000000001</v>
      </c>
      <c r="F1066" s="14">
        <f>CHOOSE(CONTROL!$C$42, 130.4191, 130.4191)*CHOOSE(CONTROL!$C$21, $C$9, 100%, $E$9)</f>
        <v>130.41909999999999</v>
      </c>
      <c r="G1066" s="14">
        <f>CHOOSE(CONTROL!$C$42, 130.4348, 130.4348)*CHOOSE(CONTROL!$C$21, $C$9, 100%, $E$9)</f>
        <v>130.4348</v>
      </c>
      <c r="H1066" s="14">
        <f>CHOOSE(CONTROL!$C$42, 130.6689, 130.6689) * CHOOSE(CONTROL!$C$21, $C$9, 100%, $E$9)</f>
        <v>130.66890000000001</v>
      </c>
      <c r="I1066" s="14">
        <f>CHOOSE(CONTROL!$C$42, 130.8508, 130.8508)* CHOOSE(CONTROL!$C$21, $C$9, 100%, $E$9)</f>
        <v>130.85079999999999</v>
      </c>
      <c r="J1066" s="14">
        <f>CHOOSE(CONTROL!$C$42, 130.4121, 130.4121)* CHOOSE(CONTROL!$C$21, $C$9, 100%, $E$9)</f>
        <v>130.41210000000001</v>
      </c>
      <c r="K1066" s="53">
        <f>CHOOSE(CONTROL!$C$42, 130.8469, 130.8469) * CHOOSE(CONTROL!$C$21, $C$9, 100%, $E$9)</f>
        <v>130.84690000000001</v>
      </c>
      <c r="L1066" s="14">
        <f>CHOOSE(CONTROL!$C$42, 131.2559, 131.2559) * CHOOSE(CONTROL!$C$21, $C$9, 100%, $E$9)</f>
        <v>131.2559</v>
      </c>
      <c r="M1066" s="14">
        <f>CHOOSE(CONTROL!$C$42, 127.7477, 127.7477) * CHOOSE(CONTROL!$C$21, $C$9, 100%, $E$9)</f>
        <v>127.74769999999999</v>
      </c>
      <c r="N1066" s="14">
        <f>CHOOSE(CONTROL!$C$42, 127.7631, 127.7631) * CHOOSE(CONTROL!$C$21, $C$9, 100%, $E$9)</f>
        <v>127.76309999999999</v>
      </c>
      <c r="O1066" s="14">
        <f>CHOOSE(CONTROL!$C$42, 127.9993, 127.9993) * CHOOSE(CONTROL!$C$21, $C$9, 100%, $E$9)</f>
        <v>127.99930000000001</v>
      </c>
      <c r="P1066" s="14">
        <f>CHOOSE(CONTROL!$C$42, 128.1693, 128.1693) * CHOOSE(CONTROL!$C$21, $C$9, 100%, $E$9)</f>
        <v>128.16929999999999</v>
      </c>
      <c r="Q1066" s="14">
        <f>CHOOSE(CONTROL!$C$42, 128.594, 128.594) * CHOOSE(CONTROL!$C$21, $C$9, 100%, $E$9)</f>
        <v>128.59399999999999</v>
      </c>
      <c r="R1066" s="14">
        <f>CHOOSE(CONTROL!$C$42, 129.5025, 129.5025) * CHOOSE(CONTROL!$C$21, $C$9, 100%, $E$9)</f>
        <v>129.5025</v>
      </c>
      <c r="S1066" s="14">
        <f>CHOOSE(CONTROL!$C$42, 125.3262, 125.3262) * CHOOSE(CONTROL!$C$21, $C$9, 100%, $E$9)</f>
        <v>125.3262</v>
      </c>
      <c r="T106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66" s="57">
        <f>(1000*CHOOSE(CONTROL!$C$42, 695, 695)*CHOOSE(CONTROL!$C$42, 0.5599, 0.5599)*CHOOSE(CONTROL!$C$42, 31, 31))/1000000</f>
        <v>12.063045499999998</v>
      </c>
      <c r="V1066" s="57">
        <f>(1000*CHOOSE(CONTROL!$C$42, 500, 500)*CHOOSE(CONTROL!$C$42, 0.275, 0.275)*CHOOSE(CONTROL!$C$42, 31, 31))/1000000</f>
        <v>4.2625000000000002</v>
      </c>
      <c r="W1066" s="57">
        <f>(1000*CHOOSE(CONTROL!$C$42, 0.1146, 0.1146)*CHOOSE(CONTROL!$C$42, 121.5, 121.5)*CHOOSE(CONTROL!$C$42, 31, 31))/1000000</f>
        <v>0.43164089999999994</v>
      </c>
      <c r="X1066" s="57">
        <f>(31*0.1790888*245000/1000000)+(31*0.2374*100000/1000000)</f>
        <v>2.0961194359999999</v>
      </c>
      <c r="Y1066" s="57"/>
      <c r="Z1066" s="14"/>
      <c r="AA1066" s="56"/>
      <c r="AB1066" s="50">
        <f>(B1066*131.881+C1066*277.167+D1066*79.08+E1066*125.872+F1066*40+G1066*185+H1066*0+I1066*100+J1066*300)/(131.881+277.167+79.08+125.872+0+40+185+100+300)</f>
        <v>130.50210538006456</v>
      </c>
      <c r="AC1066" s="45">
        <f>(M1066*'RAP TEMPLATE-GAS AVAILABILITY'!O1065+N1066*'RAP TEMPLATE-GAS AVAILABILITY'!P1065+O1066*'RAP TEMPLATE-GAS AVAILABILITY'!Q1065+P1066*'RAP TEMPLATE-GAS AVAILABILITY'!R1065)/('RAP TEMPLATE-GAS AVAILABILITY'!O1065+'RAP TEMPLATE-GAS AVAILABILITY'!P1065+'RAP TEMPLATE-GAS AVAILABILITY'!Q1065+'RAP TEMPLATE-GAS AVAILABILITY'!R1065)</f>
        <v>127.92328273381295</v>
      </c>
    </row>
    <row r="1067" spans="1:29" ht="15.75" x14ac:dyDescent="0.25">
      <c r="A1067" s="32">
        <v>73384</v>
      </c>
      <c r="B1067" s="14">
        <f>CHOOSE(CONTROL!$C$42, 133.8707, 133.8707) * CHOOSE(CONTROL!$C$21, $C$9, 100%, $E$9)</f>
        <v>133.8707</v>
      </c>
      <c r="C1067" s="14">
        <f>CHOOSE(CONTROL!$C$42, 133.8758, 133.8758) * CHOOSE(CONTROL!$C$21, $C$9, 100%, $E$9)</f>
        <v>133.8758</v>
      </c>
      <c r="D1067" s="14">
        <f>CHOOSE(CONTROL!$C$42, 133.9396, 133.9396) * CHOOSE(CONTROL!$C$21, $C$9, 100%, $E$9)</f>
        <v>133.93960000000001</v>
      </c>
      <c r="E1067" s="14">
        <f>CHOOSE(CONTROL!$C$42, 133.9737, 133.9737) * CHOOSE(CONTROL!$C$21, $C$9, 100%, $E$9)</f>
        <v>133.97370000000001</v>
      </c>
      <c r="F1067" s="14">
        <f>CHOOSE(CONTROL!$C$42, 133.8731, 133.8731)*CHOOSE(CONTROL!$C$21, $C$9, 100%, $E$9)</f>
        <v>133.87309999999999</v>
      </c>
      <c r="G1067" s="14">
        <f>CHOOSE(CONTROL!$C$42, 133.8891, 133.8891)*CHOOSE(CONTROL!$C$21, $C$9, 100%, $E$9)</f>
        <v>133.88910000000001</v>
      </c>
      <c r="H1067" s="14">
        <f>CHOOSE(CONTROL!$C$42, 133.9629, 133.9629) * CHOOSE(CONTROL!$C$21, $C$9, 100%, $E$9)</f>
        <v>133.96289999999999</v>
      </c>
      <c r="I1067" s="14">
        <f>CHOOSE(CONTROL!$C$42, 134.3028, 134.3028)* CHOOSE(CONTROL!$C$21, $C$9, 100%, $E$9)</f>
        <v>134.30279999999999</v>
      </c>
      <c r="J1067" s="14">
        <f>CHOOSE(CONTROL!$C$42, 133.8661, 133.8661)* CHOOSE(CONTROL!$C$21, $C$9, 100%, $E$9)</f>
        <v>133.86609999999999</v>
      </c>
      <c r="K1067" s="53">
        <f>CHOOSE(CONTROL!$C$42, 134.2989, 134.2989) * CHOOSE(CONTROL!$C$21, $C$9, 100%, $E$9)</f>
        <v>134.2989</v>
      </c>
      <c r="L1067" s="14">
        <f>CHOOSE(CONTROL!$C$42, 134.5499, 134.5499) * CHOOSE(CONTROL!$C$21, $C$9, 100%, $E$9)</f>
        <v>134.54990000000001</v>
      </c>
      <c r="M1067" s="14">
        <f>CHOOSE(CONTROL!$C$42, 131.131, 131.131) * CHOOSE(CONTROL!$C$21, $C$9, 100%, $E$9)</f>
        <v>131.131</v>
      </c>
      <c r="N1067" s="14">
        <f>CHOOSE(CONTROL!$C$42, 131.1467, 131.1467) * CHOOSE(CONTROL!$C$21, $C$9, 100%, $E$9)</f>
        <v>131.14670000000001</v>
      </c>
      <c r="O1067" s="14">
        <f>CHOOSE(CONTROL!$C$42, 131.2258, 131.2258) * CHOOSE(CONTROL!$C$21, $C$9, 100%, $E$9)</f>
        <v>131.22579999999999</v>
      </c>
      <c r="P1067" s="14">
        <f>CHOOSE(CONTROL!$C$42, 131.5504, 131.5504) * CHOOSE(CONTROL!$C$21, $C$9, 100%, $E$9)</f>
        <v>131.5504</v>
      </c>
      <c r="Q1067" s="14">
        <f>CHOOSE(CONTROL!$C$42, 131.8205, 131.8205) * CHOOSE(CONTROL!$C$21, $C$9, 100%, $E$9)</f>
        <v>131.82050000000001</v>
      </c>
      <c r="R1067" s="14">
        <f>CHOOSE(CONTROL!$C$42, 132.737, 132.737) * CHOOSE(CONTROL!$C$21, $C$9, 100%, $E$9)</f>
        <v>132.73699999999999</v>
      </c>
      <c r="S1067" s="14">
        <f>CHOOSE(CONTROL!$C$42, 128.6278, 128.6278) * CHOOSE(CONTROL!$C$21, $C$9, 100%, $E$9)</f>
        <v>128.62780000000001</v>
      </c>
      <c r="T106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67" s="57">
        <f>(1000*CHOOSE(CONTROL!$C$42, 695, 695)*CHOOSE(CONTROL!$C$42, 0.5599, 0.5599)*CHOOSE(CONTROL!$C$42, 30, 30))/1000000</f>
        <v>11.673914999999997</v>
      </c>
      <c r="V1067" s="57">
        <f>(1000*CHOOSE(CONTROL!$C$42, 500, 500)*CHOOSE(CONTROL!$C$42, 0.275, 0.275)*CHOOSE(CONTROL!$C$42, 30, 30))/1000000</f>
        <v>4.125</v>
      </c>
      <c r="W1067" s="57">
        <f>(1000*CHOOSE(CONTROL!$C$42, 0.1146, 0.1146)*CHOOSE(CONTROL!$C$42, 121.5, 121.5)*CHOOSE(CONTROL!$C$42, 30, 30))/1000000</f>
        <v>0.417717</v>
      </c>
      <c r="X1067" s="57">
        <f>(30*0.1790888*100000/1000000)+(30*0.2374*100000/1000000)</f>
        <v>1.2494664</v>
      </c>
      <c r="Y1067" s="57"/>
      <c r="Z1067" s="14"/>
      <c r="AA1067" s="56"/>
      <c r="AB1067" s="50">
        <f>(B1067*122.58+C1067*297.941+D1067*89.177+E1067*40.302+F1067*40+G1067*160+H1067*0+I1067*100+J1067*300)/(122.58+297.941+89.177+40.302+0+40+160+100+300)</f>
        <v>133.91999121773912</v>
      </c>
      <c r="AC1067" s="45">
        <f>(M1067*'RAP TEMPLATE-GAS AVAILABILITY'!O1066+N1067*'RAP TEMPLATE-GAS AVAILABILITY'!P1066+O1067*'RAP TEMPLATE-GAS AVAILABILITY'!Q1066+P1067*'RAP TEMPLATE-GAS AVAILABILITY'!R1066)/('RAP TEMPLATE-GAS AVAILABILITY'!O1066+'RAP TEMPLATE-GAS AVAILABILITY'!P1066+'RAP TEMPLATE-GAS AVAILABILITY'!Q1066+'RAP TEMPLATE-GAS AVAILABILITY'!R1066)</f>
        <v>131.23521582733812</v>
      </c>
    </row>
    <row r="1068" spans="1:29" ht="15.75" x14ac:dyDescent="0.25">
      <c r="A1068" s="32">
        <v>73415</v>
      </c>
      <c r="B1068" s="14">
        <f>CHOOSE(CONTROL!$C$42, 142.9965, 142.9965) * CHOOSE(CONTROL!$C$21, $C$9, 100%, $E$9)</f>
        <v>142.9965</v>
      </c>
      <c r="C1068" s="14">
        <f>CHOOSE(CONTROL!$C$42, 143.0016, 143.0016) * CHOOSE(CONTROL!$C$21, $C$9, 100%, $E$9)</f>
        <v>143.0016</v>
      </c>
      <c r="D1068" s="14">
        <f>CHOOSE(CONTROL!$C$42, 143.0654, 143.0654) * CHOOSE(CONTROL!$C$21, $C$9, 100%, $E$9)</f>
        <v>143.06540000000001</v>
      </c>
      <c r="E1068" s="14">
        <f>CHOOSE(CONTROL!$C$42, 143.0995, 143.0995) * CHOOSE(CONTROL!$C$21, $C$9, 100%, $E$9)</f>
        <v>143.09950000000001</v>
      </c>
      <c r="F1068" s="14">
        <f>CHOOSE(CONTROL!$C$42, 143.0011, 143.0011)*CHOOSE(CONTROL!$C$21, $C$9, 100%, $E$9)</f>
        <v>143.00110000000001</v>
      </c>
      <c r="G1068" s="14">
        <f>CHOOSE(CONTROL!$C$42, 143.0177, 143.0177)*CHOOSE(CONTROL!$C$21, $C$9, 100%, $E$9)</f>
        <v>143.01769999999999</v>
      </c>
      <c r="H1068" s="14">
        <f>CHOOSE(CONTROL!$C$42, 143.0887, 143.0887) * CHOOSE(CONTROL!$C$21, $C$9, 100%, $E$9)</f>
        <v>143.08869999999999</v>
      </c>
      <c r="I1068" s="14">
        <f>CHOOSE(CONTROL!$C$42, 143.4572, 143.4572)* CHOOSE(CONTROL!$C$21, $C$9, 100%, $E$9)</f>
        <v>143.4572</v>
      </c>
      <c r="J1068" s="14">
        <f>CHOOSE(CONTROL!$C$42, 142.9941, 142.9941)* CHOOSE(CONTROL!$C$21, $C$9, 100%, $E$9)</f>
        <v>142.9941</v>
      </c>
      <c r="K1068" s="53">
        <f>CHOOSE(CONTROL!$C$42, 143.4533, 143.4533) * CHOOSE(CONTROL!$C$21, $C$9, 100%, $E$9)</f>
        <v>143.45330000000001</v>
      </c>
      <c r="L1068" s="14">
        <f>CHOOSE(CONTROL!$C$42, 143.6757, 143.6757) * CHOOSE(CONTROL!$C$21, $C$9, 100%, $E$9)</f>
        <v>143.67570000000001</v>
      </c>
      <c r="M1068" s="14">
        <f>CHOOSE(CONTROL!$C$42, 140.072, 140.072) * CHOOSE(CONTROL!$C$21, $C$9, 100%, $E$9)</f>
        <v>140.072</v>
      </c>
      <c r="N1068" s="14">
        <f>CHOOSE(CONTROL!$C$42, 140.0882, 140.0882) * CHOOSE(CONTROL!$C$21, $C$9, 100%, $E$9)</f>
        <v>140.0882</v>
      </c>
      <c r="O1068" s="14">
        <f>CHOOSE(CONTROL!$C$42, 140.1646, 140.1646) * CHOOSE(CONTROL!$C$21, $C$9, 100%, $E$9)</f>
        <v>140.16460000000001</v>
      </c>
      <c r="P1068" s="14">
        <f>CHOOSE(CONTROL!$C$42, 140.5166, 140.5166) * CHOOSE(CONTROL!$C$21, $C$9, 100%, $E$9)</f>
        <v>140.51660000000001</v>
      </c>
      <c r="Q1068" s="14">
        <f>CHOOSE(CONTROL!$C$42, 140.7593, 140.7593) * CHOOSE(CONTROL!$C$21, $C$9, 100%, $E$9)</f>
        <v>140.7593</v>
      </c>
      <c r="R1068" s="14">
        <f>CHOOSE(CONTROL!$C$42, 141.6982, 141.6982) * CHOOSE(CONTROL!$C$21, $C$9, 100%, $E$9)</f>
        <v>141.69820000000001</v>
      </c>
      <c r="S1068" s="14">
        <f>CHOOSE(CONTROL!$C$42, 137.3968, 137.3968) * CHOOSE(CONTROL!$C$21, $C$9, 100%, $E$9)</f>
        <v>137.39680000000001</v>
      </c>
      <c r="T106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68" s="57">
        <f>(1000*CHOOSE(CONTROL!$C$42, 695, 695)*CHOOSE(CONTROL!$C$42, 0.5599, 0.5599)*CHOOSE(CONTROL!$C$42, 31, 31))/1000000</f>
        <v>12.063045499999998</v>
      </c>
      <c r="V1068" s="57">
        <f>(1000*CHOOSE(CONTROL!$C$42, 500, 500)*CHOOSE(CONTROL!$C$42, 0.275, 0.275)*CHOOSE(CONTROL!$C$42, 31, 31))/1000000</f>
        <v>4.2625000000000002</v>
      </c>
      <c r="W1068" s="57">
        <f>(1000*CHOOSE(CONTROL!$C$42, 0.1146, 0.1146)*CHOOSE(CONTROL!$C$42, 121.5, 121.5)*CHOOSE(CONTROL!$C$42, 31, 31))/1000000</f>
        <v>0.43164089999999994</v>
      </c>
      <c r="X1068" s="57">
        <f>(31*0.1790888*100000/1000000)+(31*0.2374*100000/1000000)</f>
        <v>1.2911152800000001</v>
      </c>
      <c r="Y1068" s="57"/>
      <c r="Z1068" s="14"/>
      <c r="AA1068" s="56"/>
      <c r="AB1068" s="50">
        <f>(B1068*122.58+C1068*297.941+D1068*89.177+E1068*40.302+F1068*40+G1068*160+H1068*0+I1068*100+J1068*300)/(122.58+297.941+89.177+40.302+0+40+160+100+300)</f>
        <v>143.04931817426086</v>
      </c>
      <c r="AC1068" s="45">
        <f>(M1068*'RAP TEMPLATE-GAS AVAILABILITY'!O1067+N1068*'RAP TEMPLATE-GAS AVAILABILITY'!P1067+O1068*'RAP TEMPLATE-GAS AVAILABILITY'!Q1067+P1068*'RAP TEMPLATE-GAS AVAILABILITY'!R1067)/('RAP TEMPLATE-GAS AVAILABILITY'!O1067+'RAP TEMPLATE-GAS AVAILABILITY'!P1067+'RAP TEMPLATE-GAS AVAILABILITY'!Q1067+'RAP TEMPLATE-GAS AVAILABILITY'!R1067)</f>
        <v>140.17887338129498</v>
      </c>
    </row>
    <row r="1069" spans="1:29" ht="15" x14ac:dyDescent="0.2">
      <c r="A1069" s="12"/>
    </row>
    <row r="1070" spans="1:29" ht="15.75" x14ac:dyDescent="0.25">
      <c r="A1070" s="10">
        <v>2013</v>
      </c>
      <c r="B1070" s="14">
        <f t="shared" ref="B1070:J1070" si="3">AVERAGE(B13:B24)</f>
        <v>3.7505953473364393</v>
      </c>
      <c r="C1070" s="14">
        <f t="shared" si="3"/>
        <v>3.756865217153853</v>
      </c>
      <c r="D1070" s="14">
        <f t="shared" si="3"/>
        <v>3.8925162078830549</v>
      </c>
      <c r="E1070" s="14">
        <f t="shared" si="3"/>
        <v>3.9248446856233312</v>
      </c>
      <c r="F1070" s="14">
        <f t="shared" si="3"/>
        <v>3.7479065229942741</v>
      </c>
      <c r="G1070" s="14">
        <f t="shared" si="3"/>
        <v>3.7629573364094213</v>
      </c>
      <c r="H1070" s="14">
        <f t="shared" si="3"/>
        <v>3.9138905107309161</v>
      </c>
      <c r="I1070" s="14">
        <f t="shared" si="3"/>
        <v>3.7693078690531547</v>
      </c>
      <c r="J1070" s="14">
        <f t="shared" si="3"/>
        <v>3.7408065229942751</v>
      </c>
      <c r="K1070" s="53"/>
      <c r="L1070" s="14">
        <f t="shared" ref="L1070:S1070" si="4">AVERAGE(L13:L24)</f>
        <v>4.5008905107309163</v>
      </c>
      <c r="M1070" s="14">
        <f t="shared" si="4"/>
        <v>3.6833581022953665</v>
      </c>
      <c r="N1070" s="14">
        <f t="shared" si="4"/>
        <v>3.6981385103889628</v>
      </c>
      <c r="O1070" s="14">
        <f t="shared" si="4"/>
        <v>3.8533534981494024</v>
      </c>
      <c r="P1070" s="14">
        <f t="shared" si="4"/>
        <v>3.7112308453260674</v>
      </c>
      <c r="Q1070" s="14">
        <f t="shared" si="4"/>
        <v>4.4480534981494024</v>
      </c>
      <c r="R1070" s="14">
        <f t="shared" si="4"/>
        <v>5.0461795485614429</v>
      </c>
      <c r="S1070" s="14">
        <f t="shared" si="4"/>
        <v>3.6017835197698731</v>
      </c>
      <c r="T1070" s="49">
        <f t="shared" ref="T1070:Y1070" si="5">SUM(T13:T24)</f>
        <v>360.24600500000003</v>
      </c>
      <c r="U1070" s="49">
        <f t="shared" si="5"/>
        <v>142.03737099999998</v>
      </c>
      <c r="V1070" s="49">
        <f t="shared" si="5"/>
        <v>58.217499999999994</v>
      </c>
      <c r="W1070" s="49">
        <f t="shared" si="5"/>
        <v>8.0934139999999992</v>
      </c>
      <c r="X1070" s="49">
        <f t="shared" si="5"/>
        <v>5.5571254639999994</v>
      </c>
      <c r="Y1070" s="49">
        <f t="shared" si="5"/>
        <v>4.7699999999999996</v>
      </c>
      <c r="Z1070" s="14">
        <f>AVERAGE(Z13:Z24)</f>
        <v>3.7054292082257327</v>
      </c>
      <c r="AA1070" s="49">
        <f>SUM(AA13:AA24)</f>
        <v>10.084160000000001</v>
      </c>
      <c r="AB1070" s="50">
        <f>AVERAGE(AB13:AB24)</f>
        <v>3.7969140047691687</v>
      </c>
      <c r="AC1070" s="45">
        <f>AVERAGE(AC13:AC24)</f>
        <v>3.7550885445021045</v>
      </c>
    </row>
    <row r="1071" spans="1:29" ht="15.75" x14ac:dyDescent="0.25">
      <c r="A1071" s="10">
        <v>2014</v>
      </c>
      <c r="B1071" s="14">
        <f t="shared" ref="B1071:J1071" si="6">AVERAGE(B25:B36)</f>
        <v>3.9337750000000002</v>
      </c>
      <c r="C1071" s="14">
        <f t="shared" si="6"/>
        <v>3.9400499999999994</v>
      </c>
      <c r="D1071" s="14">
        <f t="shared" si="6"/>
        <v>4.0869166666666672</v>
      </c>
      <c r="E1071" s="14">
        <f t="shared" si="6"/>
        <v>4.1193499999999998</v>
      </c>
      <c r="F1071" s="14">
        <f t="shared" si="6"/>
        <v>3.9205833333333331</v>
      </c>
      <c r="G1071" s="14">
        <f t="shared" si="6"/>
        <v>3.9363583333333327</v>
      </c>
      <c r="H1071" s="14">
        <f t="shared" si="6"/>
        <v>4.1084500000000004</v>
      </c>
      <c r="I1071" s="14">
        <f t="shared" si="6"/>
        <v>3.9535666666666667</v>
      </c>
      <c r="J1071" s="14">
        <f t="shared" si="6"/>
        <v>3.913583333333333</v>
      </c>
      <c r="K1071" s="53"/>
      <c r="L1071" s="14">
        <f t="shared" ref="L1071:S1071" si="7">AVERAGE(L25:L36)</f>
        <v>4.6954499999999992</v>
      </c>
      <c r="M1071" s="14">
        <f t="shared" si="7"/>
        <v>3.8411000000000004</v>
      </c>
      <c r="N1071" s="14">
        <f t="shared" si="7"/>
        <v>3.8565333333333331</v>
      </c>
      <c r="O1071" s="14">
        <f t="shared" si="7"/>
        <v>4.0319666666666665</v>
      </c>
      <c r="P1071" s="14">
        <f t="shared" si="7"/>
        <v>3.8800916666666665</v>
      </c>
      <c r="Q1071" s="14">
        <f t="shared" si="7"/>
        <v>4.6266666666666669</v>
      </c>
      <c r="R1071" s="14">
        <f t="shared" si="7"/>
        <v>5.2252416666666663</v>
      </c>
      <c r="S1071" s="14">
        <f t="shared" si="7"/>
        <v>3.7704666666666671</v>
      </c>
      <c r="T1071" s="49">
        <f t="shared" ref="T1071:Y1071" si="8">SUM(T25:T36)</f>
        <v>364.742681</v>
      </c>
      <c r="U1071" s="49">
        <f t="shared" si="8"/>
        <v>142.03263249999998</v>
      </c>
      <c r="V1071" s="49">
        <f t="shared" si="8"/>
        <v>58.217499999999994</v>
      </c>
      <c r="W1071" s="49">
        <f t="shared" si="8"/>
        <v>8.3657999999999983</v>
      </c>
      <c r="X1071" s="49">
        <f t="shared" si="8"/>
        <v>5.5571254639999994</v>
      </c>
      <c r="Y1071" s="49">
        <f t="shared" si="8"/>
        <v>1.2000000000000002</v>
      </c>
      <c r="Z1071" s="14">
        <f>AVERAGE(Z25:Z36)</f>
        <v>3.8729833333333334</v>
      </c>
      <c r="AA1071" s="49">
        <f>SUM(AA25:AA36)</f>
        <v>12.630990000000001</v>
      </c>
      <c r="AB1071" s="50">
        <f>AVERAGE(AB25:AB36)</f>
        <v>3.9818692813713334</v>
      </c>
      <c r="AC1071" s="45">
        <f>AVERAGE(AC25:AC36)</f>
        <v>3.9203400479616306</v>
      </c>
    </row>
    <row r="1072" spans="1:29" ht="15.75" x14ac:dyDescent="0.25">
      <c r="A1072" s="10">
        <v>2015</v>
      </c>
      <c r="B1072" s="14">
        <f t="shared" ref="B1072:J1072" si="9">AVERAGE(B37:B48)</f>
        <v>4.203924999999999</v>
      </c>
      <c r="C1072" s="14">
        <f t="shared" si="9"/>
        <v>4.2101916666666668</v>
      </c>
      <c r="D1072" s="14">
        <f t="shared" si="9"/>
        <v>4.3570583333333337</v>
      </c>
      <c r="E1072" s="14">
        <f t="shared" si="9"/>
        <v>4.3894833333333336</v>
      </c>
      <c r="F1072" s="14">
        <f t="shared" si="9"/>
        <v>4.1907333333333332</v>
      </c>
      <c r="G1072" s="14">
        <f t="shared" si="9"/>
        <v>4.2065083333333337</v>
      </c>
      <c r="H1072" s="14">
        <f t="shared" si="9"/>
        <v>4.3785999999999996</v>
      </c>
      <c r="I1072" s="14">
        <f t="shared" si="9"/>
        <v>4.2245666666666661</v>
      </c>
      <c r="J1072" s="14">
        <f t="shared" si="9"/>
        <v>4.1837333333333335</v>
      </c>
      <c r="K1072" s="53"/>
      <c r="L1072" s="14">
        <f t="shared" ref="L1072:S1072" si="10">AVERAGE(L37:L48)</f>
        <v>4.9656000000000002</v>
      </c>
      <c r="M1072" s="14">
        <f t="shared" si="10"/>
        <v>4.1057083333333333</v>
      </c>
      <c r="N1072" s="14">
        <f t="shared" si="10"/>
        <v>4.1211583333333328</v>
      </c>
      <c r="O1072" s="14">
        <f t="shared" si="10"/>
        <v>4.2965916666666661</v>
      </c>
      <c r="P1072" s="14">
        <f t="shared" si="10"/>
        <v>4.1455166666666674</v>
      </c>
      <c r="Q1072" s="14">
        <f t="shared" si="10"/>
        <v>4.8912916666666666</v>
      </c>
      <c r="R1072" s="14">
        <f t="shared" si="10"/>
        <v>5.4905083333333335</v>
      </c>
      <c r="S1072" s="14">
        <f t="shared" si="10"/>
        <v>4.0300500000000001</v>
      </c>
      <c r="T1072" s="49">
        <f>SUM(T37:T48)</f>
        <v>364.742681</v>
      </c>
      <c r="U1072" s="49">
        <f>SUM(U37:U48)</f>
        <v>142.03263249999998</v>
      </c>
      <c r="V1072" s="49">
        <f>SUM(V37:V48)</f>
        <v>58.217499999999994</v>
      </c>
      <c r="W1072" s="49">
        <f>SUM(W37:W48)</f>
        <v>8.3657999999999983</v>
      </c>
      <c r="X1072" s="49">
        <f>SUM(X37:X48)</f>
        <v>17.010567464000001</v>
      </c>
      <c r="Y1072" s="49"/>
      <c r="Z1072" s="14">
        <f>AVERAGE(Z37:Z48)</f>
        <v>4.1386916666666664</v>
      </c>
      <c r="AA1072" s="49">
        <f>SUM(AA37:AA48)</f>
        <v>12.811459999999997</v>
      </c>
      <c r="AB1072" s="50">
        <f>AVERAGE(AB37:AB48)</f>
        <v>4.2324878574999474</v>
      </c>
      <c r="AC1072" s="45">
        <f>AVERAGE(AC37:AC48)</f>
        <v>4.1763727218225428</v>
      </c>
    </row>
    <row r="1073" spans="1:29" ht="15.75" x14ac:dyDescent="0.25">
      <c r="A1073" s="10">
        <v>2016</v>
      </c>
      <c r="B1073" s="14">
        <f t="shared" ref="B1073:J1073" si="11">AVERAGE(B49:B60)</f>
        <v>4.5678416666666664</v>
      </c>
      <c r="C1073" s="14">
        <f t="shared" si="11"/>
        <v>4.5741166666666668</v>
      </c>
      <c r="D1073" s="14">
        <f t="shared" si="11"/>
        <v>4.7210000000000001</v>
      </c>
      <c r="E1073" s="14">
        <f t="shared" si="11"/>
        <v>4.7534083333333337</v>
      </c>
      <c r="F1073" s="14">
        <f t="shared" si="11"/>
        <v>4.5546666666666669</v>
      </c>
      <c r="G1073" s="14">
        <f t="shared" si="11"/>
        <v>4.5704416666666665</v>
      </c>
      <c r="H1073" s="14">
        <f t="shared" si="11"/>
        <v>4.7425333333333333</v>
      </c>
      <c r="I1073" s="14">
        <f t="shared" si="11"/>
        <v>4.5896333333333326</v>
      </c>
      <c r="J1073" s="14">
        <f t="shared" si="11"/>
        <v>4.5476666666666672</v>
      </c>
      <c r="K1073" s="53"/>
      <c r="L1073" s="14">
        <f t="shared" ref="L1073:S1073" si="12">AVERAGE(L49:L60)</f>
        <v>5.329533333333333</v>
      </c>
      <c r="M1073" s="14">
        <f t="shared" si="12"/>
        <v>4.4621916666666666</v>
      </c>
      <c r="N1073" s="14">
        <f t="shared" si="12"/>
        <v>4.4776166666666661</v>
      </c>
      <c r="O1073" s="14">
        <f t="shared" si="12"/>
        <v>4.6530500000000004</v>
      </c>
      <c r="P1073" s="14">
        <f t="shared" si="12"/>
        <v>4.5030999999999999</v>
      </c>
      <c r="Q1073" s="14">
        <f t="shared" si="12"/>
        <v>5.247749999999999</v>
      </c>
      <c r="R1073" s="14">
        <f t="shared" si="12"/>
        <v>5.8478583333333338</v>
      </c>
      <c r="S1073" s="14">
        <f t="shared" si="12"/>
        <v>4.3797333333333333</v>
      </c>
      <c r="T1073" s="49">
        <f>SUM(T49:T60)</f>
        <v>358.17703550000004</v>
      </c>
      <c r="U1073" s="49">
        <f>SUM(U49:U60)</f>
        <v>142.42176299999997</v>
      </c>
      <c r="V1073" s="49">
        <f>SUM(V49:V60)</f>
        <v>58.377000000000002</v>
      </c>
      <c r="W1073" s="49">
        <f>SUM(W49:W60)</f>
        <v>6.1846754999999982</v>
      </c>
      <c r="X1073" s="49">
        <f>SUM(X49:X60)</f>
        <v>20.800615543999996</v>
      </c>
      <c r="Y1073" s="49"/>
      <c r="Z1073" s="14"/>
      <c r="AA1073" s="49"/>
      <c r="AB1073" s="50">
        <f>AVERAGE(AB49:AB60)</f>
        <v>4.5897297771082206</v>
      </c>
      <c r="AC1073" s="45">
        <f>AVERAGE(AC49:AC60)</f>
        <v>4.5316034772182254</v>
      </c>
    </row>
    <row r="1074" spans="1:29" ht="15.75" x14ac:dyDescent="0.25">
      <c r="A1074" s="10">
        <v>2017</v>
      </c>
      <c r="B1074" s="14">
        <f t="shared" ref="B1074:S1074" si="13">AVERAGE(B61:B72)</f>
        <v>4.9350999999999994</v>
      </c>
      <c r="C1074" s="14">
        <f t="shared" si="13"/>
        <v>4.9413749999999999</v>
      </c>
      <c r="D1074" s="14">
        <f t="shared" si="13"/>
        <v>5.0882416666666668</v>
      </c>
      <c r="E1074" s="14">
        <f t="shared" si="13"/>
        <v>5.1206666666666658</v>
      </c>
      <c r="F1074" s="14">
        <f t="shared" si="13"/>
        <v>4.9219166666666672</v>
      </c>
      <c r="G1074" s="14">
        <f t="shared" si="13"/>
        <v>4.9376749999999996</v>
      </c>
      <c r="H1074" s="14">
        <f t="shared" si="13"/>
        <v>5.1097833333333336</v>
      </c>
      <c r="I1074" s="14">
        <f t="shared" si="13"/>
        <v>4.9580583333333346</v>
      </c>
      <c r="J1074" s="14">
        <f t="shared" si="13"/>
        <v>4.9149166666666657</v>
      </c>
      <c r="K1074" s="53">
        <f t="shared" si="13"/>
        <v>4.954158333333333</v>
      </c>
      <c r="L1074" s="14">
        <f t="shared" si="13"/>
        <v>5.6967833333333324</v>
      </c>
      <c r="M1074" s="14">
        <f t="shared" si="13"/>
        <v>4.8219166666666657</v>
      </c>
      <c r="N1074" s="14">
        <f t="shared" si="13"/>
        <v>4.8373583333333334</v>
      </c>
      <c r="O1074" s="14">
        <f t="shared" si="13"/>
        <v>5.0127916666666668</v>
      </c>
      <c r="P1074" s="14">
        <f t="shared" si="13"/>
        <v>4.8639166666666664</v>
      </c>
      <c r="Q1074" s="14">
        <f t="shared" si="13"/>
        <v>5.6074916666666672</v>
      </c>
      <c r="R1074" s="14">
        <f t="shared" si="13"/>
        <v>6.2085000000000008</v>
      </c>
      <c r="S1074" s="14">
        <f t="shared" si="13"/>
        <v>4.7326250000000005</v>
      </c>
      <c r="T1074" s="49">
        <f>SUM(T61:T72)</f>
        <v>357.24568100000005</v>
      </c>
      <c r="U1074" s="49">
        <f>SUM(U61:U72)</f>
        <v>142.03263249999998</v>
      </c>
      <c r="V1074" s="49">
        <f>SUM(V61:V72)</f>
        <v>58.217499999999994</v>
      </c>
      <c r="W1074" s="49">
        <f>SUM(W61:W72)</f>
        <v>5.0822234999999996</v>
      </c>
      <c r="X1074" s="49">
        <f>SUM(X61:X72)</f>
        <v>20.758966663999999</v>
      </c>
      <c r="Y1074" s="49"/>
      <c r="Z1074" s="14"/>
      <c r="AA1074" s="14"/>
      <c r="AB1074" s="50">
        <f>AVERAGE(AB61:AB72)</f>
        <v>4.9570767940730347</v>
      </c>
      <c r="AC1074" s="45">
        <f>AVERAGE(AC61:AC72)</f>
        <v>4.8914940647482021</v>
      </c>
    </row>
    <row r="1075" spans="1:29" ht="15.75" x14ac:dyDescent="0.25">
      <c r="A1075" s="10">
        <v>2018</v>
      </c>
      <c r="B1075" s="14">
        <f t="shared" ref="B1075:S1075" si="14">AVERAGE(B73:B84)</f>
        <v>5.8630666666666675</v>
      </c>
      <c r="C1075" s="14">
        <f t="shared" si="14"/>
        <v>5.8693583333333343</v>
      </c>
      <c r="D1075" s="14">
        <f t="shared" si="14"/>
        <v>6.0162166666666677</v>
      </c>
      <c r="E1075" s="14">
        <f t="shared" si="14"/>
        <v>6.0486416666666658</v>
      </c>
      <c r="F1075" s="14">
        <f t="shared" si="14"/>
        <v>5.8499083333333344</v>
      </c>
      <c r="G1075" s="14">
        <f t="shared" si="14"/>
        <v>5.8656666666666668</v>
      </c>
      <c r="H1075" s="14">
        <f t="shared" si="14"/>
        <v>6.0377583333333336</v>
      </c>
      <c r="I1075" s="14">
        <f t="shared" si="14"/>
        <v>5.8889166666666668</v>
      </c>
      <c r="J1075" s="14">
        <f t="shared" si="14"/>
        <v>5.8429083333333329</v>
      </c>
      <c r="K1075" s="53">
        <f t="shared" si="14"/>
        <v>5.8850249999999997</v>
      </c>
      <c r="L1075" s="14">
        <f t="shared" si="14"/>
        <v>6.6247583333333324</v>
      </c>
      <c r="M1075" s="14">
        <f t="shared" si="14"/>
        <v>5.7308833333333338</v>
      </c>
      <c r="N1075" s="14">
        <f t="shared" si="14"/>
        <v>5.7462999999999989</v>
      </c>
      <c r="O1075" s="14">
        <f t="shared" si="14"/>
        <v>5.9217416666666667</v>
      </c>
      <c r="P1075" s="14">
        <f t="shared" si="14"/>
        <v>5.7756583333333325</v>
      </c>
      <c r="Q1075" s="14">
        <f t="shared" si="14"/>
        <v>6.5164416666666662</v>
      </c>
      <c r="R1075" s="14">
        <f t="shared" si="14"/>
        <v>7.1197333333333326</v>
      </c>
      <c r="S1075" s="14">
        <f t="shared" si="14"/>
        <v>5.6243166666666662</v>
      </c>
      <c r="T1075" s="49">
        <f>SUM(T73:T84)</f>
        <v>357.24568100000005</v>
      </c>
      <c r="U1075" s="49">
        <f>SUM(U73:U84)</f>
        <v>142.03263249999998</v>
      </c>
      <c r="V1075" s="49">
        <f>SUM(V73:V84)</f>
        <v>50.187500000000007</v>
      </c>
      <c r="W1075" s="49">
        <f>SUM(W73:W84)</f>
        <v>5.0822234999999996</v>
      </c>
      <c r="X1075" s="49">
        <f>SUM(X73:X84)</f>
        <v>20.758966663999999</v>
      </c>
      <c r="Y1075" s="49"/>
      <c r="Z1075" s="14"/>
      <c r="AA1075" s="14"/>
      <c r="AB1075" s="50">
        <f>AVERAGE(AB73:AB84)</f>
        <v>5.8852976311341747</v>
      </c>
      <c r="AC1075" s="45">
        <f>AVERAGE(AC73:AC84)</f>
        <v>5.8008524580335719</v>
      </c>
    </row>
    <row r="1076" spans="1:29" ht="15.75" x14ac:dyDescent="0.25">
      <c r="A1076" s="10">
        <v>2019</v>
      </c>
      <c r="B1076" s="14">
        <f t="shared" ref="B1076:S1076" si="15">AVERAGE(B85:B96)</f>
        <v>6.4110000000000005</v>
      </c>
      <c r="C1076" s="14">
        <f t="shared" si="15"/>
        <v>6.4172750000000001</v>
      </c>
      <c r="D1076" s="14">
        <f t="shared" si="15"/>
        <v>6.5641499999999988</v>
      </c>
      <c r="E1076" s="14">
        <f t="shared" si="15"/>
        <v>6.5965666666666669</v>
      </c>
      <c r="F1076" s="14">
        <f t="shared" si="15"/>
        <v>6.3978250000000001</v>
      </c>
      <c r="G1076" s="14">
        <f t="shared" si="15"/>
        <v>6.4135833333333316</v>
      </c>
      <c r="H1076" s="14">
        <f t="shared" si="15"/>
        <v>6.5856916666666665</v>
      </c>
      <c r="I1076" s="14">
        <f t="shared" si="15"/>
        <v>6.4385666666666665</v>
      </c>
      <c r="J1076" s="14">
        <f t="shared" si="15"/>
        <v>6.3908249999999995</v>
      </c>
      <c r="K1076" s="53">
        <f t="shared" si="15"/>
        <v>6.4346749999999986</v>
      </c>
      <c r="L1076" s="14">
        <f t="shared" si="15"/>
        <v>7.1726916666666662</v>
      </c>
      <c r="M1076" s="14">
        <f t="shared" si="15"/>
        <v>6.2675583333333327</v>
      </c>
      <c r="N1076" s="14">
        <f t="shared" si="15"/>
        <v>6.2830249999999994</v>
      </c>
      <c r="O1076" s="14">
        <f t="shared" si="15"/>
        <v>6.4584416666666682</v>
      </c>
      <c r="P1076" s="14">
        <f t="shared" si="15"/>
        <v>6.3140166666666664</v>
      </c>
      <c r="Q1076" s="14">
        <f t="shared" si="15"/>
        <v>7.053141666666666</v>
      </c>
      <c r="R1076" s="14">
        <f t="shared" si="15"/>
        <v>7.657775</v>
      </c>
      <c r="S1076" s="14">
        <f t="shared" si="15"/>
        <v>6.1508416666666674</v>
      </c>
      <c r="T1076" s="49">
        <f>SUM(T85:T96)</f>
        <v>357.24568100000005</v>
      </c>
      <c r="U1076" s="49">
        <f>SUM(U85:U96)</f>
        <v>142.03263249999998</v>
      </c>
      <c r="V1076" s="49">
        <f>SUM(V85:V96)</f>
        <v>50.187500000000007</v>
      </c>
      <c r="W1076" s="49">
        <f>SUM(W85:W96)</f>
        <v>5.0822234999999996</v>
      </c>
      <c r="X1076" s="49">
        <f>SUM(X85:X96)</f>
        <v>20.758966663999999</v>
      </c>
      <c r="Y1076" s="49"/>
      <c r="Z1076" s="14"/>
      <c r="AA1076" s="14"/>
      <c r="AB1076" s="50">
        <f>AVERAGE(AB85:AB96)</f>
        <v>6.4333607169778917</v>
      </c>
      <c r="AC1076" s="45">
        <f>AVERAGE(AC85:AC96)</f>
        <v>6.3377867505995225</v>
      </c>
    </row>
    <row r="1077" spans="1:29" ht="15.75" x14ac:dyDescent="0.25">
      <c r="A1077" s="10">
        <v>2020</v>
      </c>
      <c r="B1077" s="14">
        <f t="shared" ref="B1077:S1077" si="16">AVERAGE(B97:B108)</f>
        <v>6.9561083333333329</v>
      </c>
      <c r="C1077" s="14">
        <f t="shared" si="16"/>
        <v>6.9624083333333324</v>
      </c>
      <c r="D1077" s="14">
        <f t="shared" si="16"/>
        <v>7.109258333333333</v>
      </c>
      <c r="E1077" s="14">
        <f t="shared" si="16"/>
        <v>7.1416833333333338</v>
      </c>
      <c r="F1077" s="14">
        <f t="shared" si="16"/>
        <v>6.9429333333333334</v>
      </c>
      <c r="G1077" s="14">
        <f t="shared" si="16"/>
        <v>6.9586916666666667</v>
      </c>
      <c r="H1077" s="14">
        <f t="shared" si="16"/>
        <v>7.130799999999998</v>
      </c>
      <c r="I1077" s="14">
        <f t="shared" si="16"/>
        <v>6.9853916666666649</v>
      </c>
      <c r="J1077" s="14">
        <f t="shared" si="16"/>
        <v>6.9359333333333337</v>
      </c>
      <c r="K1077" s="53">
        <f t="shared" si="16"/>
        <v>6.9815000000000005</v>
      </c>
      <c r="L1077" s="14">
        <f t="shared" si="16"/>
        <v>7.7178000000000013</v>
      </c>
      <c r="M1077" s="14">
        <f t="shared" si="16"/>
        <v>6.8015249999999989</v>
      </c>
      <c r="N1077" s="14">
        <f t="shared" si="16"/>
        <v>6.8169500000000012</v>
      </c>
      <c r="O1077" s="14">
        <f t="shared" si="16"/>
        <v>6.9923833333333336</v>
      </c>
      <c r="P1077" s="14">
        <f t="shared" si="16"/>
        <v>6.8495999999999997</v>
      </c>
      <c r="Q1077" s="14">
        <f t="shared" si="16"/>
        <v>7.5870833333333332</v>
      </c>
      <c r="R1077" s="14">
        <f t="shared" si="16"/>
        <v>8.1930666666666685</v>
      </c>
      <c r="S1077" s="14">
        <f t="shared" si="16"/>
        <v>6.6746249999999989</v>
      </c>
      <c r="T1077" s="49">
        <f>SUM(T97:T108)</f>
        <v>358.17703550000004</v>
      </c>
      <c r="U1077" s="49">
        <f>SUM(U97:U108)</f>
        <v>142.42176299999997</v>
      </c>
      <c r="V1077" s="49">
        <f>SUM(V97:V108)</f>
        <v>50.325000000000003</v>
      </c>
      <c r="W1077" s="49">
        <f>SUM(W97:W108)</f>
        <v>5.0961473999999995</v>
      </c>
      <c r="X1077" s="49">
        <f>SUM(X97:X108)</f>
        <v>20.800615543999996</v>
      </c>
      <c r="Y1077" s="49"/>
      <c r="Z1077" s="14"/>
      <c r="AA1077" s="14"/>
      <c r="AB1077" s="50">
        <f>AVERAGE(AB97:AB108)</f>
        <v>6.9786164355073828</v>
      </c>
      <c r="AC1077" s="45">
        <f>AVERAGE(AC97:AC108)</f>
        <v>6.8719694244604321</v>
      </c>
    </row>
    <row r="1078" spans="1:29" ht="15.75" x14ac:dyDescent="0.25">
      <c r="A1078" s="10">
        <v>2021</v>
      </c>
      <c r="B1078" s="14">
        <f t="shared" ref="B1078:S1078" si="17">AVERAGE(B109:B120)</f>
        <v>7.3611583333333321</v>
      </c>
      <c r="C1078" s="14">
        <f t="shared" si="17"/>
        <v>7.3674166666666663</v>
      </c>
      <c r="D1078" s="14">
        <f t="shared" si="17"/>
        <v>7.5142916666666659</v>
      </c>
      <c r="E1078" s="14">
        <f t="shared" si="17"/>
        <v>7.5467083333333349</v>
      </c>
      <c r="F1078" s="14">
        <f t="shared" si="17"/>
        <v>7.347974999999999</v>
      </c>
      <c r="G1078" s="14">
        <f t="shared" si="17"/>
        <v>7.3637333333333332</v>
      </c>
      <c r="H1078" s="14">
        <f t="shared" si="17"/>
        <v>7.5358333333333336</v>
      </c>
      <c r="I1078" s="14">
        <f t="shared" si="17"/>
        <v>7.3916833333333329</v>
      </c>
      <c r="J1078" s="14">
        <f t="shared" si="17"/>
        <v>7.3409750000000003</v>
      </c>
      <c r="K1078" s="53">
        <f t="shared" si="17"/>
        <v>7.3877833333333323</v>
      </c>
      <c r="L1078" s="14">
        <f t="shared" si="17"/>
        <v>8.1228333333333342</v>
      </c>
      <c r="M1078" s="14">
        <f t="shared" si="17"/>
        <v>7.1982583333333325</v>
      </c>
      <c r="N1078" s="14">
        <f t="shared" si="17"/>
        <v>7.213683333333333</v>
      </c>
      <c r="O1078" s="14">
        <f t="shared" si="17"/>
        <v>7.3891166666666663</v>
      </c>
      <c r="P1078" s="14">
        <f t="shared" si="17"/>
        <v>7.2475416666666668</v>
      </c>
      <c r="Q1078" s="14">
        <f t="shared" si="17"/>
        <v>7.9838166666666668</v>
      </c>
      <c r="R1078" s="14">
        <f t="shared" si="17"/>
        <v>8.5907750000000007</v>
      </c>
      <c r="S1078" s="14">
        <f t="shared" si="17"/>
        <v>7.0638083333333332</v>
      </c>
      <c r="T1078" s="49">
        <f>SUM(T109:T120)</f>
        <v>357.24568100000005</v>
      </c>
      <c r="U1078" s="49">
        <f>SUM(U109:U120)</f>
        <v>142.03263249999998</v>
      </c>
      <c r="V1078" s="49">
        <f>SUM(V109:V120)</f>
        <v>50.187500000000007</v>
      </c>
      <c r="W1078" s="49">
        <f>SUM(W109:W120)</f>
        <v>5.0822234999999996</v>
      </c>
      <c r="X1078" s="49">
        <f>SUM(X109:X120)</f>
        <v>20.758966663999999</v>
      </c>
      <c r="Y1078" s="49"/>
      <c r="Z1078" s="14"/>
      <c r="AA1078" s="14"/>
      <c r="AB1078" s="50">
        <f>AVERAGE(AB109:AB120)</f>
        <v>7.3837536911394208</v>
      </c>
      <c r="AC1078" s="45">
        <f>AVERAGE(AC109:AC120)</f>
        <v>7.2688766187050362</v>
      </c>
    </row>
    <row r="1079" spans="1:29" ht="15.75" x14ac:dyDescent="0.25">
      <c r="A1079" s="10">
        <v>2022</v>
      </c>
      <c r="B1079" s="14">
        <f t="shared" ref="B1079:S1079" si="18">AVERAGE(B121:B132)</f>
        <v>7.6704666666666661</v>
      </c>
      <c r="C1079" s="14">
        <f t="shared" si="18"/>
        <v>7.6767250000000011</v>
      </c>
      <c r="D1079" s="14">
        <f t="shared" si="18"/>
        <v>7.8236083333333353</v>
      </c>
      <c r="E1079" s="14">
        <f t="shared" si="18"/>
        <v>7.8560249999999998</v>
      </c>
      <c r="F1079" s="14">
        <f t="shared" si="18"/>
        <v>7.6572916666666657</v>
      </c>
      <c r="G1079" s="14">
        <f t="shared" si="18"/>
        <v>7.6730500000000008</v>
      </c>
      <c r="H1079" s="14">
        <f t="shared" si="18"/>
        <v>7.8451500000000012</v>
      </c>
      <c r="I1079" s="14">
        <f t="shared" si="18"/>
        <v>7.7019750000000009</v>
      </c>
      <c r="J1079" s="14">
        <f t="shared" si="18"/>
        <v>7.6502916666666669</v>
      </c>
      <c r="K1079" s="53">
        <f t="shared" si="18"/>
        <v>7.6980916666666666</v>
      </c>
      <c r="L1079" s="14">
        <f t="shared" si="18"/>
        <v>8.43215</v>
      </c>
      <c r="M1079" s="14">
        <f t="shared" si="18"/>
        <v>7.5012499999999998</v>
      </c>
      <c r="N1079" s="14">
        <f t="shared" si="18"/>
        <v>7.5166666666666684</v>
      </c>
      <c r="O1079" s="14">
        <f t="shared" si="18"/>
        <v>7.6921000000000008</v>
      </c>
      <c r="P1079" s="14">
        <f t="shared" si="18"/>
        <v>7.5514499999999991</v>
      </c>
      <c r="Q1079" s="14">
        <f t="shared" si="18"/>
        <v>8.2868000000000013</v>
      </c>
      <c r="R1079" s="14">
        <f t="shared" si="18"/>
        <v>8.894541666666667</v>
      </c>
      <c r="S1079" s="14">
        <f t="shared" si="18"/>
        <v>7.3610333333333342</v>
      </c>
      <c r="T1079" s="49">
        <f>SUM(T121:T132)</f>
        <v>357.24568100000005</v>
      </c>
      <c r="U1079" s="49">
        <f>SUM(U121:U132)</f>
        <v>142.03263249999998</v>
      </c>
      <c r="V1079" s="49">
        <f>SUM(V121:V132)</f>
        <v>50.187500000000007</v>
      </c>
      <c r="W1079" s="49">
        <f>SUM(W121:W132)</f>
        <v>5.0822234999999996</v>
      </c>
      <c r="X1079" s="49">
        <f>SUM(X121:X132)</f>
        <v>20.758966663999999</v>
      </c>
      <c r="Y1079" s="49"/>
      <c r="Z1079" s="14"/>
      <c r="AA1079" s="14"/>
      <c r="AB1079" s="50">
        <f>AVERAGE(AB121:AB132)</f>
        <v>7.6931483300747887</v>
      </c>
      <c r="AC1079" s="45">
        <f>AVERAGE(AC121:AC132)</f>
        <v>7.5719973621103129</v>
      </c>
    </row>
    <row r="1080" spans="1:29" ht="15.75" x14ac:dyDescent="0.25">
      <c r="A1080" s="10">
        <v>2023</v>
      </c>
      <c r="B1080" s="14">
        <f t="shared" ref="B1080:S1080" si="19">AVERAGE(B133:B144)</f>
        <v>8.305275</v>
      </c>
      <c r="C1080" s="14">
        <f t="shared" si="19"/>
        <v>8.3115583333333323</v>
      </c>
      <c r="D1080" s="14">
        <f t="shared" si="19"/>
        <v>8.4584250000000001</v>
      </c>
      <c r="E1080" s="14">
        <f t="shared" si="19"/>
        <v>8.49085</v>
      </c>
      <c r="F1080" s="14">
        <f t="shared" si="19"/>
        <v>8.2921083333333332</v>
      </c>
      <c r="G1080" s="14">
        <f t="shared" si="19"/>
        <v>8.3078666666666674</v>
      </c>
      <c r="H1080" s="14">
        <f t="shared" si="19"/>
        <v>8.4799666666666678</v>
      </c>
      <c r="I1080" s="14">
        <f t="shared" si="19"/>
        <v>8.338775</v>
      </c>
      <c r="J1080" s="14">
        <f t="shared" si="19"/>
        <v>8.2851083333333317</v>
      </c>
      <c r="K1080" s="53">
        <f t="shared" si="19"/>
        <v>8.3348916666666675</v>
      </c>
      <c r="L1080" s="14">
        <f t="shared" si="19"/>
        <v>9.0669666666666675</v>
      </c>
      <c r="M1080" s="14">
        <f t="shared" si="19"/>
        <v>8.1230499999999992</v>
      </c>
      <c r="N1080" s="14">
        <f t="shared" si="19"/>
        <v>8.1384749999999979</v>
      </c>
      <c r="O1080" s="14">
        <f t="shared" si="19"/>
        <v>8.3139166666666693</v>
      </c>
      <c r="P1080" s="14">
        <f t="shared" si="19"/>
        <v>8.1751666666666676</v>
      </c>
      <c r="Q1080" s="14">
        <f t="shared" si="19"/>
        <v>8.9086166666666688</v>
      </c>
      <c r="R1080" s="14">
        <f t="shared" si="19"/>
        <v>9.5178833333333319</v>
      </c>
      <c r="S1080" s="14">
        <f t="shared" si="19"/>
        <v>7.9710333333333336</v>
      </c>
      <c r="T1080" s="49">
        <f>SUM(T133:T144)</f>
        <v>357.24568100000005</v>
      </c>
      <c r="U1080" s="49">
        <f>SUM(U133:U144)</f>
        <v>142.03263249999998</v>
      </c>
      <c r="V1080" s="49">
        <f>SUM(V133:V144)</f>
        <v>50.187500000000007</v>
      </c>
      <c r="W1080" s="49">
        <f>SUM(W133:W144)</f>
        <v>5.0822234999999996</v>
      </c>
      <c r="X1080" s="49">
        <f>SUM(X133:X144)</f>
        <v>20.758966663999999</v>
      </c>
      <c r="Y1080" s="49"/>
      <c r="Z1080" s="14"/>
      <c r="AA1080" s="14"/>
      <c r="AB1080" s="50">
        <f>AVERAGE(AB133:AB144)</f>
        <v>8.328129901580585</v>
      </c>
      <c r="AC1080" s="45">
        <f>AVERAGE(AC133:AC144)</f>
        <v>8.1940797362110303</v>
      </c>
    </row>
    <row r="1081" spans="1:29" ht="15.75" x14ac:dyDescent="0.25">
      <c r="A1081" s="10">
        <v>2024</v>
      </c>
      <c r="B1081" s="14">
        <f t="shared" ref="B1081:S1081" si="20">AVERAGE(B145:B156)</f>
        <v>8.6738916666666679</v>
      </c>
      <c r="C1081" s="14">
        <f t="shared" si="20"/>
        <v>8.680158333333333</v>
      </c>
      <c r="D1081" s="14">
        <f t="shared" si="20"/>
        <v>8.827024999999999</v>
      </c>
      <c r="E1081" s="14">
        <f t="shared" si="20"/>
        <v>8.8594499999999989</v>
      </c>
      <c r="F1081" s="14">
        <f t="shared" si="20"/>
        <v>8.6607000000000003</v>
      </c>
      <c r="G1081" s="14">
        <f t="shared" si="20"/>
        <v>8.6764583333333327</v>
      </c>
      <c r="H1081" s="14">
        <f t="shared" si="20"/>
        <v>8.8485583333333331</v>
      </c>
      <c r="I1081" s="14">
        <f t="shared" si="20"/>
        <v>8.7085333333333335</v>
      </c>
      <c r="J1081" s="14">
        <f t="shared" si="20"/>
        <v>8.6536999999999988</v>
      </c>
      <c r="K1081" s="53">
        <f t="shared" si="20"/>
        <v>8.7046499999999991</v>
      </c>
      <c r="L1081" s="14">
        <f t="shared" si="20"/>
        <v>9.4355583333333346</v>
      </c>
      <c r="M1081" s="14">
        <f t="shared" si="20"/>
        <v>8.4840833333333325</v>
      </c>
      <c r="N1081" s="14">
        <f t="shared" si="20"/>
        <v>8.4995333333333338</v>
      </c>
      <c r="O1081" s="14">
        <f t="shared" si="20"/>
        <v>8.6749583333333344</v>
      </c>
      <c r="P1081" s="14">
        <f t="shared" si="20"/>
        <v>8.5373166666666673</v>
      </c>
      <c r="Q1081" s="14">
        <f t="shared" si="20"/>
        <v>9.269658333333334</v>
      </c>
      <c r="R1081" s="14">
        <f t="shared" si="20"/>
        <v>9.8798333333333339</v>
      </c>
      <c r="S1081" s="14">
        <f t="shared" si="20"/>
        <v>8.3252250000000014</v>
      </c>
      <c r="T1081" s="49">
        <f>SUM(T145:T156)</f>
        <v>358.17703550000004</v>
      </c>
      <c r="U1081" s="49">
        <f>SUM(U145:U156)</f>
        <v>142.42176299999997</v>
      </c>
      <c r="V1081" s="49">
        <f>SUM(V145:V156)</f>
        <v>50.325000000000003</v>
      </c>
      <c r="W1081" s="49">
        <f>SUM(W145:W156)</f>
        <v>5.0961473999999995</v>
      </c>
      <c r="X1081" s="49">
        <f>SUM(X145:X156)</f>
        <v>20.800615543999996</v>
      </c>
      <c r="Y1081" s="49"/>
      <c r="Z1081" s="14"/>
      <c r="AA1081" s="14"/>
      <c r="AB1081" s="50">
        <f>AVERAGE(AB145:AB156)</f>
        <v>8.6968248117099609</v>
      </c>
      <c r="AC1081" s="45">
        <f>AVERAGE(AC145:AC156)</f>
        <v>8.555280395683452</v>
      </c>
    </row>
    <row r="1082" spans="1:29" ht="15.75" x14ac:dyDescent="0.25">
      <c r="A1082" s="10">
        <v>2025</v>
      </c>
      <c r="B1082" s="14">
        <f t="shared" ref="B1082:S1082" si="21">AVERAGE(B157:B168)</f>
        <v>9.0407083333333329</v>
      </c>
      <c r="C1082" s="14">
        <f t="shared" si="21"/>
        <v>9.0469833333333352</v>
      </c>
      <c r="D1082" s="14">
        <f t="shared" si="21"/>
        <v>9.1938499999999994</v>
      </c>
      <c r="E1082" s="14">
        <f t="shared" si="21"/>
        <v>9.2262583333333357</v>
      </c>
      <c r="F1082" s="14">
        <f t="shared" si="21"/>
        <v>9.0275083333333335</v>
      </c>
      <c r="G1082" s="14">
        <f t="shared" si="21"/>
        <v>9.0432749999999995</v>
      </c>
      <c r="H1082" s="14">
        <f t="shared" si="21"/>
        <v>9.2153916666666671</v>
      </c>
      <c r="I1082" s="14">
        <f t="shared" si="21"/>
        <v>9.0765083333333347</v>
      </c>
      <c r="J1082" s="14">
        <f t="shared" si="21"/>
        <v>9.0205083333333338</v>
      </c>
      <c r="K1082" s="53">
        <f t="shared" si="21"/>
        <v>9.0726083333333332</v>
      </c>
      <c r="L1082" s="14">
        <f t="shared" si="21"/>
        <v>9.8023916666666668</v>
      </c>
      <c r="M1082" s="14">
        <f t="shared" si="21"/>
        <v>8.8433916666666672</v>
      </c>
      <c r="N1082" s="14">
        <f t="shared" si="21"/>
        <v>8.8588333333333331</v>
      </c>
      <c r="O1082" s="14">
        <f t="shared" si="21"/>
        <v>9.0342750000000009</v>
      </c>
      <c r="P1082" s="14">
        <f t="shared" si="21"/>
        <v>8.8977416666666649</v>
      </c>
      <c r="Q1082" s="14">
        <f t="shared" si="21"/>
        <v>9.6289749999999987</v>
      </c>
      <c r="R1082" s="14">
        <f t="shared" si="21"/>
        <v>10.240041666666665</v>
      </c>
      <c r="S1082" s="14">
        <f t="shared" si="21"/>
        <v>8.6777083333333334</v>
      </c>
      <c r="T1082" s="49">
        <f>SUM(T157:T168)</f>
        <v>357.24568100000005</v>
      </c>
      <c r="U1082" s="49">
        <f>SUM(U157:U168)</f>
        <v>142.03263249999998</v>
      </c>
      <c r="V1082" s="49">
        <f>SUM(V157:V168)</f>
        <v>50.187500000000007</v>
      </c>
      <c r="W1082" s="49">
        <f>SUM(W157:W168)</f>
        <v>5.0822234999999996</v>
      </c>
      <c r="X1082" s="49">
        <f>SUM(X157:X168)</f>
        <v>20.758966663999999</v>
      </c>
      <c r="Y1082" s="49"/>
      <c r="Z1082" s="14"/>
      <c r="AA1082" s="14"/>
      <c r="AB1082" s="50">
        <f>AVERAGE(AB157:AB168)</f>
        <v>9.0637367620718603</v>
      </c>
      <c r="AC1082" s="45">
        <f>AVERAGE(AC157:AC168)</f>
        <v>8.914749820143884</v>
      </c>
    </row>
    <row r="1083" spans="1:29" ht="15.75" x14ac:dyDescent="0.25">
      <c r="A1083" s="10">
        <v>2026</v>
      </c>
      <c r="B1083" s="14">
        <f t="shared" ref="B1083:S1083" si="22">AVERAGE(B169:B180)</f>
        <v>9.3665416666666683</v>
      </c>
      <c r="C1083" s="14">
        <f t="shared" si="22"/>
        <v>9.3727999999999998</v>
      </c>
      <c r="D1083" s="14">
        <f t="shared" si="22"/>
        <v>9.5196999999999985</v>
      </c>
      <c r="E1083" s="14">
        <f t="shared" si="22"/>
        <v>9.5521166666666666</v>
      </c>
      <c r="F1083" s="14">
        <f t="shared" si="22"/>
        <v>9.3533833333333316</v>
      </c>
      <c r="G1083" s="14">
        <f t="shared" si="22"/>
        <v>9.3691416666666676</v>
      </c>
      <c r="H1083" s="14">
        <f t="shared" si="22"/>
        <v>9.5412416666666662</v>
      </c>
      <c r="I1083" s="14">
        <f t="shared" si="22"/>
        <v>9.403358333333335</v>
      </c>
      <c r="J1083" s="14">
        <f t="shared" si="22"/>
        <v>9.3463833333333319</v>
      </c>
      <c r="K1083" s="53">
        <f t="shared" si="22"/>
        <v>9.3994666666666671</v>
      </c>
      <c r="L1083" s="14">
        <f t="shared" si="22"/>
        <v>10.128241666666666</v>
      </c>
      <c r="M1083" s="14">
        <f t="shared" si="22"/>
        <v>9.1625583333333314</v>
      </c>
      <c r="N1083" s="14">
        <f t="shared" si="22"/>
        <v>9.1780000000000008</v>
      </c>
      <c r="O1083" s="14">
        <f t="shared" si="22"/>
        <v>9.3534333333333368</v>
      </c>
      <c r="P1083" s="14">
        <f t="shared" si="22"/>
        <v>9.2178583333333339</v>
      </c>
      <c r="Q1083" s="14">
        <f t="shared" si="22"/>
        <v>9.9481333333333328</v>
      </c>
      <c r="R1083" s="14">
        <f t="shared" si="22"/>
        <v>10.560008333333334</v>
      </c>
      <c r="S1083" s="14">
        <f t="shared" si="22"/>
        <v>8.9908083333333355</v>
      </c>
      <c r="T1083" s="49">
        <f>SUM(T169:T180)</f>
        <v>357.24568100000005</v>
      </c>
      <c r="U1083" s="49">
        <f>SUM(U169:U180)</f>
        <v>142.03263249999998</v>
      </c>
      <c r="V1083" s="49">
        <f>SUM(V169:V180)</f>
        <v>50.187500000000007</v>
      </c>
      <c r="W1083" s="49">
        <f>SUM(W169:W180)</f>
        <v>5.0822234999999996</v>
      </c>
      <c r="X1083" s="49">
        <f>SUM(X169:X180)</f>
        <v>20.758966663999999</v>
      </c>
      <c r="Y1083" s="49"/>
      <c r="Z1083" s="14"/>
      <c r="AA1083" s="14"/>
      <c r="AB1083" s="50">
        <f>AVERAGE(AB169:AB180)</f>
        <v>9.3896696730502516</v>
      </c>
      <c r="AC1083" s="45">
        <f>AVERAGE(AC169:AC180)</f>
        <v>9.2340508393285372</v>
      </c>
    </row>
    <row r="1084" spans="1:29" ht="15.75" x14ac:dyDescent="0.25">
      <c r="A1084" s="10">
        <v>2027</v>
      </c>
      <c r="B1084" s="14">
        <f t="shared" ref="B1084:S1084" si="23">AVERAGE(B181:B192)</f>
        <v>9.6872583333333342</v>
      </c>
      <c r="C1084" s="14">
        <f t="shared" si="23"/>
        <v>9.6935249999999993</v>
      </c>
      <c r="D1084" s="14">
        <f t="shared" si="23"/>
        <v>9.8404249999999998</v>
      </c>
      <c r="E1084" s="14">
        <f t="shared" si="23"/>
        <v>9.8728249999999989</v>
      </c>
      <c r="F1084" s="14">
        <f t="shared" si="23"/>
        <v>9.6740833333333338</v>
      </c>
      <c r="G1084" s="14">
        <f t="shared" si="23"/>
        <v>9.6898500000000016</v>
      </c>
      <c r="H1084" s="14">
        <f t="shared" si="23"/>
        <v>9.8619666666666657</v>
      </c>
      <c r="I1084" s="14">
        <f t="shared" si="23"/>
        <v>9.7250999999999994</v>
      </c>
      <c r="J1084" s="14">
        <f t="shared" si="23"/>
        <v>9.6670833333333341</v>
      </c>
      <c r="K1084" s="53">
        <f t="shared" si="23"/>
        <v>9.7212083333333315</v>
      </c>
      <c r="L1084" s="14">
        <f t="shared" si="23"/>
        <v>10.448966666666665</v>
      </c>
      <c r="M1084" s="14">
        <f t="shared" si="23"/>
        <v>9.4766999999999992</v>
      </c>
      <c r="N1084" s="14">
        <f t="shared" si="23"/>
        <v>9.4921333333333333</v>
      </c>
      <c r="O1084" s="14">
        <f t="shared" si="23"/>
        <v>9.6675916666666666</v>
      </c>
      <c r="P1084" s="14">
        <f t="shared" si="23"/>
        <v>9.532983333333334</v>
      </c>
      <c r="Q1084" s="14">
        <f t="shared" si="23"/>
        <v>10.262291666666666</v>
      </c>
      <c r="R1084" s="14">
        <f t="shared" si="23"/>
        <v>10.874933333333333</v>
      </c>
      <c r="S1084" s="14">
        <f t="shared" si="23"/>
        <v>9.2989666666666668</v>
      </c>
      <c r="T1084" s="49">
        <f>SUM(T181:T192)</f>
        <v>357.24568100000005</v>
      </c>
      <c r="U1084" s="49">
        <f>SUM(U181:U192)</f>
        <v>142.03263249999998</v>
      </c>
      <c r="V1084" s="49">
        <f>SUM(V181:V192)</f>
        <v>50.187500000000007</v>
      </c>
      <c r="W1084" s="49">
        <f>SUM(W181:W192)</f>
        <v>5.0822234999999996</v>
      </c>
      <c r="X1084" s="49">
        <f>SUM(X181:X192)</f>
        <v>20.758966663999999</v>
      </c>
      <c r="Y1084" s="49"/>
      <c r="Z1084" s="14"/>
      <c r="AA1084" s="14"/>
      <c r="AB1084" s="50">
        <f>AVERAGE(AB181:AB192)</f>
        <v>9.7104667412660977</v>
      </c>
      <c r="AC1084" s="45">
        <f>AVERAGE(AC181:AC192)</f>
        <v>9.5483381894484385</v>
      </c>
    </row>
    <row r="1085" spans="1:29" ht="15.75" x14ac:dyDescent="0.25">
      <c r="A1085" s="10">
        <v>2028</v>
      </c>
      <c r="B1085" s="14">
        <f t="shared" ref="B1085:S1085" si="24">AVERAGE(B193:B204)</f>
        <v>10.010074999999999</v>
      </c>
      <c r="C1085" s="14">
        <f t="shared" si="24"/>
        <v>10.016341666666667</v>
      </c>
      <c r="D1085" s="14">
        <f t="shared" si="24"/>
        <v>10.163199999999998</v>
      </c>
      <c r="E1085" s="14">
        <f t="shared" si="24"/>
        <v>10.195641666666669</v>
      </c>
      <c r="F1085" s="14">
        <f t="shared" si="24"/>
        <v>9.9968916666666647</v>
      </c>
      <c r="G1085" s="14">
        <f t="shared" si="24"/>
        <v>10.012650000000002</v>
      </c>
      <c r="H1085" s="14">
        <f t="shared" si="24"/>
        <v>10.184741666666666</v>
      </c>
      <c r="I1085" s="14">
        <f t="shared" si="24"/>
        <v>10.0489</v>
      </c>
      <c r="J1085" s="14">
        <f t="shared" si="24"/>
        <v>9.9898916666666668</v>
      </c>
      <c r="K1085" s="53">
        <f t="shared" si="24"/>
        <v>10.045008333333334</v>
      </c>
      <c r="L1085" s="14">
        <f t="shared" si="24"/>
        <v>10.771741666666665</v>
      </c>
      <c r="M1085" s="14">
        <f t="shared" si="24"/>
        <v>9.7928833333333341</v>
      </c>
      <c r="N1085" s="14">
        <f t="shared" si="24"/>
        <v>9.8083333333333353</v>
      </c>
      <c r="O1085" s="14">
        <f t="shared" si="24"/>
        <v>9.9837749999999996</v>
      </c>
      <c r="P1085" s="14">
        <f t="shared" si="24"/>
        <v>9.8501666666666665</v>
      </c>
      <c r="Q1085" s="14">
        <f t="shared" si="24"/>
        <v>10.578475000000003</v>
      </c>
      <c r="R1085" s="14">
        <f t="shared" si="24"/>
        <v>11.191908333333332</v>
      </c>
      <c r="S1085" s="14">
        <f t="shared" si="24"/>
        <v>9.6091750000000005</v>
      </c>
      <c r="T1085" s="49">
        <f>SUM(T193:T204)</f>
        <v>358.17703550000004</v>
      </c>
      <c r="U1085" s="49">
        <f>SUM(U193:U204)</f>
        <v>142.42176299999997</v>
      </c>
      <c r="V1085" s="49">
        <f>SUM(V193:V204)</f>
        <v>50.325000000000003</v>
      </c>
      <c r="W1085" s="49">
        <f>SUM(W193:W204)</f>
        <v>5.0961473999999995</v>
      </c>
      <c r="X1085" s="49">
        <f>SUM(X193:X204)</f>
        <v>20.800615543999996</v>
      </c>
      <c r="Y1085" s="49"/>
      <c r="Z1085" s="14"/>
      <c r="AA1085" s="14"/>
      <c r="AB1085" s="50">
        <f>AVERAGE(AB193:AB204)</f>
        <v>10.033355484249311</v>
      </c>
      <c r="AC1085" s="45">
        <f>AVERAGE(AC193:AC204)</f>
        <v>9.8646678057553956</v>
      </c>
    </row>
    <row r="1086" spans="1:29" ht="15.75" x14ac:dyDescent="0.25">
      <c r="A1086" s="10">
        <v>2029</v>
      </c>
      <c r="B1086" s="14">
        <f t="shared" ref="B1086:S1086" si="25">AVERAGE(B205:B216)</f>
        <v>10.342975000000001</v>
      </c>
      <c r="C1086" s="14">
        <f t="shared" si="25"/>
        <v>10.349224999999999</v>
      </c>
      <c r="D1086" s="14">
        <f t="shared" si="25"/>
        <v>10.496108333333332</v>
      </c>
      <c r="E1086" s="14">
        <f t="shared" si="25"/>
        <v>10.528533333333334</v>
      </c>
      <c r="F1086" s="14">
        <f t="shared" si="25"/>
        <v>10.329783333333333</v>
      </c>
      <c r="G1086" s="14">
        <f t="shared" si="25"/>
        <v>10.345550000000001</v>
      </c>
      <c r="H1086" s="14">
        <f t="shared" si="25"/>
        <v>10.517649999999998</v>
      </c>
      <c r="I1086" s="14">
        <f t="shared" si="25"/>
        <v>10.382858333333333</v>
      </c>
      <c r="J1086" s="14">
        <f t="shared" si="25"/>
        <v>10.322783333333334</v>
      </c>
      <c r="K1086" s="53">
        <f t="shared" si="25"/>
        <v>10.378966666666667</v>
      </c>
      <c r="L1086" s="14">
        <f t="shared" si="25"/>
        <v>11.104649999999999</v>
      </c>
      <c r="M1086" s="14">
        <f t="shared" si="25"/>
        <v>10.118983333333334</v>
      </c>
      <c r="N1086" s="14">
        <f t="shared" si="25"/>
        <v>10.134408333333335</v>
      </c>
      <c r="O1086" s="14">
        <f t="shared" si="25"/>
        <v>10.309850000000001</v>
      </c>
      <c r="P1086" s="14">
        <f t="shared" si="25"/>
        <v>10.177241666666667</v>
      </c>
      <c r="Q1086" s="14">
        <f t="shared" si="25"/>
        <v>10.90455</v>
      </c>
      <c r="R1086" s="14">
        <f t="shared" si="25"/>
        <v>11.518800000000001</v>
      </c>
      <c r="S1086" s="14">
        <f t="shared" si="25"/>
        <v>9.9290416666666665</v>
      </c>
      <c r="T1086" s="49">
        <f>SUM(T205:T216)</f>
        <v>357.24568100000005</v>
      </c>
      <c r="U1086" s="49">
        <f>SUM(U205:U216)</f>
        <v>142.03263249999998</v>
      </c>
      <c r="V1086" s="49">
        <f>SUM(V205:V216)</f>
        <v>50.187500000000007</v>
      </c>
      <c r="W1086" s="49">
        <f>SUM(W205:W216)</f>
        <v>5.0822234999999996</v>
      </c>
      <c r="X1086" s="49">
        <f>SUM(X205:X216)</f>
        <v>20.758966663999999</v>
      </c>
      <c r="Y1086" s="49"/>
      <c r="Z1086" s="14"/>
      <c r="AA1086" s="14"/>
      <c r="AB1086" s="50">
        <f>AVERAGE(AB205:AB216)</f>
        <v>10.366337516564816</v>
      </c>
      <c r="AC1086" s="45">
        <f>AVERAGE(AC205:AC216)</f>
        <v>10.190895323741008</v>
      </c>
    </row>
    <row r="1087" spans="1:29" ht="15.75" x14ac:dyDescent="0.25">
      <c r="A1087" s="10">
        <v>2030</v>
      </c>
      <c r="B1087" s="14">
        <f t="shared" ref="B1087:S1087" si="26">AVERAGE(B217:B228)</f>
        <v>10.643116666666666</v>
      </c>
      <c r="C1087" s="14">
        <f t="shared" si="26"/>
        <v>10.649375000000001</v>
      </c>
      <c r="D1087" s="14">
        <f t="shared" si="26"/>
        <v>10.796250000000001</v>
      </c>
      <c r="E1087" s="14">
        <f t="shared" si="26"/>
        <v>10.828674999999999</v>
      </c>
      <c r="F1087" s="14">
        <f t="shared" si="26"/>
        <v>10.629925</v>
      </c>
      <c r="G1087" s="14">
        <f t="shared" si="26"/>
        <v>10.6457</v>
      </c>
      <c r="H1087" s="14">
        <f t="shared" si="26"/>
        <v>10.817791666666666</v>
      </c>
      <c r="I1087" s="14">
        <f t="shared" si="26"/>
        <v>10.683908333333333</v>
      </c>
      <c r="J1087" s="14">
        <f t="shared" si="26"/>
        <v>10.622925</v>
      </c>
      <c r="K1087" s="53">
        <f t="shared" si="26"/>
        <v>10.680041666666666</v>
      </c>
      <c r="L1087" s="14">
        <f t="shared" si="26"/>
        <v>11.404791666666668</v>
      </c>
      <c r="M1087" s="14">
        <f t="shared" si="26"/>
        <v>10.412974999999998</v>
      </c>
      <c r="N1087" s="14">
        <f t="shared" si="26"/>
        <v>10.4284</v>
      </c>
      <c r="O1087" s="14">
        <f t="shared" si="26"/>
        <v>10.60385</v>
      </c>
      <c r="P1087" s="14">
        <f t="shared" si="26"/>
        <v>10.472125</v>
      </c>
      <c r="Q1087" s="14">
        <f t="shared" si="26"/>
        <v>11.198550000000003</v>
      </c>
      <c r="R1087" s="14">
        <f t="shared" si="26"/>
        <v>11.813558333333333</v>
      </c>
      <c r="S1087" s="14">
        <f t="shared" si="26"/>
        <v>10.217458333333331</v>
      </c>
      <c r="T1087" s="49">
        <f>SUM(T217:T228)</f>
        <v>357.24568100000005</v>
      </c>
      <c r="U1087" s="49">
        <f>SUM(U217:U228)</f>
        <v>142.03263249999998</v>
      </c>
      <c r="V1087" s="49">
        <f>SUM(V217:V228)</f>
        <v>50.187500000000007</v>
      </c>
      <c r="W1087" s="49">
        <f>SUM(W217:W228)</f>
        <v>5.0822234999999996</v>
      </c>
      <c r="X1087" s="49">
        <f>SUM(X217:X228)</f>
        <v>20.758966663999999</v>
      </c>
      <c r="Y1087" s="49"/>
      <c r="Z1087" s="14"/>
      <c r="AA1087" s="14"/>
      <c r="AB1087" s="50">
        <f>AVERAGE(AB217:AB228)</f>
        <v>10.666557536822799</v>
      </c>
      <c r="AC1087" s="45">
        <f>AVERAGE(AC217:AC228)</f>
        <v>10.485019064748203</v>
      </c>
    </row>
    <row r="1088" spans="1:29" ht="15.75" x14ac:dyDescent="0.25">
      <c r="A1088" s="10">
        <v>2031</v>
      </c>
      <c r="B1088" s="14">
        <f t="shared" ref="B1088:S1088" si="27">AVERAGE(B229:B240)</f>
        <v>11.096874999999999</v>
      </c>
      <c r="C1088" s="14">
        <f t="shared" si="27"/>
        <v>11.103133333333332</v>
      </c>
      <c r="D1088" s="14">
        <f t="shared" si="27"/>
        <v>11.250024999999999</v>
      </c>
      <c r="E1088" s="14">
        <f t="shared" si="27"/>
        <v>11.282441666666669</v>
      </c>
      <c r="F1088" s="14">
        <f t="shared" si="27"/>
        <v>11.083691666666667</v>
      </c>
      <c r="G1088" s="14">
        <f t="shared" si="27"/>
        <v>11.099458333333333</v>
      </c>
      <c r="H1088" s="14">
        <f t="shared" si="27"/>
        <v>11.271558333333333</v>
      </c>
      <c r="I1088" s="14">
        <f t="shared" si="27"/>
        <v>11.139116666666668</v>
      </c>
      <c r="J1088" s="14">
        <f t="shared" si="27"/>
        <v>11.076691666666667</v>
      </c>
      <c r="K1088" s="53">
        <f t="shared" si="27"/>
        <v>11.135225</v>
      </c>
      <c r="L1088" s="14">
        <f t="shared" si="27"/>
        <v>11.858558333333335</v>
      </c>
      <c r="M1088" s="14">
        <f t="shared" si="27"/>
        <v>10.85745</v>
      </c>
      <c r="N1088" s="14">
        <f t="shared" si="27"/>
        <v>10.872883333333334</v>
      </c>
      <c r="O1088" s="14">
        <f t="shared" si="27"/>
        <v>11.048324999999998</v>
      </c>
      <c r="P1088" s="14">
        <f t="shared" si="27"/>
        <v>10.917958333333333</v>
      </c>
      <c r="Q1088" s="14">
        <f t="shared" si="27"/>
        <v>11.643025</v>
      </c>
      <c r="R1088" s="14">
        <f t="shared" si="27"/>
        <v>12.259116666666664</v>
      </c>
      <c r="S1088" s="14">
        <f t="shared" si="27"/>
        <v>10.653474999999998</v>
      </c>
      <c r="T1088" s="49">
        <f>SUM(T229:T240)</f>
        <v>357.24568100000005</v>
      </c>
      <c r="U1088" s="49">
        <f>SUM(U229:U240)</f>
        <v>142.03263249999998</v>
      </c>
      <c r="V1088" s="49">
        <f>SUM(V229:V240)</f>
        <v>50.187500000000007</v>
      </c>
      <c r="W1088" s="49">
        <f>SUM(W229:W240)</f>
        <v>5.0822234999999996</v>
      </c>
      <c r="X1088" s="49">
        <f>SUM(X229:X240)</f>
        <v>20.758966663999999</v>
      </c>
      <c r="Y1088" s="49"/>
      <c r="Z1088" s="14"/>
      <c r="AA1088" s="14"/>
      <c r="AB1088" s="50">
        <f>AVERAGE(AB229:AB240)</f>
        <v>11.12043937924023</v>
      </c>
      <c r="AC1088" s="45">
        <f>AVERAGE(AC229:AC240)</f>
        <v>10.929692865707432</v>
      </c>
    </row>
    <row r="1089" spans="1:29" ht="15.75" x14ac:dyDescent="0.25">
      <c r="A1089" s="10">
        <v>2032</v>
      </c>
      <c r="B1089" s="14">
        <f t="shared" ref="B1089:S1089" si="28">AVERAGE(B241:B252)</f>
        <v>11.516599999999999</v>
      </c>
      <c r="C1089" s="14">
        <f t="shared" si="28"/>
        <v>11.522883333333333</v>
      </c>
      <c r="D1089" s="14">
        <f t="shared" si="28"/>
        <v>11.669741666666667</v>
      </c>
      <c r="E1089" s="14">
        <f t="shared" si="28"/>
        <v>11.702175000000002</v>
      </c>
      <c r="F1089" s="14">
        <f t="shared" si="28"/>
        <v>11.503433333333332</v>
      </c>
      <c r="G1089" s="14">
        <f t="shared" si="28"/>
        <v>11.519174999999999</v>
      </c>
      <c r="H1089" s="14">
        <f t="shared" si="28"/>
        <v>11.691283333333331</v>
      </c>
      <c r="I1089" s="14">
        <f t="shared" si="28"/>
        <v>11.56015</v>
      </c>
      <c r="J1089" s="14">
        <f t="shared" si="28"/>
        <v>11.496433333333336</v>
      </c>
      <c r="K1089" s="53">
        <f t="shared" si="28"/>
        <v>11.556258333333334</v>
      </c>
      <c r="L1089" s="14">
        <f t="shared" si="28"/>
        <v>12.278283333333334</v>
      </c>
      <c r="M1089" s="14">
        <f t="shared" si="28"/>
        <v>11.268549999999999</v>
      </c>
      <c r="N1089" s="14">
        <f t="shared" si="28"/>
        <v>11.283991666666665</v>
      </c>
      <c r="O1089" s="14">
        <f t="shared" si="28"/>
        <v>11.459441666666665</v>
      </c>
      <c r="P1089" s="14">
        <f t="shared" si="28"/>
        <v>11.330341666666667</v>
      </c>
      <c r="Q1089" s="14">
        <f t="shared" si="28"/>
        <v>12.054141666666668</v>
      </c>
      <c r="R1089" s="14">
        <f t="shared" si="28"/>
        <v>12.671266666666666</v>
      </c>
      <c r="S1089" s="14">
        <f t="shared" si="28"/>
        <v>11.056775</v>
      </c>
      <c r="T1089" s="49">
        <f>SUM(T241:T252)</f>
        <v>358.17703550000004</v>
      </c>
      <c r="U1089" s="49">
        <f>SUM(U241:U252)</f>
        <v>142.42176299999997</v>
      </c>
      <c r="V1089" s="49">
        <f>SUM(V241:V252)</f>
        <v>50.325000000000003</v>
      </c>
      <c r="W1089" s="49">
        <f>SUM(W241:W252)</f>
        <v>5.0961473999999995</v>
      </c>
      <c r="X1089" s="49">
        <f>SUM(X241:X252)</f>
        <v>20.800615543999996</v>
      </c>
      <c r="Y1089" s="49"/>
      <c r="Z1089" s="14"/>
      <c r="AA1089" s="14"/>
      <c r="AB1089" s="50">
        <f>AVERAGE(AB241:AB252)</f>
        <v>11.540280853563887</v>
      </c>
      <c r="AC1089" s="45">
        <f>AVERAGE(AC241:AC252)</f>
        <v>11.340984112709833</v>
      </c>
    </row>
    <row r="1090" spans="1:29" ht="15.75" x14ac:dyDescent="0.25">
      <c r="A1090" s="10">
        <v>2033</v>
      </c>
      <c r="B1090" s="14">
        <f t="shared" ref="B1090:S1090" si="29">AVERAGE(B253:B264)</f>
        <v>11.952199999999999</v>
      </c>
      <c r="C1090" s="14">
        <f t="shared" si="29"/>
        <v>11.958491666666669</v>
      </c>
      <c r="D1090" s="14">
        <f t="shared" si="29"/>
        <v>12.105349999999996</v>
      </c>
      <c r="E1090" s="14">
        <f t="shared" si="29"/>
        <v>12.137775000000003</v>
      </c>
      <c r="F1090" s="14">
        <f t="shared" si="29"/>
        <v>11.93905</v>
      </c>
      <c r="G1090" s="14">
        <f t="shared" si="29"/>
        <v>11.954791666666667</v>
      </c>
      <c r="H1090" s="14">
        <f t="shared" si="29"/>
        <v>12.126891666666666</v>
      </c>
      <c r="I1090" s="14">
        <f t="shared" si="29"/>
        <v>11.997116666666665</v>
      </c>
      <c r="J1090" s="14">
        <f t="shared" si="29"/>
        <v>11.932050000000002</v>
      </c>
      <c r="K1090" s="53">
        <f t="shared" si="29"/>
        <v>11.993225000000001</v>
      </c>
      <c r="L1090" s="14">
        <f t="shared" si="29"/>
        <v>12.713891666666667</v>
      </c>
      <c r="M1090" s="14">
        <f t="shared" si="29"/>
        <v>11.695233333333334</v>
      </c>
      <c r="N1090" s="14">
        <f t="shared" si="29"/>
        <v>11.710675</v>
      </c>
      <c r="O1090" s="14">
        <f t="shared" si="29"/>
        <v>11.886108333333334</v>
      </c>
      <c r="P1090" s="14">
        <f t="shared" si="29"/>
        <v>11.758333333333333</v>
      </c>
      <c r="Q1090" s="14">
        <f t="shared" si="29"/>
        <v>12.480808333333334</v>
      </c>
      <c r="R1090" s="14">
        <f t="shared" si="29"/>
        <v>13.099016666666664</v>
      </c>
      <c r="S1090" s="14">
        <f t="shared" si="29"/>
        <v>11.475350000000001</v>
      </c>
      <c r="T1090" s="49">
        <f>SUM(T253:T264)</f>
        <v>357.24568100000005</v>
      </c>
      <c r="U1090" s="49">
        <f>SUM(U253:U264)</f>
        <v>142.03263249999998</v>
      </c>
      <c r="V1090" s="49">
        <f>SUM(V253:V264)</f>
        <v>50.187500000000007</v>
      </c>
      <c r="W1090" s="49">
        <f>SUM(W253:W264)</f>
        <v>5.0822234999999996</v>
      </c>
      <c r="X1090" s="49">
        <f>SUM(X253:X264)</f>
        <v>20.758966663999999</v>
      </c>
      <c r="Y1090" s="49"/>
      <c r="Z1090" s="14"/>
      <c r="AA1090" s="14"/>
      <c r="AB1090" s="50">
        <f>AVERAGE(AB253:AB264)</f>
        <v>11.976002944553102</v>
      </c>
      <c r="AC1090" s="45">
        <f>AVERAGE(AC253:AC264)</f>
        <v>11.767848141486811</v>
      </c>
    </row>
    <row r="1091" spans="1:29" ht="15.75" x14ac:dyDescent="0.25">
      <c r="A1091" s="10">
        <v>2034</v>
      </c>
      <c r="B1091" s="14">
        <f t="shared" ref="B1091:S1091" si="30">AVERAGE(B265:B276)</f>
        <v>12.404291666666666</v>
      </c>
      <c r="C1091" s="14">
        <f t="shared" si="30"/>
        <v>12.410591666666667</v>
      </c>
      <c r="D1091" s="14">
        <f t="shared" si="30"/>
        <v>12.557450000000001</v>
      </c>
      <c r="E1091" s="14">
        <f t="shared" si="30"/>
        <v>12.589874999999999</v>
      </c>
      <c r="F1091" s="14">
        <f t="shared" si="30"/>
        <v>12.391133333333334</v>
      </c>
      <c r="G1091" s="14">
        <f t="shared" si="30"/>
        <v>12.406883333333335</v>
      </c>
      <c r="H1091" s="14">
        <f t="shared" si="30"/>
        <v>12.578975000000002</v>
      </c>
      <c r="I1091" s="14">
        <f t="shared" si="30"/>
        <v>12.450649999999998</v>
      </c>
      <c r="J1091" s="14">
        <f t="shared" si="30"/>
        <v>12.384133333333333</v>
      </c>
      <c r="K1091" s="53">
        <f t="shared" si="30"/>
        <v>12.446750000000002</v>
      </c>
      <c r="L1091" s="14">
        <f t="shared" si="30"/>
        <v>13.165975000000001</v>
      </c>
      <c r="M1091" s="14">
        <f t="shared" si="30"/>
        <v>12.138091666666668</v>
      </c>
      <c r="N1091" s="14">
        <f t="shared" si="30"/>
        <v>12.153491666666667</v>
      </c>
      <c r="O1091" s="14">
        <f t="shared" si="30"/>
        <v>12.328958333333333</v>
      </c>
      <c r="P1091" s="14">
        <f t="shared" si="30"/>
        <v>12.202525</v>
      </c>
      <c r="Q1091" s="14">
        <f t="shared" si="30"/>
        <v>12.923658333333334</v>
      </c>
      <c r="R1091" s="14">
        <f t="shared" si="30"/>
        <v>13.542949999999999</v>
      </c>
      <c r="S1091" s="14">
        <f t="shared" si="30"/>
        <v>11.909775000000002</v>
      </c>
      <c r="T1091" s="49">
        <f>SUM(T265:T276)</f>
        <v>357.24568100000005</v>
      </c>
      <c r="U1091" s="49">
        <f>SUM(U265:U276)</f>
        <v>142.03263249999998</v>
      </c>
      <c r="V1091" s="49">
        <f>SUM(V265:V276)</f>
        <v>50.187500000000007</v>
      </c>
      <c r="W1091" s="49">
        <f>SUM(W265:W276)</f>
        <v>5.0822234999999996</v>
      </c>
      <c r="X1091" s="49">
        <f>SUM(X265:X276)</f>
        <v>20.758966663999999</v>
      </c>
      <c r="Y1091" s="49"/>
      <c r="Z1091" s="14"/>
      <c r="AA1091" s="14"/>
      <c r="AB1091" s="50">
        <f>AVERAGE(AB265:AB276)</f>
        <v>12.42821430518908</v>
      </c>
      <c r="AC1091" s="45">
        <f>AVERAGE(AC265:AC276)</f>
        <v>12.210890707434052</v>
      </c>
    </row>
    <row r="1092" spans="1:29" ht="15.75" x14ac:dyDescent="0.25">
      <c r="A1092" s="10">
        <v>2035</v>
      </c>
      <c r="B1092" s="14">
        <f t="shared" ref="B1092:S1092" si="31">AVERAGE(B277:B288)</f>
        <v>12.873508333333335</v>
      </c>
      <c r="C1092" s="14">
        <f t="shared" si="31"/>
        <v>12.879783333333334</v>
      </c>
      <c r="D1092" s="14">
        <f t="shared" si="31"/>
        <v>13.026666666666666</v>
      </c>
      <c r="E1092" s="14">
        <f t="shared" si="31"/>
        <v>13.059083333333334</v>
      </c>
      <c r="F1092" s="14">
        <f t="shared" si="31"/>
        <v>12.860341666666669</v>
      </c>
      <c r="G1092" s="14">
        <f t="shared" si="31"/>
        <v>12.876083333333332</v>
      </c>
      <c r="H1092" s="14">
        <f t="shared" si="31"/>
        <v>13.048208333333335</v>
      </c>
      <c r="I1092" s="14">
        <f t="shared" si="31"/>
        <v>12.921325000000001</v>
      </c>
      <c r="J1092" s="14">
        <f t="shared" si="31"/>
        <v>12.853341666666665</v>
      </c>
      <c r="K1092" s="53">
        <f t="shared" si="31"/>
        <v>12.917441666666667</v>
      </c>
      <c r="L1092" s="14">
        <f t="shared" si="31"/>
        <v>13.635208333333333</v>
      </c>
      <c r="M1092" s="14">
        <f t="shared" si="31"/>
        <v>12.597683333333336</v>
      </c>
      <c r="N1092" s="14">
        <f t="shared" si="31"/>
        <v>12.613108333333335</v>
      </c>
      <c r="O1092" s="14">
        <f t="shared" si="31"/>
        <v>12.788550000000001</v>
      </c>
      <c r="P1092" s="14">
        <f t="shared" si="31"/>
        <v>12.663533333333335</v>
      </c>
      <c r="Q1092" s="14">
        <f t="shared" si="31"/>
        <v>13.383250000000002</v>
      </c>
      <c r="R1092" s="14">
        <f t="shared" si="31"/>
        <v>14.003725000000001</v>
      </c>
      <c r="S1092" s="14">
        <f t="shared" si="31"/>
        <v>12.360675000000001</v>
      </c>
      <c r="T1092" s="49">
        <f>SUM(T277:T288)</f>
        <v>357.24568100000005</v>
      </c>
      <c r="U1092" s="49">
        <f>SUM(U277:U288)</f>
        <v>142.03263249999998</v>
      </c>
      <c r="V1092" s="49">
        <f>SUM(V277:V288)</f>
        <v>50.187500000000007</v>
      </c>
      <c r="W1092" s="49">
        <f>SUM(W277:W288)</f>
        <v>5.0822234999999996</v>
      </c>
      <c r="X1092" s="49">
        <f>SUM(X277:X288)</f>
        <v>20.758966663999999</v>
      </c>
      <c r="Y1092" s="49"/>
      <c r="Z1092" s="14"/>
      <c r="AA1092" s="14"/>
      <c r="AB1092" s="50">
        <f>AVERAGE(AB277:AB288)</f>
        <v>12.897540403752997</v>
      </c>
      <c r="AC1092" s="45">
        <f>AVERAGE(AC277:AC288)</f>
        <v>12.67068908872902</v>
      </c>
    </row>
    <row r="1093" spans="1:29" ht="15.75" x14ac:dyDescent="0.25">
      <c r="A1093" s="10">
        <v>2036</v>
      </c>
      <c r="B1093" s="14">
        <f t="shared" ref="B1093:S1093" si="32">AVERAGE(B289:B300)</f>
        <v>13.360483333333335</v>
      </c>
      <c r="C1093" s="14">
        <f t="shared" si="32"/>
        <v>13.366775000000002</v>
      </c>
      <c r="D1093" s="14">
        <f t="shared" si="32"/>
        <v>13.513633333333333</v>
      </c>
      <c r="E1093" s="14">
        <f t="shared" si="32"/>
        <v>13.546058333333333</v>
      </c>
      <c r="F1093" s="14">
        <f t="shared" si="32"/>
        <v>13.347333333333331</v>
      </c>
      <c r="G1093" s="14">
        <f t="shared" si="32"/>
        <v>13.363083333333336</v>
      </c>
      <c r="H1093" s="14">
        <f t="shared" si="32"/>
        <v>13.535175000000001</v>
      </c>
      <c r="I1093" s="14">
        <f t="shared" si="32"/>
        <v>13.409825</v>
      </c>
      <c r="J1093" s="14">
        <f t="shared" si="32"/>
        <v>13.340333333333332</v>
      </c>
      <c r="K1093" s="53">
        <f t="shared" si="32"/>
        <v>13.405933333333335</v>
      </c>
      <c r="L1093" s="14">
        <f t="shared" si="32"/>
        <v>14.122174999999999</v>
      </c>
      <c r="M1093" s="14">
        <f t="shared" si="32"/>
        <v>13.074666666666666</v>
      </c>
      <c r="N1093" s="14">
        <f t="shared" si="32"/>
        <v>13.090116666666667</v>
      </c>
      <c r="O1093" s="14">
        <f t="shared" si="32"/>
        <v>13.265541666666669</v>
      </c>
      <c r="P1093" s="14">
        <f t="shared" si="32"/>
        <v>13.142000000000003</v>
      </c>
      <c r="Q1093" s="14">
        <f t="shared" si="32"/>
        <v>13.860241666666667</v>
      </c>
      <c r="R1093" s="14">
        <f t="shared" si="32"/>
        <v>14.481900000000001</v>
      </c>
      <c r="S1093" s="14">
        <f t="shared" si="32"/>
        <v>12.828591666666666</v>
      </c>
      <c r="T1093" s="49">
        <f>SUM(T289:T300)</f>
        <v>358.17703550000004</v>
      </c>
      <c r="U1093" s="49">
        <f>SUM(U289:U300)</f>
        <v>142.42176299999997</v>
      </c>
      <c r="V1093" s="49">
        <f>SUM(V289:V300)</f>
        <v>50.325000000000003</v>
      </c>
      <c r="W1093" s="49">
        <f>SUM(W289:W300)</f>
        <v>5.0961473999999995</v>
      </c>
      <c r="X1093" s="49">
        <f>SUM(X289:X300)</f>
        <v>20.800615543999996</v>
      </c>
      <c r="Y1093" s="49"/>
      <c r="Z1093" s="14"/>
      <c r="AA1093" s="14"/>
      <c r="AB1093" s="50">
        <f>AVERAGE(AB289:AB300)</f>
        <v>13.384652591908173</v>
      </c>
      <c r="AC1093" s="45">
        <f>AVERAGE(AC289:AC300)</f>
        <v>13.147892505995202</v>
      </c>
    </row>
    <row r="1094" spans="1:29" ht="15.75" x14ac:dyDescent="0.25">
      <c r="A1094" s="10">
        <v>2037</v>
      </c>
      <c r="B1094" s="14">
        <f t="shared" ref="B1094:S1094" si="33">AVERAGE(B301:B312)</f>
        <v>13.865908333333332</v>
      </c>
      <c r="C1094" s="14">
        <f t="shared" si="33"/>
        <v>13.872183333333332</v>
      </c>
      <c r="D1094" s="14">
        <f t="shared" si="33"/>
        <v>14.019074999999999</v>
      </c>
      <c r="E1094" s="14">
        <f t="shared" si="33"/>
        <v>14.051483333333332</v>
      </c>
      <c r="F1094" s="14">
        <f t="shared" si="33"/>
        <v>13.852725</v>
      </c>
      <c r="G1094" s="14">
        <f t="shared" si="33"/>
        <v>13.868491666666666</v>
      </c>
      <c r="H1094" s="14">
        <f t="shared" si="33"/>
        <v>14.040616666666667</v>
      </c>
      <c r="I1094" s="14">
        <f t="shared" si="33"/>
        <v>13.916833333333331</v>
      </c>
      <c r="J1094" s="14">
        <f t="shared" si="33"/>
        <v>13.845724999999996</v>
      </c>
      <c r="K1094" s="53">
        <f t="shared" si="33"/>
        <v>13.912933333333333</v>
      </c>
      <c r="L1094" s="14">
        <f t="shared" si="33"/>
        <v>14.627616666666668</v>
      </c>
      <c r="M1094" s="14">
        <f t="shared" si="33"/>
        <v>13.569733333333337</v>
      </c>
      <c r="N1094" s="14">
        <f t="shared" si="33"/>
        <v>13.585174999999998</v>
      </c>
      <c r="O1094" s="14">
        <f t="shared" si="33"/>
        <v>13.760616666666666</v>
      </c>
      <c r="P1094" s="14">
        <f t="shared" si="33"/>
        <v>13.638575000000001</v>
      </c>
      <c r="Q1094" s="14">
        <f t="shared" si="33"/>
        <v>14.355316666666667</v>
      </c>
      <c r="R1094" s="14">
        <f t="shared" si="33"/>
        <v>14.978208333333335</v>
      </c>
      <c r="S1094" s="14">
        <f t="shared" si="33"/>
        <v>13.314250000000001</v>
      </c>
      <c r="T1094" s="49">
        <f>SUM(T301:T312)</f>
        <v>357.24568100000005</v>
      </c>
      <c r="U1094" s="49">
        <f>SUM(U301:U312)</f>
        <v>142.03263249999998</v>
      </c>
      <c r="V1094" s="49">
        <f>SUM(V301:V312)</f>
        <v>50.187500000000007</v>
      </c>
      <c r="W1094" s="49">
        <f>SUM(W301:W312)</f>
        <v>5.0822234999999996</v>
      </c>
      <c r="X1094" s="49">
        <f>SUM(X301:X312)</f>
        <v>20.758966663999999</v>
      </c>
      <c r="Y1094" s="49"/>
      <c r="Z1094" s="14"/>
      <c r="AA1094" s="14"/>
      <c r="AB1094" s="50">
        <f>AVERAGE(AB301:AB312)</f>
        <v>13.890193924268283</v>
      </c>
      <c r="AC1094" s="45">
        <f>AVERAGE(AC301:AC312)</f>
        <v>13.643178057553955</v>
      </c>
    </row>
    <row r="1095" spans="1:29" ht="15.75" x14ac:dyDescent="0.25">
      <c r="A1095" s="10">
        <f t="shared" ref="A1095:A1126" si="34">A1094+1</f>
        <v>2038</v>
      </c>
      <c r="B1095" s="14">
        <f t="shared" ref="B1095:S1095" si="35">AVERAGE(B313:B324)</f>
        <v>14.390475</v>
      </c>
      <c r="C1095" s="14">
        <f t="shared" si="35"/>
        <v>14.396733333333335</v>
      </c>
      <c r="D1095" s="14">
        <f t="shared" si="35"/>
        <v>14.543608333333331</v>
      </c>
      <c r="E1095" s="14">
        <f t="shared" si="35"/>
        <v>14.576041666666669</v>
      </c>
      <c r="F1095" s="14">
        <f t="shared" si="35"/>
        <v>14.377283333333333</v>
      </c>
      <c r="G1095" s="14">
        <f t="shared" si="35"/>
        <v>14.393041666666667</v>
      </c>
      <c r="H1095" s="14">
        <f t="shared" si="35"/>
        <v>14.565150000000001</v>
      </c>
      <c r="I1095" s="14">
        <f t="shared" si="35"/>
        <v>14.443016666666667</v>
      </c>
      <c r="J1095" s="14">
        <f t="shared" si="35"/>
        <v>14.370283333333338</v>
      </c>
      <c r="K1095" s="53">
        <f t="shared" si="35"/>
        <v>14.439116666666665</v>
      </c>
      <c r="L1095" s="14">
        <f t="shared" si="35"/>
        <v>15.152150000000001</v>
      </c>
      <c r="M1095" s="14">
        <f t="shared" si="35"/>
        <v>14.083550000000002</v>
      </c>
      <c r="N1095" s="14">
        <f t="shared" si="35"/>
        <v>14.098966666666668</v>
      </c>
      <c r="O1095" s="14">
        <f t="shared" si="35"/>
        <v>14.274416666666665</v>
      </c>
      <c r="P1095" s="14">
        <f t="shared" si="35"/>
        <v>14.153941666666668</v>
      </c>
      <c r="Q1095" s="14">
        <f t="shared" si="35"/>
        <v>14.869116666666669</v>
      </c>
      <c r="R1095" s="14">
        <f t="shared" si="35"/>
        <v>15.493283333333332</v>
      </c>
      <c r="S1095" s="14">
        <f t="shared" si="35"/>
        <v>13.818291666666665</v>
      </c>
      <c r="T1095" s="49">
        <f>SUM(T313:T324)</f>
        <v>357.24568100000005</v>
      </c>
      <c r="U1095" s="49">
        <f>SUM(U313:U324)</f>
        <v>142.03263249999998</v>
      </c>
      <c r="V1095" s="49">
        <f>SUM(V313:V324)</f>
        <v>50.187500000000007</v>
      </c>
      <c r="W1095" s="49">
        <f>SUM(W313:W324)</f>
        <v>5.0822234999999996</v>
      </c>
      <c r="X1095" s="49">
        <f>SUM(X313:X324)</f>
        <v>20.758966663999999</v>
      </c>
      <c r="Y1095" s="49"/>
      <c r="Z1095" s="14"/>
      <c r="AA1095" s="14"/>
      <c r="AB1095" s="50">
        <f>AVERAGE(AB313:AB324)</f>
        <v>14.414881732819808</v>
      </c>
      <c r="AC1095" s="45">
        <f>AVERAGE(AC313:AC324)</f>
        <v>14.15720731414868</v>
      </c>
    </row>
    <row r="1096" spans="1:29" ht="15.75" x14ac:dyDescent="0.25">
      <c r="A1096" s="10">
        <f t="shared" si="34"/>
        <v>2039</v>
      </c>
      <c r="B1096" s="14">
        <f t="shared" ref="B1096:S1096" si="36">AVERAGE(B325:B336)</f>
        <v>14.934875</v>
      </c>
      <c r="C1096" s="14">
        <f t="shared" si="36"/>
        <v>14.941141666666669</v>
      </c>
      <c r="D1096" s="14">
        <f t="shared" si="36"/>
        <v>15.088008333333336</v>
      </c>
      <c r="E1096" s="14">
        <f t="shared" si="36"/>
        <v>15.120441666666665</v>
      </c>
      <c r="F1096" s="14">
        <f t="shared" si="36"/>
        <v>14.921716666666669</v>
      </c>
      <c r="G1096" s="14">
        <f t="shared" si="36"/>
        <v>14.937458333333334</v>
      </c>
      <c r="H1096" s="14">
        <f t="shared" si="36"/>
        <v>15.10955</v>
      </c>
      <c r="I1096" s="14">
        <f t="shared" si="36"/>
        <v>14.989150000000002</v>
      </c>
      <c r="J1096" s="14">
        <f t="shared" si="36"/>
        <v>14.914716666666669</v>
      </c>
      <c r="K1096" s="53">
        <f t="shared" si="36"/>
        <v>14.985249999999999</v>
      </c>
      <c r="L1096" s="14">
        <f t="shared" si="36"/>
        <v>15.696549999999997</v>
      </c>
      <c r="M1096" s="14">
        <f t="shared" si="36"/>
        <v>14.6168</v>
      </c>
      <c r="N1096" s="14">
        <f t="shared" si="36"/>
        <v>14.632224999999998</v>
      </c>
      <c r="O1096" s="14">
        <f t="shared" si="36"/>
        <v>14.807666666666664</v>
      </c>
      <c r="P1096" s="14">
        <f t="shared" si="36"/>
        <v>14.688841666666667</v>
      </c>
      <c r="Q1096" s="14">
        <f t="shared" si="36"/>
        <v>15.402366666666664</v>
      </c>
      <c r="R1096" s="14">
        <f t="shared" si="36"/>
        <v>16.027883333333332</v>
      </c>
      <c r="S1096" s="14">
        <f t="shared" si="36"/>
        <v>14.341391666666667</v>
      </c>
      <c r="T1096" s="49">
        <f>SUM(T325:T336)</f>
        <v>357.24568100000005</v>
      </c>
      <c r="U1096" s="49">
        <f>SUM(U325:U336)</f>
        <v>142.03263249999998</v>
      </c>
      <c r="V1096" s="49">
        <f>SUM(V325:V336)</f>
        <v>50.187500000000007</v>
      </c>
      <c r="W1096" s="49">
        <f>SUM(W325:W336)</f>
        <v>5.0822234999999996</v>
      </c>
      <c r="X1096" s="49">
        <f>SUM(X325:X336)</f>
        <v>20.758966663999999</v>
      </c>
      <c r="Y1096" s="49"/>
      <c r="Z1096" s="55"/>
      <c r="AA1096" s="54"/>
      <c r="AB1096" s="50">
        <f>AVERAGE(AB325:AB336)</f>
        <v>14.959438561801955</v>
      </c>
      <c r="AC1096" s="45">
        <f>AVERAGE(AC325:AC336)</f>
        <v>14.69069376498801</v>
      </c>
    </row>
    <row r="1097" spans="1:29" ht="15.75" x14ac:dyDescent="0.25">
      <c r="A1097" s="10">
        <f t="shared" si="34"/>
        <v>2040</v>
      </c>
      <c r="B1097" s="14">
        <f t="shared" ref="B1097:S1097" si="37">AVERAGE(B337:B348)</f>
        <v>15.499891666666668</v>
      </c>
      <c r="C1097" s="14">
        <f t="shared" si="37"/>
        <v>15.506158333333333</v>
      </c>
      <c r="D1097" s="14">
        <f t="shared" si="37"/>
        <v>15.653033333333335</v>
      </c>
      <c r="E1097" s="14">
        <f t="shared" si="37"/>
        <v>15.685458333333337</v>
      </c>
      <c r="F1097" s="14">
        <f t="shared" si="37"/>
        <v>15.486725</v>
      </c>
      <c r="G1097" s="14">
        <f t="shared" si="37"/>
        <v>15.502474999999997</v>
      </c>
      <c r="H1097" s="14">
        <f t="shared" si="37"/>
        <v>15.674575000000003</v>
      </c>
      <c r="I1097" s="14">
        <f t="shared" si="37"/>
        <v>15.555925</v>
      </c>
      <c r="J1097" s="14">
        <f t="shared" si="37"/>
        <v>15.479725</v>
      </c>
      <c r="K1097" s="53">
        <f t="shared" si="37"/>
        <v>15.552024999999999</v>
      </c>
      <c r="L1097" s="14">
        <f t="shared" si="37"/>
        <v>16.261575000000001</v>
      </c>
      <c r="M1097" s="14">
        <f t="shared" si="37"/>
        <v>15.170250000000001</v>
      </c>
      <c r="N1097" s="14">
        <f t="shared" si="37"/>
        <v>15.185691666666665</v>
      </c>
      <c r="O1097" s="14">
        <f t="shared" si="37"/>
        <v>15.361108333333336</v>
      </c>
      <c r="P1097" s="14">
        <f t="shared" si="37"/>
        <v>15.243983333333333</v>
      </c>
      <c r="Q1097" s="14">
        <f t="shared" si="37"/>
        <v>15.955808333333332</v>
      </c>
      <c r="R1097" s="14">
        <f t="shared" si="37"/>
        <v>16.582699999999999</v>
      </c>
      <c r="S1097" s="14">
        <f t="shared" si="37"/>
        <v>14.884350000000003</v>
      </c>
      <c r="T1097" s="49">
        <f>SUM(T337:T348)</f>
        <v>358.17703550000004</v>
      </c>
      <c r="U1097" s="49">
        <f>SUM(U337:U348)</f>
        <v>142.42176299999997</v>
      </c>
      <c r="V1097" s="49">
        <f>SUM(V337:V348)</f>
        <v>50.325000000000003</v>
      </c>
      <c r="W1097" s="49">
        <f>SUM(W337:W348)</f>
        <v>5.0961473999999995</v>
      </c>
      <c r="X1097" s="49">
        <f>SUM(X337:X348)</f>
        <v>20.800615543999996</v>
      </c>
      <c r="Y1097" s="49"/>
      <c r="Z1097" s="55"/>
      <c r="AA1097" s="54"/>
      <c r="AB1097" s="50">
        <f>AVERAGE(AB337:AB348)</f>
        <v>15.524598300612567</v>
      </c>
      <c r="AC1097" s="45">
        <f>AVERAGE(AC337:AC348)</f>
        <v>15.244387230215827</v>
      </c>
    </row>
    <row r="1098" spans="1:29" ht="15.75" x14ac:dyDescent="0.25">
      <c r="A1098" s="10">
        <f t="shared" si="34"/>
        <v>2041</v>
      </c>
      <c r="B1098" s="14">
        <f t="shared" ref="B1098:S1098" si="38">AVERAGE(B349:B360)</f>
        <v>16.086308333333335</v>
      </c>
      <c r="C1098" s="14">
        <f t="shared" si="38"/>
        <v>16.092575</v>
      </c>
      <c r="D1098" s="14">
        <f t="shared" si="38"/>
        <v>16.239466666666669</v>
      </c>
      <c r="E1098" s="14">
        <f t="shared" si="38"/>
        <v>16.271891666666669</v>
      </c>
      <c r="F1098" s="14">
        <f t="shared" si="38"/>
        <v>16.073133333333331</v>
      </c>
      <c r="G1098" s="14">
        <f t="shared" si="38"/>
        <v>16.088891666666669</v>
      </c>
      <c r="H1098" s="14">
        <f t="shared" si="38"/>
        <v>16.260999999999999</v>
      </c>
      <c r="I1098" s="14">
        <f t="shared" si="38"/>
        <v>16.144183333333331</v>
      </c>
      <c r="J1098" s="14">
        <f t="shared" si="38"/>
        <v>16.066133333333333</v>
      </c>
      <c r="K1098" s="53">
        <f t="shared" si="38"/>
        <v>16.140291666666666</v>
      </c>
      <c r="L1098" s="14">
        <f t="shared" si="38"/>
        <v>16.847999999999999</v>
      </c>
      <c r="M1098" s="14">
        <f t="shared" si="38"/>
        <v>15.744633333333333</v>
      </c>
      <c r="N1098" s="14">
        <f t="shared" si="38"/>
        <v>15.760083333333334</v>
      </c>
      <c r="O1098" s="14">
        <f t="shared" si="38"/>
        <v>15.93551666666667</v>
      </c>
      <c r="P1098" s="14">
        <f t="shared" si="38"/>
        <v>15.820158333333334</v>
      </c>
      <c r="Q1098" s="14">
        <f t="shared" si="38"/>
        <v>16.530216666666664</v>
      </c>
      <c r="R1098" s="14">
        <f t="shared" si="38"/>
        <v>17.158533333333327</v>
      </c>
      <c r="S1098" s="14">
        <f t="shared" si="38"/>
        <v>15.447824999999996</v>
      </c>
      <c r="T1098" s="49">
        <f>SUM(T349:T360)</f>
        <v>357.24568100000005</v>
      </c>
      <c r="U1098" s="49">
        <f>SUM(U349:U360)</f>
        <v>142.03263249999998</v>
      </c>
      <c r="V1098" s="49">
        <f>SUM(V349:V360)</f>
        <v>50.187500000000007</v>
      </c>
      <c r="W1098" s="49">
        <f>SUM(W349:W360)</f>
        <v>5.0822234999999996</v>
      </c>
      <c r="X1098" s="49">
        <f>SUM(X349:X360)</f>
        <v>20.758966663999999</v>
      </c>
      <c r="Y1098" s="49"/>
      <c r="Z1098" s="55"/>
      <c r="AA1098" s="54"/>
      <c r="AB1098" s="50">
        <f>AVERAGE(AB349:AB360)</f>
        <v>16.111165904183704</v>
      </c>
      <c r="AC1098" s="45">
        <f>AVERAGE(AC349:AC360)</f>
        <v>15.819040167865708</v>
      </c>
    </row>
    <row r="1099" spans="1:29" ht="15.75" x14ac:dyDescent="0.25">
      <c r="A1099" s="10">
        <f t="shared" si="34"/>
        <v>2042</v>
      </c>
      <c r="B1099" s="14">
        <f t="shared" ref="B1099:S1099" si="39">AVERAGE(B361:B372)</f>
        <v>16.694933333333335</v>
      </c>
      <c r="C1099" s="14">
        <f t="shared" si="39"/>
        <v>16.701199999999996</v>
      </c>
      <c r="D1099" s="14">
        <f t="shared" si="39"/>
        <v>16.848074999999998</v>
      </c>
      <c r="E1099" s="14">
        <f t="shared" si="39"/>
        <v>16.880500000000001</v>
      </c>
      <c r="F1099" s="14">
        <f t="shared" si="39"/>
        <v>16.681766666666665</v>
      </c>
      <c r="G1099" s="14">
        <f t="shared" si="39"/>
        <v>16.697516666666665</v>
      </c>
      <c r="H1099" s="14">
        <f t="shared" si="39"/>
        <v>16.869608333333336</v>
      </c>
      <c r="I1099" s="14">
        <f t="shared" si="39"/>
        <v>16.7547</v>
      </c>
      <c r="J1099" s="14">
        <f t="shared" si="39"/>
        <v>16.67476666666667</v>
      </c>
      <c r="K1099" s="53">
        <f t="shared" si="39"/>
        <v>16.750808333333332</v>
      </c>
      <c r="L1099" s="14">
        <f t="shared" si="39"/>
        <v>17.456608333333332</v>
      </c>
      <c r="M1099" s="14">
        <f t="shared" si="39"/>
        <v>16.340783333333334</v>
      </c>
      <c r="N1099" s="14">
        <f t="shared" si="39"/>
        <v>16.356233333333332</v>
      </c>
      <c r="O1099" s="14">
        <f t="shared" si="39"/>
        <v>16.531658333333329</v>
      </c>
      <c r="P1099" s="14">
        <f t="shared" si="39"/>
        <v>16.418116666666666</v>
      </c>
      <c r="Q1099" s="14">
        <f t="shared" si="39"/>
        <v>17.126358333333332</v>
      </c>
      <c r="R1099" s="14">
        <f t="shared" si="39"/>
        <v>17.756166666666669</v>
      </c>
      <c r="S1099" s="14">
        <f t="shared" si="39"/>
        <v>16.032641666666667</v>
      </c>
      <c r="T1099" s="49">
        <f>SUM(T361:T372)</f>
        <v>357.24568100000005</v>
      </c>
      <c r="U1099" s="49">
        <f>SUM(U361:U372)</f>
        <v>142.03263249999998</v>
      </c>
      <c r="V1099" s="49">
        <f>SUM(V361:V372)</f>
        <v>50.187500000000007</v>
      </c>
      <c r="W1099" s="49">
        <f>SUM(W361:W372)</f>
        <v>5.0822234999999996</v>
      </c>
      <c r="X1099" s="49">
        <f>SUM(X361:X372)</f>
        <v>20.758966663999999</v>
      </c>
      <c r="Y1099" s="49"/>
      <c r="Z1099" s="55"/>
      <c r="AA1099" s="54"/>
      <c r="AB1099" s="50">
        <f>AVERAGE(AB361:AB372)</f>
        <v>16.719946917092873</v>
      </c>
      <c r="AC1099" s="45">
        <f>AVERAGE(AC361:AC372)</f>
        <v>16.415448021582733</v>
      </c>
    </row>
    <row r="1100" spans="1:29" ht="15.75" x14ac:dyDescent="0.25">
      <c r="A1100" s="10">
        <f t="shared" si="34"/>
        <v>2043</v>
      </c>
      <c r="B1100" s="14">
        <f t="shared" ref="B1100:S1100" si="40">AVERAGE(B373:B384)</f>
        <v>17.326591666666669</v>
      </c>
      <c r="C1100" s="14">
        <f t="shared" si="40"/>
        <v>17.332850000000004</v>
      </c>
      <c r="D1100" s="14">
        <f t="shared" si="40"/>
        <v>17.479724999999998</v>
      </c>
      <c r="E1100" s="14">
        <f t="shared" si="40"/>
        <v>17.512149999999995</v>
      </c>
      <c r="F1100" s="14">
        <f t="shared" si="40"/>
        <v>17.313399999999998</v>
      </c>
      <c r="G1100" s="14">
        <f t="shared" si="40"/>
        <v>17.329158333333336</v>
      </c>
      <c r="H1100" s="14">
        <f t="shared" si="40"/>
        <v>17.50126666666667</v>
      </c>
      <c r="I1100" s="14">
        <f t="shared" si="40"/>
        <v>17.388333333333332</v>
      </c>
      <c r="J1100" s="14">
        <f t="shared" si="40"/>
        <v>17.3064</v>
      </c>
      <c r="K1100" s="53">
        <f t="shared" si="40"/>
        <v>17.384441666666664</v>
      </c>
      <c r="L1100" s="14">
        <f t="shared" si="40"/>
        <v>18.088266666666666</v>
      </c>
      <c r="M1100" s="14">
        <f t="shared" si="40"/>
        <v>16.959499999999998</v>
      </c>
      <c r="N1100" s="14">
        <f t="shared" si="40"/>
        <v>16.974933333333336</v>
      </c>
      <c r="O1100" s="14">
        <f t="shared" si="40"/>
        <v>17.150375</v>
      </c>
      <c r="P1100" s="14">
        <f t="shared" si="40"/>
        <v>17.038733333333337</v>
      </c>
      <c r="Q1100" s="14">
        <f t="shared" si="40"/>
        <v>17.745075</v>
      </c>
      <c r="R1100" s="14">
        <f t="shared" si="40"/>
        <v>18.376441666666665</v>
      </c>
      <c r="S1100" s="14">
        <f t="shared" si="40"/>
        <v>16.639616666666669</v>
      </c>
      <c r="T1100" s="49">
        <f>SUM(T373:T384)</f>
        <v>357.24568100000005</v>
      </c>
      <c r="U1100" s="49">
        <f>SUM(U373:U384)</f>
        <v>142.03263249999998</v>
      </c>
      <c r="V1100" s="49">
        <f>SUM(V373:V384)</f>
        <v>50.187500000000007</v>
      </c>
      <c r="W1100" s="49">
        <f>SUM(W373:W384)</f>
        <v>5.0822234999999996</v>
      </c>
      <c r="X1100" s="49">
        <f>SUM(X373:X384)</f>
        <v>20.758966663999999</v>
      </c>
      <c r="Y1100" s="49"/>
      <c r="Z1100" s="55"/>
      <c r="AA1100" s="54"/>
      <c r="AB1100" s="50">
        <f>AVERAGE(AB373:AB384)</f>
        <v>17.351756020940329</v>
      </c>
      <c r="AC1100" s="45">
        <f>AVERAGE(AC373:AC384)</f>
        <v>17.034432793764989</v>
      </c>
    </row>
    <row r="1101" spans="1:29" ht="15.75" x14ac:dyDescent="0.25">
      <c r="A1101" s="10">
        <f t="shared" si="34"/>
        <v>2044</v>
      </c>
      <c r="B1101" s="14">
        <f t="shared" ref="B1101:S1101" si="41">AVERAGE(B385:B396)</f>
        <v>17.982141666666667</v>
      </c>
      <c r="C1101" s="14">
        <f t="shared" si="41"/>
        <v>17.988424999999999</v>
      </c>
      <c r="D1101" s="14">
        <f t="shared" si="41"/>
        <v>18.135300000000001</v>
      </c>
      <c r="E1101" s="14">
        <f t="shared" si="41"/>
        <v>18.167716666666667</v>
      </c>
      <c r="F1101" s="14">
        <f t="shared" si="41"/>
        <v>17.968991666666668</v>
      </c>
      <c r="G1101" s="14">
        <f t="shared" si="41"/>
        <v>17.984733333333327</v>
      </c>
      <c r="H1101" s="14">
        <f t="shared" si="41"/>
        <v>18.156841666666665</v>
      </c>
      <c r="I1101" s="14">
        <f t="shared" si="41"/>
        <v>18.045950000000001</v>
      </c>
      <c r="J1101" s="14">
        <f t="shared" si="41"/>
        <v>17.961991666666666</v>
      </c>
      <c r="K1101" s="53">
        <f t="shared" si="41"/>
        <v>18.042075000000001</v>
      </c>
      <c r="L1101" s="14">
        <f t="shared" si="41"/>
        <v>18.743841666666665</v>
      </c>
      <c r="M1101" s="14">
        <f t="shared" si="41"/>
        <v>17.601641666666669</v>
      </c>
      <c r="N1101" s="14">
        <f t="shared" si="41"/>
        <v>17.617091666666663</v>
      </c>
      <c r="O1101" s="14">
        <f t="shared" si="41"/>
        <v>17.792516666666664</v>
      </c>
      <c r="P1101" s="14">
        <f t="shared" si="41"/>
        <v>17.682841666666665</v>
      </c>
      <c r="Q1101" s="14">
        <f t="shared" si="41"/>
        <v>18.387216666666667</v>
      </c>
      <c r="R1101" s="14">
        <f t="shared" si="41"/>
        <v>19.020191666666665</v>
      </c>
      <c r="S1101" s="14">
        <f t="shared" si="41"/>
        <v>17.269558333333336</v>
      </c>
      <c r="T1101" s="49">
        <f>SUM(T385:T396)</f>
        <v>358.17703550000004</v>
      </c>
      <c r="U1101" s="49">
        <f>SUM(U385:U396)</f>
        <v>142.42176299999997</v>
      </c>
      <c r="V1101" s="49">
        <f>SUM(V385:V396)</f>
        <v>50.325000000000003</v>
      </c>
      <c r="W1101" s="49">
        <f>SUM(W385:W396)</f>
        <v>5.0961473999999995</v>
      </c>
      <c r="X1101" s="49">
        <f>SUM(X385:X396)</f>
        <v>20.800615543999996</v>
      </c>
      <c r="Y1101" s="49"/>
      <c r="Z1101" s="55"/>
      <c r="AA1101" s="54"/>
      <c r="AB1101" s="50">
        <f>AVERAGE(AB385:AB396)</f>
        <v>18.007500441817651</v>
      </c>
      <c r="AC1101" s="45">
        <f>AVERAGE(AC385:AC396)</f>
        <v>17.676862709832132</v>
      </c>
    </row>
    <row r="1102" spans="1:29" ht="15.75" x14ac:dyDescent="0.25">
      <c r="A1102" s="10">
        <f t="shared" si="34"/>
        <v>2045</v>
      </c>
      <c r="B1102" s="14">
        <f t="shared" ref="B1102:S1102" si="42">AVERAGE(B397:B408)</f>
        <v>18.662541666666666</v>
      </c>
      <c r="C1102" s="14">
        <f t="shared" si="42"/>
        <v>18.668816666666668</v>
      </c>
      <c r="D1102" s="14">
        <f t="shared" si="42"/>
        <v>18.815700000000003</v>
      </c>
      <c r="E1102" s="14">
        <f t="shared" si="42"/>
        <v>18.84811666666667</v>
      </c>
      <c r="F1102" s="14">
        <f t="shared" si="42"/>
        <v>18.649375000000003</v>
      </c>
      <c r="G1102" s="14">
        <f t="shared" si="42"/>
        <v>18.665116666666666</v>
      </c>
      <c r="H1102" s="14">
        <f t="shared" si="42"/>
        <v>18.837241666666664</v>
      </c>
      <c r="I1102" s="14">
        <f t="shared" si="42"/>
        <v>18.728483333333333</v>
      </c>
      <c r="J1102" s="14">
        <f t="shared" si="42"/>
        <v>18.642374999999998</v>
      </c>
      <c r="K1102" s="53">
        <f t="shared" si="42"/>
        <v>18.724583333333332</v>
      </c>
      <c r="L1102" s="14">
        <f t="shared" si="42"/>
        <v>19.424241666666667</v>
      </c>
      <c r="M1102" s="14">
        <f t="shared" si="42"/>
        <v>18.2681</v>
      </c>
      <c r="N1102" s="14">
        <f t="shared" si="42"/>
        <v>18.283516666666667</v>
      </c>
      <c r="O1102" s="14">
        <f t="shared" si="42"/>
        <v>18.458958333333335</v>
      </c>
      <c r="P1102" s="14">
        <f t="shared" si="42"/>
        <v>18.351333333333329</v>
      </c>
      <c r="Q1102" s="14">
        <f t="shared" si="42"/>
        <v>19.053658333333335</v>
      </c>
      <c r="R1102" s="14">
        <f t="shared" si="42"/>
        <v>19.688300000000002</v>
      </c>
      <c r="S1102" s="14">
        <f t="shared" si="42"/>
        <v>17.923341666666666</v>
      </c>
      <c r="T1102" s="49">
        <f>SUM(T397:T408)</f>
        <v>357.24568100000005</v>
      </c>
      <c r="U1102" s="49">
        <f>SUM(U397:U408)</f>
        <v>142.03263249999998</v>
      </c>
      <c r="V1102" s="49">
        <f>SUM(V397:V408)</f>
        <v>50.187500000000007</v>
      </c>
      <c r="W1102" s="49">
        <f>SUM(W397:W408)</f>
        <v>5.0822234999999996</v>
      </c>
      <c r="X1102" s="49">
        <f>SUM(X397:X408)</f>
        <v>20.758966663999999</v>
      </c>
      <c r="Y1102" s="49"/>
      <c r="Z1102" s="55"/>
      <c r="AA1102" s="54"/>
      <c r="AB1102" s="50">
        <f>AVERAGE(AB397:AB408)</f>
        <v>18.688067104028807</v>
      </c>
      <c r="AC1102" s="45">
        <f>AVERAGE(AC397:AC408)</f>
        <v>18.343602697841725</v>
      </c>
    </row>
    <row r="1103" spans="1:29" ht="15.75" x14ac:dyDescent="0.25">
      <c r="A1103" s="10">
        <f t="shared" si="34"/>
        <v>2046</v>
      </c>
      <c r="B1103" s="14">
        <f t="shared" ref="B1103:S1103" si="43">AVERAGE(B409:B420)</f>
        <v>19.368708333333334</v>
      </c>
      <c r="C1103" s="14">
        <f t="shared" si="43"/>
        <v>19.374966666666666</v>
      </c>
      <c r="D1103" s="14">
        <f t="shared" si="43"/>
        <v>19.521850000000001</v>
      </c>
      <c r="E1103" s="14">
        <f t="shared" si="43"/>
        <v>19.554266666666667</v>
      </c>
      <c r="F1103" s="14">
        <f t="shared" si="43"/>
        <v>19.35551666666667</v>
      </c>
      <c r="G1103" s="14">
        <f t="shared" si="43"/>
        <v>19.371283333333334</v>
      </c>
      <c r="H1103" s="14">
        <f t="shared" si="43"/>
        <v>19.543391666666661</v>
      </c>
      <c r="I1103" s="14">
        <f t="shared" si="43"/>
        <v>19.436833333333333</v>
      </c>
      <c r="J1103" s="14">
        <f t="shared" si="43"/>
        <v>19.348516666666669</v>
      </c>
      <c r="K1103" s="53">
        <f t="shared" si="43"/>
        <v>19.432949999999998</v>
      </c>
      <c r="L1103" s="14">
        <f t="shared" si="43"/>
        <v>20.130391666666672</v>
      </c>
      <c r="M1103" s="14">
        <f t="shared" si="43"/>
        <v>18.959783333333331</v>
      </c>
      <c r="N1103" s="14">
        <f t="shared" si="43"/>
        <v>18.975208333333331</v>
      </c>
      <c r="O1103" s="14">
        <f t="shared" si="43"/>
        <v>19.150658333333336</v>
      </c>
      <c r="P1103" s="14">
        <f t="shared" si="43"/>
        <v>19.04515</v>
      </c>
      <c r="Q1103" s="14">
        <f t="shared" si="43"/>
        <v>19.745358333333332</v>
      </c>
      <c r="R1103" s="14">
        <f t="shared" si="43"/>
        <v>20.381725000000003</v>
      </c>
      <c r="S1103" s="14">
        <f t="shared" si="43"/>
        <v>18.601875</v>
      </c>
      <c r="T1103" s="49">
        <f>SUM(T409:T420)</f>
        <v>357.24568100000005</v>
      </c>
      <c r="U1103" s="49">
        <f>SUM(U409:U420)</f>
        <v>142.03263249999998</v>
      </c>
      <c r="V1103" s="49">
        <f>SUM(V409:V420)</f>
        <v>50.187500000000007</v>
      </c>
      <c r="W1103" s="49">
        <f>SUM(W409:W420)</f>
        <v>5.0822234999999996</v>
      </c>
      <c r="X1103" s="49">
        <f>SUM(X409:X420)</f>
        <v>20.758966663999999</v>
      </c>
      <c r="Y1103" s="49"/>
      <c r="Z1103" s="55"/>
      <c r="AA1103" s="54"/>
      <c r="AB1103" s="50">
        <f>AVERAGE(AB409:AB420)</f>
        <v>19.394400645436313</v>
      </c>
      <c r="AC1103" s="45">
        <f>AVERAGE(AC409:AC420)</f>
        <v>19.035598141486812</v>
      </c>
    </row>
    <row r="1104" spans="1:29" ht="15.75" x14ac:dyDescent="0.25">
      <c r="A1104" s="10">
        <f t="shared" si="34"/>
        <v>2047</v>
      </c>
      <c r="B1104" s="14">
        <f t="shared" ref="B1104:S1104" si="44">AVERAGE(B421:B432)</f>
        <v>20.101600000000001</v>
      </c>
      <c r="C1104" s="14">
        <f t="shared" si="44"/>
        <v>20.107850000000003</v>
      </c>
      <c r="D1104" s="14">
        <f t="shared" si="44"/>
        <v>20.254725000000004</v>
      </c>
      <c r="E1104" s="14">
        <f t="shared" si="44"/>
        <v>20.287158333333334</v>
      </c>
      <c r="F1104" s="14">
        <f t="shared" si="44"/>
        <v>20.088416666666664</v>
      </c>
      <c r="G1104" s="14">
        <f t="shared" si="44"/>
        <v>20.104183333333332</v>
      </c>
      <c r="H1104" s="14">
        <f t="shared" si="44"/>
        <v>20.276258333333335</v>
      </c>
      <c r="I1104" s="14">
        <f t="shared" si="44"/>
        <v>20.172025000000001</v>
      </c>
      <c r="J1104" s="14">
        <f t="shared" si="44"/>
        <v>20.081416666666666</v>
      </c>
      <c r="K1104" s="53">
        <f t="shared" si="44"/>
        <v>20.168133333333333</v>
      </c>
      <c r="L1104" s="14">
        <f t="shared" si="44"/>
        <v>20.863258333333334</v>
      </c>
      <c r="M1104" s="14">
        <f t="shared" si="44"/>
        <v>19.677675000000001</v>
      </c>
      <c r="N1104" s="14">
        <f t="shared" si="44"/>
        <v>19.693066666666663</v>
      </c>
      <c r="O1104" s="14">
        <f t="shared" si="44"/>
        <v>19.868524999999998</v>
      </c>
      <c r="P1104" s="14">
        <f t="shared" si="44"/>
        <v>19.765216666666667</v>
      </c>
      <c r="Q1104" s="14">
        <f t="shared" si="44"/>
        <v>20.463225000000001</v>
      </c>
      <c r="R1104" s="14">
        <f t="shared" si="44"/>
        <v>21.101391666666665</v>
      </c>
      <c r="S1104" s="14">
        <f t="shared" si="44"/>
        <v>19.306116666666668</v>
      </c>
      <c r="T1104" s="49">
        <f>SUM(T421:T432)</f>
        <v>357.24568100000005</v>
      </c>
      <c r="U1104" s="49">
        <f>SUM(U421:U432)</f>
        <v>142.03263249999998</v>
      </c>
      <c r="V1104" s="49">
        <f>SUM(V421:V432)</f>
        <v>50.187500000000007</v>
      </c>
      <c r="W1104" s="49">
        <f>SUM(W421:W432)</f>
        <v>5.0822234999999996</v>
      </c>
      <c r="X1104" s="49">
        <f>SUM(X421:X432)</f>
        <v>20.758966663999999</v>
      </c>
      <c r="Y1104" s="49"/>
      <c r="Z1104" s="55"/>
      <c r="AA1104" s="54"/>
      <c r="AB1104" s="50">
        <f>AVERAGE(AB421:AB432)</f>
        <v>20.12748171230189</v>
      </c>
      <c r="AC1104" s="45">
        <f>AVERAGE(AC421:AC432)</f>
        <v>19.753790947242209</v>
      </c>
    </row>
    <row r="1105" spans="1:29" ht="15.75" x14ac:dyDescent="0.25">
      <c r="A1105" s="10">
        <f t="shared" si="34"/>
        <v>2048</v>
      </c>
      <c r="B1105" s="14">
        <f t="shared" ref="B1105:S1105" si="45">AVERAGE(B433:B444)</f>
        <v>20.862216666666665</v>
      </c>
      <c r="C1105" s="14">
        <f t="shared" si="45"/>
        <v>20.868491666666671</v>
      </c>
      <c r="D1105" s="14">
        <f t="shared" si="45"/>
        <v>21.015358333333328</v>
      </c>
      <c r="E1105" s="14">
        <f t="shared" si="45"/>
        <v>21.047791666666669</v>
      </c>
      <c r="F1105" s="14">
        <f t="shared" si="45"/>
        <v>20.849058333333332</v>
      </c>
      <c r="G1105" s="14">
        <f t="shared" si="45"/>
        <v>20.864808333333336</v>
      </c>
      <c r="H1105" s="14">
        <f t="shared" si="45"/>
        <v>21.036891666666669</v>
      </c>
      <c r="I1105" s="14">
        <f t="shared" si="45"/>
        <v>20.93505</v>
      </c>
      <c r="J1105" s="14">
        <f t="shared" si="45"/>
        <v>20.842058333333334</v>
      </c>
      <c r="K1105" s="53">
        <f t="shared" si="45"/>
        <v>20.931166666666666</v>
      </c>
      <c r="L1105" s="14">
        <f t="shared" si="45"/>
        <v>21.623891666666665</v>
      </c>
      <c r="M1105" s="14">
        <f t="shared" si="45"/>
        <v>20.422700000000003</v>
      </c>
      <c r="N1105" s="14">
        <f t="shared" si="45"/>
        <v>20.438133333333337</v>
      </c>
      <c r="O1105" s="14">
        <f t="shared" si="45"/>
        <v>20.613566666666667</v>
      </c>
      <c r="P1105" s="14">
        <f t="shared" si="45"/>
        <v>20.512550000000001</v>
      </c>
      <c r="Q1105" s="14">
        <f t="shared" si="45"/>
        <v>21.208266666666663</v>
      </c>
      <c r="R1105" s="14">
        <f t="shared" si="45"/>
        <v>21.848283333333331</v>
      </c>
      <c r="S1105" s="14">
        <f t="shared" si="45"/>
        <v>20.037000000000003</v>
      </c>
      <c r="T1105" s="49">
        <f>SUM(T433:T444)</f>
        <v>358.17703550000004</v>
      </c>
      <c r="U1105" s="49">
        <f>SUM(U433:U444)</f>
        <v>142.42176299999997</v>
      </c>
      <c r="V1105" s="49">
        <f>SUM(V433:V444)</f>
        <v>50.325000000000003</v>
      </c>
      <c r="W1105" s="49">
        <f>SUM(W433:W444)</f>
        <v>5.0961473999999995</v>
      </c>
      <c r="X1105" s="49">
        <f>SUM(X433:X444)</f>
        <v>20.800615543999996</v>
      </c>
      <c r="Y1105" s="49"/>
      <c r="Z1105" s="55"/>
      <c r="AA1105" s="54"/>
      <c r="AB1105" s="50">
        <f>AVERAGE(AB433:AB444)</f>
        <v>20.88831326097932</v>
      </c>
      <c r="AC1105" s="45">
        <f>AVERAGE(AC433:AC444)</f>
        <v>20.499159472422068</v>
      </c>
    </row>
    <row r="1106" spans="1:29" ht="15.75" x14ac:dyDescent="0.25">
      <c r="A1106" s="10">
        <f t="shared" si="34"/>
        <v>2049</v>
      </c>
      <c r="B1106" s="14">
        <f t="shared" ref="B1106:S1106" si="46">AVERAGE(B445:B456)</f>
        <v>21.651658333333334</v>
      </c>
      <c r="C1106" s="14">
        <f t="shared" si="46"/>
        <v>21.657916666666665</v>
      </c>
      <c r="D1106" s="14">
        <f t="shared" si="46"/>
        <v>21.80480833333333</v>
      </c>
      <c r="E1106" s="14">
        <f t="shared" si="46"/>
        <v>21.837225</v>
      </c>
      <c r="F1106" s="14">
        <f t="shared" si="46"/>
        <v>21.638475000000003</v>
      </c>
      <c r="G1106" s="14">
        <f t="shared" si="46"/>
        <v>21.654233333333334</v>
      </c>
      <c r="H1106" s="14">
        <f t="shared" si="46"/>
        <v>21.826350000000001</v>
      </c>
      <c r="I1106" s="14">
        <f t="shared" si="46"/>
        <v>21.726941666666672</v>
      </c>
      <c r="J1106" s="14">
        <f t="shared" si="46"/>
        <v>21.631475000000005</v>
      </c>
      <c r="K1106" s="53">
        <f t="shared" si="46"/>
        <v>21.723050000000001</v>
      </c>
      <c r="L1106" s="14">
        <f t="shared" si="46"/>
        <v>22.413349999999998</v>
      </c>
      <c r="M1106" s="14">
        <f t="shared" si="46"/>
        <v>21.19595</v>
      </c>
      <c r="N1106" s="14">
        <f t="shared" si="46"/>
        <v>21.211391666666668</v>
      </c>
      <c r="O1106" s="14">
        <f t="shared" si="46"/>
        <v>21.386833333333339</v>
      </c>
      <c r="P1106" s="14">
        <f t="shared" si="46"/>
        <v>21.288174999999999</v>
      </c>
      <c r="Q1106" s="14">
        <f t="shared" si="46"/>
        <v>21.981533333333331</v>
      </c>
      <c r="R1106" s="14">
        <f t="shared" si="46"/>
        <v>22.623474999999999</v>
      </c>
      <c r="S1106" s="14">
        <f t="shared" si="46"/>
        <v>20.795574999999996</v>
      </c>
      <c r="T1106" s="49">
        <f>SUM(T445:T456)</f>
        <v>357.24568100000005</v>
      </c>
      <c r="U1106" s="49">
        <f>SUM(U445:U456)</f>
        <v>142.03263249999998</v>
      </c>
      <c r="V1106" s="49">
        <f>SUM(V445:V456)</f>
        <v>50.187500000000007</v>
      </c>
      <c r="W1106" s="49">
        <f>SUM(W445:W456)</f>
        <v>5.0822234999999996</v>
      </c>
      <c r="X1106" s="49">
        <f>SUM(X445:X456)</f>
        <v>20.758966663999999</v>
      </c>
      <c r="Y1106" s="49"/>
      <c r="Z1106" s="55"/>
      <c r="AA1106" s="54"/>
      <c r="AB1106" s="50">
        <f>AVERAGE(AB445:AB456)</f>
        <v>21.677943982503091</v>
      </c>
      <c r="AC1106" s="45">
        <f>AVERAGE(AC445:AC456)</f>
        <v>21.272756354916066</v>
      </c>
    </row>
    <row r="1107" spans="1:29" ht="15.75" x14ac:dyDescent="0.25">
      <c r="A1107" s="10">
        <f t="shared" si="34"/>
        <v>2050</v>
      </c>
      <c r="B1107" s="14">
        <f t="shared" ref="B1107:S1107" si="47">AVERAGE(B457:B468)</f>
        <v>22.470966666666669</v>
      </c>
      <c r="C1107" s="14">
        <f t="shared" si="47"/>
        <v>22.477258333333335</v>
      </c>
      <c r="D1107" s="14">
        <f t="shared" si="47"/>
        <v>22.624133333333333</v>
      </c>
      <c r="E1107" s="14">
        <f t="shared" si="47"/>
        <v>22.656549999999999</v>
      </c>
      <c r="F1107" s="14">
        <f t="shared" si="47"/>
        <v>22.457800000000002</v>
      </c>
      <c r="G1107" s="14">
        <f t="shared" si="47"/>
        <v>22.473550000000003</v>
      </c>
      <c r="H1107" s="14">
        <f t="shared" si="47"/>
        <v>22.645675000000001</v>
      </c>
      <c r="I1107" s="14">
        <f t="shared" si="47"/>
        <v>22.548833333333334</v>
      </c>
      <c r="J1107" s="14">
        <f t="shared" si="47"/>
        <v>22.450800000000001</v>
      </c>
      <c r="K1107" s="53">
        <f t="shared" si="47"/>
        <v>22.54495</v>
      </c>
      <c r="L1107" s="14">
        <f t="shared" si="47"/>
        <v>23.232675</v>
      </c>
      <c r="M1107" s="14">
        <f t="shared" si="47"/>
        <v>21.998483333333336</v>
      </c>
      <c r="N1107" s="14">
        <f t="shared" si="47"/>
        <v>22.013925</v>
      </c>
      <c r="O1107" s="14">
        <f t="shared" si="47"/>
        <v>22.189366666666661</v>
      </c>
      <c r="P1107" s="14">
        <f t="shared" si="47"/>
        <v>22.093175000000002</v>
      </c>
      <c r="Q1107" s="14">
        <f t="shared" si="47"/>
        <v>22.784066666666664</v>
      </c>
      <c r="R1107" s="14">
        <f t="shared" si="47"/>
        <v>23.428025000000002</v>
      </c>
      <c r="S1107" s="14">
        <f t="shared" si="47"/>
        <v>21.582849999999997</v>
      </c>
      <c r="T1107" s="49">
        <f>SUM(T457:T468)</f>
        <v>357.24568100000005</v>
      </c>
      <c r="U1107" s="49">
        <f>SUM(U457:U468)</f>
        <v>142.03263249999998</v>
      </c>
      <c r="V1107" s="49">
        <f>SUM(V457:V468)</f>
        <v>50.187500000000007</v>
      </c>
      <c r="W1107" s="49">
        <f>SUM(W457:W468)</f>
        <v>5.0822234999999996</v>
      </c>
      <c r="X1107" s="49">
        <f>SUM(X457:X468)</f>
        <v>20.758966663999999</v>
      </c>
      <c r="Y1107" s="49"/>
      <c r="Z1107" s="55"/>
      <c r="AA1107" s="54"/>
      <c r="AB1107" s="50">
        <f>AVERAGE(AB457:AB468)</f>
        <v>22.497480521031591</v>
      </c>
      <c r="AC1107" s="45">
        <f>AVERAGE(AC457:AC468)</f>
        <v>22.075646043165463</v>
      </c>
    </row>
    <row r="1108" spans="1:29" ht="15.75" x14ac:dyDescent="0.25">
      <c r="A1108" s="10">
        <f t="shared" si="34"/>
        <v>2051</v>
      </c>
      <c r="B1108" s="14">
        <f t="shared" ref="B1108:S1108" si="48">AVERAGE(B469:B480)</f>
        <v>23.321308333333334</v>
      </c>
      <c r="C1108" s="14">
        <f t="shared" si="48"/>
        <v>23.327583333333333</v>
      </c>
      <c r="D1108" s="14">
        <f t="shared" si="48"/>
        <v>23.474458333333331</v>
      </c>
      <c r="E1108" s="14">
        <f t="shared" si="48"/>
        <v>23.506883333333331</v>
      </c>
      <c r="F1108" s="14">
        <f t="shared" si="48"/>
        <v>23.30813333333333</v>
      </c>
      <c r="G1108" s="14">
        <f t="shared" si="48"/>
        <v>23.323891666666668</v>
      </c>
      <c r="H1108" s="14">
        <f t="shared" si="48"/>
        <v>23.495999999999999</v>
      </c>
      <c r="I1108" s="14">
        <f t="shared" si="48"/>
        <v>23.401825000000002</v>
      </c>
      <c r="J1108" s="14">
        <f t="shared" si="48"/>
        <v>23.301133333333329</v>
      </c>
      <c r="K1108" s="53">
        <f t="shared" si="48"/>
        <v>23.397933333333338</v>
      </c>
      <c r="L1108" s="14">
        <f t="shared" si="48"/>
        <v>24.082999999999998</v>
      </c>
      <c r="M1108" s="14">
        <f t="shared" si="48"/>
        <v>22.831408333333329</v>
      </c>
      <c r="N1108" s="14">
        <f t="shared" si="48"/>
        <v>22.846824999999995</v>
      </c>
      <c r="O1108" s="14">
        <f t="shared" si="48"/>
        <v>23.022283333333334</v>
      </c>
      <c r="P1108" s="14">
        <f t="shared" si="48"/>
        <v>22.928666666666661</v>
      </c>
      <c r="Q1108" s="14">
        <f t="shared" si="48"/>
        <v>23.616983333333334</v>
      </c>
      <c r="R1108" s="14">
        <f t="shared" si="48"/>
        <v>24.263016666666669</v>
      </c>
      <c r="S1108" s="14">
        <f t="shared" si="48"/>
        <v>22.399941666666667</v>
      </c>
      <c r="T1108" s="49">
        <f>SUM(T469:T480)</f>
        <v>357.24568100000005</v>
      </c>
      <c r="U1108" s="49">
        <f>SUM(U469:U480)</f>
        <v>142.03263249999998</v>
      </c>
      <c r="V1108" s="49">
        <f>SUM(V469:V480)</f>
        <v>50.187500000000007</v>
      </c>
      <c r="W1108" s="49">
        <f>SUM(W469:W480)</f>
        <v>5.0822234999999996</v>
      </c>
      <c r="X1108" s="49">
        <f>SUM(X469:X480)</f>
        <v>20.758966663999999</v>
      </c>
      <c r="Y1108" s="49"/>
      <c r="Z1108" s="55"/>
      <c r="AA1108" s="54"/>
      <c r="AB1108" s="50">
        <f>AVERAGE(AB469:AB480)</f>
        <v>23.348032683325936</v>
      </c>
      <c r="AC1108" s="45">
        <f>AVERAGE(AC469:AC480)</f>
        <v>22.908933693045565</v>
      </c>
    </row>
    <row r="1109" spans="1:29" ht="15.75" x14ac:dyDescent="0.25">
      <c r="A1109" s="10">
        <f t="shared" si="34"/>
        <v>2052</v>
      </c>
      <c r="B1109" s="14">
        <f t="shared" ref="B1109:S1109" si="49">AVERAGE(B481:B492)</f>
        <v>24.203850000000003</v>
      </c>
      <c r="C1109" s="14">
        <f t="shared" si="49"/>
        <v>24.210125000000001</v>
      </c>
      <c r="D1109" s="14">
        <f t="shared" si="49"/>
        <v>24.356983333333332</v>
      </c>
      <c r="E1109" s="14">
        <f t="shared" si="49"/>
        <v>24.389408333333336</v>
      </c>
      <c r="F1109" s="14">
        <f t="shared" si="49"/>
        <v>24.190674999999999</v>
      </c>
      <c r="G1109" s="14">
        <f t="shared" si="49"/>
        <v>24.206424999999999</v>
      </c>
      <c r="H1109" s="14">
        <f t="shared" si="49"/>
        <v>24.378525</v>
      </c>
      <c r="I1109" s="14">
        <f t="shared" si="49"/>
        <v>24.287141666666667</v>
      </c>
      <c r="J1109" s="14">
        <f t="shared" si="49"/>
        <v>24.183674999999997</v>
      </c>
      <c r="K1109" s="53">
        <f t="shared" si="49"/>
        <v>24.283241666666669</v>
      </c>
      <c r="L1109" s="14">
        <f t="shared" si="49"/>
        <v>24.965525</v>
      </c>
      <c r="M1109" s="14">
        <f t="shared" si="49"/>
        <v>23.695858333333334</v>
      </c>
      <c r="N1109" s="14">
        <f t="shared" si="49"/>
        <v>23.711283333333331</v>
      </c>
      <c r="O1109" s="14">
        <f t="shared" si="49"/>
        <v>23.886733333333336</v>
      </c>
      <c r="P1109" s="14">
        <f t="shared" si="49"/>
        <v>23.795733333333331</v>
      </c>
      <c r="Q1109" s="14">
        <f t="shared" si="49"/>
        <v>24.481433333333332</v>
      </c>
      <c r="R1109" s="14">
        <f t="shared" si="49"/>
        <v>25.129633333333334</v>
      </c>
      <c r="S1109" s="14">
        <f t="shared" si="49"/>
        <v>23.247966666666667</v>
      </c>
      <c r="T1109" s="49">
        <f>SUM(T481:T492)</f>
        <v>358.17703550000004</v>
      </c>
      <c r="U1109" s="49">
        <f>SUM(U481:U492)</f>
        <v>142.42176299999997</v>
      </c>
      <c r="V1109" s="49">
        <f>SUM(V481:V492)</f>
        <v>50.325000000000003</v>
      </c>
      <c r="W1109" s="49">
        <f>SUM(W481:W492)</f>
        <v>5.0961473999999995</v>
      </c>
      <c r="X1109" s="49">
        <f>SUM(X481:X492)</f>
        <v>20.800615543999996</v>
      </c>
      <c r="Y1109" s="49"/>
      <c r="Z1109" s="55"/>
      <c r="AA1109" s="54"/>
      <c r="AB1109" s="50">
        <f>AVERAGE(AB481:AB492)</f>
        <v>24.230799728888851</v>
      </c>
      <c r="AC1109" s="45">
        <f>AVERAGE(AC481:AC492)</f>
        <v>23.773760671462828</v>
      </c>
    </row>
    <row r="1110" spans="1:29" ht="15.75" x14ac:dyDescent="0.25">
      <c r="A1110" s="10">
        <f t="shared" si="34"/>
        <v>2053</v>
      </c>
      <c r="B1110" s="14">
        <f t="shared" ref="B1110:S1110" si="50">AVERAGE(B493:B504)</f>
        <v>25.119783333333331</v>
      </c>
      <c r="C1110" s="14">
        <f t="shared" si="50"/>
        <v>25.126066666666663</v>
      </c>
      <c r="D1110" s="14">
        <f t="shared" si="50"/>
        <v>25.272941666666672</v>
      </c>
      <c r="E1110" s="14">
        <f t="shared" si="50"/>
        <v>25.305374999999998</v>
      </c>
      <c r="F1110" s="14">
        <f t="shared" si="50"/>
        <v>25.106616666666667</v>
      </c>
      <c r="G1110" s="14">
        <f t="shared" si="50"/>
        <v>25.122375000000002</v>
      </c>
      <c r="H1110" s="14">
        <f t="shared" si="50"/>
        <v>25.294483333333332</v>
      </c>
      <c r="I1110" s="14">
        <f t="shared" si="50"/>
        <v>25.205941666666664</v>
      </c>
      <c r="J1110" s="14">
        <f t="shared" si="50"/>
        <v>25.099616666666666</v>
      </c>
      <c r="K1110" s="53">
        <f t="shared" si="50"/>
        <v>25.20205</v>
      </c>
      <c r="L1110" s="14">
        <f t="shared" si="50"/>
        <v>25.881483333333335</v>
      </c>
      <c r="M1110" s="14">
        <f t="shared" si="50"/>
        <v>24.593033333333334</v>
      </c>
      <c r="N1110" s="14">
        <f t="shared" si="50"/>
        <v>24.608466666666668</v>
      </c>
      <c r="O1110" s="14">
        <f t="shared" si="50"/>
        <v>24.783900000000003</v>
      </c>
      <c r="P1110" s="14">
        <f t="shared" si="50"/>
        <v>24.695666666666664</v>
      </c>
      <c r="Q1110" s="14">
        <f t="shared" si="50"/>
        <v>25.378599999999995</v>
      </c>
      <c r="R1110" s="14">
        <f t="shared" si="50"/>
        <v>26.029041666666668</v>
      </c>
      <c r="S1110" s="14">
        <f t="shared" si="50"/>
        <v>24.1281</v>
      </c>
      <c r="T1110" s="49">
        <f>SUM(T493:T504)</f>
        <v>357.24568100000005</v>
      </c>
      <c r="U1110" s="49">
        <f>SUM(U493:U504)</f>
        <v>142.03263249999998</v>
      </c>
      <c r="V1110" s="49">
        <f>SUM(V493:V504)</f>
        <v>50.187500000000007</v>
      </c>
      <c r="W1110" s="49">
        <f>SUM(W493:W504)</f>
        <v>5.0822234999999996</v>
      </c>
      <c r="X1110" s="49">
        <f>SUM(X493:X504)</f>
        <v>20.758966663999999</v>
      </c>
      <c r="Y1110" s="49"/>
      <c r="Z1110" s="55"/>
      <c r="AA1110" s="54"/>
      <c r="AB1110" s="50">
        <f>AVERAGE(AB493:AB504)</f>
        <v>25.146979435205399</v>
      </c>
      <c r="AC1110" s="45">
        <f>AVERAGE(AC493:AC504)</f>
        <v>24.671330695443647</v>
      </c>
    </row>
    <row r="1111" spans="1:29" ht="15.75" x14ac:dyDescent="0.25">
      <c r="A1111" s="10">
        <f t="shared" si="34"/>
        <v>2054</v>
      </c>
      <c r="B1111" s="14">
        <f t="shared" ref="B1111:S1111" si="51">AVERAGE(B505:B516)</f>
        <v>26.070416666666663</v>
      </c>
      <c r="C1111" s="14">
        <f t="shared" si="51"/>
        <v>26.076683333333332</v>
      </c>
      <c r="D1111" s="14">
        <f t="shared" si="51"/>
        <v>26.223574999999997</v>
      </c>
      <c r="E1111" s="14">
        <f t="shared" si="51"/>
        <v>26.25599166666667</v>
      </c>
      <c r="F1111" s="14">
        <f t="shared" si="51"/>
        <v>26.057249999999996</v>
      </c>
      <c r="G1111" s="14">
        <f t="shared" si="51"/>
        <v>26.072999999999997</v>
      </c>
      <c r="H1111" s="14">
        <f t="shared" si="51"/>
        <v>26.245108333333334</v>
      </c>
      <c r="I1111" s="14">
        <f t="shared" si="51"/>
        <v>26.159533333333339</v>
      </c>
      <c r="J1111" s="14">
        <f t="shared" si="51"/>
        <v>26.050250000000005</v>
      </c>
      <c r="K1111" s="53">
        <f t="shared" si="51"/>
        <v>26.155641666666671</v>
      </c>
      <c r="L1111" s="14">
        <f t="shared" si="51"/>
        <v>26.832108333333334</v>
      </c>
      <c r="M1111" s="14">
        <f t="shared" si="51"/>
        <v>25.524166666666662</v>
      </c>
      <c r="N1111" s="14">
        <f t="shared" si="51"/>
        <v>25.539599999999997</v>
      </c>
      <c r="O1111" s="14">
        <f t="shared" si="51"/>
        <v>25.715033333333334</v>
      </c>
      <c r="P1111" s="14">
        <f t="shared" si="51"/>
        <v>25.629683333333332</v>
      </c>
      <c r="Q1111" s="14">
        <f t="shared" si="51"/>
        <v>26.30973333333333</v>
      </c>
      <c r="R1111" s="14">
        <f t="shared" si="51"/>
        <v>26.962516666666669</v>
      </c>
      <c r="S1111" s="14">
        <f t="shared" si="51"/>
        <v>25.041550000000001</v>
      </c>
      <c r="T1111" s="49">
        <f>SUM(T505:T516)</f>
        <v>357.24568100000005</v>
      </c>
      <c r="U1111" s="49">
        <f>SUM(U505:U516)</f>
        <v>142.03263249999998</v>
      </c>
      <c r="V1111" s="49">
        <f>SUM(V505:V516)</f>
        <v>50.187500000000007</v>
      </c>
      <c r="W1111" s="49">
        <f>SUM(W505:W516)</f>
        <v>5.0822234999999996</v>
      </c>
      <c r="X1111" s="49">
        <f>SUM(X505:X516)</f>
        <v>20.758966663999999</v>
      </c>
      <c r="Y1111" s="49"/>
      <c r="Z1111" s="52"/>
      <c r="AA1111" s="51"/>
      <c r="AB1111" s="50">
        <f>AVERAGE(AB505:AB516)</f>
        <v>26.097850293532257</v>
      </c>
      <c r="AC1111" s="45">
        <f>AVERAGE(AC505:AC516)</f>
        <v>25.602880335731413</v>
      </c>
    </row>
    <row r="1112" spans="1:29" ht="15.75" x14ac:dyDescent="0.25">
      <c r="A1112" s="10">
        <f t="shared" si="34"/>
        <v>2055</v>
      </c>
      <c r="B1112" s="14">
        <f t="shared" ref="B1112:S1112" si="52">AVERAGE(B517:B528)</f>
        <v>27.057041666666667</v>
      </c>
      <c r="C1112" s="14">
        <f t="shared" si="52"/>
        <v>27.063283333333342</v>
      </c>
      <c r="D1112" s="14">
        <f t="shared" si="52"/>
        <v>27.210149999999999</v>
      </c>
      <c r="E1112" s="14">
        <f t="shared" si="52"/>
        <v>27.242591666666666</v>
      </c>
      <c r="F1112" s="14">
        <f t="shared" si="52"/>
        <v>27.043858333333333</v>
      </c>
      <c r="G1112" s="14">
        <f t="shared" si="52"/>
        <v>27.0596</v>
      </c>
      <c r="H1112" s="14">
        <f t="shared" si="52"/>
        <v>27.231691666666666</v>
      </c>
      <c r="I1112" s="14">
        <f t="shared" si="52"/>
        <v>27.149249999999999</v>
      </c>
      <c r="J1112" s="14">
        <f t="shared" si="52"/>
        <v>27.036858333333331</v>
      </c>
      <c r="K1112" s="53">
        <f t="shared" si="52"/>
        <v>27.145366666666671</v>
      </c>
      <c r="L1112" s="14">
        <f t="shared" si="52"/>
        <v>27.818691666666666</v>
      </c>
      <c r="M1112" s="14">
        <f t="shared" si="52"/>
        <v>26.490583333333333</v>
      </c>
      <c r="N1112" s="14">
        <f t="shared" si="52"/>
        <v>26.506008333333337</v>
      </c>
      <c r="O1112" s="14">
        <f t="shared" si="52"/>
        <v>26.681449999999998</v>
      </c>
      <c r="P1112" s="14">
        <f t="shared" si="52"/>
        <v>26.599041666666665</v>
      </c>
      <c r="Q1112" s="14">
        <f t="shared" si="52"/>
        <v>27.276149999999991</v>
      </c>
      <c r="R1112" s="14">
        <f t="shared" si="52"/>
        <v>27.931341666666668</v>
      </c>
      <c r="S1112" s="14">
        <f t="shared" si="52"/>
        <v>25.989591666666666</v>
      </c>
      <c r="T1112" s="49">
        <f>SUM(T517:T528)</f>
        <v>357.24568100000005</v>
      </c>
      <c r="U1112" s="49">
        <f>SUM(U517:U528)</f>
        <v>142.03263249999998</v>
      </c>
      <c r="V1112" s="49">
        <f>SUM(V517:V528)</f>
        <v>50.187500000000007</v>
      </c>
      <c r="W1112" s="49">
        <f>SUM(W517:W528)</f>
        <v>5.0822234999999996</v>
      </c>
      <c r="X1112" s="49">
        <f>SUM(X517:X528)</f>
        <v>20.758966663999999</v>
      </c>
      <c r="Y1112" s="49"/>
      <c r="Z1112" s="52"/>
      <c r="AA1112" s="51"/>
      <c r="AB1112" s="50">
        <f>AVERAGE(AB517:AB528)</f>
        <v>27.084711649268105</v>
      </c>
      <c r="AC1112" s="45">
        <f>AVERAGE(AC517:AC528)</f>
        <v>26.569718345323746</v>
      </c>
    </row>
    <row r="1113" spans="1:29" ht="15.75" x14ac:dyDescent="0.25">
      <c r="A1113" s="10">
        <f t="shared" si="34"/>
        <v>2056</v>
      </c>
      <c r="B1113" s="14">
        <f t="shared" ref="B1113:S1113" si="53">AVERAGE(B529:B540)</f>
        <v>28.08100833333333</v>
      </c>
      <c r="C1113" s="14">
        <f t="shared" si="53"/>
        <v>28.087266666666668</v>
      </c>
      <c r="D1113" s="14">
        <f t="shared" si="53"/>
        <v>28.234124999999995</v>
      </c>
      <c r="E1113" s="14">
        <f t="shared" si="53"/>
        <v>28.266575</v>
      </c>
      <c r="F1113" s="14">
        <f t="shared" si="53"/>
        <v>28.067833333333336</v>
      </c>
      <c r="G1113" s="14">
        <f t="shared" si="53"/>
        <v>28.083574999999996</v>
      </c>
      <c r="H1113" s="14">
        <f t="shared" si="53"/>
        <v>28.255666666666666</v>
      </c>
      <c r="I1113" s="14">
        <f t="shared" si="53"/>
        <v>28.176408333333338</v>
      </c>
      <c r="J1113" s="14">
        <f t="shared" si="53"/>
        <v>28.060833333333335</v>
      </c>
      <c r="K1113" s="53">
        <f t="shared" si="53"/>
        <v>28.172524999999997</v>
      </c>
      <c r="L1113" s="14">
        <f t="shared" si="53"/>
        <v>28.842666666666673</v>
      </c>
      <c r="M1113" s="14">
        <f t="shared" si="53"/>
        <v>27.49356666666667</v>
      </c>
      <c r="N1113" s="14">
        <f t="shared" si="53"/>
        <v>27.50899166666667</v>
      </c>
      <c r="O1113" s="14">
        <f t="shared" si="53"/>
        <v>27.684416666666667</v>
      </c>
      <c r="P1113" s="14">
        <f t="shared" si="53"/>
        <v>27.605116666666664</v>
      </c>
      <c r="Q1113" s="14">
        <f t="shared" si="53"/>
        <v>28.279116666666663</v>
      </c>
      <c r="R1113" s="14">
        <f t="shared" si="53"/>
        <v>28.936824999999995</v>
      </c>
      <c r="S1113" s="14">
        <f t="shared" si="53"/>
        <v>26.973508333333331</v>
      </c>
      <c r="T1113" s="49">
        <f>SUM(T529:T540)</f>
        <v>358.17703550000004</v>
      </c>
      <c r="U1113" s="49">
        <f>SUM(U529:U540)</f>
        <v>142.42176299999997</v>
      </c>
      <c r="V1113" s="49">
        <f>SUM(V529:V540)</f>
        <v>50.325000000000003</v>
      </c>
      <c r="W1113" s="49">
        <f>SUM(W529:W540)</f>
        <v>5.0961473999999995</v>
      </c>
      <c r="X1113" s="49">
        <f>SUM(X529:X540)</f>
        <v>20.800615543999996</v>
      </c>
      <c r="Y1113" s="49"/>
      <c r="Z1113" s="52"/>
      <c r="AA1113" s="51"/>
      <c r="AB1113" s="50">
        <f>AVERAGE(AB529:AB540)</f>
        <v>28.108949271787736</v>
      </c>
      <c r="AC1113" s="45">
        <f>AVERAGE(AC529:AC540)</f>
        <v>27.573141846522784</v>
      </c>
    </row>
    <row r="1114" spans="1:29" ht="15.75" x14ac:dyDescent="0.25">
      <c r="A1114" s="10">
        <f t="shared" si="34"/>
        <v>2057</v>
      </c>
      <c r="B1114" s="14">
        <f t="shared" ref="B1114:S1114" si="54">AVERAGE(B541:B552)</f>
        <v>29.143716666666666</v>
      </c>
      <c r="C1114" s="14">
        <f t="shared" si="54"/>
        <v>29.149999999999995</v>
      </c>
      <c r="D1114" s="14">
        <f t="shared" si="54"/>
        <v>29.296875000000004</v>
      </c>
      <c r="E1114" s="14">
        <f t="shared" si="54"/>
        <v>29.329291666666666</v>
      </c>
      <c r="F1114" s="14">
        <f t="shared" si="54"/>
        <v>29.130549999999999</v>
      </c>
      <c r="G1114" s="14">
        <f t="shared" si="54"/>
        <v>29.146291666666666</v>
      </c>
      <c r="H1114" s="14">
        <f t="shared" si="54"/>
        <v>29.318416666666668</v>
      </c>
      <c r="I1114" s="14">
        <f t="shared" si="54"/>
        <v>29.242475000000002</v>
      </c>
      <c r="J1114" s="14">
        <f t="shared" si="54"/>
        <v>29.123549999999994</v>
      </c>
      <c r="K1114" s="53">
        <f t="shared" si="54"/>
        <v>29.238583333333334</v>
      </c>
      <c r="L1114" s="14">
        <f t="shared" si="54"/>
        <v>29.905416666666671</v>
      </c>
      <c r="M1114" s="14">
        <f t="shared" si="54"/>
        <v>28.534525000000002</v>
      </c>
      <c r="N1114" s="14">
        <f t="shared" si="54"/>
        <v>28.549966666666673</v>
      </c>
      <c r="O1114" s="14">
        <f t="shared" si="54"/>
        <v>28.725391666666667</v>
      </c>
      <c r="P1114" s="14">
        <f t="shared" si="54"/>
        <v>28.649249999999999</v>
      </c>
      <c r="Q1114" s="14">
        <f t="shared" si="54"/>
        <v>29.320091666666666</v>
      </c>
      <c r="R1114" s="14">
        <f t="shared" si="54"/>
        <v>29.980399999999999</v>
      </c>
      <c r="S1114" s="14">
        <f t="shared" si="54"/>
        <v>27.994716666666662</v>
      </c>
      <c r="T1114" s="49">
        <f>SUM(T541:T552)</f>
        <v>357.24568100000005</v>
      </c>
      <c r="U1114" s="49">
        <f>SUM(U541:U552)</f>
        <v>142.03263249999998</v>
      </c>
      <c r="V1114" s="49">
        <f>SUM(V541:V552)</f>
        <v>50.187500000000007</v>
      </c>
      <c r="W1114" s="49">
        <f>SUM(W541:W552)</f>
        <v>5.0822234999999996</v>
      </c>
      <c r="X1114" s="49">
        <f>SUM(X541:X552)</f>
        <v>20.758966663999999</v>
      </c>
      <c r="Y1114" s="49"/>
      <c r="Z1114" s="52"/>
      <c r="AA1114" s="51"/>
      <c r="AB1114" s="50">
        <f>AVERAGE(AB541:AB552)</f>
        <v>29.171948460298463</v>
      </c>
      <c r="AC1114" s="45">
        <f>AVERAGE(AC541:AC552)</f>
        <v>28.614564088729015</v>
      </c>
    </row>
    <row r="1115" spans="1:29" ht="15.75" x14ac:dyDescent="0.25">
      <c r="A1115" s="10">
        <f t="shared" si="34"/>
        <v>2058</v>
      </c>
      <c r="B1115" s="14">
        <f t="shared" ref="B1115:S1115" si="55">AVERAGE(B553:B564)</f>
        <v>30.24669166666666</v>
      </c>
      <c r="C1115" s="14">
        <f t="shared" si="55"/>
        <v>30.252983333333333</v>
      </c>
      <c r="D1115" s="14">
        <f t="shared" si="55"/>
        <v>30.399849999999997</v>
      </c>
      <c r="E1115" s="14">
        <f t="shared" si="55"/>
        <v>30.432275000000001</v>
      </c>
      <c r="F1115" s="14">
        <f t="shared" si="55"/>
        <v>30.233525</v>
      </c>
      <c r="G1115" s="14">
        <f t="shared" si="55"/>
        <v>30.249283333333334</v>
      </c>
      <c r="H1115" s="14">
        <f t="shared" si="55"/>
        <v>30.421391666666668</v>
      </c>
      <c r="I1115" s="14">
        <f t="shared" si="55"/>
        <v>30.3489</v>
      </c>
      <c r="J1115" s="14">
        <f t="shared" si="55"/>
        <v>30.226525000000006</v>
      </c>
      <c r="K1115" s="53">
        <f t="shared" si="55"/>
        <v>30.344999999999999</v>
      </c>
      <c r="L1115" s="14">
        <f t="shared" si="55"/>
        <v>31.008391666666672</v>
      </c>
      <c r="M1115" s="14">
        <f t="shared" si="55"/>
        <v>29.614891666666676</v>
      </c>
      <c r="N1115" s="14">
        <f t="shared" si="55"/>
        <v>29.630333333333329</v>
      </c>
      <c r="O1115" s="14">
        <f t="shared" si="55"/>
        <v>29.80575833333333</v>
      </c>
      <c r="P1115" s="14">
        <f t="shared" si="55"/>
        <v>29.732941666666672</v>
      </c>
      <c r="Q1115" s="14">
        <f t="shared" si="55"/>
        <v>30.400458333333333</v>
      </c>
      <c r="R1115" s="14">
        <f t="shared" si="55"/>
        <v>31.06345833333333</v>
      </c>
      <c r="S1115" s="14">
        <f t="shared" si="55"/>
        <v>29.054533333333335</v>
      </c>
      <c r="T1115" s="49">
        <f>SUM(T553:T564)</f>
        <v>357.24568100000005</v>
      </c>
      <c r="U1115" s="49">
        <f>SUM(U553:U564)</f>
        <v>142.03263249999998</v>
      </c>
      <c r="V1115" s="49">
        <f>SUM(V553:V564)</f>
        <v>50.187500000000007</v>
      </c>
      <c r="W1115" s="49">
        <f>SUM(W553:W564)</f>
        <v>5.0822234999999996</v>
      </c>
      <c r="X1115" s="49">
        <f>SUM(X553:X564)</f>
        <v>20.758966663999999</v>
      </c>
      <c r="Y1115" s="49"/>
      <c r="Z1115" s="52"/>
      <c r="AA1115" s="51"/>
      <c r="AB1115" s="50">
        <f>AVERAGE(AB553:AB564)</f>
        <v>30.275212041928643</v>
      </c>
      <c r="AC1115" s="45">
        <f>AVERAGE(AC553:AC564)</f>
        <v>29.695410611510795</v>
      </c>
    </row>
    <row r="1116" spans="1:29" ht="15.75" x14ac:dyDescent="0.25">
      <c r="A1116" s="10">
        <f t="shared" si="34"/>
        <v>2059</v>
      </c>
      <c r="B1116" s="14">
        <f t="shared" ref="B1116:S1116" si="56">AVERAGE(B565:B576)</f>
        <v>31.391416666666668</v>
      </c>
      <c r="C1116" s="14">
        <f t="shared" si="56"/>
        <v>31.397699999999997</v>
      </c>
      <c r="D1116" s="14">
        <f t="shared" si="56"/>
        <v>31.544566666666665</v>
      </c>
      <c r="E1116" s="14">
        <f t="shared" si="56"/>
        <v>31.577000000000002</v>
      </c>
      <c r="F1116" s="14">
        <f t="shared" si="56"/>
        <v>31.378258333333335</v>
      </c>
      <c r="G1116" s="14">
        <f t="shared" si="56"/>
        <v>31.394016666666669</v>
      </c>
      <c r="H1116" s="14">
        <f t="shared" si="56"/>
        <v>31.566108333333332</v>
      </c>
      <c r="I1116" s="14">
        <f t="shared" si="56"/>
        <v>31.497225</v>
      </c>
      <c r="J1116" s="14">
        <f t="shared" si="56"/>
        <v>31.371258333333333</v>
      </c>
      <c r="K1116" s="53">
        <f t="shared" si="56"/>
        <v>31.493333333333336</v>
      </c>
      <c r="L1116" s="14">
        <f t="shared" si="56"/>
        <v>32.153108333333329</v>
      </c>
      <c r="M1116" s="14">
        <f t="shared" si="56"/>
        <v>30.736166666666666</v>
      </c>
      <c r="N1116" s="14">
        <f t="shared" si="56"/>
        <v>30.751583333333329</v>
      </c>
      <c r="O1116" s="14">
        <f t="shared" si="56"/>
        <v>30.927033333333338</v>
      </c>
      <c r="P1116" s="14">
        <f t="shared" si="56"/>
        <v>30.857650000000003</v>
      </c>
      <c r="Q1116" s="14">
        <f t="shared" si="56"/>
        <v>31.521733333333334</v>
      </c>
      <c r="R1116" s="14">
        <f t="shared" si="56"/>
        <v>32.187549999999995</v>
      </c>
      <c r="S1116" s="14">
        <f t="shared" si="56"/>
        <v>30.154508333333336</v>
      </c>
      <c r="T1116" s="49">
        <f>SUM(T565:T576)</f>
        <v>357.24568100000005</v>
      </c>
      <c r="U1116" s="49">
        <f>SUM(U565:U576)</f>
        <v>142.03263249999998</v>
      </c>
      <c r="V1116" s="49">
        <f>SUM(V565:V576)</f>
        <v>50.187500000000007</v>
      </c>
      <c r="W1116" s="49">
        <f>SUM(W565:W576)</f>
        <v>5.0822234999999996</v>
      </c>
      <c r="X1116" s="49">
        <f>SUM(X565:X576)</f>
        <v>20.758966663999999</v>
      </c>
      <c r="Y1116" s="49"/>
      <c r="Z1116" s="14"/>
      <c r="AA1116" s="14"/>
      <c r="AB1116" s="50">
        <f>AVERAGE(AB565:AB576)</f>
        <v>31.420234893439343</v>
      </c>
      <c r="AC1116" s="45">
        <f>AVERAGE(AC565:AC576)</f>
        <v>30.817176738609117</v>
      </c>
    </row>
    <row r="1117" spans="1:29" ht="15.75" x14ac:dyDescent="0.25">
      <c r="A1117" s="10">
        <f t="shared" si="34"/>
        <v>2060</v>
      </c>
      <c r="B1117" s="14">
        <f t="shared" ref="B1117:S1117" si="57">AVERAGE(B577:B588)</f>
        <v>32.579483333333329</v>
      </c>
      <c r="C1117" s="14">
        <f t="shared" si="57"/>
        <v>32.585758333333338</v>
      </c>
      <c r="D1117" s="14">
        <f t="shared" si="57"/>
        <v>32.732633333333332</v>
      </c>
      <c r="E1117" s="14">
        <f t="shared" si="57"/>
        <v>32.765066666666677</v>
      </c>
      <c r="F1117" s="14">
        <f t="shared" si="57"/>
        <v>32.566316666666665</v>
      </c>
      <c r="G1117" s="14">
        <f t="shared" si="57"/>
        <v>32.582066666666663</v>
      </c>
      <c r="H1117" s="14">
        <f t="shared" si="57"/>
        <v>32.754175000000004</v>
      </c>
      <c r="I1117" s="14">
        <f t="shared" si="57"/>
        <v>32.689008333333334</v>
      </c>
      <c r="J1117" s="14">
        <f t="shared" si="57"/>
        <v>32.559316666666668</v>
      </c>
      <c r="K1117" s="53">
        <f t="shared" si="57"/>
        <v>32.685108333333332</v>
      </c>
      <c r="L1117" s="14">
        <f t="shared" si="57"/>
        <v>33.341175</v>
      </c>
      <c r="M1117" s="14">
        <f t="shared" si="57"/>
        <v>31.899891666666662</v>
      </c>
      <c r="N1117" s="14">
        <f t="shared" si="57"/>
        <v>31.915324999999996</v>
      </c>
      <c r="O1117" s="14">
        <f t="shared" si="57"/>
        <v>32.090758333333333</v>
      </c>
      <c r="P1117" s="14">
        <f t="shared" si="57"/>
        <v>32.024949999999997</v>
      </c>
      <c r="Q1117" s="14">
        <f t="shared" si="57"/>
        <v>32.685458333333337</v>
      </c>
      <c r="R1117" s="14">
        <f t="shared" si="57"/>
        <v>33.354166666666664</v>
      </c>
      <c r="S1117" s="14">
        <f t="shared" si="57"/>
        <v>31.296125000000004</v>
      </c>
      <c r="T1117" s="49">
        <f>SUM(T577:T588)</f>
        <v>358.17703550000004</v>
      </c>
      <c r="U1117" s="49">
        <f>SUM(U577:U588)</f>
        <v>142.42176299999997</v>
      </c>
      <c r="V1117" s="49">
        <f>SUM(V577:V588)</f>
        <v>50.325000000000003</v>
      </c>
      <c r="W1117" s="49">
        <f>SUM(W577:W588)</f>
        <v>5.0961473999999995</v>
      </c>
      <c r="X1117" s="49">
        <f>SUM(X577:X588)</f>
        <v>20.800615543999996</v>
      </c>
      <c r="Y1117" s="49"/>
      <c r="Z1117" s="52"/>
      <c r="AA1117" s="51"/>
      <c r="AB1117" s="50">
        <f>AVERAGE(AB577:AB588)</f>
        <v>32.608600948720813</v>
      </c>
      <c r="AC1117" s="45">
        <f>AVERAGE(AC577:AC588)</f>
        <v>31.981417086330946</v>
      </c>
    </row>
    <row r="1118" spans="1:29" ht="15.75" x14ac:dyDescent="0.25">
      <c r="A1118" s="10">
        <f t="shared" si="34"/>
        <v>2061</v>
      </c>
      <c r="B1118" s="14">
        <f t="shared" ref="B1118:S1118" si="58">AVERAGE(B589:B600)</f>
        <v>33.812533333333334</v>
      </c>
      <c r="C1118" s="14">
        <f t="shared" si="58"/>
        <v>33.818808333333337</v>
      </c>
      <c r="D1118" s="14">
        <f t="shared" si="58"/>
        <v>33.965699999999998</v>
      </c>
      <c r="E1118" s="14">
        <f t="shared" si="58"/>
        <v>33.998116666666668</v>
      </c>
      <c r="F1118" s="14">
        <f t="shared" si="58"/>
        <v>33.799358333333331</v>
      </c>
      <c r="G1118" s="14">
        <f t="shared" si="58"/>
        <v>33.815125000000002</v>
      </c>
      <c r="H1118" s="14">
        <f t="shared" si="58"/>
        <v>33.987225000000002</v>
      </c>
      <c r="I1118" s="14">
        <f t="shared" si="58"/>
        <v>33.925925000000007</v>
      </c>
      <c r="J1118" s="14">
        <f t="shared" si="58"/>
        <v>33.792358333333333</v>
      </c>
      <c r="K1118" s="53">
        <f t="shared" si="58"/>
        <v>33.922033333333331</v>
      </c>
      <c r="L1118" s="14">
        <f t="shared" si="58"/>
        <v>34.574224999999998</v>
      </c>
      <c r="M1118" s="14">
        <f t="shared" si="58"/>
        <v>33.107666666666667</v>
      </c>
      <c r="N1118" s="14">
        <f t="shared" si="58"/>
        <v>33.123108333333334</v>
      </c>
      <c r="O1118" s="14">
        <f t="shared" si="58"/>
        <v>33.298541666666665</v>
      </c>
      <c r="P1118" s="14">
        <f t="shared" si="58"/>
        <v>33.236441666666664</v>
      </c>
      <c r="Q1118" s="14">
        <f t="shared" si="58"/>
        <v>33.893241666666668</v>
      </c>
      <c r="R1118" s="14">
        <f t="shared" si="58"/>
        <v>34.564983333333338</v>
      </c>
      <c r="S1118" s="14">
        <f t="shared" si="58"/>
        <v>32.480958333333334</v>
      </c>
      <c r="T1118" s="49">
        <f>SUM(T589:T600)</f>
        <v>357.24568100000005</v>
      </c>
      <c r="U1118" s="49">
        <f>SUM(U589:U600)</f>
        <v>142.03263249999998</v>
      </c>
      <c r="V1118" s="49">
        <f>SUM(V589:V600)</f>
        <v>50.187500000000007</v>
      </c>
      <c r="W1118" s="49">
        <f>SUM(W589:W600)</f>
        <v>5.0822234999999996</v>
      </c>
      <c r="X1118" s="49">
        <f>SUM(X589:X600)</f>
        <v>20.758966663999999</v>
      </c>
      <c r="Y1118" s="49"/>
      <c r="Z1118" s="52"/>
      <c r="AA1118" s="51"/>
      <c r="AB1118" s="50">
        <f>AVERAGE(AB589:AB600)</f>
        <v>33.841969667162097</v>
      </c>
      <c r="AC1118" s="45">
        <f>AVERAGE(AC589:AC600)</f>
        <v>33.189731115107911</v>
      </c>
    </row>
    <row r="1119" spans="1:29" ht="15" x14ac:dyDescent="0.2">
      <c r="A1119" s="10">
        <f t="shared" si="34"/>
        <v>2062</v>
      </c>
      <c r="B1119" s="14">
        <f t="shared" ref="B1119:K1128" ca="1" si="59">AVERAGE(OFFSET(B$601,($A1119-$A$1119)*12,0,12,1))</f>
        <v>35.092283333333334</v>
      </c>
      <c r="C1119" s="14">
        <f t="shared" ca="1" si="59"/>
        <v>35.098533333333336</v>
      </c>
      <c r="D1119" s="14">
        <f t="shared" ca="1" si="59"/>
        <v>35.245399999999997</v>
      </c>
      <c r="E1119" s="14">
        <f t="shared" ca="1" si="59"/>
        <v>35.277825</v>
      </c>
      <c r="F1119" s="14">
        <f t="shared" ca="1" si="59"/>
        <v>35.07910833333333</v>
      </c>
      <c r="G1119" s="14">
        <f t="shared" ca="1" si="59"/>
        <v>35.094850000000001</v>
      </c>
      <c r="H1119" s="14">
        <f t="shared" ca="1" si="59"/>
        <v>35.266941666666661</v>
      </c>
      <c r="I1119" s="14">
        <f t="shared" ca="1" si="59"/>
        <v>35.209650000000003</v>
      </c>
      <c r="J1119" s="14">
        <f t="shared" ca="1" si="59"/>
        <v>35.072108333333333</v>
      </c>
      <c r="K1119" s="14">
        <f t="shared" ca="1" si="59"/>
        <v>35.205766666666669</v>
      </c>
      <c r="L1119" s="14">
        <f t="shared" ref="L1119:S1128" ca="1" si="60">AVERAGE(OFFSET(L$601,($A1119-$A$1119)*12,0,12,1))</f>
        <v>35.853941666666671</v>
      </c>
      <c r="M1119" s="14">
        <f t="shared" ca="1" si="60"/>
        <v>34.361183333333337</v>
      </c>
      <c r="N1119" s="14">
        <f t="shared" ca="1" si="60"/>
        <v>34.37660833333333</v>
      </c>
      <c r="O1119" s="14">
        <f t="shared" ca="1" si="60"/>
        <v>34.552050000000001</v>
      </c>
      <c r="P1119" s="14">
        <f t="shared" ca="1" si="60"/>
        <v>34.493783333333333</v>
      </c>
      <c r="Q1119" s="14">
        <f t="shared" ca="1" si="60"/>
        <v>35.146750000000004</v>
      </c>
      <c r="R1119" s="14">
        <f t="shared" ca="1" si="60"/>
        <v>35.821624999999997</v>
      </c>
      <c r="S1119" s="14">
        <f t="shared" ca="1" si="60"/>
        <v>33.710658333333328</v>
      </c>
      <c r="T1119" s="49">
        <f t="shared" ref="T1119:X1128" ca="1" si="61">SUM(OFFSET(T$601,($A1119-$A$1119)*12,0,12,1))</f>
        <v>357.24568100000005</v>
      </c>
      <c r="U1119" s="49">
        <f t="shared" ca="1" si="61"/>
        <v>142.03263249999998</v>
      </c>
      <c r="V1119" s="49">
        <f t="shared" ca="1" si="61"/>
        <v>50.187500000000007</v>
      </c>
      <c r="W1119" s="49">
        <f t="shared" ca="1" si="61"/>
        <v>5.0822234999999996</v>
      </c>
      <c r="X1119" s="49">
        <f t="shared" ca="1" si="61"/>
        <v>20.758966663999999</v>
      </c>
      <c r="Y1119" s="14"/>
      <c r="Z1119" s="14"/>
      <c r="AA1119" s="14"/>
      <c r="AB1119" s="14">
        <f t="shared" ref="AB1119:AC1138" ca="1" si="62">AVERAGE(OFFSET(AB$601,($A1119-$A$1119)*12,0,12,1))</f>
        <v>35.12203132732818</v>
      </c>
      <c r="AC1119" s="14">
        <f t="shared" ca="1" si="62"/>
        <v>34.467658153477224</v>
      </c>
    </row>
    <row r="1120" spans="1:29" ht="15" x14ac:dyDescent="0.2">
      <c r="A1120" s="10">
        <f t="shared" si="34"/>
        <v>2063</v>
      </c>
      <c r="B1120" s="14">
        <f t="shared" ca="1" si="59"/>
        <v>36.420449999999995</v>
      </c>
      <c r="C1120" s="14">
        <f t="shared" ca="1" si="59"/>
        <v>36.426716666666671</v>
      </c>
      <c r="D1120" s="14">
        <f t="shared" ca="1" si="59"/>
        <v>36.573591666666665</v>
      </c>
      <c r="E1120" s="14">
        <f t="shared" ca="1" si="59"/>
        <v>36.606008333333335</v>
      </c>
      <c r="F1120" s="14">
        <f t="shared" ca="1" si="59"/>
        <v>36.407266666666665</v>
      </c>
      <c r="G1120" s="14">
        <f t="shared" ca="1" si="59"/>
        <v>36.423033333333336</v>
      </c>
      <c r="H1120" s="14">
        <f t="shared" ca="1" si="59"/>
        <v>36.595125000000003</v>
      </c>
      <c r="I1120" s="14">
        <f t="shared" ca="1" si="59"/>
        <v>36.541991666666668</v>
      </c>
      <c r="J1120" s="14">
        <f t="shared" ca="1" si="59"/>
        <v>36.400266666666667</v>
      </c>
      <c r="K1120" s="14">
        <f t="shared" ca="1" si="59"/>
        <v>36.538091666666666</v>
      </c>
      <c r="L1120" s="14">
        <f t="shared" ca="1" si="60"/>
        <v>37.182125000000006</v>
      </c>
      <c r="M1120" s="14">
        <f t="shared" ca="1" si="60"/>
        <v>35.662133333333337</v>
      </c>
      <c r="N1120" s="14">
        <f t="shared" ca="1" si="60"/>
        <v>35.677591666666672</v>
      </c>
      <c r="O1120" s="14">
        <f t="shared" ca="1" si="60"/>
        <v>35.853008333333335</v>
      </c>
      <c r="P1120" s="14">
        <f t="shared" ca="1" si="60"/>
        <v>35.798749999999998</v>
      </c>
      <c r="Q1120" s="14">
        <f t="shared" ca="1" si="60"/>
        <v>36.447708333333331</v>
      </c>
      <c r="R1120" s="14">
        <f t="shared" ca="1" si="60"/>
        <v>37.125824999999999</v>
      </c>
      <c r="S1120" s="14">
        <f t="shared" ca="1" si="60"/>
        <v>34.986899999999999</v>
      </c>
      <c r="T1120" s="49">
        <f t="shared" ca="1" si="61"/>
        <v>357.24568100000005</v>
      </c>
      <c r="U1120" s="49">
        <f t="shared" ca="1" si="61"/>
        <v>142.03263249999998</v>
      </c>
      <c r="V1120" s="49">
        <f t="shared" ca="1" si="61"/>
        <v>50.187500000000007</v>
      </c>
      <c r="W1120" s="49">
        <f t="shared" ca="1" si="61"/>
        <v>5.0822234999999996</v>
      </c>
      <c r="X1120" s="49">
        <f t="shared" ca="1" si="61"/>
        <v>20.758966663999999</v>
      </c>
      <c r="Y1120" s="14"/>
      <c r="Z1120" s="14"/>
      <c r="AA1120" s="14"/>
      <c r="AB1120" s="14">
        <f t="shared" ca="1" si="62"/>
        <v>36.450549593593685</v>
      </c>
      <c r="AC1120" s="14">
        <f t="shared" ca="1" si="62"/>
        <v>35.769191786570744</v>
      </c>
    </row>
    <row r="1121" spans="1:29" ht="15" x14ac:dyDescent="0.2">
      <c r="A1121" s="10">
        <f t="shared" si="34"/>
        <v>2064</v>
      </c>
      <c r="B1121" s="14">
        <f t="shared" ca="1" si="59"/>
        <v>37.798900000000003</v>
      </c>
      <c r="C1121" s="14">
        <f t="shared" ca="1" si="59"/>
        <v>37.805191666666666</v>
      </c>
      <c r="D1121" s="14">
        <f t="shared" ca="1" si="59"/>
        <v>37.952066666666667</v>
      </c>
      <c r="E1121" s="14">
        <f t="shared" ca="1" si="59"/>
        <v>37.984474999999996</v>
      </c>
      <c r="F1121" s="14">
        <f t="shared" ca="1" si="59"/>
        <v>37.785733333333333</v>
      </c>
      <c r="G1121" s="14">
        <f t="shared" ca="1" si="59"/>
        <v>37.801499999999997</v>
      </c>
      <c r="H1121" s="14">
        <f t="shared" ca="1" si="59"/>
        <v>37.973599999999998</v>
      </c>
      <c r="I1121" s="14">
        <f t="shared" ca="1" si="59"/>
        <v>37.924775000000004</v>
      </c>
      <c r="J1121" s="14">
        <f t="shared" ca="1" si="59"/>
        <v>37.778733333333328</v>
      </c>
      <c r="K1121" s="14">
        <f t="shared" ca="1" si="59"/>
        <v>37.920874999999995</v>
      </c>
      <c r="L1121" s="14">
        <f t="shared" ca="1" si="60"/>
        <v>38.560600000000001</v>
      </c>
      <c r="M1121" s="14">
        <f t="shared" ca="1" si="60"/>
        <v>37.012374999999999</v>
      </c>
      <c r="N1121" s="14">
        <f t="shared" ca="1" si="60"/>
        <v>37.027799999999999</v>
      </c>
      <c r="O1121" s="14">
        <f t="shared" ca="1" si="60"/>
        <v>37.203241666666663</v>
      </c>
      <c r="P1121" s="14">
        <f t="shared" ca="1" si="60"/>
        <v>37.153100000000002</v>
      </c>
      <c r="Q1121" s="14">
        <f t="shared" ca="1" si="60"/>
        <v>37.797941666666667</v>
      </c>
      <c r="R1121" s="14">
        <f t="shared" ca="1" si="60"/>
        <v>38.479441666666659</v>
      </c>
      <c r="S1121" s="14">
        <f t="shared" ca="1" si="60"/>
        <v>36.311458333333334</v>
      </c>
      <c r="T1121" s="49">
        <f t="shared" ca="1" si="61"/>
        <v>358.17703550000004</v>
      </c>
      <c r="U1121" s="49">
        <f t="shared" ca="1" si="61"/>
        <v>142.42176299999997</v>
      </c>
      <c r="V1121" s="49">
        <f t="shared" ca="1" si="61"/>
        <v>50.325000000000003</v>
      </c>
      <c r="W1121" s="49">
        <f t="shared" ca="1" si="61"/>
        <v>5.0961473999999995</v>
      </c>
      <c r="X1121" s="49">
        <f t="shared" ca="1" si="61"/>
        <v>20.800615543999996</v>
      </c>
      <c r="Y1121" s="14"/>
      <c r="Z1121" s="14"/>
      <c r="AA1121" s="14"/>
      <c r="AB1121" s="14">
        <f t="shared" ca="1" si="62"/>
        <v>37.82937231035401</v>
      </c>
      <c r="AC1121" s="14">
        <f t="shared" ca="1" si="62"/>
        <v>37.120018884892097</v>
      </c>
    </row>
    <row r="1122" spans="1:29" ht="15" x14ac:dyDescent="0.2">
      <c r="A1122" s="10">
        <f t="shared" si="34"/>
        <v>2065</v>
      </c>
      <c r="B1122" s="14">
        <f t="shared" ca="1" si="59"/>
        <v>39.229566666666663</v>
      </c>
      <c r="C1122" s="14">
        <f t="shared" ca="1" si="59"/>
        <v>39.235833333333332</v>
      </c>
      <c r="D1122" s="14">
        <f t="shared" ca="1" si="59"/>
        <v>39.38271666666666</v>
      </c>
      <c r="E1122" s="14">
        <f t="shared" ca="1" si="59"/>
        <v>39.415133333333337</v>
      </c>
      <c r="F1122" s="14">
        <f t="shared" ca="1" si="59"/>
        <v>39.216391666666659</v>
      </c>
      <c r="G1122" s="14">
        <f t="shared" ca="1" si="59"/>
        <v>39.232158333333338</v>
      </c>
      <c r="H1122" s="14">
        <f t="shared" ca="1" si="59"/>
        <v>39.404258333333331</v>
      </c>
      <c r="I1122" s="14">
        <f t="shared" ca="1" si="59"/>
        <v>39.359891666666663</v>
      </c>
      <c r="J1122" s="14">
        <f t="shared" ca="1" si="59"/>
        <v>39.209391666666662</v>
      </c>
      <c r="K1122" s="14">
        <f t="shared" ca="1" si="59"/>
        <v>39.356016666666669</v>
      </c>
      <c r="L1122" s="14">
        <f t="shared" ca="1" si="60"/>
        <v>39.991258333333327</v>
      </c>
      <c r="M1122" s="14">
        <f t="shared" ca="1" si="60"/>
        <v>38.413716666666666</v>
      </c>
      <c r="N1122" s="14">
        <f t="shared" ca="1" si="60"/>
        <v>38.429141666666666</v>
      </c>
      <c r="O1122" s="14">
        <f t="shared" ca="1" si="60"/>
        <v>38.604575000000004</v>
      </c>
      <c r="P1122" s="14">
        <f t="shared" ca="1" si="60"/>
        <v>38.558741666666663</v>
      </c>
      <c r="Q1122" s="14">
        <f t="shared" ca="1" si="60"/>
        <v>39.199275</v>
      </c>
      <c r="R1122" s="14">
        <f t="shared" ca="1" si="60"/>
        <v>39.884266666666655</v>
      </c>
      <c r="S1122" s="14">
        <f t="shared" ca="1" si="60"/>
        <v>37.686183333333325</v>
      </c>
      <c r="T1122" s="49">
        <f t="shared" ca="1" si="61"/>
        <v>357.24568100000005</v>
      </c>
      <c r="U1122" s="49">
        <f t="shared" ca="1" si="61"/>
        <v>142.03263249999998</v>
      </c>
      <c r="V1122" s="49">
        <f t="shared" ca="1" si="61"/>
        <v>50.187500000000007</v>
      </c>
      <c r="W1122" s="49">
        <f t="shared" ca="1" si="61"/>
        <v>5.0822234999999996</v>
      </c>
      <c r="X1122" s="49">
        <f t="shared" ca="1" si="61"/>
        <v>20.758966663999999</v>
      </c>
      <c r="Y1122" s="14"/>
      <c r="Z1122" s="14"/>
      <c r="AA1122" s="14"/>
      <c r="AB1122" s="14">
        <f t="shared" ca="1" si="62"/>
        <v>39.26039465993307</v>
      </c>
      <c r="AC1122" s="14">
        <f t="shared" ca="1" si="62"/>
        <v>38.521975479616295</v>
      </c>
    </row>
    <row r="1123" spans="1:29" ht="15" x14ac:dyDescent="0.2">
      <c r="A1123" s="10">
        <f t="shared" si="34"/>
        <v>2066</v>
      </c>
      <c r="B1123" s="14">
        <f t="shared" ca="1" si="59"/>
        <v>40.714399999999998</v>
      </c>
      <c r="C1123" s="14">
        <f t="shared" ca="1" si="59"/>
        <v>40.720675000000007</v>
      </c>
      <c r="D1123" s="14">
        <f t="shared" ca="1" si="59"/>
        <v>40.867541666666661</v>
      </c>
      <c r="E1123" s="14">
        <f t="shared" ca="1" si="59"/>
        <v>40.899974999999998</v>
      </c>
      <c r="F1123" s="14">
        <f t="shared" ca="1" si="59"/>
        <v>40.70121666666666</v>
      </c>
      <c r="G1123" s="14">
        <f t="shared" ca="1" si="59"/>
        <v>40.716983333333339</v>
      </c>
      <c r="H1123" s="14">
        <f t="shared" ca="1" si="59"/>
        <v>40.889074999999998</v>
      </c>
      <c r="I1123" s="14">
        <f t="shared" ca="1" si="59"/>
        <v>40.849391666666669</v>
      </c>
      <c r="J1123" s="14">
        <f t="shared" ca="1" si="59"/>
        <v>40.694216666666655</v>
      </c>
      <c r="K1123" s="14">
        <f t="shared" ca="1" si="59"/>
        <v>40.845491666666675</v>
      </c>
      <c r="L1123" s="14">
        <f t="shared" ca="1" si="60"/>
        <v>41.476075000000002</v>
      </c>
      <c r="M1123" s="14">
        <f t="shared" ca="1" si="60"/>
        <v>39.868116666666673</v>
      </c>
      <c r="N1123" s="14">
        <f t="shared" ca="1" si="60"/>
        <v>39.883533333333332</v>
      </c>
      <c r="O1123" s="14">
        <f t="shared" ca="1" si="60"/>
        <v>40.058991666666664</v>
      </c>
      <c r="P1123" s="14">
        <f t="shared" ca="1" si="60"/>
        <v>40.017616666666662</v>
      </c>
      <c r="Q1123" s="14">
        <f t="shared" ca="1" si="60"/>
        <v>40.653691666666667</v>
      </c>
      <c r="R1123" s="14">
        <f t="shared" ca="1" si="60"/>
        <v>41.342308333333335</v>
      </c>
      <c r="S1123" s="14">
        <f t="shared" ca="1" si="60"/>
        <v>39.112941666666664</v>
      </c>
      <c r="T1123" s="49">
        <f t="shared" ca="1" si="61"/>
        <v>357.24568100000005</v>
      </c>
      <c r="U1123" s="49">
        <f t="shared" ca="1" si="61"/>
        <v>142.03263249999998</v>
      </c>
      <c r="V1123" s="49">
        <f t="shared" ca="1" si="61"/>
        <v>50.187500000000007</v>
      </c>
      <c r="W1123" s="49">
        <f t="shared" ca="1" si="61"/>
        <v>5.0822234999999996</v>
      </c>
      <c r="X1123" s="49">
        <f t="shared" ca="1" si="61"/>
        <v>20.758966663999999</v>
      </c>
      <c r="Y1123" s="14"/>
      <c r="Z1123" s="14"/>
      <c r="AA1123" s="14"/>
      <c r="AB1123" s="14">
        <f t="shared" ca="1" si="62"/>
        <v>40.745610081142267</v>
      </c>
      <c r="AC1123" s="14">
        <f t="shared" ca="1" si="62"/>
        <v>39.977026438848924</v>
      </c>
    </row>
    <row r="1124" spans="1:29" ht="15" x14ac:dyDescent="0.2">
      <c r="A1124" s="10">
        <f t="shared" si="34"/>
        <v>2067</v>
      </c>
      <c r="B1124" s="14">
        <f t="shared" ca="1" si="59"/>
        <v>42.255424999999995</v>
      </c>
      <c r="C1124" s="14">
        <f t="shared" ca="1" si="59"/>
        <v>42.261700000000005</v>
      </c>
      <c r="D1124" s="14">
        <f t="shared" ca="1" si="59"/>
        <v>42.408575000000006</v>
      </c>
      <c r="E1124" s="14">
        <f t="shared" ca="1" si="59"/>
        <v>42.440975000000002</v>
      </c>
      <c r="F1124" s="14">
        <f t="shared" ca="1" si="59"/>
        <v>42.242249999999999</v>
      </c>
      <c r="G1124" s="14">
        <f t="shared" ca="1" si="59"/>
        <v>42.258016666666663</v>
      </c>
      <c r="H1124" s="14">
        <f t="shared" ca="1" si="59"/>
        <v>42.430100000000003</v>
      </c>
      <c r="I1124" s="14">
        <f t="shared" ca="1" si="59"/>
        <v>42.395249999999997</v>
      </c>
      <c r="J1124" s="14">
        <f t="shared" ca="1" si="59"/>
        <v>42.235249999999994</v>
      </c>
      <c r="K1124" s="14">
        <f t="shared" ca="1" si="59"/>
        <v>42.391358333333329</v>
      </c>
      <c r="L1124" s="14">
        <f t="shared" ca="1" si="60"/>
        <v>43.017099999999999</v>
      </c>
      <c r="M1124" s="14">
        <f t="shared" ca="1" si="60"/>
        <v>41.377575</v>
      </c>
      <c r="N1124" s="14">
        <f t="shared" ca="1" si="60"/>
        <v>41.392991666666667</v>
      </c>
      <c r="O1124" s="14">
        <f t="shared" ca="1" si="60"/>
        <v>41.568441666666672</v>
      </c>
      <c r="P1124" s="14">
        <f t="shared" ca="1" si="60"/>
        <v>41.531700000000008</v>
      </c>
      <c r="Q1124" s="14">
        <f t="shared" ca="1" si="60"/>
        <v>42.163141666666668</v>
      </c>
      <c r="R1124" s="14">
        <f t="shared" ca="1" si="60"/>
        <v>42.855533333333334</v>
      </c>
      <c r="S1124" s="14">
        <f t="shared" ca="1" si="60"/>
        <v>40.593708333333332</v>
      </c>
      <c r="T1124" s="49">
        <f t="shared" ca="1" si="61"/>
        <v>357.24568100000005</v>
      </c>
      <c r="U1124" s="49">
        <f t="shared" ca="1" si="61"/>
        <v>142.03263249999998</v>
      </c>
      <c r="V1124" s="49">
        <f t="shared" ca="1" si="61"/>
        <v>50.187500000000007</v>
      </c>
      <c r="W1124" s="49">
        <f t="shared" ca="1" si="61"/>
        <v>5.0822234999999996</v>
      </c>
      <c r="X1124" s="49">
        <f t="shared" ca="1" si="61"/>
        <v>20.758966663999999</v>
      </c>
      <c r="Y1124" s="14"/>
      <c r="Z1124" s="14"/>
      <c r="AA1124" s="14"/>
      <c r="AB1124" s="14">
        <f t="shared" ca="1" si="62"/>
        <v>42.287036645879795</v>
      </c>
      <c r="AC1124" s="14">
        <f t="shared" ca="1" si="62"/>
        <v>41.487146462829742</v>
      </c>
    </row>
    <row r="1125" spans="1:29" ht="15" x14ac:dyDescent="0.2">
      <c r="A1125" s="10">
        <f t="shared" si="34"/>
        <v>2068</v>
      </c>
      <c r="B1125" s="14">
        <f t="shared" ca="1" si="59"/>
        <v>43.854808333333331</v>
      </c>
      <c r="C1125" s="14">
        <f t="shared" ca="1" si="59"/>
        <v>43.861075</v>
      </c>
      <c r="D1125" s="14">
        <f t="shared" ca="1" si="59"/>
        <v>44.00794166666666</v>
      </c>
      <c r="E1125" s="14">
        <f t="shared" ca="1" si="59"/>
        <v>44.040366666666664</v>
      </c>
      <c r="F1125" s="14">
        <f t="shared" ca="1" si="59"/>
        <v>43.841641666666675</v>
      </c>
      <c r="G1125" s="14">
        <f t="shared" ca="1" si="59"/>
        <v>43.857383333333331</v>
      </c>
      <c r="H1125" s="14">
        <f t="shared" ca="1" si="59"/>
        <v>44.029475000000012</v>
      </c>
      <c r="I1125" s="14">
        <f t="shared" ca="1" si="59"/>
        <v>43.999625000000002</v>
      </c>
      <c r="J1125" s="14">
        <f t="shared" ca="1" si="59"/>
        <v>43.83464166666667</v>
      </c>
      <c r="K1125" s="14">
        <f t="shared" ca="1" si="59"/>
        <v>43.995725</v>
      </c>
      <c r="L1125" s="14">
        <f t="shared" ca="1" si="60"/>
        <v>44.616475000000008</v>
      </c>
      <c r="M1125" s="14">
        <f t="shared" ca="1" si="60"/>
        <v>42.944166666666668</v>
      </c>
      <c r="N1125" s="14">
        <f t="shared" ca="1" si="60"/>
        <v>42.959608333333335</v>
      </c>
      <c r="O1125" s="14">
        <f t="shared" ca="1" si="60"/>
        <v>43.135050000000007</v>
      </c>
      <c r="P1125" s="14">
        <f t="shared" ca="1" si="60"/>
        <v>43.103116666666672</v>
      </c>
      <c r="Q1125" s="14">
        <f t="shared" ca="1" si="60"/>
        <v>43.729749999999996</v>
      </c>
      <c r="R1125" s="14">
        <f t="shared" ca="1" si="60"/>
        <v>44.426066666666664</v>
      </c>
      <c r="S1125" s="14">
        <f t="shared" ca="1" si="60"/>
        <v>42.130558333333333</v>
      </c>
      <c r="T1125" s="49">
        <f t="shared" ca="1" si="61"/>
        <v>358.17703550000004</v>
      </c>
      <c r="U1125" s="49">
        <f t="shared" ca="1" si="61"/>
        <v>142.42176299999997</v>
      </c>
      <c r="V1125" s="49">
        <f t="shared" ca="1" si="61"/>
        <v>50.325000000000003</v>
      </c>
      <c r="W1125" s="49">
        <f t="shared" ca="1" si="61"/>
        <v>5.0961473999999995</v>
      </c>
      <c r="X1125" s="49">
        <f t="shared" ca="1" si="61"/>
        <v>20.800615543999996</v>
      </c>
      <c r="Y1125" s="14"/>
      <c r="Z1125" s="14"/>
      <c r="AA1125" s="14"/>
      <c r="AB1125" s="14">
        <f t="shared" ca="1" si="62"/>
        <v>43.886828339280278</v>
      </c>
      <c r="AC1125" s="14">
        <f t="shared" ca="1" si="62"/>
        <v>43.054441366906474</v>
      </c>
    </row>
    <row r="1126" spans="1:29" ht="15" x14ac:dyDescent="0.2">
      <c r="A1126" s="10">
        <f t="shared" si="34"/>
        <v>2069</v>
      </c>
      <c r="B1126" s="14">
        <f t="shared" ca="1" si="59"/>
        <v>45.514725000000006</v>
      </c>
      <c r="C1126" s="14">
        <f t="shared" ca="1" si="59"/>
        <v>45.520991666666667</v>
      </c>
      <c r="D1126" s="14">
        <f t="shared" ca="1" si="59"/>
        <v>45.667883333333329</v>
      </c>
      <c r="E1126" s="14">
        <f t="shared" ca="1" si="59"/>
        <v>45.700283333333324</v>
      </c>
      <c r="F1126" s="14">
        <f t="shared" ca="1" si="59"/>
        <v>45.501558333333328</v>
      </c>
      <c r="G1126" s="14">
        <f t="shared" ca="1" si="59"/>
        <v>45.517316666666659</v>
      </c>
      <c r="H1126" s="14">
        <f t="shared" ca="1" si="59"/>
        <v>45.689416666666659</v>
      </c>
      <c r="I1126" s="14">
        <f t="shared" ca="1" si="59"/>
        <v>45.664749999999998</v>
      </c>
      <c r="J1126" s="14">
        <f t="shared" ca="1" si="59"/>
        <v>45.494558333333337</v>
      </c>
      <c r="K1126" s="14">
        <f t="shared" ca="1" si="59"/>
        <v>45.660874999999997</v>
      </c>
      <c r="L1126" s="14">
        <f t="shared" ca="1" si="60"/>
        <v>46.27641666666667</v>
      </c>
      <c r="M1126" s="14">
        <f t="shared" ca="1" si="60"/>
        <v>44.570083333333336</v>
      </c>
      <c r="N1126" s="14">
        <f t="shared" ca="1" si="60"/>
        <v>44.585524999999997</v>
      </c>
      <c r="O1126" s="14">
        <f t="shared" ca="1" si="60"/>
        <v>44.760966666666668</v>
      </c>
      <c r="P1126" s="14">
        <f t="shared" ca="1" si="60"/>
        <v>44.734008333333342</v>
      </c>
      <c r="Q1126" s="14">
        <f t="shared" ca="1" si="60"/>
        <v>45.355666666666671</v>
      </c>
      <c r="R1126" s="14">
        <f t="shared" ca="1" si="60"/>
        <v>46.056041666666665</v>
      </c>
      <c r="S1126" s="14">
        <f t="shared" ca="1" si="60"/>
        <v>43.725608333333334</v>
      </c>
      <c r="T1126" s="49">
        <f t="shared" ca="1" si="61"/>
        <v>357.24568100000005</v>
      </c>
      <c r="U1126" s="49">
        <f t="shared" ca="1" si="61"/>
        <v>142.03263249999998</v>
      </c>
      <c r="V1126" s="49">
        <f t="shared" ca="1" si="61"/>
        <v>50.187500000000007</v>
      </c>
      <c r="W1126" s="49">
        <f t="shared" ca="1" si="61"/>
        <v>5.0822234999999996</v>
      </c>
      <c r="X1126" s="49">
        <f t="shared" ca="1" si="61"/>
        <v>20.758966663999999</v>
      </c>
      <c r="Y1126" s="14"/>
      <c r="Z1126" s="14"/>
      <c r="AA1126" s="14"/>
      <c r="AB1126" s="14">
        <f t="shared" ca="1" si="62"/>
        <v>45.547179079177653</v>
      </c>
      <c r="AC1126" s="14">
        <f t="shared" ca="1" si="62"/>
        <v>44.681073860911276</v>
      </c>
    </row>
    <row r="1127" spans="1:29" ht="15" x14ac:dyDescent="0.2">
      <c r="A1127" s="10">
        <f t="shared" ref="A1127:A1157" si="63">A1126+1</f>
        <v>2070</v>
      </c>
      <c r="B1127" s="14">
        <f t="shared" ca="1" si="59"/>
        <v>47.237508333333345</v>
      </c>
      <c r="C1127" s="14">
        <f t="shared" ca="1" si="59"/>
        <v>47.24376666666668</v>
      </c>
      <c r="D1127" s="14">
        <f t="shared" ca="1" si="59"/>
        <v>47.390658333333334</v>
      </c>
      <c r="E1127" s="14">
        <f t="shared" ca="1" si="59"/>
        <v>47.423075000000004</v>
      </c>
      <c r="F1127" s="14">
        <f t="shared" ca="1" si="59"/>
        <v>47.224349999999994</v>
      </c>
      <c r="G1127" s="14">
        <f t="shared" ca="1" si="59"/>
        <v>47.240091666666672</v>
      </c>
      <c r="H1127" s="14">
        <f t="shared" ca="1" si="59"/>
        <v>47.412200000000006</v>
      </c>
      <c r="I1127" s="14">
        <f t="shared" ca="1" si="59"/>
        <v>47.392941666666665</v>
      </c>
      <c r="J1127" s="14">
        <f t="shared" ca="1" si="59"/>
        <v>47.217349999999989</v>
      </c>
      <c r="K1127" s="14">
        <f t="shared" ca="1" si="59"/>
        <v>47.389041666666678</v>
      </c>
      <c r="L1127" s="14">
        <f t="shared" ca="1" si="60"/>
        <v>47.999199999999995</v>
      </c>
      <c r="M1127" s="14">
        <f t="shared" ca="1" si="60"/>
        <v>46.25757500000001</v>
      </c>
      <c r="N1127" s="14">
        <f t="shared" ca="1" si="60"/>
        <v>46.273024999999997</v>
      </c>
      <c r="O1127" s="14">
        <f t="shared" ca="1" si="60"/>
        <v>46.448441666666668</v>
      </c>
      <c r="P1127" s="14">
        <f t="shared" ca="1" si="60"/>
        <v>46.426666666666669</v>
      </c>
      <c r="Q1127" s="14">
        <f t="shared" ca="1" si="60"/>
        <v>47.043141666666656</v>
      </c>
      <c r="R1127" s="14">
        <f t="shared" ca="1" si="60"/>
        <v>47.747758333333337</v>
      </c>
      <c r="S1127" s="14">
        <f t="shared" ca="1" si="60"/>
        <v>45.381024999999994</v>
      </c>
      <c r="T1127" s="49">
        <f t="shared" ca="1" si="61"/>
        <v>357.24568100000005</v>
      </c>
      <c r="U1127" s="49">
        <f t="shared" ca="1" si="61"/>
        <v>142.03263249999998</v>
      </c>
      <c r="V1127" s="49">
        <f t="shared" ca="1" si="61"/>
        <v>50.187500000000007</v>
      </c>
      <c r="W1127" s="49">
        <f t="shared" ca="1" si="61"/>
        <v>5.0822234999999996</v>
      </c>
      <c r="X1127" s="49">
        <f t="shared" ca="1" si="61"/>
        <v>20.758966663999999</v>
      </c>
      <c r="Y1127" s="14"/>
      <c r="Z1127" s="14"/>
      <c r="AA1127" s="14"/>
      <c r="AB1127" s="14">
        <f t="shared" ca="1" si="62"/>
        <v>47.270406647410908</v>
      </c>
      <c r="AC1127" s="14">
        <f t="shared" ca="1" si="62"/>
        <v>46.36930185851319</v>
      </c>
    </row>
    <row r="1128" spans="1:29" ht="15" x14ac:dyDescent="0.2">
      <c r="A1128" s="10">
        <f t="shared" si="63"/>
        <v>2071</v>
      </c>
      <c r="B1128" s="14">
        <f t="shared" ca="1" si="59"/>
        <v>49.025500000000001</v>
      </c>
      <c r="C1128" s="14">
        <f t="shared" ca="1" si="59"/>
        <v>49.031791666666663</v>
      </c>
      <c r="D1128" s="14">
        <f t="shared" ca="1" si="59"/>
        <v>49.178666666666665</v>
      </c>
      <c r="E1128" s="14">
        <f t="shared" ca="1" si="59"/>
        <v>49.211083333333328</v>
      </c>
      <c r="F1128" s="14">
        <f t="shared" ca="1" si="59"/>
        <v>49.012341666666664</v>
      </c>
      <c r="G1128" s="14">
        <f t="shared" ca="1" si="59"/>
        <v>49.028083333333335</v>
      </c>
      <c r="H1128" s="14">
        <f t="shared" ca="1" si="59"/>
        <v>49.200208333333336</v>
      </c>
      <c r="I1128" s="14">
        <f t="shared" ca="1" si="59"/>
        <v>49.18652500000001</v>
      </c>
      <c r="J1128" s="14">
        <f t="shared" ca="1" si="59"/>
        <v>49.005341666666673</v>
      </c>
      <c r="K1128" s="14">
        <f t="shared" ca="1" si="59"/>
        <v>49.182649999999995</v>
      </c>
      <c r="L1128" s="14">
        <f t="shared" ca="1" si="60"/>
        <v>49.787208333333346</v>
      </c>
      <c r="M1128" s="14">
        <f t="shared" ca="1" si="60"/>
        <v>48.008933333333339</v>
      </c>
      <c r="N1128" s="14">
        <f t="shared" ca="1" si="60"/>
        <v>48.024358333333332</v>
      </c>
      <c r="O1128" s="14">
        <f t="shared" ca="1" si="60"/>
        <v>48.19980833333333</v>
      </c>
      <c r="P1128" s="14">
        <f t="shared" ca="1" si="60"/>
        <v>48.183399999999999</v>
      </c>
      <c r="Q1128" s="14">
        <f t="shared" ca="1" si="60"/>
        <v>48.794508333333333</v>
      </c>
      <c r="R1128" s="14">
        <f t="shared" ca="1" si="60"/>
        <v>49.503516666666663</v>
      </c>
      <c r="S1128" s="14">
        <f t="shared" ca="1" si="60"/>
        <v>47.099108333333334</v>
      </c>
      <c r="T1128" s="49">
        <f t="shared" ca="1" si="61"/>
        <v>357.24568100000005</v>
      </c>
      <c r="U1128" s="49">
        <f t="shared" ca="1" si="61"/>
        <v>142.03263249999998</v>
      </c>
      <c r="V1128" s="49">
        <f t="shared" ca="1" si="61"/>
        <v>50.187500000000007</v>
      </c>
      <c r="W1128" s="49">
        <f t="shared" ca="1" si="61"/>
        <v>5.0822234999999996</v>
      </c>
      <c r="X1128" s="49">
        <f t="shared" ca="1" si="61"/>
        <v>20.758966663999999</v>
      </c>
      <c r="Y1128" s="14"/>
      <c r="Z1128" s="14"/>
      <c r="AA1128" s="14"/>
      <c r="AB1128" s="14">
        <f t="shared" ca="1" si="62"/>
        <v>49.058868322105958</v>
      </c>
      <c r="AC1128" s="14">
        <f t="shared" ca="1" si="62"/>
        <v>48.121435911270986</v>
      </c>
    </row>
    <row r="1129" spans="1:29" ht="15" x14ac:dyDescent="0.2">
      <c r="A1129" s="10">
        <f t="shared" si="63"/>
        <v>2072</v>
      </c>
      <c r="B1129" s="14">
        <f t="shared" ref="B1129:K1138" ca="1" si="64">AVERAGE(OFFSET(B$601,($A1129-$A$1119)*12,0,12,1))</f>
        <v>50.88120833333334</v>
      </c>
      <c r="C1129" s="14">
        <f t="shared" ca="1" si="64"/>
        <v>50.887475000000016</v>
      </c>
      <c r="D1129" s="14">
        <f t="shared" ca="1" si="64"/>
        <v>51.034350000000011</v>
      </c>
      <c r="E1129" s="14">
        <f t="shared" ca="1" si="64"/>
        <v>51.066775</v>
      </c>
      <c r="F1129" s="14">
        <f t="shared" ca="1" si="64"/>
        <v>50.868033333333329</v>
      </c>
      <c r="G1129" s="14">
        <f t="shared" ca="1" si="64"/>
        <v>50.883783333333334</v>
      </c>
      <c r="H1129" s="14">
        <f t="shared" ca="1" si="64"/>
        <v>51.055891666666668</v>
      </c>
      <c r="I1129" s="14">
        <f t="shared" ca="1" si="64"/>
        <v>51.048033333333329</v>
      </c>
      <c r="J1129" s="14">
        <f t="shared" ca="1" si="64"/>
        <v>50.861033333333332</v>
      </c>
      <c r="K1129" s="14">
        <f t="shared" ca="1" si="64"/>
        <v>51.044133333333328</v>
      </c>
      <c r="L1129" s="14">
        <f t="shared" ref="L1129:S1138" ca="1" si="65">AVERAGE(OFFSET(L$601,($A1129-$A$1119)*12,0,12,1))</f>
        <v>51.642891666666664</v>
      </c>
      <c r="M1129" s="14">
        <f t="shared" ca="1" si="65"/>
        <v>49.826600000000006</v>
      </c>
      <c r="N1129" s="14">
        <f t="shared" ca="1" si="65"/>
        <v>49.84203333333334</v>
      </c>
      <c r="O1129" s="14">
        <f t="shared" ca="1" si="65"/>
        <v>50.017491666666672</v>
      </c>
      <c r="P1129" s="14">
        <f t="shared" ca="1" si="65"/>
        <v>50.006675000000001</v>
      </c>
      <c r="Q1129" s="14">
        <f t="shared" ca="1" si="65"/>
        <v>50.612191666666661</v>
      </c>
      <c r="R1129" s="14">
        <f t="shared" ca="1" si="65"/>
        <v>51.325691666666671</v>
      </c>
      <c r="S1129" s="14">
        <f t="shared" ca="1" si="65"/>
        <v>48.882233333333339</v>
      </c>
      <c r="T1129" s="49">
        <f t="shared" ref="T1129:X1138" ca="1" si="66">SUM(OFFSET(T$601,($A1129-$A$1119)*12,0,12,1))</f>
        <v>358.17703550000004</v>
      </c>
      <c r="U1129" s="49">
        <f t="shared" ca="1" si="66"/>
        <v>142.42176299999997</v>
      </c>
      <c r="V1129" s="49">
        <f t="shared" ca="1" si="66"/>
        <v>50.325000000000003</v>
      </c>
      <c r="W1129" s="49">
        <f t="shared" ca="1" si="66"/>
        <v>5.0961473999999995</v>
      </c>
      <c r="X1129" s="49">
        <f t="shared" ca="1" si="66"/>
        <v>20.800615543999996</v>
      </c>
      <c r="Y1129" s="14"/>
      <c r="Z1129" s="14"/>
      <c r="AA1129" s="14"/>
      <c r="AB1129" s="14">
        <f t="shared" ca="1" si="62"/>
        <v>50.915040416477545</v>
      </c>
      <c r="AC1129" s="14">
        <f t="shared" ca="1" si="62"/>
        <v>49.939917565947241</v>
      </c>
    </row>
    <row r="1130" spans="1:29" ht="15" x14ac:dyDescent="0.2">
      <c r="A1130" s="10">
        <f t="shared" si="63"/>
        <v>2073</v>
      </c>
      <c r="B1130" s="14">
        <f t="shared" ca="1" si="64"/>
        <v>52.807141666666666</v>
      </c>
      <c r="C1130" s="14">
        <f t="shared" ca="1" si="64"/>
        <v>52.813425000000002</v>
      </c>
      <c r="D1130" s="14">
        <f t="shared" ca="1" si="64"/>
        <v>52.96029166666667</v>
      </c>
      <c r="E1130" s="14">
        <f t="shared" ca="1" si="64"/>
        <v>52.992725</v>
      </c>
      <c r="F1130" s="14">
        <f t="shared" ca="1" si="64"/>
        <v>52.793966666666655</v>
      </c>
      <c r="G1130" s="14">
        <f t="shared" ca="1" si="64"/>
        <v>52.809724999999993</v>
      </c>
      <c r="H1130" s="14">
        <f t="shared" ca="1" si="64"/>
        <v>52.981833333333327</v>
      </c>
      <c r="I1130" s="14">
        <f t="shared" ca="1" si="64"/>
        <v>52.980033333333331</v>
      </c>
      <c r="J1130" s="14">
        <f t="shared" ca="1" si="64"/>
        <v>52.786966666666672</v>
      </c>
      <c r="K1130" s="14">
        <f t="shared" ca="1" si="64"/>
        <v>52.976133333333337</v>
      </c>
      <c r="L1130" s="14">
        <f t="shared" ca="1" si="65"/>
        <v>53.568833333333338</v>
      </c>
      <c r="M1130" s="14">
        <f t="shared" ca="1" si="65"/>
        <v>51.713108333333338</v>
      </c>
      <c r="N1130" s="14">
        <f t="shared" ca="1" si="65"/>
        <v>51.728533333333331</v>
      </c>
      <c r="O1130" s="14">
        <f t="shared" ca="1" si="65"/>
        <v>51.903983333333322</v>
      </c>
      <c r="P1130" s="14">
        <f t="shared" ca="1" si="65"/>
        <v>51.898924999999991</v>
      </c>
      <c r="Q1130" s="14">
        <f t="shared" ca="1" si="65"/>
        <v>52.498683333333332</v>
      </c>
      <c r="R1130" s="14">
        <f t="shared" ca="1" si="65"/>
        <v>53.216908333333343</v>
      </c>
      <c r="S1130" s="14">
        <f t="shared" ca="1" si="65"/>
        <v>50.732883333333326</v>
      </c>
      <c r="T1130" s="49">
        <f t="shared" ca="1" si="66"/>
        <v>357.24568100000005</v>
      </c>
      <c r="U1130" s="49">
        <f t="shared" ca="1" si="66"/>
        <v>142.03263249999998</v>
      </c>
      <c r="V1130" s="49">
        <f t="shared" ca="1" si="66"/>
        <v>50.187500000000007</v>
      </c>
      <c r="W1130" s="49">
        <f t="shared" ca="1" si="66"/>
        <v>5.0822234999999996</v>
      </c>
      <c r="X1130" s="49">
        <f t="shared" ca="1" si="66"/>
        <v>20.758966663999999</v>
      </c>
      <c r="Y1130" s="14"/>
      <c r="Z1130" s="14"/>
      <c r="AA1130" s="14"/>
      <c r="AB1130" s="14">
        <f t="shared" ca="1" si="62"/>
        <v>52.841480569190701</v>
      </c>
      <c r="AC1130" s="14">
        <f t="shared" ca="1" si="62"/>
        <v>51.827244004796171</v>
      </c>
    </row>
    <row r="1131" spans="1:29" ht="15" x14ac:dyDescent="0.2">
      <c r="A1131" s="10">
        <f t="shared" si="63"/>
        <v>2074</v>
      </c>
      <c r="B1131" s="14">
        <f t="shared" ca="1" si="64"/>
        <v>54.806033333333339</v>
      </c>
      <c r="C1131" s="14">
        <f t="shared" ca="1" si="64"/>
        <v>54.81229166666666</v>
      </c>
      <c r="D1131" s="14">
        <f t="shared" ca="1" si="64"/>
        <v>54.959150000000001</v>
      </c>
      <c r="E1131" s="14">
        <f t="shared" ca="1" si="64"/>
        <v>54.991599999999998</v>
      </c>
      <c r="F1131" s="14">
        <f t="shared" ca="1" si="64"/>
        <v>54.792849999999994</v>
      </c>
      <c r="G1131" s="14">
        <f t="shared" ca="1" si="64"/>
        <v>54.808608333333332</v>
      </c>
      <c r="H1131" s="14">
        <f t="shared" ca="1" si="64"/>
        <v>54.980699999999992</v>
      </c>
      <c r="I1131" s="14">
        <f t="shared" ca="1" si="64"/>
        <v>54.985141666666664</v>
      </c>
      <c r="J1131" s="14">
        <f t="shared" ca="1" si="64"/>
        <v>54.785850000000011</v>
      </c>
      <c r="K1131" s="14">
        <f t="shared" ca="1" si="64"/>
        <v>54.98126666666667</v>
      </c>
      <c r="L1131" s="14">
        <f t="shared" ca="1" si="65"/>
        <v>55.567699999999995</v>
      </c>
      <c r="M1131" s="14">
        <f t="shared" ca="1" si="65"/>
        <v>53.670991666666673</v>
      </c>
      <c r="N1131" s="14">
        <f t="shared" ca="1" si="65"/>
        <v>53.686458333333327</v>
      </c>
      <c r="O1131" s="14">
        <f t="shared" ca="1" si="65"/>
        <v>53.861883333333331</v>
      </c>
      <c r="P1131" s="14">
        <f t="shared" ca="1" si="65"/>
        <v>53.862858333333342</v>
      </c>
      <c r="Q1131" s="14">
        <f t="shared" ca="1" si="65"/>
        <v>54.456583333333327</v>
      </c>
      <c r="R1131" s="14">
        <f t="shared" ca="1" si="65"/>
        <v>55.179708333333338</v>
      </c>
      <c r="S1131" s="14">
        <f t="shared" ca="1" si="65"/>
        <v>52.653616666666665</v>
      </c>
      <c r="T1131" s="49">
        <f t="shared" ca="1" si="66"/>
        <v>357.24568100000005</v>
      </c>
      <c r="U1131" s="49">
        <f t="shared" ca="1" si="66"/>
        <v>142.03263249999998</v>
      </c>
      <c r="V1131" s="49">
        <f t="shared" ca="1" si="66"/>
        <v>50.187500000000007</v>
      </c>
      <c r="W1131" s="49">
        <f t="shared" ca="1" si="66"/>
        <v>5.0822234999999996</v>
      </c>
      <c r="X1131" s="49">
        <f t="shared" ca="1" si="66"/>
        <v>20.758966663999999</v>
      </c>
      <c r="Y1131" s="14"/>
      <c r="Z1131" s="14"/>
      <c r="AA1131" s="14"/>
      <c r="AB1131" s="14">
        <f t="shared" ca="1" si="62"/>
        <v>54.840870605115661</v>
      </c>
      <c r="AC1131" s="14">
        <f t="shared" ca="1" si="62"/>
        <v>53.786007793764988</v>
      </c>
    </row>
    <row r="1132" spans="1:29" ht="15" x14ac:dyDescent="0.2">
      <c r="A1132" s="10">
        <f t="shared" si="63"/>
        <v>2075</v>
      </c>
      <c r="B1132" s="14">
        <f t="shared" ca="1" si="64"/>
        <v>56.880549999999992</v>
      </c>
      <c r="C1132" s="14">
        <f t="shared" ca="1" si="64"/>
        <v>56.886825000000009</v>
      </c>
      <c r="D1132" s="14">
        <f t="shared" ca="1" si="64"/>
        <v>57.03371666666667</v>
      </c>
      <c r="E1132" s="14">
        <f t="shared" ca="1" si="64"/>
        <v>57.06613333333334</v>
      </c>
      <c r="F1132" s="14">
        <f t="shared" ca="1" si="64"/>
        <v>56.867383333333343</v>
      </c>
      <c r="G1132" s="14">
        <f t="shared" ca="1" si="64"/>
        <v>56.883133333333326</v>
      </c>
      <c r="H1132" s="14">
        <f t="shared" ca="1" si="64"/>
        <v>57.055258333333335</v>
      </c>
      <c r="I1132" s="14">
        <f t="shared" ca="1" si="64"/>
        <v>57.066200000000002</v>
      </c>
      <c r="J1132" s="14">
        <f t="shared" ca="1" si="64"/>
        <v>56.860383333333345</v>
      </c>
      <c r="K1132" s="14">
        <f t="shared" ca="1" si="64"/>
        <v>57.0623</v>
      </c>
      <c r="L1132" s="14">
        <f t="shared" ca="1" si="65"/>
        <v>57.642258333333331</v>
      </c>
      <c r="M1132" s="14">
        <f t="shared" ca="1" si="65"/>
        <v>55.703041666666671</v>
      </c>
      <c r="N1132" s="14">
        <f t="shared" ca="1" si="65"/>
        <v>55.718491666666665</v>
      </c>
      <c r="O1132" s="14">
        <f t="shared" ca="1" si="65"/>
        <v>55.893925000000003</v>
      </c>
      <c r="P1132" s="14">
        <f t="shared" ca="1" si="65"/>
        <v>55.901116666666667</v>
      </c>
      <c r="Q1132" s="14">
        <f t="shared" ca="1" si="65"/>
        <v>56.488625000000006</v>
      </c>
      <c r="R1132" s="14">
        <f t="shared" ca="1" si="65"/>
        <v>57.216833333333341</v>
      </c>
      <c r="S1132" s="14">
        <f t="shared" ca="1" si="65"/>
        <v>54.647008333333332</v>
      </c>
      <c r="T1132" s="49">
        <f t="shared" ca="1" si="66"/>
        <v>357.24568100000005</v>
      </c>
      <c r="U1132" s="49">
        <f t="shared" ca="1" si="66"/>
        <v>142.03263249999998</v>
      </c>
      <c r="V1132" s="49">
        <f t="shared" ca="1" si="66"/>
        <v>50.187500000000007</v>
      </c>
      <c r="W1132" s="49">
        <f t="shared" ca="1" si="66"/>
        <v>5.0822234999999996</v>
      </c>
      <c r="X1132" s="49">
        <f t="shared" ca="1" si="66"/>
        <v>20.758966663999999</v>
      </c>
      <c r="Y1132" s="14"/>
      <c r="Z1132" s="14"/>
      <c r="AA1132" s="14"/>
      <c r="AB1132" s="14">
        <f t="shared" ca="1" si="62"/>
        <v>56.915941626685715</v>
      </c>
      <c r="AC1132" s="14">
        <f t="shared" ca="1" si="62"/>
        <v>55.81894634292567</v>
      </c>
    </row>
    <row r="1133" spans="1:29" ht="15" x14ac:dyDescent="0.2">
      <c r="A1133" s="10">
        <f t="shared" si="63"/>
        <v>2076</v>
      </c>
      <c r="B1133" s="14">
        <f t="shared" ca="1" si="64"/>
        <v>59.033649999999994</v>
      </c>
      <c r="C1133" s="14">
        <f t="shared" ca="1" si="64"/>
        <v>59.039916666666663</v>
      </c>
      <c r="D1133" s="14">
        <f t="shared" ca="1" si="64"/>
        <v>59.186791666666657</v>
      </c>
      <c r="E1133" s="14">
        <f t="shared" ca="1" si="64"/>
        <v>59.219216666666682</v>
      </c>
      <c r="F1133" s="14">
        <f t="shared" ca="1" si="64"/>
        <v>59.020466666666664</v>
      </c>
      <c r="G1133" s="14">
        <f t="shared" ca="1" si="64"/>
        <v>59.036233333333342</v>
      </c>
      <c r="H1133" s="14">
        <f t="shared" ca="1" si="64"/>
        <v>59.208341666666676</v>
      </c>
      <c r="I1133" s="14">
        <f t="shared" ca="1" si="64"/>
        <v>59.226008333333333</v>
      </c>
      <c r="J1133" s="14">
        <f t="shared" ca="1" si="64"/>
        <v>59.013466666666666</v>
      </c>
      <c r="K1133" s="14">
        <f t="shared" ca="1" si="64"/>
        <v>59.222116666666672</v>
      </c>
      <c r="L1133" s="14">
        <f t="shared" ca="1" si="65"/>
        <v>59.795341666666673</v>
      </c>
      <c r="M1133" s="14">
        <f t="shared" ca="1" si="65"/>
        <v>57.812024999999998</v>
      </c>
      <c r="N1133" s="14">
        <f t="shared" ca="1" si="65"/>
        <v>57.827449999999992</v>
      </c>
      <c r="O1133" s="14">
        <f t="shared" ca="1" si="65"/>
        <v>58.002883333333351</v>
      </c>
      <c r="P1133" s="14">
        <f t="shared" ca="1" si="65"/>
        <v>58.016558333333336</v>
      </c>
      <c r="Q1133" s="14">
        <f t="shared" ca="1" si="65"/>
        <v>58.59758333333334</v>
      </c>
      <c r="R1133" s="14">
        <f t="shared" ca="1" si="65"/>
        <v>59.331091666666673</v>
      </c>
      <c r="S1133" s="14">
        <f t="shared" ca="1" si="65"/>
        <v>56.715925000000006</v>
      </c>
      <c r="T1133" s="49">
        <f t="shared" ca="1" si="66"/>
        <v>358.17703550000004</v>
      </c>
      <c r="U1133" s="49">
        <f t="shared" ca="1" si="66"/>
        <v>142.42176299999997</v>
      </c>
      <c r="V1133" s="49">
        <f t="shared" ca="1" si="66"/>
        <v>50.325000000000003</v>
      </c>
      <c r="W1133" s="49">
        <f t="shared" ca="1" si="66"/>
        <v>5.0961473999999995</v>
      </c>
      <c r="X1133" s="49">
        <f t="shared" ca="1" si="66"/>
        <v>20.800615543999996</v>
      </c>
      <c r="Y1133" s="14"/>
      <c r="Z1133" s="14"/>
      <c r="AA1133" s="14"/>
      <c r="AB1133" s="14">
        <f t="shared" ca="1" si="62"/>
        <v>59.069585017615907</v>
      </c>
      <c r="AC1133" s="14">
        <f t="shared" ca="1" si="62"/>
        <v>57.928846163069529</v>
      </c>
    </row>
    <row r="1134" spans="1:29" ht="15" x14ac:dyDescent="0.2">
      <c r="A1134" s="10">
        <f t="shared" si="63"/>
        <v>2077</v>
      </c>
      <c r="B1134" s="14">
        <f t="shared" ca="1" si="64"/>
        <v>61.26823333333332</v>
      </c>
      <c r="C1134" s="14">
        <f t="shared" ca="1" si="64"/>
        <v>61.274525000000004</v>
      </c>
      <c r="D1134" s="14">
        <f t="shared" ca="1" si="64"/>
        <v>61.421391666666672</v>
      </c>
      <c r="E1134" s="14">
        <f t="shared" ca="1" si="64"/>
        <v>61.453816666666661</v>
      </c>
      <c r="F1134" s="14">
        <f t="shared" ca="1" si="64"/>
        <v>61.255074999999998</v>
      </c>
      <c r="G1134" s="14">
        <f t="shared" ca="1" si="64"/>
        <v>61.270816666666661</v>
      </c>
      <c r="H1134" s="14">
        <f t="shared" ca="1" si="64"/>
        <v>61.442933333333336</v>
      </c>
      <c r="I1134" s="14">
        <f t="shared" ca="1" si="64"/>
        <v>61.467608333333324</v>
      </c>
      <c r="J1134" s="14">
        <f t="shared" ca="1" si="64"/>
        <v>61.248075</v>
      </c>
      <c r="K1134" s="14">
        <f t="shared" ca="1" si="64"/>
        <v>61.463724999999982</v>
      </c>
      <c r="L1134" s="14">
        <f t="shared" ca="1" si="65"/>
        <v>62.029933333333339</v>
      </c>
      <c r="M1134" s="14">
        <f t="shared" ca="1" si="65"/>
        <v>60.000824999999992</v>
      </c>
      <c r="N1134" s="14">
        <f t="shared" ca="1" si="65"/>
        <v>60.016275</v>
      </c>
      <c r="O1134" s="14">
        <f t="shared" ca="1" si="65"/>
        <v>60.191700000000004</v>
      </c>
      <c r="P1134" s="14">
        <f t="shared" ca="1" si="65"/>
        <v>60.2121</v>
      </c>
      <c r="Q1134" s="14">
        <f t="shared" ca="1" si="65"/>
        <v>60.786400000000015</v>
      </c>
      <c r="R1134" s="14">
        <f t="shared" ca="1" si="65"/>
        <v>61.525366666666677</v>
      </c>
      <c r="S1134" s="14">
        <f t="shared" ca="1" si="65"/>
        <v>58.863149999999997</v>
      </c>
      <c r="T1134" s="49">
        <f t="shared" ca="1" si="66"/>
        <v>357.24568100000005</v>
      </c>
      <c r="U1134" s="49">
        <f t="shared" ca="1" si="66"/>
        <v>142.03263249999998</v>
      </c>
      <c r="V1134" s="49">
        <f t="shared" ca="1" si="66"/>
        <v>50.187500000000007</v>
      </c>
      <c r="W1134" s="49">
        <f t="shared" ca="1" si="66"/>
        <v>5.0822234999999996</v>
      </c>
      <c r="X1134" s="49">
        <f t="shared" ca="1" si="66"/>
        <v>20.758966663999999</v>
      </c>
      <c r="Y1134" s="14"/>
      <c r="Z1134" s="14"/>
      <c r="AA1134" s="14"/>
      <c r="AB1134" s="14">
        <f t="shared" ca="1" si="62"/>
        <v>61.3047615520072</v>
      </c>
      <c r="AC1134" s="14">
        <f t="shared" ca="1" si="62"/>
        <v>60.118625179856117</v>
      </c>
    </row>
    <row r="1135" spans="1:29" ht="15" x14ac:dyDescent="0.2">
      <c r="A1135" s="10">
        <f t="shared" si="63"/>
        <v>2078</v>
      </c>
      <c r="B1135" s="14">
        <f t="shared" ca="1" si="64"/>
        <v>63.587450000000011</v>
      </c>
      <c r="C1135" s="14">
        <f t="shared" ca="1" si="64"/>
        <v>63.593716666666658</v>
      </c>
      <c r="D1135" s="14">
        <f t="shared" ca="1" si="64"/>
        <v>63.740608333333341</v>
      </c>
      <c r="E1135" s="14">
        <f t="shared" ca="1" si="64"/>
        <v>63.77301666666667</v>
      </c>
      <c r="F1135" s="14">
        <f t="shared" ca="1" si="64"/>
        <v>63.574275000000007</v>
      </c>
      <c r="G1135" s="14">
        <f t="shared" ca="1" si="64"/>
        <v>63.590041666666671</v>
      </c>
      <c r="H1135" s="14">
        <f t="shared" ca="1" si="64"/>
        <v>63.762149999999998</v>
      </c>
      <c r="I1135" s="14">
        <f t="shared" ca="1" si="64"/>
        <v>63.794074999999999</v>
      </c>
      <c r="J1135" s="14">
        <f t="shared" ca="1" si="64"/>
        <v>63.567274999999995</v>
      </c>
      <c r="K1135" s="14">
        <f t="shared" ca="1" si="64"/>
        <v>63.790183333333339</v>
      </c>
      <c r="L1135" s="14">
        <f t="shared" ca="1" si="65"/>
        <v>64.349149999999995</v>
      </c>
      <c r="M1135" s="14">
        <f t="shared" ca="1" si="65"/>
        <v>62.272525000000002</v>
      </c>
      <c r="N1135" s="14">
        <f t="shared" ca="1" si="65"/>
        <v>62.287958333333336</v>
      </c>
      <c r="O1135" s="14">
        <f t="shared" ca="1" si="65"/>
        <v>62.463391666666666</v>
      </c>
      <c r="P1135" s="14">
        <f t="shared" ca="1" si="65"/>
        <v>62.490758333333332</v>
      </c>
      <c r="Q1135" s="14">
        <f t="shared" ca="1" si="65"/>
        <v>63.058091666666677</v>
      </c>
      <c r="R1135" s="14">
        <f t="shared" ca="1" si="65"/>
        <v>63.80274166666667</v>
      </c>
      <c r="S1135" s="14">
        <f t="shared" ca="1" si="65"/>
        <v>61.091658333333335</v>
      </c>
      <c r="T1135" s="49">
        <f t="shared" ca="1" si="66"/>
        <v>357.24568100000005</v>
      </c>
      <c r="U1135" s="49">
        <f t="shared" ca="1" si="66"/>
        <v>142.03263249999998</v>
      </c>
      <c r="V1135" s="49">
        <f t="shared" ca="1" si="66"/>
        <v>50.187500000000007</v>
      </c>
      <c r="W1135" s="49">
        <f t="shared" ca="1" si="66"/>
        <v>5.0822234999999996</v>
      </c>
      <c r="X1135" s="49">
        <f t="shared" ca="1" si="66"/>
        <v>20.758966663999999</v>
      </c>
      <c r="Y1135" s="14"/>
      <c r="Z1135" s="14"/>
      <c r="AA1135" s="14"/>
      <c r="AB1135" s="14">
        <f t="shared" ca="1" si="62"/>
        <v>63.624566152824258</v>
      </c>
      <c r="AC1135" s="14">
        <f t="shared" ca="1" si="62"/>
        <v>62.391321642685853</v>
      </c>
    </row>
    <row r="1136" spans="1:29" ht="15" x14ac:dyDescent="0.2">
      <c r="A1136" s="10">
        <f t="shared" si="63"/>
        <v>2079</v>
      </c>
      <c r="B1136" s="14">
        <f t="shared" ca="1" si="64"/>
        <v>65.994483333333321</v>
      </c>
      <c r="C1136" s="14">
        <f t="shared" ca="1" si="64"/>
        <v>66.000716666666662</v>
      </c>
      <c r="D1136" s="14">
        <f t="shared" ca="1" si="64"/>
        <v>66.147591666666656</v>
      </c>
      <c r="E1136" s="14">
        <f t="shared" ca="1" si="64"/>
        <v>66.180016666666674</v>
      </c>
      <c r="F1136" s="14">
        <f t="shared" ca="1" si="64"/>
        <v>65.981308333333317</v>
      </c>
      <c r="G1136" s="14">
        <f t="shared" ca="1" si="64"/>
        <v>65.997058333333342</v>
      </c>
      <c r="H1136" s="14">
        <f t="shared" ca="1" si="64"/>
        <v>66.169133333333335</v>
      </c>
      <c r="I1136" s="14">
        <f t="shared" ca="1" si="64"/>
        <v>66.208624999999998</v>
      </c>
      <c r="J1136" s="14">
        <f t="shared" ca="1" si="64"/>
        <v>65.97430833333334</v>
      </c>
      <c r="K1136" s="14">
        <f t="shared" ca="1" si="64"/>
        <v>66.204733333333337</v>
      </c>
      <c r="L1136" s="14">
        <f t="shared" ca="1" si="65"/>
        <v>66.756133333333338</v>
      </c>
      <c r="M1136" s="14">
        <f t="shared" ca="1" si="65"/>
        <v>64.630216666666641</v>
      </c>
      <c r="N1136" s="14">
        <f t="shared" ca="1" si="65"/>
        <v>64.645624999999995</v>
      </c>
      <c r="O1136" s="14">
        <f t="shared" ca="1" si="65"/>
        <v>64.821083333333334</v>
      </c>
      <c r="P1136" s="14">
        <f t="shared" ca="1" si="65"/>
        <v>64.855658333333324</v>
      </c>
      <c r="Q1136" s="14">
        <f t="shared" ca="1" si="65"/>
        <v>65.415783333333337</v>
      </c>
      <c r="R1136" s="14">
        <f t="shared" ca="1" si="65"/>
        <v>66.166316666666674</v>
      </c>
      <c r="S1136" s="14">
        <f t="shared" ca="1" si="65"/>
        <v>63.404566666666682</v>
      </c>
      <c r="T1136" s="49">
        <f t="shared" ca="1" si="66"/>
        <v>357.24568100000005</v>
      </c>
      <c r="U1136" s="49">
        <f t="shared" ca="1" si="66"/>
        <v>142.03263249999998</v>
      </c>
      <c r="V1136" s="49">
        <f t="shared" ca="1" si="66"/>
        <v>50.187500000000007</v>
      </c>
      <c r="W1136" s="49">
        <f t="shared" ca="1" si="66"/>
        <v>5.0822234999999996</v>
      </c>
      <c r="X1136" s="49">
        <f t="shared" ca="1" si="66"/>
        <v>20.758966663999999</v>
      </c>
      <c r="Y1136" s="14"/>
      <c r="Z1136" s="14"/>
      <c r="AA1136" s="14"/>
      <c r="AB1136" s="14">
        <f t="shared" ca="1" si="62"/>
        <v>66.032201804436269</v>
      </c>
      <c r="AC1136" s="14">
        <f t="shared" ca="1" si="62"/>
        <v>64.750049040767379</v>
      </c>
    </row>
    <row r="1137" spans="1:29" ht="15" x14ac:dyDescent="0.2">
      <c r="A1137" s="10">
        <f t="shared" si="63"/>
        <v>2080</v>
      </c>
      <c r="B1137" s="14">
        <f t="shared" ca="1" si="64"/>
        <v>68.492608333333337</v>
      </c>
      <c r="C1137" s="14">
        <f t="shared" ca="1" si="64"/>
        <v>68.498874999999998</v>
      </c>
      <c r="D1137" s="14">
        <f t="shared" ca="1" si="64"/>
        <v>68.645741666666666</v>
      </c>
      <c r="E1137" s="14">
        <f t="shared" ca="1" si="64"/>
        <v>68.678174999999996</v>
      </c>
      <c r="F1137" s="14">
        <f t="shared" ca="1" si="64"/>
        <v>68.479416666666665</v>
      </c>
      <c r="G1137" s="14">
        <f t="shared" ca="1" si="64"/>
        <v>68.49518333333333</v>
      </c>
      <c r="H1137" s="14">
        <f t="shared" ca="1" si="64"/>
        <v>68.667275000000004</v>
      </c>
      <c r="I1137" s="14">
        <f t="shared" ca="1" si="64"/>
        <v>68.714591666666664</v>
      </c>
      <c r="J1137" s="14">
        <f t="shared" ca="1" si="64"/>
        <v>68.47241666666666</v>
      </c>
      <c r="K1137" s="14">
        <f t="shared" ca="1" si="64"/>
        <v>68.710700000000017</v>
      </c>
      <c r="L1137" s="14">
        <f t="shared" ca="1" si="65"/>
        <v>69.254275000000007</v>
      </c>
      <c r="M1137" s="14">
        <f t="shared" ca="1" si="65"/>
        <v>67.077166666666656</v>
      </c>
      <c r="N1137" s="14">
        <f t="shared" ca="1" si="65"/>
        <v>67.092600000000004</v>
      </c>
      <c r="O1137" s="14">
        <f t="shared" ca="1" si="65"/>
        <v>67.268033333333335</v>
      </c>
      <c r="P1137" s="14">
        <f t="shared" ca="1" si="65"/>
        <v>67.31013333333334</v>
      </c>
      <c r="Q1137" s="14">
        <f t="shared" ca="1" si="65"/>
        <v>67.862733333333338</v>
      </c>
      <c r="R1137" s="14">
        <f t="shared" ca="1" si="65"/>
        <v>68.619383333333346</v>
      </c>
      <c r="S1137" s="14">
        <f t="shared" ca="1" si="65"/>
        <v>65.805025000000001</v>
      </c>
      <c r="T1137" s="49">
        <f t="shared" ca="1" si="66"/>
        <v>358.17703550000004</v>
      </c>
      <c r="U1137" s="49">
        <f t="shared" ca="1" si="66"/>
        <v>142.42176299999997</v>
      </c>
      <c r="V1137" s="49">
        <f t="shared" ca="1" si="66"/>
        <v>50.325000000000003</v>
      </c>
      <c r="W1137" s="49">
        <f t="shared" ca="1" si="66"/>
        <v>5.0961473999999995</v>
      </c>
      <c r="X1137" s="49">
        <f t="shared" ca="1" si="66"/>
        <v>20.800615543999996</v>
      </c>
      <c r="Y1137" s="14"/>
      <c r="Z1137" s="14"/>
      <c r="AA1137" s="14"/>
      <c r="AB1137" s="14">
        <f t="shared" ca="1" si="62"/>
        <v>68.530979895960385</v>
      </c>
      <c r="AC1137" s="14">
        <f t="shared" ca="1" si="62"/>
        <v>67.198083213429257</v>
      </c>
    </row>
    <row r="1138" spans="1:29" ht="15" x14ac:dyDescent="0.2">
      <c r="A1138" s="10">
        <f t="shared" si="63"/>
        <v>2081</v>
      </c>
      <c r="B1138" s="14">
        <f t="shared" ca="1" si="64"/>
        <v>71.085324999999997</v>
      </c>
      <c r="C1138" s="14">
        <f t="shared" ca="1" si="64"/>
        <v>71.091591666666673</v>
      </c>
      <c r="D1138" s="14">
        <f t="shared" ca="1" si="64"/>
        <v>71.238466666666667</v>
      </c>
      <c r="E1138" s="14">
        <f t="shared" ca="1" si="64"/>
        <v>71.270883333333344</v>
      </c>
      <c r="F1138" s="14">
        <f t="shared" ca="1" si="64"/>
        <v>71.072141666666667</v>
      </c>
      <c r="G1138" s="14">
        <f t="shared" ca="1" si="64"/>
        <v>71.087883333333338</v>
      </c>
      <c r="H1138" s="14">
        <f t="shared" ca="1" si="64"/>
        <v>71.260008333333346</v>
      </c>
      <c r="I1138" s="14">
        <f t="shared" ca="1" si="64"/>
        <v>71.315425000000005</v>
      </c>
      <c r="J1138" s="14">
        <f t="shared" ca="1" si="64"/>
        <v>71.065141666666676</v>
      </c>
      <c r="K1138" s="14">
        <f t="shared" ca="1" si="64"/>
        <v>71.311525000000003</v>
      </c>
      <c r="L1138" s="14">
        <f t="shared" ca="1" si="65"/>
        <v>71.847008333333335</v>
      </c>
      <c r="M1138" s="14">
        <f t="shared" ca="1" si="65"/>
        <v>69.616766666666663</v>
      </c>
      <c r="N1138" s="14">
        <f t="shared" ca="1" si="65"/>
        <v>69.632166666666663</v>
      </c>
      <c r="O1138" s="14">
        <f t="shared" ca="1" si="65"/>
        <v>69.807616666666661</v>
      </c>
      <c r="P1138" s="14">
        <f t="shared" ca="1" si="65"/>
        <v>69.857508333333342</v>
      </c>
      <c r="Q1138" s="14">
        <f t="shared" ca="1" si="65"/>
        <v>70.402316666666664</v>
      </c>
      <c r="R1138" s="14">
        <f t="shared" ca="1" si="65"/>
        <v>71.165333333333336</v>
      </c>
      <c r="S1138" s="14">
        <f t="shared" ca="1" si="65"/>
        <v>68.296358333333345</v>
      </c>
      <c r="T1138" s="49">
        <f t="shared" ca="1" si="66"/>
        <v>357.24568100000005</v>
      </c>
      <c r="U1138" s="49">
        <f t="shared" ca="1" si="66"/>
        <v>142.03263249999998</v>
      </c>
      <c r="V1138" s="49">
        <f t="shared" ca="1" si="66"/>
        <v>50.187500000000007</v>
      </c>
      <c r="W1138" s="49">
        <f t="shared" ca="1" si="66"/>
        <v>5.0822234999999996</v>
      </c>
      <c r="X1138" s="49">
        <f t="shared" ca="1" si="66"/>
        <v>20.758966663999999</v>
      </c>
      <c r="Y1138" s="14"/>
      <c r="Z1138" s="14"/>
      <c r="AA1138" s="14"/>
      <c r="AB1138" s="14">
        <f t="shared" ca="1" si="62"/>
        <v>71.124365654908601</v>
      </c>
      <c r="AC1138" s="14">
        <f t="shared" ca="1" si="62"/>
        <v>69.738792446043178</v>
      </c>
    </row>
    <row r="1139" spans="1:29" ht="15" x14ac:dyDescent="0.2">
      <c r="A1139" s="10">
        <f t="shared" si="63"/>
        <v>2082</v>
      </c>
      <c r="B1139" s="14">
        <f t="shared" ref="B1139:K1148" ca="1" si="67">AVERAGE(OFFSET(B$601,($A1139-$A$1119)*12,0,12,1))</f>
        <v>73.776191666666676</v>
      </c>
      <c r="C1139" s="14">
        <f t="shared" ca="1" si="67"/>
        <v>73.782466666666664</v>
      </c>
      <c r="D1139" s="14">
        <f t="shared" ca="1" si="67"/>
        <v>73.929358333333326</v>
      </c>
      <c r="E1139" s="14">
        <f t="shared" ca="1" si="67"/>
        <v>73.961766666666662</v>
      </c>
      <c r="F1139" s="14">
        <f t="shared" ca="1" si="67"/>
        <v>73.763008333333332</v>
      </c>
      <c r="G1139" s="14">
        <f t="shared" ca="1" si="67"/>
        <v>73.778783333333337</v>
      </c>
      <c r="H1139" s="14">
        <f t="shared" ca="1" si="67"/>
        <v>73.950883333333323</v>
      </c>
      <c r="I1139" s="14">
        <f t="shared" ca="1" si="67"/>
        <v>74.014724999999999</v>
      </c>
      <c r="J1139" s="14">
        <f t="shared" ca="1" si="67"/>
        <v>73.756008333333341</v>
      </c>
      <c r="K1139" s="14">
        <f t="shared" ca="1" si="67"/>
        <v>74.010841666666664</v>
      </c>
      <c r="L1139" s="14">
        <f t="shared" ref="L1139:S1148" ca="1" si="68">AVERAGE(OFFSET(L$601,($A1139-$A$1119)*12,0,12,1))</f>
        <v>74.53788333333334</v>
      </c>
      <c r="M1139" s="14">
        <f t="shared" ca="1" si="68"/>
        <v>72.252508333333324</v>
      </c>
      <c r="N1139" s="14">
        <f t="shared" ca="1" si="68"/>
        <v>72.267933333333346</v>
      </c>
      <c r="O1139" s="14">
        <f t="shared" ca="1" si="68"/>
        <v>72.44338333333333</v>
      </c>
      <c r="P1139" s="14">
        <f t="shared" ca="1" si="68"/>
        <v>72.501358333333343</v>
      </c>
      <c r="Q1139" s="14">
        <f t="shared" ca="1" si="68"/>
        <v>73.038083333333347</v>
      </c>
      <c r="R1139" s="14">
        <f t="shared" ca="1" si="68"/>
        <v>73.807666666666663</v>
      </c>
      <c r="S1139" s="14">
        <f t="shared" ca="1" si="68"/>
        <v>70.882033333333325</v>
      </c>
      <c r="T1139" s="49">
        <f t="shared" ref="T1139:X1148" ca="1" si="69">SUM(OFFSET(T$601,($A1139-$A$1119)*12,0,12,1))</f>
        <v>357.24568100000005</v>
      </c>
      <c r="U1139" s="49">
        <f t="shared" ca="1" si="69"/>
        <v>142.03263249999998</v>
      </c>
      <c r="V1139" s="49">
        <f t="shared" ca="1" si="69"/>
        <v>50.187500000000007</v>
      </c>
      <c r="W1139" s="49">
        <f t="shared" ca="1" si="69"/>
        <v>5.0822234999999996</v>
      </c>
      <c r="X1139" s="49">
        <f t="shared" ca="1" si="69"/>
        <v>20.758966663999999</v>
      </c>
      <c r="Y1139" s="14"/>
      <c r="Z1139" s="14"/>
      <c r="AA1139" s="14"/>
      <c r="AB1139" s="14">
        <f t="shared" ref="AB1139:AC1157" ca="1" si="70">AVERAGE(OFFSET(AB$601,($A1139-$A$1119)*12,0,12,1))</f>
        <v>73.81593777542399</v>
      </c>
      <c r="AC1139" s="14">
        <f t="shared" ca="1" si="70"/>
        <v>72.375713549160665</v>
      </c>
    </row>
    <row r="1140" spans="1:29" ht="15" x14ac:dyDescent="0.2">
      <c r="A1140" s="10">
        <f t="shared" si="63"/>
        <v>2083</v>
      </c>
      <c r="B1140" s="14">
        <f t="shared" ca="1" si="67"/>
        <v>76.568958333333327</v>
      </c>
      <c r="C1140" s="14">
        <f t="shared" ca="1" si="67"/>
        <v>76.575225000000003</v>
      </c>
      <c r="D1140" s="14">
        <f t="shared" ca="1" si="67"/>
        <v>76.722099999999998</v>
      </c>
      <c r="E1140" s="14">
        <f t="shared" ca="1" si="67"/>
        <v>76.754533333333342</v>
      </c>
      <c r="F1140" s="14">
        <f t="shared" ca="1" si="67"/>
        <v>76.555783333333324</v>
      </c>
      <c r="G1140" s="14">
        <f t="shared" ca="1" si="67"/>
        <v>76.571533333333335</v>
      </c>
      <c r="H1140" s="14">
        <f t="shared" ca="1" si="67"/>
        <v>76.743641666666676</v>
      </c>
      <c r="I1140" s="14">
        <f t="shared" ca="1" si="67"/>
        <v>76.81624166666667</v>
      </c>
      <c r="J1140" s="14">
        <f t="shared" ca="1" si="67"/>
        <v>76.548783333333333</v>
      </c>
      <c r="K1140" s="14">
        <f t="shared" ca="1" si="67"/>
        <v>76.812358333333336</v>
      </c>
      <c r="L1140" s="14">
        <f t="shared" ca="1" si="68"/>
        <v>77.330641666666665</v>
      </c>
      <c r="M1140" s="14">
        <f t="shared" ca="1" si="68"/>
        <v>74.988016666666667</v>
      </c>
      <c r="N1140" s="14">
        <f t="shared" ca="1" si="68"/>
        <v>75.003458333333342</v>
      </c>
      <c r="O1140" s="14">
        <f t="shared" ca="1" si="68"/>
        <v>75.178916666666666</v>
      </c>
      <c r="P1140" s="14">
        <f t="shared" ca="1" si="68"/>
        <v>75.245266666666666</v>
      </c>
      <c r="Q1140" s="14">
        <f t="shared" ca="1" si="68"/>
        <v>75.773616666666669</v>
      </c>
      <c r="R1140" s="14">
        <f t="shared" ca="1" si="68"/>
        <v>76.550024999999991</v>
      </c>
      <c r="S1140" s="14">
        <f t="shared" ca="1" si="68"/>
        <v>73.565591666666663</v>
      </c>
      <c r="T1140" s="49">
        <f t="shared" ca="1" si="69"/>
        <v>357.24568100000005</v>
      </c>
      <c r="U1140" s="49">
        <f t="shared" ca="1" si="69"/>
        <v>142.03263249999998</v>
      </c>
      <c r="V1140" s="49">
        <f t="shared" ca="1" si="69"/>
        <v>50.187500000000007</v>
      </c>
      <c r="W1140" s="49">
        <f t="shared" ca="1" si="69"/>
        <v>5.0822234999999996</v>
      </c>
      <c r="X1140" s="49">
        <f t="shared" ca="1" si="69"/>
        <v>20.758966663999999</v>
      </c>
      <c r="Y1140" s="14"/>
      <c r="Z1140" s="14"/>
      <c r="AA1140" s="14"/>
      <c r="AB1140" s="14">
        <f t="shared" ca="1" si="70"/>
        <v>76.609420113976313</v>
      </c>
      <c r="AC1140" s="14">
        <f t="shared" ca="1" si="70"/>
        <v>75.112442805755407</v>
      </c>
    </row>
    <row r="1141" spans="1:29" ht="15" x14ac:dyDescent="0.2">
      <c r="A1141" s="10">
        <f t="shared" si="63"/>
        <v>2084</v>
      </c>
      <c r="B1141" s="14">
        <f t="shared" ca="1" si="67"/>
        <v>79.467449999999999</v>
      </c>
      <c r="C1141" s="14">
        <f t="shared" ca="1" si="67"/>
        <v>79.473708333333335</v>
      </c>
      <c r="D1141" s="14">
        <f t="shared" ca="1" si="67"/>
        <v>79.620575000000002</v>
      </c>
      <c r="E1141" s="14">
        <f t="shared" ca="1" si="67"/>
        <v>79.653016666666687</v>
      </c>
      <c r="F1141" s="14">
        <f t="shared" ca="1" si="67"/>
        <v>79.454266666666669</v>
      </c>
      <c r="G1141" s="14">
        <f t="shared" ca="1" si="67"/>
        <v>79.470016666666666</v>
      </c>
      <c r="H1141" s="14">
        <f t="shared" ca="1" si="67"/>
        <v>79.642108333333326</v>
      </c>
      <c r="I1141" s="14">
        <f t="shared" ca="1" si="67"/>
        <v>79.723791666666656</v>
      </c>
      <c r="J1141" s="14">
        <f t="shared" ca="1" si="67"/>
        <v>79.447266666666664</v>
      </c>
      <c r="K1141" s="14">
        <f t="shared" ca="1" si="67"/>
        <v>79.719899999999996</v>
      </c>
      <c r="L1141" s="14">
        <f t="shared" ca="1" si="68"/>
        <v>80.229108333333329</v>
      </c>
      <c r="M1141" s="14">
        <f t="shared" ca="1" si="68"/>
        <v>77.827124999999981</v>
      </c>
      <c r="N1141" s="14">
        <f t="shared" ca="1" si="68"/>
        <v>77.84256666666667</v>
      </c>
      <c r="O1141" s="14">
        <f t="shared" ca="1" si="68"/>
        <v>78.017999999999986</v>
      </c>
      <c r="P1141" s="14">
        <f t="shared" ca="1" si="68"/>
        <v>78.09309166666668</v>
      </c>
      <c r="Q1141" s="14">
        <f t="shared" ca="1" si="68"/>
        <v>78.612700000000004</v>
      </c>
      <c r="R1141" s="14">
        <f t="shared" ca="1" si="68"/>
        <v>79.396249999999981</v>
      </c>
      <c r="S1141" s="14">
        <f t="shared" ca="1" si="68"/>
        <v>76.350758333333346</v>
      </c>
      <c r="T1141" s="49">
        <f t="shared" ca="1" si="69"/>
        <v>358.17703550000004</v>
      </c>
      <c r="U1141" s="49">
        <f t="shared" ca="1" si="69"/>
        <v>142.42176299999997</v>
      </c>
      <c r="V1141" s="49">
        <f t="shared" ca="1" si="69"/>
        <v>50.325000000000003</v>
      </c>
      <c r="W1141" s="49">
        <f t="shared" ca="1" si="69"/>
        <v>5.0961473999999995</v>
      </c>
      <c r="X1141" s="49">
        <f t="shared" ca="1" si="69"/>
        <v>20.800615543999996</v>
      </c>
      <c r="Y1141" s="14"/>
      <c r="Z1141" s="14"/>
      <c r="AA1141" s="14"/>
      <c r="AB1141" s="14">
        <f t="shared" ca="1" si="70"/>
        <v>79.508650867106965</v>
      </c>
      <c r="AC1141" s="14">
        <f t="shared" ca="1" si="70"/>
        <v>77.952794004796161</v>
      </c>
    </row>
    <row r="1142" spans="1:29" ht="15" x14ac:dyDescent="0.2">
      <c r="A1142" s="10">
        <f t="shared" si="63"/>
        <v>2085</v>
      </c>
      <c r="B1142" s="14">
        <f t="shared" ca="1" si="67"/>
        <v>82.475666666666669</v>
      </c>
      <c r="C1142" s="14">
        <f t="shared" ca="1" si="67"/>
        <v>82.481916666666677</v>
      </c>
      <c r="D1142" s="14">
        <f t="shared" ca="1" si="67"/>
        <v>82.628783333333331</v>
      </c>
      <c r="E1142" s="14">
        <f t="shared" ca="1" si="67"/>
        <v>82.661216666666689</v>
      </c>
      <c r="F1142" s="14">
        <f t="shared" ca="1" si="67"/>
        <v>82.462500000000006</v>
      </c>
      <c r="G1142" s="14">
        <f t="shared" ca="1" si="67"/>
        <v>82.478241666666662</v>
      </c>
      <c r="H1142" s="14">
        <f t="shared" ca="1" si="67"/>
        <v>82.650324999999995</v>
      </c>
      <c r="I1142" s="14">
        <f t="shared" ca="1" si="67"/>
        <v>82.741433333333333</v>
      </c>
      <c r="J1142" s="14">
        <f t="shared" ca="1" si="67"/>
        <v>82.455500000000015</v>
      </c>
      <c r="K1142" s="14">
        <f t="shared" ca="1" si="67"/>
        <v>82.737549999999999</v>
      </c>
      <c r="L1142" s="14">
        <f t="shared" ca="1" si="68"/>
        <v>83.237324999999998</v>
      </c>
      <c r="M1142" s="14">
        <f t="shared" ca="1" si="68"/>
        <v>80.773716666666687</v>
      </c>
      <c r="N1142" s="14">
        <f t="shared" ca="1" si="68"/>
        <v>80.789158333333333</v>
      </c>
      <c r="O1142" s="14">
        <f t="shared" ca="1" si="68"/>
        <v>80.964583333333323</v>
      </c>
      <c r="P1142" s="14">
        <f t="shared" ca="1" si="68"/>
        <v>81.048708333333323</v>
      </c>
      <c r="Q1142" s="14">
        <f t="shared" ca="1" si="68"/>
        <v>81.559283333333326</v>
      </c>
      <c r="R1142" s="14">
        <f t="shared" ca="1" si="68"/>
        <v>82.35019166666666</v>
      </c>
      <c r="S1142" s="14">
        <f t="shared" ca="1" si="68"/>
        <v>79.241366666666664</v>
      </c>
      <c r="T1142" s="49">
        <f t="shared" ca="1" si="69"/>
        <v>357.24568100000005</v>
      </c>
      <c r="U1142" s="49">
        <f t="shared" ca="1" si="69"/>
        <v>142.03263249999998</v>
      </c>
      <c r="V1142" s="49">
        <f t="shared" ca="1" si="69"/>
        <v>50.187500000000007</v>
      </c>
      <c r="W1142" s="49">
        <f t="shared" ca="1" si="69"/>
        <v>5.0822234999999996</v>
      </c>
      <c r="X1142" s="49">
        <f t="shared" ca="1" si="69"/>
        <v>20.758966663999999</v>
      </c>
      <c r="Y1142" s="14"/>
      <c r="Z1142" s="14"/>
      <c r="AA1142" s="14"/>
      <c r="AB1142" s="14">
        <f t="shared" ca="1" si="70"/>
        <v>82.517647312720882</v>
      </c>
      <c r="AC1142" s="14">
        <f t="shared" ca="1" si="70"/>
        <v>80.900680455635495</v>
      </c>
    </row>
    <row r="1143" spans="1:29" ht="15" x14ac:dyDescent="0.2">
      <c r="A1143" s="10">
        <f t="shared" si="63"/>
        <v>2086</v>
      </c>
      <c r="B1143" s="14">
        <f t="shared" ca="1" si="67"/>
        <v>85.597774999999999</v>
      </c>
      <c r="C1143" s="14">
        <f t="shared" ca="1" si="67"/>
        <v>85.604058333333342</v>
      </c>
      <c r="D1143" s="14">
        <f t="shared" ca="1" si="67"/>
        <v>85.750924999999995</v>
      </c>
      <c r="E1143" s="14">
        <f t="shared" ca="1" si="67"/>
        <v>85.783349999999999</v>
      </c>
      <c r="F1143" s="14">
        <f t="shared" ca="1" si="67"/>
        <v>85.58460833333335</v>
      </c>
      <c r="G1143" s="14">
        <f t="shared" ca="1" si="67"/>
        <v>85.600358333333318</v>
      </c>
      <c r="H1143" s="14">
        <f t="shared" ca="1" si="67"/>
        <v>85.772466666666674</v>
      </c>
      <c r="I1143" s="14">
        <f t="shared" ca="1" si="67"/>
        <v>85.873325000000008</v>
      </c>
      <c r="J1143" s="14">
        <f t="shared" ca="1" si="67"/>
        <v>85.577608333333316</v>
      </c>
      <c r="K1143" s="14">
        <f t="shared" ca="1" si="67"/>
        <v>85.869450000000015</v>
      </c>
      <c r="L1143" s="14">
        <f t="shared" ca="1" si="68"/>
        <v>86.359466666666677</v>
      </c>
      <c r="M1143" s="14">
        <f t="shared" ca="1" si="68"/>
        <v>83.831883333333352</v>
      </c>
      <c r="N1143" s="14">
        <f t="shared" ca="1" si="68"/>
        <v>83.847291666666663</v>
      </c>
      <c r="O1143" s="14">
        <f t="shared" ca="1" si="68"/>
        <v>84.022733333333335</v>
      </c>
      <c r="P1143" s="14">
        <f t="shared" ca="1" si="68"/>
        <v>84.116233333333341</v>
      </c>
      <c r="Q1143" s="14">
        <f t="shared" ca="1" si="68"/>
        <v>84.617433333333324</v>
      </c>
      <c r="R1143" s="14">
        <f t="shared" ca="1" si="68"/>
        <v>85.41598333333333</v>
      </c>
      <c r="S1143" s="14">
        <f t="shared" ca="1" si="68"/>
        <v>82.241399999999999</v>
      </c>
      <c r="T1143" s="49">
        <f t="shared" ca="1" si="69"/>
        <v>357.24568100000005</v>
      </c>
      <c r="U1143" s="49">
        <f t="shared" ca="1" si="69"/>
        <v>142.03263249999998</v>
      </c>
      <c r="V1143" s="49">
        <f t="shared" ca="1" si="69"/>
        <v>50.187500000000007</v>
      </c>
      <c r="W1143" s="49">
        <f t="shared" ca="1" si="69"/>
        <v>5.0822234999999996</v>
      </c>
      <c r="X1143" s="49">
        <f t="shared" ca="1" si="69"/>
        <v>20.758966663999999</v>
      </c>
      <c r="Y1143" s="14"/>
      <c r="Z1143" s="14"/>
      <c r="AA1143" s="14"/>
      <c r="AB1143" s="14">
        <f t="shared" ca="1" si="70"/>
        <v>85.640574516337779</v>
      </c>
      <c r="AC1143" s="14">
        <f t="shared" ca="1" si="70"/>
        <v>83.960184172661897</v>
      </c>
    </row>
    <row r="1144" spans="1:29" ht="15" x14ac:dyDescent="0.2">
      <c r="A1144" s="10">
        <f t="shared" si="63"/>
        <v>2087</v>
      </c>
      <c r="B1144" s="14">
        <f t="shared" ca="1" si="67"/>
        <v>88.838091666666671</v>
      </c>
      <c r="C1144" s="14">
        <f t="shared" ca="1" si="67"/>
        <v>88.844366666666659</v>
      </c>
      <c r="D1144" s="14">
        <f t="shared" ca="1" si="67"/>
        <v>88.991241666666667</v>
      </c>
      <c r="E1144" s="14">
        <f t="shared" ca="1" si="67"/>
        <v>89.02365833333333</v>
      </c>
      <c r="F1144" s="14">
        <f t="shared" ca="1" si="67"/>
        <v>88.824916666666653</v>
      </c>
      <c r="G1144" s="14">
        <f t="shared" ca="1" si="67"/>
        <v>88.840675000000019</v>
      </c>
      <c r="H1144" s="14">
        <f t="shared" ca="1" si="67"/>
        <v>89.012783333333346</v>
      </c>
      <c r="I1144" s="14">
        <f t="shared" ca="1" si="67"/>
        <v>89.123816666666656</v>
      </c>
      <c r="J1144" s="14">
        <f t="shared" ca="1" si="67"/>
        <v>88.817916666666676</v>
      </c>
      <c r="K1144" s="14">
        <f t="shared" ca="1" si="67"/>
        <v>89.119916666666654</v>
      </c>
      <c r="L1144" s="14">
        <f t="shared" ca="1" si="68"/>
        <v>89.599783333333335</v>
      </c>
      <c r="M1144" s="14">
        <f t="shared" ca="1" si="68"/>
        <v>87.005791666666653</v>
      </c>
      <c r="N1144" s="14">
        <f t="shared" ca="1" si="68"/>
        <v>87.021225000000001</v>
      </c>
      <c r="O1144" s="14">
        <f t="shared" ca="1" si="68"/>
        <v>87.196675000000013</v>
      </c>
      <c r="P1144" s="14">
        <f t="shared" ca="1" si="68"/>
        <v>87.299891666666653</v>
      </c>
      <c r="Q1144" s="14">
        <f t="shared" ca="1" si="68"/>
        <v>87.791375000000002</v>
      </c>
      <c r="R1144" s="14">
        <f t="shared" ca="1" si="68"/>
        <v>88.597833333333327</v>
      </c>
      <c r="S1144" s="14">
        <f t="shared" ca="1" si="68"/>
        <v>85.355024999999998</v>
      </c>
      <c r="T1144" s="49">
        <f t="shared" ca="1" si="69"/>
        <v>357.24568100000005</v>
      </c>
      <c r="U1144" s="49">
        <f t="shared" ca="1" si="69"/>
        <v>142.03263249999998</v>
      </c>
      <c r="V1144" s="49">
        <f t="shared" ca="1" si="69"/>
        <v>50.187500000000007</v>
      </c>
      <c r="W1144" s="49">
        <f t="shared" ca="1" si="69"/>
        <v>5.0822234999999996</v>
      </c>
      <c r="X1144" s="49">
        <f t="shared" ca="1" si="69"/>
        <v>20.758966663999999</v>
      </c>
      <c r="Y1144" s="14"/>
      <c r="Z1144" s="14"/>
      <c r="AA1144" s="14"/>
      <c r="AB1144" s="14">
        <f t="shared" ca="1" si="70"/>
        <v>88.881725520749683</v>
      </c>
      <c r="AC1144" s="14">
        <f t="shared" ca="1" si="70"/>
        <v>87.13551193045565</v>
      </c>
    </row>
    <row r="1145" spans="1:29" ht="15" x14ac:dyDescent="0.2">
      <c r="A1145" s="10">
        <f t="shared" si="63"/>
        <v>2088</v>
      </c>
      <c r="B1145" s="14">
        <f t="shared" ca="1" si="67"/>
        <v>92.20109166666667</v>
      </c>
      <c r="C1145" s="14">
        <f t="shared" ca="1" si="67"/>
        <v>92.207375000000013</v>
      </c>
      <c r="D1145" s="14">
        <f t="shared" ca="1" si="67"/>
        <v>92.354249999999993</v>
      </c>
      <c r="E1145" s="14">
        <f t="shared" ca="1" si="67"/>
        <v>92.38666666666667</v>
      </c>
      <c r="F1145" s="14">
        <f t="shared" ca="1" si="67"/>
        <v>92.18791666666668</v>
      </c>
      <c r="G1145" s="14">
        <f t="shared" ca="1" si="67"/>
        <v>92.203683333333331</v>
      </c>
      <c r="H1145" s="14">
        <f t="shared" ca="1" si="67"/>
        <v>92.375791666666672</v>
      </c>
      <c r="I1145" s="14">
        <f t="shared" ca="1" si="67"/>
        <v>92.497341666666671</v>
      </c>
      <c r="J1145" s="14">
        <f t="shared" ca="1" si="67"/>
        <v>92.180916666666675</v>
      </c>
      <c r="K1145" s="14">
        <f t="shared" ca="1" si="67"/>
        <v>92.493449999999996</v>
      </c>
      <c r="L1145" s="14">
        <f t="shared" ca="1" si="68"/>
        <v>92.962791666666661</v>
      </c>
      <c r="M1145" s="14">
        <f t="shared" ca="1" si="68"/>
        <v>90.299883333333312</v>
      </c>
      <c r="N1145" s="14">
        <f t="shared" ca="1" si="68"/>
        <v>90.315341666666669</v>
      </c>
      <c r="O1145" s="14">
        <f t="shared" ca="1" si="68"/>
        <v>90.490774999999999</v>
      </c>
      <c r="P1145" s="14">
        <f t="shared" ca="1" si="68"/>
        <v>90.604083333333335</v>
      </c>
      <c r="Q1145" s="14">
        <f t="shared" ca="1" si="68"/>
        <v>91.085474999999988</v>
      </c>
      <c r="R1145" s="14">
        <f t="shared" ca="1" si="68"/>
        <v>91.900166666666678</v>
      </c>
      <c r="S1145" s="14">
        <f t="shared" ca="1" si="68"/>
        <v>88.586508333333327</v>
      </c>
      <c r="T1145" s="49">
        <f t="shared" ca="1" si="69"/>
        <v>358.17703550000004</v>
      </c>
      <c r="U1145" s="49">
        <f t="shared" ca="1" si="69"/>
        <v>142.42176299999997</v>
      </c>
      <c r="V1145" s="49">
        <f t="shared" ca="1" si="69"/>
        <v>50.325000000000003</v>
      </c>
      <c r="W1145" s="49">
        <f t="shared" ca="1" si="69"/>
        <v>5.0961473999999995</v>
      </c>
      <c r="X1145" s="49">
        <f t="shared" ca="1" si="69"/>
        <v>20.800615543999996</v>
      </c>
      <c r="Y1145" s="14"/>
      <c r="Z1145" s="14"/>
      <c r="AA1145" s="14"/>
      <c r="AB1145" s="14">
        <f t="shared" ca="1" si="70"/>
        <v>92.245596575850342</v>
      </c>
      <c r="AC1145" s="14">
        <f t="shared" ca="1" si="70"/>
        <v>90.431062050359699</v>
      </c>
    </row>
    <row r="1146" spans="1:29" ht="15" x14ac:dyDescent="0.2">
      <c r="A1146" s="10">
        <f t="shared" si="63"/>
        <v>2089</v>
      </c>
      <c r="B1146" s="14">
        <f t="shared" ca="1" si="67"/>
        <v>95.691408333333314</v>
      </c>
      <c r="C1146" s="14">
        <f t="shared" ca="1" si="67"/>
        <v>95.69768333333333</v>
      </c>
      <c r="D1146" s="14">
        <f t="shared" ca="1" si="67"/>
        <v>95.844566666666651</v>
      </c>
      <c r="E1146" s="14">
        <f t="shared" ca="1" si="67"/>
        <v>95.876983333333328</v>
      </c>
      <c r="F1146" s="14">
        <f t="shared" ca="1" si="67"/>
        <v>95.678241666666665</v>
      </c>
      <c r="G1146" s="14">
        <f t="shared" ca="1" si="67"/>
        <v>95.694000000000017</v>
      </c>
      <c r="H1146" s="14">
        <f t="shared" ca="1" si="67"/>
        <v>95.866108333333344</v>
      </c>
      <c r="I1146" s="14">
        <f t="shared" ca="1" si="67"/>
        <v>95.998583333333329</v>
      </c>
      <c r="J1146" s="14">
        <f t="shared" ca="1" si="67"/>
        <v>95.671241666666674</v>
      </c>
      <c r="K1146" s="14">
        <f t="shared" ca="1" si="67"/>
        <v>95.994708333333335</v>
      </c>
      <c r="L1146" s="14">
        <f t="shared" ca="1" si="68"/>
        <v>96.453108333333333</v>
      </c>
      <c r="M1146" s="14">
        <f t="shared" ca="1" si="68"/>
        <v>93.718699999999998</v>
      </c>
      <c r="N1146" s="14">
        <f t="shared" ca="1" si="68"/>
        <v>93.734125000000006</v>
      </c>
      <c r="O1146" s="14">
        <f t="shared" ca="1" si="68"/>
        <v>93.909575000000004</v>
      </c>
      <c r="P1146" s="14">
        <f t="shared" ca="1" si="68"/>
        <v>94.033383333333347</v>
      </c>
      <c r="Q1146" s="14">
        <f t="shared" ca="1" si="68"/>
        <v>94.504275000000007</v>
      </c>
      <c r="R1146" s="14">
        <f t="shared" ca="1" si="68"/>
        <v>95.327533333333335</v>
      </c>
      <c r="S1146" s="14">
        <f t="shared" ca="1" si="68"/>
        <v>91.94038333333333</v>
      </c>
      <c r="T1146" s="49">
        <f t="shared" ca="1" si="69"/>
        <v>357.24568100000005</v>
      </c>
      <c r="U1146" s="49">
        <f t="shared" ca="1" si="69"/>
        <v>142.03263249999998</v>
      </c>
      <c r="V1146" s="49">
        <f t="shared" ca="1" si="69"/>
        <v>50.187500000000007</v>
      </c>
      <c r="W1146" s="49">
        <f t="shared" ca="1" si="69"/>
        <v>5.0822234999999996</v>
      </c>
      <c r="X1146" s="49">
        <f t="shared" ca="1" si="69"/>
        <v>20.758966663999999</v>
      </c>
      <c r="Y1146" s="14"/>
      <c r="Z1146" s="14"/>
      <c r="AA1146" s="14"/>
      <c r="AB1146" s="14">
        <f t="shared" ca="1" si="70"/>
        <v>95.736813340580113</v>
      </c>
      <c r="AC1146" s="14">
        <f t="shared" ca="1" si="70"/>
        <v>93.851377637889684</v>
      </c>
    </row>
    <row r="1147" spans="1:29" ht="15" x14ac:dyDescent="0.2">
      <c r="A1147" s="10">
        <f t="shared" si="63"/>
        <v>2090</v>
      </c>
      <c r="B1147" s="14">
        <f t="shared" ca="1" si="67"/>
        <v>99.313891666666677</v>
      </c>
      <c r="C1147" s="14">
        <f t="shared" ca="1" si="67"/>
        <v>99.320149999999998</v>
      </c>
      <c r="D1147" s="14">
        <f t="shared" ca="1" si="67"/>
        <v>99.467025000000021</v>
      </c>
      <c r="E1147" s="14">
        <f t="shared" ca="1" si="67"/>
        <v>99.499449999999982</v>
      </c>
      <c r="F1147" s="14">
        <f t="shared" ca="1" si="67"/>
        <v>99.300716666666673</v>
      </c>
      <c r="G1147" s="14">
        <f t="shared" ca="1" si="67"/>
        <v>99.316466666666656</v>
      </c>
      <c r="H1147" s="14">
        <f t="shared" ca="1" si="67"/>
        <v>99.488566666666657</v>
      </c>
      <c r="I1147" s="14">
        <f t="shared" ca="1" si="67"/>
        <v>99.632391666666663</v>
      </c>
      <c r="J1147" s="14">
        <f t="shared" ca="1" si="67"/>
        <v>99.293716666666683</v>
      </c>
      <c r="K1147" s="14">
        <f t="shared" ca="1" si="67"/>
        <v>99.628516666666656</v>
      </c>
      <c r="L1147" s="14">
        <f t="shared" ca="1" si="68"/>
        <v>100.07556666666665</v>
      </c>
      <c r="M1147" s="14">
        <f t="shared" ca="1" si="68"/>
        <v>97.266933333333341</v>
      </c>
      <c r="N1147" s="14">
        <f t="shared" ca="1" si="68"/>
        <v>97.282366666666675</v>
      </c>
      <c r="O1147" s="14">
        <f t="shared" ca="1" si="68"/>
        <v>97.457808333333332</v>
      </c>
      <c r="P1147" s="14">
        <f t="shared" ca="1" si="68"/>
        <v>97.592500000000015</v>
      </c>
      <c r="Q1147" s="14">
        <f t="shared" ca="1" si="68"/>
        <v>98.052508333333336</v>
      </c>
      <c r="R1147" s="14">
        <f t="shared" ca="1" si="68"/>
        <v>98.884641666666667</v>
      </c>
      <c r="S1147" s="14">
        <f t="shared" ca="1" si="68"/>
        <v>95.421199999999985</v>
      </c>
      <c r="T1147" s="49">
        <f t="shared" ca="1" si="69"/>
        <v>357.24568100000005</v>
      </c>
      <c r="U1147" s="49">
        <f t="shared" ca="1" si="69"/>
        <v>142.03263249999998</v>
      </c>
      <c r="V1147" s="49">
        <f t="shared" ca="1" si="69"/>
        <v>50.187500000000007</v>
      </c>
      <c r="W1147" s="49">
        <f t="shared" ca="1" si="69"/>
        <v>5.0822234999999996</v>
      </c>
      <c r="X1147" s="49">
        <f t="shared" ca="1" si="69"/>
        <v>20.758966663999999</v>
      </c>
      <c r="Y1147" s="14"/>
      <c r="Z1147" s="14"/>
      <c r="AA1147" s="14"/>
      <c r="AB1147" s="14">
        <f t="shared" ca="1" si="70"/>
        <v>99.360218845800489</v>
      </c>
      <c r="AC1147" s="14">
        <f t="shared" ca="1" si="70"/>
        <v>97.401177398081543</v>
      </c>
    </row>
    <row r="1148" spans="1:29" ht="15" x14ac:dyDescent="0.2">
      <c r="A1148" s="10">
        <f t="shared" si="63"/>
        <v>2091</v>
      </c>
      <c r="B1148" s="14">
        <f t="shared" ca="1" si="67"/>
        <v>103.07349166666667</v>
      </c>
      <c r="C1148" s="14">
        <f t="shared" ca="1" si="67"/>
        <v>103.07975833333334</v>
      </c>
      <c r="D1148" s="14">
        <f t="shared" ca="1" si="67"/>
        <v>103.22663333333334</v>
      </c>
      <c r="E1148" s="14">
        <f t="shared" ca="1" si="67"/>
        <v>103.25905</v>
      </c>
      <c r="F1148" s="14">
        <f t="shared" ca="1" si="67"/>
        <v>103.06031666666665</v>
      </c>
      <c r="G1148" s="14">
        <f t="shared" ca="1" si="67"/>
        <v>103.07607500000002</v>
      </c>
      <c r="H1148" s="14">
        <f t="shared" ca="1" si="67"/>
        <v>103.248175</v>
      </c>
      <c r="I1148" s="14">
        <f t="shared" ca="1" si="67"/>
        <v>103.40379166666668</v>
      </c>
      <c r="J1148" s="14">
        <f t="shared" ca="1" si="67"/>
        <v>103.05331666666666</v>
      </c>
      <c r="K1148" s="14">
        <f t="shared" ca="1" si="67"/>
        <v>103.39989166666668</v>
      </c>
      <c r="L1148" s="14">
        <f t="shared" ca="1" si="68"/>
        <v>103.83517499999999</v>
      </c>
      <c r="M1148" s="14">
        <f t="shared" ca="1" si="68"/>
        <v>100.94953333333335</v>
      </c>
      <c r="N1148" s="14">
        <f t="shared" ca="1" si="68"/>
        <v>100.96495833333334</v>
      </c>
      <c r="O1148" s="14">
        <f t="shared" ca="1" si="68"/>
        <v>101.14039166666664</v>
      </c>
      <c r="P1148" s="14">
        <f t="shared" ca="1" si="68"/>
        <v>101.28638333333333</v>
      </c>
      <c r="Q1148" s="14">
        <f t="shared" ca="1" si="68"/>
        <v>101.73509166666668</v>
      </c>
      <c r="R1148" s="14">
        <f t="shared" ca="1" si="68"/>
        <v>102.57642499999999</v>
      </c>
      <c r="S1148" s="14">
        <f t="shared" ca="1" si="68"/>
        <v>99.033799999999999</v>
      </c>
      <c r="T1148" s="49">
        <f t="shared" ca="1" si="69"/>
        <v>357.24568100000005</v>
      </c>
      <c r="U1148" s="49">
        <f t="shared" ca="1" si="69"/>
        <v>142.03263249999998</v>
      </c>
      <c r="V1148" s="49">
        <f t="shared" ca="1" si="69"/>
        <v>50.187500000000007</v>
      </c>
      <c r="W1148" s="49">
        <f t="shared" ca="1" si="69"/>
        <v>5.0822234999999996</v>
      </c>
      <c r="X1148" s="49">
        <f t="shared" ca="1" si="69"/>
        <v>20.758966663999999</v>
      </c>
      <c r="Y1148" s="14"/>
      <c r="Z1148" s="14"/>
      <c r="AA1148" s="14"/>
      <c r="AB1148" s="14">
        <f t="shared" ca="1" si="70"/>
        <v>103.12079496716741</v>
      </c>
      <c r="AC1148" s="14">
        <f t="shared" ca="1" si="70"/>
        <v>101.08539286570745</v>
      </c>
    </row>
    <row r="1149" spans="1:29" ht="15" x14ac:dyDescent="0.2">
      <c r="A1149" s="10">
        <f t="shared" si="63"/>
        <v>2092</v>
      </c>
      <c r="B1149" s="14">
        <f t="shared" ref="B1149:K1157" ca="1" si="71">AVERAGE(OFFSET(B$601,($A1149-$A$1119)*12,0,12,1))</f>
        <v>106.97544166666665</v>
      </c>
      <c r="C1149" s="14">
        <f t="shared" ca="1" si="71"/>
        <v>106.98171666666667</v>
      </c>
      <c r="D1149" s="14">
        <f t="shared" ca="1" si="71"/>
        <v>107.12860000000001</v>
      </c>
      <c r="E1149" s="14">
        <f t="shared" ca="1" si="71"/>
        <v>107.161025</v>
      </c>
      <c r="F1149" s="14">
        <f t="shared" ca="1" si="71"/>
        <v>106.96227499999999</v>
      </c>
      <c r="G1149" s="14">
        <f t="shared" ca="1" si="71"/>
        <v>106.97801666666668</v>
      </c>
      <c r="H1149" s="14">
        <f t="shared" ca="1" si="71"/>
        <v>107.15013333333332</v>
      </c>
      <c r="I1149" s="14">
        <f t="shared" ca="1" si="71"/>
        <v>107.31797499999999</v>
      </c>
      <c r="J1149" s="14">
        <f t="shared" ca="1" si="71"/>
        <v>106.95527499999999</v>
      </c>
      <c r="K1149" s="14">
        <f t="shared" ca="1" si="71"/>
        <v>107.314075</v>
      </c>
      <c r="L1149" s="14">
        <f t="shared" ref="L1149:S1157" ca="1" si="72">AVERAGE(OFFSET(L$601,($A1149-$A$1119)*12,0,12,1))</f>
        <v>107.73713333333335</v>
      </c>
      <c r="M1149" s="14">
        <f t="shared" ca="1" si="72"/>
        <v>104.77151666666667</v>
      </c>
      <c r="N1149" s="14">
        <f t="shared" ca="1" si="72"/>
        <v>104.78696666666669</v>
      </c>
      <c r="O1149" s="14">
        <f t="shared" ca="1" si="72"/>
        <v>104.96239166666668</v>
      </c>
      <c r="P1149" s="14">
        <f t="shared" ca="1" si="72"/>
        <v>105.12010833333333</v>
      </c>
      <c r="Q1149" s="14">
        <f t="shared" ca="1" si="72"/>
        <v>105.55709166666666</v>
      </c>
      <c r="R1149" s="14">
        <f t="shared" ca="1" si="72"/>
        <v>106.40797500000002</v>
      </c>
      <c r="S1149" s="14">
        <f t="shared" ca="1" si="72"/>
        <v>102.78318333333334</v>
      </c>
      <c r="T1149" s="49">
        <f t="shared" ref="T1149:X1157" ca="1" si="73">SUM(OFFSET(T$601,($A1149-$A$1119)*12,0,12,1))</f>
        <v>358.17703550000004</v>
      </c>
      <c r="U1149" s="49">
        <f t="shared" ca="1" si="73"/>
        <v>142.42176299999997</v>
      </c>
      <c r="V1149" s="49">
        <f t="shared" ca="1" si="73"/>
        <v>50.325000000000003</v>
      </c>
      <c r="W1149" s="49">
        <f t="shared" ca="1" si="73"/>
        <v>5.0961473999999995</v>
      </c>
      <c r="X1149" s="49">
        <f t="shared" ca="1" si="73"/>
        <v>20.800615543999996</v>
      </c>
      <c r="Y1149" s="14"/>
      <c r="Z1149" s="14"/>
      <c r="AA1149" s="14"/>
      <c r="AB1149" s="14">
        <f t="shared" ca="1" si="70"/>
        <v>107.02375907257995</v>
      </c>
      <c r="AC1149" s="14">
        <f t="shared" ca="1" si="70"/>
        <v>104.90907464028777</v>
      </c>
    </row>
    <row r="1150" spans="1:29" ht="15" x14ac:dyDescent="0.2">
      <c r="A1150" s="10">
        <f t="shared" si="63"/>
        <v>2093</v>
      </c>
      <c r="B1150" s="14">
        <f t="shared" ca="1" si="71"/>
        <v>111.02510833333332</v>
      </c>
      <c r="C1150" s="14">
        <f t="shared" ca="1" si="71"/>
        <v>111.0314</v>
      </c>
      <c r="D1150" s="14">
        <f t="shared" ca="1" si="71"/>
        <v>111.17827499999999</v>
      </c>
      <c r="E1150" s="14">
        <f t="shared" ca="1" si="71"/>
        <v>111.21069166666666</v>
      </c>
      <c r="F1150" s="14">
        <f t="shared" ca="1" si="71"/>
        <v>111.01195</v>
      </c>
      <c r="G1150" s="14">
        <f t="shared" ca="1" si="71"/>
        <v>111.02770833333335</v>
      </c>
      <c r="H1150" s="14">
        <f t="shared" ca="1" si="71"/>
        <v>111.19980833333334</v>
      </c>
      <c r="I1150" s="14">
        <f t="shared" ca="1" si="71"/>
        <v>111.38031666666667</v>
      </c>
      <c r="J1150" s="14">
        <f t="shared" ca="1" si="71"/>
        <v>111.00494999999999</v>
      </c>
      <c r="K1150" s="14">
        <f t="shared" ca="1" si="71"/>
        <v>111.37641666666667</v>
      </c>
      <c r="L1150" s="14">
        <f t="shared" ca="1" si="72"/>
        <v>111.78680833333333</v>
      </c>
      <c r="M1150" s="14">
        <f t="shared" ca="1" si="72"/>
        <v>108.738225</v>
      </c>
      <c r="N1150" s="14">
        <f t="shared" ca="1" si="72"/>
        <v>108.75365833333335</v>
      </c>
      <c r="O1150" s="14">
        <f t="shared" ca="1" si="72"/>
        <v>108.92908333333334</v>
      </c>
      <c r="P1150" s="14">
        <f t="shared" ca="1" si="72"/>
        <v>109.099</v>
      </c>
      <c r="Q1150" s="14">
        <f t="shared" ca="1" si="72"/>
        <v>109.52378333333331</v>
      </c>
      <c r="R1150" s="14">
        <f t="shared" ca="1" si="72"/>
        <v>110.38459999999998</v>
      </c>
      <c r="S1150" s="14">
        <f t="shared" ca="1" si="72"/>
        <v>106.67453333333333</v>
      </c>
      <c r="T1150" s="49">
        <f t="shared" ca="1" si="73"/>
        <v>357.24568100000005</v>
      </c>
      <c r="U1150" s="49">
        <f t="shared" ca="1" si="73"/>
        <v>142.03263249999998</v>
      </c>
      <c r="V1150" s="49">
        <f t="shared" ca="1" si="73"/>
        <v>50.187500000000007</v>
      </c>
      <c r="W1150" s="49">
        <f t="shared" ca="1" si="73"/>
        <v>5.0822234999999996</v>
      </c>
      <c r="X1150" s="49">
        <f t="shared" ca="1" si="73"/>
        <v>20.758966663999999</v>
      </c>
      <c r="Y1150" s="14"/>
      <c r="Z1150" s="14"/>
      <c r="AA1150" s="14"/>
      <c r="AB1150" s="14">
        <f t="shared" ca="1" si="70"/>
        <v>111.0744808127868</v>
      </c>
      <c r="AC1150" s="14">
        <f t="shared" ca="1" si="70"/>
        <v>108.87752745803358</v>
      </c>
    </row>
    <row r="1151" spans="1:29" ht="15" x14ac:dyDescent="0.2">
      <c r="A1151" s="10">
        <f t="shared" si="63"/>
        <v>2094</v>
      </c>
      <c r="B1151" s="14">
        <f t="shared" ca="1" si="71"/>
        <v>115.22812500000002</v>
      </c>
      <c r="C1151" s="14">
        <f t="shared" ca="1" si="71"/>
        <v>115.23438333333333</v>
      </c>
      <c r="D1151" s="14">
        <f t="shared" ca="1" si="71"/>
        <v>115.38126666666669</v>
      </c>
      <c r="E1151" s="14">
        <f t="shared" ca="1" si="71"/>
        <v>115.41369166666669</v>
      </c>
      <c r="F1151" s="14">
        <f t="shared" ca="1" si="71"/>
        <v>115.21494999999999</v>
      </c>
      <c r="G1151" s="14">
        <f t="shared" ca="1" si="71"/>
        <v>115.23070833333333</v>
      </c>
      <c r="H1151" s="14">
        <f t="shared" ca="1" si="71"/>
        <v>115.4028</v>
      </c>
      <c r="I1151" s="14">
        <f t="shared" ca="1" si="71"/>
        <v>115.59648333333332</v>
      </c>
      <c r="J1151" s="14">
        <f t="shared" ca="1" si="71"/>
        <v>115.20795000000003</v>
      </c>
      <c r="K1151" s="14">
        <f t="shared" ca="1" si="71"/>
        <v>115.59259166666668</v>
      </c>
      <c r="L1151" s="14">
        <f t="shared" ca="1" si="72"/>
        <v>115.98979999999999</v>
      </c>
      <c r="M1151" s="14">
        <f t="shared" ca="1" si="72"/>
        <v>112.85510833333332</v>
      </c>
      <c r="N1151" s="14">
        <f t="shared" ca="1" si="72"/>
        <v>112.87054166666667</v>
      </c>
      <c r="O1151" s="14">
        <f t="shared" ca="1" si="72"/>
        <v>113.045975</v>
      </c>
      <c r="P1151" s="14">
        <f t="shared" ca="1" si="72"/>
        <v>113.22849166666668</v>
      </c>
      <c r="Q1151" s="14">
        <f t="shared" ca="1" si="72"/>
        <v>113.640675</v>
      </c>
      <c r="R1151" s="14">
        <f t="shared" ca="1" si="72"/>
        <v>114.511775</v>
      </c>
      <c r="S1151" s="14">
        <f t="shared" ca="1" si="72"/>
        <v>110.71319166666667</v>
      </c>
      <c r="T1151" s="49">
        <f t="shared" ca="1" si="73"/>
        <v>357.24568100000005</v>
      </c>
      <c r="U1151" s="49">
        <f t="shared" ca="1" si="73"/>
        <v>142.03263249999998</v>
      </c>
      <c r="V1151" s="49">
        <f t="shared" ca="1" si="73"/>
        <v>50.187500000000007</v>
      </c>
      <c r="W1151" s="49">
        <f t="shared" ca="1" si="73"/>
        <v>5.0822234999999996</v>
      </c>
      <c r="X1151" s="49">
        <f t="shared" ca="1" si="73"/>
        <v>20.758966663999999</v>
      </c>
      <c r="Y1151" s="14"/>
      <c r="Z1151" s="14"/>
      <c r="AA1151" s="14"/>
      <c r="AB1151" s="14">
        <f t="shared" ca="1" si="70"/>
        <v>115.27856252209814</v>
      </c>
      <c r="AC1151" s="14">
        <f t="shared" ca="1" si="70"/>
        <v>112.99622871702638</v>
      </c>
    </row>
    <row r="1152" spans="1:29" ht="15" x14ac:dyDescent="0.2">
      <c r="A1152" s="10">
        <f t="shared" si="63"/>
        <v>2095</v>
      </c>
      <c r="B1152" s="14">
        <f t="shared" ca="1" si="71"/>
        <v>119.59025000000003</v>
      </c>
      <c r="C1152" s="14">
        <f t="shared" ca="1" si="71"/>
        <v>119.59651666666666</v>
      </c>
      <c r="D1152" s="14">
        <f t="shared" ca="1" si="71"/>
        <v>119.74339166666668</v>
      </c>
      <c r="E1152" s="14">
        <f t="shared" ca="1" si="71"/>
        <v>119.77580833333333</v>
      </c>
      <c r="F1152" s="14">
        <f t="shared" ca="1" si="71"/>
        <v>119.57706666666667</v>
      </c>
      <c r="G1152" s="14">
        <f t="shared" ca="1" si="71"/>
        <v>119.592825</v>
      </c>
      <c r="H1152" s="14">
        <f t="shared" ca="1" si="71"/>
        <v>119.76491666666668</v>
      </c>
      <c r="I1152" s="14">
        <f t="shared" ca="1" si="71"/>
        <v>119.97225833333334</v>
      </c>
      <c r="J1152" s="14">
        <f t="shared" ca="1" si="71"/>
        <v>119.57006666666668</v>
      </c>
      <c r="K1152" s="14">
        <f t="shared" ca="1" si="71"/>
        <v>119.96837499999999</v>
      </c>
      <c r="L1152" s="14">
        <f t="shared" ca="1" si="72"/>
        <v>120.35191666666668</v>
      </c>
      <c r="M1152" s="14">
        <f t="shared" ca="1" si="72"/>
        <v>117.12784166666665</v>
      </c>
      <c r="N1152" s="14">
        <f t="shared" ca="1" si="72"/>
        <v>117.14328333333333</v>
      </c>
      <c r="O1152" s="14">
        <f t="shared" ca="1" si="72"/>
        <v>117.31872499999999</v>
      </c>
      <c r="P1152" s="14">
        <f t="shared" ca="1" si="72"/>
        <v>117.51434999999998</v>
      </c>
      <c r="Q1152" s="14">
        <f t="shared" ca="1" si="72"/>
        <v>117.91342500000003</v>
      </c>
      <c r="R1152" s="14">
        <f t="shared" ca="1" si="72"/>
        <v>118.79521666666665</v>
      </c>
      <c r="S1152" s="14">
        <f t="shared" ca="1" si="72"/>
        <v>114.90475833333331</v>
      </c>
      <c r="T1152" s="49">
        <f t="shared" ca="1" si="73"/>
        <v>357.24568100000005</v>
      </c>
      <c r="U1152" s="49">
        <f t="shared" ca="1" si="73"/>
        <v>142.03263249999998</v>
      </c>
      <c r="V1152" s="49">
        <f t="shared" ca="1" si="73"/>
        <v>50.187500000000007</v>
      </c>
      <c r="W1152" s="49">
        <f t="shared" ca="1" si="73"/>
        <v>5.0822234999999996</v>
      </c>
      <c r="X1152" s="49">
        <f t="shared" ca="1" si="73"/>
        <v>20.758966663999999</v>
      </c>
      <c r="Y1152" s="14"/>
      <c r="Z1152" s="14"/>
      <c r="AA1152" s="14"/>
      <c r="AB1152" s="14">
        <f t="shared" ca="1" si="70"/>
        <v>119.64181061928134</v>
      </c>
      <c r="AC1152" s="14">
        <f t="shared" ca="1" si="70"/>
        <v>117.27085857314152</v>
      </c>
    </row>
    <row r="1153" spans="1:29" ht="15" x14ac:dyDescent="0.2">
      <c r="A1153" s="10">
        <f t="shared" si="63"/>
        <v>2096</v>
      </c>
      <c r="B1153" s="14">
        <f t="shared" ca="1" si="71"/>
        <v>124.11750000000001</v>
      </c>
      <c r="C1153" s="14">
        <f t="shared" ca="1" si="71"/>
        <v>124.1238</v>
      </c>
      <c r="D1153" s="14">
        <f t="shared" ca="1" si="71"/>
        <v>124.27066666666668</v>
      </c>
      <c r="E1153" s="14">
        <f t="shared" ca="1" si="71"/>
        <v>124.30306666666671</v>
      </c>
      <c r="F1153" s="14">
        <f t="shared" ca="1" si="71"/>
        <v>124.10435</v>
      </c>
      <c r="G1153" s="14">
        <f t="shared" ca="1" si="71"/>
        <v>124.12010000000002</v>
      </c>
      <c r="H1153" s="14">
        <f t="shared" ca="1" si="71"/>
        <v>124.29219999999999</v>
      </c>
      <c r="I1153" s="14">
        <f t="shared" ca="1" si="71"/>
        <v>124.51369999999999</v>
      </c>
      <c r="J1153" s="14">
        <f t="shared" ca="1" si="71"/>
        <v>124.09735000000001</v>
      </c>
      <c r="K1153" s="14">
        <f t="shared" ca="1" si="71"/>
        <v>124.5098333333333</v>
      </c>
      <c r="L1153" s="14">
        <f t="shared" ca="1" si="72"/>
        <v>124.87920000000001</v>
      </c>
      <c r="M1153" s="14">
        <f t="shared" ca="1" si="72"/>
        <v>121.56236666666666</v>
      </c>
      <c r="N1153" s="14">
        <f t="shared" ca="1" si="72"/>
        <v>121.57778333333334</v>
      </c>
      <c r="O1153" s="14">
        <f t="shared" ca="1" si="72"/>
        <v>121.75323333333331</v>
      </c>
      <c r="P1153" s="14">
        <f t="shared" ca="1" si="72"/>
        <v>121.96246666666663</v>
      </c>
      <c r="Q1153" s="14">
        <f t="shared" ca="1" si="72"/>
        <v>122.34793333333334</v>
      </c>
      <c r="R1153" s="14">
        <f t="shared" ca="1" si="72"/>
        <v>123.24080833333333</v>
      </c>
      <c r="S1153" s="14">
        <f t="shared" ca="1" si="72"/>
        <v>119.25501666666663</v>
      </c>
      <c r="T1153" s="49">
        <f t="shared" ca="1" si="73"/>
        <v>358.17703550000004</v>
      </c>
      <c r="U1153" s="49">
        <f t="shared" ca="1" si="73"/>
        <v>142.42176299999997</v>
      </c>
      <c r="V1153" s="49">
        <f t="shared" ca="1" si="73"/>
        <v>50.325000000000003</v>
      </c>
      <c r="W1153" s="49">
        <f t="shared" ca="1" si="73"/>
        <v>5.0961473999999995</v>
      </c>
      <c r="X1153" s="49">
        <f t="shared" ca="1" si="73"/>
        <v>20.800615543999996</v>
      </c>
      <c r="Y1153" s="14"/>
      <c r="Z1153" s="14"/>
      <c r="AA1153" s="14"/>
      <c r="AB1153" s="14">
        <f t="shared" ca="1" si="70"/>
        <v>124.17025331048454</v>
      </c>
      <c r="AC1153" s="14">
        <f t="shared" ca="1" si="70"/>
        <v>121.70733021582737</v>
      </c>
    </row>
    <row r="1154" spans="1:29" ht="15" x14ac:dyDescent="0.2">
      <c r="A1154" s="10">
        <f t="shared" si="63"/>
        <v>2097</v>
      </c>
      <c r="B1154" s="14">
        <f t="shared" ca="1" si="71"/>
        <v>128.81619166666664</v>
      </c>
      <c r="C1154" s="14">
        <f t="shared" ca="1" si="71"/>
        <v>128.82246666666668</v>
      </c>
      <c r="D1154" s="14">
        <f t="shared" ca="1" si="71"/>
        <v>128.96934166666665</v>
      </c>
      <c r="E1154" s="14">
        <f t="shared" ca="1" si="71"/>
        <v>129.00175833333336</v>
      </c>
      <c r="F1154" s="14">
        <f t="shared" ca="1" si="71"/>
        <v>128.80302500000002</v>
      </c>
      <c r="G1154" s="14">
        <f t="shared" ca="1" si="71"/>
        <v>128.81878333333336</v>
      </c>
      <c r="H1154" s="14">
        <f t="shared" ca="1" si="71"/>
        <v>128.99088333333336</v>
      </c>
      <c r="I1154" s="14">
        <f t="shared" ca="1" si="71"/>
        <v>129.22711666666666</v>
      </c>
      <c r="J1154" s="14">
        <f t="shared" ca="1" si="71"/>
        <v>128.79602499999999</v>
      </c>
      <c r="K1154" s="14">
        <f t="shared" ca="1" si="71"/>
        <v>129.22321666666667</v>
      </c>
      <c r="L1154" s="14">
        <f t="shared" ca="1" si="72"/>
        <v>129.57788333333335</v>
      </c>
      <c r="M1154" s="14">
        <f t="shared" ca="1" si="72"/>
        <v>126.16475833333334</v>
      </c>
      <c r="N1154" s="14">
        <f t="shared" ca="1" si="72"/>
        <v>126.18020833333333</v>
      </c>
      <c r="O1154" s="14">
        <f t="shared" ca="1" si="72"/>
        <v>126.35563333333334</v>
      </c>
      <c r="P1154" s="14">
        <f t="shared" ca="1" si="72"/>
        <v>126.57899166666665</v>
      </c>
      <c r="Q1154" s="14">
        <f t="shared" ca="1" si="72"/>
        <v>126.95033333333332</v>
      </c>
      <c r="R1154" s="14">
        <f t="shared" ca="1" si="72"/>
        <v>127.85470833333333</v>
      </c>
      <c r="S1154" s="14">
        <f t="shared" ca="1" si="72"/>
        <v>123.769975</v>
      </c>
      <c r="T1154" s="49">
        <f t="shared" ca="1" si="73"/>
        <v>357.24568100000005</v>
      </c>
      <c r="U1154" s="49">
        <f t="shared" ca="1" si="73"/>
        <v>142.03263249999998</v>
      </c>
      <c r="V1154" s="49">
        <f t="shared" ca="1" si="73"/>
        <v>50.187500000000007</v>
      </c>
      <c r="W1154" s="49">
        <f t="shared" ca="1" si="73"/>
        <v>5.0822234999999996</v>
      </c>
      <c r="X1154" s="49">
        <f t="shared" ca="1" si="73"/>
        <v>20.758966663999999</v>
      </c>
      <c r="Y1154" s="14"/>
      <c r="Z1154" s="14"/>
      <c r="AA1154" s="14"/>
      <c r="AB1154" s="14">
        <f t="shared" ca="1" si="70"/>
        <v>128.87014524310874</v>
      </c>
      <c r="AC1154" s="14">
        <f t="shared" ca="1" si="70"/>
        <v>126.31176115107912</v>
      </c>
    </row>
    <row r="1155" spans="1:29" ht="15" x14ac:dyDescent="0.2">
      <c r="A1155" s="10">
        <f t="shared" si="63"/>
        <v>2098</v>
      </c>
      <c r="B1155" s="14">
        <f t="shared" ca="1" si="71"/>
        <v>133.69276666666664</v>
      </c>
      <c r="C1155" s="14">
        <f t="shared" ca="1" si="71"/>
        <v>133.69903333333335</v>
      </c>
      <c r="D1155" s="14">
        <f t="shared" ca="1" si="71"/>
        <v>133.84591666666665</v>
      </c>
      <c r="E1155" s="14">
        <f t="shared" ca="1" si="71"/>
        <v>133.87832500000005</v>
      </c>
      <c r="F1155" s="14">
        <f t="shared" ca="1" si="71"/>
        <v>133.67958333333334</v>
      </c>
      <c r="G1155" s="14">
        <f t="shared" ca="1" si="71"/>
        <v>133.69534999999999</v>
      </c>
      <c r="H1155" s="14">
        <f t="shared" ca="1" si="71"/>
        <v>133.86745833333333</v>
      </c>
      <c r="I1155" s="14">
        <f t="shared" ca="1" si="71"/>
        <v>134.11894166666667</v>
      </c>
      <c r="J1155" s="14">
        <f t="shared" ca="1" si="71"/>
        <v>133.67258333333334</v>
      </c>
      <c r="K1155" s="14">
        <f t="shared" ca="1" si="71"/>
        <v>134.11506666666668</v>
      </c>
      <c r="L1155" s="14">
        <f t="shared" ca="1" si="72"/>
        <v>134.45445833333332</v>
      </c>
      <c r="M1155" s="14">
        <f t="shared" ca="1" si="72"/>
        <v>130.94142499999998</v>
      </c>
      <c r="N1155" s="14">
        <f t="shared" ca="1" si="72"/>
        <v>130.95686666666668</v>
      </c>
      <c r="O1155" s="14">
        <f t="shared" ca="1" si="72"/>
        <v>131.13230000000001</v>
      </c>
      <c r="P1155" s="14">
        <f t="shared" ca="1" si="72"/>
        <v>131.37028333333333</v>
      </c>
      <c r="Q1155" s="14">
        <f t="shared" ca="1" si="72"/>
        <v>131.727</v>
      </c>
      <c r="R1155" s="14">
        <f t="shared" ca="1" si="72"/>
        <v>132.64329999999998</v>
      </c>
      <c r="S1155" s="14">
        <f t="shared" ca="1" si="72"/>
        <v>128.45587500000002</v>
      </c>
      <c r="T1155" s="49">
        <f t="shared" ca="1" si="73"/>
        <v>357.24568100000005</v>
      </c>
      <c r="U1155" s="49">
        <f t="shared" ca="1" si="73"/>
        <v>142.03263249999998</v>
      </c>
      <c r="V1155" s="49">
        <f t="shared" ca="1" si="73"/>
        <v>50.187500000000007</v>
      </c>
      <c r="W1155" s="49">
        <f t="shared" ca="1" si="73"/>
        <v>5.0822234999999996</v>
      </c>
      <c r="X1155" s="49">
        <f t="shared" ca="1" si="73"/>
        <v>20.758966663999999</v>
      </c>
      <c r="Y1155" s="14"/>
      <c r="Z1155" s="14"/>
      <c r="AA1155" s="14"/>
      <c r="AB1155" s="14">
        <f t="shared" ca="1" si="70"/>
        <v>133.74796829180337</v>
      </c>
      <c r="AC1155" s="14">
        <f t="shared" ca="1" si="70"/>
        <v>131.09053165467625</v>
      </c>
    </row>
    <row r="1156" spans="1:29" ht="15" x14ac:dyDescent="0.2">
      <c r="A1156" s="10">
        <f t="shared" si="63"/>
        <v>2099</v>
      </c>
      <c r="B1156" s="14">
        <f t="shared" ca="1" si="71"/>
        <v>138.75396666666666</v>
      </c>
      <c r="C1156" s="14">
        <f t="shared" ca="1" si="71"/>
        <v>138.76025000000001</v>
      </c>
      <c r="D1156" s="14">
        <f t="shared" ca="1" si="71"/>
        <v>138.90711666666667</v>
      </c>
      <c r="E1156" s="14">
        <f t="shared" ca="1" si="71"/>
        <v>138.93954166666666</v>
      </c>
      <c r="F1156" s="14">
        <f t="shared" ca="1" si="71"/>
        <v>138.74077500000001</v>
      </c>
      <c r="G1156" s="14">
        <f t="shared" ca="1" si="71"/>
        <v>138.75653333333335</v>
      </c>
      <c r="H1156" s="14">
        <f t="shared" ca="1" si="71"/>
        <v>138.92864999999998</v>
      </c>
      <c r="I1156" s="14">
        <f t="shared" ca="1" si="71"/>
        <v>139.19599166666666</v>
      </c>
      <c r="J1156" s="14">
        <f t="shared" ca="1" si="71"/>
        <v>138.73377500000001</v>
      </c>
      <c r="K1156" s="14">
        <f t="shared" ca="1" si="71"/>
        <v>139.192125</v>
      </c>
      <c r="L1156" s="14">
        <f t="shared" ca="1" si="72"/>
        <v>139.51564999999997</v>
      </c>
      <c r="M1156" s="14">
        <f t="shared" ca="1" si="72"/>
        <v>135.89892500000002</v>
      </c>
      <c r="N1156" s="14">
        <f t="shared" ca="1" si="72"/>
        <v>135.91435000000001</v>
      </c>
      <c r="O1156" s="14">
        <f t="shared" ca="1" si="72"/>
        <v>136.089775</v>
      </c>
      <c r="P1156" s="14">
        <f t="shared" ca="1" si="72"/>
        <v>136.34300833333333</v>
      </c>
      <c r="Q1156" s="14">
        <f t="shared" ca="1" si="72"/>
        <v>136.68447499999999</v>
      </c>
      <c r="R1156" s="14">
        <f t="shared" ca="1" si="72"/>
        <v>137.61319166666667</v>
      </c>
      <c r="S1156" s="14">
        <f t="shared" ca="1" si="72"/>
        <v>133.31915000000001</v>
      </c>
      <c r="T1156" s="49">
        <f t="shared" ca="1" si="73"/>
        <v>357.24568100000005</v>
      </c>
      <c r="U1156" s="49">
        <f t="shared" ca="1" si="73"/>
        <v>142.03263249999998</v>
      </c>
      <c r="V1156" s="49">
        <f t="shared" ca="1" si="73"/>
        <v>50.187500000000007</v>
      </c>
      <c r="W1156" s="49">
        <f t="shared" ca="1" si="73"/>
        <v>5.0822234999999996</v>
      </c>
      <c r="X1156" s="49">
        <f t="shared" ca="1" si="73"/>
        <v>20.758966663999999</v>
      </c>
      <c r="Y1156" s="14"/>
      <c r="Z1156" s="14"/>
      <c r="AA1156" s="14"/>
      <c r="AB1156" s="14">
        <f t="shared" ca="1" si="70"/>
        <v>138.8104743709778</v>
      </c>
      <c r="AC1156" s="14">
        <f t="shared" ca="1" si="70"/>
        <v>136.0502100119904</v>
      </c>
    </row>
    <row r="1157" spans="1:29" ht="15" x14ac:dyDescent="0.2">
      <c r="A1157" s="10">
        <f t="shared" si="63"/>
        <v>2100</v>
      </c>
      <c r="B1157" s="14">
        <f t="shared" ca="1" si="71"/>
        <v>144.00669166666668</v>
      </c>
      <c r="C1157" s="14">
        <f t="shared" ca="1" si="71"/>
        <v>144.01297500000001</v>
      </c>
      <c r="D1157" s="14">
        <f t="shared" ca="1" si="71"/>
        <v>144.15985833333335</v>
      </c>
      <c r="E1157" s="14">
        <f t="shared" ca="1" si="71"/>
        <v>144.192275</v>
      </c>
      <c r="F1157" s="14">
        <f t="shared" ca="1" si="71"/>
        <v>143.99353333333335</v>
      </c>
      <c r="G1157" s="14">
        <f t="shared" ca="1" si="71"/>
        <v>144.009275</v>
      </c>
      <c r="H1157" s="14">
        <f t="shared" ca="1" si="71"/>
        <v>144.18140000000002</v>
      </c>
      <c r="I1157" s="14">
        <f t="shared" ca="1" si="71"/>
        <v>144.46518333333333</v>
      </c>
      <c r="J1157" s="14">
        <f t="shared" ca="1" si="71"/>
        <v>143.98653333333334</v>
      </c>
      <c r="K1157" s="14">
        <f t="shared" ca="1" si="71"/>
        <v>144.46129166666665</v>
      </c>
      <c r="L1157" s="14">
        <f t="shared" ca="1" si="72"/>
        <v>144.76840000000001</v>
      </c>
      <c r="M1157" s="14">
        <f t="shared" ca="1" si="72"/>
        <v>141.04403333333335</v>
      </c>
      <c r="N1157" s="14">
        <f t="shared" ca="1" si="72"/>
        <v>141.05946666666665</v>
      </c>
      <c r="O1157" s="14">
        <f t="shared" ca="1" si="72"/>
        <v>141.23491666666666</v>
      </c>
      <c r="P1157" s="14">
        <f t="shared" ca="1" si="72"/>
        <v>141.50388333333333</v>
      </c>
      <c r="Q1157" s="14">
        <f t="shared" ca="1" si="72"/>
        <v>141.82961666666668</v>
      </c>
      <c r="R1157" s="14">
        <f t="shared" ca="1" si="72"/>
        <v>142.77119166666668</v>
      </c>
      <c r="S1157" s="14">
        <f t="shared" ca="1" si="72"/>
        <v>138.36653333333334</v>
      </c>
      <c r="T1157" s="49">
        <f t="shared" ca="1" si="73"/>
        <v>358.17703550000004</v>
      </c>
      <c r="U1157" s="49">
        <f t="shared" ca="1" si="73"/>
        <v>142.42176299999997</v>
      </c>
      <c r="V1157" s="49">
        <f t="shared" ca="1" si="73"/>
        <v>50.325000000000003</v>
      </c>
      <c r="W1157" s="49">
        <f t="shared" ca="1" si="73"/>
        <v>5.0961473999999995</v>
      </c>
      <c r="X1157" s="49">
        <f t="shared" ca="1" si="73"/>
        <v>20.758966663999999</v>
      </c>
      <c r="Y1157" s="14"/>
      <c r="Z1157" s="14"/>
      <c r="AA1157" s="14"/>
      <c r="AB1157" s="14">
        <f t="shared" ca="1" si="70"/>
        <v>144.06457035544997</v>
      </c>
      <c r="AC1157" s="14">
        <f t="shared" ca="1" si="70"/>
        <v>141.19760251798562</v>
      </c>
    </row>
    <row r="1158" spans="1:29" ht="15" x14ac:dyDescent="0.2">
      <c r="A1158" s="10"/>
    </row>
    <row r="1159" spans="1:29" ht="15" x14ac:dyDescent="0.2">
      <c r="A1159" s="10"/>
    </row>
    <row r="1160" spans="1:29" ht="15" x14ac:dyDescent="0.2">
      <c r="A1160" s="10"/>
    </row>
    <row r="1161" spans="1:29" ht="15" x14ac:dyDescent="0.2">
      <c r="A1161" s="10"/>
    </row>
    <row r="1162" spans="1:29" ht="15" x14ac:dyDescent="0.2">
      <c r="A1162" s="10"/>
    </row>
    <row r="1163" spans="1:29" ht="15" x14ac:dyDescent="0.2">
      <c r="A1163" s="10"/>
    </row>
    <row r="1164" spans="1:29" ht="15" x14ac:dyDescent="0.2">
      <c r="A1164" s="10"/>
    </row>
    <row r="1165" spans="1:29" ht="15" x14ac:dyDescent="0.2">
      <c r="A1165" s="10"/>
    </row>
    <row r="1166" spans="1:29" ht="15" x14ac:dyDescent="0.2">
      <c r="A1166" s="10"/>
    </row>
    <row r="1167" spans="1:29" ht="15" x14ac:dyDescent="0.2">
      <c r="A1167" s="10"/>
    </row>
    <row r="1168" spans="1:29" ht="15" x14ac:dyDescent="0.2">
      <c r="A1168" s="10"/>
    </row>
    <row r="1169" spans="1:1" ht="15" x14ac:dyDescent="0.2">
      <c r="A1169" s="10"/>
    </row>
    <row r="1170" spans="1:1" ht="15" x14ac:dyDescent="0.2">
      <c r="A1170" s="10"/>
    </row>
    <row r="1171" spans="1:1" ht="15" x14ac:dyDescent="0.2">
      <c r="A1171" s="10"/>
    </row>
    <row r="1172" spans="1:1" ht="15" x14ac:dyDescent="0.2">
      <c r="A1172" s="10"/>
    </row>
  </sheetData>
  <mergeCells count="4">
    <mergeCell ref="Z9:AA9"/>
    <mergeCell ref="T9:Y9"/>
    <mergeCell ref="T10:Y10"/>
    <mergeCell ref="T8:Y8"/>
  </mergeCells>
  <pageMargins left="0.25" right="0.25" top="0.5" bottom="0.5" header="0.25" footer="0.25"/>
  <pageSetup paperSize="17" scale="35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locked="0" defaultSize="0" autoLine="0" autoPict="0">
                <anchor moveWithCells="1">
                  <from>
                    <xdr:col>7</xdr:col>
                    <xdr:colOff>285750</xdr:colOff>
                    <xdr:row>7</xdr:row>
                    <xdr:rowOff>28575</xdr:rowOff>
                  </from>
                  <to>
                    <xdr:col>8</xdr:col>
                    <xdr:colOff>552450</xdr:colOff>
                    <xdr:row>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locked="0" defaultSize="0" autoLine="0" autoPict="0">
                <anchor moveWithCells="1">
                  <from>
                    <xdr:col>11</xdr:col>
                    <xdr:colOff>0</xdr:colOff>
                    <xdr:row>7</xdr:row>
                    <xdr:rowOff>133350</xdr:rowOff>
                  </from>
                  <to>
                    <xdr:col>12</xdr:col>
                    <xdr:colOff>266700</xdr:colOff>
                    <xdr:row>9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D1176"/>
  <sheetViews>
    <sheetView zoomScale="70" zoomScaleNormal="70" workbookViewId="0">
      <pane xSplit="1" ySplit="11" topLeftCell="I1069" activePane="bottomRight" state="frozen"/>
      <selection activeCell="A4" sqref="A4:XFD6"/>
      <selection pane="topRight" activeCell="A4" sqref="A4:XFD6"/>
      <selection pane="bottomLeft" activeCell="A4" sqref="A4:XFD6"/>
      <selection pane="bottomRight" activeCell="A7" sqref="A7"/>
    </sheetView>
  </sheetViews>
  <sheetFormatPr defaultColWidth="7.109375" defaultRowHeight="12.75" x14ac:dyDescent="0.2"/>
  <cols>
    <col min="1" max="1" width="19.21875" style="31" customWidth="1"/>
    <col min="2" max="2" width="7.88671875" style="31" customWidth="1"/>
    <col min="3" max="14" width="13" style="8" customWidth="1"/>
    <col min="15" max="19" width="20.6640625" style="8" customWidth="1"/>
    <col min="20" max="20" width="15.44140625" style="8" customWidth="1"/>
    <col min="21" max="21" width="7.77734375" style="8" customWidth="1"/>
    <col min="22" max="16384" width="7.109375" style="8"/>
  </cols>
  <sheetData>
    <row r="1" spans="1:30" ht="15.75" x14ac:dyDescent="0.25">
      <c r="A1" s="108" t="s">
        <v>91</v>
      </c>
    </row>
    <row r="2" spans="1:30" ht="15.75" x14ac:dyDescent="0.25">
      <c r="A2" s="108" t="s">
        <v>92</v>
      </c>
    </row>
    <row r="3" spans="1:30" ht="15.75" x14ac:dyDescent="0.25">
      <c r="A3" s="108" t="s">
        <v>93</v>
      </c>
    </row>
    <row r="4" spans="1:30" ht="15.75" x14ac:dyDescent="0.25">
      <c r="A4" s="108" t="s">
        <v>94</v>
      </c>
    </row>
    <row r="5" spans="1:30" ht="15.75" x14ac:dyDescent="0.25">
      <c r="A5" s="108" t="s">
        <v>96</v>
      </c>
    </row>
    <row r="6" spans="1:30" ht="15.75" x14ac:dyDescent="0.25">
      <c r="A6" s="108" t="s">
        <v>101</v>
      </c>
    </row>
    <row r="8" spans="1:30" ht="15.75" x14ac:dyDescent="0.25">
      <c r="A8" s="43" t="s">
        <v>27</v>
      </c>
      <c r="B8" s="43"/>
      <c r="C8" s="106"/>
      <c r="O8" s="78"/>
      <c r="P8" s="78"/>
      <c r="Q8" s="78"/>
      <c r="R8" s="78"/>
      <c r="S8" s="78"/>
    </row>
    <row r="9" spans="1:30" ht="15.75" x14ac:dyDescent="0.25">
      <c r="A9" s="43"/>
      <c r="C9" s="117" t="s">
        <v>90</v>
      </c>
      <c r="D9" s="117"/>
      <c r="E9" s="117"/>
      <c r="F9" s="117"/>
      <c r="G9" s="105"/>
      <c r="H9" s="105"/>
      <c r="I9" s="122" t="s">
        <v>89</v>
      </c>
      <c r="J9" s="123"/>
      <c r="K9" s="123"/>
      <c r="L9" s="104"/>
      <c r="M9" s="80"/>
      <c r="N9" s="103"/>
      <c r="O9" s="121"/>
      <c r="P9" s="121"/>
      <c r="Q9" s="121"/>
      <c r="R9" s="102"/>
      <c r="S9" s="102"/>
    </row>
    <row r="10" spans="1:30" ht="97.9" customHeight="1" x14ac:dyDescent="0.25">
      <c r="A10" s="101"/>
      <c r="B10" s="101"/>
      <c r="C10" s="73" t="s">
        <v>76</v>
      </c>
      <c r="D10" s="77" t="s">
        <v>75</v>
      </c>
      <c r="E10" s="73" t="s">
        <v>74</v>
      </c>
      <c r="F10" s="73" t="s">
        <v>73</v>
      </c>
      <c r="G10" s="77" t="s">
        <v>72</v>
      </c>
      <c r="H10" s="77" t="s">
        <v>71</v>
      </c>
      <c r="I10" s="77" t="s">
        <v>70</v>
      </c>
      <c r="J10" s="77" t="s">
        <v>69</v>
      </c>
      <c r="K10" s="77" t="s">
        <v>68</v>
      </c>
      <c r="L10" s="73" t="s">
        <v>88</v>
      </c>
      <c r="M10" s="74" t="s">
        <v>67</v>
      </c>
      <c r="N10" s="37" t="s">
        <v>66</v>
      </c>
      <c r="O10" s="76" t="s">
        <v>87</v>
      </c>
      <c r="P10" s="76" t="s">
        <v>86</v>
      </c>
      <c r="Q10" s="76" t="s">
        <v>85</v>
      </c>
      <c r="R10" s="76" t="s">
        <v>84</v>
      </c>
      <c r="S10" s="100" t="s">
        <v>83</v>
      </c>
      <c r="T10" s="39" t="s">
        <v>82</v>
      </c>
    </row>
    <row r="11" spans="1:30" ht="15.75" x14ac:dyDescent="0.25">
      <c r="A11" s="38" t="s">
        <v>15</v>
      </c>
      <c r="B11" s="38" t="s">
        <v>81</v>
      </c>
      <c r="C11" s="38" t="s">
        <v>80</v>
      </c>
      <c r="D11" s="38" t="s">
        <v>80</v>
      </c>
      <c r="E11" s="38" t="s">
        <v>80</v>
      </c>
      <c r="F11" s="38" t="s">
        <v>80</v>
      </c>
      <c r="G11" s="38" t="s">
        <v>80</v>
      </c>
      <c r="H11" s="38" t="s">
        <v>80</v>
      </c>
      <c r="I11" s="38" t="s">
        <v>80</v>
      </c>
      <c r="J11" s="38" t="s">
        <v>80</v>
      </c>
      <c r="K11" s="38" t="s">
        <v>80</v>
      </c>
      <c r="L11" s="38" t="s">
        <v>80</v>
      </c>
      <c r="M11" s="99" t="s">
        <v>80</v>
      </c>
      <c r="N11" s="38" t="s">
        <v>80</v>
      </c>
      <c r="O11" s="38" t="s">
        <v>80</v>
      </c>
      <c r="P11" s="38" t="s">
        <v>80</v>
      </c>
      <c r="Q11" s="38" t="s">
        <v>80</v>
      </c>
      <c r="R11" s="38" t="s">
        <v>80</v>
      </c>
      <c r="S11" s="38" t="s">
        <v>80</v>
      </c>
      <c r="T11" s="38" t="s">
        <v>80</v>
      </c>
    </row>
    <row r="12" spans="1:30" ht="15" x14ac:dyDescent="0.2">
      <c r="A12" s="13">
        <v>41275</v>
      </c>
      <c r="B12" s="97">
        <v>31</v>
      </c>
      <c r="C12" s="83">
        <v>122.58</v>
      </c>
      <c r="D12" s="83">
        <v>297.94099999999997</v>
      </c>
      <c r="E12" s="92">
        <v>89.177000000000007</v>
      </c>
      <c r="F12" s="83">
        <v>200.30199999999999</v>
      </c>
      <c r="G12" s="86">
        <v>40</v>
      </c>
      <c r="H12" s="83">
        <v>0</v>
      </c>
      <c r="I12" s="83">
        <v>0</v>
      </c>
      <c r="J12" s="86">
        <v>100</v>
      </c>
      <c r="K12" s="86">
        <v>300</v>
      </c>
      <c r="L12" s="83">
        <v>1150</v>
      </c>
      <c r="M12" s="98"/>
      <c r="N12" s="83">
        <v>125</v>
      </c>
      <c r="O12" s="86">
        <v>240</v>
      </c>
      <c r="P12" s="86">
        <v>0</v>
      </c>
      <c r="Q12" s="86">
        <v>355</v>
      </c>
      <c r="R12" s="86">
        <v>100</v>
      </c>
      <c r="S12" s="83">
        <v>695</v>
      </c>
      <c r="T12" s="83">
        <v>50</v>
      </c>
      <c r="U12" s="84"/>
      <c r="V12" s="84"/>
      <c r="W12" s="84"/>
      <c r="X12" s="84"/>
      <c r="Y12" s="84"/>
      <c r="Z12" s="84"/>
      <c r="AA12" s="84"/>
      <c r="AB12" s="84"/>
      <c r="AC12" s="84"/>
      <c r="AD12" s="84"/>
    </row>
    <row r="13" spans="1:30" ht="15" x14ac:dyDescent="0.2">
      <c r="A13" s="13">
        <v>41306</v>
      </c>
      <c r="B13" s="97">
        <v>28</v>
      </c>
      <c r="C13" s="83">
        <v>122.58</v>
      </c>
      <c r="D13" s="83">
        <v>297.94099999999997</v>
      </c>
      <c r="E13" s="92">
        <v>89.177000000000007</v>
      </c>
      <c r="F13" s="83">
        <v>200.30199999999999</v>
      </c>
      <c r="G13" s="86">
        <v>40</v>
      </c>
      <c r="H13" s="83">
        <v>0</v>
      </c>
      <c r="I13" s="83">
        <v>0</v>
      </c>
      <c r="J13" s="86">
        <v>100</v>
      </c>
      <c r="K13" s="86">
        <v>300</v>
      </c>
      <c r="L13" s="83">
        <v>1150</v>
      </c>
      <c r="M13" s="98"/>
      <c r="N13" s="83">
        <v>125</v>
      </c>
      <c r="O13" s="86">
        <v>240</v>
      </c>
      <c r="P13" s="86">
        <v>0</v>
      </c>
      <c r="Q13" s="86">
        <v>355</v>
      </c>
      <c r="R13" s="86">
        <v>100</v>
      </c>
      <c r="S13" s="83">
        <v>695</v>
      </c>
      <c r="T13" s="83">
        <v>50</v>
      </c>
      <c r="U13" s="84"/>
      <c r="V13" s="84"/>
      <c r="W13" s="84"/>
      <c r="X13" s="84"/>
      <c r="Y13" s="84"/>
      <c r="Z13" s="84"/>
      <c r="AA13" s="84"/>
      <c r="AB13" s="84"/>
      <c r="AC13" s="84"/>
      <c r="AD13" s="84"/>
    </row>
    <row r="14" spans="1:30" ht="15" x14ac:dyDescent="0.2">
      <c r="A14" s="13">
        <v>41334</v>
      </c>
      <c r="B14" s="97">
        <v>31</v>
      </c>
      <c r="C14" s="83">
        <v>122.58</v>
      </c>
      <c r="D14" s="83">
        <v>297.94099999999997</v>
      </c>
      <c r="E14" s="92">
        <v>89.177000000000007</v>
      </c>
      <c r="F14" s="83">
        <v>200.30199999999999</v>
      </c>
      <c r="G14" s="86">
        <v>40</v>
      </c>
      <c r="H14" s="83">
        <v>0</v>
      </c>
      <c r="I14" s="83">
        <v>0</v>
      </c>
      <c r="J14" s="86">
        <v>100</v>
      </c>
      <c r="K14" s="86">
        <v>300</v>
      </c>
      <c r="L14" s="83">
        <v>1150</v>
      </c>
      <c r="M14" s="98"/>
      <c r="N14" s="83">
        <v>125</v>
      </c>
      <c r="O14" s="86">
        <v>240</v>
      </c>
      <c r="P14" s="86">
        <v>0</v>
      </c>
      <c r="Q14" s="86">
        <v>355</v>
      </c>
      <c r="R14" s="86">
        <v>100</v>
      </c>
      <c r="S14" s="83">
        <v>695</v>
      </c>
      <c r="T14" s="83">
        <v>50</v>
      </c>
      <c r="U14" s="84"/>
      <c r="V14" s="84"/>
      <c r="W14" s="84"/>
      <c r="X14" s="84"/>
      <c r="Y14" s="84"/>
      <c r="Z14" s="84"/>
      <c r="AA14" s="84"/>
      <c r="AB14" s="84"/>
      <c r="AC14" s="84"/>
      <c r="AD14" s="84"/>
    </row>
    <row r="15" spans="1:30" ht="15" x14ac:dyDescent="0.2">
      <c r="A15" s="13">
        <v>41365</v>
      </c>
      <c r="B15" s="97">
        <v>30</v>
      </c>
      <c r="C15" s="83">
        <v>141.29300000000001</v>
      </c>
      <c r="D15" s="83">
        <v>267.99299999999999</v>
      </c>
      <c r="E15" s="92">
        <v>115.01600000000001</v>
      </c>
      <c r="F15" s="83">
        <v>249.69800000000001</v>
      </c>
      <c r="G15" s="86">
        <v>40</v>
      </c>
      <c r="H15" s="83">
        <v>25</v>
      </c>
      <c r="I15" s="83">
        <v>0</v>
      </c>
      <c r="J15" s="86">
        <v>100</v>
      </c>
      <c r="K15" s="86">
        <v>300</v>
      </c>
      <c r="L15" s="83">
        <v>1239</v>
      </c>
      <c r="M15" s="98"/>
      <c r="N15" s="83">
        <v>125</v>
      </c>
      <c r="O15" s="86">
        <v>240</v>
      </c>
      <c r="P15" s="86">
        <v>120</v>
      </c>
      <c r="Q15" s="86">
        <v>235</v>
      </c>
      <c r="R15" s="86">
        <v>100</v>
      </c>
      <c r="S15" s="83">
        <v>695</v>
      </c>
      <c r="T15" s="83">
        <v>50</v>
      </c>
      <c r="U15" s="84"/>
      <c r="V15" s="84"/>
      <c r="W15" s="84"/>
      <c r="X15" s="84"/>
      <c r="Y15" s="84"/>
      <c r="Z15" s="84"/>
      <c r="AA15" s="84"/>
      <c r="AB15" s="84"/>
      <c r="AC15" s="84"/>
      <c r="AD15" s="84"/>
    </row>
    <row r="16" spans="1:30" ht="15" x14ac:dyDescent="0.2">
      <c r="A16" s="13">
        <v>41395</v>
      </c>
      <c r="B16" s="97">
        <v>31</v>
      </c>
      <c r="C16" s="83">
        <v>194.20500000000001</v>
      </c>
      <c r="D16" s="83">
        <v>267.46600000000001</v>
      </c>
      <c r="E16" s="92">
        <v>133.845</v>
      </c>
      <c r="F16" s="83">
        <v>213.48400000000001</v>
      </c>
      <c r="G16" s="86">
        <v>40</v>
      </c>
      <c r="H16" s="83">
        <v>25</v>
      </c>
      <c r="I16" s="98">
        <v>30</v>
      </c>
      <c r="J16" s="86">
        <v>100</v>
      </c>
      <c r="K16" s="86">
        <v>300</v>
      </c>
      <c r="L16" s="83">
        <v>1304</v>
      </c>
      <c r="M16" s="98"/>
      <c r="N16" s="83">
        <v>100</v>
      </c>
      <c r="O16" s="86">
        <v>240</v>
      </c>
      <c r="P16" s="86">
        <v>120</v>
      </c>
      <c r="Q16" s="86">
        <v>235</v>
      </c>
      <c r="R16" s="86">
        <v>100</v>
      </c>
      <c r="S16" s="83">
        <v>695</v>
      </c>
      <c r="T16" s="83">
        <v>50</v>
      </c>
      <c r="U16" s="84"/>
      <c r="V16" s="84"/>
      <c r="W16" s="84"/>
      <c r="X16" s="84"/>
      <c r="Y16" s="84"/>
      <c r="Z16" s="84"/>
      <c r="AA16" s="84"/>
      <c r="AB16" s="84"/>
      <c r="AC16" s="84"/>
      <c r="AD16" s="84"/>
    </row>
    <row r="17" spans="1:30" ht="15" x14ac:dyDescent="0.2">
      <c r="A17" s="13">
        <v>41426</v>
      </c>
      <c r="B17" s="97">
        <v>30</v>
      </c>
      <c r="C17" s="83">
        <v>194.20500000000001</v>
      </c>
      <c r="D17" s="83">
        <v>267.46600000000001</v>
      </c>
      <c r="E17" s="92">
        <v>133.845</v>
      </c>
      <c r="F17" s="83">
        <v>213.48400000000001</v>
      </c>
      <c r="G17" s="86">
        <v>40</v>
      </c>
      <c r="H17" s="83">
        <v>25</v>
      </c>
      <c r="I17" s="98">
        <v>30</v>
      </c>
      <c r="J17" s="86">
        <v>100</v>
      </c>
      <c r="K17" s="86">
        <v>300</v>
      </c>
      <c r="L17" s="83">
        <v>1304</v>
      </c>
      <c r="M17" s="98"/>
      <c r="N17" s="83">
        <v>55</v>
      </c>
      <c r="O17" s="86">
        <v>240</v>
      </c>
      <c r="P17" s="86">
        <v>120</v>
      </c>
      <c r="Q17" s="86">
        <v>235</v>
      </c>
      <c r="R17" s="86">
        <v>100</v>
      </c>
      <c r="S17" s="83">
        <v>695</v>
      </c>
      <c r="T17" s="83">
        <v>50</v>
      </c>
      <c r="U17" s="84"/>
      <c r="V17" s="84"/>
      <c r="W17" s="84"/>
      <c r="X17" s="84"/>
      <c r="Y17" s="84"/>
      <c r="Z17" s="84"/>
      <c r="AA17" s="84"/>
      <c r="AB17" s="84"/>
      <c r="AC17" s="84"/>
      <c r="AD17" s="84"/>
    </row>
    <row r="18" spans="1:30" ht="15" x14ac:dyDescent="0.2">
      <c r="A18" s="13">
        <v>41456</v>
      </c>
      <c r="B18" s="97">
        <v>31</v>
      </c>
      <c r="C18" s="83">
        <v>194.20500000000001</v>
      </c>
      <c r="D18" s="83">
        <v>267.46600000000001</v>
      </c>
      <c r="E18" s="92">
        <v>133.845</v>
      </c>
      <c r="F18" s="83">
        <v>213.48400000000001</v>
      </c>
      <c r="G18" s="86">
        <v>40</v>
      </c>
      <c r="H18" s="83">
        <v>25</v>
      </c>
      <c r="I18" s="98">
        <v>30</v>
      </c>
      <c r="J18" s="86">
        <v>100</v>
      </c>
      <c r="K18" s="86">
        <v>300</v>
      </c>
      <c r="L18" s="83">
        <v>1304</v>
      </c>
      <c r="M18" s="98"/>
      <c r="N18" s="83">
        <v>55</v>
      </c>
      <c r="O18" s="86">
        <v>240</v>
      </c>
      <c r="P18" s="86">
        <v>120</v>
      </c>
      <c r="Q18" s="86">
        <v>235</v>
      </c>
      <c r="R18" s="86">
        <v>100</v>
      </c>
      <c r="S18" s="83">
        <v>695</v>
      </c>
      <c r="T18" s="83">
        <v>0</v>
      </c>
      <c r="U18" s="84"/>
      <c r="V18" s="84"/>
      <c r="W18" s="84"/>
      <c r="X18" s="84"/>
      <c r="Y18" s="84"/>
      <c r="Z18" s="84"/>
      <c r="AA18" s="84"/>
      <c r="AB18" s="84"/>
      <c r="AC18" s="84"/>
      <c r="AD18" s="84"/>
    </row>
    <row r="19" spans="1:30" ht="15" x14ac:dyDescent="0.2">
      <c r="A19" s="13">
        <v>41487</v>
      </c>
      <c r="B19" s="97">
        <v>31</v>
      </c>
      <c r="C19" s="83">
        <v>194.20500000000001</v>
      </c>
      <c r="D19" s="83">
        <v>267.46600000000001</v>
      </c>
      <c r="E19" s="92">
        <v>133.845</v>
      </c>
      <c r="F19" s="83">
        <v>213.48400000000001</v>
      </c>
      <c r="G19" s="86">
        <v>40</v>
      </c>
      <c r="H19" s="83">
        <v>25</v>
      </c>
      <c r="I19" s="98">
        <v>30</v>
      </c>
      <c r="J19" s="86">
        <v>100</v>
      </c>
      <c r="K19" s="86">
        <v>300</v>
      </c>
      <c r="L19" s="83">
        <v>1304</v>
      </c>
      <c r="M19" s="98"/>
      <c r="N19" s="83">
        <v>55</v>
      </c>
      <c r="O19" s="86">
        <v>240</v>
      </c>
      <c r="P19" s="86">
        <v>120</v>
      </c>
      <c r="Q19" s="86">
        <v>235</v>
      </c>
      <c r="R19" s="86">
        <v>100</v>
      </c>
      <c r="S19" s="83">
        <v>695</v>
      </c>
      <c r="T19" s="83">
        <v>0</v>
      </c>
      <c r="U19" s="84"/>
      <c r="V19" s="84"/>
      <c r="W19" s="84"/>
      <c r="X19" s="84"/>
      <c r="Y19" s="84"/>
      <c r="Z19" s="84"/>
      <c r="AA19" s="84"/>
      <c r="AB19" s="84"/>
      <c r="AC19" s="84"/>
      <c r="AD19" s="84"/>
    </row>
    <row r="20" spans="1:30" ht="15" x14ac:dyDescent="0.2">
      <c r="A20" s="13">
        <v>41518</v>
      </c>
      <c r="B20" s="97">
        <v>30</v>
      </c>
      <c r="C20" s="83">
        <f>194.205</f>
        <v>194.20500000000001</v>
      </c>
      <c r="D20" s="83">
        <f>267.466</f>
        <v>267.46600000000001</v>
      </c>
      <c r="E20" s="92">
        <f>133.845</f>
        <v>133.845</v>
      </c>
      <c r="F20" s="83">
        <f>278.484-40-25</f>
        <v>213.48399999999998</v>
      </c>
      <c r="G20" s="86">
        <v>40</v>
      </c>
      <c r="H20" s="83">
        <v>25</v>
      </c>
      <c r="I20" s="98">
        <v>30</v>
      </c>
      <c r="J20" s="86">
        <v>100</v>
      </c>
      <c r="K20" s="86">
        <v>300</v>
      </c>
      <c r="L20" s="83">
        <f t="shared" ref="L20:L83" si="0">SUM(C20:K20)</f>
        <v>1304</v>
      </c>
      <c r="M20" s="98"/>
      <c r="N20" s="83">
        <f>55</f>
        <v>55</v>
      </c>
      <c r="O20" s="86">
        <v>240</v>
      </c>
      <c r="P20" s="86">
        <f>145-H20</f>
        <v>120</v>
      </c>
      <c r="Q20" s="86">
        <f t="shared" ref="Q20:Q83" si="1">695-R20-O20-P20</f>
        <v>235</v>
      </c>
      <c r="R20" s="86">
        <f t="shared" ref="R20:R83" si="2">200-J20</f>
        <v>100</v>
      </c>
      <c r="S20" s="83">
        <f t="shared" ref="S20:S83" si="3">SUM(O20:R20)</f>
        <v>695</v>
      </c>
      <c r="T20" s="83">
        <f>0</f>
        <v>0</v>
      </c>
      <c r="U20" s="84"/>
      <c r="V20" s="84"/>
      <c r="W20" s="84"/>
      <c r="X20" s="84"/>
      <c r="Y20" s="84"/>
      <c r="Z20" s="84"/>
      <c r="AA20" s="84"/>
      <c r="AB20" s="84"/>
      <c r="AC20" s="84"/>
      <c r="AD20" s="84"/>
    </row>
    <row r="21" spans="1:30" ht="15" x14ac:dyDescent="0.2">
      <c r="A21" s="13">
        <v>41548</v>
      </c>
      <c r="B21" s="97">
        <v>31</v>
      </c>
      <c r="C21" s="83">
        <f>131.881</f>
        <v>131.881</v>
      </c>
      <c r="D21" s="83">
        <f>277.167</f>
        <v>277.16699999999997</v>
      </c>
      <c r="E21" s="92">
        <f>79.08</f>
        <v>79.08</v>
      </c>
      <c r="F21" s="83">
        <f>350.872-40-25</f>
        <v>285.87200000000001</v>
      </c>
      <c r="G21" s="86">
        <v>40</v>
      </c>
      <c r="H21" s="83">
        <v>25</v>
      </c>
      <c r="I21" s="83">
        <v>0</v>
      </c>
      <c r="J21" s="86">
        <v>100</v>
      </c>
      <c r="K21" s="86">
        <v>300</v>
      </c>
      <c r="L21" s="83">
        <f t="shared" si="0"/>
        <v>1239</v>
      </c>
      <c r="M21" s="98"/>
      <c r="N21" s="83">
        <f>100</f>
        <v>100</v>
      </c>
      <c r="O21" s="86">
        <v>240</v>
      </c>
      <c r="P21" s="86">
        <f>145-H21</f>
        <v>120</v>
      </c>
      <c r="Q21" s="86">
        <f t="shared" si="1"/>
        <v>235</v>
      </c>
      <c r="R21" s="86">
        <f t="shared" si="2"/>
        <v>100</v>
      </c>
      <c r="S21" s="83">
        <f t="shared" si="3"/>
        <v>695</v>
      </c>
      <c r="T21" s="83">
        <f>0</f>
        <v>0</v>
      </c>
      <c r="U21" s="84"/>
      <c r="V21" s="84"/>
      <c r="W21" s="84"/>
      <c r="X21" s="84"/>
      <c r="Y21" s="84"/>
      <c r="Z21" s="84"/>
      <c r="AA21" s="84"/>
      <c r="AB21" s="84"/>
      <c r="AC21" s="84"/>
      <c r="AD21" s="84"/>
    </row>
    <row r="22" spans="1:30" ht="15" x14ac:dyDescent="0.2">
      <c r="A22" s="13">
        <v>41579</v>
      </c>
      <c r="B22" s="97">
        <v>30</v>
      </c>
      <c r="C22" s="83">
        <f>122.58</f>
        <v>122.58</v>
      </c>
      <c r="D22" s="83">
        <f>297.941</f>
        <v>297.94099999999997</v>
      </c>
      <c r="E22" s="92">
        <f>89.177</f>
        <v>89.177000000000007</v>
      </c>
      <c r="F22" s="83">
        <f>240.302-40</f>
        <v>200.30199999999999</v>
      </c>
      <c r="G22" s="86">
        <v>40</v>
      </c>
      <c r="H22" s="83">
        <v>0</v>
      </c>
      <c r="I22" s="83">
        <v>0</v>
      </c>
      <c r="J22" s="86">
        <v>100</v>
      </c>
      <c r="K22" s="86">
        <v>300</v>
      </c>
      <c r="L22" s="83">
        <f t="shared" si="0"/>
        <v>1150</v>
      </c>
      <c r="M22" s="98"/>
      <c r="N22" s="83">
        <f>125</f>
        <v>125</v>
      </c>
      <c r="O22" s="86">
        <v>240</v>
      </c>
      <c r="P22" s="86">
        <v>0</v>
      </c>
      <c r="Q22" s="86">
        <f t="shared" si="1"/>
        <v>355</v>
      </c>
      <c r="R22" s="86">
        <f t="shared" si="2"/>
        <v>100</v>
      </c>
      <c r="S22" s="83">
        <f t="shared" si="3"/>
        <v>695</v>
      </c>
      <c r="T22" s="83">
        <f>50</f>
        <v>50</v>
      </c>
      <c r="U22" s="84"/>
      <c r="V22" s="84"/>
      <c r="W22" s="84"/>
      <c r="X22" s="84"/>
      <c r="Y22" s="84"/>
      <c r="Z22" s="84"/>
      <c r="AA22" s="84"/>
      <c r="AB22" s="84"/>
      <c r="AC22" s="84"/>
      <c r="AD22" s="84"/>
    </row>
    <row r="23" spans="1:30" ht="15" x14ac:dyDescent="0.2">
      <c r="A23" s="13">
        <v>41609</v>
      </c>
      <c r="B23" s="97">
        <v>31</v>
      </c>
      <c r="C23" s="83">
        <f>122.58</f>
        <v>122.58</v>
      </c>
      <c r="D23" s="83">
        <f>297.941</f>
        <v>297.94099999999997</v>
      </c>
      <c r="E23" s="92">
        <f>89.177</f>
        <v>89.177000000000007</v>
      </c>
      <c r="F23" s="83">
        <f>240.302-40</f>
        <v>200.30199999999999</v>
      </c>
      <c r="G23" s="86">
        <v>40</v>
      </c>
      <c r="H23" s="83">
        <v>0</v>
      </c>
      <c r="I23" s="83">
        <v>0</v>
      </c>
      <c r="J23" s="86">
        <v>100</v>
      </c>
      <c r="K23" s="86">
        <v>300</v>
      </c>
      <c r="L23" s="83">
        <f t="shared" si="0"/>
        <v>1150</v>
      </c>
      <c r="M23" s="98"/>
      <c r="N23" s="83">
        <f>125</f>
        <v>125</v>
      </c>
      <c r="O23" s="86">
        <v>240</v>
      </c>
      <c r="P23" s="86">
        <v>0</v>
      </c>
      <c r="Q23" s="86">
        <f t="shared" si="1"/>
        <v>355</v>
      </c>
      <c r="R23" s="86">
        <f t="shared" si="2"/>
        <v>100</v>
      </c>
      <c r="S23" s="83">
        <f t="shared" si="3"/>
        <v>695</v>
      </c>
      <c r="T23" s="83">
        <f>50</f>
        <v>50</v>
      </c>
      <c r="U23" s="84"/>
      <c r="V23" s="84"/>
      <c r="W23" s="84"/>
      <c r="X23" s="84"/>
      <c r="Y23" s="84"/>
      <c r="Z23" s="84"/>
      <c r="AA23" s="84"/>
      <c r="AB23" s="84"/>
      <c r="AC23" s="84"/>
      <c r="AD23" s="84"/>
    </row>
    <row r="24" spans="1:30" ht="15.75" x14ac:dyDescent="0.25">
      <c r="A24" s="13">
        <v>41640</v>
      </c>
      <c r="B24" s="97">
        <v>31</v>
      </c>
      <c r="C24" s="83">
        <f>122.58</f>
        <v>122.58</v>
      </c>
      <c r="D24" s="83">
        <f>297.941</f>
        <v>297.94099999999997</v>
      </c>
      <c r="E24" s="92">
        <f>89.177</f>
        <v>89.177000000000007</v>
      </c>
      <c r="F24" s="83">
        <f>240.302-40</f>
        <v>200.30199999999999</v>
      </c>
      <c r="G24" s="86">
        <v>40</v>
      </c>
      <c r="H24" s="83">
        <v>0</v>
      </c>
      <c r="I24" s="83">
        <v>0</v>
      </c>
      <c r="J24" s="86">
        <v>100</v>
      </c>
      <c r="K24" s="86">
        <v>300</v>
      </c>
      <c r="L24" s="83">
        <f t="shared" si="0"/>
        <v>1150</v>
      </c>
      <c r="M24" s="94"/>
      <c r="N24" s="83">
        <f>100</f>
        <v>100</v>
      </c>
      <c r="O24" s="86">
        <v>240</v>
      </c>
      <c r="P24" s="86">
        <v>0</v>
      </c>
      <c r="Q24" s="86">
        <f t="shared" si="1"/>
        <v>355</v>
      </c>
      <c r="R24" s="86">
        <f t="shared" si="2"/>
        <v>100</v>
      </c>
      <c r="S24" s="83">
        <f t="shared" si="3"/>
        <v>695</v>
      </c>
      <c r="T24" s="83">
        <f>50</f>
        <v>50</v>
      </c>
      <c r="U24" s="84"/>
      <c r="V24" s="84"/>
      <c r="W24" s="84"/>
      <c r="X24" s="84"/>
      <c r="Y24" s="84"/>
      <c r="Z24" s="84"/>
      <c r="AA24" s="84"/>
      <c r="AB24" s="84"/>
      <c r="AC24" s="84"/>
      <c r="AD24" s="84"/>
    </row>
    <row r="25" spans="1:30" ht="15.75" x14ac:dyDescent="0.25">
      <c r="A25" s="13">
        <v>41671</v>
      </c>
      <c r="B25" s="97">
        <v>28</v>
      </c>
      <c r="C25" s="83">
        <f>122.58</f>
        <v>122.58</v>
      </c>
      <c r="D25" s="83">
        <f>297.941</f>
        <v>297.94099999999997</v>
      </c>
      <c r="E25" s="92">
        <f>89.177</f>
        <v>89.177000000000007</v>
      </c>
      <c r="F25" s="83">
        <f>240.302-40</f>
        <v>200.30199999999999</v>
      </c>
      <c r="G25" s="86">
        <v>40</v>
      </c>
      <c r="H25" s="83">
        <v>0</v>
      </c>
      <c r="I25" s="83">
        <v>0</v>
      </c>
      <c r="J25" s="86">
        <v>100</v>
      </c>
      <c r="K25" s="86">
        <v>300</v>
      </c>
      <c r="L25" s="83">
        <f t="shared" si="0"/>
        <v>1150</v>
      </c>
      <c r="M25" s="94"/>
      <c r="N25" s="83">
        <f>100</f>
        <v>100</v>
      </c>
      <c r="O25" s="86">
        <v>240</v>
      </c>
      <c r="P25" s="86">
        <v>0</v>
      </c>
      <c r="Q25" s="86">
        <f t="shared" si="1"/>
        <v>355</v>
      </c>
      <c r="R25" s="86">
        <f t="shared" si="2"/>
        <v>100</v>
      </c>
      <c r="S25" s="83">
        <f t="shared" si="3"/>
        <v>695</v>
      </c>
      <c r="T25" s="83">
        <f>50</f>
        <v>50</v>
      </c>
      <c r="U25" s="84"/>
      <c r="V25" s="84"/>
      <c r="W25" s="84"/>
      <c r="X25" s="84"/>
      <c r="Y25" s="84"/>
      <c r="Z25" s="84"/>
      <c r="AA25" s="84"/>
      <c r="AB25" s="84"/>
      <c r="AC25" s="84"/>
      <c r="AD25" s="84"/>
    </row>
    <row r="26" spans="1:30" ht="15.75" x14ac:dyDescent="0.25">
      <c r="A26" s="13">
        <v>41699</v>
      </c>
      <c r="B26" s="97">
        <v>31</v>
      </c>
      <c r="C26" s="83">
        <f>122.58</f>
        <v>122.58</v>
      </c>
      <c r="D26" s="83">
        <f>297.941</f>
        <v>297.94099999999997</v>
      </c>
      <c r="E26" s="92">
        <f>89.177</f>
        <v>89.177000000000007</v>
      </c>
      <c r="F26" s="83">
        <f>240.302-40</f>
        <v>200.30199999999999</v>
      </c>
      <c r="G26" s="86">
        <v>40</v>
      </c>
      <c r="H26" s="83">
        <v>0</v>
      </c>
      <c r="I26" s="83">
        <v>0</v>
      </c>
      <c r="J26" s="86">
        <v>100</v>
      </c>
      <c r="K26" s="86">
        <v>300</v>
      </c>
      <c r="L26" s="83">
        <f t="shared" si="0"/>
        <v>1150</v>
      </c>
      <c r="M26" s="94"/>
      <c r="N26" s="83">
        <f>100</f>
        <v>100</v>
      </c>
      <c r="O26" s="86">
        <v>240</v>
      </c>
      <c r="P26" s="86">
        <v>0</v>
      </c>
      <c r="Q26" s="86">
        <f t="shared" si="1"/>
        <v>355</v>
      </c>
      <c r="R26" s="86">
        <f t="shared" si="2"/>
        <v>100</v>
      </c>
      <c r="S26" s="83">
        <f t="shared" si="3"/>
        <v>695</v>
      </c>
      <c r="T26" s="83">
        <f>50</f>
        <v>50</v>
      </c>
      <c r="U26" s="84"/>
      <c r="V26" s="84"/>
      <c r="W26" s="84"/>
      <c r="X26" s="84"/>
      <c r="Y26" s="84"/>
      <c r="Z26" s="84"/>
      <c r="AA26" s="84"/>
      <c r="AB26" s="84"/>
      <c r="AC26" s="84"/>
      <c r="AD26" s="84"/>
    </row>
    <row r="27" spans="1:30" ht="15.75" x14ac:dyDescent="0.25">
      <c r="A27" s="13">
        <v>41730</v>
      </c>
      <c r="B27" s="97">
        <v>30</v>
      </c>
      <c r="C27" s="83">
        <f>141.293</f>
        <v>141.29300000000001</v>
      </c>
      <c r="D27" s="83">
        <f>267.993</f>
        <v>267.99299999999999</v>
      </c>
      <c r="E27" s="92">
        <f>115.016</f>
        <v>115.01600000000001</v>
      </c>
      <c r="F27" s="83">
        <f>314.698-40-25</f>
        <v>249.69799999999998</v>
      </c>
      <c r="G27" s="86">
        <v>40</v>
      </c>
      <c r="H27" s="83">
        <v>25</v>
      </c>
      <c r="I27" s="83">
        <v>0</v>
      </c>
      <c r="J27" s="86">
        <v>100</v>
      </c>
      <c r="K27" s="86">
        <v>300</v>
      </c>
      <c r="L27" s="83">
        <f t="shared" si="0"/>
        <v>1239</v>
      </c>
      <c r="M27" s="94"/>
      <c r="N27" s="83">
        <f>100</f>
        <v>100</v>
      </c>
      <c r="O27" s="86">
        <v>240</v>
      </c>
      <c r="P27" s="86">
        <f t="shared" ref="P27:P33" si="4">145-H27</f>
        <v>120</v>
      </c>
      <c r="Q27" s="86">
        <f t="shared" si="1"/>
        <v>235</v>
      </c>
      <c r="R27" s="86">
        <f t="shared" si="2"/>
        <v>100</v>
      </c>
      <c r="S27" s="83">
        <f t="shared" si="3"/>
        <v>695</v>
      </c>
      <c r="T27" s="83">
        <f>50</f>
        <v>50</v>
      </c>
      <c r="U27" s="84"/>
      <c r="V27" s="84"/>
      <c r="W27" s="84"/>
      <c r="X27" s="84"/>
      <c r="Y27" s="84"/>
      <c r="Z27" s="84"/>
      <c r="AA27" s="84"/>
      <c r="AB27" s="84"/>
      <c r="AC27" s="84"/>
      <c r="AD27" s="84"/>
    </row>
    <row r="28" spans="1:30" ht="15.75" x14ac:dyDescent="0.25">
      <c r="A28" s="13">
        <v>41760</v>
      </c>
      <c r="B28" s="97">
        <v>31</v>
      </c>
      <c r="C28" s="83">
        <f>194.205</f>
        <v>194.20500000000001</v>
      </c>
      <c r="D28" s="83">
        <f>267.466</f>
        <v>267.46600000000001</v>
      </c>
      <c r="E28" s="92">
        <f>133.845</f>
        <v>133.845</v>
      </c>
      <c r="F28" s="83">
        <f>278.484-40-25</f>
        <v>213.48399999999998</v>
      </c>
      <c r="G28" s="86">
        <v>40</v>
      </c>
      <c r="H28" s="83">
        <v>25</v>
      </c>
      <c r="I28" s="98">
        <v>50</v>
      </c>
      <c r="J28" s="86">
        <v>100</v>
      </c>
      <c r="K28" s="86">
        <v>300</v>
      </c>
      <c r="L28" s="83">
        <f t="shared" si="0"/>
        <v>1324</v>
      </c>
      <c r="M28" s="94"/>
      <c r="N28" s="83">
        <f>75</f>
        <v>75</v>
      </c>
      <c r="O28" s="86">
        <v>240</v>
      </c>
      <c r="P28" s="86">
        <f t="shared" si="4"/>
        <v>120</v>
      </c>
      <c r="Q28" s="86">
        <f t="shared" si="1"/>
        <v>235</v>
      </c>
      <c r="R28" s="86">
        <f t="shared" si="2"/>
        <v>100</v>
      </c>
      <c r="S28" s="83">
        <f t="shared" si="3"/>
        <v>695</v>
      </c>
      <c r="T28" s="83">
        <f>50</f>
        <v>50</v>
      </c>
      <c r="U28" s="84"/>
      <c r="V28" s="84"/>
      <c r="W28" s="84"/>
      <c r="X28" s="84"/>
      <c r="Y28" s="84"/>
      <c r="Z28" s="84"/>
      <c r="AA28" s="84"/>
      <c r="AB28" s="84"/>
      <c r="AC28" s="84"/>
      <c r="AD28" s="84"/>
    </row>
    <row r="29" spans="1:30" ht="15.75" x14ac:dyDescent="0.25">
      <c r="A29" s="13">
        <v>41791</v>
      </c>
      <c r="B29" s="97">
        <v>30</v>
      </c>
      <c r="C29" s="83">
        <f>194.205</f>
        <v>194.20500000000001</v>
      </c>
      <c r="D29" s="83">
        <f>267.466</f>
        <v>267.46600000000001</v>
      </c>
      <c r="E29" s="92">
        <f>133.845</f>
        <v>133.845</v>
      </c>
      <c r="F29" s="83">
        <f>278.484-40-25</f>
        <v>213.48399999999998</v>
      </c>
      <c r="G29" s="86">
        <v>40</v>
      </c>
      <c r="H29" s="83">
        <v>25</v>
      </c>
      <c r="I29" s="98">
        <v>50</v>
      </c>
      <c r="J29" s="86">
        <v>100</v>
      </c>
      <c r="K29" s="86">
        <v>300</v>
      </c>
      <c r="L29" s="83">
        <f t="shared" si="0"/>
        <v>1324</v>
      </c>
      <c r="M29" s="94"/>
      <c r="N29" s="83">
        <f>30</f>
        <v>30</v>
      </c>
      <c r="O29" s="86">
        <v>240</v>
      </c>
      <c r="P29" s="86">
        <f t="shared" si="4"/>
        <v>120</v>
      </c>
      <c r="Q29" s="86">
        <f t="shared" si="1"/>
        <v>235</v>
      </c>
      <c r="R29" s="86">
        <f t="shared" si="2"/>
        <v>100</v>
      </c>
      <c r="S29" s="83">
        <f t="shared" si="3"/>
        <v>695</v>
      </c>
      <c r="T29" s="83">
        <f>50</f>
        <v>50</v>
      </c>
      <c r="U29" s="84"/>
      <c r="V29" s="84"/>
      <c r="W29" s="84"/>
      <c r="X29" s="84"/>
      <c r="Y29" s="84"/>
      <c r="Z29" s="84"/>
      <c r="AA29" s="84"/>
      <c r="AB29" s="84"/>
      <c r="AC29" s="84"/>
      <c r="AD29" s="84"/>
    </row>
    <row r="30" spans="1:30" ht="15.75" x14ac:dyDescent="0.25">
      <c r="A30" s="13">
        <v>41821</v>
      </c>
      <c r="B30" s="97">
        <v>31</v>
      </c>
      <c r="C30" s="83">
        <f>194.205</f>
        <v>194.20500000000001</v>
      </c>
      <c r="D30" s="83">
        <f>267.466</f>
        <v>267.46600000000001</v>
      </c>
      <c r="E30" s="92">
        <f>133.845</f>
        <v>133.845</v>
      </c>
      <c r="F30" s="83">
        <f>278.484-40-25</f>
        <v>213.48399999999998</v>
      </c>
      <c r="G30" s="86">
        <v>40</v>
      </c>
      <c r="H30" s="83">
        <v>25</v>
      </c>
      <c r="I30" s="98">
        <v>50</v>
      </c>
      <c r="J30" s="86">
        <v>100</v>
      </c>
      <c r="K30" s="86">
        <v>300</v>
      </c>
      <c r="L30" s="83">
        <f t="shared" si="0"/>
        <v>1324</v>
      </c>
      <c r="M30" s="94"/>
      <c r="N30" s="83">
        <f>30</f>
        <v>30</v>
      </c>
      <c r="O30" s="86">
        <v>240</v>
      </c>
      <c r="P30" s="86">
        <f t="shared" si="4"/>
        <v>120</v>
      </c>
      <c r="Q30" s="86">
        <f t="shared" si="1"/>
        <v>235</v>
      </c>
      <c r="R30" s="86">
        <f t="shared" si="2"/>
        <v>100</v>
      </c>
      <c r="S30" s="83">
        <f t="shared" si="3"/>
        <v>695</v>
      </c>
      <c r="T30" s="83">
        <f>0</f>
        <v>0</v>
      </c>
      <c r="U30" s="84"/>
      <c r="V30" s="84"/>
      <c r="W30" s="84"/>
      <c r="X30" s="84"/>
      <c r="Y30" s="84"/>
      <c r="Z30" s="84"/>
      <c r="AA30" s="84"/>
      <c r="AB30" s="84"/>
      <c r="AC30" s="84"/>
      <c r="AD30" s="84"/>
    </row>
    <row r="31" spans="1:30" ht="15.75" x14ac:dyDescent="0.25">
      <c r="A31" s="13">
        <v>41852</v>
      </c>
      <c r="B31" s="97">
        <v>31</v>
      </c>
      <c r="C31" s="83">
        <f>194.205</f>
        <v>194.20500000000001</v>
      </c>
      <c r="D31" s="83">
        <f>267.466</f>
        <v>267.46600000000001</v>
      </c>
      <c r="E31" s="92">
        <f>133.845</f>
        <v>133.845</v>
      </c>
      <c r="F31" s="83">
        <f>278.484-40-25</f>
        <v>213.48399999999998</v>
      </c>
      <c r="G31" s="86">
        <v>40</v>
      </c>
      <c r="H31" s="83">
        <v>25</v>
      </c>
      <c r="I31" s="98">
        <v>50</v>
      </c>
      <c r="J31" s="86">
        <v>100</v>
      </c>
      <c r="K31" s="86">
        <v>300</v>
      </c>
      <c r="L31" s="83">
        <f t="shared" si="0"/>
        <v>1324</v>
      </c>
      <c r="M31" s="94"/>
      <c r="N31" s="83">
        <f>30</f>
        <v>30</v>
      </c>
      <c r="O31" s="86">
        <v>240</v>
      </c>
      <c r="P31" s="86">
        <f t="shared" si="4"/>
        <v>120</v>
      </c>
      <c r="Q31" s="86">
        <f t="shared" si="1"/>
        <v>235</v>
      </c>
      <c r="R31" s="86">
        <f t="shared" si="2"/>
        <v>100</v>
      </c>
      <c r="S31" s="83">
        <f t="shared" si="3"/>
        <v>695</v>
      </c>
      <c r="T31" s="83">
        <f>0</f>
        <v>0</v>
      </c>
      <c r="U31" s="84"/>
      <c r="V31" s="84"/>
      <c r="W31" s="84"/>
      <c r="X31" s="84"/>
      <c r="Y31" s="84"/>
      <c r="Z31" s="84"/>
      <c r="AA31" s="84"/>
      <c r="AB31" s="84"/>
      <c r="AC31" s="84"/>
      <c r="AD31" s="84"/>
    </row>
    <row r="32" spans="1:30" ht="15.75" x14ac:dyDescent="0.25">
      <c r="A32" s="13">
        <v>41883</v>
      </c>
      <c r="B32" s="97">
        <v>30</v>
      </c>
      <c r="C32" s="83">
        <f>194.205</f>
        <v>194.20500000000001</v>
      </c>
      <c r="D32" s="83">
        <f>267.466</f>
        <v>267.46600000000001</v>
      </c>
      <c r="E32" s="92">
        <f>133.845</f>
        <v>133.845</v>
      </c>
      <c r="F32" s="83">
        <f>278.484-40-25</f>
        <v>213.48399999999998</v>
      </c>
      <c r="G32" s="86">
        <v>40</v>
      </c>
      <c r="H32" s="83">
        <v>25</v>
      </c>
      <c r="I32" s="98">
        <v>50</v>
      </c>
      <c r="J32" s="86">
        <v>100</v>
      </c>
      <c r="K32" s="86">
        <v>300</v>
      </c>
      <c r="L32" s="83">
        <f t="shared" si="0"/>
        <v>1324</v>
      </c>
      <c r="M32" s="94"/>
      <c r="N32" s="83">
        <f>30</f>
        <v>30</v>
      </c>
      <c r="O32" s="86">
        <v>240</v>
      </c>
      <c r="P32" s="86">
        <f t="shared" si="4"/>
        <v>120</v>
      </c>
      <c r="Q32" s="86">
        <f t="shared" si="1"/>
        <v>235</v>
      </c>
      <c r="R32" s="86">
        <f t="shared" si="2"/>
        <v>100</v>
      </c>
      <c r="S32" s="83">
        <f t="shared" si="3"/>
        <v>695</v>
      </c>
      <c r="T32" s="83">
        <f>0</f>
        <v>0</v>
      </c>
      <c r="U32" s="84"/>
      <c r="V32" s="84"/>
      <c r="W32" s="84"/>
      <c r="X32" s="84"/>
      <c r="Y32" s="84"/>
      <c r="Z32" s="84"/>
      <c r="AA32" s="84"/>
      <c r="AB32" s="84"/>
      <c r="AC32" s="84"/>
      <c r="AD32" s="84"/>
    </row>
    <row r="33" spans="1:30" ht="15.75" x14ac:dyDescent="0.25">
      <c r="A33" s="13">
        <v>41913</v>
      </c>
      <c r="B33" s="97">
        <v>31</v>
      </c>
      <c r="C33" s="83">
        <f>131.881</f>
        <v>131.881</v>
      </c>
      <c r="D33" s="83">
        <f>277.167</f>
        <v>277.16699999999997</v>
      </c>
      <c r="E33" s="92">
        <f>79.08</f>
        <v>79.08</v>
      </c>
      <c r="F33" s="83">
        <f>350.872-40-25</f>
        <v>285.87200000000001</v>
      </c>
      <c r="G33" s="86">
        <v>40</v>
      </c>
      <c r="H33" s="83">
        <v>25</v>
      </c>
      <c r="I33" s="83">
        <v>0</v>
      </c>
      <c r="J33" s="86">
        <v>100</v>
      </c>
      <c r="K33" s="86">
        <v>300</v>
      </c>
      <c r="L33" s="83">
        <f t="shared" si="0"/>
        <v>1239</v>
      </c>
      <c r="M33" s="94"/>
      <c r="N33" s="83">
        <f>75</f>
        <v>75</v>
      </c>
      <c r="O33" s="86">
        <v>240</v>
      </c>
      <c r="P33" s="86">
        <f t="shared" si="4"/>
        <v>120</v>
      </c>
      <c r="Q33" s="86">
        <f t="shared" si="1"/>
        <v>235</v>
      </c>
      <c r="R33" s="86">
        <f t="shared" si="2"/>
        <v>100</v>
      </c>
      <c r="S33" s="83">
        <f t="shared" si="3"/>
        <v>695</v>
      </c>
      <c r="T33" s="83">
        <f>0</f>
        <v>0</v>
      </c>
      <c r="U33" s="84"/>
      <c r="V33" s="84"/>
      <c r="W33" s="84"/>
      <c r="X33" s="84"/>
      <c r="Y33" s="84"/>
      <c r="Z33" s="84"/>
      <c r="AA33" s="84"/>
      <c r="AB33" s="84"/>
      <c r="AC33" s="84"/>
      <c r="AD33" s="84"/>
    </row>
    <row r="34" spans="1:30" ht="15.75" x14ac:dyDescent="0.25">
      <c r="A34" s="13">
        <v>41944</v>
      </c>
      <c r="B34" s="97">
        <v>30</v>
      </c>
      <c r="C34" s="83">
        <f>122.58</f>
        <v>122.58</v>
      </c>
      <c r="D34" s="83">
        <f>297.941</f>
        <v>297.94099999999997</v>
      </c>
      <c r="E34" s="92">
        <f>89.177</f>
        <v>89.177000000000007</v>
      </c>
      <c r="F34" s="83">
        <f>240.302-40</f>
        <v>200.30199999999999</v>
      </c>
      <c r="G34" s="86">
        <v>40</v>
      </c>
      <c r="H34" s="83">
        <v>0</v>
      </c>
      <c r="I34" s="83">
        <v>0</v>
      </c>
      <c r="J34" s="86">
        <v>100</v>
      </c>
      <c r="K34" s="86">
        <v>300</v>
      </c>
      <c r="L34" s="83">
        <f t="shared" si="0"/>
        <v>1150</v>
      </c>
      <c r="M34" s="94"/>
      <c r="N34" s="83">
        <f>100</f>
        <v>100</v>
      </c>
      <c r="O34" s="86">
        <v>240</v>
      </c>
      <c r="P34" s="86">
        <v>0</v>
      </c>
      <c r="Q34" s="86">
        <f t="shared" si="1"/>
        <v>355</v>
      </c>
      <c r="R34" s="86">
        <f t="shared" si="2"/>
        <v>100</v>
      </c>
      <c r="S34" s="83">
        <f t="shared" si="3"/>
        <v>695</v>
      </c>
      <c r="T34" s="83">
        <f>50</f>
        <v>50</v>
      </c>
      <c r="U34" s="84"/>
      <c r="V34" s="84"/>
      <c r="W34" s="84"/>
      <c r="X34" s="84"/>
      <c r="Y34" s="84"/>
      <c r="Z34" s="84"/>
      <c r="AA34" s="84"/>
      <c r="AB34" s="84"/>
      <c r="AC34" s="84"/>
      <c r="AD34" s="84"/>
    </row>
    <row r="35" spans="1:30" ht="15.75" x14ac:dyDescent="0.25">
      <c r="A35" s="13">
        <v>41974</v>
      </c>
      <c r="B35" s="97">
        <v>31</v>
      </c>
      <c r="C35" s="83">
        <f>122.58</f>
        <v>122.58</v>
      </c>
      <c r="D35" s="83">
        <f>297.941</f>
        <v>297.94099999999997</v>
      </c>
      <c r="E35" s="92">
        <f>89.177</f>
        <v>89.177000000000007</v>
      </c>
      <c r="F35" s="83">
        <f>240.302-40</f>
        <v>200.30199999999999</v>
      </c>
      <c r="G35" s="86">
        <v>40</v>
      </c>
      <c r="H35" s="83">
        <v>0</v>
      </c>
      <c r="I35" s="83">
        <v>0</v>
      </c>
      <c r="J35" s="86">
        <v>100</v>
      </c>
      <c r="K35" s="86">
        <v>300</v>
      </c>
      <c r="L35" s="83">
        <f t="shared" si="0"/>
        <v>1150</v>
      </c>
      <c r="M35" s="94"/>
      <c r="N35" s="83">
        <f>100</f>
        <v>100</v>
      </c>
      <c r="O35" s="86">
        <v>240</v>
      </c>
      <c r="P35" s="86">
        <v>0</v>
      </c>
      <c r="Q35" s="86">
        <f t="shared" si="1"/>
        <v>355</v>
      </c>
      <c r="R35" s="86">
        <f t="shared" si="2"/>
        <v>100</v>
      </c>
      <c r="S35" s="83">
        <f t="shared" si="3"/>
        <v>695</v>
      </c>
      <c r="T35" s="83">
        <f>50</f>
        <v>50</v>
      </c>
      <c r="U35" s="84"/>
      <c r="V35" s="84"/>
      <c r="W35" s="84"/>
      <c r="X35" s="84"/>
      <c r="Y35" s="84"/>
      <c r="Z35" s="84"/>
      <c r="AA35" s="84"/>
      <c r="AB35" s="84"/>
      <c r="AC35" s="84"/>
      <c r="AD35" s="84"/>
    </row>
    <row r="36" spans="1:30" ht="15.75" x14ac:dyDescent="0.25">
      <c r="A36" s="13">
        <v>42005</v>
      </c>
      <c r="B36" s="97">
        <v>31</v>
      </c>
      <c r="C36" s="83">
        <f>122.58</f>
        <v>122.58</v>
      </c>
      <c r="D36" s="83">
        <f>297.941</f>
        <v>297.94099999999997</v>
      </c>
      <c r="E36" s="92">
        <f>89.177</f>
        <v>89.177000000000007</v>
      </c>
      <c r="F36" s="83">
        <f>240.302-40</f>
        <v>200.30199999999999</v>
      </c>
      <c r="G36" s="86">
        <v>40</v>
      </c>
      <c r="H36" s="83">
        <v>0</v>
      </c>
      <c r="I36" s="83">
        <v>0</v>
      </c>
      <c r="J36" s="86">
        <v>100</v>
      </c>
      <c r="K36" s="86">
        <v>300</v>
      </c>
      <c r="L36" s="83">
        <f t="shared" si="0"/>
        <v>1150</v>
      </c>
      <c r="M36" s="94"/>
      <c r="N36" s="83">
        <f>100</f>
        <v>100</v>
      </c>
      <c r="O36" s="86">
        <v>240</v>
      </c>
      <c r="P36" s="86">
        <v>0</v>
      </c>
      <c r="Q36" s="86">
        <f t="shared" si="1"/>
        <v>355</v>
      </c>
      <c r="R36" s="86">
        <f t="shared" si="2"/>
        <v>100</v>
      </c>
      <c r="S36" s="83">
        <f t="shared" si="3"/>
        <v>695</v>
      </c>
      <c r="T36" s="83">
        <f>50</f>
        <v>50</v>
      </c>
      <c r="U36" s="84"/>
      <c r="V36" s="84"/>
      <c r="W36" s="84"/>
      <c r="X36" s="84"/>
      <c r="Y36" s="84"/>
      <c r="Z36" s="84"/>
      <c r="AA36" s="84"/>
      <c r="AB36" s="84"/>
      <c r="AC36" s="84"/>
      <c r="AD36" s="84"/>
    </row>
    <row r="37" spans="1:30" ht="15.75" x14ac:dyDescent="0.25">
      <c r="A37" s="13">
        <v>42036</v>
      </c>
      <c r="B37" s="97">
        <v>28</v>
      </c>
      <c r="C37" s="83">
        <f>122.58</f>
        <v>122.58</v>
      </c>
      <c r="D37" s="83">
        <f>297.941</f>
        <v>297.94099999999997</v>
      </c>
      <c r="E37" s="92">
        <f>89.177</f>
        <v>89.177000000000007</v>
      </c>
      <c r="F37" s="83">
        <f>240.302-40</f>
        <v>200.30199999999999</v>
      </c>
      <c r="G37" s="86">
        <v>40</v>
      </c>
      <c r="H37" s="83">
        <v>0</v>
      </c>
      <c r="I37" s="83">
        <v>0</v>
      </c>
      <c r="J37" s="86">
        <v>100</v>
      </c>
      <c r="K37" s="86">
        <v>300</v>
      </c>
      <c r="L37" s="83">
        <f t="shared" si="0"/>
        <v>1150</v>
      </c>
      <c r="M37" s="94"/>
      <c r="N37" s="83">
        <f>100</f>
        <v>100</v>
      </c>
      <c r="O37" s="86">
        <v>240</v>
      </c>
      <c r="P37" s="86">
        <v>0</v>
      </c>
      <c r="Q37" s="86">
        <f t="shared" si="1"/>
        <v>355</v>
      </c>
      <c r="R37" s="86">
        <f t="shared" si="2"/>
        <v>100</v>
      </c>
      <c r="S37" s="83">
        <f t="shared" si="3"/>
        <v>695</v>
      </c>
      <c r="T37" s="83">
        <f>50</f>
        <v>50</v>
      </c>
      <c r="U37" s="84"/>
      <c r="V37" s="84"/>
      <c r="W37" s="84"/>
      <c r="X37" s="84"/>
      <c r="Y37" s="84"/>
      <c r="Z37" s="84"/>
      <c r="AA37" s="84"/>
      <c r="AB37" s="84"/>
      <c r="AC37" s="84"/>
      <c r="AD37" s="84"/>
    </row>
    <row r="38" spans="1:30" ht="15.75" x14ac:dyDescent="0.25">
      <c r="A38" s="13">
        <v>42064</v>
      </c>
      <c r="B38" s="97">
        <v>31</v>
      </c>
      <c r="C38" s="83">
        <f>122.58</f>
        <v>122.58</v>
      </c>
      <c r="D38" s="83">
        <f>297.941</f>
        <v>297.94099999999997</v>
      </c>
      <c r="E38" s="92">
        <f>89.177</f>
        <v>89.177000000000007</v>
      </c>
      <c r="F38" s="83">
        <f>240.302-40</f>
        <v>200.30199999999999</v>
      </c>
      <c r="G38" s="86">
        <v>40</v>
      </c>
      <c r="H38" s="83">
        <v>0</v>
      </c>
      <c r="I38" s="83">
        <v>0</v>
      </c>
      <c r="J38" s="86">
        <v>100</v>
      </c>
      <c r="K38" s="86">
        <v>300</v>
      </c>
      <c r="L38" s="83">
        <f t="shared" si="0"/>
        <v>1150</v>
      </c>
      <c r="M38" s="94"/>
      <c r="N38" s="83">
        <f>100</f>
        <v>100</v>
      </c>
      <c r="O38" s="86">
        <v>240</v>
      </c>
      <c r="P38" s="86">
        <v>0</v>
      </c>
      <c r="Q38" s="86">
        <f t="shared" si="1"/>
        <v>355</v>
      </c>
      <c r="R38" s="86">
        <f t="shared" si="2"/>
        <v>100</v>
      </c>
      <c r="S38" s="83">
        <f t="shared" si="3"/>
        <v>695</v>
      </c>
      <c r="T38" s="83">
        <f>50</f>
        <v>50</v>
      </c>
      <c r="U38" s="84"/>
      <c r="V38" s="84"/>
      <c r="W38" s="84"/>
      <c r="X38" s="84"/>
      <c r="Y38" s="84"/>
      <c r="Z38" s="84"/>
      <c r="AA38" s="84"/>
      <c r="AB38" s="84"/>
      <c r="AC38" s="84"/>
      <c r="AD38" s="84"/>
    </row>
    <row r="39" spans="1:30" ht="15.75" x14ac:dyDescent="0.25">
      <c r="A39" s="13">
        <v>42095</v>
      </c>
      <c r="B39" s="97">
        <v>30</v>
      </c>
      <c r="C39" s="83">
        <f>141.293</f>
        <v>141.29300000000001</v>
      </c>
      <c r="D39" s="83">
        <f>267.993</f>
        <v>267.99299999999999</v>
      </c>
      <c r="E39" s="92">
        <f>115.016</f>
        <v>115.01600000000001</v>
      </c>
      <c r="F39" s="83">
        <f>314.698-40-25-60-100</f>
        <v>89.697999999999979</v>
      </c>
      <c r="G39" s="86">
        <v>40</v>
      </c>
      <c r="H39" s="83">
        <f t="shared" ref="H39:H45" si="5">25+60+100</f>
        <v>185</v>
      </c>
      <c r="I39" s="83">
        <v>0</v>
      </c>
      <c r="J39" s="86">
        <v>100</v>
      </c>
      <c r="K39" s="86">
        <v>300</v>
      </c>
      <c r="L39" s="83">
        <f t="shared" si="0"/>
        <v>1239</v>
      </c>
      <c r="M39" s="94"/>
      <c r="N39" s="83">
        <f>100</f>
        <v>100</v>
      </c>
      <c r="O39" s="86">
        <v>240</v>
      </c>
      <c r="P39" s="86">
        <f t="shared" ref="P39:P45" si="6">120+40</f>
        <v>160</v>
      </c>
      <c r="Q39" s="86">
        <f t="shared" si="1"/>
        <v>195</v>
      </c>
      <c r="R39" s="86">
        <f t="shared" si="2"/>
        <v>100</v>
      </c>
      <c r="S39" s="83">
        <f t="shared" si="3"/>
        <v>695</v>
      </c>
      <c r="T39" s="83">
        <f>50</f>
        <v>50</v>
      </c>
      <c r="U39" s="84"/>
      <c r="V39" s="84"/>
      <c r="W39" s="84"/>
      <c r="X39" s="84"/>
      <c r="Y39" s="84"/>
      <c r="Z39" s="84"/>
      <c r="AA39" s="84"/>
      <c r="AB39" s="84"/>
      <c r="AC39" s="84"/>
      <c r="AD39" s="84"/>
    </row>
    <row r="40" spans="1:30" ht="15.75" x14ac:dyDescent="0.25">
      <c r="A40" s="13">
        <v>42125</v>
      </c>
      <c r="B40" s="97">
        <v>31</v>
      </c>
      <c r="C40" s="83">
        <f>194.205</f>
        <v>194.20500000000001</v>
      </c>
      <c r="D40" s="83">
        <f>267.466</f>
        <v>267.46600000000001</v>
      </c>
      <c r="E40" s="92">
        <f>133.845</f>
        <v>133.845</v>
      </c>
      <c r="F40" s="83">
        <f>278.484-40-25-60-100</f>
        <v>53.48399999999998</v>
      </c>
      <c r="G40" s="86">
        <v>40</v>
      </c>
      <c r="H40" s="83">
        <f t="shared" si="5"/>
        <v>185</v>
      </c>
      <c r="I40" s="98">
        <v>50</v>
      </c>
      <c r="J40" s="86">
        <v>100</v>
      </c>
      <c r="K40" s="86">
        <v>300</v>
      </c>
      <c r="L40" s="83">
        <f t="shared" si="0"/>
        <v>1324</v>
      </c>
      <c r="M40" s="94"/>
      <c r="N40" s="83">
        <f>75</f>
        <v>75</v>
      </c>
      <c r="O40" s="86">
        <v>240</v>
      </c>
      <c r="P40" s="86">
        <f t="shared" si="6"/>
        <v>160</v>
      </c>
      <c r="Q40" s="86">
        <f t="shared" si="1"/>
        <v>195</v>
      </c>
      <c r="R40" s="86">
        <f t="shared" si="2"/>
        <v>100</v>
      </c>
      <c r="S40" s="83">
        <f t="shared" si="3"/>
        <v>695</v>
      </c>
      <c r="T40" s="83">
        <f>50</f>
        <v>50</v>
      </c>
      <c r="U40" s="84"/>
      <c r="V40" s="84"/>
      <c r="W40" s="84"/>
      <c r="X40" s="84"/>
      <c r="Y40" s="84"/>
      <c r="Z40" s="84"/>
      <c r="AA40" s="84"/>
      <c r="AB40" s="84"/>
      <c r="AC40" s="84"/>
      <c r="AD40" s="84"/>
    </row>
    <row r="41" spans="1:30" ht="15.75" x14ac:dyDescent="0.25">
      <c r="A41" s="13">
        <v>42156</v>
      </c>
      <c r="B41" s="97">
        <v>30</v>
      </c>
      <c r="C41" s="83">
        <f>194.205</f>
        <v>194.20500000000001</v>
      </c>
      <c r="D41" s="83">
        <f>267.466</f>
        <v>267.46600000000001</v>
      </c>
      <c r="E41" s="92">
        <f>133.845</f>
        <v>133.845</v>
      </c>
      <c r="F41" s="83">
        <f>278.484-40-25-60-100</f>
        <v>53.48399999999998</v>
      </c>
      <c r="G41" s="86">
        <v>40</v>
      </c>
      <c r="H41" s="83">
        <f t="shared" si="5"/>
        <v>185</v>
      </c>
      <c r="I41" s="98">
        <v>50</v>
      </c>
      <c r="J41" s="86">
        <v>100</v>
      </c>
      <c r="K41" s="86">
        <v>300</v>
      </c>
      <c r="L41" s="83">
        <f t="shared" si="0"/>
        <v>1324</v>
      </c>
      <c r="M41" s="94"/>
      <c r="N41" s="83">
        <f>30</f>
        <v>30</v>
      </c>
      <c r="O41" s="86">
        <v>240</v>
      </c>
      <c r="P41" s="86">
        <f t="shared" si="6"/>
        <v>160</v>
      </c>
      <c r="Q41" s="86">
        <f t="shared" si="1"/>
        <v>195</v>
      </c>
      <c r="R41" s="86">
        <f t="shared" si="2"/>
        <v>100</v>
      </c>
      <c r="S41" s="83">
        <f t="shared" si="3"/>
        <v>695</v>
      </c>
      <c r="T41" s="83">
        <f>50</f>
        <v>50</v>
      </c>
      <c r="U41" s="84"/>
      <c r="V41" s="84"/>
      <c r="W41" s="84"/>
      <c r="X41" s="84"/>
      <c r="Y41" s="84"/>
      <c r="Z41" s="84"/>
      <c r="AA41" s="84"/>
      <c r="AB41" s="84"/>
      <c r="AC41" s="84"/>
      <c r="AD41" s="84"/>
    </row>
    <row r="42" spans="1:30" ht="15.75" x14ac:dyDescent="0.25">
      <c r="A42" s="13">
        <v>42186</v>
      </c>
      <c r="B42" s="97">
        <v>31</v>
      </c>
      <c r="C42" s="83">
        <f>194.205</f>
        <v>194.20500000000001</v>
      </c>
      <c r="D42" s="83">
        <f>267.466</f>
        <v>267.46600000000001</v>
      </c>
      <c r="E42" s="92">
        <f>133.845</f>
        <v>133.845</v>
      </c>
      <c r="F42" s="83">
        <f>278.484-40-25-60-100</f>
        <v>53.48399999999998</v>
      </c>
      <c r="G42" s="86">
        <v>40</v>
      </c>
      <c r="H42" s="83">
        <f t="shared" si="5"/>
        <v>185</v>
      </c>
      <c r="I42" s="98">
        <v>50</v>
      </c>
      <c r="J42" s="86">
        <v>100</v>
      </c>
      <c r="K42" s="86">
        <v>300</v>
      </c>
      <c r="L42" s="83">
        <f t="shared" si="0"/>
        <v>1324</v>
      </c>
      <c r="M42" s="94"/>
      <c r="N42" s="83">
        <f>30</f>
        <v>30</v>
      </c>
      <c r="O42" s="86">
        <v>240</v>
      </c>
      <c r="P42" s="86">
        <f t="shared" si="6"/>
        <v>160</v>
      </c>
      <c r="Q42" s="86">
        <f t="shared" si="1"/>
        <v>195</v>
      </c>
      <c r="R42" s="86">
        <f t="shared" si="2"/>
        <v>100</v>
      </c>
      <c r="S42" s="83">
        <f t="shared" si="3"/>
        <v>695</v>
      </c>
      <c r="T42" s="83">
        <f>0</f>
        <v>0</v>
      </c>
      <c r="U42" s="84"/>
      <c r="V42" s="84"/>
      <c r="W42" s="84"/>
      <c r="X42" s="84"/>
      <c r="Y42" s="84"/>
      <c r="Z42" s="84"/>
      <c r="AA42" s="84"/>
      <c r="AB42" s="84"/>
      <c r="AC42" s="84"/>
      <c r="AD42" s="84"/>
    </row>
    <row r="43" spans="1:30" ht="15.75" x14ac:dyDescent="0.25">
      <c r="A43" s="13">
        <v>42217</v>
      </c>
      <c r="B43" s="97">
        <v>31</v>
      </c>
      <c r="C43" s="83">
        <f>194.205</f>
        <v>194.20500000000001</v>
      </c>
      <c r="D43" s="83">
        <f>267.466</f>
        <v>267.46600000000001</v>
      </c>
      <c r="E43" s="92">
        <f>133.845</f>
        <v>133.845</v>
      </c>
      <c r="F43" s="83">
        <f>278.484-40-25-60-100</f>
        <v>53.48399999999998</v>
      </c>
      <c r="G43" s="86">
        <v>40</v>
      </c>
      <c r="H43" s="83">
        <f t="shared" si="5"/>
        <v>185</v>
      </c>
      <c r="I43" s="98">
        <v>50</v>
      </c>
      <c r="J43" s="86">
        <v>100</v>
      </c>
      <c r="K43" s="86">
        <v>300</v>
      </c>
      <c r="L43" s="83">
        <f t="shared" si="0"/>
        <v>1324</v>
      </c>
      <c r="M43" s="94"/>
      <c r="N43" s="83">
        <f>30</f>
        <v>30</v>
      </c>
      <c r="O43" s="86">
        <v>240</v>
      </c>
      <c r="P43" s="86">
        <f t="shared" si="6"/>
        <v>160</v>
      </c>
      <c r="Q43" s="86">
        <f t="shared" si="1"/>
        <v>195</v>
      </c>
      <c r="R43" s="86">
        <f t="shared" si="2"/>
        <v>100</v>
      </c>
      <c r="S43" s="83">
        <f t="shared" si="3"/>
        <v>695</v>
      </c>
      <c r="T43" s="83">
        <f>0</f>
        <v>0</v>
      </c>
      <c r="U43" s="84"/>
      <c r="V43" s="84"/>
      <c r="W43" s="84"/>
      <c r="X43" s="84"/>
      <c r="Y43" s="84"/>
      <c r="Z43" s="84"/>
      <c r="AA43" s="84"/>
      <c r="AB43" s="84"/>
      <c r="AC43" s="84"/>
      <c r="AD43" s="84"/>
    </row>
    <row r="44" spans="1:30" ht="15.75" x14ac:dyDescent="0.25">
      <c r="A44" s="13">
        <v>42248</v>
      </c>
      <c r="B44" s="97">
        <v>30</v>
      </c>
      <c r="C44" s="83">
        <f>194.205</f>
        <v>194.20500000000001</v>
      </c>
      <c r="D44" s="83">
        <f>267.466</f>
        <v>267.46600000000001</v>
      </c>
      <c r="E44" s="92">
        <f>133.845</f>
        <v>133.845</v>
      </c>
      <c r="F44" s="83">
        <f>278.484-40-25-60-100</f>
        <v>53.48399999999998</v>
      </c>
      <c r="G44" s="86">
        <v>40</v>
      </c>
      <c r="H44" s="83">
        <f t="shared" si="5"/>
        <v>185</v>
      </c>
      <c r="I44" s="98">
        <v>50</v>
      </c>
      <c r="J44" s="86">
        <v>100</v>
      </c>
      <c r="K44" s="86">
        <v>300</v>
      </c>
      <c r="L44" s="83">
        <f t="shared" si="0"/>
        <v>1324</v>
      </c>
      <c r="M44" s="94"/>
      <c r="N44" s="83">
        <f>30</f>
        <v>30</v>
      </c>
      <c r="O44" s="86">
        <v>240</v>
      </c>
      <c r="P44" s="86">
        <f t="shared" si="6"/>
        <v>160</v>
      </c>
      <c r="Q44" s="86">
        <f t="shared" si="1"/>
        <v>195</v>
      </c>
      <c r="R44" s="86">
        <f t="shared" si="2"/>
        <v>100</v>
      </c>
      <c r="S44" s="83">
        <f t="shared" si="3"/>
        <v>695</v>
      </c>
      <c r="T44" s="83">
        <f>0</f>
        <v>0</v>
      </c>
      <c r="U44" s="84"/>
      <c r="V44" s="84"/>
      <c r="W44" s="84"/>
      <c r="X44" s="84"/>
      <c r="Y44" s="84"/>
      <c r="Z44" s="84"/>
      <c r="AA44" s="84"/>
      <c r="AB44" s="84"/>
      <c r="AC44" s="84"/>
      <c r="AD44" s="84"/>
    </row>
    <row r="45" spans="1:30" ht="15.75" x14ac:dyDescent="0.25">
      <c r="A45" s="13">
        <v>42278</v>
      </c>
      <c r="B45" s="97">
        <v>31</v>
      </c>
      <c r="C45" s="83">
        <f>131.881</f>
        <v>131.881</v>
      </c>
      <c r="D45" s="83">
        <f>277.167</f>
        <v>277.16699999999997</v>
      </c>
      <c r="E45" s="92">
        <f>79.08</f>
        <v>79.08</v>
      </c>
      <c r="F45" s="83">
        <f>350.872-40-25-60-100</f>
        <v>125.87200000000001</v>
      </c>
      <c r="G45" s="86">
        <v>40</v>
      </c>
      <c r="H45" s="83">
        <f t="shared" si="5"/>
        <v>185</v>
      </c>
      <c r="I45" s="83">
        <v>0</v>
      </c>
      <c r="J45" s="86">
        <v>100</v>
      </c>
      <c r="K45" s="86">
        <v>300</v>
      </c>
      <c r="L45" s="83">
        <f t="shared" si="0"/>
        <v>1239</v>
      </c>
      <c r="M45" s="94"/>
      <c r="N45" s="83">
        <f>75</f>
        <v>75</v>
      </c>
      <c r="O45" s="86">
        <v>240</v>
      </c>
      <c r="P45" s="86">
        <f t="shared" si="6"/>
        <v>160</v>
      </c>
      <c r="Q45" s="86">
        <f t="shared" si="1"/>
        <v>195</v>
      </c>
      <c r="R45" s="86">
        <f t="shared" si="2"/>
        <v>100</v>
      </c>
      <c r="S45" s="83">
        <f t="shared" si="3"/>
        <v>695</v>
      </c>
      <c r="T45" s="83">
        <f>0</f>
        <v>0</v>
      </c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0" ht="15.75" x14ac:dyDescent="0.25">
      <c r="A46" s="13">
        <v>42309</v>
      </c>
      <c r="B46" s="97">
        <v>30</v>
      </c>
      <c r="C46" s="83">
        <f>122.58</f>
        <v>122.58</v>
      </c>
      <c r="D46" s="83">
        <f>297.941</f>
        <v>297.94099999999997</v>
      </c>
      <c r="E46" s="92">
        <f>89.177</f>
        <v>89.177000000000007</v>
      </c>
      <c r="F46" s="83">
        <f>240.302-40-60-100</f>
        <v>40.301999999999992</v>
      </c>
      <c r="G46" s="86">
        <v>40</v>
      </c>
      <c r="H46" s="83">
        <f>60+100</f>
        <v>160</v>
      </c>
      <c r="I46" s="83">
        <v>0</v>
      </c>
      <c r="J46" s="86">
        <v>100</v>
      </c>
      <c r="K46" s="86">
        <v>300</v>
      </c>
      <c r="L46" s="83">
        <f t="shared" si="0"/>
        <v>1150</v>
      </c>
      <c r="M46" s="94"/>
      <c r="N46" s="83">
        <f>100</f>
        <v>100</v>
      </c>
      <c r="O46" s="86">
        <v>240</v>
      </c>
      <c r="P46" s="86">
        <v>40</v>
      </c>
      <c r="Q46" s="86">
        <f t="shared" si="1"/>
        <v>315</v>
      </c>
      <c r="R46" s="86">
        <f t="shared" si="2"/>
        <v>100</v>
      </c>
      <c r="S46" s="83">
        <f t="shared" si="3"/>
        <v>695</v>
      </c>
      <c r="T46" s="83">
        <f>50</f>
        <v>50</v>
      </c>
      <c r="U46" s="84"/>
      <c r="V46" s="84"/>
      <c r="W46" s="84"/>
      <c r="X46" s="84"/>
      <c r="Y46" s="84"/>
      <c r="Z46" s="84"/>
      <c r="AA46" s="84"/>
      <c r="AB46" s="84"/>
      <c r="AC46" s="84"/>
      <c r="AD46" s="84"/>
    </row>
    <row r="47" spans="1:30" ht="15.75" x14ac:dyDescent="0.25">
      <c r="A47" s="13">
        <v>42339</v>
      </c>
      <c r="B47" s="97">
        <v>31</v>
      </c>
      <c r="C47" s="83">
        <f>122.58</f>
        <v>122.58</v>
      </c>
      <c r="D47" s="83">
        <f>297.941</f>
        <v>297.94099999999997</v>
      </c>
      <c r="E47" s="92">
        <f>89.177</f>
        <v>89.177000000000007</v>
      </c>
      <c r="F47" s="83">
        <f>240.302-40-60-100</f>
        <v>40.301999999999992</v>
      </c>
      <c r="G47" s="86">
        <v>40</v>
      </c>
      <c r="H47" s="83">
        <f>60+100</f>
        <v>160</v>
      </c>
      <c r="I47" s="83">
        <v>0</v>
      </c>
      <c r="J47" s="86">
        <v>100</v>
      </c>
      <c r="K47" s="86">
        <v>300</v>
      </c>
      <c r="L47" s="83">
        <f t="shared" si="0"/>
        <v>1150</v>
      </c>
      <c r="M47" s="94"/>
      <c r="N47" s="83">
        <f>100</f>
        <v>100</v>
      </c>
      <c r="O47" s="86">
        <v>240</v>
      </c>
      <c r="P47" s="86">
        <v>40</v>
      </c>
      <c r="Q47" s="86">
        <f t="shared" si="1"/>
        <v>315</v>
      </c>
      <c r="R47" s="86">
        <f t="shared" si="2"/>
        <v>100</v>
      </c>
      <c r="S47" s="83">
        <f t="shared" si="3"/>
        <v>695</v>
      </c>
      <c r="T47" s="83">
        <f>50</f>
        <v>50</v>
      </c>
      <c r="U47" s="84"/>
      <c r="V47" s="84"/>
      <c r="W47" s="84"/>
      <c r="X47" s="84"/>
      <c r="Y47" s="84"/>
      <c r="Z47" s="84"/>
      <c r="AA47" s="84"/>
      <c r="AB47" s="84"/>
      <c r="AC47" s="84"/>
      <c r="AD47" s="84"/>
    </row>
    <row r="48" spans="1:30" ht="15.75" x14ac:dyDescent="0.25">
      <c r="A48" s="13">
        <v>42370</v>
      </c>
      <c r="B48" s="97">
        <v>31</v>
      </c>
      <c r="C48" s="83">
        <f>122.58</f>
        <v>122.58</v>
      </c>
      <c r="D48" s="83">
        <f>297.941</f>
        <v>297.94099999999997</v>
      </c>
      <c r="E48" s="92">
        <f>89.177</f>
        <v>89.177000000000007</v>
      </c>
      <c r="F48" s="83">
        <f>240.302-40-60-100</f>
        <v>40.301999999999992</v>
      </c>
      <c r="G48" s="86">
        <v>40</v>
      </c>
      <c r="H48" s="83">
        <f>60+100</f>
        <v>160</v>
      </c>
      <c r="I48" s="83">
        <v>0</v>
      </c>
      <c r="J48" s="86">
        <v>100</v>
      </c>
      <c r="K48" s="86">
        <v>300</v>
      </c>
      <c r="L48" s="83">
        <f t="shared" si="0"/>
        <v>1150</v>
      </c>
      <c r="M48" s="94"/>
      <c r="N48" s="83">
        <f>100</f>
        <v>100</v>
      </c>
      <c r="O48" s="86">
        <v>240</v>
      </c>
      <c r="P48" s="86">
        <v>40</v>
      </c>
      <c r="Q48" s="86">
        <f t="shared" si="1"/>
        <v>315</v>
      </c>
      <c r="R48" s="86">
        <f t="shared" si="2"/>
        <v>100</v>
      </c>
      <c r="S48" s="83">
        <f t="shared" si="3"/>
        <v>695</v>
      </c>
      <c r="T48" s="83">
        <f>50</f>
        <v>50</v>
      </c>
      <c r="U48" s="84"/>
      <c r="V48" s="84"/>
      <c r="W48" s="84"/>
      <c r="X48" s="84"/>
      <c r="Y48" s="84"/>
      <c r="Z48" s="84"/>
      <c r="AA48" s="84"/>
      <c r="AB48" s="84"/>
      <c r="AC48" s="84"/>
      <c r="AD48" s="84"/>
    </row>
    <row r="49" spans="1:30" ht="15.75" x14ac:dyDescent="0.25">
      <c r="A49" s="13">
        <v>42401</v>
      </c>
      <c r="B49" s="97">
        <v>29</v>
      </c>
      <c r="C49" s="83">
        <f>122.58</f>
        <v>122.58</v>
      </c>
      <c r="D49" s="83">
        <f>297.941</f>
        <v>297.94099999999997</v>
      </c>
      <c r="E49" s="92">
        <f>89.177</f>
        <v>89.177000000000007</v>
      </c>
      <c r="F49" s="83">
        <f>240.302-40-60-100</f>
        <v>40.301999999999992</v>
      </c>
      <c r="G49" s="86">
        <v>40</v>
      </c>
      <c r="H49" s="83">
        <f>60+100</f>
        <v>160</v>
      </c>
      <c r="I49" s="83">
        <v>0</v>
      </c>
      <c r="J49" s="86">
        <v>100</v>
      </c>
      <c r="K49" s="86">
        <v>300</v>
      </c>
      <c r="L49" s="83">
        <f t="shared" si="0"/>
        <v>1150</v>
      </c>
      <c r="M49" s="94"/>
      <c r="N49" s="83">
        <f>100</f>
        <v>100</v>
      </c>
      <c r="O49" s="86">
        <v>240</v>
      </c>
      <c r="P49" s="86">
        <v>40</v>
      </c>
      <c r="Q49" s="86">
        <f t="shared" si="1"/>
        <v>315</v>
      </c>
      <c r="R49" s="86">
        <f t="shared" si="2"/>
        <v>100</v>
      </c>
      <c r="S49" s="83">
        <f t="shared" si="3"/>
        <v>695</v>
      </c>
      <c r="T49" s="83">
        <f>50</f>
        <v>50</v>
      </c>
      <c r="U49" s="84"/>
      <c r="V49" s="84"/>
      <c r="W49" s="84"/>
      <c r="X49" s="84"/>
      <c r="Y49" s="84"/>
      <c r="Z49" s="84"/>
      <c r="AA49" s="84"/>
      <c r="AB49" s="84"/>
      <c r="AC49" s="84"/>
      <c r="AD49" s="84"/>
    </row>
    <row r="50" spans="1:30" ht="15.75" x14ac:dyDescent="0.25">
      <c r="A50" s="13">
        <v>42430</v>
      </c>
      <c r="B50" s="97">
        <v>31</v>
      </c>
      <c r="C50" s="83">
        <f>122.58</f>
        <v>122.58</v>
      </c>
      <c r="D50" s="83">
        <f>297.941</f>
        <v>297.94099999999997</v>
      </c>
      <c r="E50" s="92">
        <f>89.177</f>
        <v>89.177000000000007</v>
      </c>
      <c r="F50" s="83">
        <f>240.302-40-60-100</f>
        <v>40.301999999999992</v>
      </c>
      <c r="G50" s="86">
        <v>40</v>
      </c>
      <c r="H50" s="83">
        <f>60+100</f>
        <v>160</v>
      </c>
      <c r="I50" s="83">
        <v>0</v>
      </c>
      <c r="J50" s="86">
        <v>100</v>
      </c>
      <c r="K50" s="86">
        <v>300</v>
      </c>
      <c r="L50" s="83">
        <f t="shared" si="0"/>
        <v>1150</v>
      </c>
      <c r="M50" s="94"/>
      <c r="N50" s="83">
        <f>100</f>
        <v>100</v>
      </c>
      <c r="O50" s="86">
        <v>240</v>
      </c>
      <c r="P50" s="86">
        <v>40</v>
      </c>
      <c r="Q50" s="86">
        <f t="shared" si="1"/>
        <v>315</v>
      </c>
      <c r="R50" s="86">
        <f t="shared" si="2"/>
        <v>100</v>
      </c>
      <c r="S50" s="83">
        <f t="shared" si="3"/>
        <v>695</v>
      </c>
      <c r="T50" s="83">
        <f>50</f>
        <v>50</v>
      </c>
      <c r="U50" s="84"/>
      <c r="V50" s="84"/>
      <c r="W50" s="84"/>
      <c r="X50" s="84"/>
      <c r="Y50" s="84"/>
      <c r="Z50" s="84"/>
      <c r="AA50" s="84"/>
      <c r="AB50" s="84"/>
      <c r="AC50" s="84"/>
      <c r="AD50" s="84"/>
    </row>
    <row r="51" spans="1:30" ht="15.75" x14ac:dyDescent="0.25">
      <c r="A51" s="13">
        <v>42461</v>
      </c>
      <c r="B51" s="97">
        <v>30</v>
      </c>
      <c r="C51" s="83">
        <f>141.293</f>
        <v>141.29300000000001</v>
      </c>
      <c r="D51" s="83">
        <f>267.993</f>
        <v>267.99299999999999</v>
      </c>
      <c r="E51" s="92">
        <f>115.016</f>
        <v>115.01600000000001</v>
      </c>
      <c r="F51" s="83">
        <f>314.698-40-25-60-100</f>
        <v>89.697999999999979</v>
      </c>
      <c r="G51" s="86">
        <v>40</v>
      </c>
      <c r="H51" s="83">
        <f t="shared" ref="H51:H57" si="7">25+60+100</f>
        <v>185</v>
      </c>
      <c r="I51" s="83">
        <v>0</v>
      </c>
      <c r="J51" s="86">
        <v>100</v>
      </c>
      <c r="K51" s="86">
        <v>300</v>
      </c>
      <c r="L51" s="83">
        <f t="shared" si="0"/>
        <v>1239</v>
      </c>
      <c r="M51" s="94"/>
      <c r="N51" s="83">
        <f>100</f>
        <v>100</v>
      </c>
      <c r="O51" s="86">
        <v>240</v>
      </c>
      <c r="P51" s="86">
        <v>160</v>
      </c>
      <c r="Q51" s="86">
        <f t="shared" si="1"/>
        <v>195</v>
      </c>
      <c r="R51" s="86">
        <f t="shared" si="2"/>
        <v>100</v>
      </c>
      <c r="S51" s="83">
        <f t="shared" si="3"/>
        <v>695</v>
      </c>
      <c r="T51" s="83">
        <f>50</f>
        <v>50</v>
      </c>
      <c r="U51" s="84"/>
      <c r="V51" s="84"/>
      <c r="W51" s="84"/>
      <c r="X51" s="84"/>
      <c r="Y51" s="84"/>
      <c r="Z51" s="84"/>
      <c r="AA51" s="84"/>
      <c r="AB51" s="84"/>
      <c r="AC51" s="84"/>
      <c r="AD51" s="84"/>
    </row>
    <row r="52" spans="1:30" ht="15.75" x14ac:dyDescent="0.25">
      <c r="A52" s="13">
        <v>42491</v>
      </c>
      <c r="B52" s="97">
        <v>31</v>
      </c>
      <c r="C52" s="83">
        <f>194.205</f>
        <v>194.20500000000001</v>
      </c>
      <c r="D52" s="83">
        <f>267.466</f>
        <v>267.46600000000001</v>
      </c>
      <c r="E52" s="92">
        <f>133.845</f>
        <v>133.845</v>
      </c>
      <c r="F52" s="83">
        <f>278.484-40-25-60-100</f>
        <v>53.48399999999998</v>
      </c>
      <c r="G52" s="86">
        <v>40</v>
      </c>
      <c r="H52" s="83">
        <f t="shared" si="7"/>
        <v>185</v>
      </c>
      <c r="I52" s="83">
        <f t="shared" ref="I52:I115" si="8">400-J52-K52</f>
        <v>0</v>
      </c>
      <c r="J52" s="86">
        <v>100</v>
      </c>
      <c r="K52" s="86">
        <v>300</v>
      </c>
      <c r="L52" s="83">
        <f t="shared" si="0"/>
        <v>1274</v>
      </c>
      <c r="M52" s="94"/>
      <c r="N52" s="83">
        <f>75</f>
        <v>75</v>
      </c>
      <c r="O52" s="86">
        <v>240</v>
      </c>
      <c r="P52" s="86">
        <v>160</v>
      </c>
      <c r="Q52" s="86">
        <f t="shared" si="1"/>
        <v>195</v>
      </c>
      <c r="R52" s="86">
        <f t="shared" si="2"/>
        <v>100</v>
      </c>
      <c r="S52" s="83">
        <f t="shared" si="3"/>
        <v>695</v>
      </c>
      <c r="T52" s="83">
        <f>50</f>
        <v>50</v>
      </c>
      <c r="U52" s="84"/>
      <c r="V52" s="84"/>
      <c r="W52" s="84"/>
      <c r="X52" s="84"/>
      <c r="Y52" s="84"/>
      <c r="Z52" s="84"/>
      <c r="AA52" s="84"/>
      <c r="AB52" s="84"/>
      <c r="AC52" s="84"/>
      <c r="AD52" s="84"/>
    </row>
    <row r="53" spans="1:30" ht="15.75" x14ac:dyDescent="0.25">
      <c r="A53" s="13">
        <v>42522</v>
      </c>
      <c r="B53" s="97">
        <v>30</v>
      </c>
      <c r="C53" s="83">
        <f>194.205</f>
        <v>194.20500000000001</v>
      </c>
      <c r="D53" s="83">
        <f>267.466</f>
        <v>267.46600000000001</v>
      </c>
      <c r="E53" s="92">
        <f>133.845</f>
        <v>133.845</v>
      </c>
      <c r="F53" s="83">
        <f>278.484-40-25-60-100</f>
        <v>53.48399999999998</v>
      </c>
      <c r="G53" s="86">
        <v>40</v>
      </c>
      <c r="H53" s="83">
        <f t="shared" si="7"/>
        <v>185</v>
      </c>
      <c r="I53" s="83">
        <f t="shared" si="8"/>
        <v>0</v>
      </c>
      <c r="J53" s="86">
        <v>100</v>
      </c>
      <c r="K53" s="86">
        <v>300</v>
      </c>
      <c r="L53" s="83">
        <f t="shared" si="0"/>
        <v>1274</v>
      </c>
      <c r="M53" s="94"/>
      <c r="N53" s="83">
        <f>30</f>
        <v>30</v>
      </c>
      <c r="O53" s="86">
        <v>240</v>
      </c>
      <c r="P53" s="86">
        <v>160</v>
      </c>
      <c r="Q53" s="86">
        <f t="shared" si="1"/>
        <v>195</v>
      </c>
      <c r="R53" s="86">
        <f t="shared" si="2"/>
        <v>100</v>
      </c>
      <c r="S53" s="83">
        <f t="shared" si="3"/>
        <v>695</v>
      </c>
      <c r="T53" s="83">
        <f>50</f>
        <v>50</v>
      </c>
      <c r="U53" s="84"/>
      <c r="V53" s="84"/>
      <c r="W53" s="84"/>
      <c r="X53" s="84"/>
      <c r="Y53" s="84"/>
      <c r="Z53" s="84"/>
      <c r="AA53" s="84"/>
      <c r="AB53" s="84"/>
      <c r="AC53" s="84"/>
      <c r="AD53" s="84"/>
    </row>
    <row r="54" spans="1:30" ht="15.75" x14ac:dyDescent="0.25">
      <c r="A54" s="13">
        <v>42552</v>
      </c>
      <c r="B54" s="97">
        <v>31</v>
      </c>
      <c r="C54" s="83">
        <f>194.205</f>
        <v>194.20500000000001</v>
      </c>
      <c r="D54" s="83">
        <f>267.466</f>
        <v>267.46600000000001</v>
      </c>
      <c r="E54" s="92">
        <f>133.845</f>
        <v>133.845</v>
      </c>
      <c r="F54" s="83">
        <f>278.484-40-25-60-100</f>
        <v>53.48399999999998</v>
      </c>
      <c r="G54" s="86">
        <v>40</v>
      </c>
      <c r="H54" s="83">
        <f t="shared" si="7"/>
        <v>185</v>
      </c>
      <c r="I54" s="83">
        <f t="shared" si="8"/>
        <v>0</v>
      </c>
      <c r="J54" s="86">
        <v>100</v>
      </c>
      <c r="K54" s="86">
        <v>300</v>
      </c>
      <c r="L54" s="83">
        <f t="shared" si="0"/>
        <v>1274</v>
      </c>
      <c r="M54" s="94"/>
      <c r="N54" s="83">
        <f>30</f>
        <v>30</v>
      </c>
      <c r="O54" s="86">
        <v>240</v>
      </c>
      <c r="P54" s="86">
        <v>160</v>
      </c>
      <c r="Q54" s="86">
        <f t="shared" si="1"/>
        <v>195</v>
      </c>
      <c r="R54" s="86">
        <f t="shared" si="2"/>
        <v>100</v>
      </c>
      <c r="S54" s="83">
        <f t="shared" si="3"/>
        <v>695</v>
      </c>
      <c r="T54" s="83">
        <f>0</f>
        <v>0</v>
      </c>
      <c r="U54" s="84"/>
      <c r="V54" s="84"/>
      <c r="W54" s="84"/>
      <c r="X54" s="84"/>
      <c r="Y54" s="84"/>
      <c r="Z54" s="84"/>
      <c r="AA54" s="84"/>
      <c r="AB54" s="84"/>
      <c r="AC54" s="84"/>
      <c r="AD54" s="84"/>
    </row>
    <row r="55" spans="1:30" ht="15.75" x14ac:dyDescent="0.25">
      <c r="A55" s="13">
        <v>42583</v>
      </c>
      <c r="B55" s="97">
        <v>31</v>
      </c>
      <c r="C55" s="83">
        <f>194.205</f>
        <v>194.20500000000001</v>
      </c>
      <c r="D55" s="83">
        <f>267.466</f>
        <v>267.46600000000001</v>
      </c>
      <c r="E55" s="92">
        <f>133.845</f>
        <v>133.845</v>
      </c>
      <c r="F55" s="83">
        <f>278.484-40-25-60-100</f>
        <v>53.48399999999998</v>
      </c>
      <c r="G55" s="86">
        <v>40</v>
      </c>
      <c r="H55" s="83">
        <f t="shared" si="7"/>
        <v>185</v>
      </c>
      <c r="I55" s="83">
        <f t="shared" si="8"/>
        <v>0</v>
      </c>
      <c r="J55" s="86">
        <v>100</v>
      </c>
      <c r="K55" s="86">
        <v>300</v>
      </c>
      <c r="L55" s="83">
        <f t="shared" si="0"/>
        <v>1274</v>
      </c>
      <c r="M55" s="94"/>
      <c r="N55" s="83">
        <f>30</f>
        <v>30</v>
      </c>
      <c r="O55" s="86">
        <v>240</v>
      </c>
      <c r="P55" s="86">
        <v>160</v>
      </c>
      <c r="Q55" s="86">
        <f t="shared" si="1"/>
        <v>195</v>
      </c>
      <c r="R55" s="86">
        <f t="shared" si="2"/>
        <v>100</v>
      </c>
      <c r="S55" s="83">
        <f t="shared" si="3"/>
        <v>695</v>
      </c>
      <c r="T55" s="83">
        <f>0</f>
        <v>0</v>
      </c>
      <c r="U55" s="84"/>
      <c r="V55" s="84"/>
      <c r="W55" s="84"/>
      <c r="X55" s="84"/>
      <c r="Y55" s="84"/>
      <c r="Z55" s="84"/>
      <c r="AA55" s="84"/>
      <c r="AB55" s="84"/>
      <c r="AC55" s="84"/>
      <c r="AD55" s="84"/>
    </row>
    <row r="56" spans="1:30" ht="15.75" x14ac:dyDescent="0.25">
      <c r="A56" s="13">
        <v>42614</v>
      </c>
      <c r="B56" s="97">
        <v>30</v>
      </c>
      <c r="C56" s="83">
        <f>194.205</f>
        <v>194.20500000000001</v>
      </c>
      <c r="D56" s="83">
        <f>267.466</f>
        <v>267.46600000000001</v>
      </c>
      <c r="E56" s="92">
        <f>133.845</f>
        <v>133.845</v>
      </c>
      <c r="F56" s="83">
        <f>278.484-40-25-60-100</f>
        <v>53.48399999999998</v>
      </c>
      <c r="G56" s="86">
        <v>40</v>
      </c>
      <c r="H56" s="83">
        <f t="shared" si="7"/>
        <v>185</v>
      </c>
      <c r="I56" s="83">
        <f t="shared" si="8"/>
        <v>0</v>
      </c>
      <c r="J56" s="86">
        <v>100</v>
      </c>
      <c r="K56" s="86">
        <v>300</v>
      </c>
      <c r="L56" s="83">
        <f t="shared" si="0"/>
        <v>1274</v>
      </c>
      <c r="M56" s="94"/>
      <c r="N56" s="83">
        <f>30</f>
        <v>30</v>
      </c>
      <c r="O56" s="86">
        <v>240</v>
      </c>
      <c r="P56" s="86">
        <v>160</v>
      </c>
      <c r="Q56" s="86">
        <f t="shared" si="1"/>
        <v>195</v>
      </c>
      <c r="R56" s="86">
        <f t="shared" si="2"/>
        <v>100</v>
      </c>
      <c r="S56" s="83">
        <f t="shared" si="3"/>
        <v>695</v>
      </c>
      <c r="T56" s="83">
        <f>0</f>
        <v>0</v>
      </c>
      <c r="U56" s="84"/>
      <c r="V56" s="84"/>
      <c r="W56" s="84"/>
      <c r="X56" s="84"/>
      <c r="Y56" s="84"/>
      <c r="Z56" s="84"/>
      <c r="AA56" s="84"/>
      <c r="AB56" s="84"/>
      <c r="AC56" s="84"/>
      <c r="AD56" s="84"/>
    </row>
    <row r="57" spans="1:30" ht="15.75" x14ac:dyDescent="0.25">
      <c r="A57" s="13">
        <v>42644</v>
      </c>
      <c r="B57" s="97">
        <v>31</v>
      </c>
      <c r="C57" s="83">
        <f>131.881</f>
        <v>131.881</v>
      </c>
      <c r="D57" s="83">
        <f>277.167</f>
        <v>277.16699999999997</v>
      </c>
      <c r="E57" s="92">
        <f>79.08</f>
        <v>79.08</v>
      </c>
      <c r="F57" s="83">
        <f>350.872-40-25-60-100</f>
        <v>125.87200000000001</v>
      </c>
      <c r="G57" s="86">
        <v>40</v>
      </c>
      <c r="H57" s="83">
        <f t="shared" si="7"/>
        <v>185</v>
      </c>
      <c r="I57" s="83">
        <f t="shared" si="8"/>
        <v>0</v>
      </c>
      <c r="J57" s="86">
        <v>100</v>
      </c>
      <c r="K57" s="86">
        <v>300</v>
      </c>
      <c r="L57" s="83">
        <f t="shared" si="0"/>
        <v>1239</v>
      </c>
      <c r="M57" s="94"/>
      <c r="N57" s="83">
        <f>75</f>
        <v>75</v>
      </c>
      <c r="O57" s="86">
        <v>240</v>
      </c>
      <c r="P57" s="86">
        <v>160</v>
      </c>
      <c r="Q57" s="86">
        <f t="shared" si="1"/>
        <v>195</v>
      </c>
      <c r="R57" s="86">
        <f t="shared" si="2"/>
        <v>100</v>
      </c>
      <c r="S57" s="83">
        <f t="shared" si="3"/>
        <v>695</v>
      </c>
      <c r="T57" s="83">
        <f>0</f>
        <v>0</v>
      </c>
      <c r="U57" s="84"/>
      <c r="V57" s="84"/>
      <c r="W57" s="84"/>
      <c r="X57" s="84"/>
      <c r="Y57" s="84"/>
      <c r="Z57" s="84"/>
      <c r="AA57" s="84"/>
      <c r="AB57" s="84"/>
      <c r="AC57" s="84"/>
      <c r="AD57" s="84"/>
    </row>
    <row r="58" spans="1:30" ht="15.75" x14ac:dyDescent="0.25">
      <c r="A58" s="13">
        <v>42675</v>
      </c>
      <c r="B58" s="97">
        <v>30</v>
      </c>
      <c r="C58" s="83">
        <f>122.58</f>
        <v>122.58</v>
      </c>
      <c r="D58" s="83">
        <f>297.941</f>
        <v>297.94099999999997</v>
      </c>
      <c r="E58" s="92">
        <f>89.177</f>
        <v>89.177000000000007</v>
      </c>
      <c r="F58" s="83">
        <f>240.302-40-60-100</f>
        <v>40.301999999999992</v>
      </c>
      <c r="G58" s="86">
        <v>40</v>
      </c>
      <c r="H58" s="83">
        <f>60+100</f>
        <v>160</v>
      </c>
      <c r="I58" s="83">
        <f t="shared" si="8"/>
        <v>0</v>
      </c>
      <c r="J58" s="86">
        <v>100</v>
      </c>
      <c r="K58" s="86">
        <v>300</v>
      </c>
      <c r="L58" s="83">
        <f t="shared" si="0"/>
        <v>1150</v>
      </c>
      <c r="M58" s="94"/>
      <c r="N58" s="83">
        <f>100</f>
        <v>100</v>
      </c>
      <c r="O58" s="86">
        <v>240</v>
      </c>
      <c r="P58" s="86">
        <v>40</v>
      </c>
      <c r="Q58" s="86">
        <f t="shared" si="1"/>
        <v>315</v>
      </c>
      <c r="R58" s="86">
        <f t="shared" si="2"/>
        <v>100</v>
      </c>
      <c r="S58" s="83">
        <f t="shared" si="3"/>
        <v>695</v>
      </c>
      <c r="T58" s="83">
        <f>50</f>
        <v>50</v>
      </c>
      <c r="U58" s="84"/>
      <c r="V58" s="84"/>
      <c r="W58" s="84"/>
      <c r="X58" s="84"/>
      <c r="Y58" s="84"/>
      <c r="Z58" s="84"/>
      <c r="AA58" s="84"/>
      <c r="AB58" s="84"/>
      <c r="AC58" s="84"/>
      <c r="AD58" s="84"/>
    </row>
    <row r="59" spans="1:30" ht="15.75" x14ac:dyDescent="0.25">
      <c r="A59" s="13">
        <v>42705</v>
      </c>
      <c r="B59" s="97">
        <v>31</v>
      </c>
      <c r="C59" s="83">
        <f>122.58</f>
        <v>122.58</v>
      </c>
      <c r="D59" s="83">
        <f>297.941</f>
        <v>297.94099999999997</v>
      </c>
      <c r="E59" s="92">
        <f>89.177</f>
        <v>89.177000000000007</v>
      </c>
      <c r="F59" s="83">
        <f>240.302-40-60-100</f>
        <v>40.301999999999992</v>
      </c>
      <c r="G59" s="86">
        <v>40</v>
      </c>
      <c r="H59" s="83">
        <f>60+100</f>
        <v>160</v>
      </c>
      <c r="I59" s="83">
        <f t="shared" si="8"/>
        <v>0</v>
      </c>
      <c r="J59" s="86">
        <v>100</v>
      </c>
      <c r="K59" s="86">
        <v>300</v>
      </c>
      <c r="L59" s="83">
        <f t="shared" si="0"/>
        <v>1150</v>
      </c>
      <c r="M59" s="94"/>
      <c r="N59" s="83">
        <f>100</f>
        <v>100</v>
      </c>
      <c r="O59" s="86">
        <v>240</v>
      </c>
      <c r="P59" s="86">
        <v>40</v>
      </c>
      <c r="Q59" s="86">
        <f t="shared" si="1"/>
        <v>315</v>
      </c>
      <c r="R59" s="86">
        <f t="shared" si="2"/>
        <v>100</v>
      </c>
      <c r="S59" s="83">
        <f t="shared" si="3"/>
        <v>695</v>
      </c>
      <c r="T59" s="83">
        <f>50</f>
        <v>50</v>
      </c>
      <c r="U59" s="84"/>
      <c r="V59" s="84"/>
      <c r="W59" s="84"/>
      <c r="X59" s="84"/>
      <c r="Y59" s="84"/>
      <c r="Z59" s="84"/>
      <c r="AA59" s="84"/>
      <c r="AB59" s="84"/>
      <c r="AC59" s="84"/>
      <c r="AD59" s="84"/>
    </row>
    <row r="60" spans="1:30" ht="15.75" x14ac:dyDescent="0.25">
      <c r="A60" s="13">
        <v>42736</v>
      </c>
      <c r="B60" s="97">
        <v>31</v>
      </c>
      <c r="C60" s="83">
        <f>122.58</f>
        <v>122.58</v>
      </c>
      <c r="D60" s="83">
        <f>297.941</f>
        <v>297.94099999999997</v>
      </c>
      <c r="E60" s="92">
        <f>89.177</f>
        <v>89.177000000000007</v>
      </c>
      <c r="F60" s="83">
        <f>240.302-40-60-100</f>
        <v>40.301999999999992</v>
      </c>
      <c r="G60" s="86">
        <v>40</v>
      </c>
      <c r="H60" s="83">
        <f>60+100</f>
        <v>160</v>
      </c>
      <c r="I60" s="83">
        <f t="shared" si="8"/>
        <v>0</v>
      </c>
      <c r="J60" s="86">
        <v>100</v>
      </c>
      <c r="K60" s="86">
        <v>300</v>
      </c>
      <c r="L60" s="83">
        <f t="shared" si="0"/>
        <v>1150</v>
      </c>
      <c r="M60" s="94">
        <v>400</v>
      </c>
      <c r="N60" s="83">
        <f>100</f>
        <v>100</v>
      </c>
      <c r="O60" s="86">
        <v>240</v>
      </c>
      <c r="P60" s="86">
        <v>40</v>
      </c>
      <c r="Q60" s="86">
        <f t="shared" si="1"/>
        <v>315</v>
      </c>
      <c r="R60" s="86">
        <f t="shared" si="2"/>
        <v>100</v>
      </c>
      <c r="S60" s="83">
        <f t="shared" si="3"/>
        <v>695</v>
      </c>
      <c r="T60" s="83">
        <f>50</f>
        <v>50</v>
      </c>
      <c r="U60" s="84"/>
      <c r="V60" s="84"/>
      <c r="W60" s="84"/>
      <c r="X60" s="84"/>
      <c r="Y60" s="84"/>
      <c r="Z60" s="84"/>
      <c r="AA60" s="84"/>
      <c r="AB60" s="84"/>
      <c r="AC60" s="84"/>
      <c r="AD60" s="84"/>
    </row>
    <row r="61" spans="1:30" ht="15.75" x14ac:dyDescent="0.25">
      <c r="A61" s="13">
        <v>42767</v>
      </c>
      <c r="B61" s="97">
        <v>28</v>
      </c>
      <c r="C61" s="83">
        <f>122.58</f>
        <v>122.58</v>
      </c>
      <c r="D61" s="83">
        <f>297.941</f>
        <v>297.94099999999997</v>
      </c>
      <c r="E61" s="92">
        <f>89.177</f>
        <v>89.177000000000007</v>
      </c>
      <c r="F61" s="83">
        <f>240.302-40-60-100</f>
        <v>40.301999999999992</v>
      </c>
      <c r="G61" s="86">
        <v>40</v>
      </c>
      <c r="H61" s="83">
        <f>60+100</f>
        <v>160</v>
      </c>
      <c r="I61" s="83">
        <f t="shared" si="8"/>
        <v>0</v>
      </c>
      <c r="J61" s="86">
        <v>100</v>
      </c>
      <c r="K61" s="86">
        <v>300</v>
      </c>
      <c r="L61" s="83">
        <f t="shared" si="0"/>
        <v>1150</v>
      </c>
      <c r="M61" s="94">
        <v>400</v>
      </c>
      <c r="N61" s="83">
        <f>100</f>
        <v>100</v>
      </c>
      <c r="O61" s="86">
        <v>240</v>
      </c>
      <c r="P61" s="86">
        <v>40</v>
      </c>
      <c r="Q61" s="86">
        <f t="shared" si="1"/>
        <v>315</v>
      </c>
      <c r="R61" s="86">
        <f t="shared" si="2"/>
        <v>100</v>
      </c>
      <c r="S61" s="83">
        <f t="shared" si="3"/>
        <v>695</v>
      </c>
      <c r="T61" s="83">
        <f>50</f>
        <v>50</v>
      </c>
      <c r="U61" s="84"/>
      <c r="V61" s="84"/>
      <c r="W61" s="84"/>
      <c r="X61" s="84"/>
      <c r="Y61" s="84"/>
      <c r="Z61" s="84"/>
      <c r="AA61" s="84"/>
      <c r="AB61" s="84"/>
      <c r="AC61" s="84"/>
      <c r="AD61" s="84"/>
    </row>
    <row r="62" spans="1:30" ht="15.75" x14ac:dyDescent="0.25">
      <c r="A62" s="13">
        <v>42795</v>
      </c>
      <c r="B62" s="97">
        <v>31</v>
      </c>
      <c r="C62" s="83">
        <f>122.58</f>
        <v>122.58</v>
      </c>
      <c r="D62" s="83">
        <f>297.941</f>
        <v>297.94099999999997</v>
      </c>
      <c r="E62" s="92">
        <f>89.177</f>
        <v>89.177000000000007</v>
      </c>
      <c r="F62" s="83">
        <f>240.302-40-60-100</f>
        <v>40.301999999999992</v>
      </c>
      <c r="G62" s="86">
        <v>40</v>
      </c>
      <c r="H62" s="83">
        <f>60+100</f>
        <v>160</v>
      </c>
      <c r="I62" s="83">
        <f t="shared" si="8"/>
        <v>0</v>
      </c>
      <c r="J62" s="86">
        <v>100</v>
      </c>
      <c r="K62" s="86">
        <v>300</v>
      </c>
      <c r="L62" s="83">
        <f t="shared" si="0"/>
        <v>1150</v>
      </c>
      <c r="M62" s="94">
        <v>400</v>
      </c>
      <c r="N62" s="83">
        <f>100</f>
        <v>100</v>
      </c>
      <c r="O62" s="86">
        <v>240</v>
      </c>
      <c r="P62" s="86">
        <v>40</v>
      </c>
      <c r="Q62" s="86">
        <f t="shared" si="1"/>
        <v>315</v>
      </c>
      <c r="R62" s="86">
        <f t="shared" si="2"/>
        <v>100</v>
      </c>
      <c r="S62" s="83">
        <f t="shared" si="3"/>
        <v>695</v>
      </c>
      <c r="T62" s="83">
        <f>50</f>
        <v>50</v>
      </c>
      <c r="U62" s="84"/>
      <c r="V62" s="84"/>
      <c r="W62" s="84"/>
      <c r="X62" s="84"/>
      <c r="Y62" s="84"/>
      <c r="Z62" s="84"/>
      <c r="AA62" s="84"/>
      <c r="AB62" s="84"/>
      <c r="AC62" s="84"/>
      <c r="AD62" s="84"/>
    </row>
    <row r="63" spans="1:30" ht="15.75" x14ac:dyDescent="0.25">
      <c r="A63" s="13">
        <v>42826</v>
      </c>
      <c r="B63" s="97">
        <v>30</v>
      </c>
      <c r="C63" s="83">
        <f>141.293</f>
        <v>141.29300000000001</v>
      </c>
      <c r="D63" s="83">
        <f>267.993</f>
        <v>267.99299999999999</v>
      </c>
      <c r="E63" s="92">
        <f>115.016</f>
        <v>115.01600000000001</v>
      </c>
      <c r="F63" s="83">
        <f>314.698-40-25-60-100</f>
        <v>89.697999999999979</v>
      </c>
      <c r="G63" s="86">
        <v>40</v>
      </c>
      <c r="H63" s="83">
        <f t="shared" ref="H63:H69" si="9">25+60+100</f>
        <v>185</v>
      </c>
      <c r="I63" s="83">
        <f t="shared" si="8"/>
        <v>0</v>
      </c>
      <c r="J63" s="86">
        <v>100</v>
      </c>
      <c r="K63" s="86">
        <v>300</v>
      </c>
      <c r="L63" s="83">
        <f t="shared" si="0"/>
        <v>1239</v>
      </c>
      <c r="M63" s="94">
        <v>400</v>
      </c>
      <c r="N63" s="83">
        <f>100</f>
        <v>100</v>
      </c>
      <c r="O63" s="86">
        <v>240</v>
      </c>
      <c r="P63" s="86">
        <v>160</v>
      </c>
      <c r="Q63" s="86">
        <f t="shared" si="1"/>
        <v>195</v>
      </c>
      <c r="R63" s="86">
        <f t="shared" si="2"/>
        <v>100</v>
      </c>
      <c r="S63" s="83">
        <f t="shared" si="3"/>
        <v>695</v>
      </c>
      <c r="T63" s="83">
        <f>50</f>
        <v>50</v>
      </c>
      <c r="U63" s="84"/>
      <c r="V63" s="84"/>
      <c r="W63" s="84"/>
      <c r="X63" s="84"/>
      <c r="Y63" s="84"/>
      <c r="Z63" s="84"/>
      <c r="AA63" s="84"/>
      <c r="AB63" s="84"/>
      <c r="AC63" s="84"/>
      <c r="AD63" s="84"/>
    </row>
    <row r="64" spans="1:30" ht="15.75" x14ac:dyDescent="0.25">
      <c r="A64" s="13">
        <v>42856</v>
      </c>
      <c r="B64" s="97">
        <v>31</v>
      </c>
      <c r="C64" s="83">
        <f>194.205</f>
        <v>194.20500000000001</v>
      </c>
      <c r="D64" s="83">
        <f>267.466</f>
        <v>267.46600000000001</v>
      </c>
      <c r="E64" s="92">
        <f>133.845</f>
        <v>133.845</v>
      </c>
      <c r="F64" s="83">
        <f>278.484-40-25-60-100</f>
        <v>53.48399999999998</v>
      </c>
      <c r="G64" s="86">
        <v>40</v>
      </c>
      <c r="H64" s="83">
        <f t="shared" si="9"/>
        <v>185</v>
      </c>
      <c r="I64" s="83">
        <f t="shared" si="8"/>
        <v>0</v>
      </c>
      <c r="J64" s="86">
        <v>100</v>
      </c>
      <c r="K64" s="86">
        <v>300</v>
      </c>
      <c r="L64" s="83">
        <f t="shared" si="0"/>
        <v>1274</v>
      </c>
      <c r="M64" s="94">
        <v>400</v>
      </c>
      <c r="N64" s="83">
        <f>75</f>
        <v>75</v>
      </c>
      <c r="O64" s="86">
        <v>240</v>
      </c>
      <c r="P64" s="86">
        <v>160</v>
      </c>
      <c r="Q64" s="86">
        <f t="shared" si="1"/>
        <v>195</v>
      </c>
      <c r="R64" s="86">
        <f t="shared" si="2"/>
        <v>100</v>
      </c>
      <c r="S64" s="83">
        <f t="shared" si="3"/>
        <v>695</v>
      </c>
      <c r="T64" s="83">
        <f>50</f>
        <v>50</v>
      </c>
      <c r="U64" s="84"/>
      <c r="V64" s="84"/>
      <c r="W64" s="84"/>
      <c r="X64" s="84"/>
      <c r="Y64" s="84"/>
      <c r="Z64" s="84"/>
      <c r="AA64" s="84"/>
      <c r="AB64" s="84"/>
      <c r="AC64" s="84"/>
      <c r="AD64" s="84"/>
    </row>
    <row r="65" spans="1:30" ht="15.75" x14ac:dyDescent="0.25">
      <c r="A65" s="13">
        <v>42887</v>
      </c>
      <c r="B65" s="97">
        <v>30</v>
      </c>
      <c r="C65" s="83">
        <f>194.205</f>
        <v>194.20500000000001</v>
      </c>
      <c r="D65" s="83">
        <f>267.466</f>
        <v>267.46600000000001</v>
      </c>
      <c r="E65" s="92">
        <f>133.845</f>
        <v>133.845</v>
      </c>
      <c r="F65" s="83">
        <f>278.484-40-25-60-100</f>
        <v>53.48399999999998</v>
      </c>
      <c r="G65" s="86">
        <v>40</v>
      </c>
      <c r="H65" s="83">
        <f t="shared" si="9"/>
        <v>185</v>
      </c>
      <c r="I65" s="83">
        <f t="shared" si="8"/>
        <v>0</v>
      </c>
      <c r="J65" s="86">
        <v>100</v>
      </c>
      <c r="K65" s="86">
        <v>300</v>
      </c>
      <c r="L65" s="83">
        <f t="shared" si="0"/>
        <v>1274</v>
      </c>
      <c r="M65" s="94">
        <v>400</v>
      </c>
      <c r="N65" s="83">
        <f>30</f>
        <v>30</v>
      </c>
      <c r="O65" s="86">
        <v>240</v>
      </c>
      <c r="P65" s="86">
        <v>160</v>
      </c>
      <c r="Q65" s="86">
        <f t="shared" si="1"/>
        <v>195</v>
      </c>
      <c r="R65" s="86">
        <f t="shared" si="2"/>
        <v>100</v>
      </c>
      <c r="S65" s="83">
        <f t="shared" si="3"/>
        <v>695</v>
      </c>
      <c r="T65" s="83">
        <f>50</f>
        <v>50</v>
      </c>
      <c r="U65" s="84"/>
      <c r="V65" s="84"/>
      <c r="W65" s="84"/>
      <c r="X65" s="84"/>
      <c r="Y65" s="84"/>
      <c r="Z65" s="84"/>
      <c r="AA65" s="84"/>
      <c r="AB65" s="84"/>
      <c r="AC65" s="84"/>
      <c r="AD65" s="84"/>
    </row>
    <row r="66" spans="1:30" ht="15.75" x14ac:dyDescent="0.25">
      <c r="A66" s="13">
        <v>42917</v>
      </c>
      <c r="B66" s="97">
        <v>31</v>
      </c>
      <c r="C66" s="83">
        <f>194.205</f>
        <v>194.20500000000001</v>
      </c>
      <c r="D66" s="83">
        <f>267.466</f>
        <v>267.46600000000001</v>
      </c>
      <c r="E66" s="92">
        <f>133.845</f>
        <v>133.845</v>
      </c>
      <c r="F66" s="83">
        <f>278.484-40-25-60-100</f>
        <v>53.48399999999998</v>
      </c>
      <c r="G66" s="86">
        <v>40</v>
      </c>
      <c r="H66" s="83">
        <f t="shared" si="9"/>
        <v>185</v>
      </c>
      <c r="I66" s="83">
        <f t="shared" si="8"/>
        <v>0</v>
      </c>
      <c r="J66" s="86">
        <v>100</v>
      </c>
      <c r="K66" s="86">
        <v>300</v>
      </c>
      <c r="L66" s="83">
        <f t="shared" si="0"/>
        <v>1274</v>
      </c>
      <c r="M66" s="94">
        <v>400</v>
      </c>
      <c r="N66" s="83">
        <f>30</f>
        <v>30</v>
      </c>
      <c r="O66" s="86">
        <v>240</v>
      </c>
      <c r="P66" s="86">
        <v>160</v>
      </c>
      <c r="Q66" s="86">
        <f t="shared" si="1"/>
        <v>195</v>
      </c>
      <c r="R66" s="86">
        <f t="shared" si="2"/>
        <v>100</v>
      </c>
      <c r="S66" s="83">
        <f t="shared" si="3"/>
        <v>695</v>
      </c>
      <c r="T66" s="83">
        <f>0</f>
        <v>0</v>
      </c>
      <c r="U66" s="84"/>
      <c r="V66" s="84"/>
      <c r="W66" s="84"/>
      <c r="X66" s="84"/>
      <c r="Y66" s="84"/>
      <c r="Z66" s="84"/>
      <c r="AA66" s="84"/>
      <c r="AB66" s="84"/>
      <c r="AC66" s="84"/>
      <c r="AD66" s="84"/>
    </row>
    <row r="67" spans="1:30" ht="15.75" x14ac:dyDescent="0.25">
      <c r="A67" s="13">
        <v>42948</v>
      </c>
      <c r="B67" s="97">
        <v>31</v>
      </c>
      <c r="C67" s="83">
        <f>194.205</f>
        <v>194.20500000000001</v>
      </c>
      <c r="D67" s="83">
        <f>267.466</f>
        <v>267.46600000000001</v>
      </c>
      <c r="E67" s="92">
        <f>133.845</f>
        <v>133.845</v>
      </c>
      <c r="F67" s="83">
        <f>278.484-40-25-60-100</f>
        <v>53.48399999999998</v>
      </c>
      <c r="G67" s="86">
        <v>40</v>
      </c>
      <c r="H67" s="83">
        <f t="shared" si="9"/>
        <v>185</v>
      </c>
      <c r="I67" s="83">
        <f t="shared" si="8"/>
        <v>0</v>
      </c>
      <c r="J67" s="86">
        <v>100</v>
      </c>
      <c r="K67" s="86">
        <v>300</v>
      </c>
      <c r="L67" s="83">
        <f t="shared" si="0"/>
        <v>1274</v>
      </c>
      <c r="M67" s="94">
        <v>400</v>
      </c>
      <c r="N67" s="83">
        <f>30</f>
        <v>30</v>
      </c>
      <c r="O67" s="86">
        <v>240</v>
      </c>
      <c r="P67" s="86">
        <v>160</v>
      </c>
      <c r="Q67" s="86">
        <f t="shared" si="1"/>
        <v>195</v>
      </c>
      <c r="R67" s="86">
        <f t="shared" si="2"/>
        <v>100</v>
      </c>
      <c r="S67" s="83">
        <f t="shared" si="3"/>
        <v>695</v>
      </c>
      <c r="T67" s="83">
        <f>0</f>
        <v>0</v>
      </c>
      <c r="U67" s="84"/>
      <c r="V67" s="84"/>
      <c r="W67" s="84"/>
      <c r="X67" s="84"/>
      <c r="Y67" s="84"/>
      <c r="Z67" s="84"/>
      <c r="AA67" s="84"/>
      <c r="AB67" s="84"/>
      <c r="AC67" s="84"/>
      <c r="AD67" s="84"/>
    </row>
    <row r="68" spans="1:30" ht="15.75" x14ac:dyDescent="0.25">
      <c r="A68" s="13">
        <v>42979</v>
      </c>
      <c r="B68" s="97">
        <v>30</v>
      </c>
      <c r="C68" s="83">
        <f>194.205</f>
        <v>194.20500000000001</v>
      </c>
      <c r="D68" s="83">
        <f>267.466</f>
        <v>267.46600000000001</v>
      </c>
      <c r="E68" s="92">
        <f>133.845</f>
        <v>133.845</v>
      </c>
      <c r="F68" s="83">
        <f>278.484-40-25-60-100</f>
        <v>53.48399999999998</v>
      </c>
      <c r="G68" s="86">
        <v>40</v>
      </c>
      <c r="H68" s="83">
        <f t="shared" si="9"/>
        <v>185</v>
      </c>
      <c r="I68" s="83">
        <f t="shared" si="8"/>
        <v>0</v>
      </c>
      <c r="J68" s="86">
        <v>100</v>
      </c>
      <c r="K68" s="86">
        <v>300</v>
      </c>
      <c r="L68" s="83">
        <f t="shared" si="0"/>
        <v>1274</v>
      </c>
      <c r="M68" s="94">
        <v>400</v>
      </c>
      <c r="N68" s="83">
        <f>30</f>
        <v>30</v>
      </c>
      <c r="O68" s="86">
        <v>240</v>
      </c>
      <c r="P68" s="86">
        <v>160</v>
      </c>
      <c r="Q68" s="86">
        <f t="shared" si="1"/>
        <v>195</v>
      </c>
      <c r="R68" s="86">
        <f t="shared" si="2"/>
        <v>100</v>
      </c>
      <c r="S68" s="83">
        <f t="shared" si="3"/>
        <v>695</v>
      </c>
      <c r="T68" s="83">
        <f>0</f>
        <v>0</v>
      </c>
      <c r="U68" s="84"/>
      <c r="V68" s="84"/>
      <c r="W68" s="84"/>
      <c r="X68" s="84"/>
      <c r="Y68" s="84"/>
      <c r="Z68" s="84"/>
      <c r="AA68" s="84"/>
      <c r="AB68" s="84"/>
      <c r="AC68" s="84"/>
      <c r="AD68" s="84"/>
    </row>
    <row r="69" spans="1:30" ht="15.75" x14ac:dyDescent="0.25">
      <c r="A69" s="13">
        <v>43009</v>
      </c>
      <c r="B69" s="97">
        <v>31</v>
      </c>
      <c r="C69" s="83">
        <f>131.881</f>
        <v>131.881</v>
      </c>
      <c r="D69" s="83">
        <f>277.167</f>
        <v>277.16699999999997</v>
      </c>
      <c r="E69" s="92">
        <f>79.08</f>
        <v>79.08</v>
      </c>
      <c r="F69" s="83">
        <f>350.872-40-25-60-100</f>
        <v>125.87200000000001</v>
      </c>
      <c r="G69" s="86">
        <v>40</v>
      </c>
      <c r="H69" s="83">
        <f t="shared" si="9"/>
        <v>185</v>
      </c>
      <c r="I69" s="83">
        <f t="shared" si="8"/>
        <v>0</v>
      </c>
      <c r="J69" s="86">
        <v>100</v>
      </c>
      <c r="K69" s="86">
        <v>300</v>
      </c>
      <c r="L69" s="83">
        <f t="shared" si="0"/>
        <v>1239</v>
      </c>
      <c r="M69" s="94">
        <v>400</v>
      </c>
      <c r="N69" s="83">
        <f>75</f>
        <v>75</v>
      </c>
      <c r="O69" s="86">
        <v>240</v>
      </c>
      <c r="P69" s="86">
        <v>160</v>
      </c>
      <c r="Q69" s="86">
        <f t="shared" si="1"/>
        <v>195</v>
      </c>
      <c r="R69" s="86">
        <f t="shared" si="2"/>
        <v>100</v>
      </c>
      <c r="S69" s="83">
        <f t="shared" si="3"/>
        <v>695</v>
      </c>
      <c r="T69" s="83">
        <f>0</f>
        <v>0</v>
      </c>
      <c r="U69" s="84"/>
      <c r="V69" s="84"/>
      <c r="W69" s="84"/>
      <c r="X69" s="84"/>
      <c r="Y69" s="84"/>
      <c r="Z69" s="84"/>
      <c r="AA69" s="84"/>
      <c r="AB69" s="84"/>
      <c r="AC69" s="84"/>
      <c r="AD69" s="84"/>
    </row>
    <row r="70" spans="1:30" ht="15.75" x14ac:dyDescent="0.25">
      <c r="A70" s="13">
        <v>43040</v>
      </c>
      <c r="B70" s="97">
        <v>30</v>
      </c>
      <c r="C70" s="83">
        <f>122.58</f>
        <v>122.58</v>
      </c>
      <c r="D70" s="83">
        <f>297.941</f>
        <v>297.94099999999997</v>
      </c>
      <c r="E70" s="92">
        <f>89.177</f>
        <v>89.177000000000007</v>
      </c>
      <c r="F70" s="83">
        <f>240.302-40-60-100</f>
        <v>40.301999999999992</v>
      </c>
      <c r="G70" s="86">
        <v>40</v>
      </c>
      <c r="H70" s="83">
        <f>60+100</f>
        <v>160</v>
      </c>
      <c r="I70" s="83">
        <f t="shared" si="8"/>
        <v>0</v>
      </c>
      <c r="J70" s="86">
        <v>100</v>
      </c>
      <c r="K70" s="86">
        <v>300</v>
      </c>
      <c r="L70" s="83">
        <f t="shared" si="0"/>
        <v>1150</v>
      </c>
      <c r="M70" s="94">
        <v>400</v>
      </c>
      <c r="N70" s="83">
        <f>100</f>
        <v>100</v>
      </c>
      <c r="O70" s="86">
        <v>240</v>
      </c>
      <c r="P70" s="86">
        <v>40</v>
      </c>
      <c r="Q70" s="86">
        <f t="shared" si="1"/>
        <v>315</v>
      </c>
      <c r="R70" s="86">
        <f t="shared" si="2"/>
        <v>100</v>
      </c>
      <c r="S70" s="83">
        <f t="shared" si="3"/>
        <v>695</v>
      </c>
      <c r="T70" s="83">
        <f>50</f>
        <v>50</v>
      </c>
      <c r="U70" s="84"/>
      <c r="V70" s="84"/>
      <c r="W70" s="84"/>
      <c r="X70" s="84"/>
      <c r="Y70" s="84"/>
      <c r="Z70" s="84"/>
      <c r="AA70" s="84"/>
      <c r="AB70" s="84"/>
      <c r="AC70" s="84"/>
      <c r="AD70" s="84"/>
    </row>
    <row r="71" spans="1:30" ht="15.75" x14ac:dyDescent="0.25">
      <c r="A71" s="13">
        <v>43070</v>
      </c>
      <c r="B71" s="97">
        <v>31</v>
      </c>
      <c r="C71" s="83">
        <f>122.58</f>
        <v>122.58</v>
      </c>
      <c r="D71" s="83">
        <f>297.941</f>
        <v>297.94099999999997</v>
      </c>
      <c r="E71" s="92">
        <f>89.177</f>
        <v>89.177000000000007</v>
      </c>
      <c r="F71" s="83">
        <f>240.302-40-60-100</f>
        <v>40.301999999999992</v>
      </c>
      <c r="G71" s="86">
        <v>40</v>
      </c>
      <c r="H71" s="83">
        <f>60+100</f>
        <v>160</v>
      </c>
      <c r="I71" s="83">
        <f t="shared" si="8"/>
        <v>0</v>
      </c>
      <c r="J71" s="86">
        <v>100</v>
      </c>
      <c r="K71" s="86">
        <v>300</v>
      </c>
      <c r="L71" s="83">
        <f t="shared" si="0"/>
        <v>1150</v>
      </c>
      <c r="M71" s="94">
        <v>400</v>
      </c>
      <c r="N71" s="83">
        <f>100</f>
        <v>100</v>
      </c>
      <c r="O71" s="86">
        <v>240</v>
      </c>
      <c r="P71" s="86">
        <v>40</v>
      </c>
      <c r="Q71" s="86">
        <f t="shared" si="1"/>
        <v>315</v>
      </c>
      <c r="R71" s="86">
        <f t="shared" si="2"/>
        <v>100</v>
      </c>
      <c r="S71" s="83">
        <f t="shared" si="3"/>
        <v>695</v>
      </c>
      <c r="T71" s="83">
        <f>50</f>
        <v>50</v>
      </c>
      <c r="U71" s="84"/>
      <c r="V71" s="84"/>
      <c r="W71" s="84"/>
      <c r="X71" s="84"/>
      <c r="Y71" s="84"/>
      <c r="Z71" s="84"/>
      <c r="AA71" s="84"/>
      <c r="AB71" s="84"/>
      <c r="AC71" s="84"/>
      <c r="AD71" s="84"/>
    </row>
    <row r="72" spans="1:30" ht="15.75" x14ac:dyDescent="0.25">
      <c r="A72" s="13">
        <v>43101</v>
      </c>
      <c r="B72" s="97">
        <v>31</v>
      </c>
      <c r="C72" s="83">
        <f>122.58</f>
        <v>122.58</v>
      </c>
      <c r="D72" s="83">
        <f>297.941</f>
        <v>297.94099999999997</v>
      </c>
      <c r="E72" s="92">
        <f>89.177</f>
        <v>89.177000000000007</v>
      </c>
      <c r="F72" s="83">
        <f>240.302-40-60-100</f>
        <v>40.301999999999992</v>
      </c>
      <c r="G72" s="86">
        <v>40</v>
      </c>
      <c r="H72" s="83">
        <f>60+100</f>
        <v>160</v>
      </c>
      <c r="I72" s="83">
        <f t="shared" si="8"/>
        <v>0</v>
      </c>
      <c r="J72" s="86">
        <v>100</v>
      </c>
      <c r="K72" s="86">
        <v>300</v>
      </c>
      <c r="L72" s="83">
        <f t="shared" si="0"/>
        <v>1150</v>
      </c>
      <c r="M72" s="94">
        <v>400</v>
      </c>
      <c r="N72" s="83">
        <f>100</f>
        <v>100</v>
      </c>
      <c r="O72" s="86">
        <v>240</v>
      </c>
      <c r="P72" s="86">
        <v>40</v>
      </c>
      <c r="Q72" s="86">
        <f t="shared" si="1"/>
        <v>315</v>
      </c>
      <c r="R72" s="86">
        <f t="shared" si="2"/>
        <v>100</v>
      </c>
      <c r="S72" s="83">
        <f t="shared" si="3"/>
        <v>695</v>
      </c>
      <c r="T72" s="83">
        <f>50</f>
        <v>50</v>
      </c>
      <c r="U72" s="84"/>
      <c r="V72" s="84"/>
      <c r="W72" s="84"/>
      <c r="X72" s="84"/>
      <c r="Y72" s="84"/>
      <c r="Z72" s="84"/>
      <c r="AA72" s="84"/>
      <c r="AB72" s="84"/>
      <c r="AC72" s="84"/>
      <c r="AD72" s="84"/>
    </row>
    <row r="73" spans="1:30" ht="15.75" x14ac:dyDescent="0.25">
      <c r="A73" s="13">
        <v>43132</v>
      </c>
      <c r="B73" s="97">
        <v>28</v>
      </c>
      <c r="C73" s="83">
        <f>122.58</f>
        <v>122.58</v>
      </c>
      <c r="D73" s="83">
        <f>297.941</f>
        <v>297.94099999999997</v>
      </c>
      <c r="E73" s="92">
        <f>89.177</f>
        <v>89.177000000000007</v>
      </c>
      <c r="F73" s="83">
        <f>240.302-40-60-100</f>
        <v>40.301999999999992</v>
      </c>
      <c r="G73" s="86">
        <v>40</v>
      </c>
      <c r="H73" s="83">
        <f>60+100</f>
        <v>160</v>
      </c>
      <c r="I73" s="83">
        <f t="shared" si="8"/>
        <v>0</v>
      </c>
      <c r="J73" s="86">
        <v>100</v>
      </c>
      <c r="K73" s="86">
        <v>300</v>
      </c>
      <c r="L73" s="83">
        <f t="shared" si="0"/>
        <v>1150</v>
      </c>
      <c r="M73" s="94">
        <v>400</v>
      </c>
      <c r="N73" s="83">
        <f>100</f>
        <v>100</v>
      </c>
      <c r="O73" s="86">
        <v>240</v>
      </c>
      <c r="P73" s="86">
        <v>40</v>
      </c>
      <c r="Q73" s="86">
        <f t="shared" si="1"/>
        <v>315</v>
      </c>
      <c r="R73" s="86">
        <f t="shared" si="2"/>
        <v>100</v>
      </c>
      <c r="S73" s="83">
        <f t="shared" si="3"/>
        <v>695</v>
      </c>
      <c r="T73" s="83">
        <f>50</f>
        <v>50</v>
      </c>
      <c r="U73" s="84"/>
      <c r="V73" s="84"/>
      <c r="W73" s="84"/>
      <c r="X73" s="84"/>
      <c r="Y73" s="84"/>
      <c r="Z73" s="84"/>
      <c r="AA73" s="84"/>
      <c r="AB73" s="84"/>
      <c r="AC73" s="84"/>
      <c r="AD73" s="84"/>
    </row>
    <row r="74" spans="1:30" ht="15.75" x14ac:dyDescent="0.25">
      <c r="A74" s="13">
        <v>43160</v>
      </c>
      <c r="B74" s="97">
        <v>31</v>
      </c>
      <c r="C74" s="83">
        <f>122.58</f>
        <v>122.58</v>
      </c>
      <c r="D74" s="83">
        <f>297.941</f>
        <v>297.94099999999997</v>
      </c>
      <c r="E74" s="92">
        <f>89.177</f>
        <v>89.177000000000007</v>
      </c>
      <c r="F74" s="83">
        <f>240.302-40-60-100</f>
        <v>40.301999999999992</v>
      </c>
      <c r="G74" s="86">
        <v>40</v>
      </c>
      <c r="H74" s="83">
        <f>60+100</f>
        <v>160</v>
      </c>
      <c r="I74" s="83">
        <f t="shared" si="8"/>
        <v>0</v>
      </c>
      <c r="J74" s="86">
        <v>100</v>
      </c>
      <c r="K74" s="86">
        <v>300</v>
      </c>
      <c r="L74" s="83">
        <f t="shared" si="0"/>
        <v>1150</v>
      </c>
      <c r="M74" s="94">
        <v>400</v>
      </c>
      <c r="N74" s="83">
        <f>100</f>
        <v>100</v>
      </c>
      <c r="O74" s="86">
        <v>240</v>
      </c>
      <c r="P74" s="86">
        <v>40</v>
      </c>
      <c r="Q74" s="86">
        <f t="shared" si="1"/>
        <v>315</v>
      </c>
      <c r="R74" s="86">
        <f t="shared" si="2"/>
        <v>100</v>
      </c>
      <c r="S74" s="83">
        <f t="shared" si="3"/>
        <v>695</v>
      </c>
      <c r="T74" s="83">
        <f>50</f>
        <v>50</v>
      </c>
      <c r="U74" s="84"/>
      <c r="V74" s="84"/>
      <c r="W74" s="84"/>
      <c r="X74" s="84"/>
      <c r="Y74" s="84"/>
      <c r="Z74" s="84"/>
      <c r="AA74" s="84"/>
      <c r="AB74" s="84"/>
      <c r="AC74" s="84"/>
      <c r="AD74" s="84"/>
    </row>
    <row r="75" spans="1:30" ht="15.75" x14ac:dyDescent="0.25">
      <c r="A75" s="13">
        <v>43191</v>
      </c>
      <c r="B75" s="97">
        <v>30</v>
      </c>
      <c r="C75" s="83">
        <f>141.293</f>
        <v>141.29300000000001</v>
      </c>
      <c r="D75" s="83">
        <f>267.993</f>
        <v>267.99299999999999</v>
      </c>
      <c r="E75" s="92">
        <f>115.016</f>
        <v>115.01600000000001</v>
      </c>
      <c r="F75" s="83">
        <f>314.698-40-25-60-100</f>
        <v>89.697999999999979</v>
      </c>
      <c r="G75" s="86">
        <v>40</v>
      </c>
      <c r="H75" s="83">
        <f t="shared" ref="H75:H81" si="10">25+60+100</f>
        <v>185</v>
      </c>
      <c r="I75" s="83">
        <f t="shared" si="8"/>
        <v>0</v>
      </c>
      <c r="J75" s="86">
        <v>100</v>
      </c>
      <c r="K75" s="86">
        <v>300</v>
      </c>
      <c r="L75" s="83">
        <f t="shared" si="0"/>
        <v>1239</v>
      </c>
      <c r="M75" s="94">
        <v>400</v>
      </c>
      <c r="N75" s="83">
        <f>100</f>
        <v>100</v>
      </c>
      <c r="O75" s="86">
        <v>240</v>
      </c>
      <c r="P75" s="86">
        <v>160</v>
      </c>
      <c r="Q75" s="86">
        <f t="shared" si="1"/>
        <v>195</v>
      </c>
      <c r="R75" s="86">
        <f t="shared" si="2"/>
        <v>100</v>
      </c>
      <c r="S75" s="83">
        <f t="shared" si="3"/>
        <v>695</v>
      </c>
      <c r="T75" s="83">
        <f>50</f>
        <v>50</v>
      </c>
      <c r="U75" s="84"/>
      <c r="V75" s="84"/>
      <c r="W75" s="84"/>
      <c r="X75" s="84"/>
      <c r="Y75" s="84"/>
      <c r="Z75" s="84"/>
      <c r="AA75" s="84"/>
      <c r="AB75" s="84"/>
      <c r="AC75" s="84"/>
      <c r="AD75" s="84"/>
    </row>
    <row r="76" spans="1:30" ht="15.75" x14ac:dyDescent="0.25">
      <c r="A76" s="13">
        <v>43221</v>
      </c>
      <c r="B76" s="97">
        <v>31</v>
      </c>
      <c r="C76" s="83">
        <f>194.205</f>
        <v>194.20500000000001</v>
      </c>
      <c r="D76" s="83">
        <f>267.466</f>
        <v>267.46600000000001</v>
      </c>
      <c r="E76" s="92">
        <f>133.845</f>
        <v>133.845</v>
      </c>
      <c r="F76" s="83">
        <f>278.484-40-25-60-100</f>
        <v>53.48399999999998</v>
      </c>
      <c r="G76" s="86">
        <v>40</v>
      </c>
      <c r="H76" s="83">
        <f t="shared" si="10"/>
        <v>185</v>
      </c>
      <c r="I76" s="83">
        <f t="shared" si="8"/>
        <v>0</v>
      </c>
      <c r="J76" s="86">
        <v>100</v>
      </c>
      <c r="K76" s="86">
        <v>300</v>
      </c>
      <c r="L76" s="83">
        <f t="shared" si="0"/>
        <v>1274</v>
      </c>
      <c r="M76" s="94">
        <v>400</v>
      </c>
      <c r="N76" s="83">
        <f>75</f>
        <v>75</v>
      </c>
      <c r="O76" s="86">
        <v>240</v>
      </c>
      <c r="P76" s="86">
        <v>160</v>
      </c>
      <c r="Q76" s="86">
        <f t="shared" si="1"/>
        <v>195</v>
      </c>
      <c r="R76" s="86">
        <f t="shared" si="2"/>
        <v>100</v>
      </c>
      <c r="S76" s="83">
        <f t="shared" si="3"/>
        <v>695</v>
      </c>
      <c r="T76" s="83">
        <f>50</f>
        <v>50</v>
      </c>
      <c r="U76" s="84"/>
      <c r="V76" s="84"/>
      <c r="W76" s="84"/>
      <c r="X76" s="84"/>
      <c r="Y76" s="84"/>
      <c r="Z76" s="84"/>
      <c r="AA76" s="84"/>
      <c r="AB76" s="84"/>
      <c r="AC76" s="84"/>
      <c r="AD76" s="84"/>
    </row>
    <row r="77" spans="1:30" ht="15.75" x14ac:dyDescent="0.25">
      <c r="A77" s="13">
        <v>43252</v>
      </c>
      <c r="B77" s="97">
        <v>30</v>
      </c>
      <c r="C77" s="83">
        <f>194.205</f>
        <v>194.20500000000001</v>
      </c>
      <c r="D77" s="83">
        <f>267.466</f>
        <v>267.46600000000001</v>
      </c>
      <c r="E77" s="92">
        <f>133.845</f>
        <v>133.845</v>
      </c>
      <c r="F77" s="83">
        <f>278.484-40-25-60-100</f>
        <v>53.48399999999998</v>
      </c>
      <c r="G77" s="86">
        <v>40</v>
      </c>
      <c r="H77" s="83">
        <f t="shared" si="10"/>
        <v>185</v>
      </c>
      <c r="I77" s="83">
        <f t="shared" si="8"/>
        <v>0</v>
      </c>
      <c r="J77" s="86">
        <v>100</v>
      </c>
      <c r="K77" s="86">
        <v>300</v>
      </c>
      <c r="L77" s="83">
        <f t="shared" si="0"/>
        <v>1274</v>
      </c>
      <c r="M77" s="94">
        <v>400</v>
      </c>
      <c r="N77" s="83">
        <f>30</f>
        <v>30</v>
      </c>
      <c r="O77" s="86">
        <v>240</v>
      </c>
      <c r="P77" s="86">
        <v>160</v>
      </c>
      <c r="Q77" s="86">
        <f t="shared" si="1"/>
        <v>195</v>
      </c>
      <c r="R77" s="86">
        <f t="shared" si="2"/>
        <v>100</v>
      </c>
      <c r="S77" s="83">
        <f t="shared" si="3"/>
        <v>695</v>
      </c>
      <c r="T77" s="83">
        <f>50</f>
        <v>50</v>
      </c>
      <c r="U77" s="84"/>
      <c r="V77" s="84"/>
      <c r="W77" s="84"/>
      <c r="X77" s="84"/>
      <c r="Y77" s="84"/>
      <c r="Z77" s="84"/>
      <c r="AA77" s="84"/>
      <c r="AB77" s="84"/>
      <c r="AC77" s="84"/>
      <c r="AD77" s="84"/>
    </row>
    <row r="78" spans="1:30" ht="15.75" x14ac:dyDescent="0.25">
      <c r="A78" s="13">
        <v>43282</v>
      </c>
      <c r="B78" s="97">
        <v>31</v>
      </c>
      <c r="C78" s="83">
        <f>194.205</f>
        <v>194.20500000000001</v>
      </c>
      <c r="D78" s="83">
        <f>267.466</f>
        <v>267.46600000000001</v>
      </c>
      <c r="E78" s="92">
        <f>133.845</f>
        <v>133.845</v>
      </c>
      <c r="F78" s="83">
        <f>278.484-40-25-60-100</f>
        <v>53.48399999999998</v>
      </c>
      <c r="G78" s="86">
        <v>40</v>
      </c>
      <c r="H78" s="83">
        <f t="shared" si="10"/>
        <v>185</v>
      </c>
      <c r="I78" s="83">
        <f t="shared" si="8"/>
        <v>0</v>
      </c>
      <c r="J78" s="86">
        <v>100</v>
      </c>
      <c r="K78" s="86">
        <v>300</v>
      </c>
      <c r="L78" s="83">
        <f t="shared" si="0"/>
        <v>1274</v>
      </c>
      <c r="M78" s="94">
        <v>400</v>
      </c>
      <c r="N78" s="83">
        <f>30</f>
        <v>30</v>
      </c>
      <c r="O78" s="86">
        <v>240</v>
      </c>
      <c r="P78" s="86">
        <v>160</v>
      </c>
      <c r="Q78" s="86">
        <f t="shared" si="1"/>
        <v>195</v>
      </c>
      <c r="R78" s="86">
        <f t="shared" si="2"/>
        <v>100</v>
      </c>
      <c r="S78" s="83">
        <f t="shared" si="3"/>
        <v>695</v>
      </c>
      <c r="T78" s="83">
        <f>0</f>
        <v>0</v>
      </c>
      <c r="U78" s="84"/>
      <c r="V78" s="84"/>
      <c r="W78" s="84"/>
      <c r="X78" s="84"/>
      <c r="Y78" s="84"/>
      <c r="Z78" s="84"/>
      <c r="AA78" s="84"/>
      <c r="AB78" s="84"/>
      <c r="AC78" s="84"/>
      <c r="AD78" s="84"/>
    </row>
    <row r="79" spans="1:30" ht="15.75" x14ac:dyDescent="0.25">
      <c r="A79" s="13">
        <v>43313</v>
      </c>
      <c r="B79" s="97">
        <v>31</v>
      </c>
      <c r="C79" s="83">
        <f>194.205</f>
        <v>194.20500000000001</v>
      </c>
      <c r="D79" s="83">
        <f>267.466</f>
        <v>267.46600000000001</v>
      </c>
      <c r="E79" s="92">
        <f>133.845</f>
        <v>133.845</v>
      </c>
      <c r="F79" s="83">
        <f>278.484-40-25-60-100</f>
        <v>53.48399999999998</v>
      </c>
      <c r="G79" s="86">
        <v>40</v>
      </c>
      <c r="H79" s="83">
        <f t="shared" si="10"/>
        <v>185</v>
      </c>
      <c r="I79" s="83">
        <f t="shared" si="8"/>
        <v>0</v>
      </c>
      <c r="J79" s="86">
        <v>100</v>
      </c>
      <c r="K79" s="86">
        <v>300</v>
      </c>
      <c r="L79" s="83">
        <f t="shared" si="0"/>
        <v>1274</v>
      </c>
      <c r="M79" s="94">
        <v>400</v>
      </c>
      <c r="N79" s="83">
        <f>30</f>
        <v>30</v>
      </c>
      <c r="O79" s="86">
        <v>240</v>
      </c>
      <c r="P79" s="86">
        <v>160</v>
      </c>
      <c r="Q79" s="86">
        <f t="shared" si="1"/>
        <v>195</v>
      </c>
      <c r="R79" s="86">
        <f t="shared" si="2"/>
        <v>100</v>
      </c>
      <c r="S79" s="83">
        <f t="shared" si="3"/>
        <v>695</v>
      </c>
      <c r="T79" s="83">
        <f>0</f>
        <v>0</v>
      </c>
      <c r="U79" s="84"/>
      <c r="V79" s="84"/>
      <c r="W79" s="84"/>
      <c r="X79" s="84"/>
      <c r="Y79" s="84"/>
      <c r="Z79" s="84"/>
      <c r="AA79" s="84"/>
      <c r="AB79" s="84"/>
      <c r="AC79" s="84"/>
      <c r="AD79" s="84"/>
    </row>
    <row r="80" spans="1:30" ht="15.75" x14ac:dyDescent="0.25">
      <c r="A80" s="13">
        <v>43344</v>
      </c>
      <c r="B80" s="97">
        <v>30</v>
      </c>
      <c r="C80" s="83">
        <f>194.205</f>
        <v>194.20500000000001</v>
      </c>
      <c r="D80" s="83">
        <f>267.466</f>
        <v>267.46600000000001</v>
      </c>
      <c r="E80" s="92">
        <f>133.845</f>
        <v>133.845</v>
      </c>
      <c r="F80" s="83">
        <f>278.484-40-25-60-100</f>
        <v>53.48399999999998</v>
      </c>
      <c r="G80" s="86">
        <v>40</v>
      </c>
      <c r="H80" s="83">
        <f t="shared" si="10"/>
        <v>185</v>
      </c>
      <c r="I80" s="83">
        <f t="shared" si="8"/>
        <v>0</v>
      </c>
      <c r="J80" s="86">
        <v>100</v>
      </c>
      <c r="K80" s="86">
        <v>300</v>
      </c>
      <c r="L80" s="83">
        <f t="shared" si="0"/>
        <v>1274</v>
      </c>
      <c r="M80" s="94">
        <v>400</v>
      </c>
      <c r="N80" s="83">
        <f>30</f>
        <v>30</v>
      </c>
      <c r="O80" s="86">
        <v>240</v>
      </c>
      <c r="P80" s="86">
        <v>160</v>
      </c>
      <c r="Q80" s="86">
        <f t="shared" si="1"/>
        <v>195</v>
      </c>
      <c r="R80" s="86">
        <f t="shared" si="2"/>
        <v>100</v>
      </c>
      <c r="S80" s="83">
        <f t="shared" si="3"/>
        <v>695</v>
      </c>
      <c r="T80" s="83">
        <f>0</f>
        <v>0</v>
      </c>
      <c r="U80" s="84"/>
      <c r="V80" s="84"/>
      <c r="W80" s="84"/>
      <c r="X80" s="84"/>
      <c r="Y80" s="84"/>
      <c r="Z80" s="84"/>
      <c r="AA80" s="84"/>
      <c r="AB80" s="84"/>
      <c r="AC80" s="84"/>
      <c r="AD80" s="84"/>
    </row>
    <row r="81" spans="1:30" ht="15.75" x14ac:dyDescent="0.25">
      <c r="A81" s="13">
        <v>43374</v>
      </c>
      <c r="B81" s="97">
        <v>31</v>
      </c>
      <c r="C81" s="83">
        <f>131.881</f>
        <v>131.881</v>
      </c>
      <c r="D81" s="83">
        <f>277.167</f>
        <v>277.16699999999997</v>
      </c>
      <c r="E81" s="92">
        <f>79.08</f>
        <v>79.08</v>
      </c>
      <c r="F81" s="83">
        <f>350.872-40-25-60-100</f>
        <v>125.87200000000001</v>
      </c>
      <c r="G81" s="86">
        <v>40</v>
      </c>
      <c r="H81" s="83">
        <f t="shared" si="10"/>
        <v>185</v>
      </c>
      <c r="I81" s="83">
        <f t="shared" si="8"/>
        <v>0</v>
      </c>
      <c r="J81" s="86">
        <v>100</v>
      </c>
      <c r="K81" s="86">
        <v>300</v>
      </c>
      <c r="L81" s="83">
        <f t="shared" si="0"/>
        <v>1239</v>
      </c>
      <c r="M81" s="94">
        <v>400</v>
      </c>
      <c r="N81" s="83">
        <f>75</f>
        <v>75</v>
      </c>
      <c r="O81" s="86">
        <v>240</v>
      </c>
      <c r="P81" s="86">
        <v>160</v>
      </c>
      <c r="Q81" s="86">
        <f t="shared" si="1"/>
        <v>195</v>
      </c>
      <c r="R81" s="86">
        <f t="shared" si="2"/>
        <v>100</v>
      </c>
      <c r="S81" s="83">
        <f t="shared" si="3"/>
        <v>695</v>
      </c>
      <c r="T81" s="83">
        <f>0</f>
        <v>0</v>
      </c>
      <c r="U81" s="84"/>
      <c r="V81" s="84"/>
      <c r="W81" s="84"/>
      <c r="X81" s="84"/>
      <c r="Y81" s="84"/>
      <c r="Z81" s="84"/>
      <c r="AA81" s="84"/>
      <c r="AB81" s="84"/>
      <c r="AC81" s="84"/>
      <c r="AD81" s="84"/>
    </row>
    <row r="82" spans="1:30" ht="15.75" x14ac:dyDescent="0.25">
      <c r="A82" s="13">
        <v>43405</v>
      </c>
      <c r="B82" s="97">
        <v>30</v>
      </c>
      <c r="C82" s="83">
        <f>122.58</f>
        <v>122.58</v>
      </c>
      <c r="D82" s="83">
        <f>297.941</f>
        <v>297.94099999999997</v>
      </c>
      <c r="E82" s="92">
        <f>89.177</f>
        <v>89.177000000000007</v>
      </c>
      <c r="F82" s="83">
        <f>240.302-40-60-100</f>
        <v>40.301999999999992</v>
      </c>
      <c r="G82" s="86">
        <v>40</v>
      </c>
      <c r="H82" s="83">
        <f>60+100</f>
        <v>160</v>
      </c>
      <c r="I82" s="83">
        <f t="shared" si="8"/>
        <v>0</v>
      </c>
      <c r="J82" s="86">
        <v>100</v>
      </c>
      <c r="K82" s="86">
        <v>300</v>
      </c>
      <c r="L82" s="83">
        <f t="shared" si="0"/>
        <v>1150</v>
      </c>
      <c r="M82" s="94">
        <v>400</v>
      </c>
      <c r="N82" s="83">
        <f>100</f>
        <v>100</v>
      </c>
      <c r="O82" s="86">
        <v>240</v>
      </c>
      <c r="P82" s="86">
        <v>40</v>
      </c>
      <c r="Q82" s="86">
        <f t="shared" si="1"/>
        <v>315</v>
      </c>
      <c r="R82" s="86">
        <f t="shared" si="2"/>
        <v>100</v>
      </c>
      <c r="S82" s="83">
        <f t="shared" si="3"/>
        <v>695</v>
      </c>
      <c r="T82" s="83">
        <f>50</f>
        <v>50</v>
      </c>
      <c r="U82" s="84"/>
      <c r="V82" s="84"/>
      <c r="W82" s="84"/>
      <c r="X82" s="84"/>
      <c r="Y82" s="84"/>
      <c r="Z82" s="84"/>
      <c r="AA82" s="84"/>
      <c r="AB82" s="84"/>
      <c r="AC82" s="84"/>
      <c r="AD82" s="84"/>
    </row>
    <row r="83" spans="1:30" ht="15.75" x14ac:dyDescent="0.25">
      <c r="A83" s="13">
        <v>43435</v>
      </c>
      <c r="B83" s="97">
        <v>31</v>
      </c>
      <c r="C83" s="83">
        <f>122.58</f>
        <v>122.58</v>
      </c>
      <c r="D83" s="83">
        <f>297.941</f>
        <v>297.94099999999997</v>
      </c>
      <c r="E83" s="92">
        <f>89.177</f>
        <v>89.177000000000007</v>
      </c>
      <c r="F83" s="83">
        <f>240.302-40-60-100</f>
        <v>40.301999999999992</v>
      </c>
      <c r="G83" s="86">
        <v>40</v>
      </c>
      <c r="H83" s="83">
        <f>60+100</f>
        <v>160</v>
      </c>
      <c r="I83" s="83">
        <f t="shared" si="8"/>
        <v>0</v>
      </c>
      <c r="J83" s="86">
        <v>100</v>
      </c>
      <c r="K83" s="86">
        <v>300</v>
      </c>
      <c r="L83" s="83">
        <f t="shared" si="0"/>
        <v>1150</v>
      </c>
      <c r="M83" s="94">
        <v>400</v>
      </c>
      <c r="N83" s="83">
        <f>100</f>
        <v>100</v>
      </c>
      <c r="O83" s="86">
        <v>240</v>
      </c>
      <c r="P83" s="86">
        <v>40</v>
      </c>
      <c r="Q83" s="86">
        <f t="shared" si="1"/>
        <v>315</v>
      </c>
      <c r="R83" s="86">
        <f t="shared" si="2"/>
        <v>100</v>
      </c>
      <c r="S83" s="83">
        <f t="shared" si="3"/>
        <v>695</v>
      </c>
      <c r="T83" s="83">
        <f>50</f>
        <v>50</v>
      </c>
      <c r="U83" s="84"/>
      <c r="V83" s="84"/>
      <c r="W83" s="84"/>
      <c r="X83" s="84"/>
      <c r="Y83" s="84"/>
      <c r="Z83" s="84"/>
      <c r="AA83" s="84"/>
      <c r="AB83" s="84"/>
      <c r="AC83" s="84"/>
      <c r="AD83" s="84"/>
    </row>
    <row r="84" spans="1:30" ht="15.75" hidden="1" x14ac:dyDescent="0.25">
      <c r="A84" s="13">
        <v>43466</v>
      </c>
      <c r="B84" s="97">
        <v>31</v>
      </c>
      <c r="C84" s="83">
        <f>'[2]FGT PRIMARY FIRM ZONE 1'!V95</f>
        <v>122.58</v>
      </c>
      <c r="D84" s="83">
        <f>'[2]FGT PRIMARY FIRM ZONE 2'!V95</f>
        <v>297.94100000000003</v>
      </c>
      <c r="E84" s="92">
        <f>'[2]FGT PRIMARY FIRM ZONE 3'!V95</f>
        <v>89.177000000000007</v>
      </c>
      <c r="F84" s="83">
        <f>'[2]FGT FIRM ZONE 3 MOBILE BAY-DES'!V95-40-60-100</f>
        <v>40.301999999999992</v>
      </c>
      <c r="G84" s="86">
        <v>40</v>
      </c>
      <c r="H84" s="83">
        <f>60+100</f>
        <v>160</v>
      </c>
      <c r="I84" s="83">
        <f t="shared" si="8"/>
        <v>0</v>
      </c>
      <c r="J84" s="86">
        <v>100</v>
      </c>
      <c r="K84" s="86">
        <v>300</v>
      </c>
      <c r="L84" s="83">
        <f t="shared" ref="L84:L147" si="11">SUM(C84:K84)</f>
        <v>1150</v>
      </c>
      <c r="M84" s="94">
        <v>400</v>
      </c>
      <c r="N84" s="83">
        <f>'[2]FGT NON-FIRM'!P95</f>
        <v>100</v>
      </c>
      <c r="O84" s="86">
        <v>240</v>
      </c>
      <c r="P84" s="86">
        <v>40</v>
      </c>
      <c r="Q84" s="86">
        <f t="shared" ref="Q84:Q147" si="12">695-R84-O84-P84</f>
        <v>315</v>
      </c>
      <c r="R84" s="86">
        <f t="shared" ref="R84:R147" si="13">200-J84</f>
        <v>100</v>
      </c>
      <c r="S84" s="83">
        <f t="shared" ref="S84:S147" si="14">SUM(O84:R84)</f>
        <v>695</v>
      </c>
      <c r="T84" s="83">
        <f>'[2]GULFSTREAM NON-FIRM'!H95</f>
        <v>50</v>
      </c>
      <c r="U84" s="84"/>
      <c r="V84" s="84"/>
      <c r="W84" s="84"/>
      <c r="X84" s="84"/>
      <c r="Y84" s="84"/>
      <c r="Z84" s="84"/>
      <c r="AA84" s="84"/>
      <c r="AB84" s="84"/>
      <c r="AC84" s="84"/>
      <c r="AD84" s="84"/>
    </row>
    <row r="85" spans="1:30" ht="15.75" hidden="1" x14ac:dyDescent="0.25">
      <c r="A85" s="13">
        <v>43497</v>
      </c>
      <c r="B85" s="97">
        <v>28</v>
      </c>
      <c r="C85" s="83">
        <f>'[2]FGT PRIMARY FIRM ZONE 1'!V96</f>
        <v>122.58</v>
      </c>
      <c r="D85" s="83">
        <f>'[2]FGT PRIMARY FIRM ZONE 2'!V96</f>
        <v>297.94100000000003</v>
      </c>
      <c r="E85" s="92">
        <f>'[2]FGT PRIMARY FIRM ZONE 3'!V96</f>
        <v>89.177000000000007</v>
      </c>
      <c r="F85" s="83">
        <f>'[2]FGT FIRM ZONE 3 MOBILE BAY-DES'!V96-40-60-100</f>
        <v>40.301999999999992</v>
      </c>
      <c r="G85" s="86">
        <v>40</v>
      </c>
      <c r="H85" s="83">
        <f>60+100</f>
        <v>160</v>
      </c>
      <c r="I85" s="83">
        <f t="shared" si="8"/>
        <v>0</v>
      </c>
      <c r="J85" s="86">
        <v>100</v>
      </c>
      <c r="K85" s="86">
        <v>300</v>
      </c>
      <c r="L85" s="83">
        <f t="shared" si="11"/>
        <v>1150</v>
      </c>
      <c r="M85" s="94">
        <v>400</v>
      </c>
      <c r="N85" s="83">
        <f>'[2]FGT NON-FIRM'!P96</f>
        <v>100</v>
      </c>
      <c r="O85" s="86">
        <v>240</v>
      </c>
      <c r="P85" s="86">
        <v>40</v>
      </c>
      <c r="Q85" s="86">
        <f t="shared" si="12"/>
        <v>315</v>
      </c>
      <c r="R85" s="86">
        <f t="shared" si="13"/>
        <v>100</v>
      </c>
      <c r="S85" s="83">
        <f t="shared" si="14"/>
        <v>695</v>
      </c>
      <c r="T85" s="83">
        <f>'[2]GULFSTREAM NON-FIRM'!H96</f>
        <v>50</v>
      </c>
      <c r="U85" s="84"/>
      <c r="V85" s="84"/>
      <c r="W85" s="84"/>
      <c r="X85" s="84"/>
      <c r="Y85" s="84"/>
      <c r="Z85" s="84"/>
      <c r="AA85" s="84"/>
      <c r="AB85" s="84"/>
      <c r="AC85" s="84"/>
      <c r="AD85" s="84"/>
    </row>
    <row r="86" spans="1:30" ht="15.75" hidden="1" x14ac:dyDescent="0.25">
      <c r="A86" s="13">
        <v>43525</v>
      </c>
      <c r="B86" s="97">
        <v>31</v>
      </c>
      <c r="C86" s="83">
        <f>'[2]FGT PRIMARY FIRM ZONE 1'!V97</f>
        <v>122.58</v>
      </c>
      <c r="D86" s="83">
        <f>'[2]FGT PRIMARY FIRM ZONE 2'!V97</f>
        <v>297.94100000000003</v>
      </c>
      <c r="E86" s="92">
        <f>'[2]FGT PRIMARY FIRM ZONE 3'!V97</f>
        <v>89.177000000000007</v>
      </c>
      <c r="F86" s="83">
        <f>'[2]FGT FIRM ZONE 3 MOBILE BAY-DES'!V97-40-60-100</f>
        <v>40.301999999999992</v>
      </c>
      <c r="G86" s="86">
        <v>40</v>
      </c>
      <c r="H86" s="83">
        <f>60+100</f>
        <v>160</v>
      </c>
      <c r="I86" s="83">
        <f t="shared" si="8"/>
        <v>0</v>
      </c>
      <c r="J86" s="86">
        <v>100</v>
      </c>
      <c r="K86" s="86">
        <v>300</v>
      </c>
      <c r="L86" s="83">
        <f t="shared" si="11"/>
        <v>1150</v>
      </c>
      <c r="M86" s="94">
        <v>400</v>
      </c>
      <c r="N86" s="83">
        <f>'[2]FGT NON-FIRM'!P97</f>
        <v>100</v>
      </c>
      <c r="O86" s="86">
        <v>240</v>
      </c>
      <c r="P86" s="86">
        <v>40</v>
      </c>
      <c r="Q86" s="86">
        <f t="shared" si="12"/>
        <v>315</v>
      </c>
      <c r="R86" s="86">
        <f t="shared" si="13"/>
        <v>100</v>
      </c>
      <c r="S86" s="83">
        <f t="shared" si="14"/>
        <v>695</v>
      </c>
      <c r="T86" s="83">
        <f>'[2]GULFSTREAM NON-FIRM'!H97</f>
        <v>50</v>
      </c>
      <c r="U86" s="84"/>
      <c r="V86" s="84"/>
      <c r="W86" s="84"/>
      <c r="X86" s="84"/>
      <c r="Y86" s="84"/>
      <c r="Z86" s="84"/>
      <c r="AA86" s="84"/>
      <c r="AB86" s="84"/>
      <c r="AC86" s="84"/>
      <c r="AD86" s="84"/>
    </row>
    <row r="87" spans="1:30" ht="15.75" hidden="1" x14ac:dyDescent="0.25">
      <c r="A87" s="13">
        <v>43556</v>
      </c>
      <c r="B87" s="97">
        <v>30</v>
      </c>
      <c r="C87" s="83">
        <f>'[2]FGT PRIMARY FIRM ZONE 1'!V98</f>
        <v>141.29300000000001</v>
      </c>
      <c r="D87" s="83">
        <f>'[2]FGT PRIMARY FIRM ZONE 2'!V98</f>
        <v>267.99299999999999</v>
      </c>
      <c r="E87" s="92">
        <f>'[2]FGT PRIMARY FIRM ZONE 3'!V98</f>
        <v>115.01600000000001</v>
      </c>
      <c r="F87" s="83">
        <f>'[2]FGT FIRM ZONE 3 MOBILE BAY-DES'!V98-40-25-60-100</f>
        <v>89.698000000000036</v>
      </c>
      <c r="G87" s="86">
        <v>40</v>
      </c>
      <c r="H87" s="83">
        <f t="shared" ref="H87:H93" si="15">25+60+100</f>
        <v>185</v>
      </c>
      <c r="I87" s="83">
        <f t="shared" si="8"/>
        <v>0</v>
      </c>
      <c r="J87" s="86">
        <v>100</v>
      </c>
      <c r="K87" s="86">
        <v>300</v>
      </c>
      <c r="L87" s="83">
        <f t="shared" si="11"/>
        <v>1239</v>
      </c>
      <c r="M87" s="94">
        <v>400</v>
      </c>
      <c r="N87" s="83">
        <f>'[2]FGT NON-FIRM'!P98</f>
        <v>100</v>
      </c>
      <c r="O87" s="86">
        <v>240</v>
      </c>
      <c r="P87" s="86">
        <v>160</v>
      </c>
      <c r="Q87" s="86">
        <f t="shared" si="12"/>
        <v>195</v>
      </c>
      <c r="R87" s="86">
        <f t="shared" si="13"/>
        <v>100</v>
      </c>
      <c r="S87" s="83">
        <f t="shared" si="14"/>
        <v>695</v>
      </c>
      <c r="T87" s="83">
        <f>'[2]GULFSTREAM NON-FIRM'!H98</f>
        <v>50</v>
      </c>
      <c r="U87" s="84"/>
      <c r="V87" s="84"/>
      <c r="W87" s="84"/>
      <c r="X87" s="84"/>
      <c r="Y87" s="84"/>
      <c r="Z87" s="84"/>
      <c r="AA87" s="84"/>
      <c r="AB87" s="84"/>
      <c r="AC87" s="84"/>
      <c r="AD87" s="84"/>
    </row>
    <row r="88" spans="1:30" ht="15.75" hidden="1" x14ac:dyDescent="0.25">
      <c r="A88" s="13">
        <v>43586</v>
      </c>
      <c r="B88" s="97">
        <v>31</v>
      </c>
      <c r="C88" s="83">
        <f>'[2]FGT PRIMARY FIRM ZONE 1'!V99</f>
        <v>194.20499999999998</v>
      </c>
      <c r="D88" s="83">
        <f>'[2]FGT PRIMARY FIRM ZONE 2'!V99</f>
        <v>267.46600000000001</v>
      </c>
      <c r="E88" s="92">
        <f>'[2]FGT PRIMARY FIRM ZONE 3'!V99</f>
        <v>133.845</v>
      </c>
      <c r="F88" s="83">
        <f>'[2]FGT FIRM ZONE 3 MOBILE BAY-DES'!V99-40-25-60-100</f>
        <v>53.48399999999998</v>
      </c>
      <c r="G88" s="86">
        <v>40</v>
      </c>
      <c r="H88" s="83">
        <f t="shared" si="15"/>
        <v>185</v>
      </c>
      <c r="I88" s="83">
        <f t="shared" si="8"/>
        <v>0</v>
      </c>
      <c r="J88" s="86">
        <v>100</v>
      </c>
      <c r="K88" s="86">
        <v>300</v>
      </c>
      <c r="L88" s="83">
        <f t="shared" si="11"/>
        <v>1274</v>
      </c>
      <c r="M88" s="94">
        <v>400</v>
      </c>
      <c r="N88" s="83">
        <f>'[2]FGT NON-FIRM'!P99</f>
        <v>75</v>
      </c>
      <c r="O88" s="86">
        <v>240</v>
      </c>
      <c r="P88" s="86">
        <v>160</v>
      </c>
      <c r="Q88" s="86">
        <f t="shared" si="12"/>
        <v>195</v>
      </c>
      <c r="R88" s="86">
        <f t="shared" si="13"/>
        <v>100</v>
      </c>
      <c r="S88" s="83">
        <f t="shared" si="14"/>
        <v>695</v>
      </c>
      <c r="T88" s="83">
        <f>'[2]GULFSTREAM NON-FIRM'!H99</f>
        <v>50</v>
      </c>
      <c r="U88" s="84"/>
      <c r="V88" s="84"/>
      <c r="W88" s="84"/>
      <c r="X88" s="84"/>
      <c r="Y88" s="84"/>
      <c r="Z88" s="84"/>
      <c r="AA88" s="84"/>
      <c r="AB88" s="84"/>
      <c r="AC88" s="84"/>
      <c r="AD88" s="84"/>
    </row>
    <row r="89" spans="1:30" ht="15.75" hidden="1" x14ac:dyDescent="0.25">
      <c r="A89" s="13">
        <v>43617</v>
      </c>
      <c r="B89" s="97">
        <v>30</v>
      </c>
      <c r="C89" s="83">
        <f>'[2]FGT PRIMARY FIRM ZONE 1'!V100</f>
        <v>194.20499999999998</v>
      </c>
      <c r="D89" s="83">
        <f>'[2]FGT PRIMARY FIRM ZONE 2'!V100</f>
        <v>267.46600000000001</v>
      </c>
      <c r="E89" s="92">
        <f>'[2]FGT PRIMARY FIRM ZONE 3'!V100</f>
        <v>133.845</v>
      </c>
      <c r="F89" s="83">
        <f>'[2]FGT FIRM ZONE 3 MOBILE BAY-DES'!V100-40-25-60-100</f>
        <v>53.48399999999998</v>
      </c>
      <c r="G89" s="86">
        <v>40</v>
      </c>
      <c r="H89" s="83">
        <f t="shared" si="15"/>
        <v>185</v>
      </c>
      <c r="I89" s="83">
        <f t="shared" si="8"/>
        <v>0</v>
      </c>
      <c r="J89" s="86">
        <v>100</v>
      </c>
      <c r="K89" s="86">
        <v>300</v>
      </c>
      <c r="L89" s="83">
        <f t="shared" si="11"/>
        <v>1274</v>
      </c>
      <c r="M89" s="94">
        <v>400</v>
      </c>
      <c r="N89" s="83">
        <f>'[2]FGT NON-FIRM'!P100</f>
        <v>30</v>
      </c>
      <c r="O89" s="86">
        <v>240</v>
      </c>
      <c r="P89" s="86">
        <v>160</v>
      </c>
      <c r="Q89" s="86">
        <f t="shared" si="12"/>
        <v>195</v>
      </c>
      <c r="R89" s="86">
        <f t="shared" si="13"/>
        <v>100</v>
      </c>
      <c r="S89" s="83">
        <f t="shared" si="14"/>
        <v>695</v>
      </c>
      <c r="T89" s="83">
        <f>'[2]GULFSTREAM NON-FIRM'!H100</f>
        <v>50</v>
      </c>
      <c r="U89" s="84"/>
      <c r="V89" s="84"/>
      <c r="W89" s="84"/>
      <c r="X89" s="84"/>
      <c r="Y89" s="84"/>
      <c r="Z89" s="84"/>
      <c r="AA89" s="84"/>
      <c r="AB89" s="84"/>
      <c r="AC89" s="84"/>
      <c r="AD89" s="84"/>
    </row>
    <row r="90" spans="1:30" ht="15.75" hidden="1" x14ac:dyDescent="0.25">
      <c r="A90" s="13">
        <v>43647</v>
      </c>
      <c r="B90" s="97">
        <v>31</v>
      </c>
      <c r="C90" s="83">
        <f>'[2]FGT PRIMARY FIRM ZONE 1'!V101</f>
        <v>194.20499999999998</v>
      </c>
      <c r="D90" s="83">
        <f>'[2]FGT PRIMARY FIRM ZONE 2'!V101</f>
        <v>267.46600000000001</v>
      </c>
      <c r="E90" s="92">
        <f>'[2]FGT PRIMARY FIRM ZONE 3'!V101</f>
        <v>133.845</v>
      </c>
      <c r="F90" s="83">
        <f>'[2]FGT FIRM ZONE 3 MOBILE BAY-DES'!V101-40-25-60-100</f>
        <v>53.48399999999998</v>
      </c>
      <c r="G90" s="86">
        <v>40</v>
      </c>
      <c r="H90" s="83">
        <f t="shared" si="15"/>
        <v>185</v>
      </c>
      <c r="I90" s="83">
        <f t="shared" si="8"/>
        <v>0</v>
      </c>
      <c r="J90" s="86">
        <v>100</v>
      </c>
      <c r="K90" s="86">
        <v>300</v>
      </c>
      <c r="L90" s="83">
        <f t="shared" si="11"/>
        <v>1274</v>
      </c>
      <c r="M90" s="94">
        <v>400</v>
      </c>
      <c r="N90" s="83">
        <f>'[2]FGT NON-FIRM'!P101</f>
        <v>30</v>
      </c>
      <c r="O90" s="86">
        <v>240</v>
      </c>
      <c r="P90" s="86">
        <v>160</v>
      </c>
      <c r="Q90" s="86">
        <f t="shared" si="12"/>
        <v>195</v>
      </c>
      <c r="R90" s="86">
        <f t="shared" si="13"/>
        <v>100</v>
      </c>
      <c r="S90" s="83">
        <f t="shared" si="14"/>
        <v>695</v>
      </c>
      <c r="T90" s="83">
        <f>'[2]GULFSTREAM NON-FIRM'!H101</f>
        <v>0</v>
      </c>
      <c r="U90" s="84"/>
      <c r="V90" s="84"/>
      <c r="W90" s="84"/>
      <c r="X90" s="84"/>
      <c r="Y90" s="84"/>
      <c r="Z90" s="84"/>
      <c r="AA90" s="84"/>
      <c r="AB90" s="84"/>
      <c r="AC90" s="84"/>
      <c r="AD90" s="84"/>
    </row>
    <row r="91" spans="1:30" ht="15.75" hidden="1" x14ac:dyDescent="0.25">
      <c r="A91" s="13">
        <v>43678</v>
      </c>
      <c r="B91" s="97">
        <v>31</v>
      </c>
      <c r="C91" s="83">
        <f>'[2]FGT PRIMARY FIRM ZONE 1'!V102</f>
        <v>194.20499999999998</v>
      </c>
      <c r="D91" s="83">
        <f>'[2]FGT PRIMARY FIRM ZONE 2'!V102</f>
        <v>267.46600000000001</v>
      </c>
      <c r="E91" s="92">
        <f>'[2]FGT PRIMARY FIRM ZONE 3'!V102</f>
        <v>133.845</v>
      </c>
      <c r="F91" s="83">
        <f>'[2]FGT FIRM ZONE 3 MOBILE BAY-DES'!V102-40-25-60-100</f>
        <v>53.48399999999998</v>
      </c>
      <c r="G91" s="86">
        <v>40</v>
      </c>
      <c r="H91" s="83">
        <f t="shared" si="15"/>
        <v>185</v>
      </c>
      <c r="I91" s="83">
        <f t="shared" si="8"/>
        <v>0</v>
      </c>
      <c r="J91" s="86">
        <v>100</v>
      </c>
      <c r="K91" s="86">
        <v>300</v>
      </c>
      <c r="L91" s="83">
        <f t="shared" si="11"/>
        <v>1274</v>
      </c>
      <c r="M91" s="94">
        <v>400</v>
      </c>
      <c r="N91" s="83">
        <f>'[2]FGT NON-FIRM'!P102</f>
        <v>30</v>
      </c>
      <c r="O91" s="86">
        <v>240</v>
      </c>
      <c r="P91" s="86">
        <v>160</v>
      </c>
      <c r="Q91" s="86">
        <f t="shared" si="12"/>
        <v>195</v>
      </c>
      <c r="R91" s="86">
        <f t="shared" si="13"/>
        <v>100</v>
      </c>
      <c r="S91" s="83">
        <f t="shared" si="14"/>
        <v>695</v>
      </c>
      <c r="T91" s="83">
        <f>'[2]GULFSTREAM NON-FIRM'!H102</f>
        <v>0</v>
      </c>
      <c r="U91" s="84"/>
      <c r="V91" s="84"/>
      <c r="W91" s="84"/>
      <c r="X91" s="84"/>
      <c r="Y91" s="84"/>
      <c r="Z91" s="84"/>
      <c r="AA91" s="84"/>
      <c r="AB91" s="84"/>
      <c r="AC91" s="84"/>
      <c r="AD91" s="84"/>
    </row>
    <row r="92" spans="1:30" ht="15.75" hidden="1" x14ac:dyDescent="0.25">
      <c r="A92" s="13">
        <v>43709</v>
      </c>
      <c r="B92" s="97">
        <v>30</v>
      </c>
      <c r="C92" s="83">
        <f>'[2]FGT PRIMARY FIRM ZONE 1'!V103</f>
        <v>194.20499999999998</v>
      </c>
      <c r="D92" s="83">
        <f>'[2]FGT PRIMARY FIRM ZONE 2'!V103</f>
        <v>267.46600000000001</v>
      </c>
      <c r="E92" s="92">
        <f>'[2]FGT PRIMARY FIRM ZONE 3'!V103</f>
        <v>133.845</v>
      </c>
      <c r="F92" s="83">
        <f>'[2]FGT FIRM ZONE 3 MOBILE BAY-DES'!V103-40-25-60-100</f>
        <v>53.48399999999998</v>
      </c>
      <c r="G92" s="86">
        <v>40</v>
      </c>
      <c r="H92" s="83">
        <f t="shared" si="15"/>
        <v>185</v>
      </c>
      <c r="I92" s="83">
        <f t="shared" si="8"/>
        <v>0</v>
      </c>
      <c r="J92" s="86">
        <v>100</v>
      </c>
      <c r="K92" s="86">
        <v>300</v>
      </c>
      <c r="L92" s="83">
        <f t="shared" si="11"/>
        <v>1274</v>
      </c>
      <c r="M92" s="94">
        <v>400</v>
      </c>
      <c r="N92" s="83">
        <f>'[2]FGT NON-FIRM'!P103</f>
        <v>30</v>
      </c>
      <c r="O92" s="86">
        <v>240</v>
      </c>
      <c r="P92" s="86">
        <v>160</v>
      </c>
      <c r="Q92" s="86">
        <f t="shared" si="12"/>
        <v>195</v>
      </c>
      <c r="R92" s="86">
        <f t="shared" si="13"/>
        <v>100</v>
      </c>
      <c r="S92" s="83">
        <f t="shared" si="14"/>
        <v>695</v>
      </c>
      <c r="T92" s="83">
        <f>'[2]GULFSTREAM NON-FIRM'!H103</f>
        <v>0</v>
      </c>
      <c r="U92" s="84"/>
      <c r="V92" s="84"/>
      <c r="W92" s="84"/>
      <c r="X92" s="84"/>
      <c r="Y92" s="84"/>
      <c r="Z92" s="84"/>
      <c r="AA92" s="84"/>
      <c r="AB92" s="84"/>
      <c r="AC92" s="84"/>
      <c r="AD92" s="84"/>
    </row>
    <row r="93" spans="1:30" ht="15.75" hidden="1" x14ac:dyDescent="0.25">
      <c r="A93" s="13">
        <v>43739</v>
      </c>
      <c r="B93" s="97">
        <v>31</v>
      </c>
      <c r="C93" s="83">
        <f>'[2]FGT PRIMARY FIRM ZONE 1'!V104</f>
        <v>131.881</v>
      </c>
      <c r="D93" s="83">
        <f>'[2]FGT PRIMARY FIRM ZONE 2'!V104</f>
        <v>277.16699999999997</v>
      </c>
      <c r="E93" s="92">
        <f>'[2]FGT PRIMARY FIRM ZONE 3'!V104</f>
        <v>79.08</v>
      </c>
      <c r="F93" s="83">
        <f>'[2]FGT FIRM ZONE 3 MOBILE BAY-DES'!V104-40-25-60-100</f>
        <v>125.87199999999996</v>
      </c>
      <c r="G93" s="86">
        <v>40</v>
      </c>
      <c r="H93" s="83">
        <f t="shared" si="15"/>
        <v>185</v>
      </c>
      <c r="I93" s="83">
        <f t="shared" si="8"/>
        <v>0</v>
      </c>
      <c r="J93" s="86">
        <v>100</v>
      </c>
      <c r="K93" s="86">
        <v>300</v>
      </c>
      <c r="L93" s="83">
        <f t="shared" si="11"/>
        <v>1239</v>
      </c>
      <c r="M93" s="94">
        <v>400</v>
      </c>
      <c r="N93" s="83">
        <f>'[2]FGT NON-FIRM'!P104</f>
        <v>75</v>
      </c>
      <c r="O93" s="86">
        <v>240</v>
      </c>
      <c r="P93" s="86">
        <v>160</v>
      </c>
      <c r="Q93" s="86">
        <f t="shared" si="12"/>
        <v>195</v>
      </c>
      <c r="R93" s="86">
        <f t="shared" si="13"/>
        <v>100</v>
      </c>
      <c r="S93" s="83">
        <f t="shared" si="14"/>
        <v>695</v>
      </c>
      <c r="T93" s="83">
        <f>'[2]GULFSTREAM NON-FIRM'!H104</f>
        <v>0</v>
      </c>
      <c r="U93" s="84"/>
      <c r="V93" s="84"/>
      <c r="W93" s="84"/>
      <c r="X93" s="84"/>
      <c r="Y93" s="84"/>
      <c r="Z93" s="84"/>
      <c r="AA93" s="84"/>
      <c r="AB93" s="84"/>
      <c r="AC93" s="84"/>
      <c r="AD93" s="84"/>
    </row>
    <row r="94" spans="1:30" ht="15.75" hidden="1" x14ac:dyDescent="0.25">
      <c r="A94" s="13">
        <v>43770</v>
      </c>
      <c r="B94" s="97">
        <v>30</v>
      </c>
      <c r="C94" s="83">
        <f>'[2]FGT PRIMARY FIRM ZONE 1'!V105</f>
        <v>122.58</v>
      </c>
      <c r="D94" s="83">
        <f>'[2]FGT PRIMARY FIRM ZONE 2'!V105</f>
        <v>297.94100000000003</v>
      </c>
      <c r="E94" s="92">
        <f>'[2]FGT PRIMARY FIRM ZONE 3'!V105</f>
        <v>89.177000000000007</v>
      </c>
      <c r="F94" s="83">
        <f>'[2]FGT FIRM ZONE 3 MOBILE BAY-DES'!V105-40-60-100</f>
        <v>40.301999999999992</v>
      </c>
      <c r="G94" s="86">
        <v>40</v>
      </c>
      <c r="H94" s="83">
        <f>60+100</f>
        <v>160</v>
      </c>
      <c r="I94" s="83">
        <f t="shared" si="8"/>
        <v>0</v>
      </c>
      <c r="J94" s="86">
        <v>100</v>
      </c>
      <c r="K94" s="86">
        <v>300</v>
      </c>
      <c r="L94" s="83">
        <f t="shared" si="11"/>
        <v>1150</v>
      </c>
      <c r="M94" s="94">
        <v>400</v>
      </c>
      <c r="N94" s="83">
        <f>'[2]FGT NON-FIRM'!P105</f>
        <v>100</v>
      </c>
      <c r="O94" s="86">
        <v>240</v>
      </c>
      <c r="P94" s="86">
        <v>40</v>
      </c>
      <c r="Q94" s="86">
        <f t="shared" si="12"/>
        <v>315</v>
      </c>
      <c r="R94" s="86">
        <f t="shared" si="13"/>
        <v>100</v>
      </c>
      <c r="S94" s="83">
        <f t="shared" si="14"/>
        <v>695</v>
      </c>
      <c r="T94" s="83">
        <f>'[2]GULFSTREAM NON-FIRM'!H105</f>
        <v>50</v>
      </c>
      <c r="U94" s="84"/>
      <c r="V94" s="84"/>
      <c r="W94" s="84"/>
      <c r="X94" s="84"/>
      <c r="Y94" s="84"/>
      <c r="Z94" s="84"/>
      <c r="AA94" s="84"/>
      <c r="AB94" s="84"/>
      <c r="AC94" s="84"/>
      <c r="AD94" s="84"/>
    </row>
    <row r="95" spans="1:30" ht="15.75" hidden="1" x14ac:dyDescent="0.25">
      <c r="A95" s="13">
        <v>43800</v>
      </c>
      <c r="B95" s="97">
        <v>31</v>
      </c>
      <c r="C95" s="83">
        <f>'[2]FGT PRIMARY FIRM ZONE 1'!V106</f>
        <v>122.58</v>
      </c>
      <c r="D95" s="83">
        <f>'[2]FGT PRIMARY FIRM ZONE 2'!V106</f>
        <v>297.94100000000003</v>
      </c>
      <c r="E95" s="92">
        <f>'[2]FGT PRIMARY FIRM ZONE 3'!V106</f>
        <v>89.177000000000007</v>
      </c>
      <c r="F95" s="83">
        <f>'[2]FGT FIRM ZONE 3 MOBILE BAY-DES'!V106-40-60-100</f>
        <v>40.301999999999992</v>
      </c>
      <c r="G95" s="86">
        <v>40</v>
      </c>
      <c r="H95" s="83">
        <f>60+100</f>
        <v>160</v>
      </c>
      <c r="I95" s="83">
        <f t="shared" si="8"/>
        <v>0</v>
      </c>
      <c r="J95" s="86">
        <v>100</v>
      </c>
      <c r="K95" s="86">
        <v>300</v>
      </c>
      <c r="L95" s="83">
        <f t="shared" si="11"/>
        <v>1150</v>
      </c>
      <c r="M95" s="94">
        <v>400</v>
      </c>
      <c r="N95" s="83">
        <f>'[2]FGT NON-FIRM'!P106</f>
        <v>100</v>
      </c>
      <c r="O95" s="86">
        <v>240</v>
      </c>
      <c r="P95" s="86">
        <v>40</v>
      </c>
      <c r="Q95" s="86">
        <f t="shared" si="12"/>
        <v>315</v>
      </c>
      <c r="R95" s="86">
        <f t="shared" si="13"/>
        <v>100</v>
      </c>
      <c r="S95" s="83">
        <f t="shared" si="14"/>
        <v>695</v>
      </c>
      <c r="T95" s="83">
        <f>'[2]GULFSTREAM NON-FIRM'!H106</f>
        <v>50</v>
      </c>
      <c r="U95" s="84"/>
      <c r="V95" s="84"/>
      <c r="W95" s="84"/>
      <c r="X95" s="84"/>
      <c r="Y95" s="84"/>
      <c r="Z95" s="84"/>
      <c r="AA95" s="84"/>
      <c r="AB95" s="84"/>
      <c r="AC95" s="84"/>
      <c r="AD95" s="84"/>
    </row>
    <row r="96" spans="1:30" ht="15.75" hidden="1" x14ac:dyDescent="0.25">
      <c r="A96" s="13">
        <v>43831</v>
      </c>
      <c r="B96" s="97">
        <v>31</v>
      </c>
      <c r="C96" s="83">
        <f>'[2]FGT PRIMARY FIRM ZONE 1'!V107</f>
        <v>122.58</v>
      </c>
      <c r="D96" s="83">
        <f>'[2]FGT PRIMARY FIRM ZONE 2'!V107</f>
        <v>297.94100000000003</v>
      </c>
      <c r="E96" s="92">
        <f>'[2]FGT PRIMARY FIRM ZONE 3'!V107</f>
        <v>89.177000000000007</v>
      </c>
      <c r="F96" s="83">
        <f>'[2]FGT FIRM ZONE 3 MOBILE BAY-DES'!V107-40-60-100</f>
        <v>40.301999999999992</v>
      </c>
      <c r="G96" s="86">
        <v>40</v>
      </c>
      <c r="H96" s="83">
        <f>60+100</f>
        <v>160</v>
      </c>
      <c r="I96" s="83">
        <f t="shared" si="8"/>
        <v>0</v>
      </c>
      <c r="J96" s="86">
        <v>100</v>
      </c>
      <c r="K96" s="86">
        <v>300</v>
      </c>
      <c r="L96" s="83">
        <f t="shared" si="11"/>
        <v>1150</v>
      </c>
      <c r="M96" s="94">
        <v>400</v>
      </c>
      <c r="N96" s="83">
        <f>'[2]FGT NON-FIRM'!P107</f>
        <v>100</v>
      </c>
      <c r="O96" s="86">
        <v>240</v>
      </c>
      <c r="P96" s="86">
        <v>40</v>
      </c>
      <c r="Q96" s="86">
        <f t="shared" si="12"/>
        <v>315</v>
      </c>
      <c r="R96" s="86">
        <f t="shared" si="13"/>
        <v>100</v>
      </c>
      <c r="S96" s="83">
        <f t="shared" si="14"/>
        <v>695</v>
      </c>
      <c r="T96" s="83">
        <f>'[2]GULFSTREAM NON-FIRM'!H107</f>
        <v>50</v>
      </c>
      <c r="U96" s="84"/>
      <c r="V96" s="84"/>
      <c r="W96" s="84"/>
      <c r="X96" s="84"/>
      <c r="Y96" s="84"/>
      <c r="Z96" s="84"/>
      <c r="AA96" s="84"/>
      <c r="AB96" s="84"/>
      <c r="AC96" s="84"/>
      <c r="AD96" s="84"/>
    </row>
    <row r="97" spans="1:30" ht="15.75" hidden="1" x14ac:dyDescent="0.25">
      <c r="A97" s="13">
        <v>43862</v>
      </c>
      <c r="B97" s="97">
        <v>29</v>
      </c>
      <c r="C97" s="83">
        <f>'[2]FGT PRIMARY FIRM ZONE 1'!V108</f>
        <v>122.58</v>
      </c>
      <c r="D97" s="83">
        <f>'[2]FGT PRIMARY FIRM ZONE 2'!V108</f>
        <v>297.94100000000003</v>
      </c>
      <c r="E97" s="92">
        <f>'[2]FGT PRIMARY FIRM ZONE 3'!V108</f>
        <v>89.177000000000007</v>
      </c>
      <c r="F97" s="83">
        <f>'[2]FGT FIRM ZONE 3 MOBILE BAY-DES'!V108-40-60-100</f>
        <v>40.301999999999992</v>
      </c>
      <c r="G97" s="86">
        <v>40</v>
      </c>
      <c r="H97" s="83">
        <f>60+100</f>
        <v>160</v>
      </c>
      <c r="I97" s="83">
        <f t="shared" si="8"/>
        <v>0</v>
      </c>
      <c r="J97" s="86">
        <v>100</v>
      </c>
      <c r="K97" s="86">
        <v>300</v>
      </c>
      <c r="L97" s="83">
        <f t="shared" si="11"/>
        <v>1150</v>
      </c>
      <c r="M97" s="94">
        <v>400</v>
      </c>
      <c r="N97" s="83">
        <f>'[2]FGT NON-FIRM'!P108</f>
        <v>100</v>
      </c>
      <c r="O97" s="86">
        <v>240</v>
      </c>
      <c r="P97" s="86">
        <v>40</v>
      </c>
      <c r="Q97" s="86">
        <f t="shared" si="12"/>
        <v>315</v>
      </c>
      <c r="R97" s="86">
        <f t="shared" si="13"/>
        <v>100</v>
      </c>
      <c r="S97" s="83">
        <f t="shared" si="14"/>
        <v>695</v>
      </c>
      <c r="T97" s="83">
        <f>'[2]GULFSTREAM NON-FIRM'!H108</f>
        <v>50</v>
      </c>
      <c r="U97" s="84"/>
      <c r="V97" s="84"/>
      <c r="W97" s="84"/>
      <c r="X97" s="84"/>
      <c r="Y97" s="84"/>
      <c r="Z97" s="84"/>
      <c r="AA97" s="84"/>
      <c r="AB97" s="84"/>
      <c r="AC97" s="84"/>
      <c r="AD97" s="84"/>
    </row>
    <row r="98" spans="1:30" ht="15.75" hidden="1" x14ac:dyDescent="0.25">
      <c r="A98" s="13">
        <v>43891</v>
      </c>
      <c r="B98" s="97">
        <v>31</v>
      </c>
      <c r="C98" s="83">
        <f>'[2]FGT PRIMARY FIRM ZONE 1'!V109</f>
        <v>122.58</v>
      </c>
      <c r="D98" s="83">
        <f>'[2]FGT PRIMARY FIRM ZONE 2'!V109</f>
        <v>297.94100000000003</v>
      </c>
      <c r="E98" s="92">
        <f>'[2]FGT PRIMARY FIRM ZONE 3'!V109</f>
        <v>89.177000000000007</v>
      </c>
      <c r="F98" s="83">
        <f>'[2]FGT FIRM ZONE 3 MOBILE BAY-DES'!V109-40-60-100</f>
        <v>40.301999999999992</v>
      </c>
      <c r="G98" s="86">
        <v>40</v>
      </c>
      <c r="H98" s="83">
        <f>60+100</f>
        <v>160</v>
      </c>
      <c r="I98" s="83">
        <f t="shared" si="8"/>
        <v>0</v>
      </c>
      <c r="J98" s="86">
        <v>100</v>
      </c>
      <c r="K98" s="86">
        <v>300</v>
      </c>
      <c r="L98" s="83">
        <f t="shared" si="11"/>
        <v>1150</v>
      </c>
      <c r="M98" s="94">
        <v>400</v>
      </c>
      <c r="N98" s="83">
        <f>'[2]FGT NON-FIRM'!P109</f>
        <v>100</v>
      </c>
      <c r="O98" s="86">
        <v>240</v>
      </c>
      <c r="P98" s="86">
        <v>40</v>
      </c>
      <c r="Q98" s="86">
        <f t="shared" si="12"/>
        <v>315</v>
      </c>
      <c r="R98" s="86">
        <f t="shared" si="13"/>
        <v>100</v>
      </c>
      <c r="S98" s="83">
        <f t="shared" si="14"/>
        <v>695</v>
      </c>
      <c r="T98" s="83">
        <f>'[2]GULFSTREAM NON-FIRM'!H109</f>
        <v>50</v>
      </c>
      <c r="U98" s="84"/>
      <c r="V98" s="84"/>
      <c r="W98" s="84"/>
      <c r="X98" s="84"/>
      <c r="Y98" s="84"/>
      <c r="Z98" s="84"/>
      <c r="AA98" s="84"/>
      <c r="AB98" s="84"/>
      <c r="AC98" s="84"/>
      <c r="AD98" s="84"/>
    </row>
    <row r="99" spans="1:30" ht="15.75" hidden="1" x14ac:dyDescent="0.25">
      <c r="A99" s="13">
        <v>43922</v>
      </c>
      <c r="B99" s="97">
        <v>30</v>
      </c>
      <c r="C99" s="83">
        <f>'[2]FGT PRIMARY FIRM ZONE 1'!V110</f>
        <v>141.29300000000001</v>
      </c>
      <c r="D99" s="83">
        <f>'[2]FGT PRIMARY FIRM ZONE 2'!V110</f>
        <v>267.99299999999999</v>
      </c>
      <c r="E99" s="92">
        <f>'[2]FGT PRIMARY FIRM ZONE 3'!V110</f>
        <v>115.01600000000001</v>
      </c>
      <c r="F99" s="83">
        <f>'[2]FGT FIRM ZONE 3 MOBILE BAY-DES'!V110-40-25-60-100</f>
        <v>89.698000000000036</v>
      </c>
      <c r="G99" s="86">
        <v>40</v>
      </c>
      <c r="H99" s="83">
        <f t="shared" ref="H99:H105" si="16">25+60+100</f>
        <v>185</v>
      </c>
      <c r="I99" s="83">
        <f t="shared" si="8"/>
        <v>0</v>
      </c>
      <c r="J99" s="86">
        <v>100</v>
      </c>
      <c r="K99" s="86">
        <v>300</v>
      </c>
      <c r="L99" s="83">
        <f t="shared" si="11"/>
        <v>1239</v>
      </c>
      <c r="M99" s="94">
        <v>400</v>
      </c>
      <c r="N99" s="83">
        <f>'[2]FGT NON-FIRM'!P110</f>
        <v>100</v>
      </c>
      <c r="O99" s="86">
        <v>240</v>
      </c>
      <c r="P99" s="86">
        <v>160</v>
      </c>
      <c r="Q99" s="86">
        <f t="shared" si="12"/>
        <v>195</v>
      </c>
      <c r="R99" s="86">
        <f t="shared" si="13"/>
        <v>100</v>
      </c>
      <c r="S99" s="83">
        <f t="shared" si="14"/>
        <v>695</v>
      </c>
      <c r="T99" s="83">
        <f>'[2]GULFSTREAM NON-FIRM'!H110</f>
        <v>50</v>
      </c>
      <c r="U99" s="84"/>
      <c r="V99" s="84"/>
      <c r="W99" s="84"/>
      <c r="X99" s="84"/>
      <c r="Y99" s="84"/>
      <c r="Z99" s="84"/>
      <c r="AA99" s="84"/>
      <c r="AB99" s="84"/>
      <c r="AC99" s="84"/>
      <c r="AD99" s="84"/>
    </row>
    <row r="100" spans="1:30" ht="15.75" hidden="1" x14ac:dyDescent="0.25">
      <c r="A100" s="13">
        <v>43952</v>
      </c>
      <c r="B100" s="97">
        <v>31</v>
      </c>
      <c r="C100" s="83">
        <f>'[2]FGT PRIMARY FIRM ZONE 1'!V111</f>
        <v>194.20499999999998</v>
      </c>
      <c r="D100" s="83">
        <f>'[2]FGT PRIMARY FIRM ZONE 2'!V111</f>
        <v>267.46600000000001</v>
      </c>
      <c r="E100" s="92">
        <f>'[2]FGT PRIMARY FIRM ZONE 3'!V111</f>
        <v>133.845</v>
      </c>
      <c r="F100" s="83">
        <f>'[2]FGT FIRM ZONE 3 MOBILE BAY-DES'!V111-40-25-60-100</f>
        <v>53.48399999999998</v>
      </c>
      <c r="G100" s="86">
        <v>40</v>
      </c>
      <c r="H100" s="83">
        <f t="shared" si="16"/>
        <v>185</v>
      </c>
      <c r="I100" s="83">
        <f t="shared" si="8"/>
        <v>0</v>
      </c>
      <c r="J100" s="86">
        <v>100</v>
      </c>
      <c r="K100" s="86">
        <v>300</v>
      </c>
      <c r="L100" s="83">
        <f t="shared" si="11"/>
        <v>1274</v>
      </c>
      <c r="M100" s="94">
        <v>600</v>
      </c>
      <c r="N100" s="83">
        <f>'[2]FGT NON-FIRM'!P111</f>
        <v>75</v>
      </c>
      <c r="O100" s="86">
        <v>240</v>
      </c>
      <c r="P100" s="86">
        <v>160</v>
      </c>
      <c r="Q100" s="86">
        <f t="shared" si="12"/>
        <v>195</v>
      </c>
      <c r="R100" s="86">
        <f t="shared" si="13"/>
        <v>100</v>
      </c>
      <c r="S100" s="83">
        <f t="shared" si="14"/>
        <v>695</v>
      </c>
      <c r="T100" s="83">
        <f>'[2]GULFSTREAM NON-FIRM'!H111</f>
        <v>50</v>
      </c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</row>
    <row r="101" spans="1:30" ht="15.75" hidden="1" x14ac:dyDescent="0.25">
      <c r="A101" s="13">
        <v>43983</v>
      </c>
      <c r="B101" s="97">
        <v>30</v>
      </c>
      <c r="C101" s="83">
        <f>'[2]FGT PRIMARY FIRM ZONE 1'!V112</f>
        <v>194.20499999999998</v>
      </c>
      <c r="D101" s="83">
        <f>'[2]FGT PRIMARY FIRM ZONE 2'!V112</f>
        <v>267.46600000000001</v>
      </c>
      <c r="E101" s="92">
        <f>'[2]FGT PRIMARY FIRM ZONE 3'!V112</f>
        <v>133.845</v>
      </c>
      <c r="F101" s="83">
        <f>'[2]FGT FIRM ZONE 3 MOBILE BAY-DES'!V112-40-25-60-100</f>
        <v>53.48399999999998</v>
      </c>
      <c r="G101" s="86">
        <v>40</v>
      </c>
      <c r="H101" s="83">
        <f t="shared" si="16"/>
        <v>185</v>
      </c>
      <c r="I101" s="83">
        <f t="shared" si="8"/>
        <v>0</v>
      </c>
      <c r="J101" s="86">
        <v>100</v>
      </c>
      <c r="K101" s="86">
        <v>300</v>
      </c>
      <c r="L101" s="83">
        <f t="shared" si="11"/>
        <v>1274</v>
      </c>
      <c r="M101" s="94">
        <v>600</v>
      </c>
      <c r="N101" s="83">
        <f>'[2]FGT NON-FIRM'!P112</f>
        <v>30</v>
      </c>
      <c r="O101" s="86">
        <v>240</v>
      </c>
      <c r="P101" s="86">
        <v>160</v>
      </c>
      <c r="Q101" s="86">
        <f t="shared" si="12"/>
        <v>195</v>
      </c>
      <c r="R101" s="86">
        <f t="shared" si="13"/>
        <v>100</v>
      </c>
      <c r="S101" s="83">
        <f t="shared" si="14"/>
        <v>695</v>
      </c>
      <c r="T101" s="83">
        <f>'[2]GULFSTREAM NON-FIRM'!H112</f>
        <v>50</v>
      </c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</row>
    <row r="102" spans="1:30" ht="15.75" hidden="1" x14ac:dyDescent="0.25">
      <c r="A102" s="13">
        <v>44013</v>
      </c>
      <c r="B102" s="97">
        <v>31</v>
      </c>
      <c r="C102" s="83">
        <f>'[2]FGT PRIMARY FIRM ZONE 1'!V113</f>
        <v>194.20499999999998</v>
      </c>
      <c r="D102" s="83">
        <f>'[2]FGT PRIMARY FIRM ZONE 2'!V113</f>
        <v>267.46600000000001</v>
      </c>
      <c r="E102" s="92">
        <f>'[2]FGT PRIMARY FIRM ZONE 3'!V113</f>
        <v>133.845</v>
      </c>
      <c r="F102" s="83">
        <f>'[2]FGT FIRM ZONE 3 MOBILE BAY-DES'!V113-40-25-60-100</f>
        <v>53.48399999999998</v>
      </c>
      <c r="G102" s="86">
        <v>40</v>
      </c>
      <c r="H102" s="83">
        <f t="shared" si="16"/>
        <v>185</v>
      </c>
      <c r="I102" s="83">
        <f t="shared" si="8"/>
        <v>0</v>
      </c>
      <c r="J102" s="86">
        <v>100</v>
      </c>
      <c r="K102" s="86">
        <v>300</v>
      </c>
      <c r="L102" s="83">
        <f t="shared" si="11"/>
        <v>1274</v>
      </c>
      <c r="M102" s="94">
        <v>600</v>
      </c>
      <c r="N102" s="83">
        <f>'[2]FGT NON-FIRM'!P113</f>
        <v>30</v>
      </c>
      <c r="O102" s="86">
        <v>240</v>
      </c>
      <c r="P102" s="86">
        <v>160</v>
      </c>
      <c r="Q102" s="86">
        <f t="shared" si="12"/>
        <v>195</v>
      </c>
      <c r="R102" s="86">
        <f t="shared" si="13"/>
        <v>100</v>
      </c>
      <c r="S102" s="83">
        <f t="shared" si="14"/>
        <v>695</v>
      </c>
      <c r="T102" s="83">
        <f>'[2]GULFSTREAM NON-FIRM'!H113</f>
        <v>0</v>
      </c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</row>
    <row r="103" spans="1:30" ht="15.75" hidden="1" x14ac:dyDescent="0.25">
      <c r="A103" s="13">
        <v>44044</v>
      </c>
      <c r="B103" s="97">
        <v>31</v>
      </c>
      <c r="C103" s="83">
        <f>'[2]FGT PRIMARY FIRM ZONE 1'!V114</f>
        <v>194.20499999999998</v>
      </c>
      <c r="D103" s="83">
        <f>'[2]FGT PRIMARY FIRM ZONE 2'!V114</f>
        <v>267.46600000000001</v>
      </c>
      <c r="E103" s="92">
        <f>'[2]FGT PRIMARY FIRM ZONE 3'!V114</f>
        <v>133.845</v>
      </c>
      <c r="F103" s="83">
        <f>'[2]FGT FIRM ZONE 3 MOBILE BAY-DES'!V114-40-25-60-100</f>
        <v>53.48399999999998</v>
      </c>
      <c r="G103" s="86">
        <v>40</v>
      </c>
      <c r="H103" s="83">
        <f t="shared" si="16"/>
        <v>185</v>
      </c>
      <c r="I103" s="83">
        <f t="shared" si="8"/>
        <v>0</v>
      </c>
      <c r="J103" s="86">
        <v>100</v>
      </c>
      <c r="K103" s="86">
        <v>300</v>
      </c>
      <c r="L103" s="83">
        <f t="shared" si="11"/>
        <v>1274</v>
      </c>
      <c r="M103" s="94">
        <v>600</v>
      </c>
      <c r="N103" s="83">
        <f>'[2]FGT NON-FIRM'!P114</f>
        <v>30</v>
      </c>
      <c r="O103" s="86">
        <v>240</v>
      </c>
      <c r="P103" s="86">
        <v>160</v>
      </c>
      <c r="Q103" s="86">
        <f t="shared" si="12"/>
        <v>195</v>
      </c>
      <c r="R103" s="86">
        <f t="shared" si="13"/>
        <v>100</v>
      </c>
      <c r="S103" s="83">
        <f t="shared" si="14"/>
        <v>695</v>
      </c>
      <c r="T103" s="83">
        <f>'[2]GULFSTREAM NON-FIRM'!H114</f>
        <v>0</v>
      </c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</row>
    <row r="104" spans="1:30" ht="15.75" hidden="1" x14ac:dyDescent="0.25">
      <c r="A104" s="13">
        <v>44075</v>
      </c>
      <c r="B104" s="97">
        <v>30</v>
      </c>
      <c r="C104" s="83">
        <f>'[2]FGT PRIMARY FIRM ZONE 1'!V115</f>
        <v>194.20499999999998</v>
      </c>
      <c r="D104" s="83">
        <f>'[2]FGT PRIMARY FIRM ZONE 2'!V115</f>
        <v>267.46600000000001</v>
      </c>
      <c r="E104" s="92">
        <f>'[2]FGT PRIMARY FIRM ZONE 3'!V115</f>
        <v>133.845</v>
      </c>
      <c r="F104" s="83">
        <f>'[2]FGT FIRM ZONE 3 MOBILE BAY-DES'!V115-40-25-60-100</f>
        <v>53.48399999999998</v>
      </c>
      <c r="G104" s="86">
        <v>40</v>
      </c>
      <c r="H104" s="83">
        <f t="shared" si="16"/>
        <v>185</v>
      </c>
      <c r="I104" s="83">
        <f t="shared" si="8"/>
        <v>0</v>
      </c>
      <c r="J104" s="86">
        <v>100</v>
      </c>
      <c r="K104" s="86">
        <v>300</v>
      </c>
      <c r="L104" s="83">
        <f t="shared" si="11"/>
        <v>1274</v>
      </c>
      <c r="M104" s="94">
        <v>600</v>
      </c>
      <c r="N104" s="83">
        <f>'[2]FGT NON-FIRM'!P115</f>
        <v>30</v>
      </c>
      <c r="O104" s="86">
        <v>240</v>
      </c>
      <c r="P104" s="86">
        <v>160</v>
      </c>
      <c r="Q104" s="86">
        <f t="shared" si="12"/>
        <v>195</v>
      </c>
      <c r="R104" s="86">
        <f t="shared" si="13"/>
        <v>100</v>
      </c>
      <c r="S104" s="83">
        <f t="shared" si="14"/>
        <v>695</v>
      </c>
      <c r="T104" s="83">
        <f>'[2]GULFSTREAM NON-FIRM'!H115</f>
        <v>0</v>
      </c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</row>
    <row r="105" spans="1:30" ht="15.75" hidden="1" x14ac:dyDescent="0.25">
      <c r="A105" s="13">
        <v>44105</v>
      </c>
      <c r="B105" s="97">
        <v>31</v>
      </c>
      <c r="C105" s="83">
        <f>'[2]FGT PRIMARY FIRM ZONE 1'!V116</f>
        <v>131.881</v>
      </c>
      <c r="D105" s="83">
        <f>'[2]FGT PRIMARY FIRM ZONE 2'!V116</f>
        <v>277.16699999999997</v>
      </c>
      <c r="E105" s="92">
        <f>'[2]FGT PRIMARY FIRM ZONE 3'!V116</f>
        <v>79.08</v>
      </c>
      <c r="F105" s="83">
        <f>'[2]FGT FIRM ZONE 3 MOBILE BAY-DES'!V116-40-25-60-100</f>
        <v>125.87199999999996</v>
      </c>
      <c r="G105" s="86">
        <v>40</v>
      </c>
      <c r="H105" s="83">
        <f t="shared" si="16"/>
        <v>185</v>
      </c>
      <c r="I105" s="83">
        <f t="shared" si="8"/>
        <v>0</v>
      </c>
      <c r="J105" s="86">
        <v>100</v>
      </c>
      <c r="K105" s="86">
        <v>300</v>
      </c>
      <c r="L105" s="83">
        <f t="shared" si="11"/>
        <v>1239</v>
      </c>
      <c r="M105" s="94">
        <v>600</v>
      </c>
      <c r="N105" s="83">
        <f>'[2]FGT NON-FIRM'!P116</f>
        <v>75</v>
      </c>
      <c r="O105" s="86">
        <v>240</v>
      </c>
      <c r="P105" s="86">
        <v>160</v>
      </c>
      <c r="Q105" s="86">
        <f t="shared" si="12"/>
        <v>195</v>
      </c>
      <c r="R105" s="86">
        <f t="shared" si="13"/>
        <v>100</v>
      </c>
      <c r="S105" s="83">
        <f t="shared" si="14"/>
        <v>695</v>
      </c>
      <c r="T105" s="83">
        <f>'[2]GULFSTREAM NON-FIRM'!H116</f>
        <v>0</v>
      </c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</row>
    <row r="106" spans="1:30" ht="15.75" hidden="1" x14ac:dyDescent="0.25">
      <c r="A106" s="13">
        <v>44136</v>
      </c>
      <c r="B106" s="97">
        <v>30</v>
      </c>
      <c r="C106" s="83">
        <f>'[2]FGT PRIMARY FIRM ZONE 1'!V117</f>
        <v>122.58</v>
      </c>
      <c r="D106" s="83">
        <f>'[2]FGT PRIMARY FIRM ZONE 2'!V117</f>
        <v>297.94100000000003</v>
      </c>
      <c r="E106" s="92">
        <f>'[2]FGT PRIMARY FIRM ZONE 3'!V117</f>
        <v>89.177000000000007</v>
      </c>
      <c r="F106" s="83">
        <f>'[2]FGT FIRM ZONE 3 MOBILE BAY-DES'!V117-40-60-100</f>
        <v>40.301999999999992</v>
      </c>
      <c r="G106" s="86">
        <v>40</v>
      </c>
      <c r="H106" s="83">
        <f>60+100</f>
        <v>160</v>
      </c>
      <c r="I106" s="83">
        <f t="shared" si="8"/>
        <v>0</v>
      </c>
      <c r="J106" s="86">
        <v>100</v>
      </c>
      <c r="K106" s="86">
        <v>300</v>
      </c>
      <c r="L106" s="83">
        <f t="shared" si="11"/>
        <v>1150</v>
      </c>
      <c r="M106" s="94">
        <v>600</v>
      </c>
      <c r="N106" s="83">
        <f>'[2]FGT NON-FIRM'!P117</f>
        <v>100</v>
      </c>
      <c r="O106" s="86">
        <v>240</v>
      </c>
      <c r="P106" s="86">
        <v>40</v>
      </c>
      <c r="Q106" s="86">
        <f t="shared" si="12"/>
        <v>315</v>
      </c>
      <c r="R106" s="86">
        <f t="shared" si="13"/>
        <v>100</v>
      </c>
      <c r="S106" s="83">
        <f t="shared" si="14"/>
        <v>695</v>
      </c>
      <c r="T106" s="83">
        <f>'[2]GULFSTREAM NON-FIRM'!H117</f>
        <v>50</v>
      </c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</row>
    <row r="107" spans="1:30" ht="15.75" hidden="1" x14ac:dyDescent="0.25">
      <c r="A107" s="13">
        <v>44166</v>
      </c>
      <c r="B107" s="97">
        <v>31</v>
      </c>
      <c r="C107" s="83">
        <f>'[2]FGT PRIMARY FIRM ZONE 1'!V118</f>
        <v>122.58</v>
      </c>
      <c r="D107" s="83">
        <f>'[2]FGT PRIMARY FIRM ZONE 2'!V118</f>
        <v>297.94100000000003</v>
      </c>
      <c r="E107" s="92">
        <f>'[2]FGT PRIMARY FIRM ZONE 3'!V118</f>
        <v>89.177000000000007</v>
      </c>
      <c r="F107" s="83">
        <f>'[2]FGT FIRM ZONE 3 MOBILE BAY-DES'!V118-40-60-100</f>
        <v>40.301999999999992</v>
      </c>
      <c r="G107" s="86">
        <v>40</v>
      </c>
      <c r="H107" s="83">
        <f>60+100</f>
        <v>160</v>
      </c>
      <c r="I107" s="83">
        <f t="shared" si="8"/>
        <v>0</v>
      </c>
      <c r="J107" s="86">
        <v>100</v>
      </c>
      <c r="K107" s="86">
        <v>300</v>
      </c>
      <c r="L107" s="83">
        <f t="shared" si="11"/>
        <v>1150</v>
      </c>
      <c r="M107" s="94">
        <v>600</v>
      </c>
      <c r="N107" s="83">
        <f>'[2]FGT NON-FIRM'!P118</f>
        <v>100</v>
      </c>
      <c r="O107" s="86">
        <v>240</v>
      </c>
      <c r="P107" s="86">
        <v>40</v>
      </c>
      <c r="Q107" s="86">
        <f t="shared" si="12"/>
        <v>315</v>
      </c>
      <c r="R107" s="86">
        <f t="shared" si="13"/>
        <v>100</v>
      </c>
      <c r="S107" s="83">
        <f t="shared" si="14"/>
        <v>695</v>
      </c>
      <c r="T107" s="83">
        <f>'[2]GULFSTREAM NON-FIRM'!H118</f>
        <v>50</v>
      </c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</row>
    <row r="108" spans="1:30" ht="15.75" hidden="1" x14ac:dyDescent="0.25">
      <c r="A108" s="13">
        <v>44197</v>
      </c>
      <c r="B108" s="97">
        <v>31</v>
      </c>
      <c r="C108" s="83">
        <f>'[2]FGT PRIMARY FIRM ZONE 1'!V119</f>
        <v>122.58</v>
      </c>
      <c r="D108" s="83">
        <f>'[2]FGT PRIMARY FIRM ZONE 2'!V119</f>
        <v>297.94100000000003</v>
      </c>
      <c r="E108" s="92">
        <f>'[2]FGT PRIMARY FIRM ZONE 3'!V119</f>
        <v>89.177000000000007</v>
      </c>
      <c r="F108" s="83">
        <f>'[2]FGT FIRM ZONE 3 MOBILE BAY-DES'!V119-40-60-100</f>
        <v>40.301999999999992</v>
      </c>
      <c r="G108" s="86">
        <v>40</v>
      </c>
      <c r="H108" s="83">
        <f>60+100</f>
        <v>160</v>
      </c>
      <c r="I108" s="83">
        <f t="shared" si="8"/>
        <v>0</v>
      </c>
      <c r="J108" s="86">
        <v>100</v>
      </c>
      <c r="K108" s="86">
        <v>300</v>
      </c>
      <c r="L108" s="83">
        <f t="shared" si="11"/>
        <v>1150</v>
      </c>
      <c r="M108" s="94">
        <v>600</v>
      </c>
      <c r="N108" s="83">
        <f>'[2]FGT NON-FIRM'!P119</f>
        <v>100</v>
      </c>
      <c r="O108" s="86">
        <v>240</v>
      </c>
      <c r="P108" s="86">
        <v>40</v>
      </c>
      <c r="Q108" s="86">
        <f t="shared" si="12"/>
        <v>315</v>
      </c>
      <c r="R108" s="86">
        <f t="shared" si="13"/>
        <v>100</v>
      </c>
      <c r="S108" s="83">
        <f t="shared" si="14"/>
        <v>695</v>
      </c>
      <c r="T108" s="83">
        <f>'[2]GULFSTREAM NON-FIRM'!H119</f>
        <v>50</v>
      </c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</row>
    <row r="109" spans="1:30" ht="15.75" hidden="1" x14ac:dyDescent="0.25">
      <c r="A109" s="13">
        <v>44228</v>
      </c>
      <c r="B109" s="97">
        <v>28</v>
      </c>
      <c r="C109" s="83">
        <f>'[2]FGT PRIMARY FIRM ZONE 1'!V120</f>
        <v>122.58</v>
      </c>
      <c r="D109" s="83">
        <f>'[2]FGT PRIMARY FIRM ZONE 2'!V120</f>
        <v>297.94100000000003</v>
      </c>
      <c r="E109" s="92">
        <f>'[2]FGT PRIMARY FIRM ZONE 3'!V120</f>
        <v>89.177000000000007</v>
      </c>
      <c r="F109" s="83">
        <f>'[2]FGT FIRM ZONE 3 MOBILE BAY-DES'!V120-40-60-100</f>
        <v>40.301999999999992</v>
      </c>
      <c r="G109" s="86">
        <v>40</v>
      </c>
      <c r="H109" s="83">
        <f>60+100</f>
        <v>160</v>
      </c>
      <c r="I109" s="83">
        <f t="shared" si="8"/>
        <v>0</v>
      </c>
      <c r="J109" s="86">
        <v>100</v>
      </c>
      <c r="K109" s="86">
        <v>300</v>
      </c>
      <c r="L109" s="83">
        <f t="shared" si="11"/>
        <v>1150</v>
      </c>
      <c r="M109" s="94">
        <v>600</v>
      </c>
      <c r="N109" s="83">
        <f>'[2]FGT NON-FIRM'!P120</f>
        <v>100</v>
      </c>
      <c r="O109" s="86">
        <v>240</v>
      </c>
      <c r="P109" s="86">
        <v>40</v>
      </c>
      <c r="Q109" s="86">
        <f t="shared" si="12"/>
        <v>315</v>
      </c>
      <c r="R109" s="86">
        <f t="shared" si="13"/>
        <v>100</v>
      </c>
      <c r="S109" s="83">
        <f t="shared" si="14"/>
        <v>695</v>
      </c>
      <c r="T109" s="83">
        <f>'[2]GULFSTREAM NON-FIRM'!H120</f>
        <v>50</v>
      </c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</row>
    <row r="110" spans="1:30" ht="15.75" hidden="1" x14ac:dyDescent="0.25">
      <c r="A110" s="13">
        <v>44256</v>
      </c>
      <c r="B110" s="97">
        <v>31</v>
      </c>
      <c r="C110" s="83">
        <f>'[2]FGT PRIMARY FIRM ZONE 1'!V121</f>
        <v>122.58</v>
      </c>
      <c r="D110" s="83">
        <f>'[2]FGT PRIMARY FIRM ZONE 2'!V121</f>
        <v>297.94100000000003</v>
      </c>
      <c r="E110" s="92">
        <f>'[2]FGT PRIMARY FIRM ZONE 3'!V121</f>
        <v>89.177000000000007</v>
      </c>
      <c r="F110" s="83">
        <f>'[2]FGT FIRM ZONE 3 MOBILE BAY-DES'!V121-40-60-100</f>
        <v>40.301999999999992</v>
      </c>
      <c r="G110" s="86">
        <v>40</v>
      </c>
      <c r="H110" s="83">
        <f>60+100</f>
        <v>160</v>
      </c>
      <c r="I110" s="83">
        <f t="shared" si="8"/>
        <v>0</v>
      </c>
      <c r="J110" s="86">
        <v>100</v>
      </c>
      <c r="K110" s="86">
        <v>300</v>
      </c>
      <c r="L110" s="83">
        <f t="shared" si="11"/>
        <v>1150</v>
      </c>
      <c r="M110" s="94">
        <v>600</v>
      </c>
      <c r="N110" s="83">
        <f>'[2]FGT NON-FIRM'!P121</f>
        <v>100</v>
      </c>
      <c r="O110" s="86">
        <v>240</v>
      </c>
      <c r="P110" s="86">
        <v>40</v>
      </c>
      <c r="Q110" s="86">
        <f t="shared" si="12"/>
        <v>315</v>
      </c>
      <c r="R110" s="86">
        <f t="shared" si="13"/>
        <v>100</v>
      </c>
      <c r="S110" s="83">
        <f t="shared" si="14"/>
        <v>695</v>
      </c>
      <c r="T110" s="83">
        <f>'[2]GULFSTREAM NON-FIRM'!H121</f>
        <v>50</v>
      </c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</row>
    <row r="111" spans="1:30" ht="15.75" hidden="1" x14ac:dyDescent="0.25">
      <c r="A111" s="13">
        <v>44287</v>
      </c>
      <c r="B111" s="97">
        <v>30</v>
      </c>
      <c r="C111" s="83">
        <f>'[2]FGT PRIMARY FIRM ZONE 1'!V122</f>
        <v>141.29300000000001</v>
      </c>
      <c r="D111" s="83">
        <f>'[2]FGT PRIMARY FIRM ZONE 2'!V122</f>
        <v>267.99299999999999</v>
      </c>
      <c r="E111" s="92">
        <f>'[2]FGT PRIMARY FIRM ZONE 3'!V122</f>
        <v>115.01600000000001</v>
      </c>
      <c r="F111" s="83">
        <f>'[2]FGT FIRM ZONE 3 MOBILE BAY-DES'!V122-40-25-60-100</f>
        <v>89.698000000000036</v>
      </c>
      <c r="G111" s="86">
        <v>40</v>
      </c>
      <c r="H111" s="83">
        <f t="shared" ref="H111:H117" si="17">25+60+100</f>
        <v>185</v>
      </c>
      <c r="I111" s="83">
        <f t="shared" si="8"/>
        <v>0</v>
      </c>
      <c r="J111" s="86">
        <v>100</v>
      </c>
      <c r="K111" s="86">
        <v>300</v>
      </c>
      <c r="L111" s="83">
        <f t="shared" si="11"/>
        <v>1239</v>
      </c>
      <c r="M111" s="94">
        <v>600</v>
      </c>
      <c r="N111" s="83">
        <f>'[2]FGT NON-FIRM'!P122</f>
        <v>100</v>
      </c>
      <c r="O111" s="86">
        <v>240</v>
      </c>
      <c r="P111" s="86">
        <v>160</v>
      </c>
      <c r="Q111" s="86">
        <f t="shared" si="12"/>
        <v>195</v>
      </c>
      <c r="R111" s="86">
        <f t="shared" si="13"/>
        <v>100</v>
      </c>
      <c r="S111" s="83">
        <f t="shared" si="14"/>
        <v>695</v>
      </c>
      <c r="T111" s="83">
        <f>'[2]GULFSTREAM NON-FIRM'!H122</f>
        <v>50</v>
      </c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</row>
    <row r="112" spans="1:30" ht="15.75" hidden="1" x14ac:dyDescent="0.25">
      <c r="A112" s="13">
        <v>44317</v>
      </c>
      <c r="B112" s="97">
        <v>31</v>
      </c>
      <c r="C112" s="83">
        <f>'[2]FGT PRIMARY FIRM ZONE 1'!V123</f>
        <v>194.20499999999998</v>
      </c>
      <c r="D112" s="83">
        <f>'[2]FGT PRIMARY FIRM ZONE 2'!V123</f>
        <v>267.46600000000001</v>
      </c>
      <c r="E112" s="92">
        <f>'[2]FGT PRIMARY FIRM ZONE 3'!V123</f>
        <v>133.845</v>
      </c>
      <c r="F112" s="83">
        <f>'[2]FGT FIRM ZONE 3 MOBILE BAY-DES'!V123-40-25-60-100</f>
        <v>53.48399999999998</v>
      </c>
      <c r="G112" s="86">
        <v>40</v>
      </c>
      <c r="H112" s="83">
        <f t="shared" si="17"/>
        <v>185</v>
      </c>
      <c r="I112" s="83">
        <f t="shared" si="8"/>
        <v>0</v>
      </c>
      <c r="J112" s="86">
        <v>100</v>
      </c>
      <c r="K112" s="86">
        <v>300</v>
      </c>
      <c r="L112" s="83">
        <f t="shared" si="11"/>
        <v>1274</v>
      </c>
      <c r="M112" s="94">
        <v>600</v>
      </c>
      <c r="N112" s="83">
        <f>'[2]FGT NON-FIRM'!P123</f>
        <v>75</v>
      </c>
      <c r="O112" s="86">
        <v>240</v>
      </c>
      <c r="P112" s="86">
        <v>160</v>
      </c>
      <c r="Q112" s="86">
        <f t="shared" si="12"/>
        <v>195</v>
      </c>
      <c r="R112" s="86">
        <f t="shared" si="13"/>
        <v>100</v>
      </c>
      <c r="S112" s="83">
        <f t="shared" si="14"/>
        <v>695</v>
      </c>
      <c r="T112" s="83">
        <f>'[2]GULFSTREAM NON-FIRM'!H123</f>
        <v>50</v>
      </c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</row>
    <row r="113" spans="1:30" ht="15.75" hidden="1" x14ac:dyDescent="0.25">
      <c r="A113" s="13">
        <v>44348</v>
      </c>
      <c r="B113" s="97">
        <v>30</v>
      </c>
      <c r="C113" s="83">
        <f>'[2]FGT PRIMARY FIRM ZONE 1'!V124</f>
        <v>194.20499999999998</v>
      </c>
      <c r="D113" s="83">
        <f>'[2]FGT PRIMARY FIRM ZONE 2'!V124</f>
        <v>267.46600000000001</v>
      </c>
      <c r="E113" s="92">
        <f>'[2]FGT PRIMARY FIRM ZONE 3'!V124</f>
        <v>133.845</v>
      </c>
      <c r="F113" s="83">
        <f>'[2]FGT FIRM ZONE 3 MOBILE BAY-DES'!V124-40-25-60-100</f>
        <v>53.48399999999998</v>
      </c>
      <c r="G113" s="86">
        <v>40</v>
      </c>
      <c r="H113" s="83">
        <f t="shared" si="17"/>
        <v>185</v>
      </c>
      <c r="I113" s="83">
        <f t="shared" si="8"/>
        <v>0</v>
      </c>
      <c r="J113" s="86">
        <v>100</v>
      </c>
      <c r="K113" s="86">
        <v>300</v>
      </c>
      <c r="L113" s="83">
        <f t="shared" si="11"/>
        <v>1274</v>
      </c>
      <c r="M113" s="94">
        <v>600</v>
      </c>
      <c r="N113" s="83">
        <f>'[2]FGT NON-FIRM'!P124</f>
        <v>30</v>
      </c>
      <c r="O113" s="86">
        <v>240</v>
      </c>
      <c r="P113" s="86">
        <v>160</v>
      </c>
      <c r="Q113" s="86">
        <f t="shared" si="12"/>
        <v>195</v>
      </c>
      <c r="R113" s="86">
        <f t="shared" si="13"/>
        <v>100</v>
      </c>
      <c r="S113" s="83">
        <f t="shared" si="14"/>
        <v>695</v>
      </c>
      <c r="T113" s="83">
        <f>'[2]GULFSTREAM NON-FIRM'!H124</f>
        <v>50</v>
      </c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</row>
    <row r="114" spans="1:30" ht="15.75" hidden="1" x14ac:dyDescent="0.25">
      <c r="A114" s="13">
        <v>44378</v>
      </c>
      <c r="B114" s="97">
        <v>31</v>
      </c>
      <c r="C114" s="83">
        <f>'[2]FGT PRIMARY FIRM ZONE 1'!V125</f>
        <v>194.20499999999998</v>
      </c>
      <c r="D114" s="83">
        <f>'[2]FGT PRIMARY FIRM ZONE 2'!V125</f>
        <v>267.46600000000001</v>
      </c>
      <c r="E114" s="92">
        <f>'[2]FGT PRIMARY FIRM ZONE 3'!V125</f>
        <v>133.845</v>
      </c>
      <c r="F114" s="83">
        <f>'[2]FGT FIRM ZONE 3 MOBILE BAY-DES'!V125-40-25-60-100</f>
        <v>53.48399999999998</v>
      </c>
      <c r="G114" s="86">
        <v>40</v>
      </c>
      <c r="H114" s="83">
        <f t="shared" si="17"/>
        <v>185</v>
      </c>
      <c r="I114" s="83">
        <f t="shared" si="8"/>
        <v>0</v>
      </c>
      <c r="J114" s="86">
        <v>100</v>
      </c>
      <c r="K114" s="86">
        <v>300</v>
      </c>
      <c r="L114" s="83">
        <f t="shared" si="11"/>
        <v>1274</v>
      </c>
      <c r="M114" s="94">
        <v>600</v>
      </c>
      <c r="N114" s="83">
        <f>'[2]FGT NON-FIRM'!P125</f>
        <v>30</v>
      </c>
      <c r="O114" s="86">
        <v>240</v>
      </c>
      <c r="P114" s="86">
        <v>160</v>
      </c>
      <c r="Q114" s="86">
        <f t="shared" si="12"/>
        <v>195</v>
      </c>
      <c r="R114" s="86">
        <f t="shared" si="13"/>
        <v>100</v>
      </c>
      <c r="S114" s="83">
        <f t="shared" si="14"/>
        <v>695</v>
      </c>
      <c r="T114" s="83">
        <f>'[2]GULFSTREAM NON-FIRM'!H125</f>
        <v>0</v>
      </c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</row>
    <row r="115" spans="1:30" ht="15.75" hidden="1" x14ac:dyDescent="0.25">
      <c r="A115" s="13">
        <v>44409</v>
      </c>
      <c r="B115" s="97">
        <v>31</v>
      </c>
      <c r="C115" s="83">
        <f>'[2]FGT PRIMARY FIRM ZONE 1'!V126</f>
        <v>194.20499999999998</v>
      </c>
      <c r="D115" s="83">
        <f>'[2]FGT PRIMARY FIRM ZONE 2'!V126</f>
        <v>267.46600000000001</v>
      </c>
      <c r="E115" s="92">
        <f>'[2]FGT PRIMARY FIRM ZONE 3'!V126</f>
        <v>133.845</v>
      </c>
      <c r="F115" s="83">
        <f>'[2]FGT FIRM ZONE 3 MOBILE BAY-DES'!V126-40-25-60-100</f>
        <v>53.48399999999998</v>
      </c>
      <c r="G115" s="86">
        <v>40</v>
      </c>
      <c r="H115" s="83">
        <f t="shared" si="17"/>
        <v>185</v>
      </c>
      <c r="I115" s="83">
        <f t="shared" si="8"/>
        <v>0</v>
      </c>
      <c r="J115" s="86">
        <v>100</v>
      </c>
      <c r="K115" s="86">
        <v>300</v>
      </c>
      <c r="L115" s="83">
        <f t="shared" si="11"/>
        <v>1274</v>
      </c>
      <c r="M115" s="94">
        <v>600</v>
      </c>
      <c r="N115" s="83">
        <f>'[2]FGT NON-FIRM'!P126</f>
        <v>30</v>
      </c>
      <c r="O115" s="86">
        <v>240</v>
      </c>
      <c r="P115" s="86">
        <v>160</v>
      </c>
      <c r="Q115" s="86">
        <f t="shared" si="12"/>
        <v>195</v>
      </c>
      <c r="R115" s="86">
        <f t="shared" si="13"/>
        <v>100</v>
      </c>
      <c r="S115" s="83">
        <f t="shared" si="14"/>
        <v>695</v>
      </c>
      <c r="T115" s="83">
        <f>'[2]GULFSTREAM NON-FIRM'!H126</f>
        <v>0</v>
      </c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</row>
    <row r="116" spans="1:30" ht="15.75" hidden="1" x14ac:dyDescent="0.25">
      <c r="A116" s="13">
        <v>44440</v>
      </c>
      <c r="B116" s="97">
        <v>30</v>
      </c>
      <c r="C116" s="83">
        <f>'[2]FGT PRIMARY FIRM ZONE 1'!V127</f>
        <v>194.20499999999998</v>
      </c>
      <c r="D116" s="83">
        <f>'[2]FGT PRIMARY FIRM ZONE 2'!V127</f>
        <v>267.46600000000001</v>
      </c>
      <c r="E116" s="92">
        <f>'[2]FGT PRIMARY FIRM ZONE 3'!V127</f>
        <v>133.845</v>
      </c>
      <c r="F116" s="83">
        <f>'[2]FGT FIRM ZONE 3 MOBILE BAY-DES'!V127-40-25-60-100</f>
        <v>53.48399999999998</v>
      </c>
      <c r="G116" s="86">
        <v>40</v>
      </c>
      <c r="H116" s="83">
        <f t="shared" si="17"/>
        <v>185</v>
      </c>
      <c r="I116" s="83">
        <f t="shared" ref="I116:I179" si="18">400-J116-K116</f>
        <v>0</v>
      </c>
      <c r="J116" s="86">
        <v>100</v>
      </c>
      <c r="K116" s="86">
        <v>300</v>
      </c>
      <c r="L116" s="83">
        <f t="shared" si="11"/>
        <v>1274</v>
      </c>
      <c r="M116" s="94">
        <v>600</v>
      </c>
      <c r="N116" s="83">
        <f>'[2]FGT NON-FIRM'!P127</f>
        <v>30</v>
      </c>
      <c r="O116" s="86">
        <v>240</v>
      </c>
      <c r="P116" s="86">
        <v>160</v>
      </c>
      <c r="Q116" s="86">
        <f t="shared" si="12"/>
        <v>195</v>
      </c>
      <c r="R116" s="86">
        <f t="shared" si="13"/>
        <v>100</v>
      </c>
      <c r="S116" s="83">
        <f t="shared" si="14"/>
        <v>695</v>
      </c>
      <c r="T116" s="83">
        <f>'[2]GULFSTREAM NON-FIRM'!H127</f>
        <v>0</v>
      </c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</row>
    <row r="117" spans="1:30" ht="15.75" hidden="1" x14ac:dyDescent="0.25">
      <c r="A117" s="13">
        <v>44470</v>
      </c>
      <c r="B117" s="97">
        <v>31</v>
      </c>
      <c r="C117" s="83">
        <f>'[2]FGT PRIMARY FIRM ZONE 1'!V128</f>
        <v>131.881</v>
      </c>
      <c r="D117" s="83">
        <f>'[2]FGT PRIMARY FIRM ZONE 2'!V128</f>
        <v>277.16699999999997</v>
      </c>
      <c r="E117" s="92">
        <f>'[2]FGT PRIMARY FIRM ZONE 3'!V128</f>
        <v>79.08</v>
      </c>
      <c r="F117" s="83">
        <f>'[2]FGT FIRM ZONE 3 MOBILE BAY-DES'!V128-40-25-60-100</f>
        <v>125.87199999999996</v>
      </c>
      <c r="G117" s="86">
        <v>40</v>
      </c>
      <c r="H117" s="83">
        <f t="shared" si="17"/>
        <v>185</v>
      </c>
      <c r="I117" s="83">
        <f t="shared" si="18"/>
        <v>0</v>
      </c>
      <c r="J117" s="86">
        <v>100</v>
      </c>
      <c r="K117" s="86">
        <v>300</v>
      </c>
      <c r="L117" s="83">
        <f t="shared" si="11"/>
        <v>1239</v>
      </c>
      <c r="M117" s="94">
        <v>600</v>
      </c>
      <c r="N117" s="83">
        <f>'[2]FGT NON-FIRM'!P128</f>
        <v>75</v>
      </c>
      <c r="O117" s="86">
        <v>240</v>
      </c>
      <c r="P117" s="86">
        <v>160</v>
      </c>
      <c r="Q117" s="86">
        <f t="shared" si="12"/>
        <v>195</v>
      </c>
      <c r="R117" s="86">
        <f t="shared" si="13"/>
        <v>100</v>
      </c>
      <c r="S117" s="83">
        <f t="shared" si="14"/>
        <v>695</v>
      </c>
      <c r="T117" s="83">
        <f>'[2]GULFSTREAM NON-FIRM'!H128</f>
        <v>0</v>
      </c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</row>
    <row r="118" spans="1:30" ht="15.75" hidden="1" x14ac:dyDescent="0.25">
      <c r="A118" s="13">
        <v>44501</v>
      </c>
      <c r="B118" s="97">
        <v>30</v>
      </c>
      <c r="C118" s="83">
        <f>'[2]FGT PRIMARY FIRM ZONE 1'!V129</f>
        <v>122.58</v>
      </c>
      <c r="D118" s="83">
        <f>'[2]FGT PRIMARY FIRM ZONE 2'!V129</f>
        <v>297.94100000000003</v>
      </c>
      <c r="E118" s="92">
        <f>'[2]FGT PRIMARY FIRM ZONE 3'!V129</f>
        <v>89.177000000000007</v>
      </c>
      <c r="F118" s="83">
        <f>'[2]FGT FIRM ZONE 3 MOBILE BAY-DES'!V129-40-60-100</f>
        <v>40.301999999999992</v>
      </c>
      <c r="G118" s="86">
        <v>40</v>
      </c>
      <c r="H118" s="83">
        <f>60+100</f>
        <v>160</v>
      </c>
      <c r="I118" s="83">
        <f t="shared" si="18"/>
        <v>0</v>
      </c>
      <c r="J118" s="86">
        <v>100</v>
      </c>
      <c r="K118" s="86">
        <v>300</v>
      </c>
      <c r="L118" s="83">
        <f t="shared" si="11"/>
        <v>1150</v>
      </c>
      <c r="M118" s="94">
        <v>600</v>
      </c>
      <c r="N118" s="83">
        <f>'[2]FGT NON-FIRM'!P129</f>
        <v>100</v>
      </c>
      <c r="O118" s="86">
        <v>240</v>
      </c>
      <c r="P118" s="86">
        <v>40</v>
      </c>
      <c r="Q118" s="86">
        <f t="shared" si="12"/>
        <v>315</v>
      </c>
      <c r="R118" s="86">
        <f t="shared" si="13"/>
        <v>100</v>
      </c>
      <c r="S118" s="83">
        <f t="shared" si="14"/>
        <v>695</v>
      </c>
      <c r="T118" s="83">
        <f>'[2]GULFSTREAM NON-FIRM'!H129</f>
        <v>50</v>
      </c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</row>
    <row r="119" spans="1:30" ht="15.75" hidden="1" x14ac:dyDescent="0.25">
      <c r="A119" s="13">
        <v>44531</v>
      </c>
      <c r="B119" s="97">
        <v>31</v>
      </c>
      <c r="C119" s="83">
        <f>'[2]FGT PRIMARY FIRM ZONE 1'!V130</f>
        <v>122.58</v>
      </c>
      <c r="D119" s="83">
        <f>'[2]FGT PRIMARY FIRM ZONE 2'!V130</f>
        <v>297.94100000000003</v>
      </c>
      <c r="E119" s="92">
        <f>'[2]FGT PRIMARY FIRM ZONE 3'!V130</f>
        <v>89.177000000000007</v>
      </c>
      <c r="F119" s="83">
        <f>'[2]FGT FIRM ZONE 3 MOBILE BAY-DES'!V130-40-60-100</f>
        <v>40.301999999999992</v>
      </c>
      <c r="G119" s="86">
        <v>40</v>
      </c>
      <c r="H119" s="83">
        <f>60+100</f>
        <v>160</v>
      </c>
      <c r="I119" s="83">
        <f t="shared" si="18"/>
        <v>0</v>
      </c>
      <c r="J119" s="86">
        <v>100</v>
      </c>
      <c r="K119" s="86">
        <v>300</v>
      </c>
      <c r="L119" s="83">
        <f t="shared" si="11"/>
        <v>1150</v>
      </c>
      <c r="M119" s="94">
        <v>600</v>
      </c>
      <c r="N119" s="83">
        <f>'[2]FGT NON-FIRM'!P130</f>
        <v>100</v>
      </c>
      <c r="O119" s="86">
        <v>240</v>
      </c>
      <c r="P119" s="86">
        <v>40</v>
      </c>
      <c r="Q119" s="86">
        <f t="shared" si="12"/>
        <v>315</v>
      </c>
      <c r="R119" s="86">
        <f t="shared" si="13"/>
        <v>100</v>
      </c>
      <c r="S119" s="83">
        <f t="shared" si="14"/>
        <v>695</v>
      </c>
      <c r="T119" s="83">
        <f>'[2]GULFSTREAM NON-FIRM'!H130</f>
        <v>50</v>
      </c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</row>
    <row r="120" spans="1:30" ht="15.75" hidden="1" x14ac:dyDescent="0.25">
      <c r="A120" s="13">
        <v>44562</v>
      </c>
      <c r="B120" s="97">
        <v>31</v>
      </c>
      <c r="C120" s="83">
        <f>'[2]FGT PRIMARY FIRM ZONE 1'!V131</f>
        <v>122.58</v>
      </c>
      <c r="D120" s="83">
        <f>'[2]FGT PRIMARY FIRM ZONE 2'!V131</f>
        <v>297.94100000000003</v>
      </c>
      <c r="E120" s="92">
        <f>'[2]FGT PRIMARY FIRM ZONE 3'!V131</f>
        <v>89.177000000000007</v>
      </c>
      <c r="F120" s="83">
        <f>'[2]FGT FIRM ZONE 3 MOBILE BAY-DES'!V131-40-60-100</f>
        <v>40.301999999999992</v>
      </c>
      <c r="G120" s="86">
        <v>40</v>
      </c>
      <c r="H120" s="83">
        <f>60+100</f>
        <v>160</v>
      </c>
      <c r="I120" s="83">
        <f t="shared" si="18"/>
        <v>0</v>
      </c>
      <c r="J120" s="86">
        <v>100</v>
      </c>
      <c r="K120" s="86">
        <v>300</v>
      </c>
      <c r="L120" s="83">
        <f t="shared" si="11"/>
        <v>1150</v>
      </c>
      <c r="M120" s="94">
        <v>600</v>
      </c>
      <c r="N120" s="83">
        <f>'[2]FGT NON-FIRM'!P131</f>
        <v>100</v>
      </c>
      <c r="O120" s="86">
        <v>240</v>
      </c>
      <c r="P120" s="86">
        <v>40</v>
      </c>
      <c r="Q120" s="86">
        <f t="shared" si="12"/>
        <v>315</v>
      </c>
      <c r="R120" s="86">
        <f t="shared" si="13"/>
        <v>100</v>
      </c>
      <c r="S120" s="83">
        <f t="shared" si="14"/>
        <v>695</v>
      </c>
      <c r="T120" s="83">
        <f>'[2]GULFSTREAM NON-FIRM'!H131</f>
        <v>50</v>
      </c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</row>
    <row r="121" spans="1:30" ht="15.75" hidden="1" x14ac:dyDescent="0.25">
      <c r="A121" s="13">
        <v>44593</v>
      </c>
      <c r="B121" s="97">
        <v>28</v>
      </c>
      <c r="C121" s="83">
        <f>'[2]FGT PRIMARY FIRM ZONE 1'!V132</f>
        <v>122.58</v>
      </c>
      <c r="D121" s="83">
        <f>'[2]FGT PRIMARY FIRM ZONE 2'!V132</f>
        <v>297.94100000000003</v>
      </c>
      <c r="E121" s="92">
        <f>'[2]FGT PRIMARY FIRM ZONE 3'!V132</f>
        <v>89.177000000000007</v>
      </c>
      <c r="F121" s="83">
        <f>'[2]FGT FIRM ZONE 3 MOBILE BAY-DES'!V132-40-60-100</f>
        <v>40.301999999999992</v>
      </c>
      <c r="G121" s="86">
        <v>40</v>
      </c>
      <c r="H121" s="83">
        <f>60+100</f>
        <v>160</v>
      </c>
      <c r="I121" s="83">
        <f t="shared" si="18"/>
        <v>0</v>
      </c>
      <c r="J121" s="86">
        <v>100</v>
      </c>
      <c r="K121" s="86">
        <v>300</v>
      </c>
      <c r="L121" s="83">
        <f t="shared" si="11"/>
        <v>1150</v>
      </c>
      <c r="M121" s="94">
        <v>600</v>
      </c>
      <c r="N121" s="83">
        <f>'[2]FGT NON-FIRM'!P132</f>
        <v>100</v>
      </c>
      <c r="O121" s="86">
        <v>240</v>
      </c>
      <c r="P121" s="86">
        <v>40</v>
      </c>
      <c r="Q121" s="86">
        <f t="shared" si="12"/>
        <v>315</v>
      </c>
      <c r="R121" s="86">
        <f t="shared" si="13"/>
        <v>100</v>
      </c>
      <c r="S121" s="83">
        <f t="shared" si="14"/>
        <v>695</v>
      </c>
      <c r="T121" s="83">
        <f>'[2]GULFSTREAM NON-FIRM'!H132</f>
        <v>50</v>
      </c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</row>
    <row r="122" spans="1:30" ht="15.75" hidden="1" x14ac:dyDescent="0.25">
      <c r="A122" s="13">
        <v>44621</v>
      </c>
      <c r="B122" s="97">
        <v>31</v>
      </c>
      <c r="C122" s="83">
        <f>'[2]FGT PRIMARY FIRM ZONE 1'!V133</f>
        <v>122.58</v>
      </c>
      <c r="D122" s="83">
        <f>'[2]FGT PRIMARY FIRM ZONE 2'!V133</f>
        <v>297.94100000000003</v>
      </c>
      <c r="E122" s="92">
        <f>'[2]FGT PRIMARY FIRM ZONE 3'!V133</f>
        <v>89.177000000000007</v>
      </c>
      <c r="F122" s="83">
        <f>'[2]FGT FIRM ZONE 3 MOBILE BAY-DES'!V133-40-60-100</f>
        <v>40.301999999999992</v>
      </c>
      <c r="G122" s="86">
        <v>40</v>
      </c>
      <c r="H122" s="83">
        <f>60+100</f>
        <v>160</v>
      </c>
      <c r="I122" s="83">
        <f t="shared" si="18"/>
        <v>0</v>
      </c>
      <c r="J122" s="86">
        <v>100</v>
      </c>
      <c r="K122" s="86">
        <v>300</v>
      </c>
      <c r="L122" s="83">
        <f t="shared" si="11"/>
        <v>1150</v>
      </c>
      <c r="M122" s="94">
        <v>600</v>
      </c>
      <c r="N122" s="83">
        <f>'[2]FGT NON-FIRM'!P133</f>
        <v>100</v>
      </c>
      <c r="O122" s="86">
        <v>240</v>
      </c>
      <c r="P122" s="86">
        <v>40</v>
      </c>
      <c r="Q122" s="86">
        <f t="shared" si="12"/>
        <v>315</v>
      </c>
      <c r="R122" s="86">
        <f t="shared" si="13"/>
        <v>100</v>
      </c>
      <c r="S122" s="83">
        <f t="shared" si="14"/>
        <v>695</v>
      </c>
      <c r="T122" s="83">
        <f>'[2]GULFSTREAM NON-FIRM'!H133</f>
        <v>50</v>
      </c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</row>
    <row r="123" spans="1:30" ht="15.75" hidden="1" x14ac:dyDescent="0.25">
      <c r="A123" s="13">
        <v>44652</v>
      </c>
      <c r="B123" s="97">
        <v>30</v>
      </c>
      <c r="C123" s="83">
        <f>'[2]FGT PRIMARY FIRM ZONE 1'!V134</f>
        <v>141.29300000000001</v>
      </c>
      <c r="D123" s="83">
        <f>'[2]FGT PRIMARY FIRM ZONE 2'!V134</f>
        <v>267.99299999999999</v>
      </c>
      <c r="E123" s="92">
        <f>'[2]FGT PRIMARY FIRM ZONE 3'!V134</f>
        <v>115.01600000000001</v>
      </c>
      <c r="F123" s="83">
        <f>'[2]FGT FIRM ZONE 3 MOBILE BAY-DES'!V134-40-25-60-100</f>
        <v>89.698000000000036</v>
      </c>
      <c r="G123" s="86">
        <v>40</v>
      </c>
      <c r="H123" s="83">
        <f t="shared" ref="H123:H129" si="19">25+60+100</f>
        <v>185</v>
      </c>
      <c r="I123" s="83">
        <f t="shared" si="18"/>
        <v>0</v>
      </c>
      <c r="J123" s="86">
        <v>100</v>
      </c>
      <c r="K123" s="86">
        <v>300</v>
      </c>
      <c r="L123" s="83">
        <f t="shared" si="11"/>
        <v>1239</v>
      </c>
      <c r="M123" s="94">
        <v>600</v>
      </c>
      <c r="N123" s="83">
        <f>'[2]FGT NON-FIRM'!P134</f>
        <v>100</v>
      </c>
      <c r="O123" s="86">
        <v>240</v>
      </c>
      <c r="P123" s="86">
        <v>160</v>
      </c>
      <c r="Q123" s="86">
        <f t="shared" si="12"/>
        <v>195</v>
      </c>
      <c r="R123" s="86">
        <f t="shared" si="13"/>
        <v>100</v>
      </c>
      <c r="S123" s="83">
        <f t="shared" si="14"/>
        <v>695</v>
      </c>
      <c r="T123" s="83">
        <f>'[2]GULFSTREAM NON-FIRM'!H134</f>
        <v>50</v>
      </c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</row>
    <row r="124" spans="1:30" ht="15.75" hidden="1" x14ac:dyDescent="0.25">
      <c r="A124" s="13">
        <v>44682</v>
      </c>
      <c r="B124" s="97">
        <v>31</v>
      </c>
      <c r="C124" s="83">
        <f>'[2]FGT PRIMARY FIRM ZONE 1'!V135</f>
        <v>194.20499999999998</v>
      </c>
      <c r="D124" s="83">
        <f>'[2]FGT PRIMARY FIRM ZONE 2'!V135</f>
        <v>267.46600000000001</v>
      </c>
      <c r="E124" s="92">
        <f>'[2]FGT PRIMARY FIRM ZONE 3'!V135</f>
        <v>133.845</v>
      </c>
      <c r="F124" s="83">
        <f>'[2]FGT FIRM ZONE 3 MOBILE BAY-DES'!V135-40-25-60-100</f>
        <v>53.48399999999998</v>
      </c>
      <c r="G124" s="86">
        <v>40</v>
      </c>
      <c r="H124" s="83">
        <f t="shared" si="19"/>
        <v>185</v>
      </c>
      <c r="I124" s="83">
        <f t="shared" si="18"/>
        <v>0</v>
      </c>
      <c r="J124" s="86">
        <v>100</v>
      </c>
      <c r="K124" s="86">
        <v>300</v>
      </c>
      <c r="L124" s="83">
        <f t="shared" si="11"/>
        <v>1274</v>
      </c>
      <c r="M124" s="94">
        <v>600</v>
      </c>
      <c r="N124" s="83">
        <f>'[2]FGT NON-FIRM'!P135</f>
        <v>75</v>
      </c>
      <c r="O124" s="86">
        <v>240</v>
      </c>
      <c r="P124" s="86">
        <v>160</v>
      </c>
      <c r="Q124" s="86">
        <f t="shared" si="12"/>
        <v>195</v>
      </c>
      <c r="R124" s="86">
        <f t="shared" si="13"/>
        <v>100</v>
      </c>
      <c r="S124" s="83">
        <f t="shared" si="14"/>
        <v>695</v>
      </c>
      <c r="T124" s="83">
        <f>'[2]GULFSTREAM NON-FIRM'!H135</f>
        <v>50</v>
      </c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</row>
    <row r="125" spans="1:30" ht="15.75" hidden="1" x14ac:dyDescent="0.25">
      <c r="A125" s="13">
        <v>44713</v>
      </c>
      <c r="B125" s="97">
        <v>30</v>
      </c>
      <c r="C125" s="83">
        <f>'[2]FGT PRIMARY FIRM ZONE 1'!V136</f>
        <v>194.20499999999998</v>
      </c>
      <c r="D125" s="83">
        <f>'[2]FGT PRIMARY FIRM ZONE 2'!V136</f>
        <v>267.46600000000001</v>
      </c>
      <c r="E125" s="92">
        <f>'[2]FGT PRIMARY FIRM ZONE 3'!V136</f>
        <v>133.845</v>
      </c>
      <c r="F125" s="83">
        <f>'[2]FGT FIRM ZONE 3 MOBILE BAY-DES'!V136-40-25-60-100</f>
        <v>53.48399999999998</v>
      </c>
      <c r="G125" s="86">
        <v>40</v>
      </c>
      <c r="H125" s="83">
        <f t="shared" si="19"/>
        <v>185</v>
      </c>
      <c r="I125" s="83">
        <f t="shared" si="18"/>
        <v>0</v>
      </c>
      <c r="J125" s="86">
        <v>100</v>
      </c>
      <c r="K125" s="86">
        <v>300</v>
      </c>
      <c r="L125" s="83">
        <f t="shared" si="11"/>
        <v>1274</v>
      </c>
      <c r="M125" s="94">
        <v>600</v>
      </c>
      <c r="N125" s="83">
        <f>'[2]FGT NON-FIRM'!P136</f>
        <v>30</v>
      </c>
      <c r="O125" s="86">
        <v>240</v>
      </c>
      <c r="P125" s="86">
        <v>160</v>
      </c>
      <c r="Q125" s="86">
        <f t="shared" si="12"/>
        <v>195</v>
      </c>
      <c r="R125" s="86">
        <f t="shared" si="13"/>
        <v>100</v>
      </c>
      <c r="S125" s="83">
        <f t="shared" si="14"/>
        <v>695</v>
      </c>
      <c r="T125" s="83">
        <f>'[2]GULFSTREAM NON-FIRM'!H136</f>
        <v>50</v>
      </c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</row>
    <row r="126" spans="1:30" ht="15.75" hidden="1" x14ac:dyDescent="0.25">
      <c r="A126" s="13">
        <v>44743</v>
      </c>
      <c r="B126" s="97">
        <v>31</v>
      </c>
      <c r="C126" s="83">
        <f>'[2]FGT PRIMARY FIRM ZONE 1'!V137</f>
        <v>194.20499999999998</v>
      </c>
      <c r="D126" s="83">
        <f>'[2]FGT PRIMARY FIRM ZONE 2'!V137</f>
        <v>267.46600000000001</v>
      </c>
      <c r="E126" s="92">
        <f>'[2]FGT PRIMARY FIRM ZONE 3'!V137</f>
        <v>133.845</v>
      </c>
      <c r="F126" s="83">
        <f>'[2]FGT FIRM ZONE 3 MOBILE BAY-DES'!V137-40-25-60-100</f>
        <v>53.48399999999998</v>
      </c>
      <c r="G126" s="86">
        <v>40</v>
      </c>
      <c r="H126" s="83">
        <f t="shared" si="19"/>
        <v>185</v>
      </c>
      <c r="I126" s="83">
        <f t="shared" si="18"/>
        <v>0</v>
      </c>
      <c r="J126" s="86">
        <v>100</v>
      </c>
      <c r="K126" s="86">
        <v>300</v>
      </c>
      <c r="L126" s="83">
        <f t="shared" si="11"/>
        <v>1274</v>
      </c>
      <c r="M126" s="94">
        <v>600</v>
      </c>
      <c r="N126" s="83">
        <f>'[2]FGT NON-FIRM'!P137</f>
        <v>30</v>
      </c>
      <c r="O126" s="86">
        <v>240</v>
      </c>
      <c r="P126" s="86">
        <v>160</v>
      </c>
      <c r="Q126" s="86">
        <f t="shared" si="12"/>
        <v>195</v>
      </c>
      <c r="R126" s="86">
        <f t="shared" si="13"/>
        <v>100</v>
      </c>
      <c r="S126" s="83">
        <f t="shared" si="14"/>
        <v>695</v>
      </c>
      <c r="T126" s="83">
        <f>'[2]GULFSTREAM NON-FIRM'!H137</f>
        <v>0</v>
      </c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</row>
    <row r="127" spans="1:30" ht="15.75" hidden="1" x14ac:dyDescent="0.25">
      <c r="A127" s="13">
        <v>44774</v>
      </c>
      <c r="B127" s="97">
        <v>31</v>
      </c>
      <c r="C127" s="83">
        <f>'[2]FGT PRIMARY FIRM ZONE 1'!V138</f>
        <v>194.20499999999998</v>
      </c>
      <c r="D127" s="83">
        <f>'[2]FGT PRIMARY FIRM ZONE 2'!V138</f>
        <v>267.46600000000001</v>
      </c>
      <c r="E127" s="92">
        <f>'[2]FGT PRIMARY FIRM ZONE 3'!V138</f>
        <v>133.845</v>
      </c>
      <c r="F127" s="83">
        <f>'[2]FGT FIRM ZONE 3 MOBILE BAY-DES'!V138-40-25-60-100</f>
        <v>53.48399999999998</v>
      </c>
      <c r="G127" s="86">
        <v>40</v>
      </c>
      <c r="H127" s="83">
        <f t="shared" si="19"/>
        <v>185</v>
      </c>
      <c r="I127" s="83">
        <f t="shared" si="18"/>
        <v>0</v>
      </c>
      <c r="J127" s="86">
        <v>100</v>
      </c>
      <c r="K127" s="86">
        <v>300</v>
      </c>
      <c r="L127" s="83">
        <f t="shared" si="11"/>
        <v>1274</v>
      </c>
      <c r="M127" s="94">
        <v>600</v>
      </c>
      <c r="N127" s="83">
        <f>'[2]FGT NON-FIRM'!P138</f>
        <v>30</v>
      </c>
      <c r="O127" s="86">
        <v>240</v>
      </c>
      <c r="P127" s="86">
        <v>160</v>
      </c>
      <c r="Q127" s="86">
        <f t="shared" si="12"/>
        <v>195</v>
      </c>
      <c r="R127" s="86">
        <f t="shared" si="13"/>
        <v>100</v>
      </c>
      <c r="S127" s="83">
        <f t="shared" si="14"/>
        <v>695</v>
      </c>
      <c r="T127" s="83">
        <f>'[2]GULFSTREAM NON-FIRM'!H138</f>
        <v>0</v>
      </c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</row>
    <row r="128" spans="1:30" ht="15.75" hidden="1" x14ac:dyDescent="0.25">
      <c r="A128" s="13">
        <v>44805</v>
      </c>
      <c r="B128" s="97">
        <v>30</v>
      </c>
      <c r="C128" s="83">
        <f>'[2]FGT PRIMARY FIRM ZONE 1'!V139</f>
        <v>194.20499999999998</v>
      </c>
      <c r="D128" s="83">
        <f>'[2]FGT PRIMARY FIRM ZONE 2'!V139</f>
        <v>267.46600000000001</v>
      </c>
      <c r="E128" s="92">
        <f>'[2]FGT PRIMARY FIRM ZONE 3'!V139</f>
        <v>133.845</v>
      </c>
      <c r="F128" s="83">
        <f>'[2]FGT FIRM ZONE 3 MOBILE BAY-DES'!V139-40-25-60-100</f>
        <v>53.48399999999998</v>
      </c>
      <c r="G128" s="86">
        <v>40</v>
      </c>
      <c r="H128" s="83">
        <f t="shared" si="19"/>
        <v>185</v>
      </c>
      <c r="I128" s="83">
        <f t="shared" si="18"/>
        <v>0</v>
      </c>
      <c r="J128" s="86">
        <v>100</v>
      </c>
      <c r="K128" s="86">
        <v>300</v>
      </c>
      <c r="L128" s="83">
        <f t="shared" si="11"/>
        <v>1274</v>
      </c>
      <c r="M128" s="94">
        <v>600</v>
      </c>
      <c r="N128" s="83">
        <f>'[2]FGT NON-FIRM'!P139</f>
        <v>30</v>
      </c>
      <c r="O128" s="86">
        <v>240</v>
      </c>
      <c r="P128" s="86">
        <v>160</v>
      </c>
      <c r="Q128" s="86">
        <f t="shared" si="12"/>
        <v>195</v>
      </c>
      <c r="R128" s="86">
        <f t="shared" si="13"/>
        <v>100</v>
      </c>
      <c r="S128" s="83">
        <f t="shared" si="14"/>
        <v>695</v>
      </c>
      <c r="T128" s="83">
        <f>'[2]GULFSTREAM NON-FIRM'!H139</f>
        <v>0</v>
      </c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</row>
    <row r="129" spans="1:30" ht="15.75" hidden="1" x14ac:dyDescent="0.25">
      <c r="A129" s="13">
        <v>44835</v>
      </c>
      <c r="B129" s="97">
        <v>31</v>
      </c>
      <c r="C129" s="83">
        <f>'[2]FGT PRIMARY FIRM ZONE 1'!V140</f>
        <v>131.881</v>
      </c>
      <c r="D129" s="83">
        <f>'[2]FGT PRIMARY FIRM ZONE 2'!V140</f>
        <v>277.16699999999997</v>
      </c>
      <c r="E129" s="92">
        <f>'[2]FGT PRIMARY FIRM ZONE 3'!V140</f>
        <v>79.08</v>
      </c>
      <c r="F129" s="83">
        <f>'[2]FGT FIRM ZONE 3 MOBILE BAY-DES'!V140-40-25-60-100</f>
        <v>125.87199999999996</v>
      </c>
      <c r="G129" s="86">
        <v>40</v>
      </c>
      <c r="H129" s="83">
        <f t="shared" si="19"/>
        <v>185</v>
      </c>
      <c r="I129" s="83">
        <f t="shared" si="18"/>
        <v>0</v>
      </c>
      <c r="J129" s="86">
        <v>100</v>
      </c>
      <c r="K129" s="86">
        <v>300</v>
      </c>
      <c r="L129" s="83">
        <f t="shared" si="11"/>
        <v>1239</v>
      </c>
      <c r="M129" s="94">
        <v>600</v>
      </c>
      <c r="N129" s="83">
        <f>'[2]FGT NON-FIRM'!P140</f>
        <v>75</v>
      </c>
      <c r="O129" s="86">
        <v>240</v>
      </c>
      <c r="P129" s="86">
        <v>160</v>
      </c>
      <c r="Q129" s="86">
        <f t="shared" si="12"/>
        <v>195</v>
      </c>
      <c r="R129" s="86">
        <f t="shared" si="13"/>
        <v>100</v>
      </c>
      <c r="S129" s="83">
        <f t="shared" si="14"/>
        <v>695</v>
      </c>
      <c r="T129" s="83">
        <f>'[2]GULFSTREAM NON-FIRM'!H140</f>
        <v>0</v>
      </c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</row>
    <row r="130" spans="1:30" ht="15.75" hidden="1" x14ac:dyDescent="0.25">
      <c r="A130" s="13">
        <v>44866</v>
      </c>
      <c r="B130" s="97">
        <v>30</v>
      </c>
      <c r="C130" s="83">
        <f>'[2]FGT PRIMARY FIRM ZONE 1'!V141</f>
        <v>122.58</v>
      </c>
      <c r="D130" s="83">
        <f>'[2]FGT PRIMARY FIRM ZONE 2'!V141</f>
        <v>297.94100000000003</v>
      </c>
      <c r="E130" s="92">
        <f>'[2]FGT PRIMARY FIRM ZONE 3'!V141</f>
        <v>89.177000000000007</v>
      </c>
      <c r="F130" s="83">
        <f>'[2]FGT FIRM ZONE 3 MOBILE BAY-DES'!V141-40-60-100</f>
        <v>40.301999999999992</v>
      </c>
      <c r="G130" s="86">
        <v>40</v>
      </c>
      <c r="H130" s="83">
        <f>60+100</f>
        <v>160</v>
      </c>
      <c r="I130" s="83">
        <f t="shared" si="18"/>
        <v>0</v>
      </c>
      <c r="J130" s="86">
        <v>100</v>
      </c>
      <c r="K130" s="86">
        <v>300</v>
      </c>
      <c r="L130" s="83">
        <f t="shared" si="11"/>
        <v>1150</v>
      </c>
      <c r="M130" s="94">
        <v>600</v>
      </c>
      <c r="N130" s="83">
        <f>'[2]FGT NON-FIRM'!P141</f>
        <v>100</v>
      </c>
      <c r="O130" s="86">
        <v>240</v>
      </c>
      <c r="P130" s="86">
        <v>40</v>
      </c>
      <c r="Q130" s="86">
        <f t="shared" si="12"/>
        <v>315</v>
      </c>
      <c r="R130" s="86">
        <f t="shared" si="13"/>
        <v>100</v>
      </c>
      <c r="S130" s="83">
        <f t="shared" si="14"/>
        <v>695</v>
      </c>
      <c r="T130" s="83">
        <f>'[2]GULFSTREAM NON-FIRM'!H141</f>
        <v>50</v>
      </c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</row>
    <row r="131" spans="1:30" ht="15.75" hidden="1" x14ac:dyDescent="0.25">
      <c r="A131" s="13">
        <v>44896</v>
      </c>
      <c r="B131" s="97">
        <v>31</v>
      </c>
      <c r="C131" s="83">
        <f>'[2]FGT PRIMARY FIRM ZONE 1'!V142</f>
        <v>122.58</v>
      </c>
      <c r="D131" s="83">
        <f>'[2]FGT PRIMARY FIRM ZONE 2'!V142</f>
        <v>297.94100000000003</v>
      </c>
      <c r="E131" s="92">
        <f>'[2]FGT PRIMARY FIRM ZONE 3'!V142</f>
        <v>89.177000000000007</v>
      </c>
      <c r="F131" s="83">
        <f>'[2]FGT FIRM ZONE 3 MOBILE BAY-DES'!V142-40-60-100</f>
        <v>40.301999999999992</v>
      </c>
      <c r="G131" s="86">
        <v>40</v>
      </c>
      <c r="H131" s="83">
        <f>60+100</f>
        <v>160</v>
      </c>
      <c r="I131" s="83">
        <f t="shared" si="18"/>
        <v>0</v>
      </c>
      <c r="J131" s="86">
        <v>100</v>
      </c>
      <c r="K131" s="86">
        <v>300</v>
      </c>
      <c r="L131" s="83">
        <f t="shared" si="11"/>
        <v>1150</v>
      </c>
      <c r="M131" s="94">
        <v>600</v>
      </c>
      <c r="N131" s="83">
        <f>'[2]FGT NON-FIRM'!P142</f>
        <v>100</v>
      </c>
      <c r="O131" s="86">
        <v>240</v>
      </c>
      <c r="P131" s="86">
        <v>40</v>
      </c>
      <c r="Q131" s="86">
        <f t="shared" si="12"/>
        <v>315</v>
      </c>
      <c r="R131" s="86">
        <f t="shared" si="13"/>
        <v>100</v>
      </c>
      <c r="S131" s="83">
        <f t="shared" si="14"/>
        <v>695</v>
      </c>
      <c r="T131" s="83">
        <f>'[2]GULFSTREAM NON-FIRM'!H142</f>
        <v>50</v>
      </c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</row>
    <row r="132" spans="1:30" ht="15.75" hidden="1" x14ac:dyDescent="0.25">
      <c r="A132" s="13">
        <v>44927</v>
      </c>
      <c r="B132" s="97">
        <v>31</v>
      </c>
      <c r="C132" s="83">
        <f>'[2]FGT PRIMARY FIRM ZONE 1'!V143</f>
        <v>122.58</v>
      </c>
      <c r="D132" s="83">
        <f>'[2]FGT PRIMARY FIRM ZONE 2'!V143</f>
        <v>297.94100000000003</v>
      </c>
      <c r="E132" s="92">
        <f>'[2]FGT PRIMARY FIRM ZONE 3'!V143</f>
        <v>89.177000000000007</v>
      </c>
      <c r="F132" s="83">
        <f>'[2]FGT FIRM ZONE 3 MOBILE BAY-DES'!V143-40-60-100</f>
        <v>40.301999999999992</v>
      </c>
      <c r="G132" s="86">
        <v>40</v>
      </c>
      <c r="H132" s="83">
        <f>60+100</f>
        <v>160</v>
      </c>
      <c r="I132" s="83">
        <f t="shared" si="18"/>
        <v>0</v>
      </c>
      <c r="J132" s="86">
        <v>100</v>
      </c>
      <c r="K132" s="86">
        <v>300</v>
      </c>
      <c r="L132" s="83">
        <f t="shared" si="11"/>
        <v>1150</v>
      </c>
      <c r="M132" s="94">
        <v>600</v>
      </c>
      <c r="N132" s="83">
        <f>'[2]FGT NON-FIRM'!P143</f>
        <v>100</v>
      </c>
      <c r="O132" s="86">
        <v>240</v>
      </c>
      <c r="P132" s="86">
        <v>40</v>
      </c>
      <c r="Q132" s="86">
        <f t="shared" si="12"/>
        <v>315</v>
      </c>
      <c r="R132" s="86">
        <f t="shared" si="13"/>
        <v>100</v>
      </c>
      <c r="S132" s="83">
        <f t="shared" si="14"/>
        <v>695</v>
      </c>
      <c r="T132" s="83">
        <f>'[2]GULFSTREAM NON-FIRM'!H143</f>
        <v>50</v>
      </c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</row>
    <row r="133" spans="1:30" ht="15.75" hidden="1" x14ac:dyDescent="0.25">
      <c r="A133" s="13">
        <v>44958</v>
      </c>
      <c r="B133" s="97">
        <v>28</v>
      </c>
      <c r="C133" s="83">
        <f>'[2]FGT PRIMARY FIRM ZONE 1'!V144</f>
        <v>122.58</v>
      </c>
      <c r="D133" s="83">
        <f>'[2]FGT PRIMARY FIRM ZONE 2'!V144</f>
        <v>297.94100000000003</v>
      </c>
      <c r="E133" s="92">
        <f>'[2]FGT PRIMARY FIRM ZONE 3'!V144</f>
        <v>89.177000000000007</v>
      </c>
      <c r="F133" s="83">
        <f>'[2]FGT FIRM ZONE 3 MOBILE BAY-DES'!V144-40-60-100</f>
        <v>40.301999999999992</v>
      </c>
      <c r="G133" s="86">
        <v>40</v>
      </c>
      <c r="H133" s="83">
        <f>60+100</f>
        <v>160</v>
      </c>
      <c r="I133" s="83">
        <f t="shared" si="18"/>
        <v>0</v>
      </c>
      <c r="J133" s="86">
        <v>100</v>
      </c>
      <c r="K133" s="86">
        <v>300</v>
      </c>
      <c r="L133" s="83">
        <f t="shared" si="11"/>
        <v>1150</v>
      </c>
      <c r="M133" s="94">
        <v>600</v>
      </c>
      <c r="N133" s="83">
        <f>'[2]FGT NON-FIRM'!P144</f>
        <v>100</v>
      </c>
      <c r="O133" s="86">
        <v>240</v>
      </c>
      <c r="P133" s="86">
        <v>40</v>
      </c>
      <c r="Q133" s="86">
        <f t="shared" si="12"/>
        <v>315</v>
      </c>
      <c r="R133" s="86">
        <f t="shared" si="13"/>
        <v>100</v>
      </c>
      <c r="S133" s="83">
        <f t="shared" si="14"/>
        <v>695</v>
      </c>
      <c r="T133" s="83">
        <f>'[2]GULFSTREAM NON-FIRM'!H144</f>
        <v>50</v>
      </c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</row>
    <row r="134" spans="1:30" ht="15.75" hidden="1" x14ac:dyDescent="0.25">
      <c r="A134" s="13">
        <v>44986</v>
      </c>
      <c r="B134" s="97">
        <v>31</v>
      </c>
      <c r="C134" s="83">
        <f>'[2]FGT PRIMARY FIRM ZONE 1'!V145</f>
        <v>122.58</v>
      </c>
      <c r="D134" s="83">
        <f>'[2]FGT PRIMARY FIRM ZONE 2'!V145</f>
        <v>297.94100000000003</v>
      </c>
      <c r="E134" s="92">
        <f>'[2]FGT PRIMARY FIRM ZONE 3'!V145</f>
        <v>89.177000000000007</v>
      </c>
      <c r="F134" s="83">
        <f>'[2]FGT FIRM ZONE 3 MOBILE BAY-DES'!V145-40-60-100</f>
        <v>40.301999999999992</v>
      </c>
      <c r="G134" s="86">
        <v>40</v>
      </c>
      <c r="H134" s="83">
        <f>60+100</f>
        <v>160</v>
      </c>
      <c r="I134" s="83">
        <f t="shared" si="18"/>
        <v>0</v>
      </c>
      <c r="J134" s="86">
        <v>100</v>
      </c>
      <c r="K134" s="86">
        <v>300</v>
      </c>
      <c r="L134" s="83">
        <f t="shared" si="11"/>
        <v>1150</v>
      </c>
      <c r="M134" s="94">
        <v>600</v>
      </c>
      <c r="N134" s="83">
        <f>'[2]FGT NON-FIRM'!P145</f>
        <v>100</v>
      </c>
      <c r="O134" s="86">
        <v>240</v>
      </c>
      <c r="P134" s="86">
        <v>40</v>
      </c>
      <c r="Q134" s="86">
        <f t="shared" si="12"/>
        <v>315</v>
      </c>
      <c r="R134" s="86">
        <f t="shared" si="13"/>
        <v>100</v>
      </c>
      <c r="S134" s="83">
        <f t="shared" si="14"/>
        <v>695</v>
      </c>
      <c r="T134" s="83">
        <f>'[2]GULFSTREAM NON-FIRM'!H145</f>
        <v>50</v>
      </c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</row>
    <row r="135" spans="1:30" ht="15.75" hidden="1" x14ac:dyDescent="0.25">
      <c r="A135" s="13">
        <v>45017</v>
      </c>
      <c r="B135" s="97">
        <v>30</v>
      </c>
      <c r="C135" s="83">
        <f>'[2]FGT PRIMARY FIRM ZONE 1'!V146</f>
        <v>141.29300000000001</v>
      </c>
      <c r="D135" s="83">
        <f>'[2]FGT PRIMARY FIRM ZONE 2'!V146</f>
        <v>267.99299999999999</v>
      </c>
      <c r="E135" s="92">
        <f>'[2]FGT PRIMARY FIRM ZONE 3'!V146</f>
        <v>115.01600000000001</v>
      </c>
      <c r="F135" s="83">
        <f>'[2]FGT FIRM ZONE 3 MOBILE BAY-DES'!V146-40-25-60-100</f>
        <v>89.698000000000036</v>
      </c>
      <c r="G135" s="86">
        <v>40</v>
      </c>
      <c r="H135" s="83">
        <f t="shared" ref="H135:H141" si="20">25+60+100</f>
        <v>185</v>
      </c>
      <c r="I135" s="83">
        <f t="shared" si="18"/>
        <v>0</v>
      </c>
      <c r="J135" s="86">
        <v>100</v>
      </c>
      <c r="K135" s="86">
        <v>300</v>
      </c>
      <c r="L135" s="83">
        <f t="shared" si="11"/>
        <v>1239</v>
      </c>
      <c r="M135" s="94">
        <v>600</v>
      </c>
      <c r="N135" s="83">
        <f>'[2]FGT NON-FIRM'!P146</f>
        <v>100</v>
      </c>
      <c r="O135" s="86">
        <v>240</v>
      </c>
      <c r="P135" s="86">
        <v>160</v>
      </c>
      <c r="Q135" s="86">
        <f t="shared" si="12"/>
        <v>195</v>
      </c>
      <c r="R135" s="86">
        <f t="shared" si="13"/>
        <v>100</v>
      </c>
      <c r="S135" s="83">
        <f t="shared" si="14"/>
        <v>695</v>
      </c>
      <c r="T135" s="83">
        <f>'[2]GULFSTREAM NON-FIRM'!H146</f>
        <v>50</v>
      </c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</row>
    <row r="136" spans="1:30" ht="15.75" hidden="1" x14ac:dyDescent="0.25">
      <c r="A136" s="13">
        <v>45047</v>
      </c>
      <c r="B136" s="97">
        <v>31</v>
      </c>
      <c r="C136" s="83">
        <f>'[2]FGT PRIMARY FIRM ZONE 1'!V147</f>
        <v>194.20499999999998</v>
      </c>
      <c r="D136" s="83">
        <f>'[2]FGT PRIMARY FIRM ZONE 2'!V147</f>
        <v>267.46600000000001</v>
      </c>
      <c r="E136" s="92">
        <f>'[2]FGT PRIMARY FIRM ZONE 3'!V147</f>
        <v>133.845</v>
      </c>
      <c r="F136" s="83">
        <f>'[2]FGT FIRM ZONE 3 MOBILE BAY-DES'!V147-40-25-60-100</f>
        <v>53.48399999999998</v>
      </c>
      <c r="G136" s="86">
        <v>40</v>
      </c>
      <c r="H136" s="83">
        <f t="shared" si="20"/>
        <v>185</v>
      </c>
      <c r="I136" s="83">
        <f t="shared" si="18"/>
        <v>0</v>
      </c>
      <c r="J136" s="86">
        <v>100</v>
      </c>
      <c r="K136" s="86">
        <v>300</v>
      </c>
      <c r="L136" s="83">
        <f t="shared" si="11"/>
        <v>1274</v>
      </c>
      <c r="M136" s="94">
        <v>600</v>
      </c>
      <c r="N136" s="83">
        <f>'[2]FGT NON-FIRM'!P147</f>
        <v>75</v>
      </c>
      <c r="O136" s="86">
        <v>240</v>
      </c>
      <c r="P136" s="86">
        <v>160</v>
      </c>
      <c r="Q136" s="86">
        <f t="shared" si="12"/>
        <v>195</v>
      </c>
      <c r="R136" s="86">
        <f t="shared" si="13"/>
        <v>100</v>
      </c>
      <c r="S136" s="83">
        <f t="shared" si="14"/>
        <v>695</v>
      </c>
      <c r="T136" s="83">
        <f>'[2]GULFSTREAM NON-FIRM'!H147</f>
        <v>50</v>
      </c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</row>
    <row r="137" spans="1:30" ht="15.75" hidden="1" x14ac:dyDescent="0.25">
      <c r="A137" s="13">
        <v>45078</v>
      </c>
      <c r="B137" s="97">
        <v>30</v>
      </c>
      <c r="C137" s="83">
        <f>'[2]FGT PRIMARY FIRM ZONE 1'!V148</f>
        <v>194.20499999999998</v>
      </c>
      <c r="D137" s="83">
        <f>'[2]FGT PRIMARY FIRM ZONE 2'!V148</f>
        <v>267.46600000000001</v>
      </c>
      <c r="E137" s="92">
        <f>'[2]FGT PRIMARY FIRM ZONE 3'!V148</f>
        <v>133.845</v>
      </c>
      <c r="F137" s="83">
        <f>'[2]FGT FIRM ZONE 3 MOBILE BAY-DES'!V148-40-25-60-100</f>
        <v>53.48399999999998</v>
      </c>
      <c r="G137" s="86">
        <v>40</v>
      </c>
      <c r="H137" s="83">
        <f t="shared" si="20"/>
        <v>185</v>
      </c>
      <c r="I137" s="83">
        <f t="shared" si="18"/>
        <v>0</v>
      </c>
      <c r="J137" s="86">
        <v>100</v>
      </c>
      <c r="K137" s="86">
        <v>300</v>
      </c>
      <c r="L137" s="83">
        <f t="shared" si="11"/>
        <v>1274</v>
      </c>
      <c r="M137" s="94">
        <v>600</v>
      </c>
      <c r="N137" s="83">
        <f>'[2]FGT NON-FIRM'!P148</f>
        <v>30</v>
      </c>
      <c r="O137" s="86">
        <v>240</v>
      </c>
      <c r="P137" s="86">
        <v>160</v>
      </c>
      <c r="Q137" s="86">
        <f t="shared" si="12"/>
        <v>195</v>
      </c>
      <c r="R137" s="86">
        <f t="shared" si="13"/>
        <v>100</v>
      </c>
      <c r="S137" s="83">
        <f t="shared" si="14"/>
        <v>695</v>
      </c>
      <c r="T137" s="83">
        <f>'[2]GULFSTREAM NON-FIRM'!H148</f>
        <v>50</v>
      </c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</row>
    <row r="138" spans="1:30" ht="15.75" hidden="1" x14ac:dyDescent="0.25">
      <c r="A138" s="13">
        <v>45108</v>
      </c>
      <c r="B138" s="97">
        <v>31</v>
      </c>
      <c r="C138" s="83">
        <f>'[2]FGT PRIMARY FIRM ZONE 1'!V149</f>
        <v>194.20499999999998</v>
      </c>
      <c r="D138" s="83">
        <f>'[2]FGT PRIMARY FIRM ZONE 2'!V149</f>
        <v>267.46600000000001</v>
      </c>
      <c r="E138" s="92">
        <f>'[2]FGT PRIMARY FIRM ZONE 3'!V149</f>
        <v>133.845</v>
      </c>
      <c r="F138" s="83">
        <f>'[2]FGT FIRM ZONE 3 MOBILE BAY-DES'!V149-40-25-60-100</f>
        <v>53.48399999999998</v>
      </c>
      <c r="G138" s="86">
        <v>40</v>
      </c>
      <c r="H138" s="83">
        <f t="shared" si="20"/>
        <v>185</v>
      </c>
      <c r="I138" s="83">
        <f t="shared" si="18"/>
        <v>0</v>
      </c>
      <c r="J138" s="86">
        <v>100</v>
      </c>
      <c r="K138" s="86">
        <v>300</v>
      </c>
      <c r="L138" s="83">
        <f t="shared" si="11"/>
        <v>1274</v>
      </c>
      <c r="M138" s="94">
        <v>600</v>
      </c>
      <c r="N138" s="83">
        <f>'[2]FGT NON-FIRM'!P149</f>
        <v>30</v>
      </c>
      <c r="O138" s="86">
        <v>240</v>
      </c>
      <c r="P138" s="86">
        <v>160</v>
      </c>
      <c r="Q138" s="86">
        <f t="shared" si="12"/>
        <v>195</v>
      </c>
      <c r="R138" s="86">
        <f t="shared" si="13"/>
        <v>100</v>
      </c>
      <c r="S138" s="83">
        <f t="shared" si="14"/>
        <v>695</v>
      </c>
      <c r="T138" s="83">
        <f>'[2]GULFSTREAM NON-FIRM'!H149</f>
        <v>0</v>
      </c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</row>
    <row r="139" spans="1:30" ht="15.75" hidden="1" x14ac:dyDescent="0.25">
      <c r="A139" s="13">
        <v>45139</v>
      </c>
      <c r="B139" s="97">
        <v>31</v>
      </c>
      <c r="C139" s="83">
        <f>'[2]FGT PRIMARY FIRM ZONE 1'!V150</f>
        <v>194.20499999999998</v>
      </c>
      <c r="D139" s="83">
        <f>'[2]FGT PRIMARY FIRM ZONE 2'!V150</f>
        <v>267.46600000000001</v>
      </c>
      <c r="E139" s="92">
        <f>'[2]FGT PRIMARY FIRM ZONE 3'!V150</f>
        <v>133.845</v>
      </c>
      <c r="F139" s="83">
        <f>'[2]FGT FIRM ZONE 3 MOBILE BAY-DES'!V150-40-25-60-100</f>
        <v>53.48399999999998</v>
      </c>
      <c r="G139" s="86">
        <v>40</v>
      </c>
      <c r="H139" s="83">
        <f t="shared" si="20"/>
        <v>185</v>
      </c>
      <c r="I139" s="83">
        <f t="shared" si="18"/>
        <v>0</v>
      </c>
      <c r="J139" s="86">
        <v>100</v>
      </c>
      <c r="K139" s="86">
        <v>300</v>
      </c>
      <c r="L139" s="83">
        <f t="shared" si="11"/>
        <v>1274</v>
      </c>
      <c r="M139" s="94">
        <v>600</v>
      </c>
      <c r="N139" s="83">
        <f>'[2]FGT NON-FIRM'!P150</f>
        <v>30</v>
      </c>
      <c r="O139" s="86">
        <v>240</v>
      </c>
      <c r="P139" s="86">
        <v>160</v>
      </c>
      <c r="Q139" s="86">
        <f t="shared" si="12"/>
        <v>195</v>
      </c>
      <c r="R139" s="86">
        <f t="shared" si="13"/>
        <v>100</v>
      </c>
      <c r="S139" s="83">
        <f t="shared" si="14"/>
        <v>695</v>
      </c>
      <c r="T139" s="83">
        <f>'[2]GULFSTREAM NON-FIRM'!H150</f>
        <v>0</v>
      </c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</row>
    <row r="140" spans="1:30" ht="15.75" hidden="1" x14ac:dyDescent="0.25">
      <c r="A140" s="13">
        <v>45170</v>
      </c>
      <c r="B140" s="97">
        <v>30</v>
      </c>
      <c r="C140" s="83">
        <f>'[2]FGT PRIMARY FIRM ZONE 1'!V151</f>
        <v>194.20499999999998</v>
      </c>
      <c r="D140" s="83">
        <f>'[2]FGT PRIMARY FIRM ZONE 2'!V151</f>
        <v>267.46600000000001</v>
      </c>
      <c r="E140" s="92">
        <f>'[2]FGT PRIMARY FIRM ZONE 3'!V151</f>
        <v>133.845</v>
      </c>
      <c r="F140" s="83">
        <f>'[2]FGT FIRM ZONE 3 MOBILE BAY-DES'!V151-40-25-60-100</f>
        <v>53.48399999999998</v>
      </c>
      <c r="G140" s="86">
        <v>40</v>
      </c>
      <c r="H140" s="83">
        <f t="shared" si="20"/>
        <v>185</v>
      </c>
      <c r="I140" s="83">
        <f t="shared" si="18"/>
        <v>0</v>
      </c>
      <c r="J140" s="86">
        <v>100</v>
      </c>
      <c r="K140" s="86">
        <v>300</v>
      </c>
      <c r="L140" s="83">
        <f t="shared" si="11"/>
        <v>1274</v>
      </c>
      <c r="M140" s="94">
        <v>600</v>
      </c>
      <c r="N140" s="83">
        <f>'[2]FGT NON-FIRM'!P151</f>
        <v>30</v>
      </c>
      <c r="O140" s="86">
        <v>240</v>
      </c>
      <c r="P140" s="86">
        <v>160</v>
      </c>
      <c r="Q140" s="86">
        <f t="shared" si="12"/>
        <v>195</v>
      </c>
      <c r="R140" s="86">
        <f t="shared" si="13"/>
        <v>100</v>
      </c>
      <c r="S140" s="83">
        <f t="shared" si="14"/>
        <v>695</v>
      </c>
      <c r="T140" s="83">
        <f>'[2]GULFSTREAM NON-FIRM'!H151</f>
        <v>0</v>
      </c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</row>
    <row r="141" spans="1:30" ht="15.75" hidden="1" x14ac:dyDescent="0.25">
      <c r="A141" s="13">
        <v>45200</v>
      </c>
      <c r="B141" s="97">
        <v>31</v>
      </c>
      <c r="C141" s="83">
        <f>'[2]FGT PRIMARY FIRM ZONE 1'!V152</f>
        <v>131.881</v>
      </c>
      <c r="D141" s="83">
        <f>'[2]FGT PRIMARY FIRM ZONE 2'!V152</f>
        <v>277.16699999999997</v>
      </c>
      <c r="E141" s="92">
        <f>'[2]FGT PRIMARY FIRM ZONE 3'!V152</f>
        <v>79.08</v>
      </c>
      <c r="F141" s="83">
        <f>'[2]FGT FIRM ZONE 3 MOBILE BAY-DES'!V152-40-25-60-100</f>
        <v>125.87199999999996</v>
      </c>
      <c r="G141" s="86">
        <v>40</v>
      </c>
      <c r="H141" s="83">
        <f t="shared" si="20"/>
        <v>185</v>
      </c>
      <c r="I141" s="83">
        <f t="shared" si="18"/>
        <v>0</v>
      </c>
      <c r="J141" s="86">
        <v>100</v>
      </c>
      <c r="K141" s="86">
        <v>300</v>
      </c>
      <c r="L141" s="83">
        <f t="shared" si="11"/>
        <v>1239</v>
      </c>
      <c r="M141" s="94">
        <v>600</v>
      </c>
      <c r="N141" s="83">
        <f>'[2]FGT NON-FIRM'!P152</f>
        <v>75</v>
      </c>
      <c r="O141" s="86">
        <v>240</v>
      </c>
      <c r="P141" s="86">
        <v>160</v>
      </c>
      <c r="Q141" s="86">
        <f t="shared" si="12"/>
        <v>195</v>
      </c>
      <c r="R141" s="86">
        <f t="shared" si="13"/>
        <v>100</v>
      </c>
      <c r="S141" s="83">
        <f t="shared" si="14"/>
        <v>695</v>
      </c>
      <c r="T141" s="83">
        <f>'[2]GULFSTREAM NON-FIRM'!H152</f>
        <v>0</v>
      </c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</row>
    <row r="142" spans="1:30" ht="15.75" hidden="1" x14ac:dyDescent="0.25">
      <c r="A142" s="13">
        <v>45231</v>
      </c>
      <c r="B142" s="97">
        <v>30</v>
      </c>
      <c r="C142" s="83">
        <f>'[2]FGT PRIMARY FIRM ZONE 1'!V153</f>
        <v>122.58</v>
      </c>
      <c r="D142" s="83">
        <f>'[2]FGT PRIMARY FIRM ZONE 2'!V153</f>
        <v>297.94100000000003</v>
      </c>
      <c r="E142" s="92">
        <f>'[2]FGT PRIMARY FIRM ZONE 3'!V153</f>
        <v>89.177000000000007</v>
      </c>
      <c r="F142" s="83">
        <f>'[2]FGT FIRM ZONE 3 MOBILE BAY-DES'!V153-40-60-100</f>
        <v>40.301999999999992</v>
      </c>
      <c r="G142" s="86">
        <v>40</v>
      </c>
      <c r="H142" s="83">
        <f>60+100</f>
        <v>160</v>
      </c>
      <c r="I142" s="83">
        <f t="shared" si="18"/>
        <v>0</v>
      </c>
      <c r="J142" s="86">
        <v>100</v>
      </c>
      <c r="K142" s="86">
        <v>300</v>
      </c>
      <c r="L142" s="83">
        <f t="shared" si="11"/>
        <v>1150</v>
      </c>
      <c r="M142" s="94">
        <v>600</v>
      </c>
      <c r="N142" s="83">
        <f>'[2]FGT NON-FIRM'!P153</f>
        <v>100</v>
      </c>
      <c r="O142" s="86">
        <v>240</v>
      </c>
      <c r="P142" s="86">
        <v>40</v>
      </c>
      <c r="Q142" s="86">
        <f t="shared" si="12"/>
        <v>315</v>
      </c>
      <c r="R142" s="86">
        <f t="shared" si="13"/>
        <v>100</v>
      </c>
      <c r="S142" s="83">
        <f t="shared" si="14"/>
        <v>695</v>
      </c>
      <c r="T142" s="83">
        <f>'[2]GULFSTREAM NON-FIRM'!H153</f>
        <v>50</v>
      </c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</row>
    <row r="143" spans="1:30" ht="15.75" hidden="1" x14ac:dyDescent="0.25">
      <c r="A143" s="13">
        <v>45261</v>
      </c>
      <c r="B143" s="97">
        <v>31</v>
      </c>
      <c r="C143" s="83">
        <f>'[2]FGT PRIMARY FIRM ZONE 1'!V154</f>
        <v>122.58</v>
      </c>
      <c r="D143" s="83">
        <f>'[2]FGT PRIMARY FIRM ZONE 2'!V154</f>
        <v>297.94100000000003</v>
      </c>
      <c r="E143" s="92">
        <f>'[2]FGT PRIMARY FIRM ZONE 3'!V154</f>
        <v>89.177000000000007</v>
      </c>
      <c r="F143" s="83">
        <f>'[2]FGT FIRM ZONE 3 MOBILE BAY-DES'!V154-40-60-100</f>
        <v>40.301999999999992</v>
      </c>
      <c r="G143" s="86">
        <v>40</v>
      </c>
      <c r="H143" s="83">
        <f>60+100</f>
        <v>160</v>
      </c>
      <c r="I143" s="83">
        <f t="shared" si="18"/>
        <v>0</v>
      </c>
      <c r="J143" s="86">
        <v>100</v>
      </c>
      <c r="K143" s="86">
        <v>300</v>
      </c>
      <c r="L143" s="83">
        <f t="shared" si="11"/>
        <v>1150</v>
      </c>
      <c r="M143" s="94">
        <v>600</v>
      </c>
      <c r="N143" s="83">
        <f>'[2]FGT NON-FIRM'!P154</f>
        <v>100</v>
      </c>
      <c r="O143" s="86">
        <v>240</v>
      </c>
      <c r="P143" s="86">
        <v>40</v>
      </c>
      <c r="Q143" s="86">
        <f t="shared" si="12"/>
        <v>315</v>
      </c>
      <c r="R143" s="86">
        <f t="shared" si="13"/>
        <v>100</v>
      </c>
      <c r="S143" s="83">
        <f t="shared" si="14"/>
        <v>695</v>
      </c>
      <c r="T143" s="83">
        <f>'[2]GULFSTREAM NON-FIRM'!H154</f>
        <v>50</v>
      </c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</row>
    <row r="144" spans="1:30" ht="15.75" hidden="1" x14ac:dyDescent="0.25">
      <c r="A144" s="13">
        <v>45292</v>
      </c>
      <c r="B144" s="97">
        <v>31</v>
      </c>
      <c r="C144" s="83">
        <f>'[2]FGT PRIMARY FIRM ZONE 1'!V155</f>
        <v>122.58</v>
      </c>
      <c r="D144" s="83">
        <f>'[2]FGT PRIMARY FIRM ZONE 2'!V155</f>
        <v>297.94100000000003</v>
      </c>
      <c r="E144" s="92">
        <f>'[2]FGT PRIMARY FIRM ZONE 3'!V155</f>
        <v>89.177000000000007</v>
      </c>
      <c r="F144" s="83">
        <f>'[2]FGT FIRM ZONE 3 MOBILE BAY-DES'!V155-40-60-100</f>
        <v>40.301999999999992</v>
      </c>
      <c r="G144" s="86">
        <v>40</v>
      </c>
      <c r="H144" s="83">
        <f>60+100</f>
        <v>160</v>
      </c>
      <c r="I144" s="83">
        <f t="shared" si="18"/>
        <v>0</v>
      </c>
      <c r="J144" s="86">
        <v>100</v>
      </c>
      <c r="K144" s="86">
        <v>300</v>
      </c>
      <c r="L144" s="83">
        <f t="shared" si="11"/>
        <v>1150</v>
      </c>
      <c r="M144" s="94">
        <v>600</v>
      </c>
      <c r="N144" s="83">
        <f>'[2]FGT NON-FIRM'!P155</f>
        <v>100</v>
      </c>
      <c r="O144" s="86">
        <v>240</v>
      </c>
      <c r="P144" s="86">
        <v>40</v>
      </c>
      <c r="Q144" s="86">
        <f t="shared" si="12"/>
        <v>315</v>
      </c>
      <c r="R144" s="86">
        <f t="shared" si="13"/>
        <v>100</v>
      </c>
      <c r="S144" s="83">
        <f t="shared" si="14"/>
        <v>695</v>
      </c>
      <c r="T144" s="83">
        <f>'[2]GULFSTREAM NON-FIRM'!H155</f>
        <v>50</v>
      </c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</row>
    <row r="145" spans="1:30" ht="15.75" hidden="1" x14ac:dyDescent="0.25">
      <c r="A145" s="13">
        <v>45323</v>
      </c>
      <c r="B145" s="97">
        <v>29</v>
      </c>
      <c r="C145" s="83">
        <f>'[2]FGT PRIMARY FIRM ZONE 1'!V156</f>
        <v>122.58</v>
      </c>
      <c r="D145" s="83">
        <f>'[2]FGT PRIMARY FIRM ZONE 2'!V156</f>
        <v>297.94100000000003</v>
      </c>
      <c r="E145" s="92">
        <f>'[2]FGT PRIMARY FIRM ZONE 3'!V156</f>
        <v>89.177000000000007</v>
      </c>
      <c r="F145" s="83">
        <f>'[2]FGT FIRM ZONE 3 MOBILE BAY-DES'!V156-40-60-100</f>
        <v>40.301999999999992</v>
      </c>
      <c r="G145" s="86">
        <v>40</v>
      </c>
      <c r="H145" s="83">
        <f>60+100</f>
        <v>160</v>
      </c>
      <c r="I145" s="83">
        <f t="shared" si="18"/>
        <v>0</v>
      </c>
      <c r="J145" s="86">
        <v>100</v>
      </c>
      <c r="K145" s="86">
        <v>300</v>
      </c>
      <c r="L145" s="83">
        <f t="shared" si="11"/>
        <v>1150</v>
      </c>
      <c r="M145" s="94">
        <v>600</v>
      </c>
      <c r="N145" s="83">
        <f>'[2]FGT NON-FIRM'!P156</f>
        <v>100</v>
      </c>
      <c r="O145" s="86">
        <v>240</v>
      </c>
      <c r="P145" s="86">
        <v>40</v>
      </c>
      <c r="Q145" s="86">
        <f t="shared" si="12"/>
        <v>315</v>
      </c>
      <c r="R145" s="86">
        <f t="shared" si="13"/>
        <v>100</v>
      </c>
      <c r="S145" s="83">
        <f t="shared" si="14"/>
        <v>695</v>
      </c>
      <c r="T145" s="83">
        <f>'[2]GULFSTREAM NON-FIRM'!H156</f>
        <v>50</v>
      </c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</row>
    <row r="146" spans="1:30" ht="15.75" hidden="1" x14ac:dyDescent="0.25">
      <c r="A146" s="13">
        <v>45352</v>
      </c>
      <c r="B146" s="97">
        <v>31</v>
      </c>
      <c r="C146" s="83">
        <f>'[2]FGT PRIMARY FIRM ZONE 1'!V157</f>
        <v>122.58</v>
      </c>
      <c r="D146" s="83">
        <f>'[2]FGT PRIMARY FIRM ZONE 2'!V157</f>
        <v>297.94100000000003</v>
      </c>
      <c r="E146" s="92">
        <f>'[2]FGT PRIMARY FIRM ZONE 3'!V157</f>
        <v>89.177000000000007</v>
      </c>
      <c r="F146" s="83">
        <f>'[2]FGT FIRM ZONE 3 MOBILE BAY-DES'!V157-40-60-100</f>
        <v>40.301999999999992</v>
      </c>
      <c r="G146" s="86">
        <v>40</v>
      </c>
      <c r="H146" s="83">
        <f>60+100</f>
        <v>160</v>
      </c>
      <c r="I146" s="83">
        <f t="shared" si="18"/>
        <v>0</v>
      </c>
      <c r="J146" s="86">
        <v>100</v>
      </c>
      <c r="K146" s="86">
        <v>300</v>
      </c>
      <c r="L146" s="83">
        <f t="shared" si="11"/>
        <v>1150</v>
      </c>
      <c r="M146" s="94">
        <v>600</v>
      </c>
      <c r="N146" s="83">
        <f>'[2]FGT NON-FIRM'!P157</f>
        <v>100</v>
      </c>
      <c r="O146" s="86">
        <v>240</v>
      </c>
      <c r="P146" s="86">
        <v>40</v>
      </c>
      <c r="Q146" s="86">
        <f t="shared" si="12"/>
        <v>315</v>
      </c>
      <c r="R146" s="86">
        <f t="shared" si="13"/>
        <v>100</v>
      </c>
      <c r="S146" s="83">
        <f t="shared" si="14"/>
        <v>695</v>
      </c>
      <c r="T146" s="83">
        <f>'[2]GULFSTREAM NON-FIRM'!H157</f>
        <v>50</v>
      </c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</row>
    <row r="147" spans="1:30" ht="15.75" hidden="1" x14ac:dyDescent="0.25">
      <c r="A147" s="13">
        <v>45383</v>
      </c>
      <c r="B147" s="97">
        <v>30</v>
      </c>
      <c r="C147" s="83">
        <f>'[2]FGT PRIMARY FIRM ZONE 1'!V158</f>
        <v>141.29300000000001</v>
      </c>
      <c r="D147" s="83">
        <f>'[2]FGT PRIMARY FIRM ZONE 2'!V158</f>
        <v>267.99299999999999</v>
      </c>
      <c r="E147" s="92">
        <f>'[2]FGT PRIMARY FIRM ZONE 3'!V158</f>
        <v>115.01600000000001</v>
      </c>
      <c r="F147" s="83">
        <f>'[2]FGT FIRM ZONE 3 MOBILE BAY-DES'!V158-40-25-60-100</f>
        <v>89.698000000000036</v>
      </c>
      <c r="G147" s="86">
        <v>40</v>
      </c>
      <c r="H147" s="83">
        <f t="shared" ref="H147:H153" si="21">25+60+100</f>
        <v>185</v>
      </c>
      <c r="I147" s="83">
        <f t="shared" si="18"/>
        <v>0</v>
      </c>
      <c r="J147" s="86">
        <v>100</v>
      </c>
      <c r="K147" s="86">
        <v>300</v>
      </c>
      <c r="L147" s="83">
        <f t="shared" si="11"/>
        <v>1239</v>
      </c>
      <c r="M147" s="94">
        <v>600</v>
      </c>
      <c r="N147" s="83">
        <f>'[2]FGT NON-FIRM'!P158</f>
        <v>100</v>
      </c>
      <c r="O147" s="86">
        <v>240</v>
      </c>
      <c r="P147" s="86">
        <v>160</v>
      </c>
      <c r="Q147" s="86">
        <f t="shared" si="12"/>
        <v>195</v>
      </c>
      <c r="R147" s="86">
        <f t="shared" si="13"/>
        <v>100</v>
      </c>
      <c r="S147" s="83">
        <f t="shared" si="14"/>
        <v>695</v>
      </c>
      <c r="T147" s="83">
        <f>'[2]GULFSTREAM NON-FIRM'!H158</f>
        <v>50</v>
      </c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</row>
    <row r="148" spans="1:30" ht="15.75" hidden="1" x14ac:dyDescent="0.25">
      <c r="A148" s="13">
        <v>45413</v>
      </c>
      <c r="B148" s="97">
        <v>31</v>
      </c>
      <c r="C148" s="83">
        <f>'[2]FGT PRIMARY FIRM ZONE 1'!V159</f>
        <v>194.20499999999998</v>
      </c>
      <c r="D148" s="83">
        <f>'[2]FGT PRIMARY FIRM ZONE 2'!V159</f>
        <v>267.46600000000001</v>
      </c>
      <c r="E148" s="92">
        <f>'[2]FGT PRIMARY FIRM ZONE 3'!V159</f>
        <v>133.845</v>
      </c>
      <c r="F148" s="83">
        <f>'[2]FGT FIRM ZONE 3 MOBILE BAY-DES'!V159-40-25-60-100</f>
        <v>53.48399999999998</v>
      </c>
      <c r="G148" s="86">
        <v>40</v>
      </c>
      <c r="H148" s="83">
        <f t="shared" si="21"/>
        <v>185</v>
      </c>
      <c r="I148" s="83">
        <f t="shared" si="18"/>
        <v>0</v>
      </c>
      <c r="J148" s="86">
        <v>100</v>
      </c>
      <c r="K148" s="86">
        <v>300</v>
      </c>
      <c r="L148" s="83">
        <f t="shared" ref="L148:L211" si="22">SUM(C148:K148)</f>
        <v>1274</v>
      </c>
      <c r="M148" s="94">
        <v>600</v>
      </c>
      <c r="N148" s="83">
        <f>'[2]FGT NON-FIRM'!P159</f>
        <v>75</v>
      </c>
      <c r="O148" s="86">
        <v>240</v>
      </c>
      <c r="P148" s="86">
        <v>160</v>
      </c>
      <c r="Q148" s="86">
        <f t="shared" ref="Q148:Q211" si="23">695-R148-O148-P148</f>
        <v>195</v>
      </c>
      <c r="R148" s="86">
        <f t="shared" ref="R148:R211" si="24">200-J148</f>
        <v>100</v>
      </c>
      <c r="S148" s="83">
        <f t="shared" ref="S148:S211" si="25">SUM(O148:R148)</f>
        <v>695</v>
      </c>
      <c r="T148" s="83">
        <f>'[2]GULFSTREAM NON-FIRM'!H159</f>
        <v>50</v>
      </c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</row>
    <row r="149" spans="1:30" ht="15.75" hidden="1" x14ac:dyDescent="0.25">
      <c r="A149" s="13">
        <v>45444</v>
      </c>
      <c r="B149" s="97">
        <v>30</v>
      </c>
      <c r="C149" s="83">
        <f>'[2]FGT PRIMARY FIRM ZONE 1'!V160</f>
        <v>194.20499999999998</v>
      </c>
      <c r="D149" s="83">
        <f>'[2]FGT PRIMARY FIRM ZONE 2'!V160</f>
        <v>267.46600000000001</v>
      </c>
      <c r="E149" s="92">
        <f>'[2]FGT PRIMARY FIRM ZONE 3'!V160</f>
        <v>133.845</v>
      </c>
      <c r="F149" s="83">
        <f>'[2]FGT FIRM ZONE 3 MOBILE BAY-DES'!V160-40-25-60-100</f>
        <v>53.48399999999998</v>
      </c>
      <c r="G149" s="86">
        <v>40</v>
      </c>
      <c r="H149" s="83">
        <f t="shared" si="21"/>
        <v>185</v>
      </c>
      <c r="I149" s="83">
        <f t="shared" si="18"/>
        <v>0</v>
      </c>
      <c r="J149" s="86">
        <v>100</v>
      </c>
      <c r="K149" s="86">
        <v>300</v>
      </c>
      <c r="L149" s="83">
        <f t="shared" si="22"/>
        <v>1274</v>
      </c>
      <c r="M149" s="94">
        <v>600</v>
      </c>
      <c r="N149" s="83">
        <f>'[2]FGT NON-FIRM'!P160</f>
        <v>30</v>
      </c>
      <c r="O149" s="86">
        <v>240</v>
      </c>
      <c r="P149" s="86">
        <v>160</v>
      </c>
      <c r="Q149" s="86">
        <f t="shared" si="23"/>
        <v>195</v>
      </c>
      <c r="R149" s="86">
        <f t="shared" si="24"/>
        <v>100</v>
      </c>
      <c r="S149" s="83">
        <f t="shared" si="25"/>
        <v>695</v>
      </c>
      <c r="T149" s="83">
        <f>'[2]GULFSTREAM NON-FIRM'!H160</f>
        <v>50</v>
      </c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</row>
    <row r="150" spans="1:30" ht="15.75" hidden="1" x14ac:dyDescent="0.25">
      <c r="A150" s="13">
        <v>45474</v>
      </c>
      <c r="B150" s="97">
        <v>31</v>
      </c>
      <c r="C150" s="83">
        <f>'[2]FGT PRIMARY FIRM ZONE 1'!V161</f>
        <v>194.20499999999998</v>
      </c>
      <c r="D150" s="83">
        <f>'[2]FGT PRIMARY FIRM ZONE 2'!V161</f>
        <v>267.46600000000001</v>
      </c>
      <c r="E150" s="92">
        <f>'[2]FGT PRIMARY FIRM ZONE 3'!V161</f>
        <v>133.845</v>
      </c>
      <c r="F150" s="83">
        <f>'[2]FGT FIRM ZONE 3 MOBILE BAY-DES'!V161-40-25-60-100</f>
        <v>53.48399999999998</v>
      </c>
      <c r="G150" s="86">
        <v>40</v>
      </c>
      <c r="H150" s="83">
        <f t="shared" si="21"/>
        <v>185</v>
      </c>
      <c r="I150" s="83">
        <f t="shared" si="18"/>
        <v>0</v>
      </c>
      <c r="J150" s="86">
        <v>100</v>
      </c>
      <c r="K150" s="86">
        <v>300</v>
      </c>
      <c r="L150" s="83">
        <f t="shared" si="22"/>
        <v>1274</v>
      </c>
      <c r="M150" s="94">
        <v>600</v>
      </c>
      <c r="N150" s="83">
        <f>'[2]FGT NON-FIRM'!P161</f>
        <v>30</v>
      </c>
      <c r="O150" s="86">
        <v>240</v>
      </c>
      <c r="P150" s="86">
        <v>160</v>
      </c>
      <c r="Q150" s="86">
        <f t="shared" si="23"/>
        <v>195</v>
      </c>
      <c r="R150" s="86">
        <f t="shared" si="24"/>
        <v>100</v>
      </c>
      <c r="S150" s="83">
        <f t="shared" si="25"/>
        <v>695</v>
      </c>
      <c r="T150" s="83">
        <f>'[2]GULFSTREAM NON-FIRM'!H161</f>
        <v>0</v>
      </c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</row>
    <row r="151" spans="1:30" ht="15.75" hidden="1" x14ac:dyDescent="0.25">
      <c r="A151" s="13">
        <v>45505</v>
      </c>
      <c r="B151" s="97">
        <v>31</v>
      </c>
      <c r="C151" s="83">
        <f>'[2]FGT PRIMARY FIRM ZONE 1'!V162</f>
        <v>194.20499999999998</v>
      </c>
      <c r="D151" s="83">
        <f>'[2]FGT PRIMARY FIRM ZONE 2'!V162</f>
        <v>267.46600000000001</v>
      </c>
      <c r="E151" s="92">
        <f>'[2]FGT PRIMARY FIRM ZONE 3'!V162</f>
        <v>133.845</v>
      </c>
      <c r="F151" s="83">
        <f>'[2]FGT FIRM ZONE 3 MOBILE BAY-DES'!V162-40-25-60-100</f>
        <v>53.48399999999998</v>
      </c>
      <c r="G151" s="86">
        <v>40</v>
      </c>
      <c r="H151" s="83">
        <f t="shared" si="21"/>
        <v>185</v>
      </c>
      <c r="I151" s="83">
        <f t="shared" si="18"/>
        <v>0</v>
      </c>
      <c r="J151" s="86">
        <v>100</v>
      </c>
      <c r="K151" s="86">
        <v>300</v>
      </c>
      <c r="L151" s="83">
        <f t="shared" si="22"/>
        <v>1274</v>
      </c>
      <c r="M151" s="94">
        <v>600</v>
      </c>
      <c r="N151" s="83">
        <f>'[2]FGT NON-FIRM'!P162</f>
        <v>30</v>
      </c>
      <c r="O151" s="86">
        <v>240</v>
      </c>
      <c r="P151" s="86">
        <v>160</v>
      </c>
      <c r="Q151" s="86">
        <f t="shared" si="23"/>
        <v>195</v>
      </c>
      <c r="R151" s="86">
        <f t="shared" si="24"/>
        <v>100</v>
      </c>
      <c r="S151" s="83">
        <f t="shared" si="25"/>
        <v>695</v>
      </c>
      <c r="T151" s="83">
        <f>'[2]GULFSTREAM NON-FIRM'!H162</f>
        <v>0</v>
      </c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</row>
    <row r="152" spans="1:30" ht="15.75" hidden="1" x14ac:dyDescent="0.25">
      <c r="A152" s="13">
        <v>45536</v>
      </c>
      <c r="B152" s="97">
        <v>30</v>
      </c>
      <c r="C152" s="83">
        <f>'[2]FGT PRIMARY FIRM ZONE 1'!V163</f>
        <v>194.20499999999998</v>
      </c>
      <c r="D152" s="83">
        <f>'[2]FGT PRIMARY FIRM ZONE 2'!V163</f>
        <v>267.46600000000001</v>
      </c>
      <c r="E152" s="92">
        <f>'[2]FGT PRIMARY FIRM ZONE 3'!V163</f>
        <v>133.845</v>
      </c>
      <c r="F152" s="83">
        <f>'[2]FGT FIRM ZONE 3 MOBILE BAY-DES'!V163-40-25-60-100</f>
        <v>53.48399999999998</v>
      </c>
      <c r="G152" s="86">
        <v>40</v>
      </c>
      <c r="H152" s="83">
        <f t="shared" si="21"/>
        <v>185</v>
      </c>
      <c r="I152" s="83">
        <f t="shared" si="18"/>
        <v>0</v>
      </c>
      <c r="J152" s="86">
        <v>100</v>
      </c>
      <c r="K152" s="86">
        <v>300</v>
      </c>
      <c r="L152" s="83">
        <f t="shared" si="22"/>
        <v>1274</v>
      </c>
      <c r="M152" s="94">
        <v>600</v>
      </c>
      <c r="N152" s="83">
        <f>'[2]FGT NON-FIRM'!P163</f>
        <v>30</v>
      </c>
      <c r="O152" s="86">
        <v>240</v>
      </c>
      <c r="P152" s="86">
        <v>160</v>
      </c>
      <c r="Q152" s="86">
        <f t="shared" si="23"/>
        <v>195</v>
      </c>
      <c r="R152" s="86">
        <f t="shared" si="24"/>
        <v>100</v>
      </c>
      <c r="S152" s="83">
        <f t="shared" si="25"/>
        <v>695</v>
      </c>
      <c r="T152" s="83">
        <f>'[2]GULFSTREAM NON-FIRM'!H163</f>
        <v>0</v>
      </c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</row>
    <row r="153" spans="1:30" ht="15.75" hidden="1" x14ac:dyDescent="0.25">
      <c r="A153" s="13">
        <v>45566</v>
      </c>
      <c r="B153" s="97">
        <v>31</v>
      </c>
      <c r="C153" s="83">
        <f>'[2]FGT PRIMARY FIRM ZONE 1'!V164</f>
        <v>131.881</v>
      </c>
      <c r="D153" s="83">
        <f>'[2]FGT PRIMARY FIRM ZONE 2'!V164</f>
        <v>277.16699999999997</v>
      </c>
      <c r="E153" s="92">
        <f>'[2]FGT PRIMARY FIRM ZONE 3'!V164</f>
        <v>79.08</v>
      </c>
      <c r="F153" s="83">
        <f>'[2]FGT FIRM ZONE 3 MOBILE BAY-DES'!V164-40-25-60-100</f>
        <v>125.87199999999996</v>
      </c>
      <c r="G153" s="86">
        <v>40</v>
      </c>
      <c r="H153" s="83">
        <f t="shared" si="21"/>
        <v>185</v>
      </c>
      <c r="I153" s="83">
        <f t="shared" si="18"/>
        <v>0</v>
      </c>
      <c r="J153" s="86">
        <v>100</v>
      </c>
      <c r="K153" s="86">
        <v>300</v>
      </c>
      <c r="L153" s="83">
        <f t="shared" si="22"/>
        <v>1239</v>
      </c>
      <c r="M153" s="94">
        <v>600</v>
      </c>
      <c r="N153" s="83">
        <f>'[2]FGT NON-FIRM'!P164</f>
        <v>75</v>
      </c>
      <c r="O153" s="86">
        <v>240</v>
      </c>
      <c r="P153" s="86">
        <v>160</v>
      </c>
      <c r="Q153" s="86">
        <f t="shared" si="23"/>
        <v>195</v>
      </c>
      <c r="R153" s="86">
        <f t="shared" si="24"/>
        <v>100</v>
      </c>
      <c r="S153" s="83">
        <f t="shared" si="25"/>
        <v>695</v>
      </c>
      <c r="T153" s="83">
        <f>'[2]GULFSTREAM NON-FIRM'!H164</f>
        <v>0</v>
      </c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</row>
    <row r="154" spans="1:30" ht="15.75" hidden="1" x14ac:dyDescent="0.25">
      <c r="A154" s="13">
        <v>45597</v>
      </c>
      <c r="B154" s="97">
        <v>30</v>
      </c>
      <c r="C154" s="83">
        <f>'[2]FGT PRIMARY FIRM ZONE 1'!V165</f>
        <v>122.58</v>
      </c>
      <c r="D154" s="83">
        <f>'[2]FGT PRIMARY FIRM ZONE 2'!V165</f>
        <v>297.94100000000003</v>
      </c>
      <c r="E154" s="92">
        <f>'[2]FGT PRIMARY FIRM ZONE 3'!V165</f>
        <v>89.177000000000007</v>
      </c>
      <c r="F154" s="83">
        <f>'[2]FGT FIRM ZONE 3 MOBILE BAY-DES'!V165-40-60-100</f>
        <v>40.301999999999992</v>
      </c>
      <c r="G154" s="86">
        <v>40</v>
      </c>
      <c r="H154" s="83">
        <f>60+100</f>
        <v>160</v>
      </c>
      <c r="I154" s="83">
        <f t="shared" si="18"/>
        <v>0</v>
      </c>
      <c r="J154" s="86">
        <v>100</v>
      </c>
      <c r="K154" s="86">
        <v>300</v>
      </c>
      <c r="L154" s="83">
        <f t="shared" si="22"/>
        <v>1150</v>
      </c>
      <c r="M154" s="94">
        <v>600</v>
      </c>
      <c r="N154" s="83">
        <f>'[2]FGT NON-FIRM'!P165</f>
        <v>100</v>
      </c>
      <c r="O154" s="86">
        <v>240</v>
      </c>
      <c r="P154" s="86">
        <v>40</v>
      </c>
      <c r="Q154" s="86">
        <f t="shared" si="23"/>
        <v>315</v>
      </c>
      <c r="R154" s="86">
        <f t="shared" si="24"/>
        <v>100</v>
      </c>
      <c r="S154" s="83">
        <f t="shared" si="25"/>
        <v>695</v>
      </c>
      <c r="T154" s="83">
        <f>'[2]GULFSTREAM NON-FIRM'!H165</f>
        <v>50</v>
      </c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</row>
    <row r="155" spans="1:30" ht="15.75" hidden="1" x14ac:dyDescent="0.25">
      <c r="A155" s="13">
        <v>45627</v>
      </c>
      <c r="B155" s="97">
        <v>31</v>
      </c>
      <c r="C155" s="83">
        <f>'[2]FGT PRIMARY FIRM ZONE 1'!V166</f>
        <v>122.58</v>
      </c>
      <c r="D155" s="83">
        <f>'[2]FGT PRIMARY FIRM ZONE 2'!V166</f>
        <v>297.94100000000003</v>
      </c>
      <c r="E155" s="92">
        <f>'[2]FGT PRIMARY FIRM ZONE 3'!V166</f>
        <v>89.177000000000007</v>
      </c>
      <c r="F155" s="83">
        <f>'[2]FGT FIRM ZONE 3 MOBILE BAY-DES'!V166-40-60-100</f>
        <v>40.301999999999992</v>
      </c>
      <c r="G155" s="86">
        <v>40</v>
      </c>
      <c r="H155" s="83">
        <f>60+100</f>
        <v>160</v>
      </c>
      <c r="I155" s="83">
        <f t="shared" si="18"/>
        <v>0</v>
      </c>
      <c r="J155" s="86">
        <v>100</v>
      </c>
      <c r="K155" s="86">
        <v>300</v>
      </c>
      <c r="L155" s="83">
        <f t="shared" si="22"/>
        <v>1150</v>
      </c>
      <c r="M155" s="94">
        <v>600</v>
      </c>
      <c r="N155" s="83">
        <f>'[2]FGT NON-FIRM'!P166</f>
        <v>100</v>
      </c>
      <c r="O155" s="86">
        <v>240</v>
      </c>
      <c r="P155" s="86">
        <v>40</v>
      </c>
      <c r="Q155" s="86">
        <f t="shared" si="23"/>
        <v>315</v>
      </c>
      <c r="R155" s="86">
        <f t="shared" si="24"/>
        <v>100</v>
      </c>
      <c r="S155" s="83">
        <f t="shared" si="25"/>
        <v>695</v>
      </c>
      <c r="T155" s="83">
        <f>'[2]GULFSTREAM NON-FIRM'!H166</f>
        <v>50</v>
      </c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</row>
    <row r="156" spans="1:30" ht="15.75" hidden="1" x14ac:dyDescent="0.25">
      <c r="A156" s="13">
        <v>45658</v>
      </c>
      <c r="B156" s="97">
        <v>31</v>
      </c>
      <c r="C156" s="83">
        <f>'[2]FGT PRIMARY FIRM ZONE 1'!V167</f>
        <v>122.58</v>
      </c>
      <c r="D156" s="83">
        <f>'[2]FGT PRIMARY FIRM ZONE 2'!V167</f>
        <v>297.94100000000003</v>
      </c>
      <c r="E156" s="92">
        <f>'[2]FGT PRIMARY FIRM ZONE 3'!V167</f>
        <v>89.177000000000007</v>
      </c>
      <c r="F156" s="83">
        <f>'[2]FGT FIRM ZONE 3 MOBILE BAY-DES'!V167-40-60-100</f>
        <v>40.301999999999992</v>
      </c>
      <c r="G156" s="86">
        <v>40</v>
      </c>
      <c r="H156" s="83">
        <f>60+100</f>
        <v>160</v>
      </c>
      <c r="I156" s="83">
        <f t="shared" si="18"/>
        <v>0</v>
      </c>
      <c r="J156" s="86">
        <v>100</v>
      </c>
      <c r="K156" s="86">
        <v>300</v>
      </c>
      <c r="L156" s="83">
        <f t="shared" si="22"/>
        <v>1150</v>
      </c>
      <c r="M156" s="94">
        <v>600</v>
      </c>
      <c r="N156" s="83">
        <f>'[2]FGT NON-FIRM'!P167</f>
        <v>100</v>
      </c>
      <c r="O156" s="86">
        <v>240</v>
      </c>
      <c r="P156" s="86">
        <v>40</v>
      </c>
      <c r="Q156" s="86">
        <f t="shared" si="23"/>
        <v>315</v>
      </c>
      <c r="R156" s="86">
        <f t="shared" si="24"/>
        <v>100</v>
      </c>
      <c r="S156" s="83">
        <f t="shared" si="25"/>
        <v>695</v>
      </c>
      <c r="T156" s="83">
        <f>'[2]GULFSTREAM NON-FIRM'!H167</f>
        <v>50</v>
      </c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</row>
    <row r="157" spans="1:30" ht="15.75" hidden="1" x14ac:dyDescent="0.25">
      <c r="A157" s="13">
        <v>45689</v>
      </c>
      <c r="B157" s="97">
        <v>28</v>
      </c>
      <c r="C157" s="83">
        <f>'[2]FGT PRIMARY FIRM ZONE 1'!V168</f>
        <v>122.58</v>
      </c>
      <c r="D157" s="83">
        <f>'[2]FGT PRIMARY FIRM ZONE 2'!V168</f>
        <v>297.94100000000003</v>
      </c>
      <c r="E157" s="92">
        <f>'[2]FGT PRIMARY FIRM ZONE 3'!V168</f>
        <v>89.177000000000007</v>
      </c>
      <c r="F157" s="83">
        <f>'[2]FGT FIRM ZONE 3 MOBILE BAY-DES'!V168-40-60-100</f>
        <v>40.301999999999992</v>
      </c>
      <c r="G157" s="86">
        <v>40</v>
      </c>
      <c r="H157" s="83">
        <f>60+100</f>
        <v>160</v>
      </c>
      <c r="I157" s="83">
        <f t="shared" si="18"/>
        <v>0</v>
      </c>
      <c r="J157" s="86">
        <v>100</v>
      </c>
      <c r="K157" s="86">
        <v>300</v>
      </c>
      <c r="L157" s="83">
        <f t="shared" si="22"/>
        <v>1150</v>
      </c>
      <c r="M157" s="94">
        <v>600</v>
      </c>
      <c r="N157" s="83">
        <f>'[2]FGT NON-FIRM'!P168</f>
        <v>100</v>
      </c>
      <c r="O157" s="86">
        <v>240</v>
      </c>
      <c r="P157" s="86">
        <v>40</v>
      </c>
      <c r="Q157" s="86">
        <f t="shared" si="23"/>
        <v>315</v>
      </c>
      <c r="R157" s="86">
        <f t="shared" si="24"/>
        <v>100</v>
      </c>
      <c r="S157" s="83">
        <f t="shared" si="25"/>
        <v>695</v>
      </c>
      <c r="T157" s="83">
        <f>'[2]GULFSTREAM NON-FIRM'!H168</f>
        <v>50</v>
      </c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</row>
    <row r="158" spans="1:30" ht="15.75" hidden="1" x14ac:dyDescent="0.25">
      <c r="A158" s="13">
        <v>45717</v>
      </c>
      <c r="B158" s="97">
        <v>31</v>
      </c>
      <c r="C158" s="83">
        <f>'[2]FGT PRIMARY FIRM ZONE 1'!V169</f>
        <v>122.58</v>
      </c>
      <c r="D158" s="83">
        <f>'[2]FGT PRIMARY FIRM ZONE 2'!V169</f>
        <v>297.94100000000003</v>
      </c>
      <c r="E158" s="92">
        <f>'[2]FGT PRIMARY FIRM ZONE 3'!V169</f>
        <v>89.177000000000007</v>
      </c>
      <c r="F158" s="83">
        <f>'[2]FGT FIRM ZONE 3 MOBILE BAY-DES'!V169-40-60-100</f>
        <v>40.301999999999992</v>
      </c>
      <c r="G158" s="86">
        <v>40</v>
      </c>
      <c r="H158" s="83">
        <f>60+100</f>
        <v>160</v>
      </c>
      <c r="I158" s="83">
        <f t="shared" si="18"/>
        <v>0</v>
      </c>
      <c r="J158" s="86">
        <v>100</v>
      </c>
      <c r="K158" s="86">
        <v>300</v>
      </c>
      <c r="L158" s="83">
        <f t="shared" si="22"/>
        <v>1150</v>
      </c>
      <c r="M158" s="94">
        <v>600</v>
      </c>
      <c r="N158" s="83">
        <f>'[2]FGT NON-FIRM'!P169</f>
        <v>100</v>
      </c>
      <c r="O158" s="86">
        <v>240</v>
      </c>
      <c r="P158" s="86">
        <v>40</v>
      </c>
      <c r="Q158" s="86">
        <f t="shared" si="23"/>
        <v>315</v>
      </c>
      <c r="R158" s="86">
        <f t="shared" si="24"/>
        <v>100</v>
      </c>
      <c r="S158" s="83">
        <f t="shared" si="25"/>
        <v>695</v>
      </c>
      <c r="T158" s="83">
        <f>'[2]GULFSTREAM NON-FIRM'!H169</f>
        <v>50</v>
      </c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</row>
    <row r="159" spans="1:30" ht="15.75" hidden="1" x14ac:dyDescent="0.25">
      <c r="A159" s="13">
        <v>45748</v>
      </c>
      <c r="B159" s="97">
        <v>30</v>
      </c>
      <c r="C159" s="83">
        <f>'[2]FGT PRIMARY FIRM ZONE 1'!V170</f>
        <v>141.29300000000001</v>
      </c>
      <c r="D159" s="83">
        <f>'[2]FGT PRIMARY FIRM ZONE 2'!V170</f>
        <v>267.99299999999999</v>
      </c>
      <c r="E159" s="92">
        <f>'[2]FGT PRIMARY FIRM ZONE 3'!V170</f>
        <v>115.01600000000001</v>
      </c>
      <c r="F159" s="83">
        <f>'[2]FGT FIRM ZONE 3 MOBILE BAY-DES'!V170-40-25-60-100</f>
        <v>89.698000000000036</v>
      </c>
      <c r="G159" s="86">
        <v>40</v>
      </c>
      <c r="H159" s="83">
        <f t="shared" ref="H159:H165" si="26">25+60+100</f>
        <v>185</v>
      </c>
      <c r="I159" s="83">
        <f t="shared" si="18"/>
        <v>0</v>
      </c>
      <c r="J159" s="86">
        <v>100</v>
      </c>
      <c r="K159" s="86">
        <v>300</v>
      </c>
      <c r="L159" s="83">
        <f t="shared" si="22"/>
        <v>1239</v>
      </c>
      <c r="M159" s="94">
        <v>600</v>
      </c>
      <c r="N159" s="83">
        <f>'[2]FGT NON-FIRM'!P170</f>
        <v>100</v>
      </c>
      <c r="O159" s="86">
        <v>240</v>
      </c>
      <c r="P159" s="86">
        <v>160</v>
      </c>
      <c r="Q159" s="86">
        <f t="shared" si="23"/>
        <v>195</v>
      </c>
      <c r="R159" s="86">
        <f t="shared" si="24"/>
        <v>100</v>
      </c>
      <c r="S159" s="83">
        <f t="shared" si="25"/>
        <v>695</v>
      </c>
      <c r="T159" s="83">
        <f>'[2]GULFSTREAM NON-FIRM'!H170</f>
        <v>50</v>
      </c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</row>
    <row r="160" spans="1:30" ht="15.75" hidden="1" x14ac:dyDescent="0.25">
      <c r="A160" s="13">
        <v>45778</v>
      </c>
      <c r="B160" s="97">
        <v>31</v>
      </c>
      <c r="C160" s="83">
        <f>'[2]FGT PRIMARY FIRM ZONE 1'!V171</f>
        <v>194.20499999999998</v>
      </c>
      <c r="D160" s="83">
        <f>'[2]FGT PRIMARY FIRM ZONE 2'!V171</f>
        <v>267.46600000000001</v>
      </c>
      <c r="E160" s="92">
        <f>'[2]FGT PRIMARY FIRM ZONE 3'!V171</f>
        <v>133.845</v>
      </c>
      <c r="F160" s="83">
        <f>'[2]FGT FIRM ZONE 3 MOBILE BAY-DES'!V171-40-25-60-100</f>
        <v>53.48399999999998</v>
      </c>
      <c r="G160" s="86">
        <v>40</v>
      </c>
      <c r="H160" s="83">
        <f t="shared" si="26"/>
        <v>185</v>
      </c>
      <c r="I160" s="83">
        <f t="shared" si="18"/>
        <v>0</v>
      </c>
      <c r="J160" s="86">
        <v>100</v>
      </c>
      <c r="K160" s="86">
        <v>300</v>
      </c>
      <c r="L160" s="83">
        <f t="shared" si="22"/>
        <v>1274</v>
      </c>
      <c r="M160" s="94">
        <v>600</v>
      </c>
      <c r="N160" s="83">
        <f>'[2]FGT NON-FIRM'!P171</f>
        <v>75</v>
      </c>
      <c r="O160" s="86">
        <v>240</v>
      </c>
      <c r="P160" s="86">
        <v>160</v>
      </c>
      <c r="Q160" s="86">
        <f t="shared" si="23"/>
        <v>195</v>
      </c>
      <c r="R160" s="86">
        <f t="shared" si="24"/>
        <v>100</v>
      </c>
      <c r="S160" s="83">
        <f t="shared" si="25"/>
        <v>695</v>
      </c>
      <c r="T160" s="83">
        <f>'[2]GULFSTREAM NON-FIRM'!H171</f>
        <v>50</v>
      </c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</row>
    <row r="161" spans="1:30" ht="15.75" hidden="1" x14ac:dyDescent="0.25">
      <c r="A161" s="13">
        <v>45809</v>
      </c>
      <c r="B161" s="97">
        <v>30</v>
      </c>
      <c r="C161" s="83">
        <f>'[2]FGT PRIMARY FIRM ZONE 1'!V172</f>
        <v>194.20499999999998</v>
      </c>
      <c r="D161" s="83">
        <f>'[2]FGT PRIMARY FIRM ZONE 2'!V172</f>
        <v>267.46600000000001</v>
      </c>
      <c r="E161" s="92">
        <f>'[2]FGT PRIMARY FIRM ZONE 3'!V172</f>
        <v>133.845</v>
      </c>
      <c r="F161" s="83">
        <f>'[2]FGT FIRM ZONE 3 MOBILE BAY-DES'!V172-40-25-60-100</f>
        <v>53.48399999999998</v>
      </c>
      <c r="G161" s="86">
        <v>40</v>
      </c>
      <c r="H161" s="83">
        <f t="shared" si="26"/>
        <v>185</v>
      </c>
      <c r="I161" s="83">
        <f t="shared" si="18"/>
        <v>0</v>
      </c>
      <c r="J161" s="86">
        <v>100</v>
      </c>
      <c r="K161" s="86">
        <v>300</v>
      </c>
      <c r="L161" s="83">
        <f t="shared" si="22"/>
        <v>1274</v>
      </c>
      <c r="M161" s="94">
        <v>600</v>
      </c>
      <c r="N161" s="83">
        <f>'[2]FGT NON-FIRM'!P172</f>
        <v>30</v>
      </c>
      <c r="O161" s="86">
        <v>240</v>
      </c>
      <c r="P161" s="86">
        <v>160</v>
      </c>
      <c r="Q161" s="86">
        <f t="shared" si="23"/>
        <v>195</v>
      </c>
      <c r="R161" s="86">
        <f t="shared" si="24"/>
        <v>100</v>
      </c>
      <c r="S161" s="83">
        <f t="shared" si="25"/>
        <v>695</v>
      </c>
      <c r="T161" s="83">
        <f>'[2]GULFSTREAM NON-FIRM'!H172</f>
        <v>50</v>
      </c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</row>
    <row r="162" spans="1:30" ht="15.75" hidden="1" x14ac:dyDescent="0.25">
      <c r="A162" s="13">
        <v>45839</v>
      </c>
      <c r="B162" s="97">
        <v>31</v>
      </c>
      <c r="C162" s="83">
        <f>'[2]FGT PRIMARY FIRM ZONE 1'!V173</f>
        <v>194.20499999999998</v>
      </c>
      <c r="D162" s="83">
        <f>'[2]FGT PRIMARY FIRM ZONE 2'!V173</f>
        <v>267.46600000000001</v>
      </c>
      <c r="E162" s="92">
        <f>'[2]FGT PRIMARY FIRM ZONE 3'!V173</f>
        <v>133.845</v>
      </c>
      <c r="F162" s="83">
        <f>'[2]FGT FIRM ZONE 3 MOBILE BAY-DES'!V173-40-25-60-100</f>
        <v>53.48399999999998</v>
      </c>
      <c r="G162" s="86">
        <v>40</v>
      </c>
      <c r="H162" s="83">
        <f t="shared" si="26"/>
        <v>185</v>
      </c>
      <c r="I162" s="83">
        <f t="shared" si="18"/>
        <v>0</v>
      </c>
      <c r="J162" s="86">
        <v>100</v>
      </c>
      <c r="K162" s="86">
        <v>300</v>
      </c>
      <c r="L162" s="83">
        <f t="shared" si="22"/>
        <v>1274</v>
      </c>
      <c r="M162" s="94">
        <v>600</v>
      </c>
      <c r="N162" s="83">
        <f>'[2]FGT NON-FIRM'!P173</f>
        <v>30</v>
      </c>
      <c r="O162" s="86">
        <v>240</v>
      </c>
      <c r="P162" s="86">
        <v>160</v>
      </c>
      <c r="Q162" s="86">
        <f t="shared" si="23"/>
        <v>195</v>
      </c>
      <c r="R162" s="86">
        <f t="shared" si="24"/>
        <v>100</v>
      </c>
      <c r="S162" s="83">
        <f t="shared" si="25"/>
        <v>695</v>
      </c>
      <c r="T162" s="83">
        <f>'[2]GULFSTREAM NON-FIRM'!H173</f>
        <v>0</v>
      </c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</row>
    <row r="163" spans="1:30" ht="15.75" hidden="1" x14ac:dyDescent="0.25">
      <c r="A163" s="13">
        <v>45870</v>
      </c>
      <c r="B163" s="97">
        <v>31</v>
      </c>
      <c r="C163" s="83">
        <f>'[2]FGT PRIMARY FIRM ZONE 1'!V174</f>
        <v>194.20499999999998</v>
      </c>
      <c r="D163" s="83">
        <f>'[2]FGT PRIMARY FIRM ZONE 2'!V174</f>
        <v>267.46600000000001</v>
      </c>
      <c r="E163" s="92">
        <f>'[2]FGT PRIMARY FIRM ZONE 3'!V174</f>
        <v>133.845</v>
      </c>
      <c r="F163" s="83">
        <f>'[2]FGT FIRM ZONE 3 MOBILE BAY-DES'!V174-40-25-60-100</f>
        <v>53.48399999999998</v>
      </c>
      <c r="G163" s="86">
        <v>40</v>
      </c>
      <c r="H163" s="83">
        <f t="shared" si="26"/>
        <v>185</v>
      </c>
      <c r="I163" s="83">
        <f t="shared" si="18"/>
        <v>0</v>
      </c>
      <c r="J163" s="86">
        <v>100</v>
      </c>
      <c r="K163" s="86">
        <v>300</v>
      </c>
      <c r="L163" s="83">
        <f t="shared" si="22"/>
        <v>1274</v>
      </c>
      <c r="M163" s="94">
        <v>600</v>
      </c>
      <c r="N163" s="83">
        <f>'[2]FGT NON-FIRM'!P174</f>
        <v>30</v>
      </c>
      <c r="O163" s="86">
        <v>240</v>
      </c>
      <c r="P163" s="86">
        <v>160</v>
      </c>
      <c r="Q163" s="86">
        <f t="shared" si="23"/>
        <v>195</v>
      </c>
      <c r="R163" s="86">
        <f t="shared" si="24"/>
        <v>100</v>
      </c>
      <c r="S163" s="83">
        <f t="shared" si="25"/>
        <v>695</v>
      </c>
      <c r="T163" s="83">
        <f>'[2]GULFSTREAM NON-FIRM'!H174</f>
        <v>0</v>
      </c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</row>
    <row r="164" spans="1:30" ht="15.75" hidden="1" x14ac:dyDescent="0.25">
      <c r="A164" s="13">
        <v>45901</v>
      </c>
      <c r="B164" s="97">
        <v>30</v>
      </c>
      <c r="C164" s="83">
        <f>'[2]FGT PRIMARY FIRM ZONE 1'!V175</f>
        <v>194.20499999999998</v>
      </c>
      <c r="D164" s="83">
        <f>'[2]FGT PRIMARY FIRM ZONE 2'!V175</f>
        <v>267.46600000000001</v>
      </c>
      <c r="E164" s="92">
        <f>'[2]FGT PRIMARY FIRM ZONE 3'!V175</f>
        <v>133.845</v>
      </c>
      <c r="F164" s="83">
        <f>'[2]FGT FIRM ZONE 3 MOBILE BAY-DES'!V175-40-25-60-100</f>
        <v>53.48399999999998</v>
      </c>
      <c r="G164" s="86">
        <v>40</v>
      </c>
      <c r="H164" s="83">
        <f t="shared" si="26"/>
        <v>185</v>
      </c>
      <c r="I164" s="83">
        <f t="shared" si="18"/>
        <v>0</v>
      </c>
      <c r="J164" s="86">
        <v>100</v>
      </c>
      <c r="K164" s="86">
        <v>300</v>
      </c>
      <c r="L164" s="83">
        <f t="shared" si="22"/>
        <v>1274</v>
      </c>
      <c r="M164" s="94">
        <v>600</v>
      </c>
      <c r="N164" s="83">
        <f>'[2]FGT NON-FIRM'!P175</f>
        <v>30</v>
      </c>
      <c r="O164" s="86">
        <v>240</v>
      </c>
      <c r="P164" s="86">
        <v>160</v>
      </c>
      <c r="Q164" s="86">
        <f t="shared" si="23"/>
        <v>195</v>
      </c>
      <c r="R164" s="86">
        <f t="shared" si="24"/>
        <v>100</v>
      </c>
      <c r="S164" s="83">
        <f t="shared" si="25"/>
        <v>695</v>
      </c>
      <c r="T164" s="83">
        <f>'[2]GULFSTREAM NON-FIRM'!H175</f>
        <v>0</v>
      </c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</row>
    <row r="165" spans="1:30" ht="15.75" hidden="1" x14ac:dyDescent="0.25">
      <c r="A165" s="13">
        <v>45931</v>
      </c>
      <c r="B165" s="97">
        <v>31</v>
      </c>
      <c r="C165" s="83">
        <f>'[2]FGT PRIMARY FIRM ZONE 1'!V176</f>
        <v>131.881</v>
      </c>
      <c r="D165" s="83">
        <f>'[2]FGT PRIMARY FIRM ZONE 2'!V176</f>
        <v>277.16699999999997</v>
      </c>
      <c r="E165" s="92">
        <f>'[2]FGT PRIMARY FIRM ZONE 3'!V176</f>
        <v>79.08</v>
      </c>
      <c r="F165" s="83">
        <f>'[2]FGT FIRM ZONE 3 MOBILE BAY-DES'!V176-40-25-60-100</f>
        <v>125.87199999999996</v>
      </c>
      <c r="G165" s="86">
        <v>40</v>
      </c>
      <c r="H165" s="83">
        <f t="shared" si="26"/>
        <v>185</v>
      </c>
      <c r="I165" s="83">
        <f t="shared" si="18"/>
        <v>0</v>
      </c>
      <c r="J165" s="86">
        <v>100</v>
      </c>
      <c r="K165" s="86">
        <v>300</v>
      </c>
      <c r="L165" s="83">
        <f t="shared" si="22"/>
        <v>1239</v>
      </c>
      <c r="M165" s="94">
        <v>600</v>
      </c>
      <c r="N165" s="83">
        <f>'[2]FGT NON-FIRM'!P176</f>
        <v>75</v>
      </c>
      <c r="O165" s="86">
        <v>240</v>
      </c>
      <c r="P165" s="86">
        <v>160</v>
      </c>
      <c r="Q165" s="86">
        <f t="shared" si="23"/>
        <v>195</v>
      </c>
      <c r="R165" s="86">
        <f t="shared" si="24"/>
        <v>100</v>
      </c>
      <c r="S165" s="83">
        <f t="shared" si="25"/>
        <v>695</v>
      </c>
      <c r="T165" s="83">
        <f>'[2]GULFSTREAM NON-FIRM'!H176</f>
        <v>0</v>
      </c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</row>
    <row r="166" spans="1:30" ht="15.75" hidden="1" x14ac:dyDescent="0.25">
      <c r="A166" s="13">
        <v>45962</v>
      </c>
      <c r="B166" s="97">
        <v>30</v>
      </c>
      <c r="C166" s="83">
        <f>'[2]FGT PRIMARY FIRM ZONE 1'!V177</f>
        <v>122.58</v>
      </c>
      <c r="D166" s="83">
        <f>'[2]FGT PRIMARY FIRM ZONE 2'!V177</f>
        <v>297.94100000000003</v>
      </c>
      <c r="E166" s="92">
        <f>'[2]FGT PRIMARY FIRM ZONE 3'!V177</f>
        <v>89.177000000000007</v>
      </c>
      <c r="F166" s="83">
        <f>'[2]FGT FIRM ZONE 3 MOBILE BAY-DES'!V177-40-60-100</f>
        <v>40.301999999999992</v>
      </c>
      <c r="G166" s="86">
        <v>40</v>
      </c>
      <c r="H166" s="83">
        <f>60+100</f>
        <v>160</v>
      </c>
      <c r="I166" s="83">
        <f t="shared" si="18"/>
        <v>0</v>
      </c>
      <c r="J166" s="86">
        <v>100</v>
      </c>
      <c r="K166" s="86">
        <v>300</v>
      </c>
      <c r="L166" s="83">
        <f t="shared" si="22"/>
        <v>1150</v>
      </c>
      <c r="M166" s="94">
        <v>600</v>
      </c>
      <c r="N166" s="83">
        <f>'[2]FGT NON-FIRM'!P177</f>
        <v>100</v>
      </c>
      <c r="O166" s="86">
        <v>240</v>
      </c>
      <c r="P166" s="86">
        <v>40</v>
      </c>
      <c r="Q166" s="86">
        <f t="shared" si="23"/>
        <v>315</v>
      </c>
      <c r="R166" s="86">
        <f t="shared" si="24"/>
        <v>100</v>
      </c>
      <c r="S166" s="83">
        <f t="shared" si="25"/>
        <v>695</v>
      </c>
      <c r="T166" s="83">
        <f>'[2]GULFSTREAM NON-FIRM'!H177</f>
        <v>50</v>
      </c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</row>
    <row r="167" spans="1:30" ht="15.75" hidden="1" x14ac:dyDescent="0.25">
      <c r="A167" s="13">
        <v>45992</v>
      </c>
      <c r="B167" s="97">
        <v>31</v>
      </c>
      <c r="C167" s="83">
        <f>'[2]FGT PRIMARY FIRM ZONE 1'!V178</f>
        <v>122.58</v>
      </c>
      <c r="D167" s="83">
        <f>'[2]FGT PRIMARY FIRM ZONE 2'!V178</f>
        <v>297.94100000000003</v>
      </c>
      <c r="E167" s="92">
        <f>'[2]FGT PRIMARY FIRM ZONE 3'!V178</f>
        <v>89.177000000000007</v>
      </c>
      <c r="F167" s="83">
        <f>'[2]FGT FIRM ZONE 3 MOBILE BAY-DES'!V178-40-60-100</f>
        <v>40.301999999999992</v>
      </c>
      <c r="G167" s="86">
        <v>40</v>
      </c>
      <c r="H167" s="83">
        <f>60+100</f>
        <v>160</v>
      </c>
      <c r="I167" s="83">
        <f t="shared" si="18"/>
        <v>0</v>
      </c>
      <c r="J167" s="86">
        <v>100</v>
      </c>
      <c r="K167" s="86">
        <v>300</v>
      </c>
      <c r="L167" s="83">
        <f t="shared" si="22"/>
        <v>1150</v>
      </c>
      <c r="M167" s="94">
        <v>600</v>
      </c>
      <c r="N167" s="83">
        <f>'[2]FGT NON-FIRM'!P178</f>
        <v>100</v>
      </c>
      <c r="O167" s="86">
        <v>240</v>
      </c>
      <c r="P167" s="86">
        <v>40</v>
      </c>
      <c r="Q167" s="86">
        <f t="shared" si="23"/>
        <v>315</v>
      </c>
      <c r="R167" s="86">
        <f t="shared" si="24"/>
        <v>100</v>
      </c>
      <c r="S167" s="83">
        <f t="shared" si="25"/>
        <v>695</v>
      </c>
      <c r="T167" s="83">
        <f>'[2]GULFSTREAM NON-FIRM'!H178</f>
        <v>50</v>
      </c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</row>
    <row r="168" spans="1:30" ht="15.75" hidden="1" x14ac:dyDescent="0.25">
      <c r="A168" s="13">
        <v>46023</v>
      </c>
      <c r="B168" s="97">
        <v>31</v>
      </c>
      <c r="C168" s="83">
        <f>'[2]FGT PRIMARY FIRM ZONE 1'!V179</f>
        <v>122.58</v>
      </c>
      <c r="D168" s="83">
        <f>'[2]FGT PRIMARY FIRM ZONE 2'!V179</f>
        <v>297.94100000000003</v>
      </c>
      <c r="E168" s="92">
        <f>'[2]FGT PRIMARY FIRM ZONE 3'!V179</f>
        <v>89.177000000000007</v>
      </c>
      <c r="F168" s="83">
        <f>'[2]FGT FIRM ZONE 3 MOBILE BAY-DES'!V179-40-60-100</f>
        <v>40.301999999999992</v>
      </c>
      <c r="G168" s="86">
        <v>40</v>
      </c>
      <c r="H168" s="83">
        <f>60+100</f>
        <v>160</v>
      </c>
      <c r="I168" s="83">
        <f t="shared" si="18"/>
        <v>0</v>
      </c>
      <c r="J168" s="86">
        <v>100</v>
      </c>
      <c r="K168" s="86">
        <v>300</v>
      </c>
      <c r="L168" s="83">
        <f t="shared" si="22"/>
        <v>1150</v>
      </c>
      <c r="M168" s="94">
        <v>600</v>
      </c>
      <c r="N168" s="83">
        <f>'[2]FGT NON-FIRM'!P179</f>
        <v>100</v>
      </c>
      <c r="O168" s="86">
        <v>240</v>
      </c>
      <c r="P168" s="86">
        <v>40</v>
      </c>
      <c r="Q168" s="86">
        <f t="shared" si="23"/>
        <v>315</v>
      </c>
      <c r="R168" s="86">
        <f t="shared" si="24"/>
        <v>100</v>
      </c>
      <c r="S168" s="83">
        <f t="shared" si="25"/>
        <v>695</v>
      </c>
      <c r="T168" s="83">
        <f>'[2]GULFSTREAM NON-FIRM'!H179</f>
        <v>50</v>
      </c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</row>
    <row r="169" spans="1:30" ht="15.75" hidden="1" x14ac:dyDescent="0.25">
      <c r="A169" s="13">
        <v>46054</v>
      </c>
      <c r="B169" s="97">
        <v>28</v>
      </c>
      <c r="C169" s="83">
        <f>'[2]FGT PRIMARY FIRM ZONE 1'!V180</f>
        <v>122.58</v>
      </c>
      <c r="D169" s="83">
        <f>'[2]FGT PRIMARY FIRM ZONE 2'!V180</f>
        <v>297.94100000000003</v>
      </c>
      <c r="E169" s="92">
        <f>'[2]FGT PRIMARY FIRM ZONE 3'!V180</f>
        <v>89.177000000000007</v>
      </c>
      <c r="F169" s="83">
        <f>'[2]FGT FIRM ZONE 3 MOBILE BAY-DES'!V180-40-60-100</f>
        <v>40.301999999999992</v>
      </c>
      <c r="G169" s="86">
        <v>40</v>
      </c>
      <c r="H169" s="83">
        <f>60+100</f>
        <v>160</v>
      </c>
      <c r="I169" s="83">
        <f t="shared" si="18"/>
        <v>0</v>
      </c>
      <c r="J169" s="86">
        <v>100</v>
      </c>
      <c r="K169" s="86">
        <v>300</v>
      </c>
      <c r="L169" s="83">
        <f t="shared" si="22"/>
        <v>1150</v>
      </c>
      <c r="M169" s="94">
        <v>600</v>
      </c>
      <c r="N169" s="83">
        <f>'[2]FGT NON-FIRM'!P180</f>
        <v>100</v>
      </c>
      <c r="O169" s="86">
        <v>240</v>
      </c>
      <c r="P169" s="86">
        <v>40</v>
      </c>
      <c r="Q169" s="86">
        <f t="shared" si="23"/>
        <v>315</v>
      </c>
      <c r="R169" s="86">
        <f t="shared" si="24"/>
        <v>100</v>
      </c>
      <c r="S169" s="83">
        <f t="shared" si="25"/>
        <v>695</v>
      </c>
      <c r="T169" s="83">
        <f>'[2]GULFSTREAM NON-FIRM'!H180</f>
        <v>50</v>
      </c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</row>
    <row r="170" spans="1:30" ht="15.75" hidden="1" x14ac:dyDescent="0.25">
      <c r="A170" s="13">
        <v>46082</v>
      </c>
      <c r="B170" s="97">
        <v>31</v>
      </c>
      <c r="C170" s="83">
        <f>'[2]FGT PRIMARY FIRM ZONE 1'!V181</f>
        <v>122.58</v>
      </c>
      <c r="D170" s="83">
        <f>'[2]FGT PRIMARY FIRM ZONE 2'!V181</f>
        <v>297.94100000000003</v>
      </c>
      <c r="E170" s="92">
        <f>'[2]FGT PRIMARY FIRM ZONE 3'!V181</f>
        <v>89.177000000000007</v>
      </c>
      <c r="F170" s="83">
        <f>'[2]FGT FIRM ZONE 3 MOBILE BAY-DES'!V181-40-60-100</f>
        <v>40.301999999999992</v>
      </c>
      <c r="G170" s="86">
        <v>40</v>
      </c>
      <c r="H170" s="83">
        <f>60+100</f>
        <v>160</v>
      </c>
      <c r="I170" s="83">
        <f t="shared" si="18"/>
        <v>0</v>
      </c>
      <c r="J170" s="86">
        <v>100</v>
      </c>
      <c r="K170" s="86">
        <v>300</v>
      </c>
      <c r="L170" s="83">
        <f t="shared" si="22"/>
        <v>1150</v>
      </c>
      <c r="M170" s="94">
        <v>600</v>
      </c>
      <c r="N170" s="83">
        <f>'[2]FGT NON-FIRM'!P181</f>
        <v>100</v>
      </c>
      <c r="O170" s="86">
        <v>240</v>
      </c>
      <c r="P170" s="86">
        <v>40</v>
      </c>
      <c r="Q170" s="86">
        <f t="shared" si="23"/>
        <v>315</v>
      </c>
      <c r="R170" s="86">
        <f t="shared" si="24"/>
        <v>100</v>
      </c>
      <c r="S170" s="83">
        <f t="shared" si="25"/>
        <v>695</v>
      </c>
      <c r="T170" s="83">
        <f>'[2]GULFSTREAM NON-FIRM'!H181</f>
        <v>50</v>
      </c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</row>
    <row r="171" spans="1:30" ht="15.75" hidden="1" x14ac:dyDescent="0.25">
      <c r="A171" s="13">
        <v>46113</v>
      </c>
      <c r="B171" s="97">
        <v>30</v>
      </c>
      <c r="C171" s="83">
        <f>'[2]FGT PRIMARY FIRM ZONE 1'!V182</f>
        <v>141.29300000000001</v>
      </c>
      <c r="D171" s="83">
        <f>'[2]FGT PRIMARY FIRM ZONE 2'!V182</f>
        <v>267.99299999999999</v>
      </c>
      <c r="E171" s="92">
        <f>'[2]FGT PRIMARY FIRM ZONE 3'!V182</f>
        <v>115.01600000000001</v>
      </c>
      <c r="F171" s="83">
        <f>'[2]FGT FIRM ZONE 3 MOBILE BAY-DES'!V182-40-25-60-100</f>
        <v>89.698000000000036</v>
      </c>
      <c r="G171" s="86">
        <v>40</v>
      </c>
      <c r="H171" s="83">
        <f t="shared" ref="H171:H177" si="27">25+60+100</f>
        <v>185</v>
      </c>
      <c r="I171" s="83">
        <f t="shared" si="18"/>
        <v>0</v>
      </c>
      <c r="J171" s="86">
        <v>100</v>
      </c>
      <c r="K171" s="86">
        <v>300</v>
      </c>
      <c r="L171" s="83">
        <f t="shared" si="22"/>
        <v>1239</v>
      </c>
      <c r="M171" s="94">
        <v>600</v>
      </c>
      <c r="N171" s="83">
        <f>'[2]FGT NON-FIRM'!P182</f>
        <v>100</v>
      </c>
      <c r="O171" s="86">
        <v>240</v>
      </c>
      <c r="P171" s="86">
        <v>160</v>
      </c>
      <c r="Q171" s="86">
        <f t="shared" si="23"/>
        <v>195</v>
      </c>
      <c r="R171" s="86">
        <f t="shared" si="24"/>
        <v>100</v>
      </c>
      <c r="S171" s="83">
        <f t="shared" si="25"/>
        <v>695</v>
      </c>
      <c r="T171" s="83">
        <f>'[2]GULFSTREAM NON-FIRM'!H182</f>
        <v>50</v>
      </c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</row>
    <row r="172" spans="1:30" ht="15.75" hidden="1" x14ac:dyDescent="0.25">
      <c r="A172" s="13">
        <v>46143</v>
      </c>
      <c r="B172" s="97">
        <v>31</v>
      </c>
      <c r="C172" s="83">
        <f>'[2]FGT PRIMARY FIRM ZONE 1'!V183</f>
        <v>194.20499999999998</v>
      </c>
      <c r="D172" s="83">
        <f>'[2]FGT PRIMARY FIRM ZONE 2'!V183</f>
        <v>267.46600000000001</v>
      </c>
      <c r="E172" s="92">
        <f>'[2]FGT PRIMARY FIRM ZONE 3'!V183</f>
        <v>133.845</v>
      </c>
      <c r="F172" s="83">
        <f>'[2]FGT FIRM ZONE 3 MOBILE BAY-DES'!V183-40-25-60-100</f>
        <v>53.48399999999998</v>
      </c>
      <c r="G172" s="86">
        <v>40</v>
      </c>
      <c r="H172" s="83">
        <f t="shared" si="27"/>
        <v>185</v>
      </c>
      <c r="I172" s="83">
        <f t="shared" si="18"/>
        <v>0</v>
      </c>
      <c r="J172" s="86">
        <v>100</v>
      </c>
      <c r="K172" s="86">
        <v>300</v>
      </c>
      <c r="L172" s="83">
        <f t="shared" si="22"/>
        <v>1274</v>
      </c>
      <c r="M172" s="94">
        <v>600</v>
      </c>
      <c r="N172" s="83">
        <f>'[2]FGT NON-FIRM'!P183</f>
        <v>75</v>
      </c>
      <c r="O172" s="86">
        <v>240</v>
      </c>
      <c r="P172" s="86">
        <v>160</v>
      </c>
      <c r="Q172" s="86">
        <f t="shared" si="23"/>
        <v>195</v>
      </c>
      <c r="R172" s="86">
        <f t="shared" si="24"/>
        <v>100</v>
      </c>
      <c r="S172" s="83">
        <f t="shared" si="25"/>
        <v>695</v>
      </c>
      <c r="T172" s="83">
        <f>'[2]GULFSTREAM NON-FIRM'!H183</f>
        <v>50</v>
      </c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</row>
    <row r="173" spans="1:30" ht="15.75" hidden="1" x14ac:dyDescent="0.25">
      <c r="A173" s="13">
        <v>46174</v>
      </c>
      <c r="B173" s="97">
        <v>30</v>
      </c>
      <c r="C173" s="83">
        <f>'[2]FGT PRIMARY FIRM ZONE 1'!V184</f>
        <v>194.20499999999998</v>
      </c>
      <c r="D173" s="83">
        <f>'[2]FGT PRIMARY FIRM ZONE 2'!V184</f>
        <v>267.46600000000001</v>
      </c>
      <c r="E173" s="92">
        <f>'[2]FGT PRIMARY FIRM ZONE 3'!V184</f>
        <v>133.845</v>
      </c>
      <c r="F173" s="83">
        <f>'[2]FGT FIRM ZONE 3 MOBILE BAY-DES'!V184-40-25-60-100</f>
        <v>53.48399999999998</v>
      </c>
      <c r="G173" s="86">
        <v>40</v>
      </c>
      <c r="H173" s="83">
        <f t="shared" si="27"/>
        <v>185</v>
      </c>
      <c r="I173" s="83">
        <f t="shared" si="18"/>
        <v>0</v>
      </c>
      <c r="J173" s="86">
        <v>100</v>
      </c>
      <c r="K173" s="86">
        <v>300</v>
      </c>
      <c r="L173" s="83">
        <f t="shared" si="22"/>
        <v>1274</v>
      </c>
      <c r="M173" s="94">
        <v>600</v>
      </c>
      <c r="N173" s="83">
        <f>'[2]FGT NON-FIRM'!P184</f>
        <v>30</v>
      </c>
      <c r="O173" s="86">
        <v>240</v>
      </c>
      <c r="P173" s="86">
        <v>160</v>
      </c>
      <c r="Q173" s="86">
        <f t="shared" si="23"/>
        <v>195</v>
      </c>
      <c r="R173" s="86">
        <f t="shared" si="24"/>
        <v>100</v>
      </c>
      <c r="S173" s="83">
        <f t="shared" si="25"/>
        <v>695</v>
      </c>
      <c r="T173" s="83">
        <f>'[2]GULFSTREAM NON-FIRM'!H184</f>
        <v>50</v>
      </c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</row>
    <row r="174" spans="1:30" ht="15.75" hidden="1" x14ac:dyDescent="0.25">
      <c r="A174" s="13">
        <v>46204</v>
      </c>
      <c r="B174" s="97">
        <v>31</v>
      </c>
      <c r="C174" s="83">
        <f>'[2]FGT PRIMARY FIRM ZONE 1'!V185</f>
        <v>194.20499999999998</v>
      </c>
      <c r="D174" s="83">
        <f>'[2]FGT PRIMARY FIRM ZONE 2'!V185</f>
        <v>267.46600000000001</v>
      </c>
      <c r="E174" s="92">
        <f>'[2]FGT PRIMARY FIRM ZONE 3'!V185</f>
        <v>133.845</v>
      </c>
      <c r="F174" s="83">
        <f>'[2]FGT FIRM ZONE 3 MOBILE BAY-DES'!V185-40-25-60-100</f>
        <v>53.48399999999998</v>
      </c>
      <c r="G174" s="86">
        <v>40</v>
      </c>
      <c r="H174" s="83">
        <f t="shared" si="27"/>
        <v>185</v>
      </c>
      <c r="I174" s="83">
        <f t="shared" si="18"/>
        <v>0</v>
      </c>
      <c r="J174" s="86">
        <v>100</v>
      </c>
      <c r="K174" s="86">
        <v>300</v>
      </c>
      <c r="L174" s="83">
        <f t="shared" si="22"/>
        <v>1274</v>
      </c>
      <c r="M174" s="94">
        <v>600</v>
      </c>
      <c r="N174" s="83">
        <f>'[2]FGT NON-FIRM'!P185</f>
        <v>30</v>
      </c>
      <c r="O174" s="86">
        <v>240</v>
      </c>
      <c r="P174" s="86">
        <v>160</v>
      </c>
      <c r="Q174" s="86">
        <f t="shared" si="23"/>
        <v>195</v>
      </c>
      <c r="R174" s="86">
        <f t="shared" si="24"/>
        <v>100</v>
      </c>
      <c r="S174" s="83">
        <f t="shared" si="25"/>
        <v>695</v>
      </c>
      <c r="T174" s="83">
        <f>'[2]GULFSTREAM NON-FIRM'!H185</f>
        <v>0</v>
      </c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</row>
    <row r="175" spans="1:30" ht="15.75" hidden="1" x14ac:dyDescent="0.25">
      <c r="A175" s="13">
        <v>46235</v>
      </c>
      <c r="B175" s="97">
        <v>31</v>
      </c>
      <c r="C175" s="83">
        <f>'[2]FGT PRIMARY FIRM ZONE 1'!V186</f>
        <v>194.20499999999998</v>
      </c>
      <c r="D175" s="83">
        <f>'[2]FGT PRIMARY FIRM ZONE 2'!V186</f>
        <v>267.46600000000001</v>
      </c>
      <c r="E175" s="92">
        <f>'[2]FGT PRIMARY FIRM ZONE 3'!V186</f>
        <v>133.845</v>
      </c>
      <c r="F175" s="83">
        <f>'[2]FGT FIRM ZONE 3 MOBILE BAY-DES'!V186-40-25-60-100</f>
        <v>53.48399999999998</v>
      </c>
      <c r="G175" s="86">
        <v>40</v>
      </c>
      <c r="H175" s="83">
        <f t="shared" si="27"/>
        <v>185</v>
      </c>
      <c r="I175" s="83">
        <f t="shared" si="18"/>
        <v>0</v>
      </c>
      <c r="J175" s="86">
        <v>100</v>
      </c>
      <c r="K175" s="86">
        <v>300</v>
      </c>
      <c r="L175" s="83">
        <f t="shared" si="22"/>
        <v>1274</v>
      </c>
      <c r="M175" s="94">
        <v>600</v>
      </c>
      <c r="N175" s="83">
        <f>'[2]FGT NON-FIRM'!P186</f>
        <v>30</v>
      </c>
      <c r="O175" s="86">
        <v>240</v>
      </c>
      <c r="P175" s="86">
        <v>160</v>
      </c>
      <c r="Q175" s="86">
        <f t="shared" si="23"/>
        <v>195</v>
      </c>
      <c r="R175" s="86">
        <f t="shared" si="24"/>
        <v>100</v>
      </c>
      <c r="S175" s="83">
        <f t="shared" si="25"/>
        <v>695</v>
      </c>
      <c r="T175" s="83">
        <f>'[2]GULFSTREAM NON-FIRM'!H186</f>
        <v>0</v>
      </c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</row>
    <row r="176" spans="1:30" ht="15.75" hidden="1" x14ac:dyDescent="0.25">
      <c r="A176" s="13">
        <v>46266</v>
      </c>
      <c r="B176" s="97">
        <v>30</v>
      </c>
      <c r="C176" s="83">
        <f>'[2]FGT PRIMARY FIRM ZONE 1'!V187</f>
        <v>194.20499999999998</v>
      </c>
      <c r="D176" s="83">
        <f>'[2]FGT PRIMARY FIRM ZONE 2'!V187</f>
        <v>267.46600000000001</v>
      </c>
      <c r="E176" s="92">
        <f>'[2]FGT PRIMARY FIRM ZONE 3'!V187</f>
        <v>133.845</v>
      </c>
      <c r="F176" s="83">
        <f>'[2]FGT FIRM ZONE 3 MOBILE BAY-DES'!V187-40-25-60-100</f>
        <v>53.48399999999998</v>
      </c>
      <c r="G176" s="86">
        <v>40</v>
      </c>
      <c r="H176" s="83">
        <f t="shared" si="27"/>
        <v>185</v>
      </c>
      <c r="I176" s="83">
        <f t="shared" si="18"/>
        <v>0</v>
      </c>
      <c r="J176" s="86">
        <v>100</v>
      </c>
      <c r="K176" s="86">
        <v>300</v>
      </c>
      <c r="L176" s="83">
        <f t="shared" si="22"/>
        <v>1274</v>
      </c>
      <c r="M176" s="94">
        <v>600</v>
      </c>
      <c r="N176" s="83">
        <f>'[2]FGT NON-FIRM'!P187</f>
        <v>30</v>
      </c>
      <c r="O176" s="86">
        <v>240</v>
      </c>
      <c r="P176" s="86">
        <v>160</v>
      </c>
      <c r="Q176" s="86">
        <f t="shared" si="23"/>
        <v>195</v>
      </c>
      <c r="R176" s="86">
        <f t="shared" si="24"/>
        <v>100</v>
      </c>
      <c r="S176" s="83">
        <f t="shared" si="25"/>
        <v>695</v>
      </c>
      <c r="T176" s="83">
        <f>'[2]GULFSTREAM NON-FIRM'!H187</f>
        <v>0</v>
      </c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</row>
    <row r="177" spans="1:30" ht="15.75" hidden="1" x14ac:dyDescent="0.25">
      <c r="A177" s="13">
        <v>46296</v>
      </c>
      <c r="B177" s="97">
        <v>31</v>
      </c>
      <c r="C177" s="83">
        <f>'[2]FGT PRIMARY FIRM ZONE 1'!V188</f>
        <v>131.881</v>
      </c>
      <c r="D177" s="83">
        <f>'[2]FGT PRIMARY FIRM ZONE 2'!V188</f>
        <v>277.16699999999997</v>
      </c>
      <c r="E177" s="92">
        <f>'[2]FGT PRIMARY FIRM ZONE 3'!V188</f>
        <v>79.08</v>
      </c>
      <c r="F177" s="83">
        <f>'[2]FGT FIRM ZONE 3 MOBILE BAY-DES'!V188-40-25-60-100</f>
        <v>125.87199999999996</v>
      </c>
      <c r="G177" s="86">
        <v>40</v>
      </c>
      <c r="H177" s="83">
        <f t="shared" si="27"/>
        <v>185</v>
      </c>
      <c r="I177" s="83">
        <f t="shared" si="18"/>
        <v>0</v>
      </c>
      <c r="J177" s="86">
        <v>100</v>
      </c>
      <c r="K177" s="86">
        <v>300</v>
      </c>
      <c r="L177" s="83">
        <f t="shared" si="22"/>
        <v>1239</v>
      </c>
      <c r="M177" s="94">
        <v>600</v>
      </c>
      <c r="N177" s="83">
        <f>'[2]FGT NON-FIRM'!P188</f>
        <v>75</v>
      </c>
      <c r="O177" s="86">
        <v>240</v>
      </c>
      <c r="P177" s="86">
        <v>160</v>
      </c>
      <c r="Q177" s="86">
        <f t="shared" si="23"/>
        <v>195</v>
      </c>
      <c r="R177" s="86">
        <f t="shared" si="24"/>
        <v>100</v>
      </c>
      <c r="S177" s="83">
        <f t="shared" si="25"/>
        <v>695</v>
      </c>
      <c r="T177" s="83">
        <f>'[2]GULFSTREAM NON-FIRM'!H188</f>
        <v>0</v>
      </c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</row>
    <row r="178" spans="1:30" ht="15.75" hidden="1" x14ac:dyDescent="0.25">
      <c r="A178" s="13">
        <v>46327</v>
      </c>
      <c r="B178" s="97">
        <v>30</v>
      </c>
      <c r="C178" s="83">
        <f>'[2]FGT PRIMARY FIRM ZONE 1'!V189</f>
        <v>122.58</v>
      </c>
      <c r="D178" s="83">
        <f>'[2]FGT PRIMARY FIRM ZONE 2'!V189</f>
        <v>297.94100000000003</v>
      </c>
      <c r="E178" s="92">
        <f>'[2]FGT PRIMARY FIRM ZONE 3'!V189</f>
        <v>89.177000000000007</v>
      </c>
      <c r="F178" s="83">
        <f>'[2]FGT FIRM ZONE 3 MOBILE BAY-DES'!V189-40-60-100</f>
        <v>40.301999999999992</v>
      </c>
      <c r="G178" s="86">
        <v>40</v>
      </c>
      <c r="H178" s="83">
        <f>60+100</f>
        <v>160</v>
      </c>
      <c r="I178" s="83">
        <f t="shared" si="18"/>
        <v>0</v>
      </c>
      <c r="J178" s="86">
        <v>100</v>
      </c>
      <c r="K178" s="86">
        <v>300</v>
      </c>
      <c r="L178" s="83">
        <f t="shared" si="22"/>
        <v>1150</v>
      </c>
      <c r="M178" s="94">
        <v>600</v>
      </c>
      <c r="N178" s="83">
        <f>'[2]FGT NON-FIRM'!P189</f>
        <v>100</v>
      </c>
      <c r="O178" s="86">
        <v>240</v>
      </c>
      <c r="P178" s="86">
        <v>40</v>
      </c>
      <c r="Q178" s="86">
        <f t="shared" si="23"/>
        <v>315</v>
      </c>
      <c r="R178" s="86">
        <f t="shared" si="24"/>
        <v>100</v>
      </c>
      <c r="S178" s="83">
        <f t="shared" si="25"/>
        <v>695</v>
      </c>
      <c r="T178" s="83">
        <f>'[2]GULFSTREAM NON-FIRM'!H189</f>
        <v>50</v>
      </c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</row>
    <row r="179" spans="1:30" ht="15.75" hidden="1" x14ac:dyDescent="0.25">
      <c r="A179" s="13">
        <v>46357</v>
      </c>
      <c r="B179" s="97">
        <v>31</v>
      </c>
      <c r="C179" s="83">
        <f>'[2]FGT PRIMARY FIRM ZONE 1'!V190</f>
        <v>122.58</v>
      </c>
      <c r="D179" s="83">
        <f>'[2]FGT PRIMARY FIRM ZONE 2'!V190</f>
        <v>297.94100000000003</v>
      </c>
      <c r="E179" s="92">
        <f>'[2]FGT PRIMARY FIRM ZONE 3'!V190</f>
        <v>89.177000000000007</v>
      </c>
      <c r="F179" s="83">
        <f>'[2]FGT FIRM ZONE 3 MOBILE BAY-DES'!V190-40-60-100</f>
        <v>40.301999999999992</v>
      </c>
      <c r="G179" s="86">
        <v>40</v>
      </c>
      <c r="H179" s="83">
        <f>60+100</f>
        <v>160</v>
      </c>
      <c r="I179" s="83">
        <f t="shared" si="18"/>
        <v>0</v>
      </c>
      <c r="J179" s="86">
        <v>100</v>
      </c>
      <c r="K179" s="86">
        <v>300</v>
      </c>
      <c r="L179" s="83">
        <f t="shared" si="22"/>
        <v>1150</v>
      </c>
      <c r="M179" s="94">
        <v>600</v>
      </c>
      <c r="N179" s="83">
        <f>'[2]FGT NON-FIRM'!P190</f>
        <v>100</v>
      </c>
      <c r="O179" s="86">
        <v>240</v>
      </c>
      <c r="P179" s="86">
        <v>40</v>
      </c>
      <c r="Q179" s="86">
        <f t="shared" si="23"/>
        <v>315</v>
      </c>
      <c r="R179" s="86">
        <f t="shared" si="24"/>
        <v>100</v>
      </c>
      <c r="S179" s="83">
        <f t="shared" si="25"/>
        <v>695</v>
      </c>
      <c r="T179" s="83">
        <f>'[2]GULFSTREAM NON-FIRM'!H190</f>
        <v>50</v>
      </c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</row>
    <row r="180" spans="1:30" ht="15.75" hidden="1" x14ac:dyDescent="0.25">
      <c r="A180" s="13">
        <v>46388</v>
      </c>
      <c r="B180" s="97">
        <v>31</v>
      </c>
      <c r="C180" s="83">
        <f>'[2]FGT PRIMARY FIRM ZONE 1'!V191</f>
        <v>122.58</v>
      </c>
      <c r="D180" s="83">
        <f>'[2]FGT PRIMARY FIRM ZONE 2'!V191</f>
        <v>297.94100000000003</v>
      </c>
      <c r="E180" s="92">
        <f>'[2]FGT PRIMARY FIRM ZONE 3'!V191</f>
        <v>89.177000000000007</v>
      </c>
      <c r="F180" s="83">
        <f>'[2]FGT FIRM ZONE 3 MOBILE BAY-DES'!V191-40-60-100</f>
        <v>40.301999999999992</v>
      </c>
      <c r="G180" s="86">
        <v>40</v>
      </c>
      <c r="H180" s="83">
        <f>60+100</f>
        <v>160</v>
      </c>
      <c r="I180" s="83">
        <f t="shared" ref="I180:I243" si="28">400-J180-K180</f>
        <v>0</v>
      </c>
      <c r="J180" s="86">
        <v>100</v>
      </c>
      <c r="K180" s="86">
        <v>300</v>
      </c>
      <c r="L180" s="83">
        <f t="shared" si="22"/>
        <v>1150</v>
      </c>
      <c r="M180" s="94">
        <v>600</v>
      </c>
      <c r="N180" s="83">
        <f>'[2]FGT NON-FIRM'!P191</f>
        <v>100</v>
      </c>
      <c r="O180" s="86">
        <v>240</v>
      </c>
      <c r="P180" s="86">
        <v>40</v>
      </c>
      <c r="Q180" s="86">
        <f t="shared" si="23"/>
        <v>315</v>
      </c>
      <c r="R180" s="86">
        <f t="shared" si="24"/>
        <v>100</v>
      </c>
      <c r="S180" s="83">
        <f t="shared" si="25"/>
        <v>695</v>
      </c>
      <c r="T180" s="83">
        <f>'[2]GULFSTREAM NON-FIRM'!H191</f>
        <v>50</v>
      </c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</row>
    <row r="181" spans="1:30" ht="15.75" hidden="1" x14ac:dyDescent="0.25">
      <c r="A181" s="13">
        <v>46419</v>
      </c>
      <c r="B181" s="97">
        <v>28</v>
      </c>
      <c r="C181" s="83">
        <f>'[2]FGT PRIMARY FIRM ZONE 1'!V192</f>
        <v>122.58</v>
      </c>
      <c r="D181" s="83">
        <f>'[2]FGT PRIMARY FIRM ZONE 2'!V192</f>
        <v>297.94100000000003</v>
      </c>
      <c r="E181" s="92">
        <f>'[2]FGT PRIMARY FIRM ZONE 3'!V192</f>
        <v>89.177000000000007</v>
      </c>
      <c r="F181" s="83">
        <f>'[2]FGT FIRM ZONE 3 MOBILE BAY-DES'!V192-40-60-100</f>
        <v>40.301999999999992</v>
      </c>
      <c r="G181" s="86">
        <v>40</v>
      </c>
      <c r="H181" s="83">
        <f>60+100</f>
        <v>160</v>
      </c>
      <c r="I181" s="83">
        <f t="shared" si="28"/>
        <v>0</v>
      </c>
      <c r="J181" s="86">
        <v>100</v>
      </c>
      <c r="K181" s="86">
        <v>300</v>
      </c>
      <c r="L181" s="83">
        <f t="shared" si="22"/>
        <v>1150</v>
      </c>
      <c r="M181" s="94">
        <v>600</v>
      </c>
      <c r="N181" s="83">
        <f>'[2]FGT NON-FIRM'!P192</f>
        <v>100</v>
      </c>
      <c r="O181" s="86">
        <v>240</v>
      </c>
      <c r="P181" s="86">
        <v>40</v>
      </c>
      <c r="Q181" s="86">
        <f t="shared" si="23"/>
        <v>315</v>
      </c>
      <c r="R181" s="86">
        <f t="shared" si="24"/>
        <v>100</v>
      </c>
      <c r="S181" s="83">
        <f t="shared" si="25"/>
        <v>695</v>
      </c>
      <c r="T181" s="83">
        <f>'[2]GULFSTREAM NON-FIRM'!H192</f>
        <v>50</v>
      </c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</row>
    <row r="182" spans="1:30" ht="15.75" hidden="1" x14ac:dyDescent="0.25">
      <c r="A182" s="13">
        <v>46447</v>
      </c>
      <c r="B182" s="97">
        <v>31</v>
      </c>
      <c r="C182" s="83">
        <f>'[2]FGT PRIMARY FIRM ZONE 1'!V193</f>
        <v>122.58</v>
      </c>
      <c r="D182" s="83">
        <f>'[2]FGT PRIMARY FIRM ZONE 2'!V193</f>
        <v>297.94100000000003</v>
      </c>
      <c r="E182" s="92">
        <f>'[2]FGT PRIMARY FIRM ZONE 3'!V193</f>
        <v>89.177000000000007</v>
      </c>
      <c r="F182" s="83">
        <f>'[2]FGT FIRM ZONE 3 MOBILE BAY-DES'!V193-40-60-100</f>
        <v>40.301999999999992</v>
      </c>
      <c r="G182" s="86">
        <v>40</v>
      </c>
      <c r="H182" s="83">
        <f>60+100</f>
        <v>160</v>
      </c>
      <c r="I182" s="83">
        <f t="shared" si="28"/>
        <v>0</v>
      </c>
      <c r="J182" s="86">
        <v>100</v>
      </c>
      <c r="K182" s="86">
        <v>300</v>
      </c>
      <c r="L182" s="83">
        <f t="shared" si="22"/>
        <v>1150</v>
      </c>
      <c r="M182" s="94">
        <v>600</v>
      </c>
      <c r="N182" s="83">
        <f>'[2]FGT NON-FIRM'!P193</f>
        <v>100</v>
      </c>
      <c r="O182" s="86">
        <v>240</v>
      </c>
      <c r="P182" s="86">
        <v>40</v>
      </c>
      <c r="Q182" s="86">
        <f t="shared" si="23"/>
        <v>315</v>
      </c>
      <c r="R182" s="86">
        <f t="shared" si="24"/>
        <v>100</v>
      </c>
      <c r="S182" s="83">
        <f t="shared" si="25"/>
        <v>695</v>
      </c>
      <c r="T182" s="83">
        <f>'[2]GULFSTREAM NON-FIRM'!H193</f>
        <v>50</v>
      </c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</row>
    <row r="183" spans="1:30" ht="15.75" hidden="1" x14ac:dyDescent="0.25">
      <c r="A183" s="13">
        <v>46478</v>
      </c>
      <c r="B183" s="97">
        <v>30</v>
      </c>
      <c r="C183" s="83">
        <f>'[2]FGT PRIMARY FIRM ZONE 1'!V194</f>
        <v>141.29300000000001</v>
      </c>
      <c r="D183" s="83">
        <f>'[2]FGT PRIMARY FIRM ZONE 2'!V194</f>
        <v>267.99299999999999</v>
      </c>
      <c r="E183" s="92">
        <f>'[2]FGT PRIMARY FIRM ZONE 3'!V194</f>
        <v>115.01600000000001</v>
      </c>
      <c r="F183" s="83">
        <f>'[2]FGT FIRM ZONE 3 MOBILE BAY-DES'!V194-40-25-60-100</f>
        <v>89.698000000000036</v>
      </c>
      <c r="G183" s="86">
        <v>40</v>
      </c>
      <c r="H183" s="83">
        <f t="shared" ref="H183:H189" si="29">25+60+100</f>
        <v>185</v>
      </c>
      <c r="I183" s="83">
        <f t="shared" si="28"/>
        <v>0</v>
      </c>
      <c r="J183" s="86">
        <v>100</v>
      </c>
      <c r="K183" s="86">
        <v>300</v>
      </c>
      <c r="L183" s="83">
        <f t="shared" si="22"/>
        <v>1239</v>
      </c>
      <c r="M183" s="94">
        <v>600</v>
      </c>
      <c r="N183" s="83">
        <f>'[2]FGT NON-FIRM'!P194</f>
        <v>100</v>
      </c>
      <c r="O183" s="86">
        <v>240</v>
      </c>
      <c r="P183" s="86">
        <v>160</v>
      </c>
      <c r="Q183" s="86">
        <f t="shared" si="23"/>
        <v>195</v>
      </c>
      <c r="R183" s="86">
        <f t="shared" si="24"/>
        <v>100</v>
      </c>
      <c r="S183" s="83">
        <f t="shared" si="25"/>
        <v>695</v>
      </c>
      <c r="T183" s="83">
        <f>'[2]GULFSTREAM NON-FIRM'!H194</f>
        <v>50</v>
      </c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</row>
    <row r="184" spans="1:30" ht="15.75" hidden="1" x14ac:dyDescent="0.25">
      <c r="A184" s="13">
        <v>46508</v>
      </c>
      <c r="B184" s="97">
        <v>31</v>
      </c>
      <c r="C184" s="83">
        <f>'[2]FGT PRIMARY FIRM ZONE 1'!V195</f>
        <v>194.20499999999998</v>
      </c>
      <c r="D184" s="83">
        <f>'[2]FGT PRIMARY FIRM ZONE 2'!V195</f>
        <v>267.46600000000001</v>
      </c>
      <c r="E184" s="92">
        <f>'[2]FGT PRIMARY FIRM ZONE 3'!V195</f>
        <v>133.845</v>
      </c>
      <c r="F184" s="83">
        <f>'[2]FGT FIRM ZONE 3 MOBILE BAY-DES'!V195-40-25-60-100</f>
        <v>53.48399999999998</v>
      </c>
      <c r="G184" s="86">
        <v>40</v>
      </c>
      <c r="H184" s="83">
        <f t="shared" si="29"/>
        <v>185</v>
      </c>
      <c r="I184" s="83">
        <f t="shared" si="28"/>
        <v>0</v>
      </c>
      <c r="J184" s="86">
        <v>100</v>
      </c>
      <c r="K184" s="86">
        <v>300</v>
      </c>
      <c r="L184" s="83">
        <f t="shared" si="22"/>
        <v>1274</v>
      </c>
      <c r="M184" s="94">
        <v>600</v>
      </c>
      <c r="N184" s="83">
        <f>'[2]FGT NON-FIRM'!P195</f>
        <v>75</v>
      </c>
      <c r="O184" s="86">
        <v>240</v>
      </c>
      <c r="P184" s="86">
        <v>160</v>
      </c>
      <c r="Q184" s="86">
        <f t="shared" si="23"/>
        <v>195</v>
      </c>
      <c r="R184" s="86">
        <f t="shared" si="24"/>
        <v>100</v>
      </c>
      <c r="S184" s="83">
        <f t="shared" si="25"/>
        <v>695</v>
      </c>
      <c r="T184" s="83">
        <f>'[2]GULFSTREAM NON-FIRM'!H195</f>
        <v>50</v>
      </c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</row>
    <row r="185" spans="1:30" ht="15.75" hidden="1" x14ac:dyDescent="0.25">
      <c r="A185" s="13">
        <v>46539</v>
      </c>
      <c r="B185" s="97">
        <v>30</v>
      </c>
      <c r="C185" s="83">
        <f>'[2]FGT PRIMARY FIRM ZONE 1'!V196</f>
        <v>194.20499999999998</v>
      </c>
      <c r="D185" s="83">
        <f>'[2]FGT PRIMARY FIRM ZONE 2'!V196</f>
        <v>267.46600000000001</v>
      </c>
      <c r="E185" s="92">
        <f>'[2]FGT PRIMARY FIRM ZONE 3'!V196</f>
        <v>133.845</v>
      </c>
      <c r="F185" s="83">
        <f>'[2]FGT FIRM ZONE 3 MOBILE BAY-DES'!V196-40-25-60-100</f>
        <v>53.48399999999998</v>
      </c>
      <c r="G185" s="86">
        <v>40</v>
      </c>
      <c r="H185" s="83">
        <f t="shared" si="29"/>
        <v>185</v>
      </c>
      <c r="I185" s="83">
        <f t="shared" si="28"/>
        <v>0</v>
      </c>
      <c r="J185" s="86">
        <v>100</v>
      </c>
      <c r="K185" s="86">
        <v>300</v>
      </c>
      <c r="L185" s="83">
        <f t="shared" si="22"/>
        <v>1274</v>
      </c>
      <c r="M185" s="94">
        <v>600</v>
      </c>
      <c r="N185" s="83">
        <f>'[2]FGT NON-FIRM'!P196</f>
        <v>30</v>
      </c>
      <c r="O185" s="86">
        <v>240</v>
      </c>
      <c r="P185" s="86">
        <v>160</v>
      </c>
      <c r="Q185" s="86">
        <f t="shared" si="23"/>
        <v>195</v>
      </c>
      <c r="R185" s="86">
        <f t="shared" si="24"/>
        <v>100</v>
      </c>
      <c r="S185" s="83">
        <f t="shared" si="25"/>
        <v>695</v>
      </c>
      <c r="T185" s="83">
        <f>'[2]GULFSTREAM NON-FIRM'!H196</f>
        <v>50</v>
      </c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</row>
    <row r="186" spans="1:30" ht="15.75" hidden="1" x14ac:dyDescent="0.25">
      <c r="A186" s="13">
        <v>46569</v>
      </c>
      <c r="B186" s="97">
        <v>31</v>
      </c>
      <c r="C186" s="83">
        <f>'[2]FGT PRIMARY FIRM ZONE 1'!V197</f>
        <v>194.20499999999998</v>
      </c>
      <c r="D186" s="83">
        <f>'[2]FGT PRIMARY FIRM ZONE 2'!V197</f>
        <v>267.46600000000001</v>
      </c>
      <c r="E186" s="92">
        <f>'[2]FGT PRIMARY FIRM ZONE 3'!V197</f>
        <v>133.845</v>
      </c>
      <c r="F186" s="83">
        <f>'[2]FGT FIRM ZONE 3 MOBILE BAY-DES'!V197-40-25-60-100</f>
        <v>53.48399999999998</v>
      </c>
      <c r="G186" s="86">
        <v>40</v>
      </c>
      <c r="H186" s="83">
        <f t="shared" si="29"/>
        <v>185</v>
      </c>
      <c r="I186" s="83">
        <f t="shared" si="28"/>
        <v>0</v>
      </c>
      <c r="J186" s="86">
        <v>100</v>
      </c>
      <c r="K186" s="86">
        <v>300</v>
      </c>
      <c r="L186" s="83">
        <f t="shared" si="22"/>
        <v>1274</v>
      </c>
      <c r="M186" s="94">
        <v>600</v>
      </c>
      <c r="N186" s="83">
        <f>'[2]FGT NON-FIRM'!P197</f>
        <v>30</v>
      </c>
      <c r="O186" s="86">
        <v>240</v>
      </c>
      <c r="P186" s="86">
        <v>160</v>
      </c>
      <c r="Q186" s="86">
        <f t="shared" si="23"/>
        <v>195</v>
      </c>
      <c r="R186" s="86">
        <f t="shared" si="24"/>
        <v>100</v>
      </c>
      <c r="S186" s="83">
        <f t="shared" si="25"/>
        <v>695</v>
      </c>
      <c r="T186" s="83">
        <f>'[2]GULFSTREAM NON-FIRM'!H197</f>
        <v>0</v>
      </c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</row>
    <row r="187" spans="1:30" ht="15.75" hidden="1" x14ac:dyDescent="0.25">
      <c r="A187" s="13">
        <v>46600</v>
      </c>
      <c r="B187" s="97">
        <v>31</v>
      </c>
      <c r="C187" s="83">
        <f>'[2]FGT PRIMARY FIRM ZONE 1'!V198</f>
        <v>194.20499999999998</v>
      </c>
      <c r="D187" s="83">
        <f>'[2]FGT PRIMARY FIRM ZONE 2'!V198</f>
        <v>267.46600000000001</v>
      </c>
      <c r="E187" s="92">
        <f>'[2]FGT PRIMARY FIRM ZONE 3'!V198</f>
        <v>133.845</v>
      </c>
      <c r="F187" s="83">
        <f>'[2]FGT FIRM ZONE 3 MOBILE BAY-DES'!V198-40-25-60-100</f>
        <v>53.48399999999998</v>
      </c>
      <c r="G187" s="86">
        <v>40</v>
      </c>
      <c r="H187" s="83">
        <f t="shared" si="29"/>
        <v>185</v>
      </c>
      <c r="I187" s="83">
        <f t="shared" si="28"/>
        <v>0</v>
      </c>
      <c r="J187" s="86">
        <v>100</v>
      </c>
      <c r="K187" s="86">
        <v>300</v>
      </c>
      <c r="L187" s="83">
        <f t="shared" si="22"/>
        <v>1274</v>
      </c>
      <c r="M187" s="94">
        <v>600</v>
      </c>
      <c r="N187" s="83">
        <f>'[2]FGT NON-FIRM'!P198</f>
        <v>30</v>
      </c>
      <c r="O187" s="86">
        <v>240</v>
      </c>
      <c r="P187" s="86">
        <v>160</v>
      </c>
      <c r="Q187" s="86">
        <f t="shared" si="23"/>
        <v>195</v>
      </c>
      <c r="R187" s="86">
        <f t="shared" si="24"/>
        <v>100</v>
      </c>
      <c r="S187" s="83">
        <f t="shared" si="25"/>
        <v>695</v>
      </c>
      <c r="T187" s="83">
        <f>'[2]GULFSTREAM NON-FIRM'!H198</f>
        <v>0</v>
      </c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</row>
    <row r="188" spans="1:30" ht="15.75" hidden="1" x14ac:dyDescent="0.25">
      <c r="A188" s="13">
        <v>46631</v>
      </c>
      <c r="B188" s="97">
        <v>30</v>
      </c>
      <c r="C188" s="83">
        <f>'[2]FGT PRIMARY FIRM ZONE 1'!V199</f>
        <v>194.20499999999998</v>
      </c>
      <c r="D188" s="83">
        <f>'[2]FGT PRIMARY FIRM ZONE 2'!V199</f>
        <v>267.46600000000001</v>
      </c>
      <c r="E188" s="92">
        <f>'[2]FGT PRIMARY FIRM ZONE 3'!V199</f>
        <v>133.845</v>
      </c>
      <c r="F188" s="83">
        <f>'[2]FGT FIRM ZONE 3 MOBILE BAY-DES'!V199-40-25-60-100</f>
        <v>53.48399999999998</v>
      </c>
      <c r="G188" s="86">
        <v>40</v>
      </c>
      <c r="H188" s="83">
        <f t="shared" si="29"/>
        <v>185</v>
      </c>
      <c r="I188" s="83">
        <f t="shared" si="28"/>
        <v>0</v>
      </c>
      <c r="J188" s="86">
        <v>100</v>
      </c>
      <c r="K188" s="86">
        <v>300</v>
      </c>
      <c r="L188" s="83">
        <f t="shared" si="22"/>
        <v>1274</v>
      </c>
      <c r="M188" s="94">
        <v>600</v>
      </c>
      <c r="N188" s="83">
        <f>'[2]FGT NON-FIRM'!P199</f>
        <v>30</v>
      </c>
      <c r="O188" s="86">
        <v>240</v>
      </c>
      <c r="P188" s="86">
        <v>160</v>
      </c>
      <c r="Q188" s="86">
        <f t="shared" si="23"/>
        <v>195</v>
      </c>
      <c r="R188" s="86">
        <f t="shared" si="24"/>
        <v>100</v>
      </c>
      <c r="S188" s="83">
        <f t="shared" si="25"/>
        <v>695</v>
      </c>
      <c r="T188" s="83">
        <f>'[2]GULFSTREAM NON-FIRM'!H199</f>
        <v>0</v>
      </c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</row>
    <row r="189" spans="1:30" ht="15.75" hidden="1" x14ac:dyDescent="0.25">
      <c r="A189" s="13">
        <v>46661</v>
      </c>
      <c r="B189" s="97">
        <v>31</v>
      </c>
      <c r="C189" s="83">
        <f>'[2]FGT PRIMARY FIRM ZONE 1'!V200</f>
        <v>131.881</v>
      </c>
      <c r="D189" s="83">
        <f>'[2]FGT PRIMARY FIRM ZONE 2'!V200</f>
        <v>277.16699999999997</v>
      </c>
      <c r="E189" s="92">
        <f>'[2]FGT PRIMARY FIRM ZONE 3'!V200</f>
        <v>79.08</v>
      </c>
      <c r="F189" s="83">
        <f>'[2]FGT FIRM ZONE 3 MOBILE BAY-DES'!V200-40-25-60-100</f>
        <v>125.87199999999996</v>
      </c>
      <c r="G189" s="86">
        <v>40</v>
      </c>
      <c r="H189" s="83">
        <f t="shared" si="29"/>
        <v>185</v>
      </c>
      <c r="I189" s="83">
        <f t="shared" si="28"/>
        <v>0</v>
      </c>
      <c r="J189" s="86">
        <v>100</v>
      </c>
      <c r="K189" s="86">
        <v>300</v>
      </c>
      <c r="L189" s="83">
        <f t="shared" si="22"/>
        <v>1239</v>
      </c>
      <c r="M189" s="94">
        <v>600</v>
      </c>
      <c r="N189" s="83">
        <f>'[2]FGT NON-FIRM'!P200</f>
        <v>75</v>
      </c>
      <c r="O189" s="86">
        <v>240</v>
      </c>
      <c r="P189" s="86">
        <v>160</v>
      </c>
      <c r="Q189" s="86">
        <f t="shared" si="23"/>
        <v>195</v>
      </c>
      <c r="R189" s="86">
        <f t="shared" si="24"/>
        <v>100</v>
      </c>
      <c r="S189" s="83">
        <f t="shared" si="25"/>
        <v>695</v>
      </c>
      <c r="T189" s="83">
        <f>'[2]GULFSTREAM NON-FIRM'!H200</f>
        <v>0</v>
      </c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</row>
    <row r="190" spans="1:30" ht="15.75" hidden="1" x14ac:dyDescent="0.25">
      <c r="A190" s="13">
        <v>46692</v>
      </c>
      <c r="B190" s="97">
        <v>30</v>
      </c>
      <c r="C190" s="83">
        <f>'[2]FGT PRIMARY FIRM ZONE 1'!V201</f>
        <v>122.58</v>
      </c>
      <c r="D190" s="83">
        <f>'[2]FGT PRIMARY FIRM ZONE 2'!V201</f>
        <v>297.94100000000003</v>
      </c>
      <c r="E190" s="92">
        <f>'[2]FGT PRIMARY FIRM ZONE 3'!V201</f>
        <v>89.177000000000007</v>
      </c>
      <c r="F190" s="83">
        <f>'[2]FGT FIRM ZONE 3 MOBILE BAY-DES'!V201-40-60-100</f>
        <v>40.301999999999992</v>
      </c>
      <c r="G190" s="86">
        <v>40</v>
      </c>
      <c r="H190" s="83">
        <f>60+100</f>
        <v>160</v>
      </c>
      <c r="I190" s="83">
        <f t="shared" si="28"/>
        <v>0</v>
      </c>
      <c r="J190" s="86">
        <v>100</v>
      </c>
      <c r="K190" s="86">
        <v>300</v>
      </c>
      <c r="L190" s="83">
        <f t="shared" si="22"/>
        <v>1150</v>
      </c>
      <c r="M190" s="94">
        <v>600</v>
      </c>
      <c r="N190" s="83">
        <f>'[2]FGT NON-FIRM'!P201</f>
        <v>100</v>
      </c>
      <c r="O190" s="86">
        <v>240</v>
      </c>
      <c r="P190" s="86">
        <v>40</v>
      </c>
      <c r="Q190" s="86">
        <f t="shared" si="23"/>
        <v>315</v>
      </c>
      <c r="R190" s="86">
        <f t="shared" si="24"/>
        <v>100</v>
      </c>
      <c r="S190" s="83">
        <f t="shared" si="25"/>
        <v>695</v>
      </c>
      <c r="T190" s="83">
        <f>'[2]GULFSTREAM NON-FIRM'!H201</f>
        <v>50</v>
      </c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</row>
    <row r="191" spans="1:30" ht="15.75" hidden="1" x14ac:dyDescent="0.25">
      <c r="A191" s="13">
        <v>46722</v>
      </c>
      <c r="B191" s="97">
        <v>31</v>
      </c>
      <c r="C191" s="83">
        <f>'[2]FGT PRIMARY FIRM ZONE 1'!V202</f>
        <v>122.58</v>
      </c>
      <c r="D191" s="83">
        <f>'[2]FGT PRIMARY FIRM ZONE 2'!V202</f>
        <v>297.94100000000003</v>
      </c>
      <c r="E191" s="92">
        <f>'[2]FGT PRIMARY FIRM ZONE 3'!V202</f>
        <v>89.177000000000007</v>
      </c>
      <c r="F191" s="83">
        <f>'[2]FGT FIRM ZONE 3 MOBILE BAY-DES'!V202-40-60-100</f>
        <v>40.301999999999992</v>
      </c>
      <c r="G191" s="86">
        <v>40</v>
      </c>
      <c r="H191" s="83">
        <f>60+100</f>
        <v>160</v>
      </c>
      <c r="I191" s="83">
        <f t="shared" si="28"/>
        <v>0</v>
      </c>
      <c r="J191" s="86">
        <v>100</v>
      </c>
      <c r="K191" s="86">
        <v>300</v>
      </c>
      <c r="L191" s="83">
        <f t="shared" si="22"/>
        <v>1150</v>
      </c>
      <c r="M191" s="94">
        <v>600</v>
      </c>
      <c r="N191" s="83">
        <f>'[2]FGT NON-FIRM'!P202</f>
        <v>100</v>
      </c>
      <c r="O191" s="86">
        <v>240</v>
      </c>
      <c r="P191" s="86">
        <v>40</v>
      </c>
      <c r="Q191" s="86">
        <f t="shared" si="23"/>
        <v>315</v>
      </c>
      <c r="R191" s="86">
        <f t="shared" si="24"/>
        <v>100</v>
      </c>
      <c r="S191" s="83">
        <f t="shared" si="25"/>
        <v>695</v>
      </c>
      <c r="T191" s="83">
        <f>'[2]GULFSTREAM NON-FIRM'!H202</f>
        <v>50</v>
      </c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</row>
    <row r="192" spans="1:30" ht="15.75" hidden="1" x14ac:dyDescent="0.25">
      <c r="A192" s="13">
        <v>46753</v>
      </c>
      <c r="B192" s="97">
        <v>31</v>
      </c>
      <c r="C192" s="83">
        <f>'[2]FGT PRIMARY FIRM ZONE 1'!V203</f>
        <v>122.58</v>
      </c>
      <c r="D192" s="83">
        <f>'[2]FGT PRIMARY FIRM ZONE 2'!V203</f>
        <v>297.94100000000003</v>
      </c>
      <c r="E192" s="92">
        <f>'[2]FGT PRIMARY FIRM ZONE 3'!V203</f>
        <v>89.177000000000007</v>
      </c>
      <c r="F192" s="83">
        <f>'[2]FGT FIRM ZONE 3 MOBILE BAY-DES'!V203-40-60-100</f>
        <v>40.301999999999992</v>
      </c>
      <c r="G192" s="86">
        <v>40</v>
      </c>
      <c r="H192" s="83">
        <f>60+100</f>
        <v>160</v>
      </c>
      <c r="I192" s="83">
        <f t="shared" si="28"/>
        <v>0</v>
      </c>
      <c r="J192" s="86">
        <v>100</v>
      </c>
      <c r="K192" s="86">
        <v>300</v>
      </c>
      <c r="L192" s="83">
        <f t="shared" si="22"/>
        <v>1150</v>
      </c>
      <c r="M192" s="94">
        <v>600</v>
      </c>
      <c r="N192" s="83">
        <f>'[2]FGT NON-FIRM'!P203</f>
        <v>100</v>
      </c>
      <c r="O192" s="86">
        <v>240</v>
      </c>
      <c r="P192" s="86">
        <v>40</v>
      </c>
      <c r="Q192" s="86">
        <f t="shared" si="23"/>
        <v>315</v>
      </c>
      <c r="R192" s="86">
        <f t="shared" si="24"/>
        <v>100</v>
      </c>
      <c r="S192" s="83">
        <f t="shared" si="25"/>
        <v>695</v>
      </c>
      <c r="T192" s="83">
        <f>'[2]GULFSTREAM NON-FIRM'!H203</f>
        <v>50</v>
      </c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</row>
    <row r="193" spans="1:30" ht="15.75" hidden="1" x14ac:dyDescent="0.25">
      <c r="A193" s="13">
        <v>46784</v>
      </c>
      <c r="B193" s="97">
        <v>29</v>
      </c>
      <c r="C193" s="83">
        <f>'[2]FGT PRIMARY FIRM ZONE 1'!V204</f>
        <v>122.58</v>
      </c>
      <c r="D193" s="83">
        <f>'[2]FGT PRIMARY FIRM ZONE 2'!V204</f>
        <v>297.94100000000003</v>
      </c>
      <c r="E193" s="92">
        <f>'[2]FGT PRIMARY FIRM ZONE 3'!V204</f>
        <v>89.177000000000007</v>
      </c>
      <c r="F193" s="83">
        <f>'[2]FGT FIRM ZONE 3 MOBILE BAY-DES'!V204-40-60-100</f>
        <v>40.301999999999992</v>
      </c>
      <c r="G193" s="86">
        <v>40</v>
      </c>
      <c r="H193" s="83">
        <f>60+100</f>
        <v>160</v>
      </c>
      <c r="I193" s="83">
        <f t="shared" si="28"/>
        <v>0</v>
      </c>
      <c r="J193" s="86">
        <v>100</v>
      </c>
      <c r="K193" s="86">
        <v>300</v>
      </c>
      <c r="L193" s="83">
        <f t="shared" si="22"/>
        <v>1150</v>
      </c>
      <c r="M193" s="94">
        <v>600</v>
      </c>
      <c r="N193" s="83">
        <f>'[2]FGT NON-FIRM'!P204</f>
        <v>100</v>
      </c>
      <c r="O193" s="86">
        <v>240</v>
      </c>
      <c r="P193" s="86">
        <v>40</v>
      </c>
      <c r="Q193" s="86">
        <f t="shared" si="23"/>
        <v>315</v>
      </c>
      <c r="R193" s="86">
        <f t="shared" si="24"/>
        <v>100</v>
      </c>
      <c r="S193" s="83">
        <f t="shared" si="25"/>
        <v>695</v>
      </c>
      <c r="T193" s="83">
        <f>'[2]GULFSTREAM NON-FIRM'!H204</f>
        <v>50</v>
      </c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</row>
    <row r="194" spans="1:30" ht="15.75" hidden="1" x14ac:dyDescent="0.25">
      <c r="A194" s="13">
        <v>46813</v>
      </c>
      <c r="B194" s="97">
        <v>31</v>
      </c>
      <c r="C194" s="83">
        <f>'[2]FGT PRIMARY FIRM ZONE 1'!V205</f>
        <v>122.58</v>
      </c>
      <c r="D194" s="83">
        <f>'[2]FGT PRIMARY FIRM ZONE 2'!V205</f>
        <v>297.94100000000003</v>
      </c>
      <c r="E194" s="92">
        <f>'[2]FGT PRIMARY FIRM ZONE 3'!V205</f>
        <v>89.177000000000007</v>
      </c>
      <c r="F194" s="83">
        <f>'[2]FGT FIRM ZONE 3 MOBILE BAY-DES'!V205-40-60-100</f>
        <v>40.301999999999992</v>
      </c>
      <c r="G194" s="86">
        <v>40</v>
      </c>
      <c r="H194" s="83">
        <f>60+100</f>
        <v>160</v>
      </c>
      <c r="I194" s="83">
        <f t="shared" si="28"/>
        <v>0</v>
      </c>
      <c r="J194" s="86">
        <v>100</v>
      </c>
      <c r="K194" s="86">
        <v>300</v>
      </c>
      <c r="L194" s="83">
        <f t="shared" si="22"/>
        <v>1150</v>
      </c>
      <c r="M194" s="94">
        <v>600</v>
      </c>
      <c r="N194" s="83">
        <f>'[2]FGT NON-FIRM'!P205</f>
        <v>100</v>
      </c>
      <c r="O194" s="86">
        <v>240</v>
      </c>
      <c r="P194" s="86">
        <v>40</v>
      </c>
      <c r="Q194" s="86">
        <f t="shared" si="23"/>
        <v>315</v>
      </c>
      <c r="R194" s="86">
        <f t="shared" si="24"/>
        <v>100</v>
      </c>
      <c r="S194" s="83">
        <f t="shared" si="25"/>
        <v>695</v>
      </c>
      <c r="T194" s="83">
        <f>'[2]GULFSTREAM NON-FIRM'!H205</f>
        <v>50</v>
      </c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</row>
    <row r="195" spans="1:30" ht="15.75" hidden="1" x14ac:dyDescent="0.25">
      <c r="A195" s="13">
        <v>46844</v>
      </c>
      <c r="B195" s="97">
        <v>30</v>
      </c>
      <c r="C195" s="83">
        <f>'[2]FGT PRIMARY FIRM ZONE 1'!V206</f>
        <v>141.29300000000001</v>
      </c>
      <c r="D195" s="83">
        <f>'[2]FGT PRIMARY FIRM ZONE 2'!V206</f>
        <v>267.99299999999999</v>
      </c>
      <c r="E195" s="92">
        <f>'[2]FGT PRIMARY FIRM ZONE 3'!V206</f>
        <v>115.01600000000001</v>
      </c>
      <c r="F195" s="83">
        <f>'[2]FGT FIRM ZONE 3 MOBILE BAY-DES'!V206-40-25-60-100</f>
        <v>89.698000000000036</v>
      </c>
      <c r="G195" s="86">
        <v>40</v>
      </c>
      <c r="H195" s="83">
        <f t="shared" ref="H195:H201" si="30">25+60+100</f>
        <v>185</v>
      </c>
      <c r="I195" s="83">
        <f t="shared" si="28"/>
        <v>0</v>
      </c>
      <c r="J195" s="86">
        <v>100</v>
      </c>
      <c r="K195" s="86">
        <v>300</v>
      </c>
      <c r="L195" s="83">
        <f t="shared" si="22"/>
        <v>1239</v>
      </c>
      <c r="M195" s="94">
        <v>600</v>
      </c>
      <c r="N195" s="83">
        <f>'[2]FGT NON-FIRM'!P206</f>
        <v>100</v>
      </c>
      <c r="O195" s="86">
        <v>240</v>
      </c>
      <c r="P195" s="86">
        <v>160</v>
      </c>
      <c r="Q195" s="86">
        <f t="shared" si="23"/>
        <v>195</v>
      </c>
      <c r="R195" s="86">
        <f t="shared" si="24"/>
        <v>100</v>
      </c>
      <c r="S195" s="83">
        <f t="shared" si="25"/>
        <v>695</v>
      </c>
      <c r="T195" s="83">
        <f>'[2]GULFSTREAM NON-FIRM'!H206</f>
        <v>50</v>
      </c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</row>
    <row r="196" spans="1:30" ht="15.75" hidden="1" x14ac:dyDescent="0.25">
      <c r="A196" s="13">
        <v>46874</v>
      </c>
      <c r="B196" s="97">
        <v>31</v>
      </c>
      <c r="C196" s="83">
        <f>'[2]FGT PRIMARY FIRM ZONE 1'!V207</f>
        <v>194.20499999999998</v>
      </c>
      <c r="D196" s="83">
        <f>'[2]FGT PRIMARY FIRM ZONE 2'!V207</f>
        <v>267.46600000000001</v>
      </c>
      <c r="E196" s="92">
        <f>'[2]FGT PRIMARY FIRM ZONE 3'!V207</f>
        <v>133.845</v>
      </c>
      <c r="F196" s="83">
        <f>'[2]FGT FIRM ZONE 3 MOBILE BAY-DES'!V207-40-25-60-100</f>
        <v>53.48399999999998</v>
      </c>
      <c r="G196" s="86">
        <v>40</v>
      </c>
      <c r="H196" s="83">
        <f t="shared" si="30"/>
        <v>185</v>
      </c>
      <c r="I196" s="83">
        <f t="shared" si="28"/>
        <v>0</v>
      </c>
      <c r="J196" s="86">
        <v>100</v>
      </c>
      <c r="K196" s="86">
        <v>300</v>
      </c>
      <c r="L196" s="83">
        <f t="shared" si="22"/>
        <v>1274</v>
      </c>
      <c r="M196" s="94">
        <v>600</v>
      </c>
      <c r="N196" s="83">
        <f>'[2]FGT NON-FIRM'!P207</f>
        <v>75</v>
      </c>
      <c r="O196" s="86">
        <v>240</v>
      </c>
      <c r="P196" s="86">
        <v>160</v>
      </c>
      <c r="Q196" s="86">
        <f t="shared" si="23"/>
        <v>195</v>
      </c>
      <c r="R196" s="86">
        <f t="shared" si="24"/>
        <v>100</v>
      </c>
      <c r="S196" s="83">
        <f t="shared" si="25"/>
        <v>695</v>
      </c>
      <c r="T196" s="83">
        <f>'[2]GULFSTREAM NON-FIRM'!H207</f>
        <v>50</v>
      </c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</row>
    <row r="197" spans="1:30" ht="15.75" hidden="1" x14ac:dyDescent="0.25">
      <c r="A197" s="13">
        <v>46905</v>
      </c>
      <c r="B197" s="97">
        <v>30</v>
      </c>
      <c r="C197" s="83">
        <f>'[2]FGT PRIMARY FIRM ZONE 1'!V208</f>
        <v>194.20499999999998</v>
      </c>
      <c r="D197" s="83">
        <f>'[2]FGT PRIMARY FIRM ZONE 2'!V208</f>
        <v>267.46600000000001</v>
      </c>
      <c r="E197" s="92">
        <f>'[2]FGT PRIMARY FIRM ZONE 3'!V208</f>
        <v>133.845</v>
      </c>
      <c r="F197" s="83">
        <f>'[2]FGT FIRM ZONE 3 MOBILE BAY-DES'!V208-40-25-60-100</f>
        <v>53.48399999999998</v>
      </c>
      <c r="G197" s="86">
        <v>40</v>
      </c>
      <c r="H197" s="83">
        <f t="shared" si="30"/>
        <v>185</v>
      </c>
      <c r="I197" s="83">
        <f t="shared" si="28"/>
        <v>0</v>
      </c>
      <c r="J197" s="86">
        <v>100</v>
      </c>
      <c r="K197" s="86">
        <v>300</v>
      </c>
      <c r="L197" s="83">
        <f t="shared" si="22"/>
        <v>1274</v>
      </c>
      <c r="M197" s="94">
        <v>600</v>
      </c>
      <c r="N197" s="83">
        <f>'[2]FGT NON-FIRM'!P208</f>
        <v>30</v>
      </c>
      <c r="O197" s="86">
        <v>240</v>
      </c>
      <c r="P197" s="86">
        <v>160</v>
      </c>
      <c r="Q197" s="86">
        <f t="shared" si="23"/>
        <v>195</v>
      </c>
      <c r="R197" s="86">
        <f t="shared" si="24"/>
        <v>100</v>
      </c>
      <c r="S197" s="83">
        <f t="shared" si="25"/>
        <v>695</v>
      </c>
      <c r="T197" s="83">
        <f>'[2]GULFSTREAM NON-FIRM'!H208</f>
        <v>50</v>
      </c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</row>
    <row r="198" spans="1:30" ht="15.75" hidden="1" x14ac:dyDescent="0.25">
      <c r="A198" s="13">
        <v>46935</v>
      </c>
      <c r="B198" s="97">
        <v>31</v>
      </c>
      <c r="C198" s="83">
        <f>'[2]FGT PRIMARY FIRM ZONE 1'!V209</f>
        <v>194.20499999999998</v>
      </c>
      <c r="D198" s="83">
        <f>'[2]FGT PRIMARY FIRM ZONE 2'!V209</f>
        <v>267.46600000000001</v>
      </c>
      <c r="E198" s="92">
        <f>'[2]FGT PRIMARY FIRM ZONE 3'!V209</f>
        <v>133.845</v>
      </c>
      <c r="F198" s="83">
        <f>'[2]FGT FIRM ZONE 3 MOBILE BAY-DES'!V209-40-25-60-100</f>
        <v>53.48399999999998</v>
      </c>
      <c r="G198" s="86">
        <v>40</v>
      </c>
      <c r="H198" s="83">
        <f t="shared" si="30"/>
        <v>185</v>
      </c>
      <c r="I198" s="83">
        <f t="shared" si="28"/>
        <v>0</v>
      </c>
      <c r="J198" s="86">
        <v>100</v>
      </c>
      <c r="K198" s="86">
        <v>300</v>
      </c>
      <c r="L198" s="83">
        <f t="shared" si="22"/>
        <v>1274</v>
      </c>
      <c r="M198" s="94">
        <v>600</v>
      </c>
      <c r="N198" s="83">
        <f>'[2]FGT NON-FIRM'!P209</f>
        <v>30</v>
      </c>
      <c r="O198" s="86">
        <v>240</v>
      </c>
      <c r="P198" s="86">
        <v>160</v>
      </c>
      <c r="Q198" s="86">
        <f t="shared" si="23"/>
        <v>195</v>
      </c>
      <c r="R198" s="86">
        <f t="shared" si="24"/>
        <v>100</v>
      </c>
      <c r="S198" s="83">
        <f t="shared" si="25"/>
        <v>695</v>
      </c>
      <c r="T198" s="83">
        <f>'[2]GULFSTREAM NON-FIRM'!H209</f>
        <v>0</v>
      </c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</row>
    <row r="199" spans="1:30" ht="15.75" hidden="1" x14ac:dyDescent="0.25">
      <c r="A199" s="13">
        <v>46966</v>
      </c>
      <c r="B199" s="97">
        <v>31</v>
      </c>
      <c r="C199" s="83">
        <f>'[2]FGT PRIMARY FIRM ZONE 1'!V210</f>
        <v>194.20499999999998</v>
      </c>
      <c r="D199" s="83">
        <f>'[2]FGT PRIMARY FIRM ZONE 2'!V210</f>
        <v>267.46600000000001</v>
      </c>
      <c r="E199" s="92">
        <f>'[2]FGT PRIMARY FIRM ZONE 3'!V210</f>
        <v>133.845</v>
      </c>
      <c r="F199" s="83">
        <f>'[2]FGT FIRM ZONE 3 MOBILE BAY-DES'!V210-40-25-60-100</f>
        <v>53.48399999999998</v>
      </c>
      <c r="G199" s="86">
        <v>40</v>
      </c>
      <c r="H199" s="83">
        <f t="shared" si="30"/>
        <v>185</v>
      </c>
      <c r="I199" s="83">
        <f t="shared" si="28"/>
        <v>0</v>
      </c>
      <c r="J199" s="86">
        <v>100</v>
      </c>
      <c r="K199" s="86">
        <v>300</v>
      </c>
      <c r="L199" s="83">
        <f t="shared" si="22"/>
        <v>1274</v>
      </c>
      <c r="M199" s="94">
        <v>600</v>
      </c>
      <c r="N199" s="83">
        <f>'[2]FGT NON-FIRM'!P210</f>
        <v>30</v>
      </c>
      <c r="O199" s="86">
        <v>240</v>
      </c>
      <c r="P199" s="86">
        <v>160</v>
      </c>
      <c r="Q199" s="86">
        <f t="shared" si="23"/>
        <v>195</v>
      </c>
      <c r="R199" s="86">
        <f t="shared" si="24"/>
        <v>100</v>
      </c>
      <c r="S199" s="83">
        <f t="shared" si="25"/>
        <v>695</v>
      </c>
      <c r="T199" s="83">
        <f>'[2]GULFSTREAM NON-FIRM'!H210</f>
        <v>0</v>
      </c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</row>
    <row r="200" spans="1:30" ht="15.75" hidden="1" x14ac:dyDescent="0.25">
      <c r="A200" s="13">
        <v>46997</v>
      </c>
      <c r="B200" s="97">
        <v>30</v>
      </c>
      <c r="C200" s="83">
        <f>'[2]FGT PRIMARY FIRM ZONE 1'!V211</f>
        <v>194.20499999999998</v>
      </c>
      <c r="D200" s="83">
        <f>'[2]FGT PRIMARY FIRM ZONE 2'!V211</f>
        <v>267.46600000000001</v>
      </c>
      <c r="E200" s="92">
        <f>'[2]FGT PRIMARY FIRM ZONE 3'!V211</f>
        <v>133.845</v>
      </c>
      <c r="F200" s="83">
        <f>'[2]FGT FIRM ZONE 3 MOBILE BAY-DES'!V211-40-25-60-100</f>
        <v>53.48399999999998</v>
      </c>
      <c r="G200" s="86">
        <v>40</v>
      </c>
      <c r="H200" s="83">
        <f t="shared" si="30"/>
        <v>185</v>
      </c>
      <c r="I200" s="83">
        <f t="shared" si="28"/>
        <v>0</v>
      </c>
      <c r="J200" s="86">
        <v>100</v>
      </c>
      <c r="K200" s="86">
        <v>300</v>
      </c>
      <c r="L200" s="83">
        <f t="shared" si="22"/>
        <v>1274</v>
      </c>
      <c r="M200" s="94">
        <v>600</v>
      </c>
      <c r="N200" s="83">
        <f>'[2]FGT NON-FIRM'!P211</f>
        <v>30</v>
      </c>
      <c r="O200" s="86">
        <v>240</v>
      </c>
      <c r="P200" s="86">
        <v>160</v>
      </c>
      <c r="Q200" s="86">
        <f t="shared" si="23"/>
        <v>195</v>
      </c>
      <c r="R200" s="86">
        <f t="shared" si="24"/>
        <v>100</v>
      </c>
      <c r="S200" s="83">
        <f t="shared" si="25"/>
        <v>695</v>
      </c>
      <c r="T200" s="83">
        <f>'[2]GULFSTREAM NON-FIRM'!H211</f>
        <v>0</v>
      </c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</row>
    <row r="201" spans="1:30" ht="15.75" hidden="1" x14ac:dyDescent="0.25">
      <c r="A201" s="13">
        <v>47027</v>
      </c>
      <c r="B201" s="97">
        <v>31</v>
      </c>
      <c r="C201" s="83">
        <f>'[2]FGT PRIMARY FIRM ZONE 1'!V212</f>
        <v>131.881</v>
      </c>
      <c r="D201" s="83">
        <f>'[2]FGT PRIMARY FIRM ZONE 2'!V212</f>
        <v>277.16699999999997</v>
      </c>
      <c r="E201" s="92">
        <f>'[2]FGT PRIMARY FIRM ZONE 3'!V212</f>
        <v>79.08</v>
      </c>
      <c r="F201" s="83">
        <f>'[2]FGT FIRM ZONE 3 MOBILE BAY-DES'!V212-40-25-60-100</f>
        <v>125.87199999999996</v>
      </c>
      <c r="G201" s="86">
        <v>40</v>
      </c>
      <c r="H201" s="83">
        <f t="shared" si="30"/>
        <v>185</v>
      </c>
      <c r="I201" s="83">
        <f t="shared" si="28"/>
        <v>0</v>
      </c>
      <c r="J201" s="86">
        <v>100</v>
      </c>
      <c r="K201" s="86">
        <v>300</v>
      </c>
      <c r="L201" s="83">
        <f t="shared" si="22"/>
        <v>1239</v>
      </c>
      <c r="M201" s="94">
        <v>600</v>
      </c>
      <c r="N201" s="83">
        <f>'[2]FGT NON-FIRM'!P212</f>
        <v>75</v>
      </c>
      <c r="O201" s="86">
        <v>240</v>
      </c>
      <c r="P201" s="86">
        <v>160</v>
      </c>
      <c r="Q201" s="86">
        <f t="shared" si="23"/>
        <v>195</v>
      </c>
      <c r="R201" s="86">
        <f t="shared" si="24"/>
        <v>100</v>
      </c>
      <c r="S201" s="83">
        <f t="shared" si="25"/>
        <v>695</v>
      </c>
      <c r="T201" s="83">
        <f>'[2]GULFSTREAM NON-FIRM'!H212</f>
        <v>0</v>
      </c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</row>
    <row r="202" spans="1:30" ht="15.75" hidden="1" x14ac:dyDescent="0.25">
      <c r="A202" s="13">
        <v>47058</v>
      </c>
      <c r="B202" s="97">
        <v>30</v>
      </c>
      <c r="C202" s="83">
        <f>'[2]FGT PRIMARY FIRM ZONE 1'!V213</f>
        <v>122.58</v>
      </c>
      <c r="D202" s="83">
        <f>'[2]FGT PRIMARY FIRM ZONE 2'!V213</f>
        <v>297.94100000000003</v>
      </c>
      <c r="E202" s="92">
        <f>'[2]FGT PRIMARY FIRM ZONE 3'!V213</f>
        <v>89.177000000000007</v>
      </c>
      <c r="F202" s="83">
        <f>'[2]FGT FIRM ZONE 3 MOBILE BAY-DES'!V213-40-60-100</f>
        <v>40.301999999999992</v>
      </c>
      <c r="G202" s="86">
        <v>40</v>
      </c>
      <c r="H202" s="83">
        <f>60+100</f>
        <v>160</v>
      </c>
      <c r="I202" s="83">
        <f t="shared" si="28"/>
        <v>0</v>
      </c>
      <c r="J202" s="86">
        <v>100</v>
      </c>
      <c r="K202" s="86">
        <v>300</v>
      </c>
      <c r="L202" s="83">
        <f t="shared" si="22"/>
        <v>1150</v>
      </c>
      <c r="M202" s="94">
        <v>600</v>
      </c>
      <c r="N202" s="83">
        <f>'[2]FGT NON-FIRM'!P213</f>
        <v>100</v>
      </c>
      <c r="O202" s="86">
        <v>240</v>
      </c>
      <c r="P202" s="86">
        <v>40</v>
      </c>
      <c r="Q202" s="86">
        <f t="shared" si="23"/>
        <v>315</v>
      </c>
      <c r="R202" s="86">
        <f t="shared" si="24"/>
        <v>100</v>
      </c>
      <c r="S202" s="83">
        <f t="shared" si="25"/>
        <v>695</v>
      </c>
      <c r="T202" s="83">
        <f>'[2]GULFSTREAM NON-FIRM'!H213</f>
        <v>50</v>
      </c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</row>
    <row r="203" spans="1:30" ht="15.75" hidden="1" x14ac:dyDescent="0.25">
      <c r="A203" s="13">
        <v>47088</v>
      </c>
      <c r="B203" s="97">
        <v>31</v>
      </c>
      <c r="C203" s="83">
        <f>'[2]FGT PRIMARY FIRM ZONE 1'!V214</f>
        <v>122.58</v>
      </c>
      <c r="D203" s="83">
        <f>'[2]FGT PRIMARY FIRM ZONE 2'!V214</f>
        <v>297.94100000000003</v>
      </c>
      <c r="E203" s="92">
        <f>'[2]FGT PRIMARY FIRM ZONE 3'!V214</f>
        <v>89.177000000000007</v>
      </c>
      <c r="F203" s="83">
        <f>'[2]FGT FIRM ZONE 3 MOBILE BAY-DES'!V214-40-60-100</f>
        <v>40.301999999999992</v>
      </c>
      <c r="G203" s="86">
        <v>40</v>
      </c>
      <c r="H203" s="83">
        <f>60+100</f>
        <v>160</v>
      </c>
      <c r="I203" s="83">
        <f t="shared" si="28"/>
        <v>0</v>
      </c>
      <c r="J203" s="86">
        <v>100</v>
      </c>
      <c r="K203" s="86">
        <v>300</v>
      </c>
      <c r="L203" s="83">
        <f t="shared" si="22"/>
        <v>1150</v>
      </c>
      <c r="M203" s="94">
        <v>600</v>
      </c>
      <c r="N203" s="83">
        <f>'[2]FGT NON-FIRM'!P214</f>
        <v>100</v>
      </c>
      <c r="O203" s="86">
        <v>240</v>
      </c>
      <c r="P203" s="86">
        <v>40</v>
      </c>
      <c r="Q203" s="86">
        <f t="shared" si="23"/>
        <v>315</v>
      </c>
      <c r="R203" s="86">
        <f t="shared" si="24"/>
        <v>100</v>
      </c>
      <c r="S203" s="83">
        <f t="shared" si="25"/>
        <v>695</v>
      </c>
      <c r="T203" s="83">
        <f>'[2]GULFSTREAM NON-FIRM'!H214</f>
        <v>50</v>
      </c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</row>
    <row r="204" spans="1:30" ht="15.75" hidden="1" x14ac:dyDescent="0.25">
      <c r="A204" s="13">
        <v>47119</v>
      </c>
      <c r="B204" s="97">
        <v>31</v>
      </c>
      <c r="C204" s="83">
        <f>'[2]FGT PRIMARY FIRM ZONE 1'!V215</f>
        <v>122.58</v>
      </c>
      <c r="D204" s="83">
        <f>'[2]FGT PRIMARY FIRM ZONE 2'!V215</f>
        <v>297.94100000000003</v>
      </c>
      <c r="E204" s="92">
        <f>'[2]FGT PRIMARY FIRM ZONE 3'!V215</f>
        <v>89.177000000000007</v>
      </c>
      <c r="F204" s="83">
        <f>'[2]FGT FIRM ZONE 3 MOBILE BAY-DES'!V215-40-60-100</f>
        <v>40.301999999999992</v>
      </c>
      <c r="G204" s="86">
        <v>40</v>
      </c>
      <c r="H204" s="83">
        <f>60+100</f>
        <v>160</v>
      </c>
      <c r="I204" s="83">
        <f t="shared" si="28"/>
        <v>0</v>
      </c>
      <c r="J204" s="86">
        <v>100</v>
      </c>
      <c r="K204" s="86">
        <v>300</v>
      </c>
      <c r="L204" s="83">
        <f t="shared" si="22"/>
        <v>1150</v>
      </c>
      <c r="M204" s="94">
        <v>600</v>
      </c>
      <c r="N204" s="83">
        <f>'[2]FGT NON-FIRM'!P215</f>
        <v>100</v>
      </c>
      <c r="O204" s="86">
        <v>240</v>
      </c>
      <c r="P204" s="86">
        <v>40</v>
      </c>
      <c r="Q204" s="86">
        <f t="shared" si="23"/>
        <v>315</v>
      </c>
      <c r="R204" s="86">
        <f t="shared" si="24"/>
        <v>100</v>
      </c>
      <c r="S204" s="83">
        <f t="shared" si="25"/>
        <v>695</v>
      </c>
      <c r="T204" s="83">
        <f>'[2]GULFSTREAM NON-FIRM'!H215</f>
        <v>50</v>
      </c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</row>
    <row r="205" spans="1:30" ht="15.75" hidden="1" x14ac:dyDescent="0.25">
      <c r="A205" s="13">
        <v>47150</v>
      </c>
      <c r="B205" s="97">
        <v>28</v>
      </c>
      <c r="C205" s="83">
        <f>'[2]FGT PRIMARY FIRM ZONE 1'!V216</f>
        <v>122.58</v>
      </c>
      <c r="D205" s="83">
        <f>'[2]FGT PRIMARY FIRM ZONE 2'!V216</f>
        <v>297.94100000000003</v>
      </c>
      <c r="E205" s="92">
        <f>'[2]FGT PRIMARY FIRM ZONE 3'!V216</f>
        <v>89.177000000000007</v>
      </c>
      <c r="F205" s="83">
        <f>'[2]FGT FIRM ZONE 3 MOBILE BAY-DES'!V216-40-60-100</f>
        <v>40.301999999999992</v>
      </c>
      <c r="G205" s="86">
        <v>40</v>
      </c>
      <c r="H205" s="83">
        <f>60+100</f>
        <v>160</v>
      </c>
      <c r="I205" s="83">
        <f t="shared" si="28"/>
        <v>0</v>
      </c>
      <c r="J205" s="86">
        <v>100</v>
      </c>
      <c r="K205" s="86">
        <v>300</v>
      </c>
      <c r="L205" s="83">
        <f t="shared" si="22"/>
        <v>1150</v>
      </c>
      <c r="M205" s="94">
        <v>600</v>
      </c>
      <c r="N205" s="83">
        <f>'[2]FGT NON-FIRM'!P216</f>
        <v>100</v>
      </c>
      <c r="O205" s="86">
        <v>240</v>
      </c>
      <c r="P205" s="86">
        <v>40</v>
      </c>
      <c r="Q205" s="86">
        <f t="shared" si="23"/>
        <v>315</v>
      </c>
      <c r="R205" s="86">
        <f t="shared" si="24"/>
        <v>100</v>
      </c>
      <c r="S205" s="83">
        <f t="shared" si="25"/>
        <v>695</v>
      </c>
      <c r="T205" s="83">
        <f>'[2]GULFSTREAM NON-FIRM'!H216</f>
        <v>50</v>
      </c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</row>
    <row r="206" spans="1:30" ht="15.75" hidden="1" x14ac:dyDescent="0.25">
      <c r="A206" s="13">
        <v>47178</v>
      </c>
      <c r="B206" s="97">
        <v>31</v>
      </c>
      <c r="C206" s="83">
        <f>'[2]FGT PRIMARY FIRM ZONE 1'!V217</f>
        <v>122.58</v>
      </c>
      <c r="D206" s="83">
        <f>'[2]FGT PRIMARY FIRM ZONE 2'!V217</f>
        <v>297.94100000000003</v>
      </c>
      <c r="E206" s="92">
        <f>'[2]FGT PRIMARY FIRM ZONE 3'!V217</f>
        <v>89.177000000000007</v>
      </c>
      <c r="F206" s="83">
        <f>'[2]FGT FIRM ZONE 3 MOBILE BAY-DES'!V217-40-60-100</f>
        <v>40.301999999999992</v>
      </c>
      <c r="G206" s="86">
        <v>40</v>
      </c>
      <c r="H206" s="83">
        <f>60+100</f>
        <v>160</v>
      </c>
      <c r="I206" s="83">
        <f t="shared" si="28"/>
        <v>0</v>
      </c>
      <c r="J206" s="86">
        <v>100</v>
      </c>
      <c r="K206" s="86">
        <v>300</v>
      </c>
      <c r="L206" s="83">
        <f t="shared" si="22"/>
        <v>1150</v>
      </c>
      <c r="M206" s="94">
        <v>600</v>
      </c>
      <c r="N206" s="83">
        <f>'[2]FGT NON-FIRM'!P217</f>
        <v>100</v>
      </c>
      <c r="O206" s="86">
        <v>240</v>
      </c>
      <c r="P206" s="86">
        <v>40</v>
      </c>
      <c r="Q206" s="86">
        <f t="shared" si="23"/>
        <v>315</v>
      </c>
      <c r="R206" s="86">
        <f t="shared" si="24"/>
        <v>100</v>
      </c>
      <c r="S206" s="83">
        <f t="shared" si="25"/>
        <v>695</v>
      </c>
      <c r="T206" s="83">
        <f>'[2]GULFSTREAM NON-FIRM'!H217</f>
        <v>50</v>
      </c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</row>
    <row r="207" spans="1:30" ht="15.75" hidden="1" x14ac:dyDescent="0.25">
      <c r="A207" s="13">
        <v>47209</v>
      </c>
      <c r="B207" s="97">
        <v>30</v>
      </c>
      <c r="C207" s="83">
        <f>'[2]FGT PRIMARY FIRM ZONE 1'!V218</f>
        <v>141.29300000000001</v>
      </c>
      <c r="D207" s="83">
        <f>'[2]FGT PRIMARY FIRM ZONE 2'!V218</f>
        <v>267.99299999999999</v>
      </c>
      <c r="E207" s="92">
        <f>'[2]FGT PRIMARY FIRM ZONE 3'!V218</f>
        <v>115.01600000000001</v>
      </c>
      <c r="F207" s="83">
        <f>'[2]FGT FIRM ZONE 3 MOBILE BAY-DES'!V218-40-25-60-100</f>
        <v>89.698000000000036</v>
      </c>
      <c r="G207" s="86">
        <v>40</v>
      </c>
      <c r="H207" s="83">
        <f t="shared" ref="H207:H213" si="31">25+60+100</f>
        <v>185</v>
      </c>
      <c r="I207" s="83">
        <f t="shared" si="28"/>
        <v>0</v>
      </c>
      <c r="J207" s="86">
        <v>100</v>
      </c>
      <c r="K207" s="86">
        <v>300</v>
      </c>
      <c r="L207" s="83">
        <f t="shared" si="22"/>
        <v>1239</v>
      </c>
      <c r="M207" s="94">
        <v>600</v>
      </c>
      <c r="N207" s="83">
        <f>'[2]FGT NON-FIRM'!P218</f>
        <v>100</v>
      </c>
      <c r="O207" s="86">
        <v>240</v>
      </c>
      <c r="P207" s="86">
        <v>160</v>
      </c>
      <c r="Q207" s="86">
        <f t="shared" si="23"/>
        <v>195</v>
      </c>
      <c r="R207" s="86">
        <f t="shared" si="24"/>
        <v>100</v>
      </c>
      <c r="S207" s="83">
        <f t="shared" si="25"/>
        <v>695</v>
      </c>
      <c r="T207" s="83">
        <f>'[2]GULFSTREAM NON-FIRM'!H218</f>
        <v>50</v>
      </c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</row>
    <row r="208" spans="1:30" ht="15.75" hidden="1" x14ac:dyDescent="0.25">
      <c r="A208" s="13">
        <v>47239</v>
      </c>
      <c r="B208" s="97">
        <v>31</v>
      </c>
      <c r="C208" s="83">
        <f>'[2]FGT PRIMARY FIRM ZONE 1'!V219</f>
        <v>194.20499999999998</v>
      </c>
      <c r="D208" s="83">
        <f>'[2]FGT PRIMARY FIRM ZONE 2'!V219</f>
        <v>267.46600000000001</v>
      </c>
      <c r="E208" s="92">
        <f>'[2]FGT PRIMARY FIRM ZONE 3'!V219</f>
        <v>133.845</v>
      </c>
      <c r="F208" s="83">
        <f>'[2]FGT FIRM ZONE 3 MOBILE BAY-DES'!V219-40-25-60-100</f>
        <v>53.48399999999998</v>
      </c>
      <c r="G208" s="86">
        <v>40</v>
      </c>
      <c r="H208" s="83">
        <f t="shared" si="31"/>
        <v>185</v>
      </c>
      <c r="I208" s="83">
        <f t="shared" si="28"/>
        <v>0</v>
      </c>
      <c r="J208" s="86">
        <v>100</v>
      </c>
      <c r="K208" s="86">
        <v>300</v>
      </c>
      <c r="L208" s="83">
        <f t="shared" si="22"/>
        <v>1274</v>
      </c>
      <c r="M208" s="94">
        <v>600</v>
      </c>
      <c r="N208" s="83">
        <f>'[2]FGT NON-FIRM'!P219</f>
        <v>75</v>
      </c>
      <c r="O208" s="86">
        <v>240</v>
      </c>
      <c r="P208" s="86">
        <v>160</v>
      </c>
      <c r="Q208" s="86">
        <f t="shared" si="23"/>
        <v>195</v>
      </c>
      <c r="R208" s="86">
        <f t="shared" si="24"/>
        <v>100</v>
      </c>
      <c r="S208" s="83">
        <f t="shared" si="25"/>
        <v>695</v>
      </c>
      <c r="T208" s="83">
        <f>'[2]GULFSTREAM NON-FIRM'!H219</f>
        <v>50</v>
      </c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</row>
    <row r="209" spans="1:30" ht="15.75" hidden="1" x14ac:dyDescent="0.25">
      <c r="A209" s="13">
        <v>47270</v>
      </c>
      <c r="B209" s="97">
        <v>30</v>
      </c>
      <c r="C209" s="83">
        <f>'[2]FGT PRIMARY FIRM ZONE 1'!V220</f>
        <v>194.20499999999998</v>
      </c>
      <c r="D209" s="83">
        <f>'[2]FGT PRIMARY FIRM ZONE 2'!V220</f>
        <v>267.46600000000001</v>
      </c>
      <c r="E209" s="92">
        <f>'[2]FGT PRIMARY FIRM ZONE 3'!V220</f>
        <v>133.845</v>
      </c>
      <c r="F209" s="83">
        <f>'[2]FGT FIRM ZONE 3 MOBILE BAY-DES'!V220-40-25-60-100</f>
        <v>53.48399999999998</v>
      </c>
      <c r="G209" s="86">
        <v>40</v>
      </c>
      <c r="H209" s="83">
        <f t="shared" si="31"/>
        <v>185</v>
      </c>
      <c r="I209" s="83">
        <f t="shared" si="28"/>
        <v>0</v>
      </c>
      <c r="J209" s="86">
        <v>100</v>
      </c>
      <c r="K209" s="86">
        <v>300</v>
      </c>
      <c r="L209" s="83">
        <f t="shared" si="22"/>
        <v>1274</v>
      </c>
      <c r="M209" s="94">
        <v>600</v>
      </c>
      <c r="N209" s="83">
        <f>'[2]FGT NON-FIRM'!P220</f>
        <v>30</v>
      </c>
      <c r="O209" s="86">
        <v>240</v>
      </c>
      <c r="P209" s="86">
        <v>160</v>
      </c>
      <c r="Q209" s="86">
        <f t="shared" si="23"/>
        <v>195</v>
      </c>
      <c r="R209" s="86">
        <f t="shared" si="24"/>
        <v>100</v>
      </c>
      <c r="S209" s="83">
        <f t="shared" si="25"/>
        <v>695</v>
      </c>
      <c r="T209" s="83">
        <f>'[2]GULFSTREAM NON-FIRM'!H220</f>
        <v>50</v>
      </c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</row>
    <row r="210" spans="1:30" ht="15.75" hidden="1" x14ac:dyDescent="0.25">
      <c r="A210" s="13">
        <v>47300</v>
      </c>
      <c r="B210" s="97">
        <v>31</v>
      </c>
      <c r="C210" s="83">
        <f>'[2]FGT PRIMARY FIRM ZONE 1'!V221</f>
        <v>194.20499999999998</v>
      </c>
      <c r="D210" s="83">
        <f>'[2]FGT PRIMARY FIRM ZONE 2'!V221</f>
        <v>267.46600000000001</v>
      </c>
      <c r="E210" s="92">
        <f>'[2]FGT PRIMARY FIRM ZONE 3'!V221</f>
        <v>133.845</v>
      </c>
      <c r="F210" s="83">
        <f>'[2]FGT FIRM ZONE 3 MOBILE BAY-DES'!V221-40-25-60-100</f>
        <v>53.48399999999998</v>
      </c>
      <c r="G210" s="86">
        <v>40</v>
      </c>
      <c r="H210" s="83">
        <f t="shared" si="31"/>
        <v>185</v>
      </c>
      <c r="I210" s="83">
        <f t="shared" si="28"/>
        <v>0</v>
      </c>
      <c r="J210" s="86">
        <v>100</v>
      </c>
      <c r="K210" s="86">
        <v>300</v>
      </c>
      <c r="L210" s="83">
        <f t="shared" si="22"/>
        <v>1274</v>
      </c>
      <c r="M210" s="94">
        <v>600</v>
      </c>
      <c r="N210" s="83">
        <f>'[2]FGT NON-FIRM'!P221</f>
        <v>30</v>
      </c>
      <c r="O210" s="86">
        <v>240</v>
      </c>
      <c r="P210" s="86">
        <v>160</v>
      </c>
      <c r="Q210" s="86">
        <f t="shared" si="23"/>
        <v>195</v>
      </c>
      <c r="R210" s="86">
        <f t="shared" si="24"/>
        <v>100</v>
      </c>
      <c r="S210" s="83">
        <f t="shared" si="25"/>
        <v>695</v>
      </c>
      <c r="T210" s="83">
        <f>'[2]GULFSTREAM NON-FIRM'!H221</f>
        <v>0</v>
      </c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</row>
    <row r="211" spans="1:30" ht="15.75" hidden="1" x14ac:dyDescent="0.25">
      <c r="A211" s="13">
        <v>47331</v>
      </c>
      <c r="B211" s="97">
        <v>31</v>
      </c>
      <c r="C211" s="83">
        <f>'[2]FGT PRIMARY FIRM ZONE 1'!V222</f>
        <v>194.20499999999998</v>
      </c>
      <c r="D211" s="83">
        <f>'[2]FGT PRIMARY FIRM ZONE 2'!V222</f>
        <v>267.46600000000001</v>
      </c>
      <c r="E211" s="92">
        <f>'[2]FGT PRIMARY FIRM ZONE 3'!V222</f>
        <v>133.845</v>
      </c>
      <c r="F211" s="83">
        <f>'[2]FGT FIRM ZONE 3 MOBILE BAY-DES'!V222-40-25-60-100</f>
        <v>53.48399999999998</v>
      </c>
      <c r="G211" s="86">
        <v>40</v>
      </c>
      <c r="H211" s="83">
        <f t="shared" si="31"/>
        <v>185</v>
      </c>
      <c r="I211" s="83">
        <f t="shared" si="28"/>
        <v>0</v>
      </c>
      <c r="J211" s="86">
        <v>100</v>
      </c>
      <c r="K211" s="86">
        <v>300</v>
      </c>
      <c r="L211" s="83">
        <f t="shared" si="22"/>
        <v>1274</v>
      </c>
      <c r="M211" s="94">
        <v>600</v>
      </c>
      <c r="N211" s="83">
        <f>'[2]FGT NON-FIRM'!P222</f>
        <v>30</v>
      </c>
      <c r="O211" s="86">
        <v>240</v>
      </c>
      <c r="P211" s="86">
        <v>160</v>
      </c>
      <c r="Q211" s="86">
        <f t="shared" si="23"/>
        <v>195</v>
      </c>
      <c r="R211" s="86">
        <f t="shared" si="24"/>
        <v>100</v>
      </c>
      <c r="S211" s="83">
        <f t="shared" si="25"/>
        <v>695</v>
      </c>
      <c r="T211" s="83">
        <f>'[2]GULFSTREAM NON-FIRM'!H222</f>
        <v>0</v>
      </c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</row>
    <row r="212" spans="1:30" ht="15.75" hidden="1" x14ac:dyDescent="0.25">
      <c r="A212" s="13">
        <v>47362</v>
      </c>
      <c r="B212" s="97">
        <v>30</v>
      </c>
      <c r="C212" s="83">
        <f>'[2]FGT PRIMARY FIRM ZONE 1'!V223</f>
        <v>194.20499999999998</v>
      </c>
      <c r="D212" s="83">
        <f>'[2]FGT PRIMARY FIRM ZONE 2'!V223</f>
        <v>267.46600000000001</v>
      </c>
      <c r="E212" s="92">
        <f>'[2]FGT PRIMARY FIRM ZONE 3'!V223</f>
        <v>133.845</v>
      </c>
      <c r="F212" s="83">
        <f>'[2]FGT FIRM ZONE 3 MOBILE BAY-DES'!V223-40-25-60-100</f>
        <v>53.48399999999998</v>
      </c>
      <c r="G212" s="86">
        <v>40</v>
      </c>
      <c r="H212" s="83">
        <f t="shared" si="31"/>
        <v>185</v>
      </c>
      <c r="I212" s="83">
        <f t="shared" si="28"/>
        <v>0</v>
      </c>
      <c r="J212" s="86">
        <v>100</v>
      </c>
      <c r="K212" s="86">
        <v>300</v>
      </c>
      <c r="L212" s="83">
        <f t="shared" ref="L212:L275" si="32">SUM(C212:K212)</f>
        <v>1274</v>
      </c>
      <c r="M212" s="94">
        <v>600</v>
      </c>
      <c r="N212" s="83">
        <f>'[2]FGT NON-FIRM'!P223</f>
        <v>30</v>
      </c>
      <c r="O212" s="86">
        <v>240</v>
      </c>
      <c r="P212" s="86">
        <v>160</v>
      </c>
      <c r="Q212" s="86">
        <f t="shared" ref="Q212:Q275" si="33">695-R212-O212-P212</f>
        <v>195</v>
      </c>
      <c r="R212" s="86">
        <f t="shared" ref="R212:R275" si="34">200-J212</f>
        <v>100</v>
      </c>
      <c r="S212" s="83">
        <f t="shared" ref="S212:S275" si="35">SUM(O212:R212)</f>
        <v>695</v>
      </c>
      <c r="T212" s="83">
        <f>'[2]GULFSTREAM NON-FIRM'!H223</f>
        <v>0</v>
      </c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</row>
    <row r="213" spans="1:30" ht="15.75" hidden="1" x14ac:dyDescent="0.25">
      <c r="A213" s="13">
        <v>47392</v>
      </c>
      <c r="B213" s="97">
        <v>31</v>
      </c>
      <c r="C213" s="83">
        <f>'[2]FGT PRIMARY FIRM ZONE 1'!V224</f>
        <v>131.881</v>
      </c>
      <c r="D213" s="83">
        <f>'[2]FGT PRIMARY FIRM ZONE 2'!V224</f>
        <v>277.16699999999997</v>
      </c>
      <c r="E213" s="92">
        <f>'[2]FGT PRIMARY FIRM ZONE 3'!V224</f>
        <v>79.08</v>
      </c>
      <c r="F213" s="83">
        <f>'[2]FGT FIRM ZONE 3 MOBILE BAY-DES'!V224-40-25-60-100</f>
        <v>125.87199999999996</v>
      </c>
      <c r="G213" s="86">
        <v>40</v>
      </c>
      <c r="H213" s="83">
        <f t="shared" si="31"/>
        <v>185</v>
      </c>
      <c r="I213" s="83">
        <f t="shared" si="28"/>
        <v>0</v>
      </c>
      <c r="J213" s="86">
        <v>100</v>
      </c>
      <c r="K213" s="86">
        <v>300</v>
      </c>
      <c r="L213" s="83">
        <f t="shared" si="32"/>
        <v>1239</v>
      </c>
      <c r="M213" s="94">
        <v>600</v>
      </c>
      <c r="N213" s="83">
        <f>'[2]FGT NON-FIRM'!P224</f>
        <v>75</v>
      </c>
      <c r="O213" s="86">
        <v>240</v>
      </c>
      <c r="P213" s="86">
        <v>160</v>
      </c>
      <c r="Q213" s="86">
        <f t="shared" si="33"/>
        <v>195</v>
      </c>
      <c r="R213" s="86">
        <f t="shared" si="34"/>
        <v>100</v>
      </c>
      <c r="S213" s="83">
        <f t="shared" si="35"/>
        <v>695</v>
      </c>
      <c r="T213" s="83">
        <f>'[2]GULFSTREAM NON-FIRM'!H224</f>
        <v>0</v>
      </c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</row>
    <row r="214" spans="1:30" ht="15.75" hidden="1" x14ac:dyDescent="0.25">
      <c r="A214" s="13">
        <v>47423</v>
      </c>
      <c r="B214" s="97">
        <v>30</v>
      </c>
      <c r="C214" s="83">
        <f>'[2]FGT PRIMARY FIRM ZONE 1'!V225</f>
        <v>122.58</v>
      </c>
      <c r="D214" s="83">
        <f>'[2]FGT PRIMARY FIRM ZONE 2'!V225</f>
        <v>297.94100000000003</v>
      </c>
      <c r="E214" s="92">
        <f>'[2]FGT PRIMARY FIRM ZONE 3'!V225</f>
        <v>89.177000000000007</v>
      </c>
      <c r="F214" s="83">
        <f>'[2]FGT FIRM ZONE 3 MOBILE BAY-DES'!V225-40-60-100</f>
        <v>40.301999999999992</v>
      </c>
      <c r="G214" s="86">
        <v>40</v>
      </c>
      <c r="H214" s="83">
        <f>60+100</f>
        <v>160</v>
      </c>
      <c r="I214" s="83">
        <f t="shared" si="28"/>
        <v>0</v>
      </c>
      <c r="J214" s="86">
        <v>100</v>
      </c>
      <c r="K214" s="86">
        <v>300</v>
      </c>
      <c r="L214" s="83">
        <f t="shared" si="32"/>
        <v>1150</v>
      </c>
      <c r="M214" s="94">
        <v>600</v>
      </c>
      <c r="N214" s="83">
        <f>'[2]FGT NON-FIRM'!P225</f>
        <v>100</v>
      </c>
      <c r="O214" s="86">
        <v>240</v>
      </c>
      <c r="P214" s="86">
        <v>40</v>
      </c>
      <c r="Q214" s="86">
        <f t="shared" si="33"/>
        <v>315</v>
      </c>
      <c r="R214" s="86">
        <f t="shared" si="34"/>
        <v>100</v>
      </c>
      <c r="S214" s="83">
        <f t="shared" si="35"/>
        <v>695</v>
      </c>
      <c r="T214" s="83">
        <f>'[2]GULFSTREAM NON-FIRM'!H225</f>
        <v>50</v>
      </c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</row>
    <row r="215" spans="1:30" ht="15.75" hidden="1" x14ac:dyDescent="0.25">
      <c r="A215" s="13">
        <v>47453</v>
      </c>
      <c r="B215" s="97">
        <v>31</v>
      </c>
      <c r="C215" s="83">
        <f>'[2]FGT PRIMARY FIRM ZONE 1'!V226</f>
        <v>122.58</v>
      </c>
      <c r="D215" s="83">
        <f>'[2]FGT PRIMARY FIRM ZONE 2'!V226</f>
        <v>297.94100000000003</v>
      </c>
      <c r="E215" s="92">
        <f>'[2]FGT PRIMARY FIRM ZONE 3'!V226</f>
        <v>89.177000000000007</v>
      </c>
      <c r="F215" s="83">
        <f>'[2]FGT FIRM ZONE 3 MOBILE BAY-DES'!V226-40-60-100</f>
        <v>40.301999999999992</v>
      </c>
      <c r="G215" s="86">
        <v>40</v>
      </c>
      <c r="H215" s="83">
        <f>60+100</f>
        <v>160</v>
      </c>
      <c r="I215" s="83">
        <f t="shared" si="28"/>
        <v>0</v>
      </c>
      <c r="J215" s="86">
        <v>100</v>
      </c>
      <c r="K215" s="86">
        <v>300</v>
      </c>
      <c r="L215" s="83">
        <f t="shared" si="32"/>
        <v>1150</v>
      </c>
      <c r="M215" s="94">
        <v>600</v>
      </c>
      <c r="N215" s="83">
        <f>'[2]FGT NON-FIRM'!P226</f>
        <v>100</v>
      </c>
      <c r="O215" s="86">
        <v>240</v>
      </c>
      <c r="P215" s="86">
        <v>40</v>
      </c>
      <c r="Q215" s="86">
        <f t="shared" si="33"/>
        <v>315</v>
      </c>
      <c r="R215" s="86">
        <f t="shared" si="34"/>
        <v>100</v>
      </c>
      <c r="S215" s="83">
        <f t="shared" si="35"/>
        <v>695</v>
      </c>
      <c r="T215" s="83">
        <f>'[2]GULFSTREAM NON-FIRM'!H226</f>
        <v>50</v>
      </c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</row>
    <row r="216" spans="1:30" ht="15.75" hidden="1" x14ac:dyDescent="0.25">
      <c r="A216" s="13">
        <v>47484</v>
      </c>
      <c r="B216" s="97">
        <v>31</v>
      </c>
      <c r="C216" s="83">
        <f>'[2]FGT PRIMARY FIRM ZONE 1'!V227</f>
        <v>122.58</v>
      </c>
      <c r="D216" s="83">
        <f>'[2]FGT PRIMARY FIRM ZONE 2'!V227</f>
        <v>297.94100000000003</v>
      </c>
      <c r="E216" s="92">
        <f>'[2]FGT PRIMARY FIRM ZONE 3'!V227</f>
        <v>89.177000000000007</v>
      </c>
      <c r="F216" s="83">
        <f>'[2]FGT FIRM ZONE 3 MOBILE BAY-DES'!V227-40-60-100</f>
        <v>40.301999999999992</v>
      </c>
      <c r="G216" s="86">
        <v>40</v>
      </c>
      <c r="H216" s="83">
        <f>60+100</f>
        <v>160</v>
      </c>
      <c r="I216" s="83">
        <f t="shared" si="28"/>
        <v>0</v>
      </c>
      <c r="J216" s="86">
        <v>100</v>
      </c>
      <c r="K216" s="86">
        <v>300</v>
      </c>
      <c r="L216" s="83">
        <f t="shared" si="32"/>
        <v>1150</v>
      </c>
      <c r="M216" s="94">
        <v>600</v>
      </c>
      <c r="N216" s="83">
        <f>'[2]FGT NON-FIRM'!P227</f>
        <v>100</v>
      </c>
      <c r="O216" s="86">
        <v>240</v>
      </c>
      <c r="P216" s="86">
        <v>40</v>
      </c>
      <c r="Q216" s="86">
        <f t="shared" si="33"/>
        <v>315</v>
      </c>
      <c r="R216" s="86">
        <f t="shared" si="34"/>
        <v>100</v>
      </c>
      <c r="S216" s="83">
        <f t="shared" si="35"/>
        <v>695</v>
      </c>
      <c r="T216" s="83">
        <f>'[2]GULFSTREAM NON-FIRM'!H227</f>
        <v>50</v>
      </c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</row>
    <row r="217" spans="1:30" ht="15.75" hidden="1" x14ac:dyDescent="0.25">
      <c r="A217" s="13">
        <v>47515</v>
      </c>
      <c r="B217" s="97">
        <v>28</v>
      </c>
      <c r="C217" s="83">
        <f>'[2]FGT PRIMARY FIRM ZONE 1'!V228</f>
        <v>122.58</v>
      </c>
      <c r="D217" s="83">
        <f>'[2]FGT PRIMARY FIRM ZONE 2'!V228</f>
        <v>297.94100000000003</v>
      </c>
      <c r="E217" s="92">
        <f>'[2]FGT PRIMARY FIRM ZONE 3'!V228</f>
        <v>89.177000000000007</v>
      </c>
      <c r="F217" s="83">
        <f>'[2]FGT FIRM ZONE 3 MOBILE BAY-DES'!V228-40-60-100</f>
        <v>40.301999999999992</v>
      </c>
      <c r="G217" s="86">
        <v>40</v>
      </c>
      <c r="H217" s="83">
        <f>60+100</f>
        <v>160</v>
      </c>
      <c r="I217" s="83">
        <f t="shared" si="28"/>
        <v>0</v>
      </c>
      <c r="J217" s="86">
        <v>100</v>
      </c>
      <c r="K217" s="86">
        <v>300</v>
      </c>
      <c r="L217" s="83">
        <f t="shared" si="32"/>
        <v>1150</v>
      </c>
      <c r="M217" s="94">
        <v>600</v>
      </c>
      <c r="N217" s="83">
        <f>'[2]FGT NON-FIRM'!P228</f>
        <v>100</v>
      </c>
      <c r="O217" s="86">
        <v>240</v>
      </c>
      <c r="P217" s="86">
        <v>40</v>
      </c>
      <c r="Q217" s="86">
        <f t="shared" si="33"/>
        <v>315</v>
      </c>
      <c r="R217" s="86">
        <f t="shared" si="34"/>
        <v>100</v>
      </c>
      <c r="S217" s="83">
        <f t="shared" si="35"/>
        <v>695</v>
      </c>
      <c r="T217" s="83">
        <f>'[2]GULFSTREAM NON-FIRM'!H228</f>
        <v>50</v>
      </c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</row>
    <row r="218" spans="1:30" ht="15.75" hidden="1" x14ac:dyDescent="0.25">
      <c r="A218" s="13">
        <v>47543</v>
      </c>
      <c r="B218" s="97">
        <v>31</v>
      </c>
      <c r="C218" s="83">
        <f>'[2]FGT PRIMARY FIRM ZONE 1'!V229</f>
        <v>122.58</v>
      </c>
      <c r="D218" s="83">
        <f>'[2]FGT PRIMARY FIRM ZONE 2'!V229</f>
        <v>297.94100000000003</v>
      </c>
      <c r="E218" s="92">
        <f>'[2]FGT PRIMARY FIRM ZONE 3'!V229</f>
        <v>89.177000000000007</v>
      </c>
      <c r="F218" s="83">
        <f>'[2]FGT FIRM ZONE 3 MOBILE BAY-DES'!V229-40-60-100</f>
        <v>40.301999999999992</v>
      </c>
      <c r="G218" s="86">
        <v>40</v>
      </c>
      <c r="H218" s="83">
        <f>60+100</f>
        <v>160</v>
      </c>
      <c r="I218" s="83">
        <f t="shared" si="28"/>
        <v>0</v>
      </c>
      <c r="J218" s="86">
        <v>100</v>
      </c>
      <c r="K218" s="86">
        <v>300</v>
      </c>
      <c r="L218" s="83">
        <f t="shared" si="32"/>
        <v>1150</v>
      </c>
      <c r="M218" s="94">
        <v>600</v>
      </c>
      <c r="N218" s="83">
        <f>'[2]FGT NON-FIRM'!P229</f>
        <v>100</v>
      </c>
      <c r="O218" s="86">
        <v>240</v>
      </c>
      <c r="P218" s="86">
        <v>40</v>
      </c>
      <c r="Q218" s="86">
        <f t="shared" si="33"/>
        <v>315</v>
      </c>
      <c r="R218" s="86">
        <f t="shared" si="34"/>
        <v>100</v>
      </c>
      <c r="S218" s="83">
        <f t="shared" si="35"/>
        <v>695</v>
      </c>
      <c r="T218" s="83">
        <f>'[2]GULFSTREAM NON-FIRM'!H229</f>
        <v>50</v>
      </c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</row>
    <row r="219" spans="1:30" ht="15.75" hidden="1" x14ac:dyDescent="0.25">
      <c r="A219" s="13">
        <v>47574</v>
      </c>
      <c r="B219" s="97">
        <v>30</v>
      </c>
      <c r="C219" s="83">
        <f>'[2]FGT PRIMARY FIRM ZONE 1'!V230</f>
        <v>141.29300000000001</v>
      </c>
      <c r="D219" s="83">
        <f>'[2]FGT PRIMARY FIRM ZONE 2'!V230</f>
        <v>267.99299999999999</v>
      </c>
      <c r="E219" s="92">
        <f>'[2]FGT PRIMARY FIRM ZONE 3'!V230</f>
        <v>115.01600000000001</v>
      </c>
      <c r="F219" s="83">
        <f>'[2]FGT FIRM ZONE 3 MOBILE BAY-DES'!V230-40-25-60-100</f>
        <v>89.698000000000036</v>
      </c>
      <c r="G219" s="86">
        <v>40</v>
      </c>
      <c r="H219" s="83">
        <f t="shared" ref="H219:H225" si="36">25+60+100</f>
        <v>185</v>
      </c>
      <c r="I219" s="83">
        <f t="shared" si="28"/>
        <v>0</v>
      </c>
      <c r="J219" s="86">
        <v>100</v>
      </c>
      <c r="K219" s="86">
        <v>300</v>
      </c>
      <c r="L219" s="83">
        <f t="shared" si="32"/>
        <v>1239</v>
      </c>
      <c r="M219" s="94">
        <v>600</v>
      </c>
      <c r="N219" s="83">
        <f>'[2]FGT NON-FIRM'!P230</f>
        <v>100</v>
      </c>
      <c r="O219" s="86">
        <v>240</v>
      </c>
      <c r="P219" s="86">
        <v>160</v>
      </c>
      <c r="Q219" s="86">
        <f t="shared" si="33"/>
        <v>195</v>
      </c>
      <c r="R219" s="86">
        <f t="shared" si="34"/>
        <v>100</v>
      </c>
      <c r="S219" s="83">
        <f t="shared" si="35"/>
        <v>695</v>
      </c>
      <c r="T219" s="83">
        <f>'[2]GULFSTREAM NON-FIRM'!H230</f>
        <v>50</v>
      </c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</row>
    <row r="220" spans="1:30" ht="15.75" hidden="1" x14ac:dyDescent="0.25">
      <c r="A220" s="13">
        <v>47604</v>
      </c>
      <c r="B220" s="97">
        <v>31</v>
      </c>
      <c r="C220" s="83">
        <f>'[2]FGT PRIMARY FIRM ZONE 1'!V231</f>
        <v>194.20499999999998</v>
      </c>
      <c r="D220" s="83">
        <f>'[2]FGT PRIMARY FIRM ZONE 2'!V231</f>
        <v>267.46600000000001</v>
      </c>
      <c r="E220" s="92">
        <f>'[2]FGT PRIMARY FIRM ZONE 3'!V231</f>
        <v>133.845</v>
      </c>
      <c r="F220" s="83">
        <f>'[2]FGT FIRM ZONE 3 MOBILE BAY-DES'!V231-40-25-60-100</f>
        <v>53.48399999999998</v>
      </c>
      <c r="G220" s="86">
        <v>40</v>
      </c>
      <c r="H220" s="83">
        <f t="shared" si="36"/>
        <v>185</v>
      </c>
      <c r="I220" s="83">
        <f t="shared" si="28"/>
        <v>0</v>
      </c>
      <c r="J220" s="86">
        <v>100</v>
      </c>
      <c r="K220" s="86">
        <v>300</v>
      </c>
      <c r="L220" s="83">
        <f t="shared" si="32"/>
        <v>1274</v>
      </c>
      <c r="M220" s="94">
        <v>600</v>
      </c>
      <c r="N220" s="83">
        <f>'[2]FGT NON-FIRM'!P231</f>
        <v>75</v>
      </c>
      <c r="O220" s="86">
        <v>240</v>
      </c>
      <c r="P220" s="86">
        <v>160</v>
      </c>
      <c r="Q220" s="86">
        <f t="shared" si="33"/>
        <v>195</v>
      </c>
      <c r="R220" s="86">
        <f t="shared" si="34"/>
        <v>100</v>
      </c>
      <c r="S220" s="83">
        <f t="shared" si="35"/>
        <v>695</v>
      </c>
      <c r="T220" s="83">
        <f>'[2]GULFSTREAM NON-FIRM'!H231</f>
        <v>50</v>
      </c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</row>
    <row r="221" spans="1:30" ht="15.75" hidden="1" x14ac:dyDescent="0.25">
      <c r="A221" s="13">
        <v>47635</v>
      </c>
      <c r="B221" s="97">
        <v>30</v>
      </c>
      <c r="C221" s="83">
        <f>'[2]FGT PRIMARY FIRM ZONE 1'!V232</f>
        <v>194.20499999999998</v>
      </c>
      <c r="D221" s="83">
        <f>'[2]FGT PRIMARY FIRM ZONE 2'!V232</f>
        <v>267.46600000000001</v>
      </c>
      <c r="E221" s="92">
        <f>'[2]FGT PRIMARY FIRM ZONE 3'!V232</f>
        <v>133.845</v>
      </c>
      <c r="F221" s="83">
        <f>'[2]FGT FIRM ZONE 3 MOBILE BAY-DES'!V232-40-25-60-100</f>
        <v>53.48399999999998</v>
      </c>
      <c r="G221" s="86">
        <v>40</v>
      </c>
      <c r="H221" s="83">
        <f t="shared" si="36"/>
        <v>185</v>
      </c>
      <c r="I221" s="83">
        <f t="shared" si="28"/>
        <v>0</v>
      </c>
      <c r="J221" s="86">
        <v>100</v>
      </c>
      <c r="K221" s="86">
        <v>300</v>
      </c>
      <c r="L221" s="83">
        <f t="shared" si="32"/>
        <v>1274</v>
      </c>
      <c r="M221" s="94">
        <v>600</v>
      </c>
      <c r="N221" s="83">
        <f>'[2]FGT NON-FIRM'!P232</f>
        <v>30</v>
      </c>
      <c r="O221" s="86">
        <v>240</v>
      </c>
      <c r="P221" s="86">
        <v>160</v>
      </c>
      <c r="Q221" s="86">
        <f t="shared" si="33"/>
        <v>195</v>
      </c>
      <c r="R221" s="86">
        <f t="shared" si="34"/>
        <v>100</v>
      </c>
      <c r="S221" s="83">
        <f t="shared" si="35"/>
        <v>695</v>
      </c>
      <c r="T221" s="83">
        <f>'[2]GULFSTREAM NON-FIRM'!H232</f>
        <v>50</v>
      </c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</row>
    <row r="222" spans="1:30" ht="15.75" hidden="1" x14ac:dyDescent="0.25">
      <c r="A222" s="13">
        <v>47665</v>
      </c>
      <c r="B222" s="97">
        <v>31</v>
      </c>
      <c r="C222" s="83">
        <f>'[2]FGT PRIMARY FIRM ZONE 1'!V233</f>
        <v>194.20499999999998</v>
      </c>
      <c r="D222" s="83">
        <f>'[2]FGT PRIMARY FIRM ZONE 2'!V233</f>
        <v>267.46600000000001</v>
      </c>
      <c r="E222" s="92">
        <f>'[2]FGT PRIMARY FIRM ZONE 3'!V233</f>
        <v>133.845</v>
      </c>
      <c r="F222" s="83">
        <f>'[2]FGT FIRM ZONE 3 MOBILE BAY-DES'!V233-40-25-60-100</f>
        <v>53.48399999999998</v>
      </c>
      <c r="G222" s="86">
        <v>40</v>
      </c>
      <c r="H222" s="83">
        <f t="shared" si="36"/>
        <v>185</v>
      </c>
      <c r="I222" s="83">
        <f t="shared" si="28"/>
        <v>0</v>
      </c>
      <c r="J222" s="86">
        <v>100</v>
      </c>
      <c r="K222" s="86">
        <v>300</v>
      </c>
      <c r="L222" s="83">
        <f t="shared" si="32"/>
        <v>1274</v>
      </c>
      <c r="M222" s="94">
        <v>600</v>
      </c>
      <c r="N222" s="83">
        <f>'[2]FGT NON-FIRM'!P233</f>
        <v>30</v>
      </c>
      <c r="O222" s="86">
        <v>240</v>
      </c>
      <c r="P222" s="86">
        <v>160</v>
      </c>
      <c r="Q222" s="86">
        <f t="shared" si="33"/>
        <v>195</v>
      </c>
      <c r="R222" s="86">
        <f t="shared" si="34"/>
        <v>100</v>
      </c>
      <c r="S222" s="83">
        <f t="shared" si="35"/>
        <v>695</v>
      </c>
      <c r="T222" s="83">
        <f>'[2]GULFSTREAM NON-FIRM'!H233</f>
        <v>0</v>
      </c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</row>
    <row r="223" spans="1:30" ht="15.75" hidden="1" x14ac:dyDescent="0.25">
      <c r="A223" s="13">
        <v>47696</v>
      </c>
      <c r="B223" s="97">
        <v>31</v>
      </c>
      <c r="C223" s="83">
        <f>'[2]FGT PRIMARY FIRM ZONE 1'!V234</f>
        <v>194.20499999999998</v>
      </c>
      <c r="D223" s="83">
        <f>'[2]FGT PRIMARY FIRM ZONE 2'!V234</f>
        <v>267.46600000000001</v>
      </c>
      <c r="E223" s="92">
        <f>'[2]FGT PRIMARY FIRM ZONE 3'!V234</f>
        <v>133.845</v>
      </c>
      <c r="F223" s="83">
        <f>'[2]FGT FIRM ZONE 3 MOBILE BAY-DES'!V234-40-25-60-100</f>
        <v>53.48399999999998</v>
      </c>
      <c r="G223" s="86">
        <v>40</v>
      </c>
      <c r="H223" s="83">
        <f t="shared" si="36"/>
        <v>185</v>
      </c>
      <c r="I223" s="83">
        <f t="shared" si="28"/>
        <v>0</v>
      </c>
      <c r="J223" s="86">
        <v>100</v>
      </c>
      <c r="K223" s="86">
        <v>300</v>
      </c>
      <c r="L223" s="83">
        <f t="shared" si="32"/>
        <v>1274</v>
      </c>
      <c r="M223" s="94">
        <v>600</v>
      </c>
      <c r="N223" s="83">
        <f>'[2]FGT NON-FIRM'!P234</f>
        <v>30</v>
      </c>
      <c r="O223" s="86">
        <v>240</v>
      </c>
      <c r="P223" s="86">
        <v>160</v>
      </c>
      <c r="Q223" s="86">
        <f t="shared" si="33"/>
        <v>195</v>
      </c>
      <c r="R223" s="86">
        <f t="shared" si="34"/>
        <v>100</v>
      </c>
      <c r="S223" s="83">
        <f t="shared" si="35"/>
        <v>695</v>
      </c>
      <c r="T223" s="83">
        <f>'[2]GULFSTREAM NON-FIRM'!H234</f>
        <v>0</v>
      </c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</row>
    <row r="224" spans="1:30" ht="15.75" hidden="1" x14ac:dyDescent="0.25">
      <c r="A224" s="13">
        <v>47727</v>
      </c>
      <c r="B224" s="97">
        <v>30</v>
      </c>
      <c r="C224" s="83">
        <f>'[2]FGT PRIMARY FIRM ZONE 1'!V235</f>
        <v>194.20499999999998</v>
      </c>
      <c r="D224" s="83">
        <f>'[2]FGT PRIMARY FIRM ZONE 2'!V235</f>
        <v>267.46600000000001</v>
      </c>
      <c r="E224" s="92">
        <f>'[2]FGT PRIMARY FIRM ZONE 3'!V235</f>
        <v>133.845</v>
      </c>
      <c r="F224" s="83">
        <f>'[2]FGT FIRM ZONE 3 MOBILE BAY-DES'!V235-40-25-60-100</f>
        <v>53.48399999999998</v>
      </c>
      <c r="G224" s="86">
        <v>40</v>
      </c>
      <c r="H224" s="83">
        <f t="shared" si="36"/>
        <v>185</v>
      </c>
      <c r="I224" s="83">
        <f t="shared" si="28"/>
        <v>0</v>
      </c>
      <c r="J224" s="86">
        <v>100</v>
      </c>
      <c r="K224" s="86">
        <v>300</v>
      </c>
      <c r="L224" s="83">
        <f t="shared" si="32"/>
        <v>1274</v>
      </c>
      <c r="M224" s="94">
        <v>600</v>
      </c>
      <c r="N224" s="83">
        <f>'[2]FGT NON-FIRM'!P235</f>
        <v>30</v>
      </c>
      <c r="O224" s="86">
        <v>240</v>
      </c>
      <c r="P224" s="86">
        <v>160</v>
      </c>
      <c r="Q224" s="86">
        <f t="shared" si="33"/>
        <v>195</v>
      </c>
      <c r="R224" s="86">
        <f t="shared" si="34"/>
        <v>100</v>
      </c>
      <c r="S224" s="83">
        <f t="shared" si="35"/>
        <v>695</v>
      </c>
      <c r="T224" s="83">
        <f>'[2]GULFSTREAM NON-FIRM'!H235</f>
        <v>0</v>
      </c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</row>
    <row r="225" spans="1:30" ht="15.75" hidden="1" x14ac:dyDescent="0.25">
      <c r="A225" s="13">
        <v>47757</v>
      </c>
      <c r="B225" s="97">
        <v>31</v>
      </c>
      <c r="C225" s="83">
        <f>'[2]FGT PRIMARY FIRM ZONE 1'!V236</f>
        <v>131.881</v>
      </c>
      <c r="D225" s="83">
        <f>'[2]FGT PRIMARY FIRM ZONE 2'!V236</f>
        <v>277.16699999999997</v>
      </c>
      <c r="E225" s="92">
        <f>'[2]FGT PRIMARY FIRM ZONE 3'!V236</f>
        <v>79.08</v>
      </c>
      <c r="F225" s="83">
        <f>'[2]FGT FIRM ZONE 3 MOBILE BAY-DES'!V236-40-25-60-100</f>
        <v>125.87199999999996</v>
      </c>
      <c r="G225" s="86">
        <v>40</v>
      </c>
      <c r="H225" s="83">
        <f t="shared" si="36"/>
        <v>185</v>
      </c>
      <c r="I225" s="83">
        <f t="shared" si="28"/>
        <v>0</v>
      </c>
      <c r="J225" s="86">
        <v>100</v>
      </c>
      <c r="K225" s="86">
        <v>300</v>
      </c>
      <c r="L225" s="83">
        <f t="shared" si="32"/>
        <v>1239</v>
      </c>
      <c r="M225" s="94">
        <v>600</v>
      </c>
      <c r="N225" s="83">
        <f>'[2]FGT NON-FIRM'!P236</f>
        <v>75</v>
      </c>
      <c r="O225" s="86">
        <v>240</v>
      </c>
      <c r="P225" s="86">
        <v>160</v>
      </c>
      <c r="Q225" s="86">
        <f t="shared" si="33"/>
        <v>195</v>
      </c>
      <c r="R225" s="86">
        <f t="shared" si="34"/>
        <v>100</v>
      </c>
      <c r="S225" s="83">
        <f t="shared" si="35"/>
        <v>695</v>
      </c>
      <c r="T225" s="83">
        <f>'[2]GULFSTREAM NON-FIRM'!H236</f>
        <v>0</v>
      </c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</row>
    <row r="226" spans="1:30" ht="15.75" hidden="1" x14ac:dyDescent="0.25">
      <c r="A226" s="13">
        <v>47788</v>
      </c>
      <c r="B226" s="97">
        <v>30</v>
      </c>
      <c r="C226" s="83">
        <f>'[2]FGT PRIMARY FIRM ZONE 1'!V237</f>
        <v>122.58</v>
      </c>
      <c r="D226" s="83">
        <f>'[2]FGT PRIMARY FIRM ZONE 2'!V237</f>
        <v>297.94100000000003</v>
      </c>
      <c r="E226" s="92">
        <f>'[2]FGT PRIMARY FIRM ZONE 3'!V237</f>
        <v>89.177000000000007</v>
      </c>
      <c r="F226" s="83">
        <f>'[2]FGT FIRM ZONE 3 MOBILE BAY-DES'!V237-40-60-100</f>
        <v>40.301999999999992</v>
      </c>
      <c r="G226" s="86">
        <v>40</v>
      </c>
      <c r="H226" s="83">
        <f>60+100</f>
        <v>160</v>
      </c>
      <c r="I226" s="83">
        <f t="shared" si="28"/>
        <v>0</v>
      </c>
      <c r="J226" s="86">
        <v>100</v>
      </c>
      <c r="K226" s="86">
        <v>300</v>
      </c>
      <c r="L226" s="83">
        <f t="shared" si="32"/>
        <v>1150</v>
      </c>
      <c r="M226" s="94">
        <v>600</v>
      </c>
      <c r="N226" s="83">
        <f>'[2]FGT NON-FIRM'!P237</f>
        <v>100</v>
      </c>
      <c r="O226" s="86">
        <v>240</v>
      </c>
      <c r="P226" s="86">
        <v>40</v>
      </c>
      <c r="Q226" s="86">
        <f t="shared" si="33"/>
        <v>315</v>
      </c>
      <c r="R226" s="86">
        <f t="shared" si="34"/>
        <v>100</v>
      </c>
      <c r="S226" s="83">
        <f t="shared" si="35"/>
        <v>695</v>
      </c>
      <c r="T226" s="83">
        <f>'[2]GULFSTREAM NON-FIRM'!H237</f>
        <v>50</v>
      </c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</row>
    <row r="227" spans="1:30" ht="15.75" hidden="1" x14ac:dyDescent="0.25">
      <c r="A227" s="13">
        <v>47818</v>
      </c>
      <c r="B227" s="97">
        <v>31</v>
      </c>
      <c r="C227" s="83">
        <f>'[2]FGT PRIMARY FIRM ZONE 1'!V238</f>
        <v>122.58</v>
      </c>
      <c r="D227" s="83">
        <f>'[2]FGT PRIMARY FIRM ZONE 2'!V238</f>
        <v>297.94100000000003</v>
      </c>
      <c r="E227" s="92">
        <f>'[2]FGT PRIMARY FIRM ZONE 3'!V238</f>
        <v>89.177000000000007</v>
      </c>
      <c r="F227" s="83">
        <f>'[2]FGT FIRM ZONE 3 MOBILE BAY-DES'!V238-40-60-100</f>
        <v>40.301999999999992</v>
      </c>
      <c r="G227" s="86">
        <v>40</v>
      </c>
      <c r="H227" s="83">
        <f>60+100</f>
        <v>160</v>
      </c>
      <c r="I227" s="83">
        <f t="shared" si="28"/>
        <v>0</v>
      </c>
      <c r="J227" s="86">
        <v>100</v>
      </c>
      <c r="K227" s="86">
        <v>300</v>
      </c>
      <c r="L227" s="83">
        <f t="shared" si="32"/>
        <v>1150</v>
      </c>
      <c r="M227" s="94">
        <v>600</v>
      </c>
      <c r="N227" s="83">
        <f>'[2]FGT NON-FIRM'!P238</f>
        <v>100</v>
      </c>
      <c r="O227" s="86">
        <v>240</v>
      </c>
      <c r="P227" s="86">
        <v>40</v>
      </c>
      <c r="Q227" s="86">
        <f t="shared" si="33"/>
        <v>315</v>
      </c>
      <c r="R227" s="86">
        <f t="shared" si="34"/>
        <v>100</v>
      </c>
      <c r="S227" s="83">
        <f t="shared" si="35"/>
        <v>695</v>
      </c>
      <c r="T227" s="83">
        <f>'[2]GULFSTREAM NON-FIRM'!H238</f>
        <v>50</v>
      </c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</row>
    <row r="228" spans="1:30" ht="15.75" hidden="1" x14ac:dyDescent="0.25">
      <c r="A228" s="13">
        <v>47849</v>
      </c>
      <c r="B228" s="97">
        <v>31</v>
      </c>
      <c r="C228" s="83">
        <f>'[2]FGT PRIMARY FIRM ZONE 1'!V239</f>
        <v>122.58</v>
      </c>
      <c r="D228" s="83">
        <f>'[2]FGT PRIMARY FIRM ZONE 2'!V239</f>
        <v>297.94100000000003</v>
      </c>
      <c r="E228" s="92">
        <f>'[2]FGT PRIMARY FIRM ZONE 3'!V239</f>
        <v>89.177000000000007</v>
      </c>
      <c r="F228" s="83">
        <f>'[2]FGT FIRM ZONE 3 MOBILE BAY-DES'!V239-40-60-100</f>
        <v>40.301999999999992</v>
      </c>
      <c r="G228" s="86">
        <v>40</v>
      </c>
      <c r="H228" s="83">
        <f>60+100</f>
        <v>160</v>
      </c>
      <c r="I228" s="83">
        <f t="shared" si="28"/>
        <v>0</v>
      </c>
      <c r="J228" s="86">
        <v>100</v>
      </c>
      <c r="K228" s="86">
        <v>300</v>
      </c>
      <c r="L228" s="83">
        <f t="shared" si="32"/>
        <v>1150</v>
      </c>
      <c r="M228" s="94">
        <v>600</v>
      </c>
      <c r="N228" s="83">
        <f>'[2]FGT NON-FIRM'!P239</f>
        <v>100</v>
      </c>
      <c r="O228" s="86">
        <v>240</v>
      </c>
      <c r="P228" s="86">
        <v>40</v>
      </c>
      <c r="Q228" s="86">
        <f t="shared" si="33"/>
        <v>315</v>
      </c>
      <c r="R228" s="86">
        <f t="shared" si="34"/>
        <v>100</v>
      </c>
      <c r="S228" s="83">
        <f t="shared" si="35"/>
        <v>695</v>
      </c>
      <c r="T228" s="83">
        <f>'[2]GULFSTREAM NON-FIRM'!H239</f>
        <v>50</v>
      </c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</row>
    <row r="229" spans="1:30" ht="15.75" hidden="1" x14ac:dyDescent="0.25">
      <c r="A229" s="13">
        <v>47880</v>
      </c>
      <c r="B229" s="97">
        <v>28</v>
      </c>
      <c r="C229" s="83">
        <f>'[2]FGT PRIMARY FIRM ZONE 1'!V240</f>
        <v>122.58</v>
      </c>
      <c r="D229" s="83">
        <f>'[2]FGT PRIMARY FIRM ZONE 2'!V240</f>
        <v>297.94100000000003</v>
      </c>
      <c r="E229" s="92">
        <f>'[2]FGT PRIMARY FIRM ZONE 3'!V240</f>
        <v>89.177000000000007</v>
      </c>
      <c r="F229" s="83">
        <f>'[2]FGT FIRM ZONE 3 MOBILE BAY-DES'!V240-40-60-100</f>
        <v>40.301999999999992</v>
      </c>
      <c r="G229" s="86">
        <v>40</v>
      </c>
      <c r="H229" s="83">
        <f>60+100</f>
        <v>160</v>
      </c>
      <c r="I229" s="83">
        <f t="shared" si="28"/>
        <v>0</v>
      </c>
      <c r="J229" s="86">
        <v>100</v>
      </c>
      <c r="K229" s="86">
        <v>300</v>
      </c>
      <c r="L229" s="83">
        <f t="shared" si="32"/>
        <v>1150</v>
      </c>
      <c r="M229" s="94">
        <v>600</v>
      </c>
      <c r="N229" s="83">
        <f>'[2]FGT NON-FIRM'!P240</f>
        <v>100</v>
      </c>
      <c r="O229" s="86">
        <v>240</v>
      </c>
      <c r="P229" s="86">
        <v>40</v>
      </c>
      <c r="Q229" s="86">
        <f t="shared" si="33"/>
        <v>315</v>
      </c>
      <c r="R229" s="86">
        <f t="shared" si="34"/>
        <v>100</v>
      </c>
      <c r="S229" s="83">
        <f t="shared" si="35"/>
        <v>695</v>
      </c>
      <c r="T229" s="83">
        <f>'[2]GULFSTREAM NON-FIRM'!H240</f>
        <v>50</v>
      </c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</row>
    <row r="230" spans="1:30" ht="15.75" hidden="1" x14ac:dyDescent="0.25">
      <c r="A230" s="13">
        <v>47908</v>
      </c>
      <c r="B230" s="97">
        <v>31</v>
      </c>
      <c r="C230" s="83">
        <f>'[2]FGT PRIMARY FIRM ZONE 1'!V241</f>
        <v>122.58</v>
      </c>
      <c r="D230" s="83">
        <f>'[2]FGT PRIMARY FIRM ZONE 2'!V241</f>
        <v>297.94100000000003</v>
      </c>
      <c r="E230" s="92">
        <f>'[2]FGT PRIMARY FIRM ZONE 3'!V241</f>
        <v>89.177000000000007</v>
      </c>
      <c r="F230" s="83">
        <f>'[2]FGT FIRM ZONE 3 MOBILE BAY-DES'!V241-40-60-100</f>
        <v>40.301999999999992</v>
      </c>
      <c r="G230" s="86">
        <v>40</v>
      </c>
      <c r="H230" s="83">
        <f>60+100</f>
        <v>160</v>
      </c>
      <c r="I230" s="83">
        <f t="shared" si="28"/>
        <v>0</v>
      </c>
      <c r="J230" s="86">
        <v>100</v>
      </c>
      <c r="K230" s="86">
        <v>300</v>
      </c>
      <c r="L230" s="83">
        <f t="shared" si="32"/>
        <v>1150</v>
      </c>
      <c r="M230" s="94">
        <v>600</v>
      </c>
      <c r="N230" s="83">
        <f>'[2]FGT NON-FIRM'!P241</f>
        <v>100</v>
      </c>
      <c r="O230" s="86">
        <v>240</v>
      </c>
      <c r="P230" s="86">
        <v>40</v>
      </c>
      <c r="Q230" s="86">
        <f t="shared" si="33"/>
        <v>315</v>
      </c>
      <c r="R230" s="86">
        <f t="shared" si="34"/>
        <v>100</v>
      </c>
      <c r="S230" s="83">
        <f t="shared" si="35"/>
        <v>695</v>
      </c>
      <c r="T230" s="83">
        <f>'[2]GULFSTREAM NON-FIRM'!H241</f>
        <v>50</v>
      </c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</row>
    <row r="231" spans="1:30" ht="15.75" hidden="1" x14ac:dyDescent="0.25">
      <c r="A231" s="13">
        <v>47939</v>
      </c>
      <c r="B231" s="97">
        <v>30</v>
      </c>
      <c r="C231" s="83">
        <f>'[2]FGT PRIMARY FIRM ZONE 1'!V242</f>
        <v>141.29300000000001</v>
      </c>
      <c r="D231" s="83">
        <f>'[2]FGT PRIMARY FIRM ZONE 2'!V242</f>
        <v>267.99299999999999</v>
      </c>
      <c r="E231" s="92">
        <f>'[2]FGT PRIMARY FIRM ZONE 3'!V242</f>
        <v>115.01600000000001</v>
      </c>
      <c r="F231" s="83">
        <f>'[2]FGT FIRM ZONE 3 MOBILE BAY-DES'!V242-40-25-60-100</f>
        <v>89.698000000000036</v>
      </c>
      <c r="G231" s="86">
        <v>40</v>
      </c>
      <c r="H231" s="83">
        <f t="shared" ref="H231:H237" si="37">25+60+100</f>
        <v>185</v>
      </c>
      <c r="I231" s="83">
        <f t="shared" si="28"/>
        <v>0</v>
      </c>
      <c r="J231" s="86">
        <v>100</v>
      </c>
      <c r="K231" s="86">
        <v>300</v>
      </c>
      <c r="L231" s="83">
        <f t="shared" si="32"/>
        <v>1239</v>
      </c>
      <c r="M231" s="94">
        <v>600</v>
      </c>
      <c r="N231" s="83">
        <f>'[2]FGT NON-FIRM'!P242</f>
        <v>100</v>
      </c>
      <c r="O231" s="86">
        <v>240</v>
      </c>
      <c r="P231" s="86">
        <v>160</v>
      </c>
      <c r="Q231" s="86">
        <f t="shared" si="33"/>
        <v>195</v>
      </c>
      <c r="R231" s="86">
        <f t="shared" si="34"/>
        <v>100</v>
      </c>
      <c r="S231" s="83">
        <f t="shared" si="35"/>
        <v>695</v>
      </c>
      <c r="T231" s="83">
        <f>'[2]GULFSTREAM NON-FIRM'!H242</f>
        <v>50</v>
      </c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</row>
    <row r="232" spans="1:30" ht="15.75" hidden="1" x14ac:dyDescent="0.25">
      <c r="A232" s="13">
        <v>47969</v>
      </c>
      <c r="B232" s="97">
        <v>31</v>
      </c>
      <c r="C232" s="83">
        <f>'[2]FGT PRIMARY FIRM ZONE 1'!V243</f>
        <v>194.20499999999998</v>
      </c>
      <c r="D232" s="83">
        <f>'[2]FGT PRIMARY FIRM ZONE 2'!V243</f>
        <v>267.46600000000001</v>
      </c>
      <c r="E232" s="92">
        <f>'[2]FGT PRIMARY FIRM ZONE 3'!V243</f>
        <v>133.845</v>
      </c>
      <c r="F232" s="83">
        <f>'[2]FGT FIRM ZONE 3 MOBILE BAY-DES'!V243-40-25-60-100</f>
        <v>53.48399999999998</v>
      </c>
      <c r="G232" s="86">
        <v>40</v>
      </c>
      <c r="H232" s="83">
        <f t="shared" si="37"/>
        <v>185</v>
      </c>
      <c r="I232" s="83">
        <f t="shared" si="28"/>
        <v>0</v>
      </c>
      <c r="J232" s="86">
        <v>100</v>
      </c>
      <c r="K232" s="86">
        <v>300</v>
      </c>
      <c r="L232" s="83">
        <f t="shared" si="32"/>
        <v>1274</v>
      </c>
      <c r="M232" s="94">
        <v>600</v>
      </c>
      <c r="N232" s="83">
        <f>'[2]FGT NON-FIRM'!P243</f>
        <v>75</v>
      </c>
      <c r="O232" s="86">
        <v>240</v>
      </c>
      <c r="P232" s="86">
        <v>160</v>
      </c>
      <c r="Q232" s="86">
        <f t="shared" si="33"/>
        <v>195</v>
      </c>
      <c r="R232" s="86">
        <f t="shared" si="34"/>
        <v>100</v>
      </c>
      <c r="S232" s="83">
        <f t="shared" si="35"/>
        <v>695</v>
      </c>
      <c r="T232" s="83">
        <f>'[2]GULFSTREAM NON-FIRM'!H243</f>
        <v>50</v>
      </c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</row>
    <row r="233" spans="1:30" ht="15.75" hidden="1" x14ac:dyDescent="0.25">
      <c r="A233" s="13">
        <v>48000</v>
      </c>
      <c r="B233" s="97">
        <v>30</v>
      </c>
      <c r="C233" s="83">
        <f>'[2]FGT PRIMARY FIRM ZONE 1'!V244</f>
        <v>194.20499999999998</v>
      </c>
      <c r="D233" s="83">
        <f>'[2]FGT PRIMARY FIRM ZONE 2'!V244</f>
        <v>267.46600000000001</v>
      </c>
      <c r="E233" s="92">
        <f>'[2]FGT PRIMARY FIRM ZONE 3'!V244</f>
        <v>133.845</v>
      </c>
      <c r="F233" s="83">
        <f>'[2]FGT FIRM ZONE 3 MOBILE BAY-DES'!V244-40-25-60-100</f>
        <v>53.48399999999998</v>
      </c>
      <c r="G233" s="86">
        <v>40</v>
      </c>
      <c r="H233" s="83">
        <f t="shared" si="37"/>
        <v>185</v>
      </c>
      <c r="I233" s="83">
        <f t="shared" si="28"/>
        <v>0</v>
      </c>
      <c r="J233" s="86">
        <v>100</v>
      </c>
      <c r="K233" s="86">
        <v>300</v>
      </c>
      <c r="L233" s="83">
        <f t="shared" si="32"/>
        <v>1274</v>
      </c>
      <c r="M233" s="94">
        <v>600</v>
      </c>
      <c r="N233" s="83">
        <f>'[2]FGT NON-FIRM'!P244</f>
        <v>30</v>
      </c>
      <c r="O233" s="86">
        <v>240</v>
      </c>
      <c r="P233" s="86">
        <v>160</v>
      </c>
      <c r="Q233" s="86">
        <f t="shared" si="33"/>
        <v>195</v>
      </c>
      <c r="R233" s="86">
        <f t="shared" si="34"/>
        <v>100</v>
      </c>
      <c r="S233" s="83">
        <f t="shared" si="35"/>
        <v>695</v>
      </c>
      <c r="T233" s="83">
        <f>'[2]GULFSTREAM NON-FIRM'!H244</f>
        <v>50</v>
      </c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</row>
    <row r="234" spans="1:30" ht="15.75" hidden="1" x14ac:dyDescent="0.25">
      <c r="A234" s="13">
        <v>48030</v>
      </c>
      <c r="B234" s="97">
        <v>31</v>
      </c>
      <c r="C234" s="83">
        <f>'[2]FGT PRIMARY FIRM ZONE 1'!V245</f>
        <v>194.20499999999998</v>
      </c>
      <c r="D234" s="83">
        <f>'[2]FGT PRIMARY FIRM ZONE 2'!V245</f>
        <v>267.46600000000001</v>
      </c>
      <c r="E234" s="92">
        <f>'[2]FGT PRIMARY FIRM ZONE 3'!V245</f>
        <v>133.845</v>
      </c>
      <c r="F234" s="83">
        <f>'[2]FGT FIRM ZONE 3 MOBILE BAY-DES'!V245-40-25-60-100</f>
        <v>53.48399999999998</v>
      </c>
      <c r="G234" s="86">
        <v>40</v>
      </c>
      <c r="H234" s="83">
        <f t="shared" si="37"/>
        <v>185</v>
      </c>
      <c r="I234" s="83">
        <f t="shared" si="28"/>
        <v>0</v>
      </c>
      <c r="J234" s="86">
        <v>100</v>
      </c>
      <c r="K234" s="86">
        <v>300</v>
      </c>
      <c r="L234" s="83">
        <f t="shared" si="32"/>
        <v>1274</v>
      </c>
      <c r="M234" s="94">
        <v>600</v>
      </c>
      <c r="N234" s="83">
        <f>'[2]FGT NON-FIRM'!P245</f>
        <v>30</v>
      </c>
      <c r="O234" s="86">
        <v>240</v>
      </c>
      <c r="P234" s="86">
        <v>160</v>
      </c>
      <c r="Q234" s="86">
        <f t="shared" si="33"/>
        <v>195</v>
      </c>
      <c r="R234" s="86">
        <f t="shared" si="34"/>
        <v>100</v>
      </c>
      <c r="S234" s="83">
        <f t="shared" si="35"/>
        <v>695</v>
      </c>
      <c r="T234" s="83">
        <f>'[2]GULFSTREAM NON-FIRM'!H245</f>
        <v>0</v>
      </c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</row>
    <row r="235" spans="1:30" ht="15.75" hidden="1" x14ac:dyDescent="0.25">
      <c r="A235" s="13">
        <v>48061</v>
      </c>
      <c r="B235" s="97">
        <v>31</v>
      </c>
      <c r="C235" s="83">
        <f>'[2]FGT PRIMARY FIRM ZONE 1'!V246</f>
        <v>194.20499999999998</v>
      </c>
      <c r="D235" s="83">
        <f>'[2]FGT PRIMARY FIRM ZONE 2'!V246</f>
        <v>267.46600000000001</v>
      </c>
      <c r="E235" s="92">
        <f>'[2]FGT PRIMARY FIRM ZONE 3'!V246</f>
        <v>133.845</v>
      </c>
      <c r="F235" s="83">
        <f>'[2]FGT FIRM ZONE 3 MOBILE BAY-DES'!V246-40-25-60-100</f>
        <v>53.48399999999998</v>
      </c>
      <c r="G235" s="86">
        <v>40</v>
      </c>
      <c r="H235" s="83">
        <f t="shared" si="37"/>
        <v>185</v>
      </c>
      <c r="I235" s="83">
        <f t="shared" si="28"/>
        <v>0</v>
      </c>
      <c r="J235" s="86">
        <v>100</v>
      </c>
      <c r="K235" s="86">
        <v>300</v>
      </c>
      <c r="L235" s="83">
        <f t="shared" si="32"/>
        <v>1274</v>
      </c>
      <c r="M235" s="94">
        <v>600</v>
      </c>
      <c r="N235" s="83">
        <f>'[2]FGT NON-FIRM'!P246</f>
        <v>30</v>
      </c>
      <c r="O235" s="86">
        <v>240</v>
      </c>
      <c r="P235" s="86">
        <v>160</v>
      </c>
      <c r="Q235" s="86">
        <f t="shared" si="33"/>
        <v>195</v>
      </c>
      <c r="R235" s="86">
        <f t="shared" si="34"/>
        <v>100</v>
      </c>
      <c r="S235" s="83">
        <f t="shared" si="35"/>
        <v>695</v>
      </c>
      <c r="T235" s="83">
        <f>'[2]GULFSTREAM NON-FIRM'!H246</f>
        <v>0</v>
      </c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</row>
    <row r="236" spans="1:30" ht="15.75" hidden="1" x14ac:dyDescent="0.25">
      <c r="A236" s="13">
        <v>48092</v>
      </c>
      <c r="B236" s="97">
        <v>30</v>
      </c>
      <c r="C236" s="83">
        <f>'[2]FGT PRIMARY FIRM ZONE 1'!V247</f>
        <v>194.20499999999998</v>
      </c>
      <c r="D236" s="83">
        <f>'[2]FGT PRIMARY FIRM ZONE 2'!V247</f>
        <v>267.46600000000001</v>
      </c>
      <c r="E236" s="92">
        <f>'[2]FGT PRIMARY FIRM ZONE 3'!V247</f>
        <v>133.845</v>
      </c>
      <c r="F236" s="83">
        <f>'[2]FGT FIRM ZONE 3 MOBILE BAY-DES'!V247-40-25-60-100</f>
        <v>53.48399999999998</v>
      </c>
      <c r="G236" s="86">
        <v>40</v>
      </c>
      <c r="H236" s="83">
        <f t="shared" si="37"/>
        <v>185</v>
      </c>
      <c r="I236" s="83">
        <f t="shared" si="28"/>
        <v>0</v>
      </c>
      <c r="J236" s="86">
        <v>100</v>
      </c>
      <c r="K236" s="86">
        <v>300</v>
      </c>
      <c r="L236" s="83">
        <f t="shared" si="32"/>
        <v>1274</v>
      </c>
      <c r="M236" s="94">
        <v>600</v>
      </c>
      <c r="N236" s="83">
        <f>'[2]FGT NON-FIRM'!P247</f>
        <v>30</v>
      </c>
      <c r="O236" s="86">
        <v>240</v>
      </c>
      <c r="P236" s="86">
        <v>160</v>
      </c>
      <c r="Q236" s="86">
        <f t="shared" si="33"/>
        <v>195</v>
      </c>
      <c r="R236" s="86">
        <f t="shared" si="34"/>
        <v>100</v>
      </c>
      <c r="S236" s="83">
        <f t="shared" si="35"/>
        <v>695</v>
      </c>
      <c r="T236" s="83">
        <f>'[2]GULFSTREAM NON-FIRM'!H247</f>
        <v>0</v>
      </c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</row>
    <row r="237" spans="1:30" ht="15.75" hidden="1" x14ac:dyDescent="0.25">
      <c r="A237" s="13">
        <v>48122</v>
      </c>
      <c r="B237" s="97">
        <v>31</v>
      </c>
      <c r="C237" s="83">
        <f>'[2]FGT PRIMARY FIRM ZONE 1'!V248</f>
        <v>131.881</v>
      </c>
      <c r="D237" s="83">
        <f>'[2]FGT PRIMARY FIRM ZONE 2'!V248</f>
        <v>277.16699999999997</v>
      </c>
      <c r="E237" s="92">
        <f>'[2]FGT PRIMARY FIRM ZONE 3'!V248</f>
        <v>79.08</v>
      </c>
      <c r="F237" s="83">
        <f>'[2]FGT FIRM ZONE 3 MOBILE BAY-DES'!V248-40-25-60-100</f>
        <v>125.87199999999996</v>
      </c>
      <c r="G237" s="86">
        <v>40</v>
      </c>
      <c r="H237" s="83">
        <f t="shared" si="37"/>
        <v>185</v>
      </c>
      <c r="I237" s="83">
        <f t="shared" si="28"/>
        <v>0</v>
      </c>
      <c r="J237" s="86">
        <v>100</v>
      </c>
      <c r="K237" s="86">
        <v>300</v>
      </c>
      <c r="L237" s="83">
        <f t="shared" si="32"/>
        <v>1239</v>
      </c>
      <c r="M237" s="94">
        <v>600</v>
      </c>
      <c r="N237" s="83">
        <f>'[2]FGT NON-FIRM'!P248</f>
        <v>75</v>
      </c>
      <c r="O237" s="86">
        <v>240</v>
      </c>
      <c r="P237" s="86">
        <v>160</v>
      </c>
      <c r="Q237" s="86">
        <f t="shared" si="33"/>
        <v>195</v>
      </c>
      <c r="R237" s="86">
        <f t="shared" si="34"/>
        <v>100</v>
      </c>
      <c r="S237" s="83">
        <f t="shared" si="35"/>
        <v>695</v>
      </c>
      <c r="T237" s="83">
        <f>'[2]GULFSTREAM NON-FIRM'!H248</f>
        <v>0</v>
      </c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</row>
    <row r="238" spans="1:30" ht="15.75" hidden="1" x14ac:dyDescent="0.25">
      <c r="A238" s="13">
        <v>48153</v>
      </c>
      <c r="B238" s="97">
        <v>30</v>
      </c>
      <c r="C238" s="83">
        <f>'[2]FGT PRIMARY FIRM ZONE 1'!V249</f>
        <v>122.58</v>
      </c>
      <c r="D238" s="83">
        <f>'[2]FGT PRIMARY FIRM ZONE 2'!V249</f>
        <v>297.94100000000003</v>
      </c>
      <c r="E238" s="92">
        <f>'[2]FGT PRIMARY FIRM ZONE 3'!V249</f>
        <v>89.177000000000007</v>
      </c>
      <c r="F238" s="83">
        <f>'[2]FGT FIRM ZONE 3 MOBILE BAY-DES'!V249-40-60-100</f>
        <v>40.301999999999992</v>
      </c>
      <c r="G238" s="86">
        <v>40</v>
      </c>
      <c r="H238" s="83">
        <f>60+100</f>
        <v>160</v>
      </c>
      <c r="I238" s="83">
        <f t="shared" si="28"/>
        <v>0</v>
      </c>
      <c r="J238" s="86">
        <v>100</v>
      </c>
      <c r="K238" s="86">
        <v>300</v>
      </c>
      <c r="L238" s="83">
        <f t="shared" si="32"/>
        <v>1150</v>
      </c>
      <c r="M238" s="94">
        <v>600</v>
      </c>
      <c r="N238" s="83">
        <f>'[2]FGT NON-FIRM'!P249</f>
        <v>100</v>
      </c>
      <c r="O238" s="86">
        <v>240</v>
      </c>
      <c r="P238" s="86">
        <v>40</v>
      </c>
      <c r="Q238" s="86">
        <f t="shared" si="33"/>
        <v>315</v>
      </c>
      <c r="R238" s="86">
        <f t="shared" si="34"/>
        <v>100</v>
      </c>
      <c r="S238" s="83">
        <f t="shared" si="35"/>
        <v>695</v>
      </c>
      <c r="T238" s="83">
        <f>'[2]GULFSTREAM NON-FIRM'!H249</f>
        <v>50</v>
      </c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</row>
    <row r="239" spans="1:30" ht="15.75" hidden="1" x14ac:dyDescent="0.25">
      <c r="A239" s="13">
        <v>48183</v>
      </c>
      <c r="B239" s="97">
        <v>31</v>
      </c>
      <c r="C239" s="83">
        <f>'[2]FGT PRIMARY FIRM ZONE 1'!V250</f>
        <v>122.58</v>
      </c>
      <c r="D239" s="83">
        <f>'[2]FGT PRIMARY FIRM ZONE 2'!V250</f>
        <v>297.94100000000003</v>
      </c>
      <c r="E239" s="92">
        <f>'[2]FGT PRIMARY FIRM ZONE 3'!V250</f>
        <v>89.177000000000007</v>
      </c>
      <c r="F239" s="83">
        <f>'[2]FGT FIRM ZONE 3 MOBILE BAY-DES'!V250-40-60-100</f>
        <v>40.301999999999992</v>
      </c>
      <c r="G239" s="86">
        <v>40</v>
      </c>
      <c r="H239" s="83">
        <f>60+100</f>
        <v>160</v>
      </c>
      <c r="I239" s="83">
        <f t="shared" si="28"/>
        <v>0</v>
      </c>
      <c r="J239" s="86">
        <v>100</v>
      </c>
      <c r="K239" s="86">
        <v>300</v>
      </c>
      <c r="L239" s="83">
        <f t="shared" si="32"/>
        <v>1150</v>
      </c>
      <c r="M239" s="94">
        <v>600</v>
      </c>
      <c r="N239" s="83">
        <f>'[2]FGT NON-FIRM'!P250</f>
        <v>100</v>
      </c>
      <c r="O239" s="86">
        <v>240</v>
      </c>
      <c r="P239" s="86">
        <v>40</v>
      </c>
      <c r="Q239" s="86">
        <f t="shared" si="33"/>
        <v>315</v>
      </c>
      <c r="R239" s="86">
        <f t="shared" si="34"/>
        <v>100</v>
      </c>
      <c r="S239" s="83">
        <f t="shared" si="35"/>
        <v>695</v>
      </c>
      <c r="T239" s="83">
        <f>'[2]GULFSTREAM NON-FIRM'!H250</f>
        <v>50</v>
      </c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</row>
    <row r="240" spans="1:30" ht="15.75" hidden="1" x14ac:dyDescent="0.25">
      <c r="A240" s="13">
        <v>48214</v>
      </c>
      <c r="B240" s="97">
        <v>31</v>
      </c>
      <c r="C240" s="83">
        <f>'[2]FGT PRIMARY FIRM ZONE 1'!V251</f>
        <v>122.58</v>
      </c>
      <c r="D240" s="83">
        <f>'[2]FGT PRIMARY FIRM ZONE 2'!V251</f>
        <v>297.94100000000003</v>
      </c>
      <c r="E240" s="92">
        <f>'[2]FGT PRIMARY FIRM ZONE 3'!V251</f>
        <v>89.177000000000007</v>
      </c>
      <c r="F240" s="83">
        <f>'[2]FGT FIRM ZONE 3 MOBILE BAY-DES'!V251-40-60-100</f>
        <v>40.301999999999992</v>
      </c>
      <c r="G240" s="86">
        <v>40</v>
      </c>
      <c r="H240" s="83">
        <f>60+100</f>
        <v>160</v>
      </c>
      <c r="I240" s="83">
        <f t="shared" si="28"/>
        <v>0</v>
      </c>
      <c r="J240" s="86">
        <v>100</v>
      </c>
      <c r="K240" s="86">
        <v>300</v>
      </c>
      <c r="L240" s="83">
        <f t="shared" si="32"/>
        <v>1150</v>
      </c>
      <c r="M240" s="94">
        <v>600</v>
      </c>
      <c r="N240" s="83">
        <f>'[2]FGT NON-FIRM'!P251</f>
        <v>100</v>
      </c>
      <c r="O240" s="86">
        <v>240</v>
      </c>
      <c r="P240" s="86">
        <v>40</v>
      </c>
      <c r="Q240" s="86">
        <f t="shared" si="33"/>
        <v>315</v>
      </c>
      <c r="R240" s="86">
        <f t="shared" si="34"/>
        <v>100</v>
      </c>
      <c r="S240" s="83">
        <f t="shared" si="35"/>
        <v>695</v>
      </c>
      <c r="T240" s="83">
        <f>'[2]GULFSTREAM NON-FIRM'!H251</f>
        <v>50</v>
      </c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</row>
    <row r="241" spans="1:30" ht="15.75" hidden="1" x14ac:dyDescent="0.25">
      <c r="A241" s="13">
        <v>48245</v>
      </c>
      <c r="B241" s="97">
        <v>29</v>
      </c>
      <c r="C241" s="83">
        <f>'[2]FGT PRIMARY FIRM ZONE 1'!V252</f>
        <v>122.58</v>
      </c>
      <c r="D241" s="83">
        <f>'[2]FGT PRIMARY FIRM ZONE 2'!V252</f>
        <v>297.94100000000003</v>
      </c>
      <c r="E241" s="92">
        <f>'[2]FGT PRIMARY FIRM ZONE 3'!V252</f>
        <v>89.177000000000007</v>
      </c>
      <c r="F241" s="83">
        <f>'[2]FGT FIRM ZONE 3 MOBILE BAY-DES'!V252-40-60-100</f>
        <v>40.301999999999992</v>
      </c>
      <c r="G241" s="86">
        <v>40</v>
      </c>
      <c r="H241" s="83">
        <f>60+100</f>
        <v>160</v>
      </c>
      <c r="I241" s="83">
        <f t="shared" si="28"/>
        <v>0</v>
      </c>
      <c r="J241" s="86">
        <v>100</v>
      </c>
      <c r="K241" s="86">
        <v>300</v>
      </c>
      <c r="L241" s="83">
        <f t="shared" si="32"/>
        <v>1150</v>
      </c>
      <c r="M241" s="94">
        <v>600</v>
      </c>
      <c r="N241" s="83">
        <f>'[2]FGT NON-FIRM'!P252</f>
        <v>100</v>
      </c>
      <c r="O241" s="86">
        <v>240</v>
      </c>
      <c r="P241" s="86">
        <v>40</v>
      </c>
      <c r="Q241" s="86">
        <f t="shared" si="33"/>
        <v>315</v>
      </c>
      <c r="R241" s="86">
        <f t="shared" si="34"/>
        <v>100</v>
      </c>
      <c r="S241" s="83">
        <f t="shared" si="35"/>
        <v>695</v>
      </c>
      <c r="T241" s="83">
        <f>'[2]GULFSTREAM NON-FIRM'!H252</f>
        <v>50</v>
      </c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</row>
    <row r="242" spans="1:30" ht="15.75" hidden="1" x14ac:dyDescent="0.25">
      <c r="A242" s="13">
        <v>48274</v>
      </c>
      <c r="B242" s="97">
        <v>31</v>
      </c>
      <c r="C242" s="83">
        <f>'[2]FGT PRIMARY FIRM ZONE 1'!V253</f>
        <v>122.58</v>
      </c>
      <c r="D242" s="83">
        <f>'[2]FGT PRIMARY FIRM ZONE 2'!V253</f>
        <v>297.94100000000003</v>
      </c>
      <c r="E242" s="92">
        <f>'[2]FGT PRIMARY FIRM ZONE 3'!V253</f>
        <v>89.177000000000007</v>
      </c>
      <c r="F242" s="83">
        <f>'[2]FGT FIRM ZONE 3 MOBILE BAY-DES'!V253-40-60-100</f>
        <v>40.301999999999992</v>
      </c>
      <c r="G242" s="86">
        <v>40</v>
      </c>
      <c r="H242" s="83">
        <f>60+100</f>
        <v>160</v>
      </c>
      <c r="I242" s="83">
        <f t="shared" si="28"/>
        <v>0</v>
      </c>
      <c r="J242" s="86">
        <v>100</v>
      </c>
      <c r="K242" s="86">
        <v>300</v>
      </c>
      <c r="L242" s="83">
        <f t="shared" si="32"/>
        <v>1150</v>
      </c>
      <c r="M242" s="94">
        <v>600</v>
      </c>
      <c r="N242" s="83">
        <f>'[2]FGT NON-FIRM'!P253</f>
        <v>100</v>
      </c>
      <c r="O242" s="86">
        <v>240</v>
      </c>
      <c r="P242" s="86">
        <v>40</v>
      </c>
      <c r="Q242" s="86">
        <f t="shared" si="33"/>
        <v>315</v>
      </c>
      <c r="R242" s="86">
        <f t="shared" si="34"/>
        <v>100</v>
      </c>
      <c r="S242" s="83">
        <f t="shared" si="35"/>
        <v>695</v>
      </c>
      <c r="T242" s="83">
        <f>'[2]GULFSTREAM NON-FIRM'!H253</f>
        <v>50</v>
      </c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</row>
    <row r="243" spans="1:30" ht="15.75" hidden="1" x14ac:dyDescent="0.25">
      <c r="A243" s="13">
        <v>48305</v>
      </c>
      <c r="B243" s="97">
        <v>30</v>
      </c>
      <c r="C243" s="83">
        <f>'[2]FGT PRIMARY FIRM ZONE 1'!V254</f>
        <v>141.29300000000001</v>
      </c>
      <c r="D243" s="83">
        <f>'[2]FGT PRIMARY FIRM ZONE 2'!V254</f>
        <v>267.99299999999999</v>
      </c>
      <c r="E243" s="92">
        <f>'[2]FGT PRIMARY FIRM ZONE 3'!V254</f>
        <v>115.01600000000001</v>
      </c>
      <c r="F243" s="83">
        <f>'[2]FGT FIRM ZONE 3 MOBILE BAY-DES'!V254-40-25-60-100</f>
        <v>89.698000000000036</v>
      </c>
      <c r="G243" s="86">
        <v>40</v>
      </c>
      <c r="H243" s="83">
        <f t="shared" ref="H243:H249" si="38">25+60+100</f>
        <v>185</v>
      </c>
      <c r="I243" s="83">
        <f t="shared" si="28"/>
        <v>0</v>
      </c>
      <c r="J243" s="86">
        <v>100</v>
      </c>
      <c r="K243" s="86">
        <v>300</v>
      </c>
      <c r="L243" s="83">
        <f t="shared" si="32"/>
        <v>1239</v>
      </c>
      <c r="M243" s="94">
        <v>600</v>
      </c>
      <c r="N243" s="83">
        <f>'[2]FGT NON-FIRM'!P254</f>
        <v>100</v>
      </c>
      <c r="O243" s="86">
        <v>240</v>
      </c>
      <c r="P243" s="86">
        <v>160</v>
      </c>
      <c r="Q243" s="86">
        <f t="shared" si="33"/>
        <v>195</v>
      </c>
      <c r="R243" s="86">
        <f t="shared" si="34"/>
        <v>100</v>
      </c>
      <c r="S243" s="83">
        <f t="shared" si="35"/>
        <v>695</v>
      </c>
      <c r="T243" s="83">
        <f>'[2]GULFSTREAM NON-FIRM'!H254</f>
        <v>50</v>
      </c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</row>
    <row r="244" spans="1:30" ht="15.75" hidden="1" x14ac:dyDescent="0.25">
      <c r="A244" s="13">
        <v>48335</v>
      </c>
      <c r="B244" s="97">
        <v>31</v>
      </c>
      <c r="C244" s="83">
        <f>'[2]FGT PRIMARY FIRM ZONE 1'!V255</f>
        <v>194.20499999999998</v>
      </c>
      <c r="D244" s="83">
        <f>'[2]FGT PRIMARY FIRM ZONE 2'!V255</f>
        <v>267.46600000000001</v>
      </c>
      <c r="E244" s="92">
        <f>'[2]FGT PRIMARY FIRM ZONE 3'!V255</f>
        <v>133.845</v>
      </c>
      <c r="F244" s="83">
        <f>'[2]FGT FIRM ZONE 3 MOBILE BAY-DES'!V255-40-25-60-100</f>
        <v>53.48399999999998</v>
      </c>
      <c r="G244" s="86">
        <v>40</v>
      </c>
      <c r="H244" s="83">
        <f t="shared" si="38"/>
        <v>185</v>
      </c>
      <c r="I244" s="83">
        <f t="shared" ref="I244:I307" si="39">400-J244-K244</f>
        <v>0</v>
      </c>
      <c r="J244" s="86">
        <v>100</v>
      </c>
      <c r="K244" s="86">
        <v>300</v>
      </c>
      <c r="L244" s="83">
        <f t="shared" si="32"/>
        <v>1274</v>
      </c>
      <c r="M244" s="94">
        <v>600</v>
      </c>
      <c r="N244" s="83">
        <f>'[2]FGT NON-FIRM'!P255</f>
        <v>75</v>
      </c>
      <c r="O244" s="86">
        <v>240</v>
      </c>
      <c r="P244" s="86">
        <v>160</v>
      </c>
      <c r="Q244" s="86">
        <f t="shared" si="33"/>
        <v>195</v>
      </c>
      <c r="R244" s="86">
        <f t="shared" si="34"/>
        <v>100</v>
      </c>
      <c r="S244" s="83">
        <f t="shared" si="35"/>
        <v>695</v>
      </c>
      <c r="T244" s="83">
        <f>'[2]GULFSTREAM NON-FIRM'!H255</f>
        <v>50</v>
      </c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</row>
    <row r="245" spans="1:30" ht="15.75" hidden="1" x14ac:dyDescent="0.25">
      <c r="A245" s="13">
        <v>48366</v>
      </c>
      <c r="B245" s="97">
        <v>30</v>
      </c>
      <c r="C245" s="83">
        <f>'[2]FGT PRIMARY FIRM ZONE 1'!V256</f>
        <v>194.20499999999998</v>
      </c>
      <c r="D245" s="83">
        <f>'[2]FGT PRIMARY FIRM ZONE 2'!V256</f>
        <v>267.46600000000001</v>
      </c>
      <c r="E245" s="92">
        <f>'[2]FGT PRIMARY FIRM ZONE 3'!V256</f>
        <v>133.845</v>
      </c>
      <c r="F245" s="83">
        <f>'[2]FGT FIRM ZONE 3 MOBILE BAY-DES'!V256-40-25-60-100</f>
        <v>53.48399999999998</v>
      </c>
      <c r="G245" s="86">
        <v>40</v>
      </c>
      <c r="H245" s="83">
        <f t="shared" si="38"/>
        <v>185</v>
      </c>
      <c r="I245" s="83">
        <f t="shared" si="39"/>
        <v>0</v>
      </c>
      <c r="J245" s="86">
        <v>100</v>
      </c>
      <c r="K245" s="86">
        <v>300</v>
      </c>
      <c r="L245" s="83">
        <f t="shared" si="32"/>
        <v>1274</v>
      </c>
      <c r="M245" s="94">
        <v>600</v>
      </c>
      <c r="N245" s="83">
        <f>'[2]FGT NON-FIRM'!P256</f>
        <v>30</v>
      </c>
      <c r="O245" s="86">
        <v>240</v>
      </c>
      <c r="P245" s="86">
        <v>160</v>
      </c>
      <c r="Q245" s="86">
        <f t="shared" si="33"/>
        <v>195</v>
      </c>
      <c r="R245" s="86">
        <f t="shared" si="34"/>
        <v>100</v>
      </c>
      <c r="S245" s="83">
        <f t="shared" si="35"/>
        <v>695</v>
      </c>
      <c r="T245" s="83">
        <f>'[2]GULFSTREAM NON-FIRM'!H256</f>
        <v>50</v>
      </c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</row>
    <row r="246" spans="1:30" ht="15.75" hidden="1" x14ac:dyDescent="0.25">
      <c r="A246" s="13">
        <v>48396</v>
      </c>
      <c r="B246" s="97">
        <v>31</v>
      </c>
      <c r="C246" s="83">
        <f>'[2]FGT PRIMARY FIRM ZONE 1'!V257</f>
        <v>194.20499999999998</v>
      </c>
      <c r="D246" s="83">
        <f>'[2]FGT PRIMARY FIRM ZONE 2'!V257</f>
        <v>267.46600000000001</v>
      </c>
      <c r="E246" s="92">
        <f>'[2]FGT PRIMARY FIRM ZONE 3'!V257</f>
        <v>133.845</v>
      </c>
      <c r="F246" s="83">
        <f>'[2]FGT FIRM ZONE 3 MOBILE BAY-DES'!V257-40-25-60-100</f>
        <v>53.48399999999998</v>
      </c>
      <c r="G246" s="86">
        <v>40</v>
      </c>
      <c r="H246" s="83">
        <f t="shared" si="38"/>
        <v>185</v>
      </c>
      <c r="I246" s="83">
        <f t="shared" si="39"/>
        <v>0</v>
      </c>
      <c r="J246" s="86">
        <v>100</v>
      </c>
      <c r="K246" s="86">
        <v>300</v>
      </c>
      <c r="L246" s="83">
        <f t="shared" si="32"/>
        <v>1274</v>
      </c>
      <c r="M246" s="94">
        <v>600</v>
      </c>
      <c r="N246" s="83">
        <f>'[2]FGT NON-FIRM'!P257</f>
        <v>30</v>
      </c>
      <c r="O246" s="86">
        <v>240</v>
      </c>
      <c r="P246" s="86">
        <v>160</v>
      </c>
      <c r="Q246" s="86">
        <f t="shared" si="33"/>
        <v>195</v>
      </c>
      <c r="R246" s="86">
        <f t="shared" si="34"/>
        <v>100</v>
      </c>
      <c r="S246" s="83">
        <f t="shared" si="35"/>
        <v>695</v>
      </c>
      <c r="T246" s="83">
        <f>'[2]GULFSTREAM NON-FIRM'!H257</f>
        <v>0</v>
      </c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</row>
    <row r="247" spans="1:30" ht="15.75" hidden="1" x14ac:dyDescent="0.25">
      <c r="A247" s="13">
        <v>48427</v>
      </c>
      <c r="B247" s="97">
        <v>31</v>
      </c>
      <c r="C247" s="83">
        <f>'[2]FGT PRIMARY FIRM ZONE 1'!V258</f>
        <v>194.20499999999998</v>
      </c>
      <c r="D247" s="83">
        <f>'[2]FGT PRIMARY FIRM ZONE 2'!V258</f>
        <v>267.46600000000001</v>
      </c>
      <c r="E247" s="92">
        <f>'[2]FGT PRIMARY FIRM ZONE 3'!V258</f>
        <v>133.845</v>
      </c>
      <c r="F247" s="83">
        <f>'[2]FGT FIRM ZONE 3 MOBILE BAY-DES'!V258-40-25-60-100</f>
        <v>53.48399999999998</v>
      </c>
      <c r="G247" s="86">
        <v>40</v>
      </c>
      <c r="H247" s="83">
        <f t="shared" si="38"/>
        <v>185</v>
      </c>
      <c r="I247" s="83">
        <f t="shared" si="39"/>
        <v>0</v>
      </c>
      <c r="J247" s="86">
        <v>100</v>
      </c>
      <c r="K247" s="86">
        <v>300</v>
      </c>
      <c r="L247" s="83">
        <f t="shared" si="32"/>
        <v>1274</v>
      </c>
      <c r="M247" s="94">
        <v>600</v>
      </c>
      <c r="N247" s="83">
        <f>'[2]FGT NON-FIRM'!P258</f>
        <v>30</v>
      </c>
      <c r="O247" s="86">
        <v>240</v>
      </c>
      <c r="P247" s="86">
        <v>160</v>
      </c>
      <c r="Q247" s="86">
        <f t="shared" si="33"/>
        <v>195</v>
      </c>
      <c r="R247" s="86">
        <f t="shared" si="34"/>
        <v>100</v>
      </c>
      <c r="S247" s="83">
        <f t="shared" si="35"/>
        <v>695</v>
      </c>
      <c r="T247" s="83">
        <f>'[2]GULFSTREAM NON-FIRM'!H258</f>
        <v>0</v>
      </c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</row>
    <row r="248" spans="1:30" ht="15.75" hidden="1" x14ac:dyDescent="0.25">
      <c r="A248" s="13">
        <v>48458</v>
      </c>
      <c r="B248" s="97">
        <v>30</v>
      </c>
      <c r="C248" s="83">
        <f>'[2]FGT PRIMARY FIRM ZONE 1'!V259</f>
        <v>194.20499999999998</v>
      </c>
      <c r="D248" s="83">
        <f>'[2]FGT PRIMARY FIRM ZONE 2'!V259</f>
        <v>267.46600000000001</v>
      </c>
      <c r="E248" s="92">
        <f>'[2]FGT PRIMARY FIRM ZONE 3'!V259</f>
        <v>133.845</v>
      </c>
      <c r="F248" s="83">
        <f>'[2]FGT FIRM ZONE 3 MOBILE BAY-DES'!V259-40-25-60-100</f>
        <v>53.48399999999998</v>
      </c>
      <c r="G248" s="86">
        <v>40</v>
      </c>
      <c r="H248" s="83">
        <f t="shared" si="38"/>
        <v>185</v>
      </c>
      <c r="I248" s="83">
        <f t="shared" si="39"/>
        <v>0</v>
      </c>
      <c r="J248" s="86">
        <v>100</v>
      </c>
      <c r="K248" s="86">
        <v>300</v>
      </c>
      <c r="L248" s="83">
        <f t="shared" si="32"/>
        <v>1274</v>
      </c>
      <c r="M248" s="94">
        <v>600</v>
      </c>
      <c r="N248" s="83">
        <f>'[2]FGT NON-FIRM'!P259</f>
        <v>30</v>
      </c>
      <c r="O248" s="86">
        <v>240</v>
      </c>
      <c r="P248" s="86">
        <v>160</v>
      </c>
      <c r="Q248" s="86">
        <f t="shared" si="33"/>
        <v>195</v>
      </c>
      <c r="R248" s="86">
        <f t="shared" si="34"/>
        <v>100</v>
      </c>
      <c r="S248" s="83">
        <f t="shared" si="35"/>
        <v>695</v>
      </c>
      <c r="T248" s="83">
        <f>'[2]GULFSTREAM NON-FIRM'!H259</f>
        <v>0</v>
      </c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</row>
    <row r="249" spans="1:30" ht="15.75" hidden="1" x14ac:dyDescent="0.25">
      <c r="A249" s="13">
        <v>48488</v>
      </c>
      <c r="B249" s="97">
        <v>31</v>
      </c>
      <c r="C249" s="83">
        <f>'[2]FGT PRIMARY FIRM ZONE 1'!V260</f>
        <v>131.881</v>
      </c>
      <c r="D249" s="83">
        <f>'[2]FGT PRIMARY FIRM ZONE 2'!V260</f>
        <v>277.16699999999997</v>
      </c>
      <c r="E249" s="92">
        <f>'[2]FGT PRIMARY FIRM ZONE 3'!V260</f>
        <v>79.08</v>
      </c>
      <c r="F249" s="83">
        <f>'[2]FGT FIRM ZONE 3 MOBILE BAY-DES'!V260-40-25-60-100</f>
        <v>125.87199999999996</v>
      </c>
      <c r="G249" s="86">
        <v>40</v>
      </c>
      <c r="H249" s="83">
        <f t="shared" si="38"/>
        <v>185</v>
      </c>
      <c r="I249" s="83">
        <f t="shared" si="39"/>
        <v>0</v>
      </c>
      <c r="J249" s="86">
        <v>100</v>
      </c>
      <c r="K249" s="86">
        <v>300</v>
      </c>
      <c r="L249" s="83">
        <f t="shared" si="32"/>
        <v>1239</v>
      </c>
      <c r="M249" s="94">
        <v>600</v>
      </c>
      <c r="N249" s="83">
        <f>'[2]FGT NON-FIRM'!P260</f>
        <v>75</v>
      </c>
      <c r="O249" s="86">
        <v>240</v>
      </c>
      <c r="P249" s="86">
        <v>160</v>
      </c>
      <c r="Q249" s="86">
        <f t="shared" si="33"/>
        <v>195</v>
      </c>
      <c r="R249" s="86">
        <f t="shared" si="34"/>
        <v>100</v>
      </c>
      <c r="S249" s="83">
        <f t="shared" si="35"/>
        <v>695</v>
      </c>
      <c r="T249" s="83">
        <f>'[2]GULFSTREAM NON-FIRM'!H260</f>
        <v>0</v>
      </c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</row>
    <row r="250" spans="1:30" ht="15.75" hidden="1" x14ac:dyDescent="0.25">
      <c r="A250" s="13">
        <v>48519</v>
      </c>
      <c r="B250" s="97">
        <v>30</v>
      </c>
      <c r="C250" s="83">
        <f>'[2]FGT PRIMARY FIRM ZONE 1'!V261</f>
        <v>122.58</v>
      </c>
      <c r="D250" s="83">
        <f>'[2]FGT PRIMARY FIRM ZONE 2'!V261</f>
        <v>297.94100000000003</v>
      </c>
      <c r="E250" s="92">
        <f>'[2]FGT PRIMARY FIRM ZONE 3'!V261</f>
        <v>89.177000000000007</v>
      </c>
      <c r="F250" s="83">
        <f>'[2]FGT FIRM ZONE 3 MOBILE BAY-DES'!V261-40-60-100</f>
        <v>40.301999999999992</v>
      </c>
      <c r="G250" s="86">
        <v>40</v>
      </c>
      <c r="H250" s="83">
        <f>60+100</f>
        <v>160</v>
      </c>
      <c r="I250" s="83">
        <f t="shared" si="39"/>
        <v>0</v>
      </c>
      <c r="J250" s="86">
        <v>100</v>
      </c>
      <c r="K250" s="86">
        <v>300</v>
      </c>
      <c r="L250" s="83">
        <f t="shared" si="32"/>
        <v>1150</v>
      </c>
      <c r="M250" s="94">
        <v>600</v>
      </c>
      <c r="N250" s="83">
        <f>'[2]FGT NON-FIRM'!P261</f>
        <v>100</v>
      </c>
      <c r="O250" s="86">
        <v>240</v>
      </c>
      <c r="P250" s="86">
        <v>40</v>
      </c>
      <c r="Q250" s="86">
        <f t="shared" si="33"/>
        <v>315</v>
      </c>
      <c r="R250" s="86">
        <f t="shared" si="34"/>
        <v>100</v>
      </c>
      <c r="S250" s="83">
        <f t="shared" si="35"/>
        <v>695</v>
      </c>
      <c r="T250" s="83">
        <f>'[2]GULFSTREAM NON-FIRM'!H261</f>
        <v>50</v>
      </c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</row>
    <row r="251" spans="1:30" ht="15.75" hidden="1" x14ac:dyDescent="0.25">
      <c r="A251" s="13">
        <v>48549</v>
      </c>
      <c r="B251" s="97">
        <v>31</v>
      </c>
      <c r="C251" s="83">
        <f>'[2]FGT PRIMARY FIRM ZONE 1'!V262</f>
        <v>122.58</v>
      </c>
      <c r="D251" s="83">
        <f>'[2]FGT PRIMARY FIRM ZONE 2'!V262</f>
        <v>297.94100000000003</v>
      </c>
      <c r="E251" s="92">
        <f>'[2]FGT PRIMARY FIRM ZONE 3'!V262</f>
        <v>89.177000000000007</v>
      </c>
      <c r="F251" s="83">
        <f>'[2]FGT FIRM ZONE 3 MOBILE BAY-DES'!V262-40-60-100</f>
        <v>40.301999999999992</v>
      </c>
      <c r="G251" s="86">
        <v>40</v>
      </c>
      <c r="H251" s="83">
        <f>60+100</f>
        <v>160</v>
      </c>
      <c r="I251" s="83">
        <f t="shared" si="39"/>
        <v>0</v>
      </c>
      <c r="J251" s="86">
        <v>100</v>
      </c>
      <c r="K251" s="86">
        <v>300</v>
      </c>
      <c r="L251" s="83">
        <f t="shared" si="32"/>
        <v>1150</v>
      </c>
      <c r="M251" s="94">
        <v>600</v>
      </c>
      <c r="N251" s="83">
        <f>'[2]FGT NON-FIRM'!P262</f>
        <v>100</v>
      </c>
      <c r="O251" s="86">
        <v>240</v>
      </c>
      <c r="P251" s="86">
        <v>40</v>
      </c>
      <c r="Q251" s="86">
        <f t="shared" si="33"/>
        <v>315</v>
      </c>
      <c r="R251" s="86">
        <f t="shared" si="34"/>
        <v>100</v>
      </c>
      <c r="S251" s="83">
        <f t="shared" si="35"/>
        <v>695</v>
      </c>
      <c r="T251" s="83">
        <f>'[2]GULFSTREAM NON-FIRM'!H262</f>
        <v>50</v>
      </c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</row>
    <row r="252" spans="1:30" ht="15.75" hidden="1" x14ac:dyDescent="0.25">
      <c r="A252" s="13">
        <v>48580</v>
      </c>
      <c r="B252" s="97">
        <v>31</v>
      </c>
      <c r="C252" s="83">
        <f>'[2]FGT PRIMARY FIRM ZONE 1'!V263</f>
        <v>122.58</v>
      </c>
      <c r="D252" s="83">
        <f>'[2]FGT PRIMARY FIRM ZONE 2'!V263</f>
        <v>297.94100000000003</v>
      </c>
      <c r="E252" s="92">
        <f>'[2]FGT PRIMARY FIRM ZONE 3'!V263</f>
        <v>89.177000000000007</v>
      </c>
      <c r="F252" s="83">
        <f>'[2]FGT FIRM ZONE 3 MOBILE BAY-DES'!V263-40-60-100</f>
        <v>40.301999999999992</v>
      </c>
      <c r="G252" s="86">
        <v>40</v>
      </c>
      <c r="H252" s="83">
        <f>60+100</f>
        <v>160</v>
      </c>
      <c r="I252" s="83">
        <f t="shared" si="39"/>
        <v>0</v>
      </c>
      <c r="J252" s="86">
        <v>100</v>
      </c>
      <c r="K252" s="86">
        <v>300</v>
      </c>
      <c r="L252" s="83">
        <f t="shared" si="32"/>
        <v>1150</v>
      </c>
      <c r="M252" s="94">
        <v>600</v>
      </c>
      <c r="N252" s="83">
        <f>'[2]FGT NON-FIRM'!P263</f>
        <v>100</v>
      </c>
      <c r="O252" s="86">
        <v>240</v>
      </c>
      <c r="P252" s="86">
        <v>40</v>
      </c>
      <c r="Q252" s="86">
        <f t="shared" si="33"/>
        <v>315</v>
      </c>
      <c r="R252" s="86">
        <f t="shared" si="34"/>
        <v>100</v>
      </c>
      <c r="S252" s="83">
        <f t="shared" si="35"/>
        <v>695</v>
      </c>
      <c r="T252" s="83">
        <f>'[2]GULFSTREAM NON-FIRM'!H263</f>
        <v>50</v>
      </c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</row>
    <row r="253" spans="1:30" ht="15.75" hidden="1" x14ac:dyDescent="0.25">
      <c r="A253" s="13">
        <v>48611</v>
      </c>
      <c r="B253" s="97">
        <v>28</v>
      </c>
      <c r="C253" s="83">
        <f>'[2]FGT PRIMARY FIRM ZONE 1'!V264</f>
        <v>122.58</v>
      </c>
      <c r="D253" s="83">
        <f>'[2]FGT PRIMARY FIRM ZONE 2'!V264</f>
        <v>297.94100000000003</v>
      </c>
      <c r="E253" s="92">
        <f>'[2]FGT PRIMARY FIRM ZONE 3'!V264</f>
        <v>89.177000000000007</v>
      </c>
      <c r="F253" s="83">
        <f>'[2]FGT FIRM ZONE 3 MOBILE BAY-DES'!V264-40-60-100</f>
        <v>40.301999999999992</v>
      </c>
      <c r="G253" s="86">
        <v>40</v>
      </c>
      <c r="H253" s="83">
        <f>60+100</f>
        <v>160</v>
      </c>
      <c r="I253" s="83">
        <f t="shared" si="39"/>
        <v>0</v>
      </c>
      <c r="J253" s="86">
        <v>100</v>
      </c>
      <c r="K253" s="86">
        <v>300</v>
      </c>
      <c r="L253" s="83">
        <f t="shared" si="32"/>
        <v>1150</v>
      </c>
      <c r="M253" s="94">
        <v>600</v>
      </c>
      <c r="N253" s="83">
        <f>'[2]FGT NON-FIRM'!P264</f>
        <v>100</v>
      </c>
      <c r="O253" s="86">
        <v>240</v>
      </c>
      <c r="P253" s="86">
        <v>40</v>
      </c>
      <c r="Q253" s="86">
        <f t="shared" si="33"/>
        <v>315</v>
      </c>
      <c r="R253" s="86">
        <f t="shared" si="34"/>
        <v>100</v>
      </c>
      <c r="S253" s="83">
        <f t="shared" si="35"/>
        <v>695</v>
      </c>
      <c r="T253" s="83">
        <f>'[2]GULFSTREAM NON-FIRM'!H264</f>
        <v>50</v>
      </c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</row>
    <row r="254" spans="1:30" ht="15.75" hidden="1" x14ac:dyDescent="0.25">
      <c r="A254" s="13">
        <v>48639</v>
      </c>
      <c r="B254" s="97">
        <v>31</v>
      </c>
      <c r="C254" s="83">
        <f>'[2]FGT PRIMARY FIRM ZONE 1'!V265</f>
        <v>122.58</v>
      </c>
      <c r="D254" s="83">
        <f>'[2]FGT PRIMARY FIRM ZONE 2'!V265</f>
        <v>297.94100000000003</v>
      </c>
      <c r="E254" s="92">
        <f>'[2]FGT PRIMARY FIRM ZONE 3'!V265</f>
        <v>89.177000000000007</v>
      </c>
      <c r="F254" s="83">
        <f>'[2]FGT FIRM ZONE 3 MOBILE BAY-DES'!V265-40-60-100</f>
        <v>40.301999999999992</v>
      </c>
      <c r="G254" s="86">
        <v>40</v>
      </c>
      <c r="H254" s="83">
        <f>60+100</f>
        <v>160</v>
      </c>
      <c r="I254" s="83">
        <f t="shared" si="39"/>
        <v>0</v>
      </c>
      <c r="J254" s="86">
        <v>100</v>
      </c>
      <c r="K254" s="86">
        <v>300</v>
      </c>
      <c r="L254" s="83">
        <f t="shared" si="32"/>
        <v>1150</v>
      </c>
      <c r="M254" s="94">
        <v>600</v>
      </c>
      <c r="N254" s="83">
        <f>'[2]FGT NON-FIRM'!P265</f>
        <v>100</v>
      </c>
      <c r="O254" s="86">
        <v>240</v>
      </c>
      <c r="P254" s="86">
        <v>40</v>
      </c>
      <c r="Q254" s="86">
        <f t="shared" si="33"/>
        <v>315</v>
      </c>
      <c r="R254" s="86">
        <f t="shared" si="34"/>
        <v>100</v>
      </c>
      <c r="S254" s="83">
        <f t="shared" si="35"/>
        <v>695</v>
      </c>
      <c r="T254" s="83">
        <f>'[2]GULFSTREAM NON-FIRM'!H265</f>
        <v>50</v>
      </c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</row>
    <row r="255" spans="1:30" ht="15.75" hidden="1" x14ac:dyDescent="0.25">
      <c r="A255" s="13">
        <v>48670</v>
      </c>
      <c r="B255" s="97">
        <v>30</v>
      </c>
      <c r="C255" s="83">
        <f>'[2]FGT PRIMARY FIRM ZONE 1'!V266</f>
        <v>141.29300000000001</v>
      </c>
      <c r="D255" s="83">
        <f>'[2]FGT PRIMARY FIRM ZONE 2'!V266</f>
        <v>267.99299999999999</v>
      </c>
      <c r="E255" s="92">
        <f>'[2]FGT PRIMARY FIRM ZONE 3'!V266</f>
        <v>115.01600000000001</v>
      </c>
      <c r="F255" s="83">
        <f>'[2]FGT FIRM ZONE 3 MOBILE BAY-DES'!V266-40-25-60-100</f>
        <v>89.698000000000036</v>
      </c>
      <c r="G255" s="86">
        <v>40</v>
      </c>
      <c r="H255" s="83">
        <f t="shared" ref="H255:H261" si="40">25+60+100</f>
        <v>185</v>
      </c>
      <c r="I255" s="83">
        <f t="shared" si="39"/>
        <v>0</v>
      </c>
      <c r="J255" s="86">
        <v>100</v>
      </c>
      <c r="K255" s="86">
        <v>300</v>
      </c>
      <c r="L255" s="83">
        <f t="shared" si="32"/>
        <v>1239</v>
      </c>
      <c r="M255" s="94">
        <v>600</v>
      </c>
      <c r="N255" s="83">
        <f>'[2]FGT NON-FIRM'!P266</f>
        <v>100</v>
      </c>
      <c r="O255" s="86">
        <v>240</v>
      </c>
      <c r="P255" s="86">
        <v>160</v>
      </c>
      <c r="Q255" s="86">
        <f t="shared" si="33"/>
        <v>195</v>
      </c>
      <c r="R255" s="86">
        <f t="shared" si="34"/>
        <v>100</v>
      </c>
      <c r="S255" s="83">
        <f t="shared" si="35"/>
        <v>695</v>
      </c>
      <c r="T255" s="83">
        <f>'[2]GULFSTREAM NON-FIRM'!H266</f>
        <v>50</v>
      </c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</row>
    <row r="256" spans="1:30" ht="15.75" hidden="1" x14ac:dyDescent="0.25">
      <c r="A256" s="13">
        <v>48700</v>
      </c>
      <c r="B256" s="97">
        <v>31</v>
      </c>
      <c r="C256" s="83">
        <f>'[2]FGT PRIMARY FIRM ZONE 1'!V267</f>
        <v>194.20499999999998</v>
      </c>
      <c r="D256" s="83">
        <f>'[2]FGT PRIMARY FIRM ZONE 2'!V267</f>
        <v>267.46600000000001</v>
      </c>
      <c r="E256" s="92">
        <f>'[2]FGT PRIMARY FIRM ZONE 3'!V267</f>
        <v>133.845</v>
      </c>
      <c r="F256" s="83">
        <f>'[2]FGT FIRM ZONE 3 MOBILE BAY-DES'!V267-40-25-60-100</f>
        <v>53.48399999999998</v>
      </c>
      <c r="G256" s="86">
        <v>40</v>
      </c>
      <c r="H256" s="83">
        <f t="shared" si="40"/>
        <v>185</v>
      </c>
      <c r="I256" s="83">
        <f t="shared" si="39"/>
        <v>0</v>
      </c>
      <c r="J256" s="86">
        <v>100</v>
      </c>
      <c r="K256" s="86">
        <v>300</v>
      </c>
      <c r="L256" s="83">
        <f t="shared" si="32"/>
        <v>1274</v>
      </c>
      <c r="M256" s="94">
        <v>600</v>
      </c>
      <c r="N256" s="83">
        <f>'[2]FGT NON-FIRM'!P267</f>
        <v>75</v>
      </c>
      <c r="O256" s="86">
        <v>240</v>
      </c>
      <c r="P256" s="86">
        <v>160</v>
      </c>
      <c r="Q256" s="86">
        <f t="shared" si="33"/>
        <v>195</v>
      </c>
      <c r="R256" s="86">
        <f t="shared" si="34"/>
        <v>100</v>
      </c>
      <c r="S256" s="83">
        <f t="shared" si="35"/>
        <v>695</v>
      </c>
      <c r="T256" s="83">
        <f>'[2]GULFSTREAM NON-FIRM'!H267</f>
        <v>50</v>
      </c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</row>
    <row r="257" spans="1:30" ht="15.75" hidden="1" x14ac:dyDescent="0.25">
      <c r="A257" s="13">
        <v>48731</v>
      </c>
      <c r="B257" s="97">
        <v>30</v>
      </c>
      <c r="C257" s="83">
        <f>'[2]FGT PRIMARY FIRM ZONE 1'!V268</f>
        <v>194.20499999999998</v>
      </c>
      <c r="D257" s="83">
        <f>'[2]FGT PRIMARY FIRM ZONE 2'!V268</f>
        <v>267.46600000000001</v>
      </c>
      <c r="E257" s="92">
        <f>'[2]FGT PRIMARY FIRM ZONE 3'!V268</f>
        <v>133.845</v>
      </c>
      <c r="F257" s="83">
        <f>'[2]FGT FIRM ZONE 3 MOBILE BAY-DES'!V268-40-25-60-100</f>
        <v>53.48399999999998</v>
      </c>
      <c r="G257" s="86">
        <v>40</v>
      </c>
      <c r="H257" s="83">
        <f t="shared" si="40"/>
        <v>185</v>
      </c>
      <c r="I257" s="83">
        <f t="shared" si="39"/>
        <v>0</v>
      </c>
      <c r="J257" s="86">
        <v>100</v>
      </c>
      <c r="K257" s="86">
        <v>300</v>
      </c>
      <c r="L257" s="83">
        <f t="shared" si="32"/>
        <v>1274</v>
      </c>
      <c r="M257" s="94">
        <v>600</v>
      </c>
      <c r="N257" s="83">
        <f>'[2]FGT NON-FIRM'!P268</f>
        <v>30</v>
      </c>
      <c r="O257" s="86">
        <v>240</v>
      </c>
      <c r="P257" s="86">
        <v>160</v>
      </c>
      <c r="Q257" s="86">
        <f t="shared" si="33"/>
        <v>195</v>
      </c>
      <c r="R257" s="86">
        <f t="shared" si="34"/>
        <v>100</v>
      </c>
      <c r="S257" s="83">
        <f t="shared" si="35"/>
        <v>695</v>
      </c>
      <c r="T257" s="83">
        <f>'[2]GULFSTREAM NON-FIRM'!H268</f>
        <v>50</v>
      </c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</row>
    <row r="258" spans="1:30" ht="15.75" hidden="1" x14ac:dyDescent="0.25">
      <c r="A258" s="13">
        <v>48761</v>
      </c>
      <c r="B258" s="97">
        <v>31</v>
      </c>
      <c r="C258" s="83">
        <f>'[2]FGT PRIMARY FIRM ZONE 1'!V269</f>
        <v>194.20499999999998</v>
      </c>
      <c r="D258" s="83">
        <f>'[2]FGT PRIMARY FIRM ZONE 2'!V269</f>
        <v>267.46600000000001</v>
      </c>
      <c r="E258" s="92">
        <f>'[2]FGT PRIMARY FIRM ZONE 3'!V269</f>
        <v>133.845</v>
      </c>
      <c r="F258" s="83">
        <f>'[2]FGT FIRM ZONE 3 MOBILE BAY-DES'!V269-40-25-60-100</f>
        <v>53.48399999999998</v>
      </c>
      <c r="G258" s="86">
        <v>40</v>
      </c>
      <c r="H258" s="83">
        <f t="shared" si="40"/>
        <v>185</v>
      </c>
      <c r="I258" s="83">
        <f t="shared" si="39"/>
        <v>0</v>
      </c>
      <c r="J258" s="86">
        <v>100</v>
      </c>
      <c r="K258" s="86">
        <v>300</v>
      </c>
      <c r="L258" s="83">
        <f t="shared" si="32"/>
        <v>1274</v>
      </c>
      <c r="M258" s="94">
        <v>600</v>
      </c>
      <c r="N258" s="83">
        <f>'[2]FGT NON-FIRM'!P269</f>
        <v>30</v>
      </c>
      <c r="O258" s="86">
        <v>240</v>
      </c>
      <c r="P258" s="86">
        <v>160</v>
      </c>
      <c r="Q258" s="86">
        <f t="shared" si="33"/>
        <v>195</v>
      </c>
      <c r="R258" s="86">
        <f t="shared" si="34"/>
        <v>100</v>
      </c>
      <c r="S258" s="83">
        <f t="shared" si="35"/>
        <v>695</v>
      </c>
      <c r="T258" s="83">
        <f>'[2]GULFSTREAM NON-FIRM'!H269</f>
        <v>0</v>
      </c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</row>
    <row r="259" spans="1:30" ht="15.75" hidden="1" x14ac:dyDescent="0.25">
      <c r="A259" s="13">
        <v>48792</v>
      </c>
      <c r="B259" s="97">
        <v>31</v>
      </c>
      <c r="C259" s="83">
        <f>'[2]FGT PRIMARY FIRM ZONE 1'!V270</f>
        <v>194.20499999999998</v>
      </c>
      <c r="D259" s="83">
        <f>'[2]FGT PRIMARY FIRM ZONE 2'!V270</f>
        <v>267.46600000000001</v>
      </c>
      <c r="E259" s="92">
        <f>'[2]FGT PRIMARY FIRM ZONE 3'!V270</f>
        <v>133.845</v>
      </c>
      <c r="F259" s="83">
        <f>'[2]FGT FIRM ZONE 3 MOBILE BAY-DES'!V270-40-25-60-100</f>
        <v>53.48399999999998</v>
      </c>
      <c r="G259" s="86">
        <v>40</v>
      </c>
      <c r="H259" s="83">
        <f t="shared" si="40"/>
        <v>185</v>
      </c>
      <c r="I259" s="83">
        <f t="shared" si="39"/>
        <v>0</v>
      </c>
      <c r="J259" s="86">
        <v>100</v>
      </c>
      <c r="K259" s="86">
        <v>300</v>
      </c>
      <c r="L259" s="83">
        <f t="shared" si="32"/>
        <v>1274</v>
      </c>
      <c r="M259" s="94">
        <v>600</v>
      </c>
      <c r="N259" s="83">
        <f>'[2]FGT NON-FIRM'!P270</f>
        <v>30</v>
      </c>
      <c r="O259" s="86">
        <v>240</v>
      </c>
      <c r="P259" s="86">
        <v>160</v>
      </c>
      <c r="Q259" s="86">
        <f t="shared" si="33"/>
        <v>195</v>
      </c>
      <c r="R259" s="86">
        <f t="shared" si="34"/>
        <v>100</v>
      </c>
      <c r="S259" s="83">
        <f t="shared" si="35"/>
        <v>695</v>
      </c>
      <c r="T259" s="83">
        <f>'[2]GULFSTREAM NON-FIRM'!H270</f>
        <v>0</v>
      </c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</row>
    <row r="260" spans="1:30" ht="15.75" hidden="1" x14ac:dyDescent="0.25">
      <c r="A260" s="13">
        <v>48823</v>
      </c>
      <c r="B260" s="97">
        <v>30</v>
      </c>
      <c r="C260" s="83">
        <f>'[2]FGT PRIMARY FIRM ZONE 1'!V271</f>
        <v>194.20499999999998</v>
      </c>
      <c r="D260" s="83">
        <f>'[2]FGT PRIMARY FIRM ZONE 2'!V271</f>
        <v>267.46600000000001</v>
      </c>
      <c r="E260" s="92">
        <f>'[2]FGT PRIMARY FIRM ZONE 3'!V271</f>
        <v>133.845</v>
      </c>
      <c r="F260" s="83">
        <f>'[2]FGT FIRM ZONE 3 MOBILE BAY-DES'!V271-40-25-60-100</f>
        <v>53.48399999999998</v>
      </c>
      <c r="G260" s="86">
        <v>40</v>
      </c>
      <c r="H260" s="83">
        <f t="shared" si="40"/>
        <v>185</v>
      </c>
      <c r="I260" s="83">
        <f t="shared" si="39"/>
        <v>0</v>
      </c>
      <c r="J260" s="86">
        <v>100</v>
      </c>
      <c r="K260" s="86">
        <v>300</v>
      </c>
      <c r="L260" s="83">
        <f t="shared" si="32"/>
        <v>1274</v>
      </c>
      <c r="M260" s="94">
        <v>600</v>
      </c>
      <c r="N260" s="83">
        <f>'[2]FGT NON-FIRM'!P271</f>
        <v>30</v>
      </c>
      <c r="O260" s="86">
        <v>240</v>
      </c>
      <c r="P260" s="86">
        <v>160</v>
      </c>
      <c r="Q260" s="86">
        <f t="shared" si="33"/>
        <v>195</v>
      </c>
      <c r="R260" s="86">
        <f t="shared" si="34"/>
        <v>100</v>
      </c>
      <c r="S260" s="83">
        <f t="shared" si="35"/>
        <v>695</v>
      </c>
      <c r="T260" s="83">
        <f>'[2]GULFSTREAM NON-FIRM'!H271</f>
        <v>0</v>
      </c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</row>
    <row r="261" spans="1:30" ht="15.75" hidden="1" x14ac:dyDescent="0.25">
      <c r="A261" s="13">
        <v>48853</v>
      </c>
      <c r="B261" s="97">
        <v>31</v>
      </c>
      <c r="C261" s="83">
        <f>'[2]FGT PRIMARY FIRM ZONE 1'!V272</f>
        <v>131.881</v>
      </c>
      <c r="D261" s="83">
        <f>'[2]FGT PRIMARY FIRM ZONE 2'!V272</f>
        <v>277.16699999999997</v>
      </c>
      <c r="E261" s="92">
        <f>'[2]FGT PRIMARY FIRM ZONE 3'!V272</f>
        <v>79.08</v>
      </c>
      <c r="F261" s="83">
        <f>'[2]FGT FIRM ZONE 3 MOBILE BAY-DES'!V272-40-25-60-100</f>
        <v>125.87199999999996</v>
      </c>
      <c r="G261" s="86">
        <v>40</v>
      </c>
      <c r="H261" s="83">
        <f t="shared" si="40"/>
        <v>185</v>
      </c>
      <c r="I261" s="83">
        <f t="shared" si="39"/>
        <v>0</v>
      </c>
      <c r="J261" s="86">
        <v>100</v>
      </c>
      <c r="K261" s="86">
        <v>300</v>
      </c>
      <c r="L261" s="83">
        <f t="shared" si="32"/>
        <v>1239</v>
      </c>
      <c r="M261" s="94">
        <v>600</v>
      </c>
      <c r="N261" s="83">
        <f>'[2]FGT NON-FIRM'!P272</f>
        <v>75</v>
      </c>
      <c r="O261" s="86">
        <v>240</v>
      </c>
      <c r="P261" s="86">
        <v>160</v>
      </c>
      <c r="Q261" s="86">
        <f t="shared" si="33"/>
        <v>195</v>
      </c>
      <c r="R261" s="86">
        <f t="shared" si="34"/>
        <v>100</v>
      </c>
      <c r="S261" s="83">
        <f t="shared" si="35"/>
        <v>695</v>
      </c>
      <c r="T261" s="83">
        <f>'[2]GULFSTREAM NON-FIRM'!H272</f>
        <v>0</v>
      </c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</row>
    <row r="262" spans="1:30" ht="15.75" hidden="1" x14ac:dyDescent="0.25">
      <c r="A262" s="13">
        <v>48884</v>
      </c>
      <c r="B262" s="97">
        <v>30</v>
      </c>
      <c r="C262" s="83">
        <f>'[2]FGT PRIMARY FIRM ZONE 1'!V273</f>
        <v>122.58</v>
      </c>
      <c r="D262" s="83">
        <f>'[2]FGT PRIMARY FIRM ZONE 2'!V273</f>
        <v>297.94100000000003</v>
      </c>
      <c r="E262" s="92">
        <f>'[2]FGT PRIMARY FIRM ZONE 3'!V273</f>
        <v>89.177000000000007</v>
      </c>
      <c r="F262" s="83">
        <f>'[2]FGT FIRM ZONE 3 MOBILE BAY-DES'!V273-40-60-100</f>
        <v>40.301999999999992</v>
      </c>
      <c r="G262" s="86">
        <v>40</v>
      </c>
      <c r="H262" s="83">
        <f>60+100</f>
        <v>160</v>
      </c>
      <c r="I262" s="83">
        <f t="shared" si="39"/>
        <v>0</v>
      </c>
      <c r="J262" s="86">
        <v>100</v>
      </c>
      <c r="K262" s="86">
        <v>300</v>
      </c>
      <c r="L262" s="83">
        <f t="shared" si="32"/>
        <v>1150</v>
      </c>
      <c r="M262" s="94">
        <v>600</v>
      </c>
      <c r="N262" s="83">
        <f>'[2]FGT NON-FIRM'!P273</f>
        <v>100</v>
      </c>
      <c r="O262" s="86">
        <v>240</v>
      </c>
      <c r="P262" s="86">
        <v>40</v>
      </c>
      <c r="Q262" s="86">
        <f t="shared" si="33"/>
        <v>315</v>
      </c>
      <c r="R262" s="86">
        <f t="shared" si="34"/>
        <v>100</v>
      </c>
      <c r="S262" s="83">
        <f t="shared" si="35"/>
        <v>695</v>
      </c>
      <c r="T262" s="83">
        <f>'[2]GULFSTREAM NON-FIRM'!H273</f>
        <v>50</v>
      </c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</row>
    <row r="263" spans="1:30" ht="15.75" hidden="1" x14ac:dyDescent="0.25">
      <c r="A263" s="13">
        <v>48914</v>
      </c>
      <c r="B263" s="97">
        <v>31</v>
      </c>
      <c r="C263" s="83">
        <f>'[2]FGT PRIMARY FIRM ZONE 1'!V274</f>
        <v>122.58</v>
      </c>
      <c r="D263" s="83">
        <f>'[2]FGT PRIMARY FIRM ZONE 2'!V274</f>
        <v>297.94100000000003</v>
      </c>
      <c r="E263" s="92">
        <f>'[2]FGT PRIMARY FIRM ZONE 3'!V274</f>
        <v>89.177000000000007</v>
      </c>
      <c r="F263" s="83">
        <f>'[2]FGT FIRM ZONE 3 MOBILE BAY-DES'!V274-40-60-100</f>
        <v>40.301999999999992</v>
      </c>
      <c r="G263" s="86">
        <v>40</v>
      </c>
      <c r="H263" s="83">
        <f>60+100</f>
        <v>160</v>
      </c>
      <c r="I263" s="83">
        <f t="shared" si="39"/>
        <v>0</v>
      </c>
      <c r="J263" s="86">
        <v>100</v>
      </c>
      <c r="K263" s="86">
        <v>300</v>
      </c>
      <c r="L263" s="83">
        <f t="shared" si="32"/>
        <v>1150</v>
      </c>
      <c r="M263" s="94">
        <v>600</v>
      </c>
      <c r="N263" s="83">
        <f>'[2]FGT NON-FIRM'!P274</f>
        <v>100</v>
      </c>
      <c r="O263" s="86">
        <v>240</v>
      </c>
      <c r="P263" s="86">
        <v>40</v>
      </c>
      <c r="Q263" s="86">
        <f t="shared" si="33"/>
        <v>315</v>
      </c>
      <c r="R263" s="86">
        <f t="shared" si="34"/>
        <v>100</v>
      </c>
      <c r="S263" s="83">
        <f t="shared" si="35"/>
        <v>695</v>
      </c>
      <c r="T263" s="83">
        <f>'[2]GULFSTREAM NON-FIRM'!H274</f>
        <v>50</v>
      </c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</row>
    <row r="264" spans="1:30" ht="15.75" hidden="1" x14ac:dyDescent="0.25">
      <c r="A264" s="13">
        <v>48945</v>
      </c>
      <c r="B264" s="97">
        <v>31</v>
      </c>
      <c r="C264" s="83">
        <f>'[2]FGT PRIMARY FIRM ZONE 1'!V275</f>
        <v>122.58</v>
      </c>
      <c r="D264" s="83">
        <f>'[2]FGT PRIMARY FIRM ZONE 2'!V275</f>
        <v>297.94100000000003</v>
      </c>
      <c r="E264" s="92">
        <f>'[2]FGT PRIMARY FIRM ZONE 3'!V275</f>
        <v>89.177000000000007</v>
      </c>
      <c r="F264" s="83">
        <f>'[2]FGT FIRM ZONE 3 MOBILE BAY-DES'!V275-40-60-100</f>
        <v>40.301999999999992</v>
      </c>
      <c r="G264" s="86">
        <v>40</v>
      </c>
      <c r="H264" s="83">
        <f>60+100</f>
        <v>160</v>
      </c>
      <c r="I264" s="83">
        <f t="shared" si="39"/>
        <v>0</v>
      </c>
      <c r="J264" s="86">
        <v>100</v>
      </c>
      <c r="K264" s="86">
        <v>300</v>
      </c>
      <c r="L264" s="83">
        <f t="shared" si="32"/>
        <v>1150</v>
      </c>
      <c r="M264" s="94">
        <v>600</v>
      </c>
      <c r="N264" s="83">
        <f>'[2]FGT NON-FIRM'!P275</f>
        <v>100</v>
      </c>
      <c r="O264" s="86">
        <v>240</v>
      </c>
      <c r="P264" s="86">
        <v>40</v>
      </c>
      <c r="Q264" s="86">
        <f t="shared" si="33"/>
        <v>315</v>
      </c>
      <c r="R264" s="86">
        <f t="shared" si="34"/>
        <v>100</v>
      </c>
      <c r="S264" s="83">
        <f t="shared" si="35"/>
        <v>695</v>
      </c>
      <c r="T264" s="83">
        <f>'[2]GULFSTREAM NON-FIRM'!H275</f>
        <v>50</v>
      </c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</row>
    <row r="265" spans="1:30" ht="15.75" hidden="1" x14ac:dyDescent="0.25">
      <c r="A265" s="13">
        <v>48976</v>
      </c>
      <c r="B265" s="97">
        <v>28</v>
      </c>
      <c r="C265" s="83">
        <f>'[2]FGT PRIMARY FIRM ZONE 1'!V276</f>
        <v>122.58</v>
      </c>
      <c r="D265" s="83">
        <f>'[2]FGT PRIMARY FIRM ZONE 2'!V276</f>
        <v>297.94100000000003</v>
      </c>
      <c r="E265" s="92">
        <f>'[2]FGT PRIMARY FIRM ZONE 3'!V276</f>
        <v>89.177000000000007</v>
      </c>
      <c r="F265" s="83">
        <f>'[2]FGT FIRM ZONE 3 MOBILE BAY-DES'!V276-40-60-100</f>
        <v>40.301999999999992</v>
      </c>
      <c r="G265" s="86">
        <v>40</v>
      </c>
      <c r="H265" s="83">
        <f>60+100</f>
        <v>160</v>
      </c>
      <c r="I265" s="83">
        <f t="shared" si="39"/>
        <v>0</v>
      </c>
      <c r="J265" s="86">
        <v>100</v>
      </c>
      <c r="K265" s="86">
        <v>300</v>
      </c>
      <c r="L265" s="83">
        <f t="shared" si="32"/>
        <v>1150</v>
      </c>
      <c r="M265" s="94">
        <v>600</v>
      </c>
      <c r="N265" s="83">
        <f>'[2]FGT NON-FIRM'!P276</f>
        <v>100</v>
      </c>
      <c r="O265" s="86">
        <v>240</v>
      </c>
      <c r="P265" s="86">
        <v>40</v>
      </c>
      <c r="Q265" s="86">
        <f t="shared" si="33"/>
        <v>315</v>
      </c>
      <c r="R265" s="86">
        <f t="shared" si="34"/>
        <v>100</v>
      </c>
      <c r="S265" s="83">
        <f t="shared" si="35"/>
        <v>695</v>
      </c>
      <c r="T265" s="83">
        <f>'[2]GULFSTREAM NON-FIRM'!H276</f>
        <v>50</v>
      </c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</row>
    <row r="266" spans="1:30" ht="15.75" hidden="1" x14ac:dyDescent="0.25">
      <c r="A266" s="13">
        <v>49004</v>
      </c>
      <c r="B266" s="97">
        <v>31</v>
      </c>
      <c r="C266" s="83">
        <f>'[2]FGT PRIMARY FIRM ZONE 1'!V277</f>
        <v>122.58</v>
      </c>
      <c r="D266" s="83">
        <f>'[2]FGT PRIMARY FIRM ZONE 2'!V277</f>
        <v>297.94100000000003</v>
      </c>
      <c r="E266" s="92">
        <f>'[2]FGT PRIMARY FIRM ZONE 3'!V277</f>
        <v>89.177000000000007</v>
      </c>
      <c r="F266" s="83">
        <f>'[2]FGT FIRM ZONE 3 MOBILE BAY-DES'!V277-40-60-100</f>
        <v>40.301999999999992</v>
      </c>
      <c r="G266" s="86">
        <v>40</v>
      </c>
      <c r="H266" s="83">
        <f>60+100</f>
        <v>160</v>
      </c>
      <c r="I266" s="83">
        <f t="shared" si="39"/>
        <v>0</v>
      </c>
      <c r="J266" s="86">
        <v>100</v>
      </c>
      <c r="K266" s="86">
        <v>300</v>
      </c>
      <c r="L266" s="83">
        <f t="shared" si="32"/>
        <v>1150</v>
      </c>
      <c r="M266" s="94">
        <v>600</v>
      </c>
      <c r="N266" s="83">
        <f>'[2]FGT NON-FIRM'!P277</f>
        <v>100</v>
      </c>
      <c r="O266" s="86">
        <v>240</v>
      </c>
      <c r="P266" s="86">
        <v>40</v>
      </c>
      <c r="Q266" s="86">
        <f t="shared" si="33"/>
        <v>315</v>
      </c>
      <c r="R266" s="86">
        <f t="shared" si="34"/>
        <v>100</v>
      </c>
      <c r="S266" s="83">
        <f t="shared" si="35"/>
        <v>695</v>
      </c>
      <c r="T266" s="83">
        <f>'[2]GULFSTREAM NON-FIRM'!H277</f>
        <v>50</v>
      </c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</row>
    <row r="267" spans="1:30" ht="15.75" hidden="1" x14ac:dyDescent="0.25">
      <c r="A267" s="13">
        <v>49035</v>
      </c>
      <c r="B267" s="97">
        <v>30</v>
      </c>
      <c r="C267" s="83">
        <f>'[2]FGT PRIMARY FIRM ZONE 1'!V278</f>
        <v>141.29300000000001</v>
      </c>
      <c r="D267" s="83">
        <f>'[2]FGT PRIMARY FIRM ZONE 2'!V278</f>
        <v>267.99299999999999</v>
      </c>
      <c r="E267" s="92">
        <f>'[2]FGT PRIMARY FIRM ZONE 3'!V278</f>
        <v>115.01600000000001</v>
      </c>
      <c r="F267" s="83">
        <f>'[2]FGT FIRM ZONE 3 MOBILE BAY-DES'!V278-40-25-60-100</f>
        <v>89.698000000000036</v>
      </c>
      <c r="G267" s="86">
        <v>40</v>
      </c>
      <c r="H267" s="83">
        <f t="shared" ref="H267:H273" si="41">25+60+100</f>
        <v>185</v>
      </c>
      <c r="I267" s="83">
        <f t="shared" si="39"/>
        <v>0</v>
      </c>
      <c r="J267" s="86">
        <v>100</v>
      </c>
      <c r="K267" s="86">
        <v>300</v>
      </c>
      <c r="L267" s="83">
        <f t="shared" si="32"/>
        <v>1239</v>
      </c>
      <c r="M267" s="94">
        <v>600</v>
      </c>
      <c r="N267" s="83">
        <f>'[2]FGT NON-FIRM'!P278</f>
        <v>100</v>
      </c>
      <c r="O267" s="86">
        <v>240</v>
      </c>
      <c r="P267" s="86">
        <v>160</v>
      </c>
      <c r="Q267" s="86">
        <f t="shared" si="33"/>
        <v>195</v>
      </c>
      <c r="R267" s="86">
        <f t="shared" si="34"/>
        <v>100</v>
      </c>
      <c r="S267" s="83">
        <f t="shared" si="35"/>
        <v>695</v>
      </c>
      <c r="T267" s="83">
        <f>'[2]GULFSTREAM NON-FIRM'!H278</f>
        <v>50</v>
      </c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</row>
    <row r="268" spans="1:30" ht="15.75" hidden="1" x14ac:dyDescent="0.25">
      <c r="A268" s="13">
        <v>49065</v>
      </c>
      <c r="B268" s="97">
        <v>31</v>
      </c>
      <c r="C268" s="83">
        <f>'[2]FGT PRIMARY FIRM ZONE 1'!V279</f>
        <v>194.20499999999998</v>
      </c>
      <c r="D268" s="83">
        <f>'[2]FGT PRIMARY FIRM ZONE 2'!V279</f>
        <v>267.46600000000001</v>
      </c>
      <c r="E268" s="92">
        <f>'[2]FGT PRIMARY FIRM ZONE 3'!V279</f>
        <v>133.845</v>
      </c>
      <c r="F268" s="83">
        <f>'[2]FGT FIRM ZONE 3 MOBILE BAY-DES'!V279-40-25-60-100</f>
        <v>53.48399999999998</v>
      </c>
      <c r="G268" s="86">
        <v>40</v>
      </c>
      <c r="H268" s="83">
        <f t="shared" si="41"/>
        <v>185</v>
      </c>
      <c r="I268" s="83">
        <f t="shared" si="39"/>
        <v>0</v>
      </c>
      <c r="J268" s="86">
        <v>100</v>
      </c>
      <c r="K268" s="86">
        <v>300</v>
      </c>
      <c r="L268" s="83">
        <f t="shared" si="32"/>
        <v>1274</v>
      </c>
      <c r="M268" s="94">
        <v>600</v>
      </c>
      <c r="N268" s="83">
        <f>'[2]FGT NON-FIRM'!P279</f>
        <v>75</v>
      </c>
      <c r="O268" s="86">
        <v>240</v>
      </c>
      <c r="P268" s="86">
        <v>160</v>
      </c>
      <c r="Q268" s="86">
        <f t="shared" si="33"/>
        <v>195</v>
      </c>
      <c r="R268" s="86">
        <f t="shared" si="34"/>
        <v>100</v>
      </c>
      <c r="S268" s="83">
        <f t="shared" si="35"/>
        <v>695</v>
      </c>
      <c r="T268" s="83">
        <f>'[2]GULFSTREAM NON-FIRM'!H279</f>
        <v>50</v>
      </c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</row>
    <row r="269" spans="1:30" ht="15.75" hidden="1" x14ac:dyDescent="0.25">
      <c r="A269" s="13">
        <v>49096</v>
      </c>
      <c r="B269" s="97">
        <v>30</v>
      </c>
      <c r="C269" s="83">
        <f>'[2]FGT PRIMARY FIRM ZONE 1'!V280</f>
        <v>194.20499999999998</v>
      </c>
      <c r="D269" s="83">
        <f>'[2]FGT PRIMARY FIRM ZONE 2'!V280</f>
        <v>267.46600000000001</v>
      </c>
      <c r="E269" s="92">
        <f>'[2]FGT PRIMARY FIRM ZONE 3'!V280</f>
        <v>133.845</v>
      </c>
      <c r="F269" s="83">
        <f>'[2]FGT FIRM ZONE 3 MOBILE BAY-DES'!V280-40-25-60-100</f>
        <v>53.48399999999998</v>
      </c>
      <c r="G269" s="86">
        <v>40</v>
      </c>
      <c r="H269" s="83">
        <f t="shared" si="41"/>
        <v>185</v>
      </c>
      <c r="I269" s="83">
        <f t="shared" si="39"/>
        <v>0</v>
      </c>
      <c r="J269" s="86">
        <v>100</v>
      </c>
      <c r="K269" s="86">
        <v>300</v>
      </c>
      <c r="L269" s="83">
        <f t="shared" si="32"/>
        <v>1274</v>
      </c>
      <c r="M269" s="94">
        <v>600</v>
      </c>
      <c r="N269" s="83">
        <f>'[2]FGT NON-FIRM'!P280</f>
        <v>30</v>
      </c>
      <c r="O269" s="86">
        <v>240</v>
      </c>
      <c r="P269" s="86">
        <v>160</v>
      </c>
      <c r="Q269" s="86">
        <f t="shared" si="33"/>
        <v>195</v>
      </c>
      <c r="R269" s="86">
        <f t="shared" si="34"/>
        <v>100</v>
      </c>
      <c r="S269" s="83">
        <f t="shared" si="35"/>
        <v>695</v>
      </c>
      <c r="T269" s="83">
        <f>'[2]GULFSTREAM NON-FIRM'!H280</f>
        <v>50</v>
      </c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</row>
    <row r="270" spans="1:30" ht="15.75" hidden="1" x14ac:dyDescent="0.25">
      <c r="A270" s="13">
        <v>49126</v>
      </c>
      <c r="B270" s="97">
        <v>31</v>
      </c>
      <c r="C270" s="83">
        <f>'[2]FGT PRIMARY FIRM ZONE 1'!V281</f>
        <v>194.20499999999998</v>
      </c>
      <c r="D270" s="83">
        <f>'[2]FGT PRIMARY FIRM ZONE 2'!V281</f>
        <v>267.46600000000001</v>
      </c>
      <c r="E270" s="92">
        <f>'[2]FGT PRIMARY FIRM ZONE 3'!V281</f>
        <v>133.845</v>
      </c>
      <c r="F270" s="83">
        <f>'[2]FGT FIRM ZONE 3 MOBILE BAY-DES'!V281-40-25-60-100</f>
        <v>53.48399999999998</v>
      </c>
      <c r="G270" s="86">
        <v>40</v>
      </c>
      <c r="H270" s="83">
        <f t="shared" si="41"/>
        <v>185</v>
      </c>
      <c r="I270" s="83">
        <f t="shared" si="39"/>
        <v>0</v>
      </c>
      <c r="J270" s="86">
        <v>100</v>
      </c>
      <c r="K270" s="86">
        <v>300</v>
      </c>
      <c r="L270" s="83">
        <f t="shared" si="32"/>
        <v>1274</v>
      </c>
      <c r="M270" s="94">
        <v>600</v>
      </c>
      <c r="N270" s="83">
        <f>'[2]FGT NON-FIRM'!P281</f>
        <v>30</v>
      </c>
      <c r="O270" s="86">
        <v>240</v>
      </c>
      <c r="P270" s="86">
        <v>160</v>
      </c>
      <c r="Q270" s="86">
        <f t="shared" si="33"/>
        <v>195</v>
      </c>
      <c r="R270" s="86">
        <f t="shared" si="34"/>
        <v>100</v>
      </c>
      <c r="S270" s="83">
        <f t="shared" si="35"/>
        <v>695</v>
      </c>
      <c r="T270" s="83">
        <f>'[2]GULFSTREAM NON-FIRM'!H281</f>
        <v>0</v>
      </c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</row>
    <row r="271" spans="1:30" ht="15.75" hidden="1" x14ac:dyDescent="0.25">
      <c r="A271" s="13">
        <v>49157</v>
      </c>
      <c r="B271" s="97">
        <v>31</v>
      </c>
      <c r="C271" s="83">
        <f>'[2]FGT PRIMARY FIRM ZONE 1'!V282</f>
        <v>194.20499999999998</v>
      </c>
      <c r="D271" s="83">
        <f>'[2]FGT PRIMARY FIRM ZONE 2'!V282</f>
        <v>267.46600000000001</v>
      </c>
      <c r="E271" s="92">
        <f>'[2]FGT PRIMARY FIRM ZONE 3'!V282</f>
        <v>133.845</v>
      </c>
      <c r="F271" s="83">
        <f>'[2]FGT FIRM ZONE 3 MOBILE BAY-DES'!V282-40-25-60-100</f>
        <v>53.48399999999998</v>
      </c>
      <c r="G271" s="86">
        <v>40</v>
      </c>
      <c r="H271" s="83">
        <f t="shared" si="41"/>
        <v>185</v>
      </c>
      <c r="I271" s="83">
        <f t="shared" si="39"/>
        <v>0</v>
      </c>
      <c r="J271" s="86">
        <v>100</v>
      </c>
      <c r="K271" s="86">
        <v>300</v>
      </c>
      <c r="L271" s="83">
        <f t="shared" si="32"/>
        <v>1274</v>
      </c>
      <c r="M271" s="94">
        <v>600</v>
      </c>
      <c r="N271" s="83">
        <f>'[2]FGT NON-FIRM'!P282</f>
        <v>30</v>
      </c>
      <c r="O271" s="86">
        <v>240</v>
      </c>
      <c r="P271" s="86">
        <v>160</v>
      </c>
      <c r="Q271" s="86">
        <f t="shared" si="33"/>
        <v>195</v>
      </c>
      <c r="R271" s="86">
        <f t="shared" si="34"/>
        <v>100</v>
      </c>
      <c r="S271" s="83">
        <f t="shared" si="35"/>
        <v>695</v>
      </c>
      <c r="T271" s="83">
        <f>'[2]GULFSTREAM NON-FIRM'!H282</f>
        <v>0</v>
      </c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</row>
    <row r="272" spans="1:30" ht="15.75" hidden="1" x14ac:dyDescent="0.25">
      <c r="A272" s="13">
        <v>49188</v>
      </c>
      <c r="B272" s="97">
        <v>30</v>
      </c>
      <c r="C272" s="83">
        <f>'[2]FGT PRIMARY FIRM ZONE 1'!V283</f>
        <v>194.20499999999998</v>
      </c>
      <c r="D272" s="83">
        <f>'[2]FGT PRIMARY FIRM ZONE 2'!V283</f>
        <v>267.46600000000001</v>
      </c>
      <c r="E272" s="92">
        <f>'[2]FGT PRIMARY FIRM ZONE 3'!V283</f>
        <v>133.845</v>
      </c>
      <c r="F272" s="83">
        <f>'[2]FGT FIRM ZONE 3 MOBILE BAY-DES'!V283-40-25-60-100</f>
        <v>53.48399999999998</v>
      </c>
      <c r="G272" s="86">
        <v>40</v>
      </c>
      <c r="H272" s="83">
        <f t="shared" si="41"/>
        <v>185</v>
      </c>
      <c r="I272" s="83">
        <f t="shared" si="39"/>
        <v>0</v>
      </c>
      <c r="J272" s="86">
        <v>100</v>
      </c>
      <c r="K272" s="86">
        <v>300</v>
      </c>
      <c r="L272" s="83">
        <f t="shared" si="32"/>
        <v>1274</v>
      </c>
      <c r="M272" s="94">
        <v>600</v>
      </c>
      <c r="N272" s="83">
        <f>'[2]FGT NON-FIRM'!P283</f>
        <v>30</v>
      </c>
      <c r="O272" s="86">
        <v>240</v>
      </c>
      <c r="P272" s="86">
        <v>160</v>
      </c>
      <c r="Q272" s="86">
        <f t="shared" si="33"/>
        <v>195</v>
      </c>
      <c r="R272" s="86">
        <f t="shared" si="34"/>
        <v>100</v>
      </c>
      <c r="S272" s="83">
        <f t="shared" si="35"/>
        <v>695</v>
      </c>
      <c r="T272" s="83">
        <f>'[2]GULFSTREAM NON-FIRM'!H283</f>
        <v>0</v>
      </c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</row>
    <row r="273" spans="1:30" ht="15.75" hidden="1" x14ac:dyDescent="0.25">
      <c r="A273" s="13">
        <v>49218</v>
      </c>
      <c r="B273" s="97">
        <v>31</v>
      </c>
      <c r="C273" s="83">
        <f>'[2]FGT PRIMARY FIRM ZONE 1'!V284</f>
        <v>131.881</v>
      </c>
      <c r="D273" s="83">
        <f>'[2]FGT PRIMARY FIRM ZONE 2'!V284</f>
        <v>277.16699999999997</v>
      </c>
      <c r="E273" s="92">
        <f>'[2]FGT PRIMARY FIRM ZONE 3'!V284</f>
        <v>79.08</v>
      </c>
      <c r="F273" s="83">
        <f>'[2]FGT FIRM ZONE 3 MOBILE BAY-DES'!V284-40-25-60-100</f>
        <v>125.87199999999996</v>
      </c>
      <c r="G273" s="86">
        <v>40</v>
      </c>
      <c r="H273" s="83">
        <f t="shared" si="41"/>
        <v>185</v>
      </c>
      <c r="I273" s="83">
        <f t="shared" si="39"/>
        <v>0</v>
      </c>
      <c r="J273" s="86">
        <v>100</v>
      </c>
      <c r="K273" s="86">
        <v>300</v>
      </c>
      <c r="L273" s="83">
        <f t="shared" si="32"/>
        <v>1239</v>
      </c>
      <c r="M273" s="94">
        <v>600</v>
      </c>
      <c r="N273" s="83">
        <f>'[2]FGT NON-FIRM'!P284</f>
        <v>75</v>
      </c>
      <c r="O273" s="86">
        <v>240</v>
      </c>
      <c r="P273" s="86">
        <v>160</v>
      </c>
      <c r="Q273" s="86">
        <f t="shared" si="33"/>
        <v>195</v>
      </c>
      <c r="R273" s="86">
        <f t="shared" si="34"/>
        <v>100</v>
      </c>
      <c r="S273" s="83">
        <f t="shared" si="35"/>
        <v>695</v>
      </c>
      <c r="T273" s="83">
        <f>'[2]GULFSTREAM NON-FIRM'!H284</f>
        <v>0</v>
      </c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</row>
    <row r="274" spans="1:30" ht="15.75" hidden="1" x14ac:dyDescent="0.25">
      <c r="A274" s="13">
        <v>49249</v>
      </c>
      <c r="B274" s="97">
        <v>30</v>
      </c>
      <c r="C274" s="83">
        <f>'[2]FGT PRIMARY FIRM ZONE 1'!V285</f>
        <v>122.58</v>
      </c>
      <c r="D274" s="83">
        <f>'[2]FGT PRIMARY FIRM ZONE 2'!V285</f>
        <v>297.94100000000003</v>
      </c>
      <c r="E274" s="92">
        <f>'[2]FGT PRIMARY FIRM ZONE 3'!V285</f>
        <v>89.177000000000007</v>
      </c>
      <c r="F274" s="83">
        <f>'[2]FGT FIRM ZONE 3 MOBILE BAY-DES'!V285-40-60-100</f>
        <v>40.301999999999992</v>
      </c>
      <c r="G274" s="86">
        <v>40</v>
      </c>
      <c r="H274" s="83">
        <f>60+100</f>
        <v>160</v>
      </c>
      <c r="I274" s="83">
        <f t="shared" si="39"/>
        <v>0</v>
      </c>
      <c r="J274" s="86">
        <v>100</v>
      </c>
      <c r="K274" s="86">
        <v>300</v>
      </c>
      <c r="L274" s="83">
        <f t="shared" si="32"/>
        <v>1150</v>
      </c>
      <c r="M274" s="94">
        <v>600</v>
      </c>
      <c r="N274" s="83">
        <f>'[2]FGT NON-FIRM'!P285</f>
        <v>100</v>
      </c>
      <c r="O274" s="86">
        <v>240</v>
      </c>
      <c r="P274" s="86">
        <v>40</v>
      </c>
      <c r="Q274" s="86">
        <f t="shared" si="33"/>
        <v>315</v>
      </c>
      <c r="R274" s="86">
        <f t="shared" si="34"/>
        <v>100</v>
      </c>
      <c r="S274" s="83">
        <f t="shared" si="35"/>
        <v>695</v>
      </c>
      <c r="T274" s="83">
        <f>'[2]GULFSTREAM NON-FIRM'!H285</f>
        <v>50</v>
      </c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</row>
    <row r="275" spans="1:30" ht="15.75" hidden="1" x14ac:dyDescent="0.25">
      <c r="A275" s="13">
        <v>49279</v>
      </c>
      <c r="B275" s="97">
        <v>31</v>
      </c>
      <c r="C275" s="83">
        <f>'[2]FGT PRIMARY FIRM ZONE 1'!V286</f>
        <v>122.58</v>
      </c>
      <c r="D275" s="83">
        <f>'[2]FGT PRIMARY FIRM ZONE 2'!V286</f>
        <v>297.94100000000003</v>
      </c>
      <c r="E275" s="92">
        <f>'[2]FGT PRIMARY FIRM ZONE 3'!V286</f>
        <v>89.177000000000007</v>
      </c>
      <c r="F275" s="83">
        <f>'[2]FGT FIRM ZONE 3 MOBILE BAY-DES'!V286-40-60-100</f>
        <v>40.301999999999992</v>
      </c>
      <c r="G275" s="86">
        <v>40</v>
      </c>
      <c r="H275" s="83">
        <f>60+100</f>
        <v>160</v>
      </c>
      <c r="I275" s="83">
        <f t="shared" si="39"/>
        <v>0</v>
      </c>
      <c r="J275" s="86">
        <v>100</v>
      </c>
      <c r="K275" s="86">
        <v>300</v>
      </c>
      <c r="L275" s="83">
        <f t="shared" si="32"/>
        <v>1150</v>
      </c>
      <c r="M275" s="94">
        <v>600</v>
      </c>
      <c r="N275" s="83">
        <f>'[2]FGT NON-FIRM'!P286</f>
        <v>100</v>
      </c>
      <c r="O275" s="86">
        <v>240</v>
      </c>
      <c r="P275" s="86">
        <v>40</v>
      </c>
      <c r="Q275" s="86">
        <f t="shared" si="33"/>
        <v>315</v>
      </c>
      <c r="R275" s="86">
        <f t="shared" si="34"/>
        <v>100</v>
      </c>
      <c r="S275" s="83">
        <f t="shared" si="35"/>
        <v>695</v>
      </c>
      <c r="T275" s="83">
        <f>'[2]GULFSTREAM NON-FIRM'!H286</f>
        <v>50</v>
      </c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</row>
    <row r="276" spans="1:30" ht="15.75" hidden="1" x14ac:dyDescent="0.25">
      <c r="A276" s="13">
        <v>49310</v>
      </c>
      <c r="B276" s="97">
        <v>31</v>
      </c>
      <c r="C276" s="83">
        <f>'[2]FGT PRIMARY FIRM ZONE 1'!V287</f>
        <v>122.58</v>
      </c>
      <c r="D276" s="83">
        <f>'[2]FGT PRIMARY FIRM ZONE 2'!V287</f>
        <v>297.94100000000003</v>
      </c>
      <c r="E276" s="92">
        <f>'[2]FGT PRIMARY FIRM ZONE 3'!V287</f>
        <v>89.177000000000007</v>
      </c>
      <c r="F276" s="83">
        <f>'[2]FGT FIRM ZONE 3 MOBILE BAY-DES'!V287-40-60-100</f>
        <v>40.301999999999992</v>
      </c>
      <c r="G276" s="86">
        <v>40</v>
      </c>
      <c r="H276" s="83">
        <f>60+100</f>
        <v>160</v>
      </c>
      <c r="I276" s="83">
        <f t="shared" si="39"/>
        <v>0</v>
      </c>
      <c r="J276" s="86">
        <v>100</v>
      </c>
      <c r="K276" s="86">
        <v>300</v>
      </c>
      <c r="L276" s="83">
        <f t="shared" ref="L276:L339" si="42">SUM(C276:K276)</f>
        <v>1150</v>
      </c>
      <c r="M276" s="94">
        <v>600</v>
      </c>
      <c r="N276" s="83">
        <f>'[2]FGT NON-FIRM'!P287</f>
        <v>100</v>
      </c>
      <c r="O276" s="86">
        <v>240</v>
      </c>
      <c r="P276" s="86">
        <v>40</v>
      </c>
      <c r="Q276" s="86">
        <f t="shared" ref="Q276:Q339" si="43">695-R276-O276-P276</f>
        <v>315</v>
      </c>
      <c r="R276" s="86">
        <f t="shared" ref="R276:R339" si="44">200-J276</f>
        <v>100</v>
      </c>
      <c r="S276" s="83">
        <f t="shared" ref="S276:S339" si="45">SUM(O276:R276)</f>
        <v>695</v>
      </c>
      <c r="T276" s="83">
        <f>'[2]GULFSTREAM NON-FIRM'!H287</f>
        <v>50</v>
      </c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</row>
    <row r="277" spans="1:30" ht="15.75" hidden="1" x14ac:dyDescent="0.25">
      <c r="A277" s="13">
        <v>49341</v>
      </c>
      <c r="B277" s="97">
        <v>28</v>
      </c>
      <c r="C277" s="83">
        <f>'[2]FGT PRIMARY FIRM ZONE 1'!V288</f>
        <v>122.58</v>
      </c>
      <c r="D277" s="83">
        <f>'[2]FGT PRIMARY FIRM ZONE 2'!V288</f>
        <v>297.94100000000003</v>
      </c>
      <c r="E277" s="92">
        <f>'[2]FGT PRIMARY FIRM ZONE 3'!V288</f>
        <v>89.177000000000007</v>
      </c>
      <c r="F277" s="83">
        <f>'[2]FGT FIRM ZONE 3 MOBILE BAY-DES'!V288-40-60-100</f>
        <v>40.301999999999992</v>
      </c>
      <c r="G277" s="86">
        <v>40</v>
      </c>
      <c r="H277" s="83">
        <f>60+100</f>
        <v>160</v>
      </c>
      <c r="I277" s="83">
        <f t="shared" si="39"/>
        <v>0</v>
      </c>
      <c r="J277" s="86">
        <v>100</v>
      </c>
      <c r="K277" s="86">
        <v>300</v>
      </c>
      <c r="L277" s="83">
        <f t="shared" si="42"/>
        <v>1150</v>
      </c>
      <c r="M277" s="94">
        <v>600</v>
      </c>
      <c r="N277" s="83">
        <f>'[2]FGT NON-FIRM'!P288</f>
        <v>100</v>
      </c>
      <c r="O277" s="86">
        <v>240</v>
      </c>
      <c r="P277" s="86">
        <v>40</v>
      </c>
      <c r="Q277" s="86">
        <f t="shared" si="43"/>
        <v>315</v>
      </c>
      <c r="R277" s="86">
        <f t="shared" si="44"/>
        <v>100</v>
      </c>
      <c r="S277" s="83">
        <f t="shared" si="45"/>
        <v>695</v>
      </c>
      <c r="T277" s="83">
        <f>'[2]GULFSTREAM NON-FIRM'!H288</f>
        <v>50</v>
      </c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</row>
    <row r="278" spans="1:30" ht="15.75" hidden="1" x14ac:dyDescent="0.25">
      <c r="A278" s="13">
        <v>49369</v>
      </c>
      <c r="B278" s="97">
        <v>31</v>
      </c>
      <c r="C278" s="83">
        <f>'[2]FGT PRIMARY FIRM ZONE 1'!V289</f>
        <v>122.58</v>
      </c>
      <c r="D278" s="83">
        <f>'[2]FGT PRIMARY FIRM ZONE 2'!V289</f>
        <v>297.94100000000003</v>
      </c>
      <c r="E278" s="92">
        <f>'[2]FGT PRIMARY FIRM ZONE 3'!V289</f>
        <v>89.177000000000007</v>
      </c>
      <c r="F278" s="83">
        <f>'[2]FGT FIRM ZONE 3 MOBILE BAY-DES'!V289-40-60-100</f>
        <v>40.301999999999992</v>
      </c>
      <c r="G278" s="86">
        <v>40</v>
      </c>
      <c r="H278" s="83">
        <f>60+100</f>
        <v>160</v>
      </c>
      <c r="I278" s="83">
        <f t="shared" si="39"/>
        <v>0</v>
      </c>
      <c r="J278" s="86">
        <v>100</v>
      </c>
      <c r="K278" s="86">
        <v>300</v>
      </c>
      <c r="L278" s="83">
        <f t="shared" si="42"/>
        <v>1150</v>
      </c>
      <c r="M278" s="94">
        <v>600</v>
      </c>
      <c r="N278" s="83">
        <f>'[2]FGT NON-FIRM'!P289</f>
        <v>100</v>
      </c>
      <c r="O278" s="86">
        <v>240</v>
      </c>
      <c r="P278" s="86">
        <v>40</v>
      </c>
      <c r="Q278" s="86">
        <f t="shared" si="43"/>
        <v>315</v>
      </c>
      <c r="R278" s="86">
        <f t="shared" si="44"/>
        <v>100</v>
      </c>
      <c r="S278" s="83">
        <f t="shared" si="45"/>
        <v>695</v>
      </c>
      <c r="T278" s="83">
        <f>'[2]GULFSTREAM NON-FIRM'!H289</f>
        <v>50</v>
      </c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</row>
    <row r="279" spans="1:30" ht="15.75" hidden="1" x14ac:dyDescent="0.25">
      <c r="A279" s="13">
        <v>49400</v>
      </c>
      <c r="B279" s="97">
        <v>30</v>
      </c>
      <c r="C279" s="83">
        <f>'[2]FGT PRIMARY FIRM ZONE 1'!V290</f>
        <v>141.29300000000001</v>
      </c>
      <c r="D279" s="83">
        <f>'[2]FGT PRIMARY FIRM ZONE 2'!V290</f>
        <v>267.99299999999999</v>
      </c>
      <c r="E279" s="92">
        <f>'[2]FGT PRIMARY FIRM ZONE 3'!V290</f>
        <v>115.01600000000001</v>
      </c>
      <c r="F279" s="83">
        <f>'[2]FGT FIRM ZONE 3 MOBILE BAY-DES'!V290-40-25-60-100</f>
        <v>89.698000000000036</v>
      </c>
      <c r="G279" s="86">
        <v>40</v>
      </c>
      <c r="H279" s="83">
        <f t="shared" ref="H279:H285" si="46">25+60+100</f>
        <v>185</v>
      </c>
      <c r="I279" s="83">
        <f t="shared" si="39"/>
        <v>0</v>
      </c>
      <c r="J279" s="86">
        <v>100</v>
      </c>
      <c r="K279" s="86">
        <v>300</v>
      </c>
      <c r="L279" s="83">
        <f t="shared" si="42"/>
        <v>1239</v>
      </c>
      <c r="M279" s="94">
        <v>600</v>
      </c>
      <c r="N279" s="83">
        <f>'[2]FGT NON-FIRM'!P290</f>
        <v>100</v>
      </c>
      <c r="O279" s="86">
        <v>240</v>
      </c>
      <c r="P279" s="86">
        <v>160</v>
      </c>
      <c r="Q279" s="86">
        <f t="shared" si="43"/>
        <v>195</v>
      </c>
      <c r="R279" s="86">
        <f t="shared" si="44"/>
        <v>100</v>
      </c>
      <c r="S279" s="83">
        <f t="shared" si="45"/>
        <v>695</v>
      </c>
      <c r="T279" s="83">
        <f>'[2]GULFSTREAM NON-FIRM'!H290</f>
        <v>50</v>
      </c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</row>
    <row r="280" spans="1:30" ht="15.75" hidden="1" x14ac:dyDescent="0.25">
      <c r="A280" s="13">
        <v>49430</v>
      </c>
      <c r="B280" s="97">
        <v>31</v>
      </c>
      <c r="C280" s="83">
        <f>'[2]FGT PRIMARY FIRM ZONE 1'!V291</f>
        <v>194.20499999999998</v>
      </c>
      <c r="D280" s="83">
        <f>'[2]FGT PRIMARY FIRM ZONE 2'!V291</f>
        <v>267.46600000000001</v>
      </c>
      <c r="E280" s="92">
        <f>'[2]FGT PRIMARY FIRM ZONE 3'!V291</f>
        <v>133.845</v>
      </c>
      <c r="F280" s="83">
        <f>'[2]FGT FIRM ZONE 3 MOBILE BAY-DES'!V291-40-25-60-100</f>
        <v>53.48399999999998</v>
      </c>
      <c r="G280" s="86">
        <v>40</v>
      </c>
      <c r="H280" s="83">
        <f t="shared" si="46"/>
        <v>185</v>
      </c>
      <c r="I280" s="83">
        <f t="shared" si="39"/>
        <v>0</v>
      </c>
      <c r="J280" s="86">
        <v>100</v>
      </c>
      <c r="K280" s="86">
        <v>300</v>
      </c>
      <c r="L280" s="83">
        <f t="shared" si="42"/>
        <v>1274</v>
      </c>
      <c r="M280" s="94">
        <v>600</v>
      </c>
      <c r="N280" s="83">
        <f>'[2]FGT NON-FIRM'!P291</f>
        <v>75</v>
      </c>
      <c r="O280" s="86">
        <v>240</v>
      </c>
      <c r="P280" s="86">
        <v>160</v>
      </c>
      <c r="Q280" s="86">
        <f t="shared" si="43"/>
        <v>195</v>
      </c>
      <c r="R280" s="86">
        <f t="shared" si="44"/>
        <v>100</v>
      </c>
      <c r="S280" s="83">
        <f t="shared" si="45"/>
        <v>695</v>
      </c>
      <c r="T280" s="83">
        <f>'[2]GULFSTREAM NON-FIRM'!H291</f>
        <v>50</v>
      </c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</row>
    <row r="281" spans="1:30" ht="15.75" hidden="1" x14ac:dyDescent="0.25">
      <c r="A281" s="34">
        <v>49461</v>
      </c>
      <c r="B281" s="97">
        <v>30</v>
      </c>
      <c r="C281" s="83">
        <f>'[2]FGT PRIMARY FIRM ZONE 1'!V292</f>
        <v>194.20499999999998</v>
      </c>
      <c r="D281" s="83">
        <f>'[2]FGT PRIMARY FIRM ZONE 2'!V292</f>
        <v>267.46600000000001</v>
      </c>
      <c r="E281" s="92">
        <f>'[2]FGT PRIMARY FIRM ZONE 3'!V292</f>
        <v>133.845</v>
      </c>
      <c r="F281" s="83">
        <f>'[2]FGT FIRM ZONE 3 MOBILE BAY-DES'!V292-40-25-60-100</f>
        <v>53.48399999999998</v>
      </c>
      <c r="G281" s="86">
        <v>40</v>
      </c>
      <c r="H281" s="83">
        <f t="shared" si="46"/>
        <v>185</v>
      </c>
      <c r="I281" s="83">
        <f t="shared" si="39"/>
        <v>0</v>
      </c>
      <c r="J281" s="86">
        <v>100</v>
      </c>
      <c r="K281" s="86">
        <v>300</v>
      </c>
      <c r="L281" s="83">
        <f t="shared" si="42"/>
        <v>1274</v>
      </c>
      <c r="M281" s="94">
        <v>600</v>
      </c>
      <c r="N281" s="83">
        <f>'[2]FGT NON-FIRM'!P292</f>
        <v>30</v>
      </c>
      <c r="O281" s="86">
        <v>240</v>
      </c>
      <c r="P281" s="86">
        <v>160</v>
      </c>
      <c r="Q281" s="86">
        <f t="shared" si="43"/>
        <v>195</v>
      </c>
      <c r="R281" s="86">
        <f t="shared" si="44"/>
        <v>100</v>
      </c>
      <c r="S281" s="83">
        <f t="shared" si="45"/>
        <v>695</v>
      </c>
      <c r="T281" s="83">
        <f>'[2]GULFSTREAM NON-FIRM'!H292</f>
        <v>50</v>
      </c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</row>
    <row r="282" spans="1:30" ht="15.75" hidden="1" x14ac:dyDescent="0.25">
      <c r="A282" s="34">
        <v>49491</v>
      </c>
      <c r="B282" s="97">
        <v>31</v>
      </c>
      <c r="C282" s="83">
        <f>'[2]FGT PRIMARY FIRM ZONE 1'!V293</f>
        <v>194.20499999999998</v>
      </c>
      <c r="D282" s="83">
        <f>'[2]FGT PRIMARY FIRM ZONE 2'!V293</f>
        <v>267.46600000000001</v>
      </c>
      <c r="E282" s="92">
        <f>'[2]FGT PRIMARY FIRM ZONE 3'!V293</f>
        <v>133.845</v>
      </c>
      <c r="F282" s="83">
        <f>'[2]FGT FIRM ZONE 3 MOBILE BAY-DES'!V293-40-25-60-100</f>
        <v>53.48399999999998</v>
      </c>
      <c r="G282" s="86">
        <v>40</v>
      </c>
      <c r="H282" s="83">
        <f t="shared" si="46"/>
        <v>185</v>
      </c>
      <c r="I282" s="83">
        <f t="shared" si="39"/>
        <v>0</v>
      </c>
      <c r="J282" s="86">
        <v>100</v>
      </c>
      <c r="K282" s="86">
        <v>300</v>
      </c>
      <c r="L282" s="83">
        <f t="shared" si="42"/>
        <v>1274</v>
      </c>
      <c r="M282" s="94">
        <v>600</v>
      </c>
      <c r="N282" s="83">
        <f>'[2]FGT NON-FIRM'!P293</f>
        <v>30</v>
      </c>
      <c r="O282" s="86">
        <v>240</v>
      </c>
      <c r="P282" s="86">
        <v>160</v>
      </c>
      <c r="Q282" s="86">
        <f t="shared" si="43"/>
        <v>195</v>
      </c>
      <c r="R282" s="86">
        <f t="shared" si="44"/>
        <v>100</v>
      </c>
      <c r="S282" s="83">
        <f t="shared" si="45"/>
        <v>695</v>
      </c>
      <c r="T282" s="83">
        <f>'[2]GULFSTREAM NON-FIRM'!H293</f>
        <v>0</v>
      </c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</row>
    <row r="283" spans="1:30" ht="15.75" hidden="1" x14ac:dyDescent="0.25">
      <c r="A283" s="34">
        <v>49522</v>
      </c>
      <c r="B283" s="97">
        <v>31</v>
      </c>
      <c r="C283" s="83">
        <f>'[2]FGT PRIMARY FIRM ZONE 1'!V294</f>
        <v>194.20499999999998</v>
      </c>
      <c r="D283" s="83">
        <f>'[2]FGT PRIMARY FIRM ZONE 2'!V294</f>
        <v>267.46600000000001</v>
      </c>
      <c r="E283" s="92">
        <f>'[2]FGT PRIMARY FIRM ZONE 3'!V294</f>
        <v>133.845</v>
      </c>
      <c r="F283" s="83">
        <f>'[2]FGT FIRM ZONE 3 MOBILE BAY-DES'!V294-40-25-60-100</f>
        <v>53.48399999999998</v>
      </c>
      <c r="G283" s="86">
        <v>40</v>
      </c>
      <c r="H283" s="83">
        <f t="shared" si="46"/>
        <v>185</v>
      </c>
      <c r="I283" s="83">
        <f t="shared" si="39"/>
        <v>0</v>
      </c>
      <c r="J283" s="86">
        <v>100</v>
      </c>
      <c r="K283" s="86">
        <v>300</v>
      </c>
      <c r="L283" s="83">
        <f t="shared" si="42"/>
        <v>1274</v>
      </c>
      <c r="M283" s="94">
        <v>600</v>
      </c>
      <c r="N283" s="83">
        <f>'[2]FGT NON-FIRM'!P294</f>
        <v>30</v>
      </c>
      <c r="O283" s="86">
        <v>240</v>
      </c>
      <c r="P283" s="86">
        <v>160</v>
      </c>
      <c r="Q283" s="86">
        <f t="shared" si="43"/>
        <v>195</v>
      </c>
      <c r="R283" s="86">
        <f t="shared" si="44"/>
        <v>100</v>
      </c>
      <c r="S283" s="83">
        <f t="shared" si="45"/>
        <v>695</v>
      </c>
      <c r="T283" s="83">
        <f>'[2]GULFSTREAM NON-FIRM'!H294</f>
        <v>0</v>
      </c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</row>
    <row r="284" spans="1:30" ht="15.75" hidden="1" x14ac:dyDescent="0.25">
      <c r="A284" s="34">
        <v>49553</v>
      </c>
      <c r="B284" s="97">
        <v>30</v>
      </c>
      <c r="C284" s="83">
        <f>'[2]FGT PRIMARY FIRM ZONE 1'!V295</f>
        <v>194.20499999999998</v>
      </c>
      <c r="D284" s="83">
        <f>'[2]FGT PRIMARY FIRM ZONE 2'!V295</f>
        <v>267.46600000000001</v>
      </c>
      <c r="E284" s="92">
        <f>'[2]FGT PRIMARY FIRM ZONE 3'!V295</f>
        <v>133.845</v>
      </c>
      <c r="F284" s="83">
        <f>'[2]FGT FIRM ZONE 3 MOBILE BAY-DES'!V295-40-25-60-100</f>
        <v>53.48399999999998</v>
      </c>
      <c r="G284" s="86">
        <v>40</v>
      </c>
      <c r="H284" s="83">
        <f t="shared" si="46"/>
        <v>185</v>
      </c>
      <c r="I284" s="83">
        <f t="shared" si="39"/>
        <v>0</v>
      </c>
      <c r="J284" s="86">
        <v>100</v>
      </c>
      <c r="K284" s="86">
        <v>300</v>
      </c>
      <c r="L284" s="83">
        <f t="shared" si="42"/>
        <v>1274</v>
      </c>
      <c r="M284" s="94">
        <v>600</v>
      </c>
      <c r="N284" s="83">
        <f>'[2]FGT NON-FIRM'!P295</f>
        <v>30</v>
      </c>
      <c r="O284" s="86">
        <v>240</v>
      </c>
      <c r="P284" s="86">
        <v>160</v>
      </c>
      <c r="Q284" s="86">
        <f t="shared" si="43"/>
        <v>195</v>
      </c>
      <c r="R284" s="86">
        <f t="shared" si="44"/>
        <v>100</v>
      </c>
      <c r="S284" s="83">
        <f t="shared" si="45"/>
        <v>695</v>
      </c>
      <c r="T284" s="83">
        <f>'[2]GULFSTREAM NON-FIRM'!H295</f>
        <v>0</v>
      </c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</row>
    <row r="285" spans="1:30" ht="15.75" hidden="1" x14ac:dyDescent="0.25">
      <c r="A285" s="34">
        <v>49583</v>
      </c>
      <c r="B285" s="97">
        <v>31</v>
      </c>
      <c r="C285" s="83">
        <f>'[2]FGT PRIMARY FIRM ZONE 1'!V296</f>
        <v>131.881</v>
      </c>
      <c r="D285" s="83">
        <f>'[2]FGT PRIMARY FIRM ZONE 2'!V296</f>
        <v>277.16699999999997</v>
      </c>
      <c r="E285" s="92">
        <f>'[2]FGT PRIMARY FIRM ZONE 3'!V296</f>
        <v>79.08</v>
      </c>
      <c r="F285" s="83">
        <f>'[2]FGT FIRM ZONE 3 MOBILE BAY-DES'!V296-40-25-60-100</f>
        <v>125.87199999999996</v>
      </c>
      <c r="G285" s="86">
        <v>40</v>
      </c>
      <c r="H285" s="83">
        <f t="shared" si="46"/>
        <v>185</v>
      </c>
      <c r="I285" s="83">
        <f t="shared" si="39"/>
        <v>0</v>
      </c>
      <c r="J285" s="86">
        <v>100</v>
      </c>
      <c r="K285" s="86">
        <v>300</v>
      </c>
      <c r="L285" s="83">
        <f t="shared" si="42"/>
        <v>1239</v>
      </c>
      <c r="M285" s="94">
        <v>600</v>
      </c>
      <c r="N285" s="83">
        <f>'[2]FGT NON-FIRM'!P296</f>
        <v>75</v>
      </c>
      <c r="O285" s="86">
        <v>240</v>
      </c>
      <c r="P285" s="86">
        <v>160</v>
      </c>
      <c r="Q285" s="86">
        <f t="shared" si="43"/>
        <v>195</v>
      </c>
      <c r="R285" s="86">
        <f t="shared" si="44"/>
        <v>100</v>
      </c>
      <c r="S285" s="83">
        <f t="shared" si="45"/>
        <v>695</v>
      </c>
      <c r="T285" s="83">
        <f>'[2]GULFSTREAM NON-FIRM'!H296</f>
        <v>0</v>
      </c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</row>
    <row r="286" spans="1:30" ht="15.75" hidden="1" x14ac:dyDescent="0.25">
      <c r="A286" s="34">
        <v>49614</v>
      </c>
      <c r="B286" s="97">
        <v>30</v>
      </c>
      <c r="C286" s="83">
        <f>'[2]FGT PRIMARY FIRM ZONE 1'!V297</f>
        <v>122.58</v>
      </c>
      <c r="D286" s="83">
        <f>'[2]FGT PRIMARY FIRM ZONE 2'!V297</f>
        <v>297.94100000000003</v>
      </c>
      <c r="E286" s="92">
        <f>'[2]FGT PRIMARY FIRM ZONE 3'!V297</f>
        <v>89.177000000000007</v>
      </c>
      <c r="F286" s="83">
        <f>'[2]FGT FIRM ZONE 3 MOBILE BAY-DES'!V297-40-60-100</f>
        <v>40.301999999999992</v>
      </c>
      <c r="G286" s="86">
        <v>40</v>
      </c>
      <c r="H286" s="83">
        <f>60+100</f>
        <v>160</v>
      </c>
      <c r="I286" s="83">
        <f t="shared" si="39"/>
        <v>0</v>
      </c>
      <c r="J286" s="86">
        <v>100</v>
      </c>
      <c r="K286" s="86">
        <v>300</v>
      </c>
      <c r="L286" s="83">
        <f t="shared" si="42"/>
        <v>1150</v>
      </c>
      <c r="M286" s="94">
        <v>600</v>
      </c>
      <c r="N286" s="83">
        <f>'[2]FGT NON-FIRM'!P297</f>
        <v>100</v>
      </c>
      <c r="O286" s="86">
        <v>240</v>
      </c>
      <c r="P286" s="86">
        <v>40</v>
      </c>
      <c r="Q286" s="86">
        <f t="shared" si="43"/>
        <v>315</v>
      </c>
      <c r="R286" s="86">
        <f t="shared" si="44"/>
        <v>100</v>
      </c>
      <c r="S286" s="83">
        <f t="shared" si="45"/>
        <v>695</v>
      </c>
      <c r="T286" s="83">
        <f>'[2]GULFSTREAM NON-FIRM'!H297</f>
        <v>50</v>
      </c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</row>
    <row r="287" spans="1:30" ht="15.75" hidden="1" x14ac:dyDescent="0.25">
      <c r="A287" s="34">
        <v>49644</v>
      </c>
      <c r="B287" s="97">
        <v>31</v>
      </c>
      <c r="C287" s="83">
        <f>'[2]FGT PRIMARY FIRM ZONE 1'!V298</f>
        <v>122.58</v>
      </c>
      <c r="D287" s="83">
        <f>'[2]FGT PRIMARY FIRM ZONE 2'!V298</f>
        <v>297.94100000000003</v>
      </c>
      <c r="E287" s="92">
        <f>'[2]FGT PRIMARY FIRM ZONE 3'!V298</f>
        <v>89.177000000000007</v>
      </c>
      <c r="F287" s="83">
        <f>'[2]FGT FIRM ZONE 3 MOBILE BAY-DES'!V298-40-60-100</f>
        <v>40.301999999999992</v>
      </c>
      <c r="G287" s="86">
        <v>40</v>
      </c>
      <c r="H287" s="83">
        <f>60+100</f>
        <v>160</v>
      </c>
      <c r="I287" s="83">
        <f t="shared" si="39"/>
        <v>0</v>
      </c>
      <c r="J287" s="86">
        <v>100</v>
      </c>
      <c r="K287" s="86">
        <v>300</v>
      </c>
      <c r="L287" s="83">
        <f t="shared" si="42"/>
        <v>1150</v>
      </c>
      <c r="M287" s="94">
        <v>600</v>
      </c>
      <c r="N287" s="83">
        <f>'[2]FGT NON-FIRM'!P298</f>
        <v>100</v>
      </c>
      <c r="O287" s="86">
        <v>240</v>
      </c>
      <c r="P287" s="86">
        <v>40</v>
      </c>
      <c r="Q287" s="86">
        <f t="shared" si="43"/>
        <v>315</v>
      </c>
      <c r="R287" s="86">
        <f t="shared" si="44"/>
        <v>100</v>
      </c>
      <c r="S287" s="83">
        <f t="shared" si="45"/>
        <v>695</v>
      </c>
      <c r="T287" s="83">
        <f>'[2]GULFSTREAM NON-FIRM'!H298</f>
        <v>50</v>
      </c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</row>
    <row r="288" spans="1:30" ht="15.75" hidden="1" x14ac:dyDescent="0.25">
      <c r="A288" s="34">
        <v>49675</v>
      </c>
      <c r="B288" s="97">
        <v>31</v>
      </c>
      <c r="C288" s="83">
        <f>'[2]FGT PRIMARY FIRM ZONE 1'!V299</f>
        <v>122.58</v>
      </c>
      <c r="D288" s="83">
        <f>'[2]FGT PRIMARY FIRM ZONE 2'!V299</f>
        <v>297.94100000000003</v>
      </c>
      <c r="E288" s="92">
        <f>'[2]FGT PRIMARY FIRM ZONE 3'!V299</f>
        <v>89.177000000000007</v>
      </c>
      <c r="F288" s="83">
        <f>'[2]FGT FIRM ZONE 3 MOBILE BAY-DES'!V299-40-60-100</f>
        <v>40.301999999999992</v>
      </c>
      <c r="G288" s="86">
        <v>40</v>
      </c>
      <c r="H288" s="83">
        <f>60+100</f>
        <v>160</v>
      </c>
      <c r="I288" s="83">
        <f t="shared" si="39"/>
        <v>0</v>
      </c>
      <c r="J288" s="86">
        <v>100</v>
      </c>
      <c r="K288" s="86">
        <v>300</v>
      </c>
      <c r="L288" s="83">
        <f t="shared" si="42"/>
        <v>1150</v>
      </c>
      <c r="M288" s="94">
        <v>600</v>
      </c>
      <c r="N288" s="83">
        <f>'[2]FGT NON-FIRM'!P299</f>
        <v>100</v>
      </c>
      <c r="O288" s="86">
        <v>240</v>
      </c>
      <c r="P288" s="86">
        <v>40</v>
      </c>
      <c r="Q288" s="86">
        <f t="shared" si="43"/>
        <v>315</v>
      </c>
      <c r="R288" s="86">
        <f t="shared" si="44"/>
        <v>100</v>
      </c>
      <c r="S288" s="83">
        <f t="shared" si="45"/>
        <v>695</v>
      </c>
      <c r="T288" s="83">
        <f>'[2]GULFSTREAM NON-FIRM'!H299</f>
        <v>50</v>
      </c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</row>
    <row r="289" spans="1:30" ht="15.75" hidden="1" x14ac:dyDescent="0.25">
      <c r="A289" s="34">
        <v>49706</v>
      </c>
      <c r="B289" s="97">
        <v>29</v>
      </c>
      <c r="C289" s="83">
        <f>'[2]FGT PRIMARY FIRM ZONE 1'!V300</f>
        <v>122.58</v>
      </c>
      <c r="D289" s="83">
        <f>'[2]FGT PRIMARY FIRM ZONE 2'!V300</f>
        <v>297.94100000000003</v>
      </c>
      <c r="E289" s="92">
        <f>'[2]FGT PRIMARY FIRM ZONE 3'!V300</f>
        <v>89.177000000000007</v>
      </c>
      <c r="F289" s="83">
        <f>'[2]FGT FIRM ZONE 3 MOBILE BAY-DES'!V300-40-60-100</f>
        <v>40.301999999999992</v>
      </c>
      <c r="G289" s="86">
        <v>40</v>
      </c>
      <c r="H289" s="83">
        <f>60+100</f>
        <v>160</v>
      </c>
      <c r="I289" s="83">
        <f t="shared" si="39"/>
        <v>0</v>
      </c>
      <c r="J289" s="86">
        <v>100</v>
      </c>
      <c r="K289" s="86">
        <v>300</v>
      </c>
      <c r="L289" s="83">
        <f t="shared" si="42"/>
        <v>1150</v>
      </c>
      <c r="M289" s="94">
        <v>600</v>
      </c>
      <c r="N289" s="83">
        <f>'[2]FGT NON-FIRM'!P300</f>
        <v>100</v>
      </c>
      <c r="O289" s="86">
        <v>240</v>
      </c>
      <c r="P289" s="86">
        <v>40</v>
      </c>
      <c r="Q289" s="86">
        <f t="shared" si="43"/>
        <v>315</v>
      </c>
      <c r="R289" s="86">
        <f t="shared" si="44"/>
        <v>100</v>
      </c>
      <c r="S289" s="83">
        <f t="shared" si="45"/>
        <v>695</v>
      </c>
      <c r="T289" s="83">
        <f>'[2]GULFSTREAM NON-FIRM'!H300</f>
        <v>50</v>
      </c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</row>
    <row r="290" spans="1:30" ht="15.75" hidden="1" x14ac:dyDescent="0.25">
      <c r="A290" s="34">
        <v>49735</v>
      </c>
      <c r="B290" s="97">
        <v>31</v>
      </c>
      <c r="C290" s="83">
        <f>'[2]FGT PRIMARY FIRM ZONE 1'!V301</f>
        <v>122.58</v>
      </c>
      <c r="D290" s="83">
        <f>'[2]FGT PRIMARY FIRM ZONE 2'!V301</f>
        <v>297.94100000000003</v>
      </c>
      <c r="E290" s="92">
        <f>'[2]FGT PRIMARY FIRM ZONE 3'!V301</f>
        <v>89.177000000000007</v>
      </c>
      <c r="F290" s="83">
        <f>'[2]FGT FIRM ZONE 3 MOBILE BAY-DES'!V301-40-60-100</f>
        <v>40.301999999999992</v>
      </c>
      <c r="G290" s="86">
        <v>40</v>
      </c>
      <c r="H290" s="83">
        <f>60+100</f>
        <v>160</v>
      </c>
      <c r="I290" s="83">
        <f t="shared" si="39"/>
        <v>0</v>
      </c>
      <c r="J290" s="86">
        <v>100</v>
      </c>
      <c r="K290" s="86">
        <v>300</v>
      </c>
      <c r="L290" s="83">
        <f t="shared" si="42"/>
        <v>1150</v>
      </c>
      <c r="M290" s="94">
        <v>600</v>
      </c>
      <c r="N290" s="83">
        <f>'[2]FGT NON-FIRM'!P301</f>
        <v>100</v>
      </c>
      <c r="O290" s="86">
        <v>240</v>
      </c>
      <c r="P290" s="86">
        <v>40</v>
      </c>
      <c r="Q290" s="86">
        <f t="shared" si="43"/>
        <v>315</v>
      </c>
      <c r="R290" s="86">
        <f t="shared" si="44"/>
        <v>100</v>
      </c>
      <c r="S290" s="83">
        <f t="shared" si="45"/>
        <v>695</v>
      </c>
      <c r="T290" s="83">
        <f>'[2]GULFSTREAM NON-FIRM'!H301</f>
        <v>50</v>
      </c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</row>
    <row r="291" spans="1:30" ht="15.75" hidden="1" x14ac:dyDescent="0.25">
      <c r="A291" s="34">
        <v>49766</v>
      </c>
      <c r="B291" s="97">
        <v>30</v>
      </c>
      <c r="C291" s="83">
        <f>'[2]FGT PRIMARY FIRM ZONE 1'!V302</f>
        <v>141.29300000000001</v>
      </c>
      <c r="D291" s="83">
        <f>'[2]FGT PRIMARY FIRM ZONE 2'!V302</f>
        <v>267.99299999999999</v>
      </c>
      <c r="E291" s="92">
        <f>'[2]FGT PRIMARY FIRM ZONE 3'!V302</f>
        <v>115.01600000000001</v>
      </c>
      <c r="F291" s="83">
        <f>'[2]FGT FIRM ZONE 3 MOBILE BAY-DES'!V302-40-25-60-100</f>
        <v>89.698000000000036</v>
      </c>
      <c r="G291" s="86">
        <v>40</v>
      </c>
      <c r="H291" s="83">
        <f t="shared" ref="H291:H297" si="47">25+60+100</f>
        <v>185</v>
      </c>
      <c r="I291" s="83">
        <f t="shared" si="39"/>
        <v>0</v>
      </c>
      <c r="J291" s="86">
        <v>100</v>
      </c>
      <c r="K291" s="86">
        <v>300</v>
      </c>
      <c r="L291" s="83">
        <f t="shared" si="42"/>
        <v>1239</v>
      </c>
      <c r="M291" s="94">
        <v>600</v>
      </c>
      <c r="N291" s="83">
        <f>'[2]FGT NON-FIRM'!P302</f>
        <v>100</v>
      </c>
      <c r="O291" s="86">
        <v>240</v>
      </c>
      <c r="P291" s="86">
        <v>160</v>
      </c>
      <c r="Q291" s="86">
        <f t="shared" si="43"/>
        <v>195</v>
      </c>
      <c r="R291" s="86">
        <f t="shared" si="44"/>
        <v>100</v>
      </c>
      <c r="S291" s="83">
        <f t="shared" si="45"/>
        <v>695</v>
      </c>
      <c r="T291" s="83">
        <f>'[2]GULFSTREAM NON-FIRM'!H302</f>
        <v>50</v>
      </c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</row>
    <row r="292" spans="1:30" ht="15.75" hidden="1" x14ac:dyDescent="0.25">
      <c r="A292" s="34">
        <v>49796</v>
      </c>
      <c r="B292" s="97">
        <v>31</v>
      </c>
      <c r="C292" s="83">
        <f>'[2]FGT PRIMARY FIRM ZONE 1'!V303</f>
        <v>194.20499999999998</v>
      </c>
      <c r="D292" s="83">
        <f>'[2]FGT PRIMARY FIRM ZONE 2'!V303</f>
        <v>267.46600000000001</v>
      </c>
      <c r="E292" s="92">
        <f>'[2]FGT PRIMARY FIRM ZONE 3'!V303</f>
        <v>133.845</v>
      </c>
      <c r="F292" s="83">
        <f>'[2]FGT FIRM ZONE 3 MOBILE BAY-DES'!V303-40-25-60-100</f>
        <v>53.48399999999998</v>
      </c>
      <c r="G292" s="86">
        <v>40</v>
      </c>
      <c r="H292" s="83">
        <f t="shared" si="47"/>
        <v>185</v>
      </c>
      <c r="I292" s="83">
        <f t="shared" si="39"/>
        <v>0</v>
      </c>
      <c r="J292" s="86">
        <v>100</v>
      </c>
      <c r="K292" s="86">
        <v>300</v>
      </c>
      <c r="L292" s="83">
        <f t="shared" si="42"/>
        <v>1274</v>
      </c>
      <c r="M292" s="94">
        <v>600</v>
      </c>
      <c r="N292" s="83">
        <f>'[2]FGT NON-FIRM'!P303</f>
        <v>75</v>
      </c>
      <c r="O292" s="86">
        <v>240</v>
      </c>
      <c r="P292" s="86">
        <v>160</v>
      </c>
      <c r="Q292" s="86">
        <f t="shared" si="43"/>
        <v>195</v>
      </c>
      <c r="R292" s="86">
        <f t="shared" si="44"/>
        <v>100</v>
      </c>
      <c r="S292" s="83">
        <f t="shared" si="45"/>
        <v>695</v>
      </c>
      <c r="T292" s="83">
        <f>'[2]GULFSTREAM NON-FIRM'!H303</f>
        <v>50</v>
      </c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</row>
    <row r="293" spans="1:30" ht="15.75" hidden="1" x14ac:dyDescent="0.25">
      <c r="A293" s="34">
        <v>49827</v>
      </c>
      <c r="B293" s="97">
        <v>30</v>
      </c>
      <c r="C293" s="83">
        <f>'[2]FGT PRIMARY FIRM ZONE 1'!V304</f>
        <v>194.20499999999998</v>
      </c>
      <c r="D293" s="83">
        <f>'[2]FGT PRIMARY FIRM ZONE 2'!V304</f>
        <v>267.46600000000001</v>
      </c>
      <c r="E293" s="92">
        <f>'[2]FGT PRIMARY FIRM ZONE 3'!V304</f>
        <v>133.845</v>
      </c>
      <c r="F293" s="83">
        <f>'[2]FGT FIRM ZONE 3 MOBILE BAY-DES'!V304-40-25-60-100</f>
        <v>53.48399999999998</v>
      </c>
      <c r="G293" s="86">
        <v>40</v>
      </c>
      <c r="H293" s="83">
        <f t="shared" si="47"/>
        <v>185</v>
      </c>
      <c r="I293" s="83">
        <f t="shared" si="39"/>
        <v>0</v>
      </c>
      <c r="J293" s="86">
        <v>100</v>
      </c>
      <c r="K293" s="86">
        <v>300</v>
      </c>
      <c r="L293" s="83">
        <f t="shared" si="42"/>
        <v>1274</v>
      </c>
      <c r="M293" s="94">
        <v>600</v>
      </c>
      <c r="N293" s="83">
        <f>'[2]FGT NON-FIRM'!P304</f>
        <v>30</v>
      </c>
      <c r="O293" s="86">
        <v>240</v>
      </c>
      <c r="P293" s="86">
        <v>160</v>
      </c>
      <c r="Q293" s="86">
        <f t="shared" si="43"/>
        <v>195</v>
      </c>
      <c r="R293" s="86">
        <f t="shared" si="44"/>
        <v>100</v>
      </c>
      <c r="S293" s="83">
        <f t="shared" si="45"/>
        <v>695</v>
      </c>
      <c r="T293" s="83">
        <f>'[2]GULFSTREAM NON-FIRM'!H304</f>
        <v>50</v>
      </c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</row>
    <row r="294" spans="1:30" ht="15.75" hidden="1" x14ac:dyDescent="0.25">
      <c r="A294" s="34">
        <v>49857</v>
      </c>
      <c r="B294" s="97">
        <v>31</v>
      </c>
      <c r="C294" s="83">
        <f>'[2]FGT PRIMARY FIRM ZONE 1'!V305</f>
        <v>194.20499999999998</v>
      </c>
      <c r="D294" s="83">
        <f>'[2]FGT PRIMARY FIRM ZONE 2'!V305</f>
        <v>267.46600000000001</v>
      </c>
      <c r="E294" s="92">
        <f>'[2]FGT PRIMARY FIRM ZONE 3'!V305</f>
        <v>133.845</v>
      </c>
      <c r="F294" s="83">
        <f>'[2]FGT FIRM ZONE 3 MOBILE BAY-DES'!V305-40-25-60-100</f>
        <v>53.48399999999998</v>
      </c>
      <c r="G294" s="86">
        <v>40</v>
      </c>
      <c r="H294" s="83">
        <f t="shared" si="47"/>
        <v>185</v>
      </c>
      <c r="I294" s="83">
        <f t="shared" si="39"/>
        <v>0</v>
      </c>
      <c r="J294" s="86">
        <v>100</v>
      </c>
      <c r="K294" s="86">
        <v>300</v>
      </c>
      <c r="L294" s="83">
        <f t="shared" si="42"/>
        <v>1274</v>
      </c>
      <c r="M294" s="94">
        <v>600</v>
      </c>
      <c r="N294" s="83">
        <f>'[2]FGT NON-FIRM'!P305</f>
        <v>30</v>
      </c>
      <c r="O294" s="86">
        <v>240</v>
      </c>
      <c r="P294" s="86">
        <v>160</v>
      </c>
      <c r="Q294" s="86">
        <f t="shared" si="43"/>
        <v>195</v>
      </c>
      <c r="R294" s="86">
        <f t="shared" si="44"/>
        <v>100</v>
      </c>
      <c r="S294" s="83">
        <f t="shared" si="45"/>
        <v>695</v>
      </c>
      <c r="T294" s="83">
        <f>'[2]GULFSTREAM NON-FIRM'!H305</f>
        <v>0</v>
      </c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</row>
    <row r="295" spans="1:30" ht="15.75" hidden="1" x14ac:dyDescent="0.25">
      <c r="A295" s="34">
        <v>49888</v>
      </c>
      <c r="B295" s="97">
        <v>31</v>
      </c>
      <c r="C295" s="83">
        <f>'[2]FGT PRIMARY FIRM ZONE 1'!V306</f>
        <v>194.20499999999998</v>
      </c>
      <c r="D295" s="83">
        <f>'[2]FGT PRIMARY FIRM ZONE 2'!V306</f>
        <v>267.46600000000001</v>
      </c>
      <c r="E295" s="92">
        <f>'[2]FGT PRIMARY FIRM ZONE 3'!V306</f>
        <v>133.845</v>
      </c>
      <c r="F295" s="83">
        <f>'[2]FGT FIRM ZONE 3 MOBILE BAY-DES'!V306-40-25-60-100</f>
        <v>53.48399999999998</v>
      </c>
      <c r="G295" s="86">
        <v>40</v>
      </c>
      <c r="H295" s="83">
        <f t="shared" si="47"/>
        <v>185</v>
      </c>
      <c r="I295" s="83">
        <f t="shared" si="39"/>
        <v>0</v>
      </c>
      <c r="J295" s="86">
        <v>100</v>
      </c>
      <c r="K295" s="86">
        <v>300</v>
      </c>
      <c r="L295" s="83">
        <f t="shared" si="42"/>
        <v>1274</v>
      </c>
      <c r="M295" s="94">
        <v>600</v>
      </c>
      <c r="N295" s="83">
        <f>'[2]FGT NON-FIRM'!P306</f>
        <v>30</v>
      </c>
      <c r="O295" s="86">
        <v>240</v>
      </c>
      <c r="P295" s="86">
        <v>160</v>
      </c>
      <c r="Q295" s="86">
        <f t="shared" si="43"/>
        <v>195</v>
      </c>
      <c r="R295" s="86">
        <f t="shared" si="44"/>
        <v>100</v>
      </c>
      <c r="S295" s="83">
        <f t="shared" si="45"/>
        <v>695</v>
      </c>
      <c r="T295" s="83">
        <f>'[2]GULFSTREAM NON-FIRM'!H306</f>
        <v>0</v>
      </c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</row>
    <row r="296" spans="1:30" ht="15.75" hidden="1" x14ac:dyDescent="0.25">
      <c r="A296" s="34">
        <v>49919</v>
      </c>
      <c r="B296" s="97">
        <v>30</v>
      </c>
      <c r="C296" s="83">
        <f>'[2]FGT PRIMARY FIRM ZONE 1'!V307</f>
        <v>194.20499999999998</v>
      </c>
      <c r="D296" s="83">
        <f>'[2]FGT PRIMARY FIRM ZONE 2'!V307</f>
        <v>267.46600000000001</v>
      </c>
      <c r="E296" s="92">
        <f>'[2]FGT PRIMARY FIRM ZONE 3'!V307</f>
        <v>133.845</v>
      </c>
      <c r="F296" s="83">
        <f>'[2]FGT FIRM ZONE 3 MOBILE BAY-DES'!V307-40-25-60-100</f>
        <v>53.48399999999998</v>
      </c>
      <c r="G296" s="86">
        <v>40</v>
      </c>
      <c r="H296" s="83">
        <f t="shared" si="47"/>
        <v>185</v>
      </c>
      <c r="I296" s="83">
        <f t="shared" si="39"/>
        <v>0</v>
      </c>
      <c r="J296" s="86">
        <v>100</v>
      </c>
      <c r="K296" s="86">
        <v>300</v>
      </c>
      <c r="L296" s="83">
        <f t="shared" si="42"/>
        <v>1274</v>
      </c>
      <c r="M296" s="94">
        <v>600</v>
      </c>
      <c r="N296" s="83">
        <f>'[2]FGT NON-FIRM'!P307</f>
        <v>30</v>
      </c>
      <c r="O296" s="86">
        <v>240</v>
      </c>
      <c r="P296" s="86">
        <v>160</v>
      </c>
      <c r="Q296" s="86">
        <f t="shared" si="43"/>
        <v>195</v>
      </c>
      <c r="R296" s="86">
        <f t="shared" si="44"/>
        <v>100</v>
      </c>
      <c r="S296" s="83">
        <f t="shared" si="45"/>
        <v>695</v>
      </c>
      <c r="T296" s="83">
        <f>'[2]GULFSTREAM NON-FIRM'!H307</f>
        <v>0</v>
      </c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</row>
    <row r="297" spans="1:30" ht="15.75" hidden="1" x14ac:dyDescent="0.25">
      <c r="A297" s="34">
        <v>49949</v>
      </c>
      <c r="B297" s="97">
        <v>31</v>
      </c>
      <c r="C297" s="83">
        <f>'[2]FGT PRIMARY FIRM ZONE 1'!V308</f>
        <v>131.881</v>
      </c>
      <c r="D297" s="83">
        <f>'[2]FGT PRIMARY FIRM ZONE 2'!V308</f>
        <v>277.16699999999997</v>
      </c>
      <c r="E297" s="92">
        <f>'[2]FGT PRIMARY FIRM ZONE 3'!V308</f>
        <v>79.08</v>
      </c>
      <c r="F297" s="83">
        <f>'[2]FGT FIRM ZONE 3 MOBILE BAY-DES'!V308-40-25-60-100</f>
        <v>125.87199999999996</v>
      </c>
      <c r="G297" s="86">
        <v>40</v>
      </c>
      <c r="H297" s="83">
        <f t="shared" si="47"/>
        <v>185</v>
      </c>
      <c r="I297" s="83">
        <f t="shared" si="39"/>
        <v>0</v>
      </c>
      <c r="J297" s="86">
        <v>100</v>
      </c>
      <c r="K297" s="86">
        <v>300</v>
      </c>
      <c r="L297" s="83">
        <f t="shared" si="42"/>
        <v>1239</v>
      </c>
      <c r="M297" s="94">
        <v>600</v>
      </c>
      <c r="N297" s="83">
        <f>'[2]FGT NON-FIRM'!P308</f>
        <v>75</v>
      </c>
      <c r="O297" s="86">
        <v>240</v>
      </c>
      <c r="P297" s="86">
        <v>160</v>
      </c>
      <c r="Q297" s="86">
        <f t="shared" si="43"/>
        <v>195</v>
      </c>
      <c r="R297" s="86">
        <f t="shared" si="44"/>
        <v>100</v>
      </c>
      <c r="S297" s="83">
        <f t="shared" si="45"/>
        <v>695</v>
      </c>
      <c r="T297" s="83">
        <f>'[2]GULFSTREAM NON-FIRM'!H308</f>
        <v>0</v>
      </c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</row>
    <row r="298" spans="1:30" ht="15.75" hidden="1" x14ac:dyDescent="0.25">
      <c r="A298" s="34">
        <v>49980</v>
      </c>
      <c r="B298" s="97">
        <v>30</v>
      </c>
      <c r="C298" s="83">
        <f>'[2]FGT PRIMARY FIRM ZONE 1'!V309</f>
        <v>122.58</v>
      </c>
      <c r="D298" s="83">
        <f>'[2]FGT PRIMARY FIRM ZONE 2'!V309</f>
        <v>297.94100000000003</v>
      </c>
      <c r="E298" s="92">
        <f>'[2]FGT PRIMARY FIRM ZONE 3'!V309</f>
        <v>89.177000000000007</v>
      </c>
      <c r="F298" s="83">
        <f>'[2]FGT FIRM ZONE 3 MOBILE BAY-DES'!V309-40-60-100</f>
        <v>40.301999999999992</v>
      </c>
      <c r="G298" s="86">
        <v>40</v>
      </c>
      <c r="H298" s="83">
        <f>60+100</f>
        <v>160</v>
      </c>
      <c r="I298" s="83">
        <f t="shared" si="39"/>
        <v>0</v>
      </c>
      <c r="J298" s="86">
        <v>100</v>
      </c>
      <c r="K298" s="86">
        <v>300</v>
      </c>
      <c r="L298" s="83">
        <f t="shared" si="42"/>
        <v>1150</v>
      </c>
      <c r="M298" s="94">
        <v>600</v>
      </c>
      <c r="N298" s="83">
        <f>'[2]FGT NON-FIRM'!P309</f>
        <v>100</v>
      </c>
      <c r="O298" s="86">
        <v>240</v>
      </c>
      <c r="P298" s="86">
        <v>40</v>
      </c>
      <c r="Q298" s="86">
        <f t="shared" si="43"/>
        <v>315</v>
      </c>
      <c r="R298" s="86">
        <f t="shared" si="44"/>
        <v>100</v>
      </c>
      <c r="S298" s="83">
        <f t="shared" si="45"/>
        <v>695</v>
      </c>
      <c r="T298" s="83">
        <f>'[2]GULFSTREAM NON-FIRM'!H309</f>
        <v>50</v>
      </c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</row>
    <row r="299" spans="1:30" ht="15.75" hidden="1" x14ac:dyDescent="0.25">
      <c r="A299" s="34">
        <v>50010</v>
      </c>
      <c r="B299" s="97">
        <v>31</v>
      </c>
      <c r="C299" s="83">
        <f>'[2]FGT PRIMARY FIRM ZONE 1'!V310</f>
        <v>122.58</v>
      </c>
      <c r="D299" s="83">
        <f>'[2]FGT PRIMARY FIRM ZONE 2'!V310</f>
        <v>297.94100000000003</v>
      </c>
      <c r="E299" s="92">
        <f>'[2]FGT PRIMARY FIRM ZONE 3'!V310</f>
        <v>89.177000000000007</v>
      </c>
      <c r="F299" s="83">
        <f>'[2]FGT FIRM ZONE 3 MOBILE BAY-DES'!V310-40-60-100</f>
        <v>40.301999999999992</v>
      </c>
      <c r="G299" s="86">
        <v>40</v>
      </c>
      <c r="H299" s="83">
        <f>60+100</f>
        <v>160</v>
      </c>
      <c r="I299" s="83">
        <f t="shared" si="39"/>
        <v>0</v>
      </c>
      <c r="J299" s="86">
        <v>100</v>
      </c>
      <c r="K299" s="86">
        <v>300</v>
      </c>
      <c r="L299" s="83">
        <f t="shared" si="42"/>
        <v>1150</v>
      </c>
      <c r="M299" s="94">
        <v>600</v>
      </c>
      <c r="N299" s="83">
        <f>'[2]FGT NON-FIRM'!P310</f>
        <v>100</v>
      </c>
      <c r="O299" s="86">
        <v>240</v>
      </c>
      <c r="P299" s="86">
        <v>40</v>
      </c>
      <c r="Q299" s="86">
        <f t="shared" si="43"/>
        <v>315</v>
      </c>
      <c r="R299" s="86">
        <f t="shared" si="44"/>
        <v>100</v>
      </c>
      <c r="S299" s="83">
        <f t="shared" si="45"/>
        <v>695</v>
      </c>
      <c r="T299" s="83">
        <f>'[2]GULFSTREAM NON-FIRM'!H310</f>
        <v>50</v>
      </c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</row>
    <row r="300" spans="1:30" ht="15.75" hidden="1" x14ac:dyDescent="0.25">
      <c r="A300" s="34">
        <v>50041</v>
      </c>
      <c r="B300" s="97">
        <v>31</v>
      </c>
      <c r="C300" s="83">
        <f>'[2]FGT PRIMARY FIRM ZONE 1'!V311</f>
        <v>122.58</v>
      </c>
      <c r="D300" s="83">
        <f>'[2]FGT PRIMARY FIRM ZONE 2'!V311</f>
        <v>297.94100000000003</v>
      </c>
      <c r="E300" s="92">
        <f>'[2]FGT PRIMARY FIRM ZONE 3'!V311</f>
        <v>89.177000000000007</v>
      </c>
      <c r="F300" s="83">
        <f>'[2]FGT FIRM ZONE 3 MOBILE BAY-DES'!V311-40-60-100</f>
        <v>40.301999999999992</v>
      </c>
      <c r="G300" s="86">
        <v>40</v>
      </c>
      <c r="H300" s="83">
        <f>60+100</f>
        <v>160</v>
      </c>
      <c r="I300" s="83">
        <f t="shared" si="39"/>
        <v>0</v>
      </c>
      <c r="J300" s="86">
        <v>100</v>
      </c>
      <c r="K300" s="86">
        <v>300</v>
      </c>
      <c r="L300" s="83">
        <f t="shared" si="42"/>
        <v>1150</v>
      </c>
      <c r="M300" s="94">
        <v>600</v>
      </c>
      <c r="N300" s="83">
        <f>'[2]FGT NON-FIRM'!P311</f>
        <v>100</v>
      </c>
      <c r="O300" s="86">
        <v>240</v>
      </c>
      <c r="P300" s="86">
        <v>40</v>
      </c>
      <c r="Q300" s="86">
        <f t="shared" si="43"/>
        <v>315</v>
      </c>
      <c r="R300" s="86">
        <f t="shared" si="44"/>
        <v>100</v>
      </c>
      <c r="S300" s="83">
        <f t="shared" si="45"/>
        <v>695</v>
      </c>
      <c r="T300" s="83">
        <f>'[2]GULFSTREAM NON-FIRM'!H311</f>
        <v>50</v>
      </c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</row>
    <row r="301" spans="1:30" ht="15.75" hidden="1" x14ac:dyDescent="0.25">
      <c r="A301" s="34">
        <v>50072</v>
      </c>
      <c r="B301" s="97">
        <v>28</v>
      </c>
      <c r="C301" s="83">
        <f>'[2]FGT PRIMARY FIRM ZONE 1'!V312</f>
        <v>122.58</v>
      </c>
      <c r="D301" s="83">
        <f>'[2]FGT PRIMARY FIRM ZONE 2'!V312</f>
        <v>297.94100000000003</v>
      </c>
      <c r="E301" s="92">
        <f>'[2]FGT PRIMARY FIRM ZONE 3'!V312</f>
        <v>89.177000000000007</v>
      </c>
      <c r="F301" s="83">
        <f>'[2]FGT FIRM ZONE 3 MOBILE BAY-DES'!V312-40-60-100</f>
        <v>40.301999999999992</v>
      </c>
      <c r="G301" s="86">
        <v>40</v>
      </c>
      <c r="H301" s="83">
        <f>60+100</f>
        <v>160</v>
      </c>
      <c r="I301" s="83">
        <f t="shared" si="39"/>
        <v>0</v>
      </c>
      <c r="J301" s="86">
        <v>100</v>
      </c>
      <c r="K301" s="86">
        <v>300</v>
      </c>
      <c r="L301" s="83">
        <f t="shared" si="42"/>
        <v>1150</v>
      </c>
      <c r="M301" s="94">
        <v>600</v>
      </c>
      <c r="N301" s="83">
        <f>'[2]FGT NON-FIRM'!P312</f>
        <v>100</v>
      </c>
      <c r="O301" s="86">
        <v>240</v>
      </c>
      <c r="P301" s="86">
        <v>40</v>
      </c>
      <c r="Q301" s="86">
        <f t="shared" si="43"/>
        <v>315</v>
      </c>
      <c r="R301" s="86">
        <f t="shared" si="44"/>
        <v>100</v>
      </c>
      <c r="S301" s="83">
        <f t="shared" si="45"/>
        <v>695</v>
      </c>
      <c r="T301" s="83">
        <f>'[2]GULFSTREAM NON-FIRM'!H312</f>
        <v>50</v>
      </c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</row>
    <row r="302" spans="1:30" ht="15.75" hidden="1" x14ac:dyDescent="0.25">
      <c r="A302" s="34">
        <v>50100</v>
      </c>
      <c r="B302" s="97">
        <v>31</v>
      </c>
      <c r="C302" s="83">
        <f>'[2]FGT PRIMARY FIRM ZONE 1'!V313</f>
        <v>122.58</v>
      </c>
      <c r="D302" s="83">
        <f>'[2]FGT PRIMARY FIRM ZONE 2'!V313</f>
        <v>297.94100000000003</v>
      </c>
      <c r="E302" s="92">
        <f>'[2]FGT PRIMARY FIRM ZONE 3'!V313</f>
        <v>89.177000000000007</v>
      </c>
      <c r="F302" s="83">
        <f>'[2]FGT FIRM ZONE 3 MOBILE BAY-DES'!V313-40-60-100</f>
        <v>40.301999999999992</v>
      </c>
      <c r="G302" s="86">
        <v>40</v>
      </c>
      <c r="H302" s="83">
        <f>60+100</f>
        <v>160</v>
      </c>
      <c r="I302" s="83">
        <f t="shared" si="39"/>
        <v>0</v>
      </c>
      <c r="J302" s="86">
        <v>100</v>
      </c>
      <c r="K302" s="86">
        <v>300</v>
      </c>
      <c r="L302" s="83">
        <f t="shared" si="42"/>
        <v>1150</v>
      </c>
      <c r="M302" s="94">
        <v>600</v>
      </c>
      <c r="N302" s="83">
        <f>'[2]FGT NON-FIRM'!P313</f>
        <v>100</v>
      </c>
      <c r="O302" s="86">
        <v>240</v>
      </c>
      <c r="P302" s="86">
        <v>40</v>
      </c>
      <c r="Q302" s="86">
        <f t="shared" si="43"/>
        <v>315</v>
      </c>
      <c r="R302" s="86">
        <f t="shared" si="44"/>
        <v>100</v>
      </c>
      <c r="S302" s="83">
        <f t="shared" si="45"/>
        <v>695</v>
      </c>
      <c r="T302" s="83">
        <f>'[2]GULFSTREAM NON-FIRM'!H313</f>
        <v>50</v>
      </c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</row>
    <row r="303" spans="1:30" ht="15.75" hidden="1" x14ac:dyDescent="0.25">
      <c r="A303" s="34">
        <v>50131</v>
      </c>
      <c r="B303" s="97">
        <v>30</v>
      </c>
      <c r="C303" s="83">
        <f>'[2]FGT PRIMARY FIRM ZONE 1'!V314</f>
        <v>141.29300000000001</v>
      </c>
      <c r="D303" s="83">
        <f>'[2]FGT PRIMARY FIRM ZONE 2'!V314</f>
        <v>267.99299999999999</v>
      </c>
      <c r="E303" s="92">
        <f>'[2]FGT PRIMARY FIRM ZONE 3'!V314</f>
        <v>115.01600000000001</v>
      </c>
      <c r="F303" s="83">
        <f>'[2]FGT FIRM ZONE 3 MOBILE BAY-DES'!V314-40-25-60-100</f>
        <v>89.698000000000036</v>
      </c>
      <c r="G303" s="86">
        <v>40</v>
      </c>
      <c r="H303" s="83">
        <f t="shared" ref="H303:H309" si="48">25+60+100</f>
        <v>185</v>
      </c>
      <c r="I303" s="83">
        <f t="shared" si="39"/>
        <v>0</v>
      </c>
      <c r="J303" s="86">
        <v>100</v>
      </c>
      <c r="K303" s="86">
        <v>300</v>
      </c>
      <c r="L303" s="83">
        <f t="shared" si="42"/>
        <v>1239</v>
      </c>
      <c r="M303" s="94">
        <v>600</v>
      </c>
      <c r="N303" s="83">
        <f>'[2]FGT NON-FIRM'!P314</f>
        <v>100</v>
      </c>
      <c r="O303" s="86">
        <v>240</v>
      </c>
      <c r="P303" s="86">
        <v>160</v>
      </c>
      <c r="Q303" s="86">
        <f t="shared" si="43"/>
        <v>195</v>
      </c>
      <c r="R303" s="86">
        <f t="shared" si="44"/>
        <v>100</v>
      </c>
      <c r="S303" s="83">
        <f t="shared" si="45"/>
        <v>695</v>
      </c>
      <c r="T303" s="83">
        <f>'[2]GULFSTREAM NON-FIRM'!H314</f>
        <v>50</v>
      </c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</row>
    <row r="304" spans="1:30" ht="15.75" hidden="1" x14ac:dyDescent="0.25">
      <c r="A304" s="34">
        <v>50161</v>
      </c>
      <c r="B304" s="97">
        <v>31</v>
      </c>
      <c r="C304" s="83">
        <f>'[2]FGT PRIMARY FIRM ZONE 1'!V315</f>
        <v>194.20499999999998</v>
      </c>
      <c r="D304" s="83">
        <f>'[2]FGT PRIMARY FIRM ZONE 2'!V315</f>
        <v>267.46600000000001</v>
      </c>
      <c r="E304" s="92">
        <f>'[2]FGT PRIMARY FIRM ZONE 3'!V315</f>
        <v>133.845</v>
      </c>
      <c r="F304" s="83">
        <f>'[2]FGT FIRM ZONE 3 MOBILE BAY-DES'!V315-40-25-60-100</f>
        <v>53.48399999999998</v>
      </c>
      <c r="G304" s="86">
        <v>40</v>
      </c>
      <c r="H304" s="83">
        <f t="shared" si="48"/>
        <v>185</v>
      </c>
      <c r="I304" s="83">
        <f t="shared" si="39"/>
        <v>0</v>
      </c>
      <c r="J304" s="86">
        <v>100</v>
      </c>
      <c r="K304" s="86">
        <v>300</v>
      </c>
      <c r="L304" s="83">
        <f t="shared" si="42"/>
        <v>1274</v>
      </c>
      <c r="M304" s="94">
        <v>600</v>
      </c>
      <c r="N304" s="83">
        <f>'[2]FGT NON-FIRM'!P315</f>
        <v>75</v>
      </c>
      <c r="O304" s="86">
        <v>240</v>
      </c>
      <c r="P304" s="86">
        <v>160</v>
      </c>
      <c r="Q304" s="86">
        <f t="shared" si="43"/>
        <v>195</v>
      </c>
      <c r="R304" s="86">
        <f t="shared" si="44"/>
        <v>100</v>
      </c>
      <c r="S304" s="83">
        <f t="shared" si="45"/>
        <v>695</v>
      </c>
      <c r="T304" s="83">
        <f>'[2]GULFSTREAM NON-FIRM'!H315</f>
        <v>50</v>
      </c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</row>
    <row r="305" spans="1:30" ht="15.75" hidden="1" x14ac:dyDescent="0.25">
      <c r="A305" s="34">
        <v>50192</v>
      </c>
      <c r="B305" s="97">
        <v>30</v>
      </c>
      <c r="C305" s="83">
        <f>'[2]FGT PRIMARY FIRM ZONE 1'!V316</f>
        <v>194.20499999999998</v>
      </c>
      <c r="D305" s="83">
        <f>'[2]FGT PRIMARY FIRM ZONE 2'!V316</f>
        <v>267.46600000000001</v>
      </c>
      <c r="E305" s="92">
        <f>'[2]FGT PRIMARY FIRM ZONE 3'!V316</f>
        <v>133.845</v>
      </c>
      <c r="F305" s="83">
        <f>'[2]FGT FIRM ZONE 3 MOBILE BAY-DES'!V316-40-25-60-100</f>
        <v>53.48399999999998</v>
      </c>
      <c r="G305" s="86">
        <v>40</v>
      </c>
      <c r="H305" s="83">
        <f t="shared" si="48"/>
        <v>185</v>
      </c>
      <c r="I305" s="83">
        <f t="shared" si="39"/>
        <v>0</v>
      </c>
      <c r="J305" s="86">
        <v>100</v>
      </c>
      <c r="K305" s="86">
        <v>300</v>
      </c>
      <c r="L305" s="83">
        <f t="shared" si="42"/>
        <v>1274</v>
      </c>
      <c r="M305" s="94">
        <v>600</v>
      </c>
      <c r="N305" s="83">
        <f>'[2]FGT NON-FIRM'!P316</f>
        <v>30</v>
      </c>
      <c r="O305" s="86">
        <v>240</v>
      </c>
      <c r="P305" s="86">
        <v>160</v>
      </c>
      <c r="Q305" s="86">
        <f t="shared" si="43"/>
        <v>195</v>
      </c>
      <c r="R305" s="86">
        <f t="shared" si="44"/>
        <v>100</v>
      </c>
      <c r="S305" s="83">
        <f t="shared" si="45"/>
        <v>695</v>
      </c>
      <c r="T305" s="83">
        <f>'[2]GULFSTREAM NON-FIRM'!H316</f>
        <v>50</v>
      </c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</row>
    <row r="306" spans="1:30" ht="15.75" hidden="1" x14ac:dyDescent="0.25">
      <c r="A306" s="34">
        <v>50222</v>
      </c>
      <c r="B306" s="97">
        <v>31</v>
      </c>
      <c r="C306" s="83">
        <f>'[2]FGT PRIMARY FIRM ZONE 1'!V317</f>
        <v>194.20499999999998</v>
      </c>
      <c r="D306" s="83">
        <f>'[2]FGT PRIMARY FIRM ZONE 2'!V317</f>
        <v>267.46600000000001</v>
      </c>
      <c r="E306" s="92">
        <f>'[2]FGT PRIMARY FIRM ZONE 3'!V317</f>
        <v>133.845</v>
      </c>
      <c r="F306" s="83">
        <f>'[2]FGT FIRM ZONE 3 MOBILE BAY-DES'!V317-40-25-60-100</f>
        <v>53.48399999999998</v>
      </c>
      <c r="G306" s="86">
        <v>40</v>
      </c>
      <c r="H306" s="83">
        <f t="shared" si="48"/>
        <v>185</v>
      </c>
      <c r="I306" s="83">
        <f t="shared" si="39"/>
        <v>0</v>
      </c>
      <c r="J306" s="86">
        <v>100</v>
      </c>
      <c r="K306" s="86">
        <v>300</v>
      </c>
      <c r="L306" s="83">
        <f t="shared" si="42"/>
        <v>1274</v>
      </c>
      <c r="M306" s="94">
        <v>600</v>
      </c>
      <c r="N306" s="83">
        <f>'[2]FGT NON-FIRM'!P317</f>
        <v>30</v>
      </c>
      <c r="O306" s="86">
        <v>240</v>
      </c>
      <c r="P306" s="86">
        <v>160</v>
      </c>
      <c r="Q306" s="86">
        <f t="shared" si="43"/>
        <v>195</v>
      </c>
      <c r="R306" s="86">
        <f t="shared" si="44"/>
        <v>100</v>
      </c>
      <c r="S306" s="83">
        <f t="shared" si="45"/>
        <v>695</v>
      </c>
      <c r="T306" s="83">
        <f>'[2]GULFSTREAM NON-FIRM'!H317</f>
        <v>0</v>
      </c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</row>
    <row r="307" spans="1:30" ht="15.75" hidden="1" x14ac:dyDescent="0.25">
      <c r="A307" s="34">
        <v>50253</v>
      </c>
      <c r="B307" s="97">
        <v>31</v>
      </c>
      <c r="C307" s="83">
        <f>'[2]FGT PRIMARY FIRM ZONE 1'!V318</f>
        <v>194.20499999999998</v>
      </c>
      <c r="D307" s="83">
        <f>'[2]FGT PRIMARY FIRM ZONE 2'!V318</f>
        <v>267.46600000000001</v>
      </c>
      <c r="E307" s="92">
        <f>'[2]FGT PRIMARY FIRM ZONE 3'!V318</f>
        <v>133.845</v>
      </c>
      <c r="F307" s="83">
        <f>'[2]FGT FIRM ZONE 3 MOBILE BAY-DES'!V318-40-25-60-100</f>
        <v>53.48399999999998</v>
      </c>
      <c r="G307" s="86">
        <v>40</v>
      </c>
      <c r="H307" s="83">
        <f t="shared" si="48"/>
        <v>185</v>
      </c>
      <c r="I307" s="83">
        <f t="shared" si="39"/>
        <v>0</v>
      </c>
      <c r="J307" s="86">
        <v>100</v>
      </c>
      <c r="K307" s="86">
        <v>300</v>
      </c>
      <c r="L307" s="83">
        <f t="shared" si="42"/>
        <v>1274</v>
      </c>
      <c r="M307" s="94">
        <v>600</v>
      </c>
      <c r="N307" s="83">
        <f>'[2]FGT NON-FIRM'!P318</f>
        <v>30</v>
      </c>
      <c r="O307" s="86">
        <v>240</v>
      </c>
      <c r="P307" s="86">
        <v>160</v>
      </c>
      <c r="Q307" s="86">
        <f t="shared" si="43"/>
        <v>195</v>
      </c>
      <c r="R307" s="86">
        <f t="shared" si="44"/>
        <v>100</v>
      </c>
      <c r="S307" s="83">
        <f t="shared" si="45"/>
        <v>695</v>
      </c>
      <c r="T307" s="83">
        <f>'[2]GULFSTREAM NON-FIRM'!H318</f>
        <v>0</v>
      </c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</row>
    <row r="308" spans="1:30" ht="15.75" hidden="1" x14ac:dyDescent="0.25">
      <c r="A308" s="34">
        <v>50284</v>
      </c>
      <c r="B308" s="97">
        <v>30</v>
      </c>
      <c r="C308" s="83">
        <f>'[2]FGT PRIMARY FIRM ZONE 1'!V319</f>
        <v>194.20499999999998</v>
      </c>
      <c r="D308" s="83">
        <f>'[2]FGT PRIMARY FIRM ZONE 2'!V319</f>
        <v>267.46600000000001</v>
      </c>
      <c r="E308" s="92">
        <f>'[2]FGT PRIMARY FIRM ZONE 3'!V319</f>
        <v>133.845</v>
      </c>
      <c r="F308" s="83">
        <f>'[2]FGT FIRM ZONE 3 MOBILE BAY-DES'!V319-40-25-60-100</f>
        <v>53.48399999999998</v>
      </c>
      <c r="G308" s="86">
        <v>40</v>
      </c>
      <c r="H308" s="83">
        <f t="shared" si="48"/>
        <v>185</v>
      </c>
      <c r="I308" s="83">
        <f t="shared" ref="I308:I371" si="49">400-J308-K308</f>
        <v>0</v>
      </c>
      <c r="J308" s="86">
        <v>100</v>
      </c>
      <c r="K308" s="86">
        <v>300</v>
      </c>
      <c r="L308" s="83">
        <f t="shared" si="42"/>
        <v>1274</v>
      </c>
      <c r="M308" s="94">
        <v>600</v>
      </c>
      <c r="N308" s="83">
        <f>'[2]FGT NON-FIRM'!P319</f>
        <v>30</v>
      </c>
      <c r="O308" s="86">
        <v>240</v>
      </c>
      <c r="P308" s="86">
        <v>160</v>
      </c>
      <c r="Q308" s="86">
        <f t="shared" si="43"/>
        <v>195</v>
      </c>
      <c r="R308" s="86">
        <f t="shared" si="44"/>
        <v>100</v>
      </c>
      <c r="S308" s="83">
        <f t="shared" si="45"/>
        <v>695</v>
      </c>
      <c r="T308" s="83">
        <f>'[2]GULFSTREAM NON-FIRM'!H319</f>
        <v>0</v>
      </c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</row>
    <row r="309" spans="1:30" ht="15.75" hidden="1" x14ac:dyDescent="0.25">
      <c r="A309" s="34">
        <v>50314</v>
      </c>
      <c r="B309" s="97">
        <v>31</v>
      </c>
      <c r="C309" s="83">
        <f>'[2]FGT PRIMARY FIRM ZONE 1'!V320</f>
        <v>131.881</v>
      </c>
      <c r="D309" s="83">
        <f>'[2]FGT PRIMARY FIRM ZONE 2'!V320</f>
        <v>277.16699999999997</v>
      </c>
      <c r="E309" s="92">
        <f>'[2]FGT PRIMARY FIRM ZONE 3'!V320</f>
        <v>79.08</v>
      </c>
      <c r="F309" s="83">
        <f>'[2]FGT FIRM ZONE 3 MOBILE BAY-DES'!V320-40-25-60-100</f>
        <v>125.87199999999996</v>
      </c>
      <c r="G309" s="86">
        <v>40</v>
      </c>
      <c r="H309" s="83">
        <f t="shared" si="48"/>
        <v>185</v>
      </c>
      <c r="I309" s="83">
        <f t="shared" si="49"/>
        <v>0</v>
      </c>
      <c r="J309" s="86">
        <v>100</v>
      </c>
      <c r="K309" s="86">
        <v>300</v>
      </c>
      <c r="L309" s="83">
        <f t="shared" si="42"/>
        <v>1239</v>
      </c>
      <c r="M309" s="94">
        <v>600</v>
      </c>
      <c r="N309" s="83">
        <f>'[2]FGT NON-FIRM'!P320</f>
        <v>75</v>
      </c>
      <c r="O309" s="86">
        <v>240</v>
      </c>
      <c r="P309" s="86">
        <v>160</v>
      </c>
      <c r="Q309" s="86">
        <f t="shared" si="43"/>
        <v>195</v>
      </c>
      <c r="R309" s="86">
        <f t="shared" si="44"/>
        <v>100</v>
      </c>
      <c r="S309" s="83">
        <f t="shared" si="45"/>
        <v>695</v>
      </c>
      <c r="T309" s="83">
        <f>'[2]GULFSTREAM NON-FIRM'!H320</f>
        <v>0</v>
      </c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</row>
    <row r="310" spans="1:30" ht="15.75" hidden="1" x14ac:dyDescent="0.25">
      <c r="A310" s="34">
        <v>50345</v>
      </c>
      <c r="B310" s="97">
        <v>30</v>
      </c>
      <c r="C310" s="83">
        <f>'[2]FGT PRIMARY FIRM ZONE 1'!V321</f>
        <v>122.58</v>
      </c>
      <c r="D310" s="83">
        <f>'[2]FGT PRIMARY FIRM ZONE 2'!V321</f>
        <v>297.94100000000003</v>
      </c>
      <c r="E310" s="92">
        <f>'[2]FGT PRIMARY FIRM ZONE 3'!V321</f>
        <v>89.177000000000007</v>
      </c>
      <c r="F310" s="83">
        <f>'[2]FGT FIRM ZONE 3 MOBILE BAY-DES'!V321-40-60-100</f>
        <v>40.301999999999992</v>
      </c>
      <c r="G310" s="86">
        <v>40</v>
      </c>
      <c r="H310" s="83">
        <f>60+100</f>
        <v>160</v>
      </c>
      <c r="I310" s="83">
        <f t="shared" si="49"/>
        <v>0</v>
      </c>
      <c r="J310" s="86">
        <v>100</v>
      </c>
      <c r="K310" s="86">
        <v>300</v>
      </c>
      <c r="L310" s="83">
        <f t="shared" si="42"/>
        <v>1150</v>
      </c>
      <c r="M310" s="94">
        <v>600</v>
      </c>
      <c r="N310" s="83">
        <f>'[2]FGT NON-FIRM'!P321</f>
        <v>100</v>
      </c>
      <c r="O310" s="86">
        <v>240</v>
      </c>
      <c r="P310" s="86">
        <v>40</v>
      </c>
      <c r="Q310" s="86">
        <f t="shared" si="43"/>
        <v>315</v>
      </c>
      <c r="R310" s="86">
        <f t="shared" si="44"/>
        <v>100</v>
      </c>
      <c r="S310" s="83">
        <f t="shared" si="45"/>
        <v>695</v>
      </c>
      <c r="T310" s="83">
        <f>'[2]GULFSTREAM NON-FIRM'!H321</f>
        <v>50</v>
      </c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</row>
    <row r="311" spans="1:30" ht="15.75" hidden="1" x14ac:dyDescent="0.25">
      <c r="A311" s="34">
        <v>50375</v>
      </c>
      <c r="B311" s="97">
        <v>31</v>
      </c>
      <c r="C311" s="83">
        <f>'[2]FGT PRIMARY FIRM ZONE 1'!V322</f>
        <v>122.58</v>
      </c>
      <c r="D311" s="83">
        <f>'[2]FGT PRIMARY FIRM ZONE 2'!V322</f>
        <v>297.94100000000003</v>
      </c>
      <c r="E311" s="92">
        <f>'[2]FGT PRIMARY FIRM ZONE 3'!V322</f>
        <v>89.177000000000007</v>
      </c>
      <c r="F311" s="83">
        <f>'[2]FGT FIRM ZONE 3 MOBILE BAY-DES'!V322-40-60-100</f>
        <v>40.301999999999992</v>
      </c>
      <c r="G311" s="86">
        <v>40</v>
      </c>
      <c r="H311" s="83">
        <f>60+100</f>
        <v>160</v>
      </c>
      <c r="I311" s="83">
        <f t="shared" si="49"/>
        <v>0</v>
      </c>
      <c r="J311" s="86">
        <v>100</v>
      </c>
      <c r="K311" s="86">
        <v>300</v>
      </c>
      <c r="L311" s="83">
        <f t="shared" si="42"/>
        <v>1150</v>
      </c>
      <c r="M311" s="94">
        <v>600</v>
      </c>
      <c r="N311" s="83">
        <f>'[2]FGT NON-FIRM'!P322</f>
        <v>100</v>
      </c>
      <c r="O311" s="86">
        <v>240</v>
      </c>
      <c r="P311" s="86">
        <v>40</v>
      </c>
      <c r="Q311" s="86">
        <f t="shared" si="43"/>
        <v>315</v>
      </c>
      <c r="R311" s="86">
        <f t="shared" si="44"/>
        <v>100</v>
      </c>
      <c r="S311" s="83">
        <f t="shared" si="45"/>
        <v>695</v>
      </c>
      <c r="T311" s="83">
        <f>'[2]GULFSTREAM NON-FIRM'!H322</f>
        <v>50</v>
      </c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</row>
    <row r="312" spans="1:30" ht="15.75" hidden="1" x14ac:dyDescent="0.25">
      <c r="A312" s="33">
        <v>50436</v>
      </c>
      <c r="B312" s="96">
        <v>31</v>
      </c>
      <c r="C312" s="83">
        <f>'[2]FGT PRIMARY FIRM ZONE 1'!V323</f>
        <v>122.58</v>
      </c>
      <c r="D312" s="83">
        <f>'[2]FGT PRIMARY FIRM ZONE 2'!V323</f>
        <v>297.94100000000003</v>
      </c>
      <c r="E312" s="92">
        <f>'[2]FGT PRIMARY FIRM ZONE 3'!V323</f>
        <v>89.177000000000007</v>
      </c>
      <c r="F312" s="83">
        <f>'[2]FGT FIRM ZONE 3 MOBILE BAY-DES'!V323-40-60-100</f>
        <v>40.301999999999992</v>
      </c>
      <c r="G312" s="86">
        <v>40</v>
      </c>
      <c r="H312" s="83">
        <f>60+100</f>
        <v>160</v>
      </c>
      <c r="I312" s="83">
        <f t="shared" si="49"/>
        <v>0</v>
      </c>
      <c r="J312" s="86">
        <v>100</v>
      </c>
      <c r="K312" s="86">
        <v>300</v>
      </c>
      <c r="L312" s="83">
        <f t="shared" si="42"/>
        <v>1150</v>
      </c>
      <c r="M312" s="94">
        <v>600</v>
      </c>
      <c r="N312" s="83">
        <f>'[2]FGT NON-FIRM'!P323</f>
        <v>100</v>
      </c>
      <c r="O312" s="86">
        <v>240</v>
      </c>
      <c r="P312" s="86">
        <v>40</v>
      </c>
      <c r="Q312" s="86">
        <f t="shared" si="43"/>
        <v>315</v>
      </c>
      <c r="R312" s="86">
        <f t="shared" si="44"/>
        <v>100</v>
      </c>
      <c r="S312" s="83">
        <f t="shared" si="45"/>
        <v>695</v>
      </c>
      <c r="T312" s="83">
        <f>'[2]GULFSTREAM NON-FIRM'!H323</f>
        <v>50</v>
      </c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</row>
    <row r="313" spans="1:30" ht="15.75" hidden="1" x14ac:dyDescent="0.25">
      <c r="A313" s="33">
        <v>50464</v>
      </c>
      <c r="B313" s="96">
        <v>28</v>
      </c>
      <c r="C313" s="83">
        <f>'[2]FGT PRIMARY FIRM ZONE 1'!V324</f>
        <v>122.58</v>
      </c>
      <c r="D313" s="83">
        <f>'[2]FGT PRIMARY FIRM ZONE 2'!V324</f>
        <v>297.94100000000003</v>
      </c>
      <c r="E313" s="92">
        <f>'[2]FGT PRIMARY FIRM ZONE 3'!V324</f>
        <v>89.177000000000007</v>
      </c>
      <c r="F313" s="83">
        <f>'[2]FGT FIRM ZONE 3 MOBILE BAY-DES'!V324-40-60-100</f>
        <v>40.301999999999992</v>
      </c>
      <c r="G313" s="86">
        <v>40</v>
      </c>
      <c r="H313" s="83">
        <f>60+100</f>
        <v>160</v>
      </c>
      <c r="I313" s="83">
        <f t="shared" si="49"/>
        <v>0</v>
      </c>
      <c r="J313" s="86">
        <v>100</v>
      </c>
      <c r="K313" s="86">
        <v>300</v>
      </c>
      <c r="L313" s="83">
        <f t="shared" si="42"/>
        <v>1150</v>
      </c>
      <c r="M313" s="94">
        <v>600</v>
      </c>
      <c r="N313" s="83">
        <f>'[2]FGT NON-FIRM'!P324</f>
        <v>100</v>
      </c>
      <c r="O313" s="86">
        <v>240</v>
      </c>
      <c r="P313" s="86">
        <v>40</v>
      </c>
      <c r="Q313" s="86">
        <f t="shared" si="43"/>
        <v>315</v>
      </c>
      <c r="R313" s="86">
        <f t="shared" si="44"/>
        <v>100</v>
      </c>
      <c r="S313" s="83">
        <f t="shared" si="45"/>
        <v>695</v>
      </c>
      <c r="T313" s="83">
        <f>'[2]GULFSTREAM NON-FIRM'!H324</f>
        <v>50</v>
      </c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</row>
    <row r="314" spans="1:30" ht="15.75" hidden="1" x14ac:dyDescent="0.25">
      <c r="A314" s="33">
        <v>50495</v>
      </c>
      <c r="B314" s="96">
        <v>31</v>
      </c>
      <c r="C314" s="83">
        <f>'[2]FGT PRIMARY FIRM ZONE 1'!V325</f>
        <v>122.58</v>
      </c>
      <c r="D314" s="83">
        <f>'[2]FGT PRIMARY FIRM ZONE 2'!V325</f>
        <v>297.94100000000003</v>
      </c>
      <c r="E314" s="92">
        <f>'[2]FGT PRIMARY FIRM ZONE 3'!V325</f>
        <v>89.177000000000007</v>
      </c>
      <c r="F314" s="83">
        <f>'[2]FGT FIRM ZONE 3 MOBILE BAY-DES'!V325-40-60-100</f>
        <v>40.301999999999992</v>
      </c>
      <c r="G314" s="86">
        <v>40</v>
      </c>
      <c r="H314" s="83">
        <f>60+100</f>
        <v>160</v>
      </c>
      <c r="I314" s="83">
        <f t="shared" si="49"/>
        <v>0</v>
      </c>
      <c r="J314" s="86">
        <v>100</v>
      </c>
      <c r="K314" s="86">
        <v>300</v>
      </c>
      <c r="L314" s="83">
        <f t="shared" si="42"/>
        <v>1150</v>
      </c>
      <c r="M314" s="94">
        <v>600</v>
      </c>
      <c r="N314" s="83">
        <f>'[2]FGT NON-FIRM'!P325</f>
        <v>100</v>
      </c>
      <c r="O314" s="86">
        <v>240</v>
      </c>
      <c r="P314" s="86">
        <v>40</v>
      </c>
      <c r="Q314" s="86">
        <f t="shared" si="43"/>
        <v>315</v>
      </c>
      <c r="R314" s="86">
        <f t="shared" si="44"/>
        <v>100</v>
      </c>
      <c r="S314" s="83">
        <f t="shared" si="45"/>
        <v>695</v>
      </c>
      <c r="T314" s="83">
        <f>'[2]GULFSTREAM NON-FIRM'!H325</f>
        <v>50</v>
      </c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</row>
    <row r="315" spans="1:30" ht="15.75" hidden="1" x14ac:dyDescent="0.25">
      <c r="A315" s="33">
        <v>50525</v>
      </c>
      <c r="B315" s="96">
        <v>30</v>
      </c>
      <c r="C315" s="83">
        <f>'[2]FGT PRIMARY FIRM ZONE 1'!V326</f>
        <v>141.29300000000001</v>
      </c>
      <c r="D315" s="83">
        <f>'[2]FGT PRIMARY FIRM ZONE 2'!V326</f>
        <v>267.99299999999999</v>
      </c>
      <c r="E315" s="92">
        <f>'[2]FGT PRIMARY FIRM ZONE 3'!V326</f>
        <v>115.01600000000001</v>
      </c>
      <c r="F315" s="83">
        <f>'[2]FGT FIRM ZONE 3 MOBILE BAY-DES'!V326-40-25-60-100</f>
        <v>89.698000000000036</v>
      </c>
      <c r="G315" s="86">
        <v>40</v>
      </c>
      <c r="H315" s="83">
        <f t="shared" ref="H315:H321" si="50">25+60+100</f>
        <v>185</v>
      </c>
      <c r="I315" s="83">
        <f t="shared" si="49"/>
        <v>0</v>
      </c>
      <c r="J315" s="86">
        <v>100</v>
      </c>
      <c r="K315" s="86">
        <v>300</v>
      </c>
      <c r="L315" s="83">
        <f t="shared" si="42"/>
        <v>1239</v>
      </c>
      <c r="M315" s="94">
        <v>600</v>
      </c>
      <c r="N315" s="83">
        <f>'[2]FGT NON-FIRM'!P326</f>
        <v>100</v>
      </c>
      <c r="O315" s="86">
        <v>240</v>
      </c>
      <c r="P315" s="86">
        <v>160</v>
      </c>
      <c r="Q315" s="86">
        <f t="shared" si="43"/>
        <v>195</v>
      </c>
      <c r="R315" s="86">
        <f t="shared" si="44"/>
        <v>100</v>
      </c>
      <c r="S315" s="83">
        <f t="shared" si="45"/>
        <v>695</v>
      </c>
      <c r="T315" s="83">
        <f>'[2]GULFSTREAM NON-FIRM'!H326</f>
        <v>50</v>
      </c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</row>
    <row r="316" spans="1:30" ht="15.75" hidden="1" x14ac:dyDescent="0.25">
      <c r="A316" s="33">
        <v>50556</v>
      </c>
      <c r="B316" s="96">
        <v>31</v>
      </c>
      <c r="C316" s="83">
        <f>'[2]FGT PRIMARY FIRM ZONE 1'!V327</f>
        <v>194.20499999999998</v>
      </c>
      <c r="D316" s="83">
        <f>'[2]FGT PRIMARY FIRM ZONE 2'!V327</f>
        <v>267.46600000000001</v>
      </c>
      <c r="E316" s="92">
        <f>'[2]FGT PRIMARY FIRM ZONE 3'!V327</f>
        <v>133.845</v>
      </c>
      <c r="F316" s="83">
        <f>'[2]FGT FIRM ZONE 3 MOBILE BAY-DES'!V327-40-25-60-100</f>
        <v>53.48399999999998</v>
      </c>
      <c r="G316" s="86">
        <v>40</v>
      </c>
      <c r="H316" s="83">
        <f t="shared" si="50"/>
        <v>185</v>
      </c>
      <c r="I316" s="83">
        <f t="shared" si="49"/>
        <v>0</v>
      </c>
      <c r="J316" s="86">
        <v>100</v>
      </c>
      <c r="K316" s="86">
        <v>300</v>
      </c>
      <c r="L316" s="83">
        <f t="shared" si="42"/>
        <v>1274</v>
      </c>
      <c r="M316" s="94">
        <v>600</v>
      </c>
      <c r="N316" s="83">
        <f>'[2]FGT NON-FIRM'!P327</f>
        <v>75</v>
      </c>
      <c r="O316" s="86">
        <v>240</v>
      </c>
      <c r="P316" s="86">
        <v>160</v>
      </c>
      <c r="Q316" s="86">
        <f t="shared" si="43"/>
        <v>195</v>
      </c>
      <c r="R316" s="86">
        <f t="shared" si="44"/>
        <v>100</v>
      </c>
      <c r="S316" s="83">
        <f t="shared" si="45"/>
        <v>695</v>
      </c>
      <c r="T316" s="83">
        <f>'[2]GULFSTREAM NON-FIRM'!H327</f>
        <v>50</v>
      </c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</row>
    <row r="317" spans="1:30" ht="15.75" hidden="1" x14ac:dyDescent="0.25">
      <c r="A317" s="33">
        <v>50586</v>
      </c>
      <c r="B317" s="96">
        <v>30</v>
      </c>
      <c r="C317" s="83">
        <f>'[2]FGT PRIMARY FIRM ZONE 1'!V328</f>
        <v>194.20499999999998</v>
      </c>
      <c r="D317" s="83">
        <f>'[2]FGT PRIMARY FIRM ZONE 2'!V328</f>
        <v>267.46600000000001</v>
      </c>
      <c r="E317" s="92">
        <f>'[2]FGT PRIMARY FIRM ZONE 3'!V328</f>
        <v>133.845</v>
      </c>
      <c r="F317" s="83">
        <f>'[2]FGT FIRM ZONE 3 MOBILE BAY-DES'!V328-40-25-60-100</f>
        <v>53.48399999999998</v>
      </c>
      <c r="G317" s="86">
        <v>40</v>
      </c>
      <c r="H317" s="83">
        <f t="shared" si="50"/>
        <v>185</v>
      </c>
      <c r="I317" s="83">
        <f t="shared" si="49"/>
        <v>0</v>
      </c>
      <c r="J317" s="86">
        <v>100</v>
      </c>
      <c r="K317" s="86">
        <v>300</v>
      </c>
      <c r="L317" s="83">
        <f t="shared" si="42"/>
        <v>1274</v>
      </c>
      <c r="M317" s="94">
        <v>600</v>
      </c>
      <c r="N317" s="83">
        <f>'[2]FGT NON-FIRM'!P328</f>
        <v>30</v>
      </c>
      <c r="O317" s="86">
        <v>240</v>
      </c>
      <c r="P317" s="86">
        <v>160</v>
      </c>
      <c r="Q317" s="86">
        <f t="shared" si="43"/>
        <v>195</v>
      </c>
      <c r="R317" s="86">
        <f t="shared" si="44"/>
        <v>100</v>
      </c>
      <c r="S317" s="83">
        <f t="shared" si="45"/>
        <v>695</v>
      </c>
      <c r="T317" s="83">
        <f>'[2]GULFSTREAM NON-FIRM'!H328</f>
        <v>50</v>
      </c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</row>
    <row r="318" spans="1:30" ht="15.75" hidden="1" x14ac:dyDescent="0.25">
      <c r="A318" s="33">
        <v>50617</v>
      </c>
      <c r="B318" s="96">
        <v>31</v>
      </c>
      <c r="C318" s="83">
        <f>'[2]FGT PRIMARY FIRM ZONE 1'!V329</f>
        <v>194.20499999999998</v>
      </c>
      <c r="D318" s="83">
        <f>'[2]FGT PRIMARY FIRM ZONE 2'!V329</f>
        <v>267.46600000000001</v>
      </c>
      <c r="E318" s="92">
        <f>'[2]FGT PRIMARY FIRM ZONE 3'!V329</f>
        <v>133.845</v>
      </c>
      <c r="F318" s="83">
        <f>'[2]FGT FIRM ZONE 3 MOBILE BAY-DES'!V329-40-25-60-100</f>
        <v>53.48399999999998</v>
      </c>
      <c r="G318" s="86">
        <v>40</v>
      </c>
      <c r="H318" s="83">
        <f t="shared" si="50"/>
        <v>185</v>
      </c>
      <c r="I318" s="83">
        <f t="shared" si="49"/>
        <v>0</v>
      </c>
      <c r="J318" s="86">
        <v>100</v>
      </c>
      <c r="K318" s="86">
        <v>300</v>
      </c>
      <c r="L318" s="83">
        <f t="shared" si="42"/>
        <v>1274</v>
      </c>
      <c r="M318" s="94">
        <v>600</v>
      </c>
      <c r="N318" s="83">
        <f>'[2]FGT NON-FIRM'!P329</f>
        <v>30</v>
      </c>
      <c r="O318" s="86">
        <v>240</v>
      </c>
      <c r="P318" s="86">
        <v>160</v>
      </c>
      <c r="Q318" s="86">
        <f t="shared" si="43"/>
        <v>195</v>
      </c>
      <c r="R318" s="86">
        <f t="shared" si="44"/>
        <v>100</v>
      </c>
      <c r="S318" s="83">
        <f t="shared" si="45"/>
        <v>695</v>
      </c>
      <c r="T318" s="83">
        <f>'[2]GULFSTREAM NON-FIRM'!H329</f>
        <v>0</v>
      </c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</row>
    <row r="319" spans="1:30" ht="15.75" hidden="1" x14ac:dyDescent="0.25">
      <c r="A319" s="33">
        <v>50648</v>
      </c>
      <c r="B319" s="96">
        <v>31</v>
      </c>
      <c r="C319" s="83">
        <f>'[2]FGT PRIMARY FIRM ZONE 1'!V330</f>
        <v>194.20499999999998</v>
      </c>
      <c r="D319" s="83">
        <f>'[2]FGT PRIMARY FIRM ZONE 2'!V330</f>
        <v>267.46600000000001</v>
      </c>
      <c r="E319" s="92">
        <f>'[2]FGT PRIMARY FIRM ZONE 3'!V330</f>
        <v>133.845</v>
      </c>
      <c r="F319" s="83">
        <f>'[2]FGT FIRM ZONE 3 MOBILE BAY-DES'!V330-40-25-60-100</f>
        <v>53.48399999999998</v>
      </c>
      <c r="G319" s="86">
        <v>40</v>
      </c>
      <c r="H319" s="83">
        <f t="shared" si="50"/>
        <v>185</v>
      </c>
      <c r="I319" s="83">
        <f t="shared" si="49"/>
        <v>0</v>
      </c>
      <c r="J319" s="86">
        <v>100</v>
      </c>
      <c r="K319" s="86">
        <v>300</v>
      </c>
      <c r="L319" s="83">
        <f t="shared" si="42"/>
        <v>1274</v>
      </c>
      <c r="M319" s="94">
        <v>600</v>
      </c>
      <c r="N319" s="83">
        <f>'[2]FGT NON-FIRM'!P330</f>
        <v>30</v>
      </c>
      <c r="O319" s="86">
        <v>240</v>
      </c>
      <c r="P319" s="86">
        <v>160</v>
      </c>
      <c r="Q319" s="86">
        <f t="shared" si="43"/>
        <v>195</v>
      </c>
      <c r="R319" s="86">
        <f t="shared" si="44"/>
        <v>100</v>
      </c>
      <c r="S319" s="83">
        <f t="shared" si="45"/>
        <v>695</v>
      </c>
      <c r="T319" s="83">
        <f>'[2]GULFSTREAM NON-FIRM'!H330</f>
        <v>0</v>
      </c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</row>
    <row r="320" spans="1:30" ht="15.75" hidden="1" x14ac:dyDescent="0.25">
      <c r="A320" s="33">
        <v>50678</v>
      </c>
      <c r="B320" s="96">
        <v>30</v>
      </c>
      <c r="C320" s="83">
        <f>'[2]FGT PRIMARY FIRM ZONE 1'!V331</f>
        <v>194.20499999999998</v>
      </c>
      <c r="D320" s="83">
        <f>'[2]FGT PRIMARY FIRM ZONE 2'!V331</f>
        <v>267.46600000000001</v>
      </c>
      <c r="E320" s="92">
        <f>'[2]FGT PRIMARY FIRM ZONE 3'!V331</f>
        <v>133.845</v>
      </c>
      <c r="F320" s="83">
        <f>'[2]FGT FIRM ZONE 3 MOBILE BAY-DES'!V331-40-25-60-100</f>
        <v>53.48399999999998</v>
      </c>
      <c r="G320" s="86">
        <v>40</v>
      </c>
      <c r="H320" s="83">
        <f t="shared" si="50"/>
        <v>185</v>
      </c>
      <c r="I320" s="83">
        <f t="shared" si="49"/>
        <v>0</v>
      </c>
      <c r="J320" s="86">
        <v>100</v>
      </c>
      <c r="K320" s="86">
        <v>300</v>
      </c>
      <c r="L320" s="83">
        <f t="shared" si="42"/>
        <v>1274</v>
      </c>
      <c r="M320" s="94">
        <v>600</v>
      </c>
      <c r="N320" s="83">
        <f>'[2]FGT NON-FIRM'!P331</f>
        <v>30</v>
      </c>
      <c r="O320" s="86">
        <v>240</v>
      </c>
      <c r="P320" s="86">
        <v>160</v>
      </c>
      <c r="Q320" s="86">
        <f t="shared" si="43"/>
        <v>195</v>
      </c>
      <c r="R320" s="86">
        <f t="shared" si="44"/>
        <v>100</v>
      </c>
      <c r="S320" s="83">
        <f t="shared" si="45"/>
        <v>695</v>
      </c>
      <c r="T320" s="83">
        <f>'[2]GULFSTREAM NON-FIRM'!H331</f>
        <v>0</v>
      </c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</row>
    <row r="321" spans="1:30" ht="15.75" hidden="1" x14ac:dyDescent="0.25">
      <c r="A321" s="33">
        <v>50709</v>
      </c>
      <c r="B321" s="96">
        <v>31</v>
      </c>
      <c r="C321" s="83">
        <f>'[2]FGT PRIMARY FIRM ZONE 1'!V332</f>
        <v>131.881</v>
      </c>
      <c r="D321" s="83">
        <f>'[2]FGT PRIMARY FIRM ZONE 2'!V332</f>
        <v>277.16699999999997</v>
      </c>
      <c r="E321" s="92">
        <f>'[2]FGT PRIMARY FIRM ZONE 3'!V332</f>
        <v>79.08</v>
      </c>
      <c r="F321" s="83">
        <f>'[2]FGT FIRM ZONE 3 MOBILE BAY-DES'!V332-40-25-60-100</f>
        <v>125.87199999999996</v>
      </c>
      <c r="G321" s="86">
        <v>40</v>
      </c>
      <c r="H321" s="83">
        <f t="shared" si="50"/>
        <v>185</v>
      </c>
      <c r="I321" s="83">
        <f t="shared" si="49"/>
        <v>0</v>
      </c>
      <c r="J321" s="86">
        <v>100</v>
      </c>
      <c r="K321" s="86">
        <v>300</v>
      </c>
      <c r="L321" s="83">
        <f t="shared" si="42"/>
        <v>1239</v>
      </c>
      <c r="M321" s="94">
        <v>600</v>
      </c>
      <c r="N321" s="83">
        <f>'[2]FGT NON-FIRM'!P332</f>
        <v>75</v>
      </c>
      <c r="O321" s="86">
        <v>240</v>
      </c>
      <c r="P321" s="86">
        <v>160</v>
      </c>
      <c r="Q321" s="86">
        <f t="shared" si="43"/>
        <v>195</v>
      </c>
      <c r="R321" s="86">
        <f t="shared" si="44"/>
        <v>100</v>
      </c>
      <c r="S321" s="83">
        <f t="shared" si="45"/>
        <v>695</v>
      </c>
      <c r="T321" s="83">
        <f>'[2]GULFSTREAM NON-FIRM'!H332</f>
        <v>0</v>
      </c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</row>
    <row r="322" spans="1:30" ht="15.75" hidden="1" x14ac:dyDescent="0.25">
      <c r="A322" s="33">
        <v>50739</v>
      </c>
      <c r="B322" s="96">
        <v>30</v>
      </c>
      <c r="C322" s="83">
        <f>'[2]FGT PRIMARY FIRM ZONE 1'!V333</f>
        <v>122.58</v>
      </c>
      <c r="D322" s="83">
        <f>'[2]FGT PRIMARY FIRM ZONE 2'!V333</f>
        <v>297.94100000000003</v>
      </c>
      <c r="E322" s="92">
        <f>'[2]FGT PRIMARY FIRM ZONE 3'!V333</f>
        <v>89.177000000000007</v>
      </c>
      <c r="F322" s="83">
        <f>'[2]FGT FIRM ZONE 3 MOBILE BAY-DES'!V333-40-60-100</f>
        <v>40.301999999999992</v>
      </c>
      <c r="G322" s="86">
        <v>40</v>
      </c>
      <c r="H322" s="83">
        <f>60+100</f>
        <v>160</v>
      </c>
      <c r="I322" s="83">
        <f t="shared" si="49"/>
        <v>0</v>
      </c>
      <c r="J322" s="86">
        <v>100</v>
      </c>
      <c r="K322" s="86">
        <v>300</v>
      </c>
      <c r="L322" s="83">
        <f t="shared" si="42"/>
        <v>1150</v>
      </c>
      <c r="M322" s="94">
        <v>600</v>
      </c>
      <c r="N322" s="83">
        <f>'[2]FGT NON-FIRM'!P333</f>
        <v>100</v>
      </c>
      <c r="O322" s="86">
        <v>240</v>
      </c>
      <c r="P322" s="86">
        <v>40</v>
      </c>
      <c r="Q322" s="86">
        <f t="shared" si="43"/>
        <v>315</v>
      </c>
      <c r="R322" s="86">
        <f t="shared" si="44"/>
        <v>100</v>
      </c>
      <c r="S322" s="83">
        <f t="shared" si="45"/>
        <v>695</v>
      </c>
      <c r="T322" s="83">
        <f>'[2]GULFSTREAM NON-FIRM'!H333</f>
        <v>50</v>
      </c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</row>
    <row r="323" spans="1:30" ht="15.75" hidden="1" x14ac:dyDescent="0.25">
      <c r="A323" s="33">
        <v>50770</v>
      </c>
      <c r="B323" s="96">
        <v>31</v>
      </c>
      <c r="C323" s="83">
        <f>'[2]FGT PRIMARY FIRM ZONE 1'!V334</f>
        <v>122.58</v>
      </c>
      <c r="D323" s="83">
        <f>'[2]FGT PRIMARY FIRM ZONE 2'!V334</f>
        <v>297.94100000000003</v>
      </c>
      <c r="E323" s="92">
        <f>'[2]FGT PRIMARY FIRM ZONE 3'!V334</f>
        <v>89.177000000000007</v>
      </c>
      <c r="F323" s="83">
        <f>'[2]FGT FIRM ZONE 3 MOBILE BAY-DES'!V334-40-60-100</f>
        <v>40.301999999999992</v>
      </c>
      <c r="G323" s="86">
        <v>40</v>
      </c>
      <c r="H323" s="83">
        <f>60+100</f>
        <v>160</v>
      </c>
      <c r="I323" s="83">
        <f t="shared" si="49"/>
        <v>0</v>
      </c>
      <c r="J323" s="86">
        <v>100</v>
      </c>
      <c r="K323" s="86">
        <v>300</v>
      </c>
      <c r="L323" s="83">
        <f t="shared" si="42"/>
        <v>1150</v>
      </c>
      <c r="M323" s="94">
        <v>600</v>
      </c>
      <c r="N323" s="83">
        <f>'[2]FGT NON-FIRM'!P334</f>
        <v>100</v>
      </c>
      <c r="O323" s="86">
        <v>240</v>
      </c>
      <c r="P323" s="86">
        <v>40</v>
      </c>
      <c r="Q323" s="86">
        <f t="shared" si="43"/>
        <v>315</v>
      </c>
      <c r="R323" s="86">
        <f t="shared" si="44"/>
        <v>100</v>
      </c>
      <c r="S323" s="83">
        <f t="shared" si="45"/>
        <v>695</v>
      </c>
      <c r="T323" s="83">
        <f>'[2]GULFSTREAM NON-FIRM'!H334</f>
        <v>50</v>
      </c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</row>
    <row r="324" spans="1:30" ht="15.75" hidden="1" x14ac:dyDescent="0.25">
      <c r="A324" s="33">
        <v>50801</v>
      </c>
      <c r="B324" s="96">
        <v>31</v>
      </c>
      <c r="C324" s="83">
        <f>'[2]FGT PRIMARY FIRM ZONE 1'!V335</f>
        <v>122.58</v>
      </c>
      <c r="D324" s="83">
        <f>'[2]FGT PRIMARY FIRM ZONE 2'!V335</f>
        <v>297.94100000000003</v>
      </c>
      <c r="E324" s="92">
        <f>'[2]FGT PRIMARY FIRM ZONE 3'!V335</f>
        <v>89.177000000000007</v>
      </c>
      <c r="F324" s="83">
        <f>'[2]FGT FIRM ZONE 3 MOBILE BAY-DES'!V335-40-60-100</f>
        <v>40.301999999999992</v>
      </c>
      <c r="G324" s="86">
        <v>40</v>
      </c>
      <c r="H324" s="83">
        <f>60+100</f>
        <v>160</v>
      </c>
      <c r="I324" s="83">
        <f t="shared" si="49"/>
        <v>0</v>
      </c>
      <c r="J324" s="86">
        <v>100</v>
      </c>
      <c r="K324" s="86">
        <v>300</v>
      </c>
      <c r="L324" s="83">
        <f t="shared" si="42"/>
        <v>1150</v>
      </c>
      <c r="M324" s="94">
        <v>600</v>
      </c>
      <c r="N324" s="83">
        <f>'[2]FGT NON-FIRM'!P335</f>
        <v>100</v>
      </c>
      <c r="O324" s="86">
        <v>240</v>
      </c>
      <c r="P324" s="86">
        <v>40</v>
      </c>
      <c r="Q324" s="86">
        <f t="shared" si="43"/>
        <v>315</v>
      </c>
      <c r="R324" s="86">
        <f t="shared" si="44"/>
        <v>100</v>
      </c>
      <c r="S324" s="83">
        <f t="shared" si="45"/>
        <v>695</v>
      </c>
      <c r="T324" s="83">
        <f>'[2]GULFSTREAM NON-FIRM'!H335</f>
        <v>50</v>
      </c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</row>
    <row r="325" spans="1:30" ht="15.75" hidden="1" x14ac:dyDescent="0.25">
      <c r="A325" s="33">
        <v>50829</v>
      </c>
      <c r="B325" s="96">
        <v>28</v>
      </c>
      <c r="C325" s="83">
        <f>'[2]FGT PRIMARY FIRM ZONE 1'!V336</f>
        <v>122.58</v>
      </c>
      <c r="D325" s="83">
        <f>'[2]FGT PRIMARY FIRM ZONE 2'!V336</f>
        <v>297.94100000000003</v>
      </c>
      <c r="E325" s="92">
        <f>'[2]FGT PRIMARY FIRM ZONE 3'!V336</f>
        <v>89.177000000000007</v>
      </c>
      <c r="F325" s="83">
        <f>'[2]FGT FIRM ZONE 3 MOBILE BAY-DES'!V336-40-60-100</f>
        <v>40.301999999999992</v>
      </c>
      <c r="G325" s="86">
        <v>40</v>
      </c>
      <c r="H325" s="83">
        <f>60+100</f>
        <v>160</v>
      </c>
      <c r="I325" s="83">
        <f t="shared" si="49"/>
        <v>0</v>
      </c>
      <c r="J325" s="86">
        <v>100</v>
      </c>
      <c r="K325" s="86">
        <v>300</v>
      </c>
      <c r="L325" s="83">
        <f t="shared" si="42"/>
        <v>1150</v>
      </c>
      <c r="M325" s="94">
        <v>600</v>
      </c>
      <c r="N325" s="83">
        <f>'[2]FGT NON-FIRM'!P336</f>
        <v>100</v>
      </c>
      <c r="O325" s="86">
        <v>240</v>
      </c>
      <c r="P325" s="86">
        <v>40</v>
      </c>
      <c r="Q325" s="86">
        <f t="shared" si="43"/>
        <v>315</v>
      </c>
      <c r="R325" s="86">
        <f t="shared" si="44"/>
        <v>100</v>
      </c>
      <c r="S325" s="83">
        <f t="shared" si="45"/>
        <v>695</v>
      </c>
      <c r="T325" s="83">
        <f>'[2]GULFSTREAM NON-FIRM'!H336</f>
        <v>50</v>
      </c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</row>
    <row r="326" spans="1:30" ht="15.75" hidden="1" x14ac:dyDescent="0.25">
      <c r="A326" s="33">
        <v>50860</v>
      </c>
      <c r="B326" s="96">
        <v>31</v>
      </c>
      <c r="C326" s="83">
        <f>'[2]FGT PRIMARY FIRM ZONE 1'!V337</f>
        <v>122.58</v>
      </c>
      <c r="D326" s="83">
        <f>'[2]FGT PRIMARY FIRM ZONE 2'!V337</f>
        <v>297.94100000000003</v>
      </c>
      <c r="E326" s="92">
        <f>'[2]FGT PRIMARY FIRM ZONE 3'!V337</f>
        <v>89.177000000000007</v>
      </c>
      <c r="F326" s="83">
        <f>'[2]FGT FIRM ZONE 3 MOBILE BAY-DES'!V337-40-60-100</f>
        <v>40.301999999999992</v>
      </c>
      <c r="G326" s="86">
        <v>40</v>
      </c>
      <c r="H326" s="83">
        <f>60+100</f>
        <v>160</v>
      </c>
      <c r="I326" s="83">
        <f t="shared" si="49"/>
        <v>0</v>
      </c>
      <c r="J326" s="86">
        <v>100</v>
      </c>
      <c r="K326" s="86">
        <v>300</v>
      </c>
      <c r="L326" s="83">
        <f t="shared" si="42"/>
        <v>1150</v>
      </c>
      <c r="M326" s="94">
        <v>600</v>
      </c>
      <c r="N326" s="83">
        <f>'[2]FGT NON-FIRM'!P337</f>
        <v>100</v>
      </c>
      <c r="O326" s="86">
        <v>240</v>
      </c>
      <c r="P326" s="86">
        <v>40</v>
      </c>
      <c r="Q326" s="86">
        <f t="shared" si="43"/>
        <v>315</v>
      </c>
      <c r="R326" s="86">
        <f t="shared" si="44"/>
        <v>100</v>
      </c>
      <c r="S326" s="83">
        <f t="shared" si="45"/>
        <v>695</v>
      </c>
      <c r="T326" s="83">
        <f>'[2]GULFSTREAM NON-FIRM'!H337</f>
        <v>50</v>
      </c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</row>
    <row r="327" spans="1:30" ht="15.75" hidden="1" x14ac:dyDescent="0.25">
      <c r="A327" s="33">
        <v>50890</v>
      </c>
      <c r="B327" s="96">
        <v>30</v>
      </c>
      <c r="C327" s="83">
        <f>'[2]FGT PRIMARY FIRM ZONE 1'!V338</f>
        <v>141.29300000000001</v>
      </c>
      <c r="D327" s="83">
        <f>'[2]FGT PRIMARY FIRM ZONE 2'!V338</f>
        <v>267.99299999999999</v>
      </c>
      <c r="E327" s="92">
        <f>'[2]FGT PRIMARY FIRM ZONE 3'!V338</f>
        <v>115.01600000000001</v>
      </c>
      <c r="F327" s="83">
        <f>'[2]FGT FIRM ZONE 3 MOBILE BAY-DES'!V338-40-25-60-100</f>
        <v>89.698000000000036</v>
      </c>
      <c r="G327" s="86">
        <v>40</v>
      </c>
      <c r="H327" s="83">
        <f t="shared" ref="H327:H333" si="51">25+60+100</f>
        <v>185</v>
      </c>
      <c r="I327" s="83">
        <f t="shared" si="49"/>
        <v>0</v>
      </c>
      <c r="J327" s="86">
        <v>100</v>
      </c>
      <c r="K327" s="86">
        <v>300</v>
      </c>
      <c r="L327" s="83">
        <f t="shared" si="42"/>
        <v>1239</v>
      </c>
      <c r="M327" s="94">
        <v>600</v>
      </c>
      <c r="N327" s="83">
        <f>'[2]FGT NON-FIRM'!P338</f>
        <v>100</v>
      </c>
      <c r="O327" s="86">
        <v>240</v>
      </c>
      <c r="P327" s="86">
        <v>160</v>
      </c>
      <c r="Q327" s="86">
        <f t="shared" si="43"/>
        <v>195</v>
      </c>
      <c r="R327" s="86">
        <f t="shared" si="44"/>
        <v>100</v>
      </c>
      <c r="S327" s="83">
        <f t="shared" si="45"/>
        <v>695</v>
      </c>
      <c r="T327" s="83">
        <f>'[2]GULFSTREAM NON-FIRM'!H338</f>
        <v>50</v>
      </c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</row>
    <row r="328" spans="1:30" ht="15.75" hidden="1" x14ac:dyDescent="0.25">
      <c r="A328" s="33">
        <v>50921</v>
      </c>
      <c r="B328" s="96">
        <v>31</v>
      </c>
      <c r="C328" s="83">
        <f>'[2]FGT PRIMARY FIRM ZONE 1'!V339</f>
        <v>194.20499999999998</v>
      </c>
      <c r="D328" s="83">
        <f>'[2]FGT PRIMARY FIRM ZONE 2'!V339</f>
        <v>267.46600000000001</v>
      </c>
      <c r="E328" s="92">
        <f>'[2]FGT PRIMARY FIRM ZONE 3'!V339</f>
        <v>133.845</v>
      </c>
      <c r="F328" s="83">
        <f>'[2]FGT FIRM ZONE 3 MOBILE BAY-DES'!V339-40-25-60-100</f>
        <v>53.48399999999998</v>
      </c>
      <c r="G328" s="86">
        <v>40</v>
      </c>
      <c r="H328" s="83">
        <f t="shared" si="51"/>
        <v>185</v>
      </c>
      <c r="I328" s="83">
        <f t="shared" si="49"/>
        <v>0</v>
      </c>
      <c r="J328" s="86">
        <v>100</v>
      </c>
      <c r="K328" s="86">
        <v>300</v>
      </c>
      <c r="L328" s="83">
        <f t="shared" si="42"/>
        <v>1274</v>
      </c>
      <c r="M328" s="94">
        <v>600</v>
      </c>
      <c r="N328" s="83">
        <f>'[2]FGT NON-FIRM'!P339</f>
        <v>75</v>
      </c>
      <c r="O328" s="86">
        <v>240</v>
      </c>
      <c r="P328" s="86">
        <v>160</v>
      </c>
      <c r="Q328" s="86">
        <f t="shared" si="43"/>
        <v>195</v>
      </c>
      <c r="R328" s="86">
        <f t="shared" si="44"/>
        <v>100</v>
      </c>
      <c r="S328" s="83">
        <f t="shared" si="45"/>
        <v>695</v>
      </c>
      <c r="T328" s="83">
        <f>'[2]GULFSTREAM NON-FIRM'!H339</f>
        <v>50</v>
      </c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</row>
    <row r="329" spans="1:30" ht="15.75" hidden="1" x14ac:dyDescent="0.25">
      <c r="A329" s="33">
        <v>50951</v>
      </c>
      <c r="B329" s="96">
        <v>30</v>
      </c>
      <c r="C329" s="83">
        <f>'[2]FGT PRIMARY FIRM ZONE 1'!V340</f>
        <v>194.20499999999998</v>
      </c>
      <c r="D329" s="83">
        <f>'[2]FGT PRIMARY FIRM ZONE 2'!V340</f>
        <v>267.46600000000001</v>
      </c>
      <c r="E329" s="92">
        <f>'[2]FGT PRIMARY FIRM ZONE 3'!V340</f>
        <v>133.845</v>
      </c>
      <c r="F329" s="83">
        <f>'[2]FGT FIRM ZONE 3 MOBILE BAY-DES'!V340-40-25-60-100</f>
        <v>53.48399999999998</v>
      </c>
      <c r="G329" s="86">
        <v>40</v>
      </c>
      <c r="H329" s="83">
        <f t="shared" si="51"/>
        <v>185</v>
      </c>
      <c r="I329" s="83">
        <f t="shared" si="49"/>
        <v>0</v>
      </c>
      <c r="J329" s="86">
        <v>100</v>
      </c>
      <c r="K329" s="86">
        <v>300</v>
      </c>
      <c r="L329" s="83">
        <f t="shared" si="42"/>
        <v>1274</v>
      </c>
      <c r="M329" s="94">
        <v>600</v>
      </c>
      <c r="N329" s="83">
        <f>'[2]FGT NON-FIRM'!P340</f>
        <v>30</v>
      </c>
      <c r="O329" s="86">
        <v>240</v>
      </c>
      <c r="P329" s="86">
        <v>160</v>
      </c>
      <c r="Q329" s="86">
        <f t="shared" si="43"/>
        <v>195</v>
      </c>
      <c r="R329" s="86">
        <f t="shared" si="44"/>
        <v>100</v>
      </c>
      <c r="S329" s="83">
        <f t="shared" si="45"/>
        <v>695</v>
      </c>
      <c r="T329" s="83">
        <f>'[2]GULFSTREAM NON-FIRM'!H340</f>
        <v>50</v>
      </c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</row>
    <row r="330" spans="1:30" ht="15.75" hidden="1" x14ac:dyDescent="0.25">
      <c r="A330" s="33">
        <v>50982</v>
      </c>
      <c r="B330" s="96">
        <v>31</v>
      </c>
      <c r="C330" s="83">
        <f>'[2]FGT PRIMARY FIRM ZONE 1'!V341</f>
        <v>194.20499999999998</v>
      </c>
      <c r="D330" s="83">
        <f>'[2]FGT PRIMARY FIRM ZONE 2'!V341</f>
        <v>267.46600000000001</v>
      </c>
      <c r="E330" s="92">
        <f>'[2]FGT PRIMARY FIRM ZONE 3'!V341</f>
        <v>133.845</v>
      </c>
      <c r="F330" s="83">
        <f>'[2]FGT FIRM ZONE 3 MOBILE BAY-DES'!V341-40-25-60-100</f>
        <v>53.48399999999998</v>
      </c>
      <c r="G330" s="86">
        <v>40</v>
      </c>
      <c r="H330" s="83">
        <f t="shared" si="51"/>
        <v>185</v>
      </c>
      <c r="I330" s="83">
        <f t="shared" si="49"/>
        <v>0</v>
      </c>
      <c r="J330" s="86">
        <v>100</v>
      </c>
      <c r="K330" s="86">
        <v>300</v>
      </c>
      <c r="L330" s="83">
        <f t="shared" si="42"/>
        <v>1274</v>
      </c>
      <c r="M330" s="94">
        <v>600</v>
      </c>
      <c r="N330" s="83">
        <f>'[2]FGT NON-FIRM'!P341</f>
        <v>30</v>
      </c>
      <c r="O330" s="86">
        <v>240</v>
      </c>
      <c r="P330" s="86">
        <v>160</v>
      </c>
      <c r="Q330" s="86">
        <f t="shared" si="43"/>
        <v>195</v>
      </c>
      <c r="R330" s="86">
        <f t="shared" si="44"/>
        <v>100</v>
      </c>
      <c r="S330" s="83">
        <f t="shared" si="45"/>
        <v>695</v>
      </c>
      <c r="T330" s="83">
        <f>'[2]GULFSTREAM NON-FIRM'!H341</f>
        <v>0</v>
      </c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</row>
    <row r="331" spans="1:30" ht="15.75" hidden="1" x14ac:dyDescent="0.25">
      <c r="A331" s="33">
        <v>51013</v>
      </c>
      <c r="B331" s="96">
        <v>31</v>
      </c>
      <c r="C331" s="83">
        <f>'[2]FGT PRIMARY FIRM ZONE 1'!V342</f>
        <v>194.20499999999998</v>
      </c>
      <c r="D331" s="83">
        <f>'[2]FGT PRIMARY FIRM ZONE 2'!V342</f>
        <v>267.46600000000001</v>
      </c>
      <c r="E331" s="92">
        <f>'[2]FGT PRIMARY FIRM ZONE 3'!V342</f>
        <v>133.845</v>
      </c>
      <c r="F331" s="83">
        <f>'[2]FGT FIRM ZONE 3 MOBILE BAY-DES'!V342-40-25-60-100</f>
        <v>53.48399999999998</v>
      </c>
      <c r="G331" s="86">
        <v>40</v>
      </c>
      <c r="H331" s="83">
        <f t="shared" si="51"/>
        <v>185</v>
      </c>
      <c r="I331" s="83">
        <f t="shared" si="49"/>
        <v>0</v>
      </c>
      <c r="J331" s="86">
        <v>100</v>
      </c>
      <c r="K331" s="86">
        <v>300</v>
      </c>
      <c r="L331" s="83">
        <f t="shared" si="42"/>
        <v>1274</v>
      </c>
      <c r="M331" s="94">
        <v>600</v>
      </c>
      <c r="N331" s="83">
        <f>'[2]FGT NON-FIRM'!P342</f>
        <v>30</v>
      </c>
      <c r="O331" s="86">
        <v>240</v>
      </c>
      <c r="P331" s="86">
        <v>160</v>
      </c>
      <c r="Q331" s="86">
        <f t="shared" si="43"/>
        <v>195</v>
      </c>
      <c r="R331" s="86">
        <f t="shared" si="44"/>
        <v>100</v>
      </c>
      <c r="S331" s="83">
        <f t="shared" si="45"/>
        <v>695</v>
      </c>
      <c r="T331" s="83">
        <f>'[2]GULFSTREAM NON-FIRM'!H342</f>
        <v>0</v>
      </c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</row>
    <row r="332" spans="1:30" ht="15.75" hidden="1" x14ac:dyDescent="0.25">
      <c r="A332" s="33">
        <v>51043</v>
      </c>
      <c r="B332" s="96">
        <v>30</v>
      </c>
      <c r="C332" s="83">
        <f>'[2]FGT PRIMARY FIRM ZONE 1'!V343</f>
        <v>194.20499999999998</v>
      </c>
      <c r="D332" s="83">
        <f>'[2]FGT PRIMARY FIRM ZONE 2'!V343</f>
        <v>267.46600000000001</v>
      </c>
      <c r="E332" s="92">
        <f>'[2]FGT PRIMARY FIRM ZONE 3'!V343</f>
        <v>133.845</v>
      </c>
      <c r="F332" s="83">
        <f>'[2]FGT FIRM ZONE 3 MOBILE BAY-DES'!V343-40-25-60-100</f>
        <v>53.48399999999998</v>
      </c>
      <c r="G332" s="86">
        <v>40</v>
      </c>
      <c r="H332" s="83">
        <f t="shared" si="51"/>
        <v>185</v>
      </c>
      <c r="I332" s="83">
        <f t="shared" si="49"/>
        <v>0</v>
      </c>
      <c r="J332" s="86">
        <v>100</v>
      </c>
      <c r="K332" s="86">
        <v>300</v>
      </c>
      <c r="L332" s="83">
        <f t="shared" si="42"/>
        <v>1274</v>
      </c>
      <c r="M332" s="94">
        <v>600</v>
      </c>
      <c r="N332" s="83">
        <f>'[2]FGT NON-FIRM'!P343</f>
        <v>30</v>
      </c>
      <c r="O332" s="86">
        <v>240</v>
      </c>
      <c r="P332" s="86">
        <v>160</v>
      </c>
      <c r="Q332" s="86">
        <f t="shared" si="43"/>
        <v>195</v>
      </c>
      <c r="R332" s="86">
        <f t="shared" si="44"/>
        <v>100</v>
      </c>
      <c r="S332" s="83">
        <f t="shared" si="45"/>
        <v>695</v>
      </c>
      <c r="T332" s="83">
        <f>'[2]GULFSTREAM NON-FIRM'!H343</f>
        <v>0</v>
      </c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</row>
    <row r="333" spans="1:30" ht="15.75" hidden="1" x14ac:dyDescent="0.25">
      <c r="A333" s="33">
        <v>51074</v>
      </c>
      <c r="B333" s="96">
        <v>31</v>
      </c>
      <c r="C333" s="83">
        <f>'[2]FGT PRIMARY FIRM ZONE 1'!V344</f>
        <v>131.881</v>
      </c>
      <c r="D333" s="83">
        <f>'[2]FGT PRIMARY FIRM ZONE 2'!V344</f>
        <v>277.16699999999997</v>
      </c>
      <c r="E333" s="92">
        <f>'[2]FGT PRIMARY FIRM ZONE 3'!V344</f>
        <v>79.08</v>
      </c>
      <c r="F333" s="83">
        <f>'[2]FGT FIRM ZONE 3 MOBILE BAY-DES'!V344-40-25-60-100</f>
        <v>125.87199999999996</v>
      </c>
      <c r="G333" s="86">
        <v>40</v>
      </c>
      <c r="H333" s="83">
        <f t="shared" si="51"/>
        <v>185</v>
      </c>
      <c r="I333" s="83">
        <f t="shared" si="49"/>
        <v>0</v>
      </c>
      <c r="J333" s="86">
        <v>100</v>
      </c>
      <c r="K333" s="86">
        <v>300</v>
      </c>
      <c r="L333" s="83">
        <f t="shared" si="42"/>
        <v>1239</v>
      </c>
      <c r="M333" s="94">
        <v>600</v>
      </c>
      <c r="N333" s="83">
        <f>'[2]FGT NON-FIRM'!P344</f>
        <v>75</v>
      </c>
      <c r="O333" s="86">
        <v>240</v>
      </c>
      <c r="P333" s="86">
        <v>160</v>
      </c>
      <c r="Q333" s="86">
        <f t="shared" si="43"/>
        <v>195</v>
      </c>
      <c r="R333" s="86">
        <f t="shared" si="44"/>
        <v>100</v>
      </c>
      <c r="S333" s="83">
        <f t="shared" si="45"/>
        <v>695</v>
      </c>
      <c r="T333" s="83">
        <f>'[2]GULFSTREAM NON-FIRM'!H344</f>
        <v>0</v>
      </c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</row>
    <row r="334" spans="1:30" ht="15.75" hidden="1" x14ac:dyDescent="0.25">
      <c r="A334" s="33">
        <v>51104</v>
      </c>
      <c r="B334" s="96">
        <v>30</v>
      </c>
      <c r="C334" s="83">
        <f>'[2]FGT PRIMARY FIRM ZONE 1'!V345</f>
        <v>122.58</v>
      </c>
      <c r="D334" s="83">
        <f>'[2]FGT PRIMARY FIRM ZONE 2'!V345</f>
        <v>297.94100000000003</v>
      </c>
      <c r="E334" s="92">
        <f>'[2]FGT PRIMARY FIRM ZONE 3'!V345</f>
        <v>89.177000000000007</v>
      </c>
      <c r="F334" s="83">
        <f>'[2]FGT FIRM ZONE 3 MOBILE BAY-DES'!V345-40-60-100</f>
        <v>40.301999999999992</v>
      </c>
      <c r="G334" s="86">
        <v>40</v>
      </c>
      <c r="H334" s="83">
        <f>60+100</f>
        <v>160</v>
      </c>
      <c r="I334" s="83">
        <f t="shared" si="49"/>
        <v>0</v>
      </c>
      <c r="J334" s="86">
        <v>100</v>
      </c>
      <c r="K334" s="86">
        <v>300</v>
      </c>
      <c r="L334" s="83">
        <f t="shared" si="42"/>
        <v>1150</v>
      </c>
      <c r="M334" s="94">
        <v>600</v>
      </c>
      <c r="N334" s="83">
        <f>'[2]FGT NON-FIRM'!P345</f>
        <v>100</v>
      </c>
      <c r="O334" s="86">
        <v>240</v>
      </c>
      <c r="P334" s="86">
        <v>40</v>
      </c>
      <c r="Q334" s="86">
        <f t="shared" si="43"/>
        <v>315</v>
      </c>
      <c r="R334" s="86">
        <f t="shared" si="44"/>
        <v>100</v>
      </c>
      <c r="S334" s="83">
        <f t="shared" si="45"/>
        <v>695</v>
      </c>
      <c r="T334" s="83">
        <f>'[2]GULFSTREAM NON-FIRM'!H345</f>
        <v>50</v>
      </c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</row>
    <row r="335" spans="1:30" ht="15.75" hidden="1" x14ac:dyDescent="0.25">
      <c r="A335" s="33">
        <v>51135</v>
      </c>
      <c r="B335" s="96">
        <v>31</v>
      </c>
      <c r="C335" s="83">
        <f>'[2]FGT PRIMARY FIRM ZONE 1'!V346</f>
        <v>122.58</v>
      </c>
      <c r="D335" s="83">
        <f>'[2]FGT PRIMARY FIRM ZONE 2'!V346</f>
        <v>297.94100000000003</v>
      </c>
      <c r="E335" s="92">
        <f>'[2]FGT PRIMARY FIRM ZONE 3'!V346</f>
        <v>89.177000000000007</v>
      </c>
      <c r="F335" s="83">
        <f>'[2]FGT FIRM ZONE 3 MOBILE BAY-DES'!V346-40-60-100</f>
        <v>40.301999999999992</v>
      </c>
      <c r="G335" s="86">
        <v>40</v>
      </c>
      <c r="H335" s="83">
        <f>60+100</f>
        <v>160</v>
      </c>
      <c r="I335" s="83">
        <f t="shared" si="49"/>
        <v>0</v>
      </c>
      <c r="J335" s="86">
        <v>100</v>
      </c>
      <c r="K335" s="86">
        <v>300</v>
      </c>
      <c r="L335" s="83">
        <f t="shared" si="42"/>
        <v>1150</v>
      </c>
      <c r="M335" s="94">
        <v>600</v>
      </c>
      <c r="N335" s="83">
        <f>'[2]FGT NON-FIRM'!P346</f>
        <v>100</v>
      </c>
      <c r="O335" s="86">
        <v>240</v>
      </c>
      <c r="P335" s="86">
        <v>40</v>
      </c>
      <c r="Q335" s="86">
        <f t="shared" si="43"/>
        <v>315</v>
      </c>
      <c r="R335" s="86">
        <f t="shared" si="44"/>
        <v>100</v>
      </c>
      <c r="S335" s="83">
        <f t="shared" si="45"/>
        <v>695</v>
      </c>
      <c r="T335" s="83">
        <f>'[2]GULFSTREAM NON-FIRM'!H346</f>
        <v>50</v>
      </c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</row>
    <row r="336" spans="1:30" ht="15.75" hidden="1" x14ac:dyDescent="0.25">
      <c r="A336" s="33">
        <v>51166</v>
      </c>
      <c r="B336" s="96">
        <v>31</v>
      </c>
      <c r="C336" s="83">
        <f>'[2]FGT PRIMARY FIRM ZONE 1'!V347</f>
        <v>122.58</v>
      </c>
      <c r="D336" s="83">
        <f>'[2]FGT PRIMARY FIRM ZONE 2'!V347</f>
        <v>297.94100000000003</v>
      </c>
      <c r="E336" s="92">
        <f>'[2]FGT PRIMARY FIRM ZONE 3'!V347</f>
        <v>89.177000000000007</v>
      </c>
      <c r="F336" s="83">
        <f>'[2]FGT FIRM ZONE 3 MOBILE BAY-DES'!V347-40-60-100</f>
        <v>40.301999999999992</v>
      </c>
      <c r="G336" s="86">
        <v>40</v>
      </c>
      <c r="H336" s="83">
        <f>60+100</f>
        <v>160</v>
      </c>
      <c r="I336" s="83">
        <f t="shared" si="49"/>
        <v>0</v>
      </c>
      <c r="J336" s="86">
        <v>100</v>
      </c>
      <c r="K336" s="86">
        <v>300</v>
      </c>
      <c r="L336" s="83">
        <f t="shared" si="42"/>
        <v>1150</v>
      </c>
      <c r="M336" s="94">
        <v>600</v>
      </c>
      <c r="N336" s="83">
        <f>'[2]FGT NON-FIRM'!P347</f>
        <v>100</v>
      </c>
      <c r="O336" s="86">
        <v>240</v>
      </c>
      <c r="P336" s="86">
        <v>40</v>
      </c>
      <c r="Q336" s="86">
        <f t="shared" si="43"/>
        <v>315</v>
      </c>
      <c r="R336" s="86">
        <f t="shared" si="44"/>
        <v>100</v>
      </c>
      <c r="S336" s="83">
        <f t="shared" si="45"/>
        <v>695</v>
      </c>
      <c r="T336" s="83">
        <f>'[2]GULFSTREAM NON-FIRM'!H347</f>
        <v>50</v>
      </c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</row>
    <row r="337" spans="1:30" ht="15.75" hidden="1" x14ac:dyDescent="0.25">
      <c r="A337" s="33">
        <v>51194</v>
      </c>
      <c r="B337" s="96">
        <v>29</v>
      </c>
      <c r="C337" s="83">
        <f>'[2]FGT PRIMARY FIRM ZONE 1'!V348</f>
        <v>122.58</v>
      </c>
      <c r="D337" s="83">
        <f>'[2]FGT PRIMARY FIRM ZONE 2'!V348</f>
        <v>297.94100000000003</v>
      </c>
      <c r="E337" s="92">
        <f>'[2]FGT PRIMARY FIRM ZONE 3'!V348</f>
        <v>89.177000000000007</v>
      </c>
      <c r="F337" s="83">
        <f>'[2]FGT FIRM ZONE 3 MOBILE BAY-DES'!V348-40-60-100</f>
        <v>40.301999999999992</v>
      </c>
      <c r="G337" s="86">
        <v>40</v>
      </c>
      <c r="H337" s="83">
        <f>60+100</f>
        <v>160</v>
      </c>
      <c r="I337" s="83">
        <f t="shared" si="49"/>
        <v>0</v>
      </c>
      <c r="J337" s="86">
        <v>100</v>
      </c>
      <c r="K337" s="86">
        <v>300</v>
      </c>
      <c r="L337" s="83">
        <f t="shared" si="42"/>
        <v>1150</v>
      </c>
      <c r="M337" s="94">
        <v>600</v>
      </c>
      <c r="N337" s="83">
        <f>'[2]FGT NON-FIRM'!P348</f>
        <v>100</v>
      </c>
      <c r="O337" s="86">
        <v>240</v>
      </c>
      <c r="P337" s="86">
        <v>40</v>
      </c>
      <c r="Q337" s="86">
        <f t="shared" si="43"/>
        <v>315</v>
      </c>
      <c r="R337" s="86">
        <f t="shared" si="44"/>
        <v>100</v>
      </c>
      <c r="S337" s="83">
        <f t="shared" si="45"/>
        <v>695</v>
      </c>
      <c r="T337" s="83">
        <f>'[2]GULFSTREAM NON-FIRM'!H348</f>
        <v>50</v>
      </c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</row>
    <row r="338" spans="1:30" ht="15.75" hidden="1" x14ac:dyDescent="0.25">
      <c r="A338" s="33">
        <v>51226</v>
      </c>
      <c r="B338" s="96">
        <v>31</v>
      </c>
      <c r="C338" s="83">
        <f>'[2]FGT PRIMARY FIRM ZONE 1'!V349</f>
        <v>122.58</v>
      </c>
      <c r="D338" s="83">
        <f>'[2]FGT PRIMARY FIRM ZONE 2'!V349</f>
        <v>297.94100000000003</v>
      </c>
      <c r="E338" s="92">
        <f>'[2]FGT PRIMARY FIRM ZONE 3'!V349</f>
        <v>89.177000000000007</v>
      </c>
      <c r="F338" s="83">
        <f>'[2]FGT FIRM ZONE 3 MOBILE BAY-DES'!V349-40-60-100</f>
        <v>40.301999999999992</v>
      </c>
      <c r="G338" s="86">
        <v>40</v>
      </c>
      <c r="H338" s="83">
        <f>60+100</f>
        <v>160</v>
      </c>
      <c r="I338" s="83">
        <f t="shared" si="49"/>
        <v>0</v>
      </c>
      <c r="J338" s="86">
        <v>100</v>
      </c>
      <c r="K338" s="86">
        <v>300</v>
      </c>
      <c r="L338" s="83">
        <f t="shared" si="42"/>
        <v>1150</v>
      </c>
      <c r="M338" s="94">
        <v>600</v>
      </c>
      <c r="N338" s="83">
        <f>'[2]FGT NON-FIRM'!P349</f>
        <v>100</v>
      </c>
      <c r="O338" s="86">
        <v>240</v>
      </c>
      <c r="P338" s="86">
        <v>40</v>
      </c>
      <c r="Q338" s="86">
        <f t="shared" si="43"/>
        <v>315</v>
      </c>
      <c r="R338" s="86">
        <f t="shared" si="44"/>
        <v>100</v>
      </c>
      <c r="S338" s="83">
        <f t="shared" si="45"/>
        <v>695</v>
      </c>
      <c r="T338" s="83">
        <f>'[2]GULFSTREAM NON-FIRM'!H349</f>
        <v>50</v>
      </c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</row>
    <row r="339" spans="1:30" ht="15.75" hidden="1" x14ac:dyDescent="0.25">
      <c r="A339" s="33">
        <v>51256</v>
      </c>
      <c r="B339" s="96">
        <v>30</v>
      </c>
      <c r="C339" s="83">
        <f>'[2]FGT PRIMARY FIRM ZONE 1'!V350</f>
        <v>141.29300000000001</v>
      </c>
      <c r="D339" s="83">
        <f>'[2]FGT PRIMARY FIRM ZONE 2'!V350</f>
        <v>267.99299999999999</v>
      </c>
      <c r="E339" s="92">
        <f>'[2]FGT PRIMARY FIRM ZONE 3'!V350</f>
        <v>115.01600000000001</v>
      </c>
      <c r="F339" s="83">
        <f>'[2]FGT FIRM ZONE 3 MOBILE BAY-DES'!V350-40-25-60-100</f>
        <v>89.698000000000036</v>
      </c>
      <c r="G339" s="86">
        <v>40</v>
      </c>
      <c r="H339" s="83">
        <f t="shared" ref="H339:H345" si="52">25+60+100</f>
        <v>185</v>
      </c>
      <c r="I339" s="83">
        <f t="shared" si="49"/>
        <v>0</v>
      </c>
      <c r="J339" s="86">
        <v>100</v>
      </c>
      <c r="K339" s="86">
        <v>300</v>
      </c>
      <c r="L339" s="83">
        <f t="shared" si="42"/>
        <v>1239</v>
      </c>
      <c r="M339" s="94">
        <v>600</v>
      </c>
      <c r="N339" s="83">
        <f>'[2]FGT NON-FIRM'!P350</f>
        <v>100</v>
      </c>
      <c r="O339" s="86">
        <v>240</v>
      </c>
      <c r="P339" s="86">
        <v>160</v>
      </c>
      <c r="Q339" s="86">
        <f t="shared" si="43"/>
        <v>195</v>
      </c>
      <c r="R339" s="86">
        <f t="shared" si="44"/>
        <v>100</v>
      </c>
      <c r="S339" s="83">
        <f t="shared" si="45"/>
        <v>695</v>
      </c>
      <c r="T339" s="83">
        <f>'[2]GULFSTREAM NON-FIRM'!H350</f>
        <v>50</v>
      </c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</row>
    <row r="340" spans="1:30" ht="15.75" hidden="1" x14ac:dyDescent="0.25">
      <c r="A340" s="33">
        <v>51287</v>
      </c>
      <c r="B340" s="96">
        <v>31</v>
      </c>
      <c r="C340" s="83">
        <f>'[2]FGT PRIMARY FIRM ZONE 1'!V351</f>
        <v>194.20499999999998</v>
      </c>
      <c r="D340" s="83">
        <f>'[2]FGT PRIMARY FIRM ZONE 2'!V351</f>
        <v>267.46600000000001</v>
      </c>
      <c r="E340" s="92">
        <f>'[2]FGT PRIMARY FIRM ZONE 3'!V351</f>
        <v>133.845</v>
      </c>
      <c r="F340" s="83">
        <f>'[2]FGT FIRM ZONE 3 MOBILE BAY-DES'!V351-40-25-60-100</f>
        <v>53.48399999999998</v>
      </c>
      <c r="G340" s="86">
        <v>40</v>
      </c>
      <c r="H340" s="83">
        <f t="shared" si="52"/>
        <v>185</v>
      </c>
      <c r="I340" s="83">
        <f t="shared" si="49"/>
        <v>0</v>
      </c>
      <c r="J340" s="86">
        <v>100</v>
      </c>
      <c r="K340" s="86">
        <v>300</v>
      </c>
      <c r="L340" s="83">
        <f t="shared" ref="L340:L403" si="53">SUM(C340:K340)</f>
        <v>1274</v>
      </c>
      <c r="M340" s="94">
        <v>600</v>
      </c>
      <c r="N340" s="83">
        <f>'[2]FGT NON-FIRM'!P351</f>
        <v>75</v>
      </c>
      <c r="O340" s="86">
        <v>240</v>
      </c>
      <c r="P340" s="86">
        <v>160</v>
      </c>
      <c r="Q340" s="86">
        <f t="shared" ref="Q340:Q403" si="54">695-R340-O340-P340</f>
        <v>195</v>
      </c>
      <c r="R340" s="86">
        <f t="shared" ref="R340:R403" si="55">200-J340</f>
        <v>100</v>
      </c>
      <c r="S340" s="83">
        <f t="shared" ref="S340:S403" si="56">SUM(O340:R340)</f>
        <v>695</v>
      </c>
      <c r="T340" s="83">
        <f>'[2]GULFSTREAM NON-FIRM'!H351</f>
        <v>50</v>
      </c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</row>
    <row r="341" spans="1:30" ht="15.75" hidden="1" x14ac:dyDescent="0.25">
      <c r="A341" s="33">
        <v>51317</v>
      </c>
      <c r="B341" s="96">
        <v>30</v>
      </c>
      <c r="C341" s="83">
        <f>'[2]FGT PRIMARY FIRM ZONE 1'!V352</f>
        <v>194.20499999999998</v>
      </c>
      <c r="D341" s="83">
        <f>'[2]FGT PRIMARY FIRM ZONE 2'!V352</f>
        <v>267.46600000000001</v>
      </c>
      <c r="E341" s="92">
        <f>'[2]FGT PRIMARY FIRM ZONE 3'!V352</f>
        <v>133.845</v>
      </c>
      <c r="F341" s="83">
        <f>'[2]FGT FIRM ZONE 3 MOBILE BAY-DES'!V352-40-25-60-100</f>
        <v>53.48399999999998</v>
      </c>
      <c r="G341" s="86">
        <v>40</v>
      </c>
      <c r="H341" s="83">
        <f t="shared" si="52"/>
        <v>185</v>
      </c>
      <c r="I341" s="83">
        <f t="shared" si="49"/>
        <v>0</v>
      </c>
      <c r="J341" s="86">
        <v>100</v>
      </c>
      <c r="K341" s="86">
        <v>300</v>
      </c>
      <c r="L341" s="83">
        <f t="shared" si="53"/>
        <v>1274</v>
      </c>
      <c r="M341" s="94">
        <v>600</v>
      </c>
      <c r="N341" s="83">
        <f>'[2]FGT NON-FIRM'!P352</f>
        <v>30</v>
      </c>
      <c r="O341" s="86">
        <v>240</v>
      </c>
      <c r="P341" s="86">
        <v>160</v>
      </c>
      <c r="Q341" s="86">
        <f t="shared" si="54"/>
        <v>195</v>
      </c>
      <c r="R341" s="86">
        <f t="shared" si="55"/>
        <v>100</v>
      </c>
      <c r="S341" s="83">
        <f t="shared" si="56"/>
        <v>695</v>
      </c>
      <c r="T341" s="83">
        <f>'[2]GULFSTREAM NON-FIRM'!H352</f>
        <v>50</v>
      </c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</row>
    <row r="342" spans="1:30" ht="15.75" hidden="1" x14ac:dyDescent="0.25">
      <c r="A342" s="33">
        <v>51348</v>
      </c>
      <c r="B342" s="96">
        <v>31</v>
      </c>
      <c r="C342" s="83">
        <f>'[2]FGT PRIMARY FIRM ZONE 1'!V353</f>
        <v>194.20499999999998</v>
      </c>
      <c r="D342" s="83">
        <f>'[2]FGT PRIMARY FIRM ZONE 2'!V353</f>
        <v>267.46600000000001</v>
      </c>
      <c r="E342" s="92">
        <f>'[2]FGT PRIMARY FIRM ZONE 3'!V353</f>
        <v>133.845</v>
      </c>
      <c r="F342" s="83">
        <f>'[2]FGT FIRM ZONE 3 MOBILE BAY-DES'!V353-40-25-60-100</f>
        <v>53.48399999999998</v>
      </c>
      <c r="G342" s="86">
        <v>40</v>
      </c>
      <c r="H342" s="83">
        <f t="shared" si="52"/>
        <v>185</v>
      </c>
      <c r="I342" s="83">
        <f t="shared" si="49"/>
        <v>0</v>
      </c>
      <c r="J342" s="86">
        <v>100</v>
      </c>
      <c r="K342" s="86">
        <v>300</v>
      </c>
      <c r="L342" s="83">
        <f t="shared" si="53"/>
        <v>1274</v>
      </c>
      <c r="M342" s="94">
        <v>600</v>
      </c>
      <c r="N342" s="83">
        <f>'[2]FGT NON-FIRM'!P353</f>
        <v>30</v>
      </c>
      <c r="O342" s="86">
        <v>240</v>
      </c>
      <c r="P342" s="86">
        <v>160</v>
      </c>
      <c r="Q342" s="86">
        <f t="shared" si="54"/>
        <v>195</v>
      </c>
      <c r="R342" s="86">
        <f t="shared" si="55"/>
        <v>100</v>
      </c>
      <c r="S342" s="83">
        <f t="shared" si="56"/>
        <v>695</v>
      </c>
      <c r="T342" s="83">
        <f>'[2]GULFSTREAM NON-FIRM'!H353</f>
        <v>0</v>
      </c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</row>
    <row r="343" spans="1:30" ht="15.75" hidden="1" x14ac:dyDescent="0.25">
      <c r="A343" s="33">
        <v>51379</v>
      </c>
      <c r="B343" s="96">
        <v>31</v>
      </c>
      <c r="C343" s="83">
        <f>'[2]FGT PRIMARY FIRM ZONE 1'!V354</f>
        <v>194.20499999999998</v>
      </c>
      <c r="D343" s="83">
        <f>'[2]FGT PRIMARY FIRM ZONE 2'!V354</f>
        <v>267.46600000000001</v>
      </c>
      <c r="E343" s="92">
        <f>'[2]FGT PRIMARY FIRM ZONE 3'!V354</f>
        <v>133.845</v>
      </c>
      <c r="F343" s="83">
        <f>'[2]FGT FIRM ZONE 3 MOBILE BAY-DES'!V354-40-25-60-100</f>
        <v>53.48399999999998</v>
      </c>
      <c r="G343" s="86">
        <v>40</v>
      </c>
      <c r="H343" s="83">
        <f t="shared" si="52"/>
        <v>185</v>
      </c>
      <c r="I343" s="83">
        <f t="shared" si="49"/>
        <v>0</v>
      </c>
      <c r="J343" s="86">
        <v>100</v>
      </c>
      <c r="K343" s="86">
        <v>300</v>
      </c>
      <c r="L343" s="83">
        <f t="shared" si="53"/>
        <v>1274</v>
      </c>
      <c r="M343" s="94">
        <v>600</v>
      </c>
      <c r="N343" s="83">
        <f>'[2]FGT NON-FIRM'!P354</f>
        <v>30</v>
      </c>
      <c r="O343" s="86">
        <v>240</v>
      </c>
      <c r="P343" s="86">
        <v>160</v>
      </c>
      <c r="Q343" s="86">
        <f t="shared" si="54"/>
        <v>195</v>
      </c>
      <c r="R343" s="86">
        <f t="shared" si="55"/>
        <v>100</v>
      </c>
      <c r="S343" s="83">
        <f t="shared" si="56"/>
        <v>695</v>
      </c>
      <c r="T343" s="83">
        <f>'[2]GULFSTREAM NON-FIRM'!H354</f>
        <v>0</v>
      </c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</row>
    <row r="344" spans="1:30" ht="15.75" hidden="1" x14ac:dyDescent="0.25">
      <c r="A344" s="33">
        <v>51409</v>
      </c>
      <c r="B344" s="96">
        <v>30</v>
      </c>
      <c r="C344" s="83">
        <f>'[2]FGT PRIMARY FIRM ZONE 1'!V355</f>
        <v>194.20499999999998</v>
      </c>
      <c r="D344" s="83">
        <f>'[2]FGT PRIMARY FIRM ZONE 2'!V355</f>
        <v>267.46600000000001</v>
      </c>
      <c r="E344" s="92">
        <f>'[2]FGT PRIMARY FIRM ZONE 3'!V355</f>
        <v>133.845</v>
      </c>
      <c r="F344" s="83">
        <f>'[2]FGT FIRM ZONE 3 MOBILE BAY-DES'!V355-40-25-60-100</f>
        <v>53.48399999999998</v>
      </c>
      <c r="G344" s="86">
        <v>40</v>
      </c>
      <c r="H344" s="83">
        <f t="shared" si="52"/>
        <v>185</v>
      </c>
      <c r="I344" s="83">
        <f t="shared" si="49"/>
        <v>0</v>
      </c>
      <c r="J344" s="86">
        <v>100</v>
      </c>
      <c r="K344" s="86">
        <v>300</v>
      </c>
      <c r="L344" s="83">
        <f t="shared" si="53"/>
        <v>1274</v>
      </c>
      <c r="M344" s="94">
        <v>600</v>
      </c>
      <c r="N344" s="83">
        <f>'[2]FGT NON-FIRM'!P355</f>
        <v>30</v>
      </c>
      <c r="O344" s="86">
        <v>240</v>
      </c>
      <c r="P344" s="86">
        <v>160</v>
      </c>
      <c r="Q344" s="86">
        <f t="shared" si="54"/>
        <v>195</v>
      </c>
      <c r="R344" s="86">
        <f t="shared" si="55"/>
        <v>100</v>
      </c>
      <c r="S344" s="83">
        <f t="shared" si="56"/>
        <v>695</v>
      </c>
      <c r="T344" s="83">
        <f>'[2]GULFSTREAM NON-FIRM'!H355</f>
        <v>0</v>
      </c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</row>
    <row r="345" spans="1:30" ht="15.75" hidden="1" x14ac:dyDescent="0.25">
      <c r="A345" s="33">
        <v>51440</v>
      </c>
      <c r="B345" s="96">
        <v>31</v>
      </c>
      <c r="C345" s="83">
        <f>'[2]FGT PRIMARY FIRM ZONE 1'!V356</f>
        <v>131.881</v>
      </c>
      <c r="D345" s="83">
        <f>'[2]FGT PRIMARY FIRM ZONE 2'!V356</f>
        <v>277.16699999999997</v>
      </c>
      <c r="E345" s="92">
        <f>'[2]FGT PRIMARY FIRM ZONE 3'!V356</f>
        <v>79.08</v>
      </c>
      <c r="F345" s="83">
        <f>'[2]FGT FIRM ZONE 3 MOBILE BAY-DES'!V356-40-25-60-100</f>
        <v>125.87199999999996</v>
      </c>
      <c r="G345" s="86">
        <v>40</v>
      </c>
      <c r="H345" s="83">
        <f t="shared" si="52"/>
        <v>185</v>
      </c>
      <c r="I345" s="83">
        <f t="shared" si="49"/>
        <v>0</v>
      </c>
      <c r="J345" s="86">
        <v>100</v>
      </c>
      <c r="K345" s="86">
        <v>300</v>
      </c>
      <c r="L345" s="83">
        <f t="shared" si="53"/>
        <v>1239</v>
      </c>
      <c r="M345" s="94">
        <v>600</v>
      </c>
      <c r="N345" s="83">
        <f>'[2]FGT NON-FIRM'!P356</f>
        <v>75</v>
      </c>
      <c r="O345" s="86">
        <v>240</v>
      </c>
      <c r="P345" s="86">
        <v>160</v>
      </c>
      <c r="Q345" s="86">
        <f t="shared" si="54"/>
        <v>195</v>
      </c>
      <c r="R345" s="86">
        <f t="shared" si="55"/>
        <v>100</v>
      </c>
      <c r="S345" s="83">
        <f t="shared" si="56"/>
        <v>695</v>
      </c>
      <c r="T345" s="83">
        <f>'[2]GULFSTREAM NON-FIRM'!H356</f>
        <v>0</v>
      </c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</row>
    <row r="346" spans="1:30" ht="15.75" hidden="1" x14ac:dyDescent="0.25">
      <c r="A346" s="33">
        <v>51470</v>
      </c>
      <c r="B346" s="96">
        <v>30</v>
      </c>
      <c r="C346" s="83">
        <f>'[2]FGT PRIMARY FIRM ZONE 1'!V357</f>
        <v>122.58</v>
      </c>
      <c r="D346" s="83">
        <f>'[2]FGT PRIMARY FIRM ZONE 2'!V357</f>
        <v>297.94100000000003</v>
      </c>
      <c r="E346" s="92">
        <f>'[2]FGT PRIMARY FIRM ZONE 3'!V357</f>
        <v>89.177000000000007</v>
      </c>
      <c r="F346" s="83">
        <f>'[2]FGT FIRM ZONE 3 MOBILE BAY-DES'!V357-40-60-100</f>
        <v>40.301999999999992</v>
      </c>
      <c r="G346" s="86">
        <v>40</v>
      </c>
      <c r="H346" s="83">
        <f>60+100</f>
        <v>160</v>
      </c>
      <c r="I346" s="83">
        <f t="shared" si="49"/>
        <v>0</v>
      </c>
      <c r="J346" s="86">
        <v>100</v>
      </c>
      <c r="K346" s="86">
        <v>300</v>
      </c>
      <c r="L346" s="83">
        <f t="shared" si="53"/>
        <v>1150</v>
      </c>
      <c r="M346" s="94">
        <v>600</v>
      </c>
      <c r="N346" s="83">
        <f>'[2]FGT NON-FIRM'!P357</f>
        <v>100</v>
      </c>
      <c r="O346" s="86">
        <v>240</v>
      </c>
      <c r="P346" s="86">
        <v>40</v>
      </c>
      <c r="Q346" s="86">
        <f t="shared" si="54"/>
        <v>315</v>
      </c>
      <c r="R346" s="86">
        <f t="shared" si="55"/>
        <v>100</v>
      </c>
      <c r="S346" s="83">
        <f t="shared" si="56"/>
        <v>695</v>
      </c>
      <c r="T346" s="83">
        <f>'[2]GULFSTREAM NON-FIRM'!H357</f>
        <v>50</v>
      </c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</row>
    <row r="347" spans="1:30" ht="15.75" hidden="1" x14ac:dyDescent="0.25">
      <c r="A347" s="33">
        <v>51501</v>
      </c>
      <c r="B347" s="96">
        <v>31</v>
      </c>
      <c r="C347" s="83">
        <f>'[2]FGT PRIMARY FIRM ZONE 1'!V358</f>
        <v>122.58</v>
      </c>
      <c r="D347" s="83">
        <f>'[2]FGT PRIMARY FIRM ZONE 2'!V358</f>
        <v>297.94100000000003</v>
      </c>
      <c r="E347" s="92">
        <f>'[2]FGT PRIMARY FIRM ZONE 3'!V358</f>
        <v>89.177000000000007</v>
      </c>
      <c r="F347" s="83">
        <f>'[2]FGT FIRM ZONE 3 MOBILE BAY-DES'!V358-40-60-100</f>
        <v>40.301999999999992</v>
      </c>
      <c r="G347" s="86">
        <v>40</v>
      </c>
      <c r="H347" s="83">
        <f>60+100</f>
        <v>160</v>
      </c>
      <c r="I347" s="83">
        <f t="shared" si="49"/>
        <v>0</v>
      </c>
      <c r="J347" s="86">
        <v>100</v>
      </c>
      <c r="K347" s="86">
        <v>300</v>
      </c>
      <c r="L347" s="83">
        <f t="shared" si="53"/>
        <v>1150</v>
      </c>
      <c r="M347" s="94">
        <v>600</v>
      </c>
      <c r="N347" s="83">
        <f>'[2]FGT NON-FIRM'!P358</f>
        <v>100</v>
      </c>
      <c r="O347" s="86">
        <v>240</v>
      </c>
      <c r="P347" s="86">
        <v>40</v>
      </c>
      <c r="Q347" s="86">
        <f t="shared" si="54"/>
        <v>315</v>
      </c>
      <c r="R347" s="86">
        <f t="shared" si="55"/>
        <v>100</v>
      </c>
      <c r="S347" s="83">
        <f t="shared" si="56"/>
        <v>695</v>
      </c>
      <c r="T347" s="83">
        <f>'[2]GULFSTREAM NON-FIRM'!H358</f>
        <v>50</v>
      </c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</row>
    <row r="348" spans="1:30" ht="15.75" hidden="1" x14ac:dyDescent="0.25">
      <c r="A348" s="33">
        <v>51532</v>
      </c>
      <c r="B348" s="96">
        <v>31</v>
      </c>
      <c r="C348" s="83">
        <f>'[2]FGT PRIMARY FIRM ZONE 1'!V359</f>
        <v>122.58</v>
      </c>
      <c r="D348" s="83">
        <f>'[2]FGT PRIMARY FIRM ZONE 2'!V359</f>
        <v>297.94100000000003</v>
      </c>
      <c r="E348" s="92">
        <f>'[2]FGT PRIMARY FIRM ZONE 3'!V359</f>
        <v>89.177000000000007</v>
      </c>
      <c r="F348" s="83">
        <f>'[2]FGT FIRM ZONE 3 MOBILE BAY-DES'!V359-40-60-100</f>
        <v>40.301999999999992</v>
      </c>
      <c r="G348" s="86">
        <v>40</v>
      </c>
      <c r="H348" s="83">
        <f>60+100</f>
        <v>160</v>
      </c>
      <c r="I348" s="83">
        <f t="shared" si="49"/>
        <v>0</v>
      </c>
      <c r="J348" s="86">
        <v>100</v>
      </c>
      <c r="K348" s="86">
        <v>300</v>
      </c>
      <c r="L348" s="83">
        <f t="shared" si="53"/>
        <v>1150</v>
      </c>
      <c r="M348" s="94">
        <v>600</v>
      </c>
      <c r="N348" s="83">
        <f>'[2]FGT NON-FIRM'!P359</f>
        <v>100</v>
      </c>
      <c r="O348" s="86">
        <v>240</v>
      </c>
      <c r="P348" s="86">
        <v>40</v>
      </c>
      <c r="Q348" s="86">
        <f t="shared" si="54"/>
        <v>315</v>
      </c>
      <c r="R348" s="86">
        <f t="shared" si="55"/>
        <v>100</v>
      </c>
      <c r="S348" s="83">
        <f t="shared" si="56"/>
        <v>695</v>
      </c>
      <c r="T348" s="83">
        <f>'[2]GULFSTREAM NON-FIRM'!H359</f>
        <v>50</v>
      </c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</row>
    <row r="349" spans="1:30" ht="15.75" hidden="1" x14ac:dyDescent="0.25">
      <c r="A349" s="33">
        <v>51560</v>
      </c>
      <c r="B349" s="96">
        <v>28</v>
      </c>
      <c r="C349" s="83">
        <f>'[2]FGT PRIMARY FIRM ZONE 1'!V360</f>
        <v>122.58</v>
      </c>
      <c r="D349" s="83">
        <f>'[2]FGT PRIMARY FIRM ZONE 2'!V360</f>
        <v>297.94100000000003</v>
      </c>
      <c r="E349" s="92">
        <f>'[2]FGT PRIMARY FIRM ZONE 3'!V360</f>
        <v>89.177000000000007</v>
      </c>
      <c r="F349" s="83">
        <f>'[2]FGT FIRM ZONE 3 MOBILE BAY-DES'!V360-40-60-100</f>
        <v>40.301999999999992</v>
      </c>
      <c r="G349" s="86">
        <v>40</v>
      </c>
      <c r="H349" s="83">
        <f>60+100</f>
        <v>160</v>
      </c>
      <c r="I349" s="83">
        <f t="shared" si="49"/>
        <v>0</v>
      </c>
      <c r="J349" s="86">
        <v>100</v>
      </c>
      <c r="K349" s="86">
        <v>300</v>
      </c>
      <c r="L349" s="83">
        <f t="shared" si="53"/>
        <v>1150</v>
      </c>
      <c r="M349" s="94">
        <v>600</v>
      </c>
      <c r="N349" s="83">
        <f>'[2]FGT NON-FIRM'!P360</f>
        <v>100</v>
      </c>
      <c r="O349" s="86">
        <v>240</v>
      </c>
      <c r="P349" s="86">
        <v>40</v>
      </c>
      <c r="Q349" s="86">
        <f t="shared" si="54"/>
        <v>315</v>
      </c>
      <c r="R349" s="86">
        <f t="shared" si="55"/>
        <v>100</v>
      </c>
      <c r="S349" s="83">
        <f t="shared" si="56"/>
        <v>695</v>
      </c>
      <c r="T349" s="83">
        <f>'[2]GULFSTREAM NON-FIRM'!H360</f>
        <v>50</v>
      </c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</row>
    <row r="350" spans="1:30" ht="15.75" hidden="1" x14ac:dyDescent="0.25">
      <c r="A350" s="33">
        <v>51591</v>
      </c>
      <c r="B350" s="96">
        <v>31</v>
      </c>
      <c r="C350" s="83">
        <f>'[2]FGT PRIMARY FIRM ZONE 1'!V361</f>
        <v>122.58</v>
      </c>
      <c r="D350" s="83">
        <f>'[2]FGT PRIMARY FIRM ZONE 2'!V361</f>
        <v>297.94100000000003</v>
      </c>
      <c r="E350" s="92">
        <f>'[2]FGT PRIMARY FIRM ZONE 3'!V361</f>
        <v>89.177000000000007</v>
      </c>
      <c r="F350" s="83">
        <f>'[2]FGT FIRM ZONE 3 MOBILE BAY-DES'!V361-40-60-100</f>
        <v>40.301999999999992</v>
      </c>
      <c r="G350" s="86">
        <v>40</v>
      </c>
      <c r="H350" s="83">
        <f>60+100</f>
        <v>160</v>
      </c>
      <c r="I350" s="83">
        <f t="shared" si="49"/>
        <v>0</v>
      </c>
      <c r="J350" s="86">
        <v>100</v>
      </c>
      <c r="K350" s="86">
        <v>300</v>
      </c>
      <c r="L350" s="83">
        <f t="shared" si="53"/>
        <v>1150</v>
      </c>
      <c r="M350" s="94">
        <v>600</v>
      </c>
      <c r="N350" s="83">
        <f>'[2]FGT NON-FIRM'!P361</f>
        <v>100</v>
      </c>
      <c r="O350" s="86">
        <v>240</v>
      </c>
      <c r="P350" s="86">
        <v>40</v>
      </c>
      <c r="Q350" s="86">
        <f t="shared" si="54"/>
        <v>315</v>
      </c>
      <c r="R350" s="86">
        <f t="shared" si="55"/>
        <v>100</v>
      </c>
      <c r="S350" s="83">
        <f t="shared" si="56"/>
        <v>695</v>
      </c>
      <c r="T350" s="83">
        <f>'[2]GULFSTREAM NON-FIRM'!H361</f>
        <v>50</v>
      </c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</row>
    <row r="351" spans="1:30" ht="15.75" hidden="1" x14ac:dyDescent="0.25">
      <c r="A351" s="33">
        <v>51621</v>
      </c>
      <c r="B351" s="96">
        <v>30</v>
      </c>
      <c r="C351" s="83">
        <f>'[2]FGT PRIMARY FIRM ZONE 1'!V362</f>
        <v>141.29300000000001</v>
      </c>
      <c r="D351" s="83">
        <f>'[2]FGT PRIMARY FIRM ZONE 2'!V362</f>
        <v>267.99299999999999</v>
      </c>
      <c r="E351" s="92">
        <f>'[2]FGT PRIMARY FIRM ZONE 3'!V362</f>
        <v>115.01600000000001</v>
      </c>
      <c r="F351" s="83">
        <f>'[2]FGT FIRM ZONE 3 MOBILE BAY-DES'!V362-40-25-60-100</f>
        <v>89.698000000000036</v>
      </c>
      <c r="G351" s="86">
        <v>40</v>
      </c>
      <c r="H351" s="83">
        <f t="shared" ref="H351:H357" si="57">25+60+100</f>
        <v>185</v>
      </c>
      <c r="I351" s="83">
        <f t="shared" si="49"/>
        <v>0</v>
      </c>
      <c r="J351" s="86">
        <v>100</v>
      </c>
      <c r="K351" s="86">
        <v>300</v>
      </c>
      <c r="L351" s="83">
        <f t="shared" si="53"/>
        <v>1239</v>
      </c>
      <c r="M351" s="94">
        <v>600</v>
      </c>
      <c r="N351" s="83">
        <f>'[2]FGT NON-FIRM'!P362</f>
        <v>100</v>
      </c>
      <c r="O351" s="86">
        <v>240</v>
      </c>
      <c r="P351" s="86">
        <v>160</v>
      </c>
      <c r="Q351" s="86">
        <f t="shared" si="54"/>
        <v>195</v>
      </c>
      <c r="R351" s="86">
        <f t="shared" si="55"/>
        <v>100</v>
      </c>
      <c r="S351" s="83">
        <f t="shared" si="56"/>
        <v>695</v>
      </c>
      <c r="T351" s="83">
        <f>'[2]GULFSTREAM NON-FIRM'!H362</f>
        <v>50</v>
      </c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</row>
    <row r="352" spans="1:30" ht="15.75" hidden="1" x14ac:dyDescent="0.25">
      <c r="A352" s="33">
        <v>51652</v>
      </c>
      <c r="B352" s="96">
        <v>31</v>
      </c>
      <c r="C352" s="83">
        <f>'[2]FGT PRIMARY FIRM ZONE 1'!V363</f>
        <v>194.20499999999998</v>
      </c>
      <c r="D352" s="83">
        <f>'[2]FGT PRIMARY FIRM ZONE 2'!V363</f>
        <v>267.46600000000001</v>
      </c>
      <c r="E352" s="92">
        <f>'[2]FGT PRIMARY FIRM ZONE 3'!V363</f>
        <v>133.845</v>
      </c>
      <c r="F352" s="83">
        <f>'[2]FGT FIRM ZONE 3 MOBILE BAY-DES'!V363-40-25-60-100</f>
        <v>53.48399999999998</v>
      </c>
      <c r="G352" s="86">
        <v>40</v>
      </c>
      <c r="H352" s="83">
        <f t="shared" si="57"/>
        <v>185</v>
      </c>
      <c r="I352" s="83">
        <f t="shared" si="49"/>
        <v>0</v>
      </c>
      <c r="J352" s="86">
        <v>100</v>
      </c>
      <c r="K352" s="86">
        <v>300</v>
      </c>
      <c r="L352" s="83">
        <f t="shared" si="53"/>
        <v>1274</v>
      </c>
      <c r="M352" s="94">
        <v>600</v>
      </c>
      <c r="N352" s="83">
        <f>'[2]FGT NON-FIRM'!P363</f>
        <v>75</v>
      </c>
      <c r="O352" s="86">
        <v>240</v>
      </c>
      <c r="P352" s="86">
        <v>160</v>
      </c>
      <c r="Q352" s="86">
        <f t="shared" si="54"/>
        <v>195</v>
      </c>
      <c r="R352" s="86">
        <f t="shared" si="55"/>
        <v>100</v>
      </c>
      <c r="S352" s="83">
        <f t="shared" si="56"/>
        <v>695</v>
      </c>
      <c r="T352" s="83">
        <f>'[2]GULFSTREAM NON-FIRM'!H363</f>
        <v>50</v>
      </c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</row>
    <row r="353" spans="1:30" ht="15.75" hidden="1" x14ac:dyDescent="0.25">
      <c r="A353" s="33">
        <v>51682</v>
      </c>
      <c r="B353" s="96">
        <v>30</v>
      </c>
      <c r="C353" s="83">
        <f>'[2]FGT PRIMARY FIRM ZONE 1'!V364</f>
        <v>194.20499999999998</v>
      </c>
      <c r="D353" s="83">
        <f>'[2]FGT PRIMARY FIRM ZONE 2'!V364</f>
        <v>267.46600000000001</v>
      </c>
      <c r="E353" s="92">
        <f>'[2]FGT PRIMARY FIRM ZONE 3'!V364</f>
        <v>133.845</v>
      </c>
      <c r="F353" s="83">
        <f>'[2]FGT FIRM ZONE 3 MOBILE BAY-DES'!V364-40-25-60-100</f>
        <v>53.48399999999998</v>
      </c>
      <c r="G353" s="86">
        <v>40</v>
      </c>
      <c r="H353" s="83">
        <f t="shared" si="57"/>
        <v>185</v>
      </c>
      <c r="I353" s="83">
        <f t="shared" si="49"/>
        <v>0</v>
      </c>
      <c r="J353" s="86">
        <v>100</v>
      </c>
      <c r="K353" s="86">
        <v>300</v>
      </c>
      <c r="L353" s="83">
        <f t="shared" si="53"/>
        <v>1274</v>
      </c>
      <c r="M353" s="94">
        <v>600</v>
      </c>
      <c r="N353" s="83">
        <f>'[2]FGT NON-FIRM'!P364</f>
        <v>30</v>
      </c>
      <c r="O353" s="86">
        <v>240</v>
      </c>
      <c r="P353" s="86">
        <v>160</v>
      </c>
      <c r="Q353" s="86">
        <f t="shared" si="54"/>
        <v>195</v>
      </c>
      <c r="R353" s="86">
        <f t="shared" si="55"/>
        <v>100</v>
      </c>
      <c r="S353" s="83">
        <f t="shared" si="56"/>
        <v>695</v>
      </c>
      <c r="T353" s="83">
        <f>'[2]GULFSTREAM NON-FIRM'!H364</f>
        <v>50</v>
      </c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</row>
    <row r="354" spans="1:30" ht="15.75" hidden="1" x14ac:dyDescent="0.25">
      <c r="A354" s="33">
        <v>51713</v>
      </c>
      <c r="B354" s="96">
        <v>31</v>
      </c>
      <c r="C354" s="83">
        <f>'[2]FGT PRIMARY FIRM ZONE 1'!V365</f>
        <v>194.20499999999998</v>
      </c>
      <c r="D354" s="83">
        <f>'[2]FGT PRIMARY FIRM ZONE 2'!V365</f>
        <v>267.46600000000001</v>
      </c>
      <c r="E354" s="92">
        <f>'[2]FGT PRIMARY FIRM ZONE 3'!V365</f>
        <v>133.845</v>
      </c>
      <c r="F354" s="83">
        <f>'[2]FGT FIRM ZONE 3 MOBILE BAY-DES'!V365-40-25-60-100</f>
        <v>53.48399999999998</v>
      </c>
      <c r="G354" s="86">
        <v>40</v>
      </c>
      <c r="H354" s="83">
        <f t="shared" si="57"/>
        <v>185</v>
      </c>
      <c r="I354" s="83">
        <f t="shared" si="49"/>
        <v>0</v>
      </c>
      <c r="J354" s="86">
        <v>100</v>
      </c>
      <c r="K354" s="86">
        <v>300</v>
      </c>
      <c r="L354" s="83">
        <f t="shared" si="53"/>
        <v>1274</v>
      </c>
      <c r="M354" s="94">
        <v>600</v>
      </c>
      <c r="N354" s="83">
        <f>'[2]FGT NON-FIRM'!P365</f>
        <v>30</v>
      </c>
      <c r="O354" s="86">
        <v>240</v>
      </c>
      <c r="P354" s="86">
        <v>160</v>
      </c>
      <c r="Q354" s="86">
        <f t="shared" si="54"/>
        <v>195</v>
      </c>
      <c r="R354" s="86">
        <f t="shared" si="55"/>
        <v>100</v>
      </c>
      <c r="S354" s="83">
        <f t="shared" si="56"/>
        <v>695</v>
      </c>
      <c r="T354" s="83">
        <f>'[2]GULFSTREAM NON-FIRM'!H365</f>
        <v>0</v>
      </c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</row>
    <row r="355" spans="1:30" ht="15.75" hidden="1" x14ac:dyDescent="0.25">
      <c r="A355" s="33">
        <v>51744</v>
      </c>
      <c r="B355" s="96">
        <v>31</v>
      </c>
      <c r="C355" s="83">
        <f>'[2]FGT PRIMARY FIRM ZONE 1'!V366</f>
        <v>194.20499999999998</v>
      </c>
      <c r="D355" s="83">
        <f>'[2]FGT PRIMARY FIRM ZONE 2'!V366</f>
        <v>267.46600000000001</v>
      </c>
      <c r="E355" s="92">
        <f>'[2]FGT PRIMARY FIRM ZONE 3'!V366</f>
        <v>133.845</v>
      </c>
      <c r="F355" s="83">
        <f>'[2]FGT FIRM ZONE 3 MOBILE BAY-DES'!V366-40-25-60-100</f>
        <v>53.48399999999998</v>
      </c>
      <c r="G355" s="86">
        <v>40</v>
      </c>
      <c r="H355" s="83">
        <f t="shared" si="57"/>
        <v>185</v>
      </c>
      <c r="I355" s="83">
        <f t="shared" si="49"/>
        <v>0</v>
      </c>
      <c r="J355" s="86">
        <v>100</v>
      </c>
      <c r="K355" s="86">
        <v>300</v>
      </c>
      <c r="L355" s="83">
        <f t="shared" si="53"/>
        <v>1274</v>
      </c>
      <c r="M355" s="94">
        <v>600</v>
      </c>
      <c r="N355" s="83">
        <f>'[2]FGT NON-FIRM'!P366</f>
        <v>30</v>
      </c>
      <c r="O355" s="86">
        <v>240</v>
      </c>
      <c r="P355" s="86">
        <v>160</v>
      </c>
      <c r="Q355" s="86">
        <f t="shared" si="54"/>
        <v>195</v>
      </c>
      <c r="R355" s="86">
        <f t="shared" si="55"/>
        <v>100</v>
      </c>
      <c r="S355" s="83">
        <f t="shared" si="56"/>
        <v>695</v>
      </c>
      <c r="T355" s="83">
        <f>'[2]GULFSTREAM NON-FIRM'!H366</f>
        <v>0</v>
      </c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</row>
    <row r="356" spans="1:30" ht="15.75" hidden="1" x14ac:dyDescent="0.25">
      <c r="A356" s="33">
        <v>51774</v>
      </c>
      <c r="B356" s="96">
        <v>30</v>
      </c>
      <c r="C356" s="83">
        <f>'[2]FGT PRIMARY FIRM ZONE 1'!V367</f>
        <v>194.20499999999998</v>
      </c>
      <c r="D356" s="83">
        <f>'[2]FGT PRIMARY FIRM ZONE 2'!V367</f>
        <v>267.46600000000001</v>
      </c>
      <c r="E356" s="92">
        <f>'[2]FGT PRIMARY FIRM ZONE 3'!V367</f>
        <v>133.845</v>
      </c>
      <c r="F356" s="83">
        <f>'[2]FGT FIRM ZONE 3 MOBILE BAY-DES'!V367-40-25-60-100</f>
        <v>53.48399999999998</v>
      </c>
      <c r="G356" s="86">
        <v>40</v>
      </c>
      <c r="H356" s="83">
        <f t="shared" si="57"/>
        <v>185</v>
      </c>
      <c r="I356" s="83">
        <f t="shared" si="49"/>
        <v>0</v>
      </c>
      <c r="J356" s="86">
        <v>100</v>
      </c>
      <c r="K356" s="86">
        <v>300</v>
      </c>
      <c r="L356" s="83">
        <f t="shared" si="53"/>
        <v>1274</v>
      </c>
      <c r="M356" s="94">
        <v>600</v>
      </c>
      <c r="N356" s="83">
        <f>'[2]FGT NON-FIRM'!P367</f>
        <v>30</v>
      </c>
      <c r="O356" s="86">
        <v>240</v>
      </c>
      <c r="P356" s="86">
        <v>160</v>
      </c>
      <c r="Q356" s="86">
        <f t="shared" si="54"/>
        <v>195</v>
      </c>
      <c r="R356" s="86">
        <f t="shared" si="55"/>
        <v>100</v>
      </c>
      <c r="S356" s="83">
        <f t="shared" si="56"/>
        <v>695</v>
      </c>
      <c r="T356" s="83">
        <f>'[2]GULFSTREAM NON-FIRM'!H367</f>
        <v>0</v>
      </c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</row>
    <row r="357" spans="1:30" ht="15.75" hidden="1" x14ac:dyDescent="0.25">
      <c r="A357" s="33">
        <v>51805</v>
      </c>
      <c r="B357" s="96">
        <v>31</v>
      </c>
      <c r="C357" s="83">
        <f>'[2]FGT PRIMARY FIRM ZONE 1'!V368</f>
        <v>131.881</v>
      </c>
      <c r="D357" s="83">
        <f>'[2]FGT PRIMARY FIRM ZONE 2'!V368</f>
        <v>277.16699999999997</v>
      </c>
      <c r="E357" s="92">
        <f>'[2]FGT PRIMARY FIRM ZONE 3'!V368</f>
        <v>79.08</v>
      </c>
      <c r="F357" s="83">
        <f>'[2]FGT FIRM ZONE 3 MOBILE BAY-DES'!V368-40-25-60-100</f>
        <v>125.87199999999996</v>
      </c>
      <c r="G357" s="86">
        <v>40</v>
      </c>
      <c r="H357" s="83">
        <f t="shared" si="57"/>
        <v>185</v>
      </c>
      <c r="I357" s="83">
        <f t="shared" si="49"/>
        <v>0</v>
      </c>
      <c r="J357" s="86">
        <v>100</v>
      </c>
      <c r="K357" s="86">
        <v>300</v>
      </c>
      <c r="L357" s="83">
        <f t="shared" si="53"/>
        <v>1239</v>
      </c>
      <c r="M357" s="94">
        <v>600</v>
      </c>
      <c r="N357" s="83">
        <f>'[2]FGT NON-FIRM'!P368</f>
        <v>75</v>
      </c>
      <c r="O357" s="86">
        <v>240</v>
      </c>
      <c r="P357" s="86">
        <v>160</v>
      </c>
      <c r="Q357" s="86">
        <f t="shared" si="54"/>
        <v>195</v>
      </c>
      <c r="R357" s="86">
        <f t="shared" si="55"/>
        <v>100</v>
      </c>
      <c r="S357" s="83">
        <f t="shared" si="56"/>
        <v>695</v>
      </c>
      <c r="T357" s="83">
        <f>'[2]GULFSTREAM NON-FIRM'!H368</f>
        <v>0</v>
      </c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</row>
    <row r="358" spans="1:30" ht="15.75" hidden="1" x14ac:dyDescent="0.25">
      <c r="A358" s="33">
        <v>51835</v>
      </c>
      <c r="B358" s="96">
        <v>30</v>
      </c>
      <c r="C358" s="83">
        <f>'[2]FGT PRIMARY FIRM ZONE 1'!V369</f>
        <v>122.58</v>
      </c>
      <c r="D358" s="83">
        <f>'[2]FGT PRIMARY FIRM ZONE 2'!V369</f>
        <v>297.94100000000003</v>
      </c>
      <c r="E358" s="92">
        <f>'[2]FGT PRIMARY FIRM ZONE 3'!V369</f>
        <v>89.177000000000007</v>
      </c>
      <c r="F358" s="83">
        <f>'[2]FGT FIRM ZONE 3 MOBILE BAY-DES'!V369-40-60-100</f>
        <v>40.301999999999992</v>
      </c>
      <c r="G358" s="86">
        <v>40</v>
      </c>
      <c r="H358" s="83">
        <f>60+100</f>
        <v>160</v>
      </c>
      <c r="I358" s="83">
        <f t="shared" si="49"/>
        <v>0</v>
      </c>
      <c r="J358" s="86">
        <v>100</v>
      </c>
      <c r="K358" s="86">
        <v>300</v>
      </c>
      <c r="L358" s="83">
        <f t="shared" si="53"/>
        <v>1150</v>
      </c>
      <c r="M358" s="94">
        <v>600</v>
      </c>
      <c r="N358" s="83">
        <f>'[2]FGT NON-FIRM'!P369</f>
        <v>100</v>
      </c>
      <c r="O358" s="86">
        <v>240</v>
      </c>
      <c r="P358" s="86">
        <v>40</v>
      </c>
      <c r="Q358" s="86">
        <f t="shared" si="54"/>
        <v>315</v>
      </c>
      <c r="R358" s="86">
        <f t="shared" si="55"/>
        <v>100</v>
      </c>
      <c r="S358" s="83">
        <f t="shared" si="56"/>
        <v>695</v>
      </c>
      <c r="T358" s="83">
        <f>'[2]GULFSTREAM NON-FIRM'!H369</f>
        <v>50</v>
      </c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</row>
    <row r="359" spans="1:30" ht="15.75" hidden="1" x14ac:dyDescent="0.25">
      <c r="A359" s="33">
        <v>51866</v>
      </c>
      <c r="B359" s="96">
        <v>31</v>
      </c>
      <c r="C359" s="83">
        <f>'[2]FGT PRIMARY FIRM ZONE 1'!V370</f>
        <v>122.58</v>
      </c>
      <c r="D359" s="83">
        <f>'[2]FGT PRIMARY FIRM ZONE 2'!V370</f>
        <v>297.94100000000003</v>
      </c>
      <c r="E359" s="92">
        <f>'[2]FGT PRIMARY FIRM ZONE 3'!V370</f>
        <v>89.177000000000007</v>
      </c>
      <c r="F359" s="83">
        <f>'[2]FGT FIRM ZONE 3 MOBILE BAY-DES'!V370-40-60-100</f>
        <v>40.301999999999992</v>
      </c>
      <c r="G359" s="86">
        <v>40</v>
      </c>
      <c r="H359" s="83">
        <f>60+100</f>
        <v>160</v>
      </c>
      <c r="I359" s="83">
        <f t="shared" si="49"/>
        <v>0</v>
      </c>
      <c r="J359" s="86">
        <v>100</v>
      </c>
      <c r="K359" s="86">
        <v>300</v>
      </c>
      <c r="L359" s="83">
        <f t="shared" si="53"/>
        <v>1150</v>
      </c>
      <c r="M359" s="94">
        <v>600</v>
      </c>
      <c r="N359" s="83">
        <f>'[2]FGT NON-FIRM'!P370</f>
        <v>100</v>
      </c>
      <c r="O359" s="86">
        <v>240</v>
      </c>
      <c r="P359" s="86">
        <v>40</v>
      </c>
      <c r="Q359" s="86">
        <f t="shared" si="54"/>
        <v>315</v>
      </c>
      <c r="R359" s="86">
        <f t="shared" si="55"/>
        <v>100</v>
      </c>
      <c r="S359" s="83">
        <f t="shared" si="56"/>
        <v>695</v>
      </c>
      <c r="T359" s="83">
        <f>'[2]GULFSTREAM NON-FIRM'!H370</f>
        <v>50</v>
      </c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</row>
    <row r="360" spans="1:30" ht="15.75" hidden="1" x14ac:dyDescent="0.25">
      <c r="A360" s="33">
        <v>51897</v>
      </c>
      <c r="B360" s="96">
        <v>31</v>
      </c>
      <c r="C360" s="83">
        <f>'[2]FGT PRIMARY FIRM ZONE 1'!V371</f>
        <v>122.58</v>
      </c>
      <c r="D360" s="83">
        <f>'[2]FGT PRIMARY FIRM ZONE 2'!V371</f>
        <v>297.94100000000003</v>
      </c>
      <c r="E360" s="92">
        <f>'[2]FGT PRIMARY FIRM ZONE 3'!V371</f>
        <v>89.177000000000007</v>
      </c>
      <c r="F360" s="83">
        <f>'[2]FGT FIRM ZONE 3 MOBILE BAY-DES'!V371-40-60-100</f>
        <v>40.301999999999992</v>
      </c>
      <c r="G360" s="86">
        <v>40</v>
      </c>
      <c r="H360" s="83">
        <f>60+100</f>
        <v>160</v>
      </c>
      <c r="I360" s="83">
        <f t="shared" si="49"/>
        <v>0</v>
      </c>
      <c r="J360" s="86">
        <v>100</v>
      </c>
      <c r="K360" s="86">
        <v>300</v>
      </c>
      <c r="L360" s="83">
        <f t="shared" si="53"/>
        <v>1150</v>
      </c>
      <c r="M360" s="94">
        <v>600</v>
      </c>
      <c r="N360" s="83">
        <f>'[2]FGT NON-FIRM'!P371</f>
        <v>100</v>
      </c>
      <c r="O360" s="86">
        <v>240</v>
      </c>
      <c r="P360" s="86">
        <v>40</v>
      </c>
      <c r="Q360" s="86">
        <f t="shared" si="54"/>
        <v>315</v>
      </c>
      <c r="R360" s="86">
        <f t="shared" si="55"/>
        <v>100</v>
      </c>
      <c r="S360" s="83">
        <f t="shared" si="56"/>
        <v>695</v>
      </c>
      <c r="T360" s="83">
        <f>'[2]GULFSTREAM NON-FIRM'!H371</f>
        <v>50</v>
      </c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</row>
    <row r="361" spans="1:30" ht="15.75" hidden="1" x14ac:dyDescent="0.25">
      <c r="A361" s="33">
        <v>51925</v>
      </c>
      <c r="B361" s="96">
        <v>28</v>
      </c>
      <c r="C361" s="83">
        <f>'[2]FGT PRIMARY FIRM ZONE 1'!V372</f>
        <v>122.58</v>
      </c>
      <c r="D361" s="83">
        <f>'[2]FGT PRIMARY FIRM ZONE 2'!V372</f>
        <v>297.94100000000003</v>
      </c>
      <c r="E361" s="92">
        <f>'[2]FGT PRIMARY FIRM ZONE 3'!V372</f>
        <v>89.177000000000007</v>
      </c>
      <c r="F361" s="83">
        <f>'[2]FGT FIRM ZONE 3 MOBILE BAY-DES'!V372-40-60-100</f>
        <v>40.301999999999992</v>
      </c>
      <c r="G361" s="86">
        <v>40</v>
      </c>
      <c r="H361" s="83">
        <f>60+100</f>
        <v>160</v>
      </c>
      <c r="I361" s="83">
        <f t="shared" si="49"/>
        <v>0</v>
      </c>
      <c r="J361" s="86">
        <v>100</v>
      </c>
      <c r="K361" s="86">
        <v>300</v>
      </c>
      <c r="L361" s="83">
        <f t="shared" si="53"/>
        <v>1150</v>
      </c>
      <c r="M361" s="94">
        <v>600</v>
      </c>
      <c r="N361" s="83">
        <f>'[2]FGT NON-FIRM'!P372</f>
        <v>100</v>
      </c>
      <c r="O361" s="86">
        <v>240</v>
      </c>
      <c r="P361" s="86">
        <v>40</v>
      </c>
      <c r="Q361" s="86">
        <f t="shared" si="54"/>
        <v>315</v>
      </c>
      <c r="R361" s="86">
        <f t="shared" si="55"/>
        <v>100</v>
      </c>
      <c r="S361" s="83">
        <f t="shared" si="56"/>
        <v>695</v>
      </c>
      <c r="T361" s="83">
        <f>'[2]GULFSTREAM NON-FIRM'!H372</f>
        <v>50</v>
      </c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</row>
    <row r="362" spans="1:30" ht="15.75" hidden="1" x14ac:dyDescent="0.25">
      <c r="A362" s="33">
        <v>51956</v>
      </c>
      <c r="B362" s="96">
        <v>31</v>
      </c>
      <c r="C362" s="83">
        <f>'[2]FGT PRIMARY FIRM ZONE 1'!V373</f>
        <v>122.58</v>
      </c>
      <c r="D362" s="83">
        <f>'[2]FGT PRIMARY FIRM ZONE 2'!V373</f>
        <v>297.94100000000003</v>
      </c>
      <c r="E362" s="92">
        <f>'[2]FGT PRIMARY FIRM ZONE 3'!V373</f>
        <v>89.177000000000007</v>
      </c>
      <c r="F362" s="83">
        <f>'[2]FGT FIRM ZONE 3 MOBILE BAY-DES'!V373-40-60-100</f>
        <v>40.301999999999992</v>
      </c>
      <c r="G362" s="86">
        <v>40</v>
      </c>
      <c r="H362" s="83">
        <f>60+100</f>
        <v>160</v>
      </c>
      <c r="I362" s="83">
        <f t="shared" si="49"/>
        <v>0</v>
      </c>
      <c r="J362" s="86">
        <v>100</v>
      </c>
      <c r="K362" s="86">
        <v>300</v>
      </c>
      <c r="L362" s="83">
        <f t="shared" si="53"/>
        <v>1150</v>
      </c>
      <c r="M362" s="94">
        <v>600</v>
      </c>
      <c r="N362" s="83">
        <f>'[2]FGT NON-FIRM'!P373</f>
        <v>100</v>
      </c>
      <c r="O362" s="86">
        <v>240</v>
      </c>
      <c r="P362" s="86">
        <v>40</v>
      </c>
      <c r="Q362" s="86">
        <f t="shared" si="54"/>
        <v>315</v>
      </c>
      <c r="R362" s="86">
        <f t="shared" si="55"/>
        <v>100</v>
      </c>
      <c r="S362" s="83">
        <f t="shared" si="56"/>
        <v>695</v>
      </c>
      <c r="T362" s="83">
        <f>'[2]GULFSTREAM NON-FIRM'!H373</f>
        <v>50</v>
      </c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</row>
    <row r="363" spans="1:30" ht="15.75" hidden="1" x14ac:dyDescent="0.25">
      <c r="A363" s="33">
        <v>51986</v>
      </c>
      <c r="B363" s="96">
        <v>30</v>
      </c>
      <c r="C363" s="83">
        <f>'[2]FGT PRIMARY FIRM ZONE 1'!V374</f>
        <v>141.29300000000001</v>
      </c>
      <c r="D363" s="83">
        <f>'[2]FGT PRIMARY FIRM ZONE 2'!V374</f>
        <v>267.99299999999999</v>
      </c>
      <c r="E363" s="92">
        <f>'[2]FGT PRIMARY FIRM ZONE 3'!V374</f>
        <v>115.01600000000001</v>
      </c>
      <c r="F363" s="83">
        <f>'[2]FGT FIRM ZONE 3 MOBILE BAY-DES'!V374-40-25-60-100</f>
        <v>89.698000000000036</v>
      </c>
      <c r="G363" s="86">
        <v>40</v>
      </c>
      <c r="H363" s="83">
        <f t="shared" ref="H363:H369" si="58">25+60+100</f>
        <v>185</v>
      </c>
      <c r="I363" s="83">
        <f t="shared" si="49"/>
        <v>0</v>
      </c>
      <c r="J363" s="86">
        <v>100</v>
      </c>
      <c r="K363" s="86">
        <v>300</v>
      </c>
      <c r="L363" s="83">
        <f t="shared" si="53"/>
        <v>1239</v>
      </c>
      <c r="M363" s="94">
        <v>600</v>
      </c>
      <c r="N363" s="83">
        <f>'[2]FGT NON-FIRM'!P374</f>
        <v>100</v>
      </c>
      <c r="O363" s="86">
        <v>240</v>
      </c>
      <c r="P363" s="86">
        <v>160</v>
      </c>
      <c r="Q363" s="86">
        <f t="shared" si="54"/>
        <v>195</v>
      </c>
      <c r="R363" s="86">
        <f t="shared" si="55"/>
        <v>100</v>
      </c>
      <c r="S363" s="83">
        <f t="shared" si="56"/>
        <v>695</v>
      </c>
      <c r="T363" s="83">
        <f>'[2]GULFSTREAM NON-FIRM'!H374</f>
        <v>50</v>
      </c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</row>
    <row r="364" spans="1:30" ht="15.75" hidden="1" x14ac:dyDescent="0.25">
      <c r="A364" s="33">
        <v>52017</v>
      </c>
      <c r="B364" s="96">
        <v>31</v>
      </c>
      <c r="C364" s="83">
        <f>'[2]FGT PRIMARY FIRM ZONE 1'!V375</f>
        <v>194.20499999999998</v>
      </c>
      <c r="D364" s="83">
        <f>'[2]FGT PRIMARY FIRM ZONE 2'!V375</f>
        <v>267.46600000000001</v>
      </c>
      <c r="E364" s="92">
        <f>'[2]FGT PRIMARY FIRM ZONE 3'!V375</f>
        <v>133.845</v>
      </c>
      <c r="F364" s="83">
        <f>'[2]FGT FIRM ZONE 3 MOBILE BAY-DES'!V375-40-25-60-100</f>
        <v>53.48399999999998</v>
      </c>
      <c r="G364" s="86">
        <v>40</v>
      </c>
      <c r="H364" s="83">
        <f t="shared" si="58"/>
        <v>185</v>
      </c>
      <c r="I364" s="83">
        <f t="shared" si="49"/>
        <v>0</v>
      </c>
      <c r="J364" s="86">
        <v>100</v>
      </c>
      <c r="K364" s="86">
        <v>300</v>
      </c>
      <c r="L364" s="83">
        <f t="shared" si="53"/>
        <v>1274</v>
      </c>
      <c r="M364" s="94">
        <v>600</v>
      </c>
      <c r="N364" s="83">
        <f>'[2]FGT NON-FIRM'!P375</f>
        <v>75</v>
      </c>
      <c r="O364" s="86">
        <v>240</v>
      </c>
      <c r="P364" s="86">
        <v>160</v>
      </c>
      <c r="Q364" s="86">
        <f t="shared" si="54"/>
        <v>195</v>
      </c>
      <c r="R364" s="86">
        <f t="shared" si="55"/>
        <v>100</v>
      </c>
      <c r="S364" s="83">
        <f t="shared" si="56"/>
        <v>695</v>
      </c>
      <c r="T364" s="83">
        <f>'[2]GULFSTREAM NON-FIRM'!H375</f>
        <v>50</v>
      </c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</row>
    <row r="365" spans="1:30" ht="15.75" hidden="1" x14ac:dyDescent="0.25">
      <c r="A365" s="33">
        <v>52047</v>
      </c>
      <c r="B365" s="96">
        <v>30</v>
      </c>
      <c r="C365" s="83">
        <f>'[2]FGT PRIMARY FIRM ZONE 1'!V376</f>
        <v>194.20499999999998</v>
      </c>
      <c r="D365" s="83">
        <f>'[2]FGT PRIMARY FIRM ZONE 2'!V376</f>
        <v>267.46600000000001</v>
      </c>
      <c r="E365" s="92">
        <f>'[2]FGT PRIMARY FIRM ZONE 3'!V376</f>
        <v>133.845</v>
      </c>
      <c r="F365" s="83">
        <f>'[2]FGT FIRM ZONE 3 MOBILE BAY-DES'!V376-40-25-60-100</f>
        <v>53.48399999999998</v>
      </c>
      <c r="G365" s="86">
        <v>40</v>
      </c>
      <c r="H365" s="83">
        <f t="shared" si="58"/>
        <v>185</v>
      </c>
      <c r="I365" s="83">
        <f t="shared" si="49"/>
        <v>0</v>
      </c>
      <c r="J365" s="86">
        <v>100</v>
      </c>
      <c r="K365" s="86">
        <v>300</v>
      </c>
      <c r="L365" s="83">
        <f t="shared" si="53"/>
        <v>1274</v>
      </c>
      <c r="M365" s="94">
        <v>600</v>
      </c>
      <c r="N365" s="83">
        <f>'[2]FGT NON-FIRM'!P376</f>
        <v>30</v>
      </c>
      <c r="O365" s="86">
        <v>240</v>
      </c>
      <c r="P365" s="86">
        <v>160</v>
      </c>
      <c r="Q365" s="86">
        <f t="shared" si="54"/>
        <v>195</v>
      </c>
      <c r="R365" s="86">
        <f t="shared" si="55"/>
        <v>100</v>
      </c>
      <c r="S365" s="83">
        <f t="shared" si="56"/>
        <v>695</v>
      </c>
      <c r="T365" s="83">
        <f>'[2]GULFSTREAM NON-FIRM'!H376</f>
        <v>50</v>
      </c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</row>
    <row r="366" spans="1:30" ht="15.75" hidden="1" x14ac:dyDescent="0.25">
      <c r="A366" s="33">
        <v>52078</v>
      </c>
      <c r="B366" s="96">
        <v>31</v>
      </c>
      <c r="C366" s="83">
        <f>'[2]FGT PRIMARY FIRM ZONE 1'!V377</f>
        <v>194.20499999999998</v>
      </c>
      <c r="D366" s="83">
        <f>'[2]FGT PRIMARY FIRM ZONE 2'!V377</f>
        <v>267.46600000000001</v>
      </c>
      <c r="E366" s="92">
        <f>'[2]FGT PRIMARY FIRM ZONE 3'!V377</f>
        <v>133.845</v>
      </c>
      <c r="F366" s="83">
        <f>'[2]FGT FIRM ZONE 3 MOBILE BAY-DES'!V377-40-25-60-100</f>
        <v>53.48399999999998</v>
      </c>
      <c r="G366" s="86">
        <v>40</v>
      </c>
      <c r="H366" s="83">
        <f t="shared" si="58"/>
        <v>185</v>
      </c>
      <c r="I366" s="83">
        <f t="shared" si="49"/>
        <v>0</v>
      </c>
      <c r="J366" s="86">
        <v>100</v>
      </c>
      <c r="K366" s="86">
        <v>300</v>
      </c>
      <c r="L366" s="83">
        <f t="shared" si="53"/>
        <v>1274</v>
      </c>
      <c r="M366" s="94">
        <v>600</v>
      </c>
      <c r="N366" s="83">
        <f>'[2]FGT NON-FIRM'!P377</f>
        <v>30</v>
      </c>
      <c r="O366" s="86">
        <v>240</v>
      </c>
      <c r="P366" s="86">
        <v>160</v>
      </c>
      <c r="Q366" s="86">
        <f t="shared" si="54"/>
        <v>195</v>
      </c>
      <c r="R366" s="86">
        <f t="shared" si="55"/>
        <v>100</v>
      </c>
      <c r="S366" s="83">
        <f t="shared" si="56"/>
        <v>695</v>
      </c>
      <c r="T366" s="83">
        <f>'[2]GULFSTREAM NON-FIRM'!H377</f>
        <v>0</v>
      </c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</row>
    <row r="367" spans="1:30" ht="15.75" hidden="1" x14ac:dyDescent="0.25">
      <c r="A367" s="33">
        <v>52109</v>
      </c>
      <c r="B367" s="96">
        <v>31</v>
      </c>
      <c r="C367" s="83">
        <f>'[2]FGT PRIMARY FIRM ZONE 1'!V378</f>
        <v>194.20499999999998</v>
      </c>
      <c r="D367" s="83">
        <f>'[2]FGT PRIMARY FIRM ZONE 2'!V378</f>
        <v>267.46600000000001</v>
      </c>
      <c r="E367" s="92">
        <f>'[2]FGT PRIMARY FIRM ZONE 3'!V378</f>
        <v>133.845</v>
      </c>
      <c r="F367" s="83">
        <f>'[2]FGT FIRM ZONE 3 MOBILE BAY-DES'!V378-40-25-60-100</f>
        <v>53.48399999999998</v>
      </c>
      <c r="G367" s="86">
        <v>40</v>
      </c>
      <c r="H367" s="83">
        <f t="shared" si="58"/>
        <v>185</v>
      </c>
      <c r="I367" s="83">
        <f t="shared" si="49"/>
        <v>0</v>
      </c>
      <c r="J367" s="86">
        <v>100</v>
      </c>
      <c r="K367" s="86">
        <v>300</v>
      </c>
      <c r="L367" s="83">
        <f t="shared" si="53"/>
        <v>1274</v>
      </c>
      <c r="M367" s="94">
        <v>600</v>
      </c>
      <c r="N367" s="83">
        <f>'[2]FGT NON-FIRM'!P378</f>
        <v>30</v>
      </c>
      <c r="O367" s="86">
        <v>240</v>
      </c>
      <c r="P367" s="86">
        <v>160</v>
      </c>
      <c r="Q367" s="86">
        <f t="shared" si="54"/>
        <v>195</v>
      </c>
      <c r="R367" s="86">
        <f t="shared" si="55"/>
        <v>100</v>
      </c>
      <c r="S367" s="83">
        <f t="shared" si="56"/>
        <v>695</v>
      </c>
      <c r="T367" s="83">
        <f>'[2]GULFSTREAM NON-FIRM'!H378</f>
        <v>0</v>
      </c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</row>
    <row r="368" spans="1:30" ht="15.75" hidden="1" x14ac:dyDescent="0.25">
      <c r="A368" s="33">
        <v>52139</v>
      </c>
      <c r="B368" s="96">
        <v>30</v>
      </c>
      <c r="C368" s="83">
        <f>'[2]FGT PRIMARY FIRM ZONE 1'!V379</f>
        <v>194.20499999999998</v>
      </c>
      <c r="D368" s="83">
        <f>'[2]FGT PRIMARY FIRM ZONE 2'!V379</f>
        <v>267.46600000000001</v>
      </c>
      <c r="E368" s="92">
        <f>'[2]FGT PRIMARY FIRM ZONE 3'!V379</f>
        <v>133.845</v>
      </c>
      <c r="F368" s="83">
        <f>'[2]FGT FIRM ZONE 3 MOBILE BAY-DES'!V379-40-25-60-100</f>
        <v>53.48399999999998</v>
      </c>
      <c r="G368" s="86">
        <v>40</v>
      </c>
      <c r="H368" s="83">
        <f t="shared" si="58"/>
        <v>185</v>
      </c>
      <c r="I368" s="83">
        <f t="shared" si="49"/>
        <v>0</v>
      </c>
      <c r="J368" s="86">
        <v>100</v>
      </c>
      <c r="K368" s="86">
        <v>300</v>
      </c>
      <c r="L368" s="83">
        <f t="shared" si="53"/>
        <v>1274</v>
      </c>
      <c r="M368" s="94">
        <v>600</v>
      </c>
      <c r="N368" s="83">
        <f>'[2]FGT NON-FIRM'!P379</f>
        <v>30</v>
      </c>
      <c r="O368" s="86">
        <v>240</v>
      </c>
      <c r="P368" s="86">
        <v>160</v>
      </c>
      <c r="Q368" s="86">
        <f t="shared" si="54"/>
        <v>195</v>
      </c>
      <c r="R368" s="86">
        <f t="shared" si="55"/>
        <v>100</v>
      </c>
      <c r="S368" s="83">
        <f t="shared" si="56"/>
        <v>695</v>
      </c>
      <c r="T368" s="83">
        <f>'[2]GULFSTREAM NON-FIRM'!H379</f>
        <v>0</v>
      </c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</row>
    <row r="369" spans="1:30" ht="15.75" hidden="1" x14ac:dyDescent="0.25">
      <c r="A369" s="33">
        <v>52170</v>
      </c>
      <c r="B369" s="96">
        <v>31</v>
      </c>
      <c r="C369" s="83">
        <f>'[2]FGT PRIMARY FIRM ZONE 1'!V380</f>
        <v>131.881</v>
      </c>
      <c r="D369" s="83">
        <f>'[2]FGT PRIMARY FIRM ZONE 2'!V380</f>
        <v>277.16699999999997</v>
      </c>
      <c r="E369" s="92">
        <f>'[2]FGT PRIMARY FIRM ZONE 3'!V380</f>
        <v>79.08</v>
      </c>
      <c r="F369" s="83">
        <f>'[2]FGT FIRM ZONE 3 MOBILE BAY-DES'!V380-40-25-60-100</f>
        <v>125.87199999999996</v>
      </c>
      <c r="G369" s="86">
        <v>40</v>
      </c>
      <c r="H369" s="83">
        <f t="shared" si="58"/>
        <v>185</v>
      </c>
      <c r="I369" s="83">
        <f t="shared" si="49"/>
        <v>0</v>
      </c>
      <c r="J369" s="86">
        <v>100</v>
      </c>
      <c r="K369" s="86">
        <v>300</v>
      </c>
      <c r="L369" s="83">
        <f t="shared" si="53"/>
        <v>1239</v>
      </c>
      <c r="M369" s="94">
        <v>600</v>
      </c>
      <c r="N369" s="83">
        <f>'[2]FGT NON-FIRM'!P380</f>
        <v>75</v>
      </c>
      <c r="O369" s="86">
        <v>240</v>
      </c>
      <c r="P369" s="86">
        <v>160</v>
      </c>
      <c r="Q369" s="86">
        <f t="shared" si="54"/>
        <v>195</v>
      </c>
      <c r="R369" s="86">
        <f t="shared" si="55"/>
        <v>100</v>
      </c>
      <c r="S369" s="83">
        <f t="shared" si="56"/>
        <v>695</v>
      </c>
      <c r="T369" s="83">
        <f>'[2]GULFSTREAM NON-FIRM'!H380</f>
        <v>0</v>
      </c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</row>
    <row r="370" spans="1:30" ht="15.75" hidden="1" x14ac:dyDescent="0.25">
      <c r="A370" s="33">
        <v>52200</v>
      </c>
      <c r="B370" s="96">
        <v>30</v>
      </c>
      <c r="C370" s="83">
        <f>'[2]FGT PRIMARY FIRM ZONE 1'!V381</f>
        <v>122.58</v>
      </c>
      <c r="D370" s="83">
        <f>'[2]FGT PRIMARY FIRM ZONE 2'!V381</f>
        <v>297.94100000000003</v>
      </c>
      <c r="E370" s="92">
        <f>'[2]FGT PRIMARY FIRM ZONE 3'!V381</f>
        <v>89.177000000000007</v>
      </c>
      <c r="F370" s="83">
        <f>'[2]FGT FIRM ZONE 3 MOBILE BAY-DES'!V381-40-60-100</f>
        <v>40.301999999999992</v>
      </c>
      <c r="G370" s="86">
        <v>40</v>
      </c>
      <c r="H370" s="83">
        <f>60+100</f>
        <v>160</v>
      </c>
      <c r="I370" s="83">
        <f t="shared" si="49"/>
        <v>0</v>
      </c>
      <c r="J370" s="86">
        <v>100</v>
      </c>
      <c r="K370" s="86">
        <v>300</v>
      </c>
      <c r="L370" s="83">
        <f t="shared" si="53"/>
        <v>1150</v>
      </c>
      <c r="M370" s="94">
        <v>600</v>
      </c>
      <c r="N370" s="83">
        <f>'[2]FGT NON-FIRM'!P381</f>
        <v>100</v>
      </c>
      <c r="O370" s="86">
        <v>240</v>
      </c>
      <c r="P370" s="86">
        <v>40</v>
      </c>
      <c r="Q370" s="86">
        <f t="shared" si="54"/>
        <v>315</v>
      </c>
      <c r="R370" s="86">
        <f t="shared" si="55"/>
        <v>100</v>
      </c>
      <c r="S370" s="83">
        <f t="shared" si="56"/>
        <v>695</v>
      </c>
      <c r="T370" s="83">
        <f>'[2]GULFSTREAM NON-FIRM'!H381</f>
        <v>50</v>
      </c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</row>
    <row r="371" spans="1:30" ht="15.75" hidden="1" x14ac:dyDescent="0.25">
      <c r="A371" s="33">
        <v>52231</v>
      </c>
      <c r="B371" s="96">
        <v>31</v>
      </c>
      <c r="C371" s="83">
        <f>'[2]FGT PRIMARY FIRM ZONE 1'!V382</f>
        <v>122.58</v>
      </c>
      <c r="D371" s="83">
        <f>'[2]FGT PRIMARY FIRM ZONE 2'!V382</f>
        <v>297.94100000000003</v>
      </c>
      <c r="E371" s="92">
        <f>'[2]FGT PRIMARY FIRM ZONE 3'!V382</f>
        <v>89.177000000000007</v>
      </c>
      <c r="F371" s="83">
        <f>'[2]FGT FIRM ZONE 3 MOBILE BAY-DES'!V382-40-60-100</f>
        <v>40.301999999999992</v>
      </c>
      <c r="G371" s="86">
        <v>40</v>
      </c>
      <c r="H371" s="83">
        <f>60+100</f>
        <v>160</v>
      </c>
      <c r="I371" s="83">
        <f t="shared" si="49"/>
        <v>0</v>
      </c>
      <c r="J371" s="86">
        <v>100</v>
      </c>
      <c r="K371" s="86">
        <v>300</v>
      </c>
      <c r="L371" s="83">
        <f t="shared" si="53"/>
        <v>1150</v>
      </c>
      <c r="M371" s="94">
        <v>600</v>
      </c>
      <c r="N371" s="83">
        <f>'[2]FGT NON-FIRM'!P382</f>
        <v>100</v>
      </c>
      <c r="O371" s="86">
        <v>240</v>
      </c>
      <c r="P371" s="86">
        <v>40</v>
      </c>
      <c r="Q371" s="86">
        <f t="shared" si="54"/>
        <v>315</v>
      </c>
      <c r="R371" s="86">
        <f t="shared" si="55"/>
        <v>100</v>
      </c>
      <c r="S371" s="83">
        <f t="shared" si="56"/>
        <v>695</v>
      </c>
      <c r="T371" s="83">
        <f>'[2]GULFSTREAM NON-FIRM'!H382</f>
        <v>50</v>
      </c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</row>
    <row r="372" spans="1:30" ht="15.75" hidden="1" x14ac:dyDescent="0.25">
      <c r="A372" s="33">
        <v>52262</v>
      </c>
      <c r="B372" s="96">
        <v>31</v>
      </c>
      <c r="C372" s="83">
        <f>'[2]FGT PRIMARY FIRM ZONE 1'!V383</f>
        <v>122.58</v>
      </c>
      <c r="D372" s="83">
        <f>'[2]FGT PRIMARY FIRM ZONE 2'!V383</f>
        <v>297.94100000000003</v>
      </c>
      <c r="E372" s="92">
        <f>'[2]FGT PRIMARY FIRM ZONE 3'!V383</f>
        <v>89.177000000000007</v>
      </c>
      <c r="F372" s="83">
        <f>'[2]FGT FIRM ZONE 3 MOBILE BAY-DES'!V383-40-60-100</f>
        <v>40.301999999999992</v>
      </c>
      <c r="G372" s="86">
        <v>40</v>
      </c>
      <c r="H372" s="83">
        <f>60+100</f>
        <v>160</v>
      </c>
      <c r="I372" s="83">
        <f t="shared" ref="I372:I435" si="59">400-J372-K372</f>
        <v>0</v>
      </c>
      <c r="J372" s="86">
        <v>100</v>
      </c>
      <c r="K372" s="86">
        <v>300</v>
      </c>
      <c r="L372" s="83">
        <f t="shared" si="53"/>
        <v>1150</v>
      </c>
      <c r="M372" s="94">
        <v>600</v>
      </c>
      <c r="N372" s="83">
        <f>'[2]FGT NON-FIRM'!P383</f>
        <v>100</v>
      </c>
      <c r="O372" s="86">
        <v>240</v>
      </c>
      <c r="P372" s="86">
        <v>40</v>
      </c>
      <c r="Q372" s="86">
        <f t="shared" si="54"/>
        <v>315</v>
      </c>
      <c r="R372" s="86">
        <f t="shared" si="55"/>
        <v>100</v>
      </c>
      <c r="S372" s="83">
        <f t="shared" si="56"/>
        <v>695</v>
      </c>
      <c r="T372" s="83">
        <f>'[2]GULFSTREAM NON-FIRM'!H383</f>
        <v>50</v>
      </c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</row>
    <row r="373" spans="1:30" ht="15.75" hidden="1" x14ac:dyDescent="0.25">
      <c r="A373" s="33">
        <v>52290</v>
      </c>
      <c r="B373" s="96">
        <v>28</v>
      </c>
      <c r="C373" s="83">
        <f>'[2]FGT PRIMARY FIRM ZONE 1'!V384</f>
        <v>122.58</v>
      </c>
      <c r="D373" s="83">
        <f>'[2]FGT PRIMARY FIRM ZONE 2'!V384</f>
        <v>297.94100000000003</v>
      </c>
      <c r="E373" s="92">
        <f>'[2]FGT PRIMARY FIRM ZONE 3'!V384</f>
        <v>89.177000000000007</v>
      </c>
      <c r="F373" s="83">
        <f>'[2]FGT FIRM ZONE 3 MOBILE BAY-DES'!V384-40-60-100</f>
        <v>40.301999999999992</v>
      </c>
      <c r="G373" s="86">
        <v>40</v>
      </c>
      <c r="H373" s="83">
        <f>60+100</f>
        <v>160</v>
      </c>
      <c r="I373" s="83">
        <f t="shared" si="59"/>
        <v>0</v>
      </c>
      <c r="J373" s="86">
        <v>100</v>
      </c>
      <c r="K373" s="86">
        <v>300</v>
      </c>
      <c r="L373" s="83">
        <f t="shared" si="53"/>
        <v>1150</v>
      </c>
      <c r="M373" s="94">
        <v>600</v>
      </c>
      <c r="N373" s="83">
        <f>'[2]FGT NON-FIRM'!P384</f>
        <v>100</v>
      </c>
      <c r="O373" s="86">
        <v>240</v>
      </c>
      <c r="P373" s="86">
        <v>40</v>
      </c>
      <c r="Q373" s="86">
        <f t="shared" si="54"/>
        <v>315</v>
      </c>
      <c r="R373" s="86">
        <f t="shared" si="55"/>
        <v>100</v>
      </c>
      <c r="S373" s="83">
        <f t="shared" si="56"/>
        <v>695</v>
      </c>
      <c r="T373" s="83">
        <f>'[2]GULFSTREAM NON-FIRM'!H384</f>
        <v>50</v>
      </c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</row>
    <row r="374" spans="1:30" ht="15.75" hidden="1" x14ac:dyDescent="0.25">
      <c r="A374" s="33">
        <v>52321</v>
      </c>
      <c r="B374" s="96">
        <v>31</v>
      </c>
      <c r="C374" s="83">
        <f>'[2]FGT PRIMARY FIRM ZONE 1'!V385</f>
        <v>122.58</v>
      </c>
      <c r="D374" s="83">
        <f>'[2]FGT PRIMARY FIRM ZONE 2'!V385</f>
        <v>297.94100000000003</v>
      </c>
      <c r="E374" s="92">
        <f>'[2]FGT PRIMARY FIRM ZONE 3'!V385</f>
        <v>89.177000000000007</v>
      </c>
      <c r="F374" s="83">
        <f>'[2]FGT FIRM ZONE 3 MOBILE BAY-DES'!V385-40-60-100</f>
        <v>40.301999999999992</v>
      </c>
      <c r="G374" s="86">
        <v>40</v>
      </c>
      <c r="H374" s="83">
        <f>60+100</f>
        <v>160</v>
      </c>
      <c r="I374" s="83">
        <f t="shared" si="59"/>
        <v>0</v>
      </c>
      <c r="J374" s="86">
        <v>100</v>
      </c>
      <c r="K374" s="86">
        <v>300</v>
      </c>
      <c r="L374" s="83">
        <f t="shared" si="53"/>
        <v>1150</v>
      </c>
      <c r="M374" s="94">
        <v>600</v>
      </c>
      <c r="N374" s="83">
        <f>'[2]FGT NON-FIRM'!P385</f>
        <v>100</v>
      </c>
      <c r="O374" s="86">
        <v>240</v>
      </c>
      <c r="P374" s="86">
        <v>40</v>
      </c>
      <c r="Q374" s="86">
        <f t="shared" si="54"/>
        <v>315</v>
      </c>
      <c r="R374" s="86">
        <f t="shared" si="55"/>
        <v>100</v>
      </c>
      <c r="S374" s="83">
        <f t="shared" si="56"/>
        <v>695</v>
      </c>
      <c r="T374" s="83">
        <f>'[2]GULFSTREAM NON-FIRM'!H385</f>
        <v>50</v>
      </c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</row>
    <row r="375" spans="1:30" ht="15.75" hidden="1" x14ac:dyDescent="0.25">
      <c r="A375" s="33">
        <v>52351</v>
      </c>
      <c r="B375" s="96">
        <v>30</v>
      </c>
      <c r="C375" s="83">
        <f>'[2]FGT PRIMARY FIRM ZONE 1'!V386</f>
        <v>141.29300000000001</v>
      </c>
      <c r="D375" s="83">
        <f>'[2]FGT PRIMARY FIRM ZONE 2'!V386</f>
        <v>267.99299999999999</v>
      </c>
      <c r="E375" s="92">
        <f>'[2]FGT PRIMARY FIRM ZONE 3'!V386</f>
        <v>115.01600000000001</v>
      </c>
      <c r="F375" s="83">
        <f>'[2]FGT FIRM ZONE 3 MOBILE BAY-DES'!V386-40-25-60-100</f>
        <v>89.698000000000036</v>
      </c>
      <c r="G375" s="86">
        <v>40</v>
      </c>
      <c r="H375" s="83">
        <f t="shared" ref="H375:H381" si="60">25+60+100</f>
        <v>185</v>
      </c>
      <c r="I375" s="83">
        <f t="shared" si="59"/>
        <v>0</v>
      </c>
      <c r="J375" s="86">
        <v>100</v>
      </c>
      <c r="K375" s="86">
        <v>300</v>
      </c>
      <c r="L375" s="83">
        <f t="shared" si="53"/>
        <v>1239</v>
      </c>
      <c r="M375" s="94">
        <v>600</v>
      </c>
      <c r="N375" s="83">
        <f>'[2]FGT NON-FIRM'!P386</f>
        <v>100</v>
      </c>
      <c r="O375" s="86">
        <v>240</v>
      </c>
      <c r="P375" s="86">
        <v>160</v>
      </c>
      <c r="Q375" s="86">
        <f t="shared" si="54"/>
        <v>195</v>
      </c>
      <c r="R375" s="86">
        <f t="shared" si="55"/>
        <v>100</v>
      </c>
      <c r="S375" s="83">
        <f t="shared" si="56"/>
        <v>695</v>
      </c>
      <c r="T375" s="83">
        <f>'[2]GULFSTREAM NON-FIRM'!H386</f>
        <v>50</v>
      </c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</row>
    <row r="376" spans="1:30" ht="15.75" hidden="1" x14ac:dyDescent="0.25">
      <c r="A376" s="33">
        <v>52382</v>
      </c>
      <c r="B376" s="96">
        <v>31</v>
      </c>
      <c r="C376" s="83">
        <f>'[2]FGT PRIMARY FIRM ZONE 1'!V387</f>
        <v>194.20499999999998</v>
      </c>
      <c r="D376" s="83">
        <f>'[2]FGT PRIMARY FIRM ZONE 2'!V387</f>
        <v>267.46600000000001</v>
      </c>
      <c r="E376" s="92">
        <f>'[2]FGT PRIMARY FIRM ZONE 3'!V387</f>
        <v>133.845</v>
      </c>
      <c r="F376" s="83">
        <f>'[2]FGT FIRM ZONE 3 MOBILE BAY-DES'!V387-40-25-60-100</f>
        <v>53.48399999999998</v>
      </c>
      <c r="G376" s="86">
        <v>40</v>
      </c>
      <c r="H376" s="83">
        <f t="shared" si="60"/>
        <v>185</v>
      </c>
      <c r="I376" s="83">
        <f t="shared" si="59"/>
        <v>0</v>
      </c>
      <c r="J376" s="86">
        <v>100</v>
      </c>
      <c r="K376" s="86">
        <v>300</v>
      </c>
      <c r="L376" s="83">
        <f t="shared" si="53"/>
        <v>1274</v>
      </c>
      <c r="M376" s="94">
        <v>600</v>
      </c>
      <c r="N376" s="83">
        <f>'[2]FGT NON-FIRM'!P387</f>
        <v>75</v>
      </c>
      <c r="O376" s="86">
        <v>240</v>
      </c>
      <c r="P376" s="86">
        <v>160</v>
      </c>
      <c r="Q376" s="86">
        <f t="shared" si="54"/>
        <v>195</v>
      </c>
      <c r="R376" s="86">
        <f t="shared" si="55"/>
        <v>100</v>
      </c>
      <c r="S376" s="83">
        <f t="shared" si="56"/>
        <v>695</v>
      </c>
      <c r="T376" s="83">
        <f>'[2]GULFSTREAM NON-FIRM'!H387</f>
        <v>50</v>
      </c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</row>
    <row r="377" spans="1:30" ht="15.75" hidden="1" x14ac:dyDescent="0.25">
      <c r="A377" s="33">
        <v>52412</v>
      </c>
      <c r="B377" s="96">
        <v>30</v>
      </c>
      <c r="C377" s="83">
        <f>'[2]FGT PRIMARY FIRM ZONE 1'!V388</f>
        <v>194.20499999999998</v>
      </c>
      <c r="D377" s="83">
        <f>'[2]FGT PRIMARY FIRM ZONE 2'!V388</f>
        <v>267.46600000000001</v>
      </c>
      <c r="E377" s="92">
        <f>'[2]FGT PRIMARY FIRM ZONE 3'!V388</f>
        <v>133.845</v>
      </c>
      <c r="F377" s="83">
        <f>'[2]FGT FIRM ZONE 3 MOBILE BAY-DES'!V388-40-25-60-100</f>
        <v>53.48399999999998</v>
      </c>
      <c r="G377" s="86">
        <v>40</v>
      </c>
      <c r="H377" s="83">
        <f t="shared" si="60"/>
        <v>185</v>
      </c>
      <c r="I377" s="83">
        <f t="shared" si="59"/>
        <v>0</v>
      </c>
      <c r="J377" s="86">
        <v>100</v>
      </c>
      <c r="K377" s="86">
        <v>300</v>
      </c>
      <c r="L377" s="83">
        <f t="shared" si="53"/>
        <v>1274</v>
      </c>
      <c r="M377" s="94">
        <v>600</v>
      </c>
      <c r="N377" s="83">
        <f>'[2]FGT NON-FIRM'!P388</f>
        <v>30</v>
      </c>
      <c r="O377" s="86">
        <v>240</v>
      </c>
      <c r="P377" s="86">
        <v>160</v>
      </c>
      <c r="Q377" s="86">
        <f t="shared" si="54"/>
        <v>195</v>
      </c>
      <c r="R377" s="86">
        <f t="shared" si="55"/>
        <v>100</v>
      </c>
      <c r="S377" s="83">
        <f t="shared" si="56"/>
        <v>695</v>
      </c>
      <c r="T377" s="83">
        <f>'[2]GULFSTREAM NON-FIRM'!H388</f>
        <v>50</v>
      </c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</row>
    <row r="378" spans="1:30" ht="15.75" hidden="1" x14ac:dyDescent="0.25">
      <c r="A378" s="33">
        <v>52443</v>
      </c>
      <c r="B378" s="96">
        <v>31</v>
      </c>
      <c r="C378" s="83">
        <f>'[2]FGT PRIMARY FIRM ZONE 1'!V389</f>
        <v>194.20499999999998</v>
      </c>
      <c r="D378" s="83">
        <f>'[2]FGT PRIMARY FIRM ZONE 2'!V389</f>
        <v>267.46600000000001</v>
      </c>
      <c r="E378" s="92">
        <f>'[2]FGT PRIMARY FIRM ZONE 3'!V389</f>
        <v>133.845</v>
      </c>
      <c r="F378" s="83">
        <f>'[2]FGT FIRM ZONE 3 MOBILE BAY-DES'!V389-40-25-60-100</f>
        <v>53.48399999999998</v>
      </c>
      <c r="G378" s="86">
        <v>40</v>
      </c>
      <c r="H378" s="83">
        <f t="shared" si="60"/>
        <v>185</v>
      </c>
      <c r="I378" s="83">
        <f t="shared" si="59"/>
        <v>0</v>
      </c>
      <c r="J378" s="86">
        <v>100</v>
      </c>
      <c r="K378" s="86">
        <v>300</v>
      </c>
      <c r="L378" s="83">
        <f t="shared" si="53"/>
        <v>1274</v>
      </c>
      <c r="M378" s="94">
        <v>600</v>
      </c>
      <c r="N378" s="83">
        <f>'[2]FGT NON-FIRM'!P389</f>
        <v>30</v>
      </c>
      <c r="O378" s="86">
        <v>240</v>
      </c>
      <c r="P378" s="86">
        <v>160</v>
      </c>
      <c r="Q378" s="86">
        <f t="shared" si="54"/>
        <v>195</v>
      </c>
      <c r="R378" s="86">
        <f t="shared" si="55"/>
        <v>100</v>
      </c>
      <c r="S378" s="83">
        <f t="shared" si="56"/>
        <v>695</v>
      </c>
      <c r="T378" s="83">
        <f>'[2]GULFSTREAM NON-FIRM'!H389</f>
        <v>0</v>
      </c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</row>
    <row r="379" spans="1:30" ht="15.75" hidden="1" x14ac:dyDescent="0.25">
      <c r="A379" s="33">
        <v>52474</v>
      </c>
      <c r="B379" s="96">
        <v>31</v>
      </c>
      <c r="C379" s="83">
        <f>'[2]FGT PRIMARY FIRM ZONE 1'!V390</f>
        <v>194.20499999999998</v>
      </c>
      <c r="D379" s="83">
        <f>'[2]FGT PRIMARY FIRM ZONE 2'!V390</f>
        <v>267.46600000000001</v>
      </c>
      <c r="E379" s="92">
        <f>'[2]FGT PRIMARY FIRM ZONE 3'!V390</f>
        <v>133.845</v>
      </c>
      <c r="F379" s="83">
        <f>'[2]FGT FIRM ZONE 3 MOBILE BAY-DES'!V390-40-25-60-100</f>
        <v>53.48399999999998</v>
      </c>
      <c r="G379" s="86">
        <v>40</v>
      </c>
      <c r="H379" s="83">
        <f t="shared" si="60"/>
        <v>185</v>
      </c>
      <c r="I379" s="83">
        <f t="shared" si="59"/>
        <v>0</v>
      </c>
      <c r="J379" s="86">
        <v>100</v>
      </c>
      <c r="K379" s="86">
        <v>300</v>
      </c>
      <c r="L379" s="83">
        <f t="shared" si="53"/>
        <v>1274</v>
      </c>
      <c r="M379" s="94">
        <v>600</v>
      </c>
      <c r="N379" s="83">
        <f>'[2]FGT NON-FIRM'!P390</f>
        <v>30</v>
      </c>
      <c r="O379" s="86">
        <v>240</v>
      </c>
      <c r="P379" s="86">
        <v>160</v>
      </c>
      <c r="Q379" s="86">
        <f t="shared" si="54"/>
        <v>195</v>
      </c>
      <c r="R379" s="86">
        <f t="shared" si="55"/>
        <v>100</v>
      </c>
      <c r="S379" s="83">
        <f t="shared" si="56"/>
        <v>695</v>
      </c>
      <c r="T379" s="83">
        <f>'[2]GULFSTREAM NON-FIRM'!H390</f>
        <v>0</v>
      </c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</row>
    <row r="380" spans="1:30" ht="15.75" hidden="1" x14ac:dyDescent="0.25">
      <c r="A380" s="33">
        <v>52504</v>
      </c>
      <c r="B380" s="96">
        <v>30</v>
      </c>
      <c r="C380" s="83">
        <f>'[2]FGT PRIMARY FIRM ZONE 1'!V391</f>
        <v>194.20499999999998</v>
      </c>
      <c r="D380" s="83">
        <f>'[2]FGT PRIMARY FIRM ZONE 2'!V391</f>
        <v>267.46600000000001</v>
      </c>
      <c r="E380" s="92">
        <f>'[2]FGT PRIMARY FIRM ZONE 3'!V391</f>
        <v>133.845</v>
      </c>
      <c r="F380" s="83">
        <f>'[2]FGT FIRM ZONE 3 MOBILE BAY-DES'!V391-40-25-60-100</f>
        <v>53.48399999999998</v>
      </c>
      <c r="G380" s="86">
        <v>40</v>
      </c>
      <c r="H380" s="83">
        <f t="shared" si="60"/>
        <v>185</v>
      </c>
      <c r="I380" s="83">
        <f t="shared" si="59"/>
        <v>0</v>
      </c>
      <c r="J380" s="86">
        <v>100</v>
      </c>
      <c r="K380" s="86">
        <v>300</v>
      </c>
      <c r="L380" s="83">
        <f t="shared" si="53"/>
        <v>1274</v>
      </c>
      <c r="M380" s="94">
        <v>600</v>
      </c>
      <c r="N380" s="83">
        <f>'[2]FGT NON-FIRM'!P391</f>
        <v>30</v>
      </c>
      <c r="O380" s="86">
        <v>240</v>
      </c>
      <c r="P380" s="86">
        <v>160</v>
      </c>
      <c r="Q380" s="86">
        <f t="shared" si="54"/>
        <v>195</v>
      </c>
      <c r="R380" s="86">
        <f t="shared" si="55"/>
        <v>100</v>
      </c>
      <c r="S380" s="83">
        <f t="shared" si="56"/>
        <v>695</v>
      </c>
      <c r="T380" s="83">
        <f>'[2]GULFSTREAM NON-FIRM'!H391</f>
        <v>0</v>
      </c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</row>
    <row r="381" spans="1:30" ht="15.75" hidden="1" x14ac:dyDescent="0.25">
      <c r="A381" s="33">
        <v>52535</v>
      </c>
      <c r="B381" s="96">
        <v>31</v>
      </c>
      <c r="C381" s="83">
        <f>'[2]FGT PRIMARY FIRM ZONE 1'!V392</f>
        <v>131.881</v>
      </c>
      <c r="D381" s="83">
        <f>'[2]FGT PRIMARY FIRM ZONE 2'!V392</f>
        <v>277.16699999999997</v>
      </c>
      <c r="E381" s="92">
        <f>'[2]FGT PRIMARY FIRM ZONE 3'!V392</f>
        <v>79.08</v>
      </c>
      <c r="F381" s="83">
        <f>'[2]FGT FIRM ZONE 3 MOBILE BAY-DES'!V392-40-25-60-100</f>
        <v>125.87199999999996</v>
      </c>
      <c r="G381" s="86">
        <v>40</v>
      </c>
      <c r="H381" s="83">
        <f t="shared" si="60"/>
        <v>185</v>
      </c>
      <c r="I381" s="83">
        <f t="shared" si="59"/>
        <v>0</v>
      </c>
      <c r="J381" s="86">
        <v>100</v>
      </c>
      <c r="K381" s="86">
        <v>300</v>
      </c>
      <c r="L381" s="83">
        <f t="shared" si="53"/>
        <v>1239</v>
      </c>
      <c r="M381" s="94">
        <v>600</v>
      </c>
      <c r="N381" s="83">
        <f>'[2]FGT NON-FIRM'!P392</f>
        <v>75</v>
      </c>
      <c r="O381" s="86">
        <v>240</v>
      </c>
      <c r="P381" s="86">
        <v>160</v>
      </c>
      <c r="Q381" s="86">
        <f t="shared" si="54"/>
        <v>195</v>
      </c>
      <c r="R381" s="86">
        <f t="shared" si="55"/>
        <v>100</v>
      </c>
      <c r="S381" s="83">
        <f t="shared" si="56"/>
        <v>695</v>
      </c>
      <c r="T381" s="83">
        <f>'[2]GULFSTREAM NON-FIRM'!H392</f>
        <v>0</v>
      </c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</row>
    <row r="382" spans="1:30" ht="15.75" hidden="1" x14ac:dyDescent="0.25">
      <c r="A382" s="33">
        <v>52565</v>
      </c>
      <c r="B382" s="96">
        <v>30</v>
      </c>
      <c r="C382" s="83">
        <f>'[2]FGT PRIMARY FIRM ZONE 1'!V393</f>
        <v>122.58</v>
      </c>
      <c r="D382" s="83">
        <f>'[2]FGT PRIMARY FIRM ZONE 2'!V393</f>
        <v>297.94100000000003</v>
      </c>
      <c r="E382" s="92">
        <f>'[2]FGT PRIMARY FIRM ZONE 3'!V393</f>
        <v>89.177000000000007</v>
      </c>
      <c r="F382" s="83">
        <f>'[2]FGT FIRM ZONE 3 MOBILE BAY-DES'!V393-40-60-100</f>
        <v>40.301999999999992</v>
      </c>
      <c r="G382" s="86">
        <v>40</v>
      </c>
      <c r="H382" s="83">
        <f>60+100</f>
        <v>160</v>
      </c>
      <c r="I382" s="83">
        <f t="shared" si="59"/>
        <v>0</v>
      </c>
      <c r="J382" s="86">
        <v>100</v>
      </c>
      <c r="K382" s="86">
        <v>300</v>
      </c>
      <c r="L382" s="83">
        <f t="shared" si="53"/>
        <v>1150</v>
      </c>
      <c r="M382" s="94">
        <v>600</v>
      </c>
      <c r="N382" s="83">
        <f>'[2]FGT NON-FIRM'!P393</f>
        <v>100</v>
      </c>
      <c r="O382" s="86">
        <v>240</v>
      </c>
      <c r="P382" s="86">
        <v>40</v>
      </c>
      <c r="Q382" s="86">
        <f t="shared" si="54"/>
        <v>315</v>
      </c>
      <c r="R382" s="86">
        <f t="shared" si="55"/>
        <v>100</v>
      </c>
      <c r="S382" s="83">
        <f t="shared" si="56"/>
        <v>695</v>
      </c>
      <c r="T382" s="83">
        <f>'[2]GULFSTREAM NON-FIRM'!H393</f>
        <v>50</v>
      </c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</row>
    <row r="383" spans="1:30" ht="15.75" hidden="1" x14ac:dyDescent="0.25">
      <c r="A383" s="33">
        <v>52596</v>
      </c>
      <c r="B383" s="96">
        <v>31</v>
      </c>
      <c r="C383" s="83">
        <f>'[2]FGT PRIMARY FIRM ZONE 1'!V394</f>
        <v>122.58</v>
      </c>
      <c r="D383" s="83">
        <f>'[2]FGT PRIMARY FIRM ZONE 2'!V394</f>
        <v>297.94100000000003</v>
      </c>
      <c r="E383" s="92">
        <f>'[2]FGT PRIMARY FIRM ZONE 3'!V394</f>
        <v>89.177000000000007</v>
      </c>
      <c r="F383" s="83">
        <f>'[2]FGT FIRM ZONE 3 MOBILE BAY-DES'!V394-40-60-100</f>
        <v>40.301999999999992</v>
      </c>
      <c r="G383" s="86">
        <v>40</v>
      </c>
      <c r="H383" s="83">
        <f>60+100</f>
        <v>160</v>
      </c>
      <c r="I383" s="83">
        <f t="shared" si="59"/>
        <v>0</v>
      </c>
      <c r="J383" s="86">
        <v>100</v>
      </c>
      <c r="K383" s="86">
        <v>300</v>
      </c>
      <c r="L383" s="83">
        <f t="shared" si="53"/>
        <v>1150</v>
      </c>
      <c r="M383" s="94">
        <v>600</v>
      </c>
      <c r="N383" s="83">
        <f>'[2]FGT NON-FIRM'!P394</f>
        <v>100</v>
      </c>
      <c r="O383" s="86">
        <v>240</v>
      </c>
      <c r="P383" s="86">
        <v>40</v>
      </c>
      <c r="Q383" s="86">
        <f t="shared" si="54"/>
        <v>315</v>
      </c>
      <c r="R383" s="86">
        <f t="shared" si="55"/>
        <v>100</v>
      </c>
      <c r="S383" s="83">
        <f t="shared" si="56"/>
        <v>695</v>
      </c>
      <c r="T383" s="83">
        <f>'[2]GULFSTREAM NON-FIRM'!H394</f>
        <v>50</v>
      </c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</row>
    <row r="384" spans="1:30" ht="15.75" hidden="1" x14ac:dyDescent="0.25">
      <c r="A384" s="33">
        <v>52627</v>
      </c>
      <c r="B384" s="96">
        <v>31</v>
      </c>
      <c r="C384" s="83">
        <f>'[2]FGT PRIMARY FIRM ZONE 1'!V395</f>
        <v>122.58</v>
      </c>
      <c r="D384" s="83">
        <f>'[2]FGT PRIMARY FIRM ZONE 2'!V395</f>
        <v>297.94100000000003</v>
      </c>
      <c r="E384" s="92">
        <f>'[2]FGT PRIMARY FIRM ZONE 3'!V395</f>
        <v>89.177000000000007</v>
      </c>
      <c r="F384" s="83">
        <f>'[2]FGT FIRM ZONE 3 MOBILE BAY-DES'!V395-40-60-100</f>
        <v>40.301999999999992</v>
      </c>
      <c r="G384" s="86">
        <v>40</v>
      </c>
      <c r="H384" s="83">
        <f>60+100</f>
        <v>160</v>
      </c>
      <c r="I384" s="83">
        <f t="shared" si="59"/>
        <v>0</v>
      </c>
      <c r="J384" s="86">
        <v>100</v>
      </c>
      <c r="K384" s="86">
        <v>300</v>
      </c>
      <c r="L384" s="83">
        <f t="shared" si="53"/>
        <v>1150</v>
      </c>
      <c r="M384" s="94">
        <v>600</v>
      </c>
      <c r="N384" s="83">
        <f>'[2]FGT NON-FIRM'!P395</f>
        <v>100</v>
      </c>
      <c r="O384" s="86">
        <v>240</v>
      </c>
      <c r="P384" s="86">
        <v>40</v>
      </c>
      <c r="Q384" s="86">
        <f t="shared" si="54"/>
        <v>315</v>
      </c>
      <c r="R384" s="86">
        <f t="shared" si="55"/>
        <v>100</v>
      </c>
      <c r="S384" s="83">
        <f t="shared" si="56"/>
        <v>695</v>
      </c>
      <c r="T384" s="83">
        <f>'[2]GULFSTREAM NON-FIRM'!H395</f>
        <v>50</v>
      </c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</row>
    <row r="385" spans="1:30" ht="15.75" hidden="1" x14ac:dyDescent="0.25">
      <c r="A385" s="33">
        <v>52655</v>
      </c>
      <c r="B385" s="96">
        <v>29</v>
      </c>
      <c r="C385" s="83">
        <f>'[2]FGT PRIMARY FIRM ZONE 1'!V396</f>
        <v>122.58</v>
      </c>
      <c r="D385" s="83">
        <f>'[2]FGT PRIMARY FIRM ZONE 2'!V396</f>
        <v>297.94100000000003</v>
      </c>
      <c r="E385" s="92">
        <f>'[2]FGT PRIMARY FIRM ZONE 3'!V396</f>
        <v>89.177000000000007</v>
      </c>
      <c r="F385" s="83">
        <f>'[2]FGT FIRM ZONE 3 MOBILE BAY-DES'!V396-40-60-100</f>
        <v>40.301999999999992</v>
      </c>
      <c r="G385" s="86">
        <v>40</v>
      </c>
      <c r="H385" s="83">
        <f>60+100</f>
        <v>160</v>
      </c>
      <c r="I385" s="83">
        <f t="shared" si="59"/>
        <v>0</v>
      </c>
      <c r="J385" s="86">
        <v>100</v>
      </c>
      <c r="K385" s="86">
        <v>300</v>
      </c>
      <c r="L385" s="83">
        <f t="shared" si="53"/>
        <v>1150</v>
      </c>
      <c r="M385" s="94">
        <v>600</v>
      </c>
      <c r="N385" s="83">
        <f>'[2]FGT NON-FIRM'!P396</f>
        <v>100</v>
      </c>
      <c r="O385" s="86">
        <v>240</v>
      </c>
      <c r="P385" s="86">
        <v>40</v>
      </c>
      <c r="Q385" s="86">
        <f t="shared" si="54"/>
        <v>315</v>
      </c>
      <c r="R385" s="86">
        <f t="shared" si="55"/>
        <v>100</v>
      </c>
      <c r="S385" s="83">
        <f t="shared" si="56"/>
        <v>695</v>
      </c>
      <c r="T385" s="83">
        <f>'[2]GULFSTREAM NON-FIRM'!H396</f>
        <v>50</v>
      </c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</row>
    <row r="386" spans="1:30" ht="15.75" hidden="1" x14ac:dyDescent="0.25">
      <c r="A386" s="33">
        <v>52687</v>
      </c>
      <c r="B386" s="96">
        <v>31</v>
      </c>
      <c r="C386" s="83">
        <f>'[2]FGT PRIMARY FIRM ZONE 1'!V397</f>
        <v>122.58</v>
      </c>
      <c r="D386" s="83">
        <f>'[2]FGT PRIMARY FIRM ZONE 2'!V397</f>
        <v>297.94100000000003</v>
      </c>
      <c r="E386" s="92">
        <f>'[2]FGT PRIMARY FIRM ZONE 3'!V397</f>
        <v>89.177000000000007</v>
      </c>
      <c r="F386" s="83">
        <f>'[2]FGT FIRM ZONE 3 MOBILE BAY-DES'!V397-40-60-100</f>
        <v>40.301999999999992</v>
      </c>
      <c r="G386" s="86">
        <v>40</v>
      </c>
      <c r="H386" s="83">
        <f>60+100</f>
        <v>160</v>
      </c>
      <c r="I386" s="83">
        <f t="shared" si="59"/>
        <v>0</v>
      </c>
      <c r="J386" s="86">
        <v>100</v>
      </c>
      <c r="K386" s="86">
        <v>300</v>
      </c>
      <c r="L386" s="83">
        <f t="shared" si="53"/>
        <v>1150</v>
      </c>
      <c r="M386" s="94">
        <v>600</v>
      </c>
      <c r="N386" s="83">
        <f>'[2]FGT NON-FIRM'!P397</f>
        <v>100</v>
      </c>
      <c r="O386" s="86">
        <v>240</v>
      </c>
      <c r="P386" s="86">
        <v>40</v>
      </c>
      <c r="Q386" s="86">
        <f t="shared" si="54"/>
        <v>315</v>
      </c>
      <c r="R386" s="86">
        <f t="shared" si="55"/>
        <v>100</v>
      </c>
      <c r="S386" s="83">
        <f t="shared" si="56"/>
        <v>695</v>
      </c>
      <c r="T386" s="83">
        <f>'[2]GULFSTREAM NON-FIRM'!H397</f>
        <v>50</v>
      </c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</row>
    <row r="387" spans="1:30" ht="15.75" hidden="1" x14ac:dyDescent="0.25">
      <c r="A387" s="33">
        <v>52717</v>
      </c>
      <c r="B387" s="96">
        <v>30</v>
      </c>
      <c r="C387" s="83">
        <f>'[2]FGT PRIMARY FIRM ZONE 1'!V398</f>
        <v>141.29300000000001</v>
      </c>
      <c r="D387" s="83">
        <f>'[2]FGT PRIMARY FIRM ZONE 2'!V398</f>
        <v>267.99299999999999</v>
      </c>
      <c r="E387" s="92">
        <f>'[2]FGT PRIMARY FIRM ZONE 3'!V398</f>
        <v>115.01600000000001</v>
      </c>
      <c r="F387" s="83">
        <f>'[2]FGT FIRM ZONE 3 MOBILE BAY-DES'!V398-40-25-60-100</f>
        <v>89.698000000000036</v>
      </c>
      <c r="G387" s="86">
        <v>40</v>
      </c>
      <c r="H387" s="83">
        <f t="shared" ref="H387:H393" si="61">25+60+100</f>
        <v>185</v>
      </c>
      <c r="I387" s="83">
        <f t="shared" si="59"/>
        <v>0</v>
      </c>
      <c r="J387" s="86">
        <v>100</v>
      </c>
      <c r="K387" s="86">
        <v>300</v>
      </c>
      <c r="L387" s="83">
        <f t="shared" si="53"/>
        <v>1239</v>
      </c>
      <c r="M387" s="94">
        <v>600</v>
      </c>
      <c r="N387" s="83">
        <f>'[2]FGT NON-FIRM'!P398</f>
        <v>100</v>
      </c>
      <c r="O387" s="86">
        <v>240</v>
      </c>
      <c r="P387" s="86">
        <v>160</v>
      </c>
      <c r="Q387" s="86">
        <f t="shared" si="54"/>
        <v>195</v>
      </c>
      <c r="R387" s="86">
        <f t="shared" si="55"/>
        <v>100</v>
      </c>
      <c r="S387" s="83">
        <f t="shared" si="56"/>
        <v>695</v>
      </c>
      <c r="T387" s="83">
        <f>'[2]GULFSTREAM NON-FIRM'!H398</f>
        <v>50</v>
      </c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</row>
    <row r="388" spans="1:30" ht="15.75" hidden="1" x14ac:dyDescent="0.25">
      <c r="A388" s="33">
        <v>52748</v>
      </c>
      <c r="B388" s="96">
        <v>31</v>
      </c>
      <c r="C388" s="83">
        <f>'[2]FGT PRIMARY FIRM ZONE 1'!V399</f>
        <v>194.20499999999998</v>
      </c>
      <c r="D388" s="83">
        <f>'[2]FGT PRIMARY FIRM ZONE 2'!V399</f>
        <v>267.46600000000001</v>
      </c>
      <c r="E388" s="92">
        <f>'[2]FGT PRIMARY FIRM ZONE 3'!V399</f>
        <v>133.845</v>
      </c>
      <c r="F388" s="83">
        <f>'[2]FGT FIRM ZONE 3 MOBILE BAY-DES'!V399-40-25-60-100</f>
        <v>53.48399999999998</v>
      </c>
      <c r="G388" s="86">
        <v>40</v>
      </c>
      <c r="H388" s="83">
        <f t="shared" si="61"/>
        <v>185</v>
      </c>
      <c r="I388" s="83">
        <f t="shared" si="59"/>
        <v>0</v>
      </c>
      <c r="J388" s="86">
        <v>100</v>
      </c>
      <c r="K388" s="86">
        <v>300</v>
      </c>
      <c r="L388" s="83">
        <f t="shared" si="53"/>
        <v>1274</v>
      </c>
      <c r="M388" s="94">
        <v>600</v>
      </c>
      <c r="N388" s="83">
        <f>'[2]FGT NON-FIRM'!P399</f>
        <v>75</v>
      </c>
      <c r="O388" s="86">
        <v>240</v>
      </c>
      <c r="P388" s="86">
        <v>160</v>
      </c>
      <c r="Q388" s="86">
        <f t="shared" si="54"/>
        <v>195</v>
      </c>
      <c r="R388" s="86">
        <f t="shared" si="55"/>
        <v>100</v>
      </c>
      <c r="S388" s="83">
        <f t="shared" si="56"/>
        <v>695</v>
      </c>
      <c r="T388" s="83">
        <f>'[2]GULFSTREAM NON-FIRM'!H399</f>
        <v>50</v>
      </c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</row>
    <row r="389" spans="1:30" ht="15.75" hidden="1" x14ac:dyDescent="0.25">
      <c r="A389" s="33">
        <v>52778</v>
      </c>
      <c r="B389" s="96">
        <v>30</v>
      </c>
      <c r="C389" s="83">
        <f>'[2]FGT PRIMARY FIRM ZONE 1'!V400</f>
        <v>194.20499999999998</v>
      </c>
      <c r="D389" s="83">
        <f>'[2]FGT PRIMARY FIRM ZONE 2'!V400</f>
        <v>267.46600000000001</v>
      </c>
      <c r="E389" s="92">
        <f>'[2]FGT PRIMARY FIRM ZONE 3'!V400</f>
        <v>133.845</v>
      </c>
      <c r="F389" s="83">
        <f>'[2]FGT FIRM ZONE 3 MOBILE BAY-DES'!V400-40-25-60-100</f>
        <v>53.48399999999998</v>
      </c>
      <c r="G389" s="86">
        <v>40</v>
      </c>
      <c r="H389" s="83">
        <f t="shared" si="61"/>
        <v>185</v>
      </c>
      <c r="I389" s="83">
        <f t="shared" si="59"/>
        <v>0</v>
      </c>
      <c r="J389" s="86">
        <v>100</v>
      </c>
      <c r="K389" s="86">
        <v>300</v>
      </c>
      <c r="L389" s="83">
        <f t="shared" si="53"/>
        <v>1274</v>
      </c>
      <c r="M389" s="94">
        <v>600</v>
      </c>
      <c r="N389" s="83">
        <f>'[2]FGT NON-FIRM'!P400</f>
        <v>30</v>
      </c>
      <c r="O389" s="86">
        <v>240</v>
      </c>
      <c r="P389" s="86">
        <v>160</v>
      </c>
      <c r="Q389" s="86">
        <f t="shared" si="54"/>
        <v>195</v>
      </c>
      <c r="R389" s="86">
        <f t="shared" si="55"/>
        <v>100</v>
      </c>
      <c r="S389" s="83">
        <f t="shared" si="56"/>
        <v>695</v>
      </c>
      <c r="T389" s="83">
        <f>'[2]GULFSTREAM NON-FIRM'!H400</f>
        <v>50</v>
      </c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</row>
    <row r="390" spans="1:30" ht="15.75" hidden="1" x14ac:dyDescent="0.25">
      <c r="A390" s="33">
        <v>52809</v>
      </c>
      <c r="B390" s="96">
        <v>31</v>
      </c>
      <c r="C390" s="83">
        <f>'[2]FGT PRIMARY FIRM ZONE 1'!V401</f>
        <v>194.20499999999998</v>
      </c>
      <c r="D390" s="83">
        <f>'[2]FGT PRIMARY FIRM ZONE 2'!V401</f>
        <v>267.46600000000001</v>
      </c>
      <c r="E390" s="92">
        <f>'[2]FGT PRIMARY FIRM ZONE 3'!V401</f>
        <v>133.845</v>
      </c>
      <c r="F390" s="83">
        <f>'[2]FGT FIRM ZONE 3 MOBILE BAY-DES'!V401-40-25-60-100</f>
        <v>53.48399999999998</v>
      </c>
      <c r="G390" s="86">
        <v>40</v>
      </c>
      <c r="H390" s="83">
        <f t="shared" si="61"/>
        <v>185</v>
      </c>
      <c r="I390" s="83">
        <f t="shared" si="59"/>
        <v>0</v>
      </c>
      <c r="J390" s="86">
        <v>100</v>
      </c>
      <c r="K390" s="86">
        <v>300</v>
      </c>
      <c r="L390" s="83">
        <f t="shared" si="53"/>
        <v>1274</v>
      </c>
      <c r="M390" s="94">
        <v>600</v>
      </c>
      <c r="N390" s="83">
        <f>'[2]FGT NON-FIRM'!P401</f>
        <v>30</v>
      </c>
      <c r="O390" s="86">
        <v>240</v>
      </c>
      <c r="P390" s="86">
        <v>160</v>
      </c>
      <c r="Q390" s="86">
        <f t="shared" si="54"/>
        <v>195</v>
      </c>
      <c r="R390" s="86">
        <f t="shared" si="55"/>
        <v>100</v>
      </c>
      <c r="S390" s="83">
        <f t="shared" si="56"/>
        <v>695</v>
      </c>
      <c r="T390" s="83">
        <f>'[2]GULFSTREAM NON-FIRM'!H401</f>
        <v>0</v>
      </c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</row>
    <row r="391" spans="1:30" ht="15.75" hidden="1" x14ac:dyDescent="0.25">
      <c r="A391" s="33">
        <v>52840</v>
      </c>
      <c r="B391" s="96">
        <v>31</v>
      </c>
      <c r="C391" s="83">
        <f>'[2]FGT PRIMARY FIRM ZONE 1'!V402</f>
        <v>194.20499999999998</v>
      </c>
      <c r="D391" s="83">
        <f>'[2]FGT PRIMARY FIRM ZONE 2'!V402</f>
        <v>267.46600000000001</v>
      </c>
      <c r="E391" s="92">
        <f>'[2]FGT PRIMARY FIRM ZONE 3'!V402</f>
        <v>133.845</v>
      </c>
      <c r="F391" s="83">
        <f>'[2]FGT FIRM ZONE 3 MOBILE BAY-DES'!V402-40-25-60-100</f>
        <v>53.48399999999998</v>
      </c>
      <c r="G391" s="86">
        <v>40</v>
      </c>
      <c r="H391" s="83">
        <f t="shared" si="61"/>
        <v>185</v>
      </c>
      <c r="I391" s="83">
        <f t="shared" si="59"/>
        <v>0</v>
      </c>
      <c r="J391" s="86">
        <v>100</v>
      </c>
      <c r="K391" s="86">
        <v>300</v>
      </c>
      <c r="L391" s="83">
        <f t="shared" si="53"/>
        <v>1274</v>
      </c>
      <c r="M391" s="94">
        <v>600</v>
      </c>
      <c r="N391" s="83">
        <f>'[2]FGT NON-FIRM'!P402</f>
        <v>30</v>
      </c>
      <c r="O391" s="86">
        <v>240</v>
      </c>
      <c r="P391" s="86">
        <v>160</v>
      </c>
      <c r="Q391" s="86">
        <f t="shared" si="54"/>
        <v>195</v>
      </c>
      <c r="R391" s="86">
        <f t="shared" si="55"/>
        <v>100</v>
      </c>
      <c r="S391" s="83">
        <f t="shared" si="56"/>
        <v>695</v>
      </c>
      <c r="T391" s="83">
        <f>'[2]GULFSTREAM NON-FIRM'!H402</f>
        <v>0</v>
      </c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</row>
    <row r="392" spans="1:30" ht="15.75" hidden="1" x14ac:dyDescent="0.25">
      <c r="A392" s="33">
        <v>52870</v>
      </c>
      <c r="B392" s="96">
        <v>30</v>
      </c>
      <c r="C392" s="83">
        <f>'[2]FGT PRIMARY FIRM ZONE 1'!V403</f>
        <v>194.20499999999998</v>
      </c>
      <c r="D392" s="83">
        <f>'[2]FGT PRIMARY FIRM ZONE 2'!V403</f>
        <v>267.46600000000001</v>
      </c>
      <c r="E392" s="92">
        <f>'[2]FGT PRIMARY FIRM ZONE 3'!V403</f>
        <v>133.845</v>
      </c>
      <c r="F392" s="83">
        <f>'[2]FGT FIRM ZONE 3 MOBILE BAY-DES'!V403-40-25-60-100</f>
        <v>53.48399999999998</v>
      </c>
      <c r="G392" s="86">
        <v>40</v>
      </c>
      <c r="H392" s="83">
        <f t="shared" si="61"/>
        <v>185</v>
      </c>
      <c r="I392" s="83">
        <f t="shared" si="59"/>
        <v>0</v>
      </c>
      <c r="J392" s="86">
        <v>100</v>
      </c>
      <c r="K392" s="86">
        <v>300</v>
      </c>
      <c r="L392" s="83">
        <f t="shared" si="53"/>
        <v>1274</v>
      </c>
      <c r="M392" s="94">
        <v>600</v>
      </c>
      <c r="N392" s="83">
        <f>'[2]FGT NON-FIRM'!P403</f>
        <v>30</v>
      </c>
      <c r="O392" s="86">
        <v>240</v>
      </c>
      <c r="P392" s="86">
        <v>160</v>
      </c>
      <c r="Q392" s="86">
        <f t="shared" si="54"/>
        <v>195</v>
      </c>
      <c r="R392" s="86">
        <f t="shared" si="55"/>
        <v>100</v>
      </c>
      <c r="S392" s="83">
        <f t="shared" si="56"/>
        <v>695</v>
      </c>
      <c r="T392" s="83">
        <f>'[2]GULFSTREAM NON-FIRM'!H403</f>
        <v>0</v>
      </c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</row>
    <row r="393" spans="1:30" ht="15.75" hidden="1" x14ac:dyDescent="0.25">
      <c r="A393" s="33">
        <v>52901</v>
      </c>
      <c r="B393" s="96">
        <v>31</v>
      </c>
      <c r="C393" s="83">
        <f>'[2]FGT PRIMARY FIRM ZONE 1'!V404</f>
        <v>131.881</v>
      </c>
      <c r="D393" s="83">
        <f>'[2]FGT PRIMARY FIRM ZONE 2'!V404</f>
        <v>277.16699999999997</v>
      </c>
      <c r="E393" s="92">
        <f>'[2]FGT PRIMARY FIRM ZONE 3'!V404</f>
        <v>79.08</v>
      </c>
      <c r="F393" s="83">
        <f>'[2]FGT FIRM ZONE 3 MOBILE BAY-DES'!V404-40-25-60-100</f>
        <v>125.87199999999996</v>
      </c>
      <c r="G393" s="86">
        <v>40</v>
      </c>
      <c r="H393" s="83">
        <f t="shared" si="61"/>
        <v>185</v>
      </c>
      <c r="I393" s="83">
        <f t="shared" si="59"/>
        <v>0</v>
      </c>
      <c r="J393" s="86">
        <v>100</v>
      </c>
      <c r="K393" s="86">
        <v>300</v>
      </c>
      <c r="L393" s="83">
        <f t="shared" si="53"/>
        <v>1239</v>
      </c>
      <c r="M393" s="94">
        <v>600</v>
      </c>
      <c r="N393" s="83">
        <f>'[2]FGT NON-FIRM'!P404</f>
        <v>75</v>
      </c>
      <c r="O393" s="86">
        <v>240</v>
      </c>
      <c r="P393" s="86">
        <v>160</v>
      </c>
      <c r="Q393" s="86">
        <f t="shared" si="54"/>
        <v>195</v>
      </c>
      <c r="R393" s="86">
        <f t="shared" si="55"/>
        <v>100</v>
      </c>
      <c r="S393" s="83">
        <f t="shared" si="56"/>
        <v>695</v>
      </c>
      <c r="T393" s="83">
        <f>'[2]GULFSTREAM NON-FIRM'!H404</f>
        <v>0</v>
      </c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</row>
    <row r="394" spans="1:30" ht="15.75" hidden="1" x14ac:dyDescent="0.25">
      <c r="A394" s="33">
        <v>52931</v>
      </c>
      <c r="B394" s="96">
        <v>30</v>
      </c>
      <c r="C394" s="83">
        <f>'[2]FGT PRIMARY FIRM ZONE 1'!V405</f>
        <v>122.58</v>
      </c>
      <c r="D394" s="83">
        <f>'[2]FGT PRIMARY FIRM ZONE 2'!V405</f>
        <v>297.94100000000003</v>
      </c>
      <c r="E394" s="92">
        <f>'[2]FGT PRIMARY FIRM ZONE 3'!V405</f>
        <v>89.177000000000007</v>
      </c>
      <c r="F394" s="83">
        <f>'[2]FGT FIRM ZONE 3 MOBILE BAY-DES'!V405-40-60-100</f>
        <v>40.301999999999992</v>
      </c>
      <c r="G394" s="86">
        <v>40</v>
      </c>
      <c r="H394" s="83">
        <f>60+100</f>
        <v>160</v>
      </c>
      <c r="I394" s="83">
        <f t="shared" si="59"/>
        <v>0</v>
      </c>
      <c r="J394" s="86">
        <v>100</v>
      </c>
      <c r="K394" s="86">
        <v>300</v>
      </c>
      <c r="L394" s="83">
        <f t="shared" si="53"/>
        <v>1150</v>
      </c>
      <c r="M394" s="94">
        <v>600</v>
      </c>
      <c r="N394" s="83">
        <f>'[2]FGT NON-FIRM'!P405</f>
        <v>100</v>
      </c>
      <c r="O394" s="86">
        <v>240</v>
      </c>
      <c r="P394" s="86">
        <v>40</v>
      </c>
      <c r="Q394" s="86">
        <f t="shared" si="54"/>
        <v>315</v>
      </c>
      <c r="R394" s="86">
        <f t="shared" si="55"/>
        <v>100</v>
      </c>
      <c r="S394" s="83">
        <f t="shared" si="56"/>
        <v>695</v>
      </c>
      <c r="T394" s="83">
        <f>'[2]GULFSTREAM NON-FIRM'!H405</f>
        <v>50</v>
      </c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</row>
    <row r="395" spans="1:30" ht="15.75" hidden="1" x14ac:dyDescent="0.25">
      <c r="A395" s="33">
        <v>52962</v>
      </c>
      <c r="B395" s="96">
        <v>31</v>
      </c>
      <c r="C395" s="83">
        <f>'[2]FGT PRIMARY FIRM ZONE 1'!V406</f>
        <v>122.58</v>
      </c>
      <c r="D395" s="83">
        <f>'[2]FGT PRIMARY FIRM ZONE 2'!V406</f>
        <v>297.94100000000003</v>
      </c>
      <c r="E395" s="92">
        <f>'[2]FGT PRIMARY FIRM ZONE 3'!V406</f>
        <v>89.177000000000007</v>
      </c>
      <c r="F395" s="83">
        <f>'[2]FGT FIRM ZONE 3 MOBILE BAY-DES'!V406-40-60-100</f>
        <v>40.301999999999992</v>
      </c>
      <c r="G395" s="86">
        <v>40</v>
      </c>
      <c r="H395" s="83">
        <f>60+100</f>
        <v>160</v>
      </c>
      <c r="I395" s="83">
        <f t="shared" si="59"/>
        <v>0</v>
      </c>
      <c r="J395" s="86">
        <v>100</v>
      </c>
      <c r="K395" s="86">
        <v>300</v>
      </c>
      <c r="L395" s="83">
        <f t="shared" si="53"/>
        <v>1150</v>
      </c>
      <c r="M395" s="94">
        <v>600</v>
      </c>
      <c r="N395" s="83">
        <f>'[2]FGT NON-FIRM'!P406</f>
        <v>100</v>
      </c>
      <c r="O395" s="86">
        <v>240</v>
      </c>
      <c r="P395" s="86">
        <v>40</v>
      </c>
      <c r="Q395" s="86">
        <f t="shared" si="54"/>
        <v>315</v>
      </c>
      <c r="R395" s="86">
        <f t="shared" si="55"/>
        <v>100</v>
      </c>
      <c r="S395" s="83">
        <f t="shared" si="56"/>
        <v>695</v>
      </c>
      <c r="T395" s="83">
        <f>'[2]GULFSTREAM NON-FIRM'!H406</f>
        <v>50</v>
      </c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</row>
    <row r="396" spans="1:30" ht="15.75" hidden="1" x14ac:dyDescent="0.25">
      <c r="A396" s="33">
        <v>52993</v>
      </c>
      <c r="B396" s="96">
        <v>31</v>
      </c>
      <c r="C396" s="83">
        <f>'[2]FGT PRIMARY FIRM ZONE 1'!V407</f>
        <v>122.58</v>
      </c>
      <c r="D396" s="83">
        <f>'[2]FGT PRIMARY FIRM ZONE 2'!V407</f>
        <v>297.94100000000003</v>
      </c>
      <c r="E396" s="92">
        <f>'[2]FGT PRIMARY FIRM ZONE 3'!V407</f>
        <v>89.177000000000007</v>
      </c>
      <c r="F396" s="83">
        <f>'[2]FGT FIRM ZONE 3 MOBILE BAY-DES'!V407-40-60-100</f>
        <v>40.301999999999992</v>
      </c>
      <c r="G396" s="86">
        <v>40</v>
      </c>
      <c r="H396" s="83">
        <f>60+100</f>
        <v>160</v>
      </c>
      <c r="I396" s="83">
        <f t="shared" si="59"/>
        <v>0</v>
      </c>
      <c r="J396" s="86">
        <v>100</v>
      </c>
      <c r="K396" s="86">
        <v>300</v>
      </c>
      <c r="L396" s="83">
        <f t="shared" si="53"/>
        <v>1150</v>
      </c>
      <c r="M396" s="94">
        <v>600</v>
      </c>
      <c r="N396" s="83">
        <f>'[2]FGT NON-FIRM'!P407</f>
        <v>100</v>
      </c>
      <c r="O396" s="86">
        <v>240</v>
      </c>
      <c r="P396" s="86">
        <v>40</v>
      </c>
      <c r="Q396" s="86">
        <f t="shared" si="54"/>
        <v>315</v>
      </c>
      <c r="R396" s="86">
        <f t="shared" si="55"/>
        <v>100</v>
      </c>
      <c r="S396" s="83">
        <f t="shared" si="56"/>
        <v>695</v>
      </c>
      <c r="T396" s="83">
        <f>'[2]GULFSTREAM NON-FIRM'!H407</f>
        <v>50</v>
      </c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</row>
    <row r="397" spans="1:30" ht="15.75" hidden="1" x14ac:dyDescent="0.25">
      <c r="A397" s="33">
        <v>53021</v>
      </c>
      <c r="B397" s="96">
        <v>28</v>
      </c>
      <c r="C397" s="83">
        <f>'[2]FGT PRIMARY FIRM ZONE 1'!V408</f>
        <v>122.58</v>
      </c>
      <c r="D397" s="83">
        <f>'[2]FGT PRIMARY FIRM ZONE 2'!V408</f>
        <v>297.94100000000003</v>
      </c>
      <c r="E397" s="92">
        <f>'[2]FGT PRIMARY FIRM ZONE 3'!V408</f>
        <v>89.177000000000007</v>
      </c>
      <c r="F397" s="83">
        <f>'[2]FGT FIRM ZONE 3 MOBILE BAY-DES'!V408-40-60-100</f>
        <v>40.301999999999992</v>
      </c>
      <c r="G397" s="86">
        <v>40</v>
      </c>
      <c r="H397" s="83">
        <f>60+100</f>
        <v>160</v>
      </c>
      <c r="I397" s="83">
        <f t="shared" si="59"/>
        <v>0</v>
      </c>
      <c r="J397" s="86">
        <v>100</v>
      </c>
      <c r="K397" s="86">
        <v>300</v>
      </c>
      <c r="L397" s="83">
        <f t="shared" si="53"/>
        <v>1150</v>
      </c>
      <c r="M397" s="94">
        <v>600</v>
      </c>
      <c r="N397" s="83">
        <f>'[2]FGT NON-FIRM'!P408</f>
        <v>100</v>
      </c>
      <c r="O397" s="86">
        <v>240</v>
      </c>
      <c r="P397" s="86">
        <v>40</v>
      </c>
      <c r="Q397" s="86">
        <f t="shared" si="54"/>
        <v>315</v>
      </c>
      <c r="R397" s="86">
        <f t="shared" si="55"/>
        <v>100</v>
      </c>
      <c r="S397" s="83">
        <f t="shared" si="56"/>
        <v>695</v>
      </c>
      <c r="T397" s="83">
        <f>'[2]GULFSTREAM NON-FIRM'!H408</f>
        <v>50</v>
      </c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</row>
    <row r="398" spans="1:30" ht="15.75" hidden="1" x14ac:dyDescent="0.25">
      <c r="A398" s="33">
        <v>53052</v>
      </c>
      <c r="B398" s="96">
        <v>31</v>
      </c>
      <c r="C398" s="83">
        <f>'[2]FGT PRIMARY FIRM ZONE 1'!V409</f>
        <v>122.58</v>
      </c>
      <c r="D398" s="83">
        <f>'[2]FGT PRIMARY FIRM ZONE 2'!V409</f>
        <v>297.94100000000003</v>
      </c>
      <c r="E398" s="92">
        <f>'[2]FGT PRIMARY FIRM ZONE 3'!V409</f>
        <v>89.177000000000007</v>
      </c>
      <c r="F398" s="83">
        <f>'[2]FGT FIRM ZONE 3 MOBILE BAY-DES'!V409-40-60-100</f>
        <v>40.301999999999992</v>
      </c>
      <c r="G398" s="86">
        <v>40</v>
      </c>
      <c r="H398" s="83">
        <f>60+100</f>
        <v>160</v>
      </c>
      <c r="I398" s="83">
        <f t="shared" si="59"/>
        <v>0</v>
      </c>
      <c r="J398" s="86">
        <v>100</v>
      </c>
      <c r="K398" s="86">
        <v>300</v>
      </c>
      <c r="L398" s="83">
        <f t="shared" si="53"/>
        <v>1150</v>
      </c>
      <c r="M398" s="94">
        <v>600</v>
      </c>
      <c r="N398" s="83">
        <f>'[2]FGT NON-FIRM'!P409</f>
        <v>100</v>
      </c>
      <c r="O398" s="86">
        <v>240</v>
      </c>
      <c r="P398" s="86">
        <v>40</v>
      </c>
      <c r="Q398" s="86">
        <f t="shared" si="54"/>
        <v>315</v>
      </c>
      <c r="R398" s="86">
        <f t="shared" si="55"/>
        <v>100</v>
      </c>
      <c r="S398" s="83">
        <f t="shared" si="56"/>
        <v>695</v>
      </c>
      <c r="T398" s="83">
        <f>'[2]GULFSTREAM NON-FIRM'!H409</f>
        <v>50</v>
      </c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</row>
    <row r="399" spans="1:30" ht="15.75" hidden="1" x14ac:dyDescent="0.25">
      <c r="A399" s="33">
        <v>53082</v>
      </c>
      <c r="B399" s="96">
        <v>30</v>
      </c>
      <c r="C399" s="83">
        <f>'[2]FGT PRIMARY FIRM ZONE 1'!V410</f>
        <v>141.29300000000001</v>
      </c>
      <c r="D399" s="83">
        <f>'[2]FGT PRIMARY FIRM ZONE 2'!V410</f>
        <v>267.99299999999999</v>
      </c>
      <c r="E399" s="92">
        <f>'[2]FGT PRIMARY FIRM ZONE 3'!V410</f>
        <v>115.01600000000001</v>
      </c>
      <c r="F399" s="83">
        <f>'[2]FGT FIRM ZONE 3 MOBILE BAY-DES'!V410-40-25-60-100</f>
        <v>89.698000000000036</v>
      </c>
      <c r="G399" s="86">
        <v>40</v>
      </c>
      <c r="H399" s="83">
        <f t="shared" ref="H399:H405" si="62">25+60+100</f>
        <v>185</v>
      </c>
      <c r="I399" s="83">
        <f t="shared" si="59"/>
        <v>0</v>
      </c>
      <c r="J399" s="86">
        <v>100</v>
      </c>
      <c r="K399" s="86">
        <v>300</v>
      </c>
      <c r="L399" s="83">
        <f t="shared" si="53"/>
        <v>1239</v>
      </c>
      <c r="M399" s="94">
        <v>600</v>
      </c>
      <c r="N399" s="83">
        <f>'[2]FGT NON-FIRM'!P410</f>
        <v>100</v>
      </c>
      <c r="O399" s="86">
        <v>240</v>
      </c>
      <c r="P399" s="86">
        <v>160</v>
      </c>
      <c r="Q399" s="86">
        <f t="shared" si="54"/>
        <v>195</v>
      </c>
      <c r="R399" s="86">
        <f t="shared" si="55"/>
        <v>100</v>
      </c>
      <c r="S399" s="83">
        <f t="shared" si="56"/>
        <v>695</v>
      </c>
      <c r="T399" s="83">
        <f>'[2]GULFSTREAM NON-FIRM'!H410</f>
        <v>50</v>
      </c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</row>
    <row r="400" spans="1:30" ht="15.75" hidden="1" x14ac:dyDescent="0.25">
      <c r="A400" s="33">
        <v>53113</v>
      </c>
      <c r="B400" s="96">
        <v>31</v>
      </c>
      <c r="C400" s="83">
        <f>'[2]FGT PRIMARY FIRM ZONE 1'!V411</f>
        <v>194.20499999999998</v>
      </c>
      <c r="D400" s="83">
        <f>'[2]FGT PRIMARY FIRM ZONE 2'!V411</f>
        <v>267.46600000000001</v>
      </c>
      <c r="E400" s="92">
        <f>'[2]FGT PRIMARY FIRM ZONE 3'!V411</f>
        <v>133.845</v>
      </c>
      <c r="F400" s="83">
        <f>'[2]FGT FIRM ZONE 3 MOBILE BAY-DES'!V411-40-25-60-100</f>
        <v>53.48399999999998</v>
      </c>
      <c r="G400" s="86">
        <v>40</v>
      </c>
      <c r="H400" s="83">
        <f t="shared" si="62"/>
        <v>185</v>
      </c>
      <c r="I400" s="83">
        <f t="shared" si="59"/>
        <v>0</v>
      </c>
      <c r="J400" s="86">
        <v>100</v>
      </c>
      <c r="K400" s="86">
        <v>300</v>
      </c>
      <c r="L400" s="83">
        <f t="shared" si="53"/>
        <v>1274</v>
      </c>
      <c r="M400" s="94">
        <v>600</v>
      </c>
      <c r="N400" s="83">
        <f>'[2]FGT NON-FIRM'!P411</f>
        <v>75</v>
      </c>
      <c r="O400" s="86">
        <v>240</v>
      </c>
      <c r="P400" s="86">
        <v>160</v>
      </c>
      <c r="Q400" s="86">
        <f t="shared" si="54"/>
        <v>195</v>
      </c>
      <c r="R400" s="86">
        <f t="shared" si="55"/>
        <v>100</v>
      </c>
      <c r="S400" s="83">
        <f t="shared" si="56"/>
        <v>695</v>
      </c>
      <c r="T400" s="83">
        <f>'[2]GULFSTREAM NON-FIRM'!H411</f>
        <v>50</v>
      </c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</row>
    <row r="401" spans="1:30" ht="15.75" hidden="1" x14ac:dyDescent="0.25">
      <c r="A401" s="33">
        <v>53143</v>
      </c>
      <c r="B401" s="96">
        <v>30</v>
      </c>
      <c r="C401" s="83">
        <f>'[2]FGT PRIMARY FIRM ZONE 1'!V412</f>
        <v>194.20499999999998</v>
      </c>
      <c r="D401" s="83">
        <f>'[2]FGT PRIMARY FIRM ZONE 2'!V412</f>
        <v>267.46600000000001</v>
      </c>
      <c r="E401" s="92">
        <f>'[2]FGT PRIMARY FIRM ZONE 3'!V412</f>
        <v>133.845</v>
      </c>
      <c r="F401" s="83">
        <f>'[2]FGT FIRM ZONE 3 MOBILE BAY-DES'!V412-40-25-60-100</f>
        <v>53.48399999999998</v>
      </c>
      <c r="G401" s="86">
        <v>40</v>
      </c>
      <c r="H401" s="83">
        <f t="shared" si="62"/>
        <v>185</v>
      </c>
      <c r="I401" s="83">
        <f t="shared" si="59"/>
        <v>0</v>
      </c>
      <c r="J401" s="86">
        <v>100</v>
      </c>
      <c r="K401" s="86">
        <v>300</v>
      </c>
      <c r="L401" s="83">
        <f t="shared" si="53"/>
        <v>1274</v>
      </c>
      <c r="M401" s="94">
        <v>600</v>
      </c>
      <c r="N401" s="83">
        <f>'[2]FGT NON-FIRM'!P412</f>
        <v>30</v>
      </c>
      <c r="O401" s="86">
        <v>240</v>
      </c>
      <c r="P401" s="86">
        <v>160</v>
      </c>
      <c r="Q401" s="86">
        <f t="shared" si="54"/>
        <v>195</v>
      </c>
      <c r="R401" s="86">
        <f t="shared" si="55"/>
        <v>100</v>
      </c>
      <c r="S401" s="83">
        <f t="shared" si="56"/>
        <v>695</v>
      </c>
      <c r="T401" s="83">
        <f>'[2]GULFSTREAM NON-FIRM'!H412</f>
        <v>50</v>
      </c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</row>
    <row r="402" spans="1:30" ht="15.75" hidden="1" x14ac:dyDescent="0.25">
      <c r="A402" s="33">
        <v>53174</v>
      </c>
      <c r="B402" s="96">
        <v>31</v>
      </c>
      <c r="C402" s="83">
        <f>'[2]FGT PRIMARY FIRM ZONE 1'!V413</f>
        <v>194.20499999999998</v>
      </c>
      <c r="D402" s="83">
        <f>'[2]FGT PRIMARY FIRM ZONE 2'!V413</f>
        <v>267.46600000000001</v>
      </c>
      <c r="E402" s="92">
        <f>'[2]FGT PRIMARY FIRM ZONE 3'!V413</f>
        <v>133.845</v>
      </c>
      <c r="F402" s="83">
        <f>'[2]FGT FIRM ZONE 3 MOBILE BAY-DES'!V413-40-25-60-100</f>
        <v>53.48399999999998</v>
      </c>
      <c r="G402" s="86">
        <v>40</v>
      </c>
      <c r="H402" s="83">
        <f t="shared" si="62"/>
        <v>185</v>
      </c>
      <c r="I402" s="83">
        <f t="shared" si="59"/>
        <v>0</v>
      </c>
      <c r="J402" s="86">
        <v>100</v>
      </c>
      <c r="K402" s="86">
        <v>300</v>
      </c>
      <c r="L402" s="83">
        <f t="shared" si="53"/>
        <v>1274</v>
      </c>
      <c r="M402" s="94">
        <v>600</v>
      </c>
      <c r="N402" s="83">
        <f>'[2]FGT NON-FIRM'!P413</f>
        <v>30</v>
      </c>
      <c r="O402" s="86">
        <v>240</v>
      </c>
      <c r="P402" s="86">
        <v>160</v>
      </c>
      <c r="Q402" s="86">
        <f t="shared" si="54"/>
        <v>195</v>
      </c>
      <c r="R402" s="86">
        <f t="shared" si="55"/>
        <v>100</v>
      </c>
      <c r="S402" s="83">
        <f t="shared" si="56"/>
        <v>695</v>
      </c>
      <c r="T402" s="83">
        <f>'[2]GULFSTREAM NON-FIRM'!H413</f>
        <v>0</v>
      </c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</row>
    <row r="403" spans="1:30" ht="15.75" hidden="1" x14ac:dyDescent="0.25">
      <c r="A403" s="33">
        <v>53205</v>
      </c>
      <c r="B403" s="96">
        <v>31</v>
      </c>
      <c r="C403" s="83">
        <f>'[2]FGT PRIMARY FIRM ZONE 1'!V414</f>
        <v>194.20499999999998</v>
      </c>
      <c r="D403" s="83">
        <f>'[2]FGT PRIMARY FIRM ZONE 2'!V414</f>
        <v>267.46600000000001</v>
      </c>
      <c r="E403" s="92">
        <f>'[2]FGT PRIMARY FIRM ZONE 3'!V414</f>
        <v>133.845</v>
      </c>
      <c r="F403" s="83">
        <f>'[2]FGT FIRM ZONE 3 MOBILE BAY-DES'!V414-40-25-60-100</f>
        <v>53.48399999999998</v>
      </c>
      <c r="G403" s="86">
        <v>40</v>
      </c>
      <c r="H403" s="83">
        <f t="shared" si="62"/>
        <v>185</v>
      </c>
      <c r="I403" s="83">
        <f t="shared" si="59"/>
        <v>0</v>
      </c>
      <c r="J403" s="86">
        <v>100</v>
      </c>
      <c r="K403" s="86">
        <v>300</v>
      </c>
      <c r="L403" s="83">
        <f t="shared" si="53"/>
        <v>1274</v>
      </c>
      <c r="M403" s="94">
        <v>600</v>
      </c>
      <c r="N403" s="83">
        <f>'[2]FGT NON-FIRM'!P414</f>
        <v>30</v>
      </c>
      <c r="O403" s="86">
        <v>240</v>
      </c>
      <c r="P403" s="86">
        <v>160</v>
      </c>
      <c r="Q403" s="86">
        <f t="shared" si="54"/>
        <v>195</v>
      </c>
      <c r="R403" s="86">
        <f t="shared" si="55"/>
        <v>100</v>
      </c>
      <c r="S403" s="83">
        <f t="shared" si="56"/>
        <v>695</v>
      </c>
      <c r="T403" s="83">
        <f>'[2]GULFSTREAM NON-FIRM'!H414</f>
        <v>0</v>
      </c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</row>
    <row r="404" spans="1:30" ht="15.75" hidden="1" x14ac:dyDescent="0.25">
      <c r="A404" s="33">
        <v>53235</v>
      </c>
      <c r="B404" s="96">
        <v>30</v>
      </c>
      <c r="C404" s="83">
        <f>'[2]FGT PRIMARY FIRM ZONE 1'!V415</f>
        <v>194.20499999999998</v>
      </c>
      <c r="D404" s="83">
        <f>'[2]FGT PRIMARY FIRM ZONE 2'!V415</f>
        <v>267.46600000000001</v>
      </c>
      <c r="E404" s="92">
        <f>'[2]FGT PRIMARY FIRM ZONE 3'!V415</f>
        <v>133.845</v>
      </c>
      <c r="F404" s="83">
        <f>'[2]FGT FIRM ZONE 3 MOBILE BAY-DES'!V415-40-25-60-100</f>
        <v>53.48399999999998</v>
      </c>
      <c r="G404" s="86">
        <v>40</v>
      </c>
      <c r="H404" s="83">
        <f t="shared" si="62"/>
        <v>185</v>
      </c>
      <c r="I404" s="83">
        <f t="shared" si="59"/>
        <v>0</v>
      </c>
      <c r="J404" s="86">
        <v>100</v>
      </c>
      <c r="K404" s="86">
        <v>300</v>
      </c>
      <c r="L404" s="83">
        <f t="shared" ref="L404:L467" si="63">SUM(C404:K404)</f>
        <v>1274</v>
      </c>
      <c r="M404" s="94">
        <v>600</v>
      </c>
      <c r="N404" s="83">
        <f>'[2]FGT NON-FIRM'!P415</f>
        <v>30</v>
      </c>
      <c r="O404" s="86">
        <v>240</v>
      </c>
      <c r="P404" s="86">
        <v>160</v>
      </c>
      <c r="Q404" s="86">
        <f t="shared" ref="Q404:Q467" si="64">695-R404-O404-P404</f>
        <v>195</v>
      </c>
      <c r="R404" s="86">
        <f t="shared" ref="R404:R467" si="65">200-J404</f>
        <v>100</v>
      </c>
      <c r="S404" s="83">
        <f t="shared" ref="S404:S467" si="66">SUM(O404:R404)</f>
        <v>695</v>
      </c>
      <c r="T404" s="83">
        <f>'[2]GULFSTREAM NON-FIRM'!H415</f>
        <v>0</v>
      </c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</row>
    <row r="405" spans="1:30" ht="15.75" hidden="1" x14ac:dyDescent="0.25">
      <c r="A405" s="33">
        <v>53266</v>
      </c>
      <c r="B405" s="96">
        <v>31</v>
      </c>
      <c r="C405" s="83">
        <f>'[2]FGT PRIMARY FIRM ZONE 1'!V416</f>
        <v>131.881</v>
      </c>
      <c r="D405" s="83">
        <f>'[2]FGT PRIMARY FIRM ZONE 2'!V416</f>
        <v>277.16699999999997</v>
      </c>
      <c r="E405" s="92">
        <f>'[2]FGT PRIMARY FIRM ZONE 3'!V416</f>
        <v>79.08</v>
      </c>
      <c r="F405" s="83">
        <f>'[2]FGT FIRM ZONE 3 MOBILE BAY-DES'!V416-40-25-60-100</f>
        <v>125.87199999999996</v>
      </c>
      <c r="G405" s="86">
        <v>40</v>
      </c>
      <c r="H405" s="83">
        <f t="shared" si="62"/>
        <v>185</v>
      </c>
      <c r="I405" s="83">
        <f t="shared" si="59"/>
        <v>0</v>
      </c>
      <c r="J405" s="86">
        <v>100</v>
      </c>
      <c r="K405" s="86">
        <v>300</v>
      </c>
      <c r="L405" s="83">
        <f t="shared" si="63"/>
        <v>1239</v>
      </c>
      <c r="M405" s="94">
        <v>600</v>
      </c>
      <c r="N405" s="83">
        <f>'[2]FGT NON-FIRM'!P416</f>
        <v>75</v>
      </c>
      <c r="O405" s="86">
        <v>240</v>
      </c>
      <c r="P405" s="86">
        <v>160</v>
      </c>
      <c r="Q405" s="86">
        <f t="shared" si="64"/>
        <v>195</v>
      </c>
      <c r="R405" s="86">
        <f t="shared" si="65"/>
        <v>100</v>
      </c>
      <c r="S405" s="83">
        <f t="shared" si="66"/>
        <v>695</v>
      </c>
      <c r="T405" s="83">
        <f>'[2]GULFSTREAM NON-FIRM'!H416</f>
        <v>0</v>
      </c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</row>
    <row r="406" spans="1:30" ht="15.75" hidden="1" x14ac:dyDescent="0.25">
      <c r="A406" s="33">
        <v>53296</v>
      </c>
      <c r="B406" s="96">
        <v>30</v>
      </c>
      <c r="C406" s="83">
        <f>'[2]FGT PRIMARY FIRM ZONE 1'!V417</f>
        <v>122.58</v>
      </c>
      <c r="D406" s="83">
        <f>'[2]FGT PRIMARY FIRM ZONE 2'!V417</f>
        <v>297.94100000000003</v>
      </c>
      <c r="E406" s="92">
        <f>'[2]FGT PRIMARY FIRM ZONE 3'!V417</f>
        <v>89.177000000000007</v>
      </c>
      <c r="F406" s="83">
        <f>'[2]FGT FIRM ZONE 3 MOBILE BAY-DES'!V417-40-60-100</f>
        <v>40.301999999999992</v>
      </c>
      <c r="G406" s="86">
        <v>40</v>
      </c>
      <c r="H406" s="83">
        <f>60+100</f>
        <v>160</v>
      </c>
      <c r="I406" s="83">
        <f t="shared" si="59"/>
        <v>0</v>
      </c>
      <c r="J406" s="86">
        <v>100</v>
      </c>
      <c r="K406" s="86">
        <v>300</v>
      </c>
      <c r="L406" s="83">
        <f t="shared" si="63"/>
        <v>1150</v>
      </c>
      <c r="M406" s="94">
        <v>600</v>
      </c>
      <c r="N406" s="83">
        <f>'[2]FGT NON-FIRM'!P417</f>
        <v>100</v>
      </c>
      <c r="O406" s="86">
        <v>240</v>
      </c>
      <c r="P406" s="86">
        <v>40</v>
      </c>
      <c r="Q406" s="86">
        <f t="shared" si="64"/>
        <v>315</v>
      </c>
      <c r="R406" s="86">
        <f t="shared" si="65"/>
        <v>100</v>
      </c>
      <c r="S406" s="83">
        <f t="shared" si="66"/>
        <v>695</v>
      </c>
      <c r="T406" s="83">
        <f>'[2]GULFSTREAM NON-FIRM'!H417</f>
        <v>50</v>
      </c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</row>
    <row r="407" spans="1:30" ht="15.75" hidden="1" x14ac:dyDescent="0.25">
      <c r="A407" s="33">
        <v>53327</v>
      </c>
      <c r="B407" s="96">
        <v>31</v>
      </c>
      <c r="C407" s="83">
        <f>'[2]FGT PRIMARY FIRM ZONE 1'!V418</f>
        <v>122.58</v>
      </c>
      <c r="D407" s="83">
        <f>'[2]FGT PRIMARY FIRM ZONE 2'!V418</f>
        <v>297.94100000000003</v>
      </c>
      <c r="E407" s="92">
        <f>'[2]FGT PRIMARY FIRM ZONE 3'!V418</f>
        <v>89.177000000000007</v>
      </c>
      <c r="F407" s="83">
        <f>'[2]FGT FIRM ZONE 3 MOBILE BAY-DES'!V418-40-60-100</f>
        <v>40.301999999999992</v>
      </c>
      <c r="G407" s="86">
        <v>40</v>
      </c>
      <c r="H407" s="83">
        <f>60+100</f>
        <v>160</v>
      </c>
      <c r="I407" s="83">
        <f t="shared" si="59"/>
        <v>0</v>
      </c>
      <c r="J407" s="86">
        <v>100</v>
      </c>
      <c r="K407" s="86">
        <v>300</v>
      </c>
      <c r="L407" s="83">
        <f t="shared" si="63"/>
        <v>1150</v>
      </c>
      <c r="M407" s="94">
        <v>600</v>
      </c>
      <c r="N407" s="83">
        <f>'[2]FGT NON-FIRM'!P418</f>
        <v>100</v>
      </c>
      <c r="O407" s="86">
        <v>240</v>
      </c>
      <c r="P407" s="86">
        <v>40</v>
      </c>
      <c r="Q407" s="86">
        <f t="shared" si="64"/>
        <v>315</v>
      </c>
      <c r="R407" s="86">
        <f t="shared" si="65"/>
        <v>100</v>
      </c>
      <c r="S407" s="83">
        <f t="shared" si="66"/>
        <v>695</v>
      </c>
      <c r="T407" s="83">
        <f>'[2]GULFSTREAM NON-FIRM'!H418</f>
        <v>50</v>
      </c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</row>
    <row r="408" spans="1:30" ht="15.75" hidden="1" x14ac:dyDescent="0.25">
      <c r="A408" s="33">
        <v>53358</v>
      </c>
      <c r="B408" s="96">
        <v>31</v>
      </c>
      <c r="C408" s="83">
        <f>'[2]FGT PRIMARY FIRM ZONE 1'!V419</f>
        <v>122.58</v>
      </c>
      <c r="D408" s="83">
        <f>'[2]FGT PRIMARY FIRM ZONE 2'!V419</f>
        <v>297.94100000000003</v>
      </c>
      <c r="E408" s="92">
        <f>'[2]FGT PRIMARY FIRM ZONE 3'!V419</f>
        <v>89.177000000000007</v>
      </c>
      <c r="F408" s="83">
        <f>'[2]FGT FIRM ZONE 3 MOBILE BAY-DES'!V419-40-60-100</f>
        <v>40.301999999999992</v>
      </c>
      <c r="G408" s="86">
        <v>40</v>
      </c>
      <c r="H408" s="83">
        <f>60+100</f>
        <v>160</v>
      </c>
      <c r="I408" s="83">
        <f t="shared" si="59"/>
        <v>0</v>
      </c>
      <c r="J408" s="86">
        <v>100</v>
      </c>
      <c r="K408" s="86">
        <v>300</v>
      </c>
      <c r="L408" s="83">
        <f t="shared" si="63"/>
        <v>1150</v>
      </c>
      <c r="M408" s="94">
        <v>600</v>
      </c>
      <c r="N408" s="83">
        <f>'[2]FGT NON-FIRM'!P419</f>
        <v>100</v>
      </c>
      <c r="O408" s="86">
        <v>240</v>
      </c>
      <c r="P408" s="86">
        <v>40</v>
      </c>
      <c r="Q408" s="86">
        <f t="shared" si="64"/>
        <v>315</v>
      </c>
      <c r="R408" s="86">
        <f t="shared" si="65"/>
        <v>100</v>
      </c>
      <c r="S408" s="83">
        <f t="shared" si="66"/>
        <v>695</v>
      </c>
      <c r="T408" s="83">
        <f>'[2]GULFSTREAM NON-FIRM'!H419</f>
        <v>50</v>
      </c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</row>
    <row r="409" spans="1:30" ht="15.75" hidden="1" x14ac:dyDescent="0.25">
      <c r="A409" s="33">
        <v>53386</v>
      </c>
      <c r="B409" s="96">
        <v>28</v>
      </c>
      <c r="C409" s="83">
        <f>'[2]FGT PRIMARY FIRM ZONE 1'!V420</f>
        <v>122.58</v>
      </c>
      <c r="D409" s="83">
        <f>'[2]FGT PRIMARY FIRM ZONE 2'!V420</f>
        <v>297.94100000000003</v>
      </c>
      <c r="E409" s="92">
        <f>'[2]FGT PRIMARY FIRM ZONE 3'!V420</f>
        <v>89.177000000000007</v>
      </c>
      <c r="F409" s="83">
        <f>'[2]FGT FIRM ZONE 3 MOBILE BAY-DES'!V420-40-60-100</f>
        <v>40.301999999999992</v>
      </c>
      <c r="G409" s="86">
        <v>40</v>
      </c>
      <c r="H409" s="83">
        <f>60+100</f>
        <v>160</v>
      </c>
      <c r="I409" s="83">
        <f t="shared" si="59"/>
        <v>0</v>
      </c>
      <c r="J409" s="86">
        <v>100</v>
      </c>
      <c r="K409" s="86">
        <v>300</v>
      </c>
      <c r="L409" s="83">
        <f t="shared" si="63"/>
        <v>1150</v>
      </c>
      <c r="M409" s="94">
        <v>600</v>
      </c>
      <c r="N409" s="83">
        <f>'[2]FGT NON-FIRM'!P420</f>
        <v>100</v>
      </c>
      <c r="O409" s="86">
        <v>240</v>
      </c>
      <c r="P409" s="86">
        <v>40</v>
      </c>
      <c r="Q409" s="86">
        <f t="shared" si="64"/>
        <v>315</v>
      </c>
      <c r="R409" s="86">
        <f t="shared" si="65"/>
        <v>100</v>
      </c>
      <c r="S409" s="83">
        <f t="shared" si="66"/>
        <v>695</v>
      </c>
      <c r="T409" s="83">
        <f>'[2]GULFSTREAM NON-FIRM'!H420</f>
        <v>50</v>
      </c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</row>
    <row r="410" spans="1:30" ht="15.75" hidden="1" x14ac:dyDescent="0.25">
      <c r="A410" s="33">
        <v>53417</v>
      </c>
      <c r="B410" s="96">
        <v>31</v>
      </c>
      <c r="C410" s="83">
        <f>'[2]FGT PRIMARY FIRM ZONE 1'!V421</f>
        <v>122.58</v>
      </c>
      <c r="D410" s="83">
        <f>'[2]FGT PRIMARY FIRM ZONE 2'!V421</f>
        <v>297.94100000000003</v>
      </c>
      <c r="E410" s="92">
        <f>'[2]FGT PRIMARY FIRM ZONE 3'!V421</f>
        <v>89.177000000000007</v>
      </c>
      <c r="F410" s="83">
        <f>'[2]FGT FIRM ZONE 3 MOBILE BAY-DES'!V421-40-60-100</f>
        <v>40.301999999999992</v>
      </c>
      <c r="G410" s="86">
        <v>40</v>
      </c>
      <c r="H410" s="83">
        <f>60+100</f>
        <v>160</v>
      </c>
      <c r="I410" s="83">
        <f t="shared" si="59"/>
        <v>0</v>
      </c>
      <c r="J410" s="86">
        <v>100</v>
      </c>
      <c r="K410" s="86">
        <v>300</v>
      </c>
      <c r="L410" s="83">
        <f t="shared" si="63"/>
        <v>1150</v>
      </c>
      <c r="M410" s="94">
        <v>600</v>
      </c>
      <c r="N410" s="83">
        <f>'[2]FGT NON-FIRM'!P421</f>
        <v>100</v>
      </c>
      <c r="O410" s="86">
        <v>240</v>
      </c>
      <c r="P410" s="86">
        <v>40</v>
      </c>
      <c r="Q410" s="86">
        <f t="shared" si="64"/>
        <v>315</v>
      </c>
      <c r="R410" s="86">
        <f t="shared" si="65"/>
        <v>100</v>
      </c>
      <c r="S410" s="83">
        <f t="shared" si="66"/>
        <v>695</v>
      </c>
      <c r="T410" s="83">
        <f>'[2]GULFSTREAM NON-FIRM'!H421</f>
        <v>50</v>
      </c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</row>
    <row r="411" spans="1:30" ht="15.75" hidden="1" x14ac:dyDescent="0.25">
      <c r="A411" s="33">
        <v>53447</v>
      </c>
      <c r="B411" s="96">
        <v>30</v>
      </c>
      <c r="C411" s="83">
        <f>'[2]FGT PRIMARY FIRM ZONE 1'!V422</f>
        <v>141.29300000000001</v>
      </c>
      <c r="D411" s="83">
        <f>'[2]FGT PRIMARY FIRM ZONE 2'!V422</f>
        <v>267.99299999999999</v>
      </c>
      <c r="E411" s="92">
        <f>'[2]FGT PRIMARY FIRM ZONE 3'!V422</f>
        <v>115.01600000000001</v>
      </c>
      <c r="F411" s="83">
        <f>'[2]FGT FIRM ZONE 3 MOBILE BAY-DES'!V422-40-25-60-100</f>
        <v>89.698000000000036</v>
      </c>
      <c r="G411" s="86">
        <v>40</v>
      </c>
      <c r="H411" s="83">
        <f t="shared" ref="H411:H417" si="67">25+60+100</f>
        <v>185</v>
      </c>
      <c r="I411" s="83">
        <f t="shared" si="59"/>
        <v>0</v>
      </c>
      <c r="J411" s="86">
        <v>100</v>
      </c>
      <c r="K411" s="86">
        <v>300</v>
      </c>
      <c r="L411" s="83">
        <f t="shared" si="63"/>
        <v>1239</v>
      </c>
      <c r="M411" s="94">
        <v>600</v>
      </c>
      <c r="N411" s="83">
        <f>'[2]FGT NON-FIRM'!P422</f>
        <v>100</v>
      </c>
      <c r="O411" s="86">
        <v>240</v>
      </c>
      <c r="P411" s="86">
        <v>160</v>
      </c>
      <c r="Q411" s="86">
        <f t="shared" si="64"/>
        <v>195</v>
      </c>
      <c r="R411" s="86">
        <f t="shared" si="65"/>
        <v>100</v>
      </c>
      <c r="S411" s="83">
        <f t="shared" si="66"/>
        <v>695</v>
      </c>
      <c r="T411" s="83">
        <f>'[2]GULFSTREAM NON-FIRM'!H422</f>
        <v>50</v>
      </c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</row>
    <row r="412" spans="1:30" ht="15.75" hidden="1" x14ac:dyDescent="0.25">
      <c r="A412" s="33">
        <v>53478</v>
      </c>
      <c r="B412" s="96">
        <v>31</v>
      </c>
      <c r="C412" s="83">
        <f>'[2]FGT PRIMARY FIRM ZONE 1'!V423</f>
        <v>194.20499999999998</v>
      </c>
      <c r="D412" s="83">
        <f>'[2]FGT PRIMARY FIRM ZONE 2'!V423</f>
        <v>267.46600000000001</v>
      </c>
      <c r="E412" s="92">
        <f>'[2]FGT PRIMARY FIRM ZONE 3'!V423</f>
        <v>133.845</v>
      </c>
      <c r="F412" s="83">
        <f>'[2]FGT FIRM ZONE 3 MOBILE BAY-DES'!V423-40-25-60-100</f>
        <v>53.48399999999998</v>
      </c>
      <c r="G412" s="86">
        <v>40</v>
      </c>
      <c r="H412" s="83">
        <f t="shared" si="67"/>
        <v>185</v>
      </c>
      <c r="I412" s="83">
        <f t="shared" si="59"/>
        <v>0</v>
      </c>
      <c r="J412" s="86">
        <v>100</v>
      </c>
      <c r="K412" s="86">
        <v>300</v>
      </c>
      <c r="L412" s="83">
        <f t="shared" si="63"/>
        <v>1274</v>
      </c>
      <c r="M412" s="94">
        <v>600</v>
      </c>
      <c r="N412" s="83">
        <f>'[2]FGT NON-FIRM'!P423</f>
        <v>75</v>
      </c>
      <c r="O412" s="86">
        <v>240</v>
      </c>
      <c r="P412" s="86">
        <v>160</v>
      </c>
      <c r="Q412" s="86">
        <f t="shared" si="64"/>
        <v>195</v>
      </c>
      <c r="R412" s="86">
        <f t="shared" si="65"/>
        <v>100</v>
      </c>
      <c r="S412" s="83">
        <f t="shared" si="66"/>
        <v>695</v>
      </c>
      <c r="T412" s="83">
        <f>'[2]GULFSTREAM NON-FIRM'!H423</f>
        <v>50</v>
      </c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</row>
    <row r="413" spans="1:30" ht="15.75" hidden="1" x14ac:dyDescent="0.25">
      <c r="A413" s="33">
        <v>53508</v>
      </c>
      <c r="B413" s="96">
        <v>30</v>
      </c>
      <c r="C413" s="83">
        <f>'[2]FGT PRIMARY FIRM ZONE 1'!V424</f>
        <v>194.20499999999998</v>
      </c>
      <c r="D413" s="83">
        <f>'[2]FGT PRIMARY FIRM ZONE 2'!V424</f>
        <v>267.46600000000001</v>
      </c>
      <c r="E413" s="92">
        <f>'[2]FGT PRIMARY FIRM ZONE 3'!V424</f>
        <v>133.845</v>
      </c>
      <c r="F413" s="83">
        <f>'[2]FGT FIRM ZONE 3 MOBILE BAY-DES'!V424-40-25-60-100</f>
        <v>53.48399999999998</v>
      </c>
      <c r="G413" s="86">
        <v>40</v>
      </c>
      <c r="H413" s="83">
        <f t="shared" si="67"/>
        <v>185</v>
      </c>
      <c r="I413" s="83">
        <f t="shared" si="59"/>
        <v>0</v>
      </c>
      <c r="J413" s="86">
        <v>100</v>
      </c>
      <c r="K413" s="86">
        <v>300</v>
      </c>
      <c r="L413" s="83">
        <f t="shared" si="63"/>
        <v>1274</v>
      </c>
      <c r="M413" s="94">
        <v>600</v>
      </c>
      <c r="N413" s="83">
        <f>'[2]FGT NON-FIRM'!P424</f>
        <v>30</v>
      </c>
      <c r="O413" s="86">
        <v>240</v>
      </c>
      <c r="P413" s="86">
        <v>160</v>
      </c>
      <c r="Q413" s="86">
        <f t="shared" si="64"/>
        <v>195</v>
      </c>
      <c r="R413" s="86">
        <f t="shared" si="65"/>
        <v>100</v>
      </c>
      <c r="S413" s="83">
        <f t="shared" si="66"/>
        <v>695</v>
      </c>
      <c r="T413" s="83">
        <f>'[2]GULFSTREAM NON-FIRM'!H424</f>
        <v>50</v>
      </c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</row>
    <row r="414" spans="1:30" ht="15.75" hidden="1" x14ac:dyDescent="0.25">
      <c r="A414" s="33">
        <v>53539</v>
      </c>
      <c r="B414" s="96">
        <v>31</v>
      </c>
      <c r="C414" s="83">
        <f>'[2]FGT PRIMARY FIRM ZONE 1'!V425</f>
        <v>194.20499999999998</v>
      </c>
      <c r="D414" s="83">
        <f>'[2]FGT PRIMARY FIRM ZONE 2'!V425</f>
        <v>267.46600000000001</v>
      </c>
      <c r="E414" s="92">
        <f>'[2]FGT PRIMARY FIRM ZONE 3'!V425</f>
        <v>133.845</v>
      </c>
      <c r="F414" s="83">
        <f>'[2]FGT FIRM ZONE 3 MOBILE BAY-DES'!V425-40-25-60-100</f>
        <v>53.48399999999998</v>
      </c>
      <c r="G414" s="86">
        <v>40</v>
      </c>
      <c r="H414" s="83">
        <f t="shared" si="67"/>
        <v>185</v>
      </c>
      <c r="I414" s="83">
        <f t="shared" si="59"/>
        <v>0</v>
      </c>
      <c r="J414" s="86">
        <v>100</v>
      </c>
      <c r="K414" s="86">
        <v>300</v>
      </c>
      <c r="L414" s="83">
        <f t="shared" si="63"/>
        <v>1274</v>
      </c>
      <c r="M414" s="94">
        <v>600</v>
      </c>
      <c r="N414" s="83">
        <f>'[2]FGT NON-FIRM'!P425</f>
        <v>30</v>
      </c>
      <c r="O414" s="86">
        <v>240</v>
      </c>
      <c r="P414" s="86">
        <v>160</v>
      </c>
      <c r="Q414" s="86">
        <f t="shared" si="64"/>
        <v>195</v>
      </c>
      <c r="R414" s="86">
        <f t="shared" si="65"/>
        <v>100</v>
      </c>
      <c r="S414" s="83">
        <f t="shared" si="66"/>
        <v>695</v>
      </c>
      <c r="T414" s="83">
        <f>'[2]GULFSTREAM NON-FIRM'!H425</f>
        <v>0</v>
      </c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</row>
    <row r="415" spans="1:30" ht="15.75" hidden="1" x14ac:dyDescent="0.25">
      <c r="A415" s="33">
        <v>53570</v>
      </c>
      <c r="B415" s="96">
        <v>31</v>
      </c>
      <c r="C415" s="83">
        <f>'[2]FGT PRIMARY FIRM ZONE 1'!V426</f>
        <v>194.20499999999998</v>
      </c>
      <c r="D415" s="83">
        <f>'[2]FGT PRIMARY FIRM ZONE 2'!V426</f>
        <v>267.46600000000001</v>
      </c>
      <c r="E415" s="92">
        <f>'[2]FGT PRIMARY FIRM ZONE 3'!V426</f>
        <v>133.845</v>
      </c>
      <c r="F415" s="83">
        <f>'[2]FGT FIRM ZONE 3 MOBILE BAY-DES'!V426-40-25-60-100</f>
        <v>53.48399999999998</v>
      </c>
      <c r="G415" s="86">
        <v>40</v>
      </c>
      <c r="H415" s="83">
        <f t="shared" si="67"/>
        <v>185</v>
      </c>
      <c r="I415" s="83">
        <f t="shared" si="59"/>
        <v>0</v>
      </c>
      <c r="J415" s="86">
        <v>100</v>
      </c>
      <c r="K415" s="86">
        <v>300</v>
      </c>
      <c r="L415" s="83">
        <f t="shared" si="63"/>
        <v>1274</v>
      </c>
      <c r="M415" s="94">
        <v>600</v>
      </c>
      <c r="N415" s="83">
        <f>'[2]FGT NON-FIRM'!P426</f>
        <v>30</v>
      </c>
      <c r="O415" s="86">
        <v>240</v>
      </c>
      <c r="P415" s="86">
        <v>160</v>
      </c>
      <c r="Q415" s="86">
        <f t="shared" si="64"/>
        <v>195</v>
      </c>
      <c r="R415" s="86">
        <f t="shared" si="65"/>
        <v>100</v>
      </c>
      <c r="S415" s="83">
        <f t="shared" si="66"/>
        <v>695</v>
      </c>
      <c r="T415" s="83">
        <f>'[2]GULFSTREAM NON-FIRM'!H426</f>
        <v>0</v>
      </c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</row>
    <row r="416" spans="1:30" ht="15.75" hidden="1" x14ac:dyDescent="0.25">
      <c r="A416" s="33">
        <v>53600</v>
      </c>
      <c r="B416" s="96">
        <v>30</v>
      </c>
      <c r="C416" s="83">
        <f>'[2]FGT PRIMARY FIRM ZONE 1'!V427</f>
        <v>194.20499999999998</v>
      </c>
      <c r="D416" s="83">
        <f>'[2]FGT PRIMARY FIRM ZONE 2'!V427</f>
        <v>267.46600000000001</v>
      </c>
      <c r="E416" s="92">
        <f>'[2]FGT PRIMARY FIRM ZONE 3'!V427</f>
        <v>133.845</v>
      </c>
      <c r="F416" s="83">
        <f>'[2]FGT FIRM ZONE 3 MOBILE BAY-DES'!V427-40-25-60-100</f>
        <v>53.48399999999998</v>
      </c>
      <c r="G416" s="86">
        <v>40</v>
      </c>
      <c r="H416" s="83">
        <f t="shared" si="67"/>
        <v>185</v>
      </c>
      <c r="I416" s="83">
        <f t="shared" si="59"/>
        <v>0</v>
      </c>
      <c r="J416" s="86">
        <v>100</v>
      </c>
      <c r="K416" s="86">
        <v>300</v>
      </c>
      <c r="L416" s="83">
        <f t="shared" si="63"/>
        <v>1274</v>
      </c>
      <c r="M416" s="94">
        <v>600</v>
      </c>
      <c r="N416" s="83">
        <f>'[2]FGT NON-FIRM'!P427</f>
        <v>30</v>
      </c>
      <c r="O416" s="86">
        <v>240</v>
      </c>
      <c r="P416" s="86">
        <v>160</v>
      </c>
      <c r="Q416" s="86">
        <f t="shared" si="64"/>
        <v>195</v>
      </c>
      <c r="R416" s="86">
        <f t="shared" si="65"/>
        <v>100</v>
      </c>
      <c r="S416" s="83">
        <f t="shared" si="66"/>
        <v>695</v>
      </c>
      <c r="T416" s="83">
        <f>'[2]GULFSTREAM NON-FIRM'!H427</f>
        <v>0</v>
      </c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</row>
    <row r="417" spans="1:30" ht="15.75" hidden="1" x14ac:dyDescent="0.25">
      <c r="A417" s="33">
        <v>53631</v>
      </c>
      <c r="B417" s="96">
        <v>31</v>
      </c>
      <c r="C417" s="83">
        <f>'[2]FGT PRIMARY FIRM ZONE 1'!V428</f>
        <v>131.881</v>
      </c>
      <c r="D417" s="83">
        <f>'[2]FGT PRIMARY FIRM ZONE 2'!V428</f>
        <v>277.16699999999997</v>
      </c>
      <c r="E417" s="92">
        <f>'[2]FGT PRIMARY FIRM ZONE 3'!V428</f>
        <v>79.08</v>
      </c>
      <c r="F417" s="83">
        <f>'[2]FGT FIRM ZONE 3 MOBILE BAY-DES'!V428-40-25-60-100</f>
        <v>125.87199999999996</v>
      </c>
      <c r="G417" s="86">
        <v>40</v>
      </c>
      <c r="H417" s="83">
        <f t="shared" si="67"/>
        <v>185</v>
      </c>
      <c r="I417" s="83">
        <f t="shared" si="59"/>
        <v>0</v>
      </c>
      <c r="J417" s="86">
        <v>100</v>
      </c>
      <c r="K417" s="86">
        <v>300</v>
      </c>
      <c r="L417" s="83">
        <f t="shared" si="63"/>
        <v>1239</v>
      </c>
      <c r="M417" s="94">
        <v>600</v>
      </c>
      <c r="N417" s="83">
        <f>'[2]FGT NON-FIRM'!P428</f>
        <v>75</v>
      </c>
      <c r="O417" s="86">
        <v>240</v>
      </c>
      <c r="P417" s="86">
        <v>160</v>
      </c>
      <c r="Q417" s="86">
        <f t="shared" si="64"/>
        <v>195</v>
      </c>
      <c r="R417" s="86">
        <f t="shared" si="65"/>
        <v>100</v>
      </c>
      <c r="S417" s="83">
        <f t="shared" si="66"/>
        <v>695</v>
      </c>
      <c r="T417" s="83">
        <f>'[2]GULFSTREAM NON-FIRM'!H428</f>
        <v>0</v>
      </c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</row>
    <row r="418" spans="1:30" ht="15.75" hidden="1" x14ac:dyDescent="0.25">
      <c r="A418" s="33">
        <v>53661</v>
      </c>
      <c r="B418" s="96">
        <v>30</v>
      </c>
      <c r="C418" s="83">
        <f>'[2]FGT PRIMARY FIRM ZONE 1'!V429</f>
        <v>122.58</v>
      </c>
      <c r="D418" s="83">
        <f>'[2]FGT PRIMARY FIRM ZONE 2'!V429</f>
        <v>297.94100000000003</v>
      </c>
      <c r="E418" s="92">
        <f>'[2]FGT PRIMARY FIRM ZONE 3'!V429</f>
        <v>89.177000000000007</v>
      </c>
      <c r="F418" s="83">
        <f>'[2]FGT FIRM ZONE 3 MOBILE BAY-DES'!V429-40-60-100</f>
        <v>40.301999999999992</v>
      </c>
      <c r="G418" s="86">
        <v>40</v>
      </c>
      <c r="H418" s="83">
        <f>60+100</f>
        <v>160</v>
      </c>
      <c r="I418" s="83">
        <f t="shared" si="59"/>
        <v>0</v>
      </c>
      <c r="J418" s="86">
        <v>100</v>
      </c>
      <c r="K418" s="86">
        <v>300</v>
      </c>
      <c r="L418" s="83">
        <f t="shared" si="63"/>
        <v>1150</v>
      </c>
      <c r="M418" s="94">
        <v>600</v>
      </c>
      <c r="N418" s="83">
        <f>'[2]FGT NON-FIRM'!P429</f>
        <v>100</v>
      </c>
      <c r="O418" s="86">
        <v>240</v>
      </c>
      <c r="P418" s="86">
        <v>40</v>
      </c>
      <c r="Q418" s="86">
        <f t="shared" si="64"/>
        <v>315</v>
      </c>
      <c r="R418" s="86">
        <f t="shared" si="65"/>
        <v>100</v>
      </c>
      <c r="S418" s="83">
        <f t="shared" si="66"/>
        <v>695</v>
      </c>
      <c r="T418" s="83">
        <f>'[2]GULFSTREAM NON-FIRM'!H429</f>
        <v>50</v>
      </c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</row>
    <row r="419" spans="1:30" ht="15.75" hidden="1" x14ac:dyDescent="0.25">
      <c r="A419" s="33">
        <v>53692</v>
      </c>
      <c r="B419" s="96">
        <v>31</v>
      </c>
      <c r="C419" s="83">
        <f>'[2]FGT PRIMARY FIRM ZONE 1'!V430</f>
        <v>122.58</v>
      </c>
      <c r="D419" s="83">
        <f>'[2]FGT PRIMARY FIRM ZONE 2'!V430</f>
        <v>297.94100000000003</v>
      </c>
      <c r="E419" s="92">
        <f>'[2]FGT PRIMARY FIRM ZONE 3'!V430</f>
        <v>89.177000000000007</v>
      </c>
      <c r="F419" s="83">
        <f>'[2]FGT FIRM ZONE 3 MOBILE BAY-DES'!V430-40-60-100</f>
        <v>40.301999999999992</v>
      </c>
      <c r="G419" s="86">
        <v>40</v>
      </c>
      <c r="H419" s="83">
        <f>60+100</f>
        <v>160</v>
      </c>
      <c r="I419" s="83">
        <f t="shared" si="59"/>
        <v>0</v>
      </c>
      <c r="J419" s="86">
        <v>100</v>
      </c>
      <c r="K419" s="86">
        <v>300</v>
      </c>
      <c r="L419" s="83">
        <f t="shared" si="63"/>
        <v>1150</v>
      </c>
      <c r="M419" s="94">
        <v>600</v>
      </c>
      <c r="N419" s="83">
        <f>'[2]FGT NON-FIRM'!P430</f>
        <v>100</v>
      </c>
      <c r="O419" s="86">
        <v>240</v>
      </c>
      <c r="P419" s="86">
        <v>40</v>
      </c>
      <c r="Q419" s="86">
        <f t="shared" si="64"/>
        <v>315</v>
      </c>
      <c r="R419" s="86">
        <f t="shared" si="65"/>
        <v>100</v>
      </c>
      <c r="S419" s="83">
        <f t="shared" si="66"/>
        <v>695</v>
      </c>
      <c r="T419" s="83">
        <f>'[2]GULFSTREAM NON-FIRM'!H430</f>
        <v>50</v>
      </c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</row>
    <row r="420" spans="1:30" ht="15.75" hidden="1" x14ac:dyDescent="0.25">
      <c r="A420" s="33">
        <v>53723</v>
      </c>
      <c r="B420" s="96">
        <v>31</v>
      </c>
      <c r="C420" s="83">
        <f>'[2]FGT PRIMARY FIRM ZONE 1'!V431</f>
        <v>122.58</v>
      </c>
      <c r="D420" s="83">
        <f>'[2]FGT PRIMARY FIRM ZONE 2'!V431</f>
        <v>297.94100000000003</v>
      </c>
      <c r="E420" s="92">
        <f>'[2]FGT PRIMARY FIRM ZONE 3'!V431</f>
        <v>89.177000000000007</v>
      </c>
      <c r="F420" s="83">
        <f>'[2]FGT FIRM ZONE 3 MOBILE BAY-DES'!V431-40-60-100</f>
        <v>40.301999999999992</v>
      </c>
      <c r="G420" s="86">
        <v>40</v>
      </c>
      <c r="H420" s="83">
        <f>60+100</f>
        <v>160</v>
      </c>
      <c r="I420" s="83">
        <f t="shared" si="59"/>
        <v>0</v>
      </c>
      <c r="J420" s="86">
        <v>100</v>
      </c>
      <c r="K420" s="86">
        <v>300</v>
      </c>
      <c r="L420" s="83">
        <f t="shared" si="63"/>
        <v>1150</v>
      </c>
      <c r="M420" s="94">
        <v>600</v>
      </c>
      <c r="N420" s="83">
        <f>'[2]FGT NON-FIRM'!P431</f>
        <v>100</v>
      </c>
      <c r="O420" s="86">
        <v>240</v>
      </c>
      <c r="P420" s="86">
        <v>40</v>
      </c>
      <c r="Q420" s="86">
        <f t="shared" si="64"/>
        <v>315</v>
      </c>
      <c r="R420" s="86">
        <f t="shared" si="65"/>
        <v>100</v>
      </c>
      <c r="S420" s="83">
        <f t="shared" si="66"/>
        <v>695</v>
      </c>
      <c r="T420" s="83">
        <f>'[2]GULFSTREAM NON-FIRM'!H431</f>
        <v>50</v>
      </c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</row>
    <row r="421" spans="1:30" ht="15.75" hidden="1" x14ac:dyDescent="0.25">
      <c r="A421" s="33">
        <v>53751</v>
      </c>
      <c r="B421" s="96">
        <v>28</v>
      </c>
      <c r="C421" s="83">
        <f>'[2]FGT PRIMARY FIRM ZONE 1'!V432</f>
        <v>122.58</v>
      </c>
      <c r="D421" s="83">
        <f>'[2]FGT PRIMARY FIRM ZONE 2'!V432</f>
        <v>297.94100000000003</v>
      </c>
      <c r="E421" s="92">
        <f>'[2]FGT PRIMARY FIRM ZONE 3'!V432</f>
        <v>89.177000000000007</v>
      </c>
      <c r="F421" s="83">
        <f>'[2]FGT FIRM ZONE 3 MOBILE BAY-DES'!V432-40-60-100</f>
        <v>40.301999999999992</v>
      </c>
      <c r="G421" s="86">
        <v>40</v>
      </c>
      <c r="H421" s="83">
        <f>60+100</f>
        <v>160</v>
      </c>
      <c r="I421" s="83">
        <f t="shared" si="59"/>
        <v>0</v>
      </c>
      <c r="J421" s="86">
        <v>100</v>
      </c>
      <c r="K421" s="86">
        <v>300</v>
      </c>
      <c r="L421" s="83">
        <f t="shared" si="63"/>
        <v>1150</v>
      </c>
      <c r="M421" s="94">
        <v>600</v>
      </c>
      <c r="N421" s="83">
        <f>'[2]FGT NON-FIRM'!P432</f>
        <v>100</v>
      </c>
      <c r="O421" s="86">
        <v>240</v>
      </c>
      <c r="P421" s="86">
        <v>40</v>
      </c>
      <c r="Q421" s="86">
        <f t="shared" si="64"/>
        <v>315</v>
      </c>
      <c r="R421" s="86">
        <f t="shared" si="65"/>
        <v>100</v>
      </c>
      <c r="S421" s="83">
        <f t="shared" si="66"/>
        <v>695</v>
      </c>
      <c r="T421" s="83">
        <f>'[2]GULFSTREAM NON-FIRM'!H432</f>
        <v>50</v>
      </c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</row>
    <row r="422" spans="1:30" ht="15.75" hidden="1" x14ac:dyDescent="0.25">
      <c r="A422" s="33">
        <v>53782</v>
      </c>
      <c r="B422" s="96">
        <v>31</v>
      </c>
      <c r="C422" s="83">
        <f>'[2]FGT PRIMARY FIRM ZONE 1'!V433</f>
        <v>122.58</v>
      </c>
      <c r="D422" s="83">
        <f>'[2]FGT PRIMARY FIRM ZONE 2'!V433</f>
        <v>297.94100000000003</v>
      </c>
      <c r="E422" s="92">
        <f>'[2]FGT PRIMARY FIRM ZONE 3'!V433</f>
        <v>89.177000000000007</v>
      </c>
      <c r="F422" s="83">
        <f>'[2]FGT FIRM ZONE 3 MOBILE BAY-DES'!V433-40-60-100</f>
        <v>40.301999999999992</v>
      </c>
      <c r="G422" s="86">
        <v>40</v>
      </c>
      <c r="H422" s="83">
        <f>60+100</f>
        <v>160</v>
      </c>
      <c r="I422" s="83">
        <f t="shared" si="59"/>
        <v>0</v>
      </c>
      <c r="J422" s="86">
        <v>100</v>
      </c>
      <c r="K422" s="86">
        <v>300</v>
      </c>
      <c r="L422" s="83">
        <f t="shared" si="63"/>
        <v>1150</v>
      </c>
      <c r="M422" s="94">
        <v>600</v>
      </c>
      <c r="N422" s="83">
        <f>'[2]FGT NON-FIRM'!P433</f>
        <v>100</v>
      </c>
      <c r="O422" s="86">
        <v>240</v>
      </c>
      <c r="P422" s="86">
        <v>40</v>
      </c>
      <c r="Q422" s="86">
        <f t="shared" si="64"/>
        <v>315</v>
      </c>
      <c r="R422" s="86">
        <f t="shared" si="65"/>
        <v>100</v>
      </c>
      <c r="S422" s="83">
        <f t="shared" si="66"/>
        <v>695</v>
      </c>
      <c r="T422" s="83">
        <f>'[2]GULFSTREAM NON-FIRM'!H433</f>
        <v>50</v>
      </c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</row>
    <row r="423" spans="1:30" ht="15.75" hidden="1" x14ac:dyDescent="0.25">
      <c r="A423" s="33">
        <v>53812</v>
      </c>
      <c r="B423" s="96">
        <v>30</v>
      </c>
      <c r="C423" s="83">
        <f>'[2]FGT PRIMARY FIRM ZONE 1'!V434</f>
        <v>141.29300000000001</v>
      </c>
      <c r="D423" s="83">
        <f>'[2]FGT PRIMARY FIRM ZONE 2'!V434</f>
        <v>267.99299999999999</v>
      </c>
      <c r="E423" s="92">
        <f>'[2]FGT PRIMARY FIRM ZONE 3'!V434</f>
        <v>115.01600000000001</v>
      </c>
      <c r="F423" s="83">
        <f>'[2]FGT FIRM ZONE 3 MOBILE BAY-DES'!V434-40-25-60-100</f>
        <v>89.698000000000036</v>
      </c>
      <c r="G423" s="86">
        <v>40</v>
      </c>
      <c r="H423" s="83">
        <f t="shared" ref="H423:H429" si="68">25+60+100</f>
        <v>185</v>
      </c>
      <c r="I423" s="83">
        <f t="shared" si="59"/>
        <v>0</v>
      </c>
      <c r="J423" s="86">
        <v>100</v>
      </c>
      <c r="K423" s="86">
        <v>300</v>
      </c>
      <c r="L423" s="83">
        <f t="shared" si="63"/>
        <v>1239</v>
      </c>
      <c r="M423" s="94">
        <v>600</v>
      </c>
      <c r="N423" s="83">
        <f>'[2]FGT NON-FIRM'!P434</f>
        <v>100</v>
      </c>
      <c r="O423" s="86">
        <v>240</v>
      </c>
      <c r="P423" s="86">
        <v>160</v>
      </c>
      <c r="Q423" s="86">
        <f t="shared" si="64"/>
        <v>195</v>
      </c>
      <c r="R423" s="86">
        <f t="shared" si="65"/>
        <v>100</v>
      </c>
      <c r="S423" s="83">
        <f t="shared" si="66"/>
        <v>695</v>
      </c>
      <c r="T423" s="83">
        <f>'[2]GULFSTREAM NON-FIRM'!H434</f>
        <v>50</v>
      </c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</row>
    <row r="424" spans="1:30" ht="15.75" hidden="1" x14ac:dyDescent="0.25">
      <c r="A424" s="33">
        <v>53843</v>
      </c>
      <c r="B424" s="96">
        <v>31</v>
      </c>
      <c r="C424" s="83">
        <f>'[2]FGT PRIMARY FIRM ZONE 1'!V435</f>
        <v>194.20499999999998</v>
      </c>
      <c r="D424" s="83">
        <f>'[2]FGT PRIMARY FIRM ZONE 2'!V435</f>
        <v>267.46600000000001</v>
      </c>
      <c r="E424" s="92">
        <f>'[2]FGT PRIMARY FIRM ZONE 3'!V435</f>
        <v>133.845</v>
      </c>
      <c r="F424" s="83">
        <f>'[2]FGT FIRM ZONE 3 MOBILE BAY-DES'!V435-40-25-60-100</f>
        <v>53.48399999999998</v>
      </c>
      <c r="G424" s="86">
        <v>40</v>
      </c>
      <c r="H424" s="83">
        <f t="shared" si="68"/>
        <v>185</v>
      </c>
      <c r="I424" s="83">
        <f t="shared" si="59"/>
        <v>0</v>
      </c>
      <c r="J424" s="86">
        <v>100</v>
      </c>
      <c r="K424" s="86">
        <v>300</v>
      </c>
      <c r="L424" s="83">
        <f t="shared" si="63"/>
        <v>1274</v>
      </c>
      <c r="M424" s="94">
        <v>600</v>
      </c>
      <c r="N424" s="83">
        <f>'[2]FGT NON-FIRM'!P435</f>
        <v>75</v>
      </c>
      <c r="O424" s="86">
        <v>240</v>
      </c>
      <c r="P424" s="86">
        <v>160</v>
      </c>
      <c r="Q424" s="86">
        <f t="shared" si="64"/>
        <v>195</v>
      </c>
      <c r="R424" s="86">
        <f t="shared" si="65"/>
        <v>100</v>
      </c>
      <c r="S424" s="83">
        <f t="shared" si="66"/>
        <v>695</v>
      </c>
      <c r="T424" s="83">
        <f>'[2]GULFSTREAM NON-FIRM'!H435</f>
        <v>50</v>
      </c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</row>
    <row r="425" spans="1:30" ht="15.75" hidden="1" x14ac:dyDescent="0.25">
      <c r="A425" s="33">
        <v>53873</v>
      </c>
      <c r="B425" s="96">
        <v>30</v>
      </c>
      <c r="C425" s="83">
        <f>'[2]FGT PRIMARY FIRM ZONE 1'!V436</f>
        <v>194.20499999999998</v>
      </c>
      <c r="D425" s="83">
        <f>'[2]FGT PRIMARY FIRM ZONE 2'!V436</f>
        <v>267.46600000000001</v>
      </c>
      <c r="E425" s="92">
        <f>'[2]FGT PRIMARY FIRM ZONE 3'!V436</f>
        <v>133.845</v>
      </c>
      <c r="F425" s="83">
        <f>'[2]FGT FIRM ZONE 3 MOBILE BAY-DES'!V436-40-25-60-100</f>
        <v>53.48399999999998</v>
      </c>
      <c r="G425" s="86">
        <v>40</v>
      </c>
      <c r="H425" s="83">
        <f t="shared" si="68"/>
        <v>185</v>
      </c>
      <c r="I425" s="83">
        <f t="shared" si="59"/>
        <v>0</v>
      </c>
      <c r="J425" s="86">
        <v>100</v>
      </c>
      <c r="K425" s="86">
        <v>300</v>
      </c>
      <c r="L425" s="83">
        <f t="shared" si="63"/>
        <v>1274</v>
      </c>
      <c r="M425" s="94">
        <v>600</v>
      </c>
      <c r="N425" s="83">
        <f>'[2]FGT NON-FIRM'!P436</f>
        <v>30</v>
      </c>
      <c r="O425" s="86">
        <v>240</v>
      </c>
      <c r="P425" s="86">
        <v>160</v>
      </c>
      <c r="Q425" s="86">
        <f t="shared" si="64"/>
        <v>195</v>
      </c>
      <c r="R425" s="86">
        <f t="shared" si="65"/>
        <v>100</v>
      </c>
      <c r="S425" s="83">
        <f t="shared" si="66"/>
        <v>695</v>
      </c>
      <c r="T425" s="83">
        <f>'[2]GULFSTREAM NON-FIRM'!H436</f>
        <v>50</v>
      </c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</row>
    <row r="426" spans="1:30" ht="15.75" hidden="1" x14ac:dyDescent="0.25">
      <c r="A426" s="33">
        <v>53904</v>
      </c>
      <c r="B426" s="96">
        <v>31</v>
      </c>
      <c r="C426" s="83">
        <f>'[2]FGT PRIMARY FIRM ZONE 1'!V437</f>
        <v>194.20499999999998</v>
      </c>
      <c r="D426" s="83">
        <f>'[2]FGT PRIMARY FIRM ZONE 2'!V437</f>
        <v>267.46600000000001</v>
      </c>
      <c r="E426" s="92">
        <f>'[2]FGT PRIMARY FIRM ZONE 3'!V437</f>
        <v>133.845</v>
      </c>
      <c r="F426" s="83">
        <f>'[2]FGT FIRM ZONE 3 MOBILE BAY-DES'!V437-40-25-60-100</f>
        <v>53.48399999999998</v>
      </c>
      <c r="G426" s="86">
        <v>40</v>
      </c>
      <c r="H426" s="83">
        <f t="shared" si="68"/>
        <v>185</v>
      </c>
      <c r="I426" s="83">
        <f t="shared" si="59"/>
        <v>0</v>
      </c>
      <c r="J426" s="86">
        <v>100</v>
      </c>
      <c r="K426" s="86">
        <v>300</v>
      </c>
      <c r="L426" s="83">
        <f t="shared" si="63"/>
        <v>1274</v>
      </c>
      <c r="M426" s="94">
        <v>600</v>
      </c>
      <c r="N426" s="83">
        <f>'[2]FGT NON-FIRM'!P437</f>
        <v>30</v>
      </c>
      <c r="O426" s="86">
        <v>240</v>
      </c>
      <c r="P426" s="86">
        <v>160</v>
      </c>
      <c r="Q426" s="86">
        <f t="shared" si="64"/>
        <v>195</v>
      </c>
      <c r="R426" s="86">
        <f t="shared" si="65"/>
        <v>100</v>
      </c>
      <c r="S426" s="83">
        <f t="shared" si="66"/>
        <v>695</v>
      </c>
      <c r="T426" s="83">
        <f>'[2]GULFSTREAM NON-FIRM'!H437</f>
        <v>0</v>
      </c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</row>
    <row r="427" spans="1:30" ht="15.75" hidden="1" x14ac:dyDescent="0.25">
      <c r="A427" s="33">
        <v>53935</v>
      </c>
      <c r="B427" s="96">
        <v>31</v>
      </c>
      <c r="C427" s="83">
        <f>'[2]FGT PRIMARY FIRM ZONE 1'!V438</f>
        <v>194.20499999999998</v>
      </c>
      <c r="D427" s="83">
        <f>'[2]FGT PRIMARY FIRM ZONE 2'!V438</f>
        <v>267.46600000000001</v>
      </c>
      <c r="E427" s="92">
        <f>'[2]FGT PRIMARY FIRM ZONE 3'!V438</f>
        <v>133.845</v>
      </c>
      <c r="F427" s="83">
        <f>'[2]FGT FIRM ZONE 3 MOBILE BAY-DES'!V438-40-25-60-100</f>
        <v>53.48399999999998</v>
      </c>
      <c r="G427" s="86">
        <v>40</v>
      </c>
      <c r="H427" s="83">
        <f t="shared" si="68"/>
        <v>185</v>
      </c>
      <c r="I427" s="83">
        <f t="shared" si="59"/>
        <v>0</v>
      </c>
      <c r="J427" s="86">
        <v>100</v>
      </c>
      <c r="K427" s="86">
        <v>300</v>
      </c>
      <c r="L427" s="83">
        <f t="shared" si="63"/>
        <v>1274</v>
      </c>
      <c r="M427" s="94">
        <v>600</v>
      </c>
      <c r="N427" s="83">
        <f>'[2]FGT NON-FIRM'!P438</f>
        <v>30</v>
      </c>
      <c r="O427" s="86">
        <v>240</v>
      </c>
      <c r="P427" s="86">
        <v>160</v>
      </c>
      <c r="Q427" s="86">
        <f t="shared" si="64"/>
        <v>195</v>
      </c>
      <c r="R427" s="86">
        <f t="shared" si="65"/>
        <v>100</v>
      </c>
      <c r="S427" s="83">
        <f t="shared" si="66"/>
        <v>695</v>
      </c>
      <c r="T427" s="83">
        <f>'[2]GULFSTREAM NON-FIRM'!H438</f>
        <v>0</v>
      </c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</row>
    <row r="428" spans="1:30" ht="15.75" hidden="1" x14ac:dyDescent="0.25">
      <c r="A428" s="33">
        <v>53965</v>
      </c>
      <c r="B428" s="96">
        <v>30</v>
      </c>
      <c r="C428" s="83">
        <f>'[2]FGT PRIMARY FIRM ZONE 1'!V439</f>
        <v>194.20499999999998</v>
      </c>
      <c r="D428" s="83">
        <f>'[2]FGT PRIMARY FIRM ZONE 2'!V439</f>
        <v>267.46600000000001</v>
      </c>
      <c r="E428" s="92">
        <f>'[2]FGT PRIMARY FIRM ZONE 3'!V439</f>
        <v>133.845</v>
      </c>
      <c r="F428" s="83">
        <f>'[2]FGT FIRM ZONE 3 MOBILE BAY-DES'!V439-40-25-60-100</f>
        <v>53.48399999999998</v>
      </c>
      <c r="G428" s="86">
        <v>40</v>
      </c>
      <c r="H428" s="83">
        <f t="shared" si="68"/>
        <v>185</v>
      </c>
      <c r="I428" s="83">
        <f t="shared" si="59"/>
        <v>0</v>
      </c>
      <c r="J428" s="86">
        <v>100</v>
      </c>
      <c r="K428" s="86">
        <v>300</v>
      </c>
      <c r="L428" s="83">
        <f t="shared" si="63"/>
        <v>1274</v>
      </c>
      <c r="M428" s="94">
        <v>600</v>
      </c>
      <c r="N428" s="83">
        <f>'[2]FGT NON-FIRM'!P439</f>
        <v>30</v>
      </c>
      <c r="O428" s="86">
        <v>240</v>
      </c>
      <c r="P428" s="86">
        <v>160</v>
      </c>
      <c r="Q428" s="86">
        <f t="shared" si="64"/>
        <v>195</v>
      </c>
      <c r="R428" s="86">
        <f t="shared" si="65"/>
        <v>100</v>
      </c>
      <c r="S428" s="83">
        <f t="shared" si="66"/>
        <v>695</v>
      </c>
      <c r="T428" s="83">
        <f>'[2]GULFSTREAM NON-FIRM'!H439</f>
        <v>0</v>
      </c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</row>
    <row r="429" spans="1:30" ht="15.75" hidden="1" x14ac:dyDescent="0.25">
      <c r="A429" s="33">
        <v>53996</v>
      </c>
      <c r="B429" s="96">
        <v>31</v>
      </c>
      <c r="C429" s="83">
        <f>'[2]FGT PRIMARY FIRM ZONE 1'!V440</f>
        <v>131.881</v>
      </c>
      <c r="D429" s="83">
        <f>'[2]FGT PRIMARY FIRM ZONE 2'!V440</f>
        <v>277.16699999999997</v>
      </c>
      <c r="E429" s="92">
        <f>'[2]FGT PRIMARY FIRM ZONE 3'!V440</f>
        <v>79.08</v>
      </c>
      <c r="F429" s="83">
        <f>'[2]FGT FIRM ZONE 3 MOBILE BAY-DES'!V440-40-25-60-100</f>
        <v>125.87199999999996</v>
      </c>
      <c r="G429" s="86">
        <v>40</v>
      </c>
      <c r="H429" s="83">
        <f t="shared" si="68"/>
        <v>185</v>
      </c>
      <c r="I429" s="83">
        <f t="shared" si="59"/>
        <v>0</v>
      </c>
      <c r="J429" s="86">
        <v>100</v>
      </c>
      <c r="K429" s="86">
        <v>300</v>
      </c>
      <c r="L429" s="83">
        <f t="shared" si="63"/>
        <v>1239</v>
      </c>
      <c r="M429" s="94">
        <v>600</v>
      </c>
      <c r="N429" s="83">
        <f>'[2]FGT NON-FIRM'!P440</f>
        <v>75</v>
      </c>
      <c r="O429" s="86">
        <v>240</v>
      </c>
      <c r="P429" s="86">
        <v>160</v>
      </c>
      <c r="Q429" s="86">
        <f t="shared" si="64"/>
        <v>195</v>
      </c>
      <c r="R429" s="86">
        <f t="shared" si="65"/>
        <v>100</v>
      </c>
      <c r="S429" s="83">
        <f t="shared" si="66"/>
        <v>695</v>
      </c>
      <c r="T429" s="83">
        <f>'[2]GULFSTREAM NON-FIRM'!H440</f>
        <v>0</v>
      </c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</row>
    <row r="430" spans="1:30" ht="15.75" hidden="1" x14ac:dyDescent="0.25">
      <c r="A430" s="33">
        <v>54026</v>
      </c>
      <c r="B430" s="96">
        <v>30</v>
      </c>
      <c r="C430" s="83">
        <f>'[2]FGT PRIMARY FIRM ZONE 1'!V441</f>
        <v>122.58</v>
      </c>
      <c r="D430" s="83">
        <f>'[2]FGT PRIMARY FIRM ZONE 2'!V441</f>
        <v>297.94100000000003</v>
      </c>
      <c r="E430" s="92">
        <f>'[2]FGT PRIMARY FIRM ZONE 3'!V441</f>
        <v>89.177000000000007</v>
      </c>
      <c r="F430" s="83">
        <f>'[2]FGT FIRM ZONE 3 MOBILE BAY-DES'!V441-40-60-100</f>
        <v>40.301999999999992</v>
      </c>
      <c r="G430" s="86">
        <v>40</v>
      </c>
      <c r="H430" s="83">
        <f>60+100</f>
        <v>160</v>
      </c>
      <c r="I430" s="83">
        <f t="shared" si="59"/>
        <v>0</v>
      </c>
      <c r="J430" s="86">
        <v>100</v>
      </c>
      <c r="K430" s="86">
        <v>300</v>
      </c>
      <c r="L430" s="83">
        <f t="shared" si="63"/>
        <v>1150</v>
      </c>
      <c r="M430" s="94">
        <v>600</v>
      </c>
      <c r="N430" s="83">
        <f>'[2]FGT NON-FIRM'!P441</f>
        <v>100</v>
      </c>
      <c r="O430" s="86">
        <v>240</v>
      </c>
      <c r="P430" s="86">
        <v>40</v>
      </c>
      <c r="Q430" s="86">
        <f t="shared" si="64"/>
        <v>315</v>
      </c>
      <c r="R430" s="86">
        <f t="shared" si="65"/>
        <v>100</v>
      </c>
      <c r="S430" s="83">
        <f t="shared" si="66"/>
        <v>695</v>
      </c>
      <c r="T430" s="83">
        <f>'[2]GULFSTREAM NON-FIRM'!H441</f>
        <v>50</v>
      </c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</row>
    <row r="431" spans="1:30" ht="15.75" hidden="1" x14ac:dyDescent="0.25">
      <c r="A431" s="33">
        <v>54057</v>
      </c>
      <c r="B431" s="96">
        <v>31</v>
      </c>
      <c r="C431" s="83">
        <f>'[2]FGT PRIMARY FIRM ZONE 1'!V442</f>
        <v>122.58</v>
      </c>
      <c r="D431" s="83">
        <f>'[2]FGT PRIMARY FIRM ZONE 2'!V442</f>
        <v>297.94100000000003</v>
      </c>
      <c r="E431" s="92">
        <f>'[2]FGT PRIMARY FIRM ZONE 3'!V442</f>
        <v>89.177000000000007</v>
      </c>
      <c r="F431" s="83">
        <f>'[2]FGT FIRM ZONE 3 MOBILE BAY-DES'!V442-40-60-100</f>
        <v>40.301999999999992</v>
      </c>
      <c r="G431" s="86">
        <v>40</v>
      </c>
      <c r="H431" s="83">
        <f>60+100</f>
        <v>160</v>
      </c>
      <c r="I431" s="83">
        <f t="shared" si="59"/>
        <v>0</v>
      </c>
      <c r="J431" s="86">
        <v>100</v>
      </c>
      <c r="K431" s="86">
        <v>300</v>
      </c>
      <c r="L431" s="83">
        <f t="shared" si="63"/>
        <v>1150</v>
      </c>
      <c r="M431" s="94">
        <v>600</v>
      </c>
      <c r="N431" s="83">
        <f>'[2]FGT NON-FIRM'!P442</f>
        <v>100</v>
      </c>
      <c r="O431" s="86">
        <v>240</v>
      </c>
      <c r="P431" s="86">
        <v>40</v>
      </c>
      <c r="Q431" s="86">
        <f t="shared" si="64"/>
        <v>315</v>
      </c>
      <c r="R431" s="86">
        <f t="shared" si="65"/>
        <v>100</v>
      </c>
      <c r="S431" s="83">
        <f t="shared" si="66"/>
        <v>695</v>
      </c>
      <c r="T431" s="83">
        <f>'[2]GULFSTREAM NON-FIRM'!H442</f>
        <v>50</v>
      </c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</row>
    <row r="432" spans="1:30" ht="15.75" hidden="1" x14ac:dyDescent="0.25">
      <c r="A432" s="33">
        <v>54088</v>
      </c>
      <c r="B432" s="96">
        <v>31</v>
      </c>
      <c r="C432" s="83">
        <f>'[2]FGT PRIMARY FIRM ZONE 1'!V443</f>
        <v>122.58</v>
      </c>
      <c r="D432" s="83">
        <f>'[2]FGT PRIMARY FIRM ZONE 2'!V443</f>
        <v>297.94100000000003</v>
      </c>
      <c r="E432" s="92">
        <f>'[2]FGT PRIMARY FIRM ZONE 3'!V443</f>
        <v>89.177000000000007</v>
      </c>
      <c r="F432" s="83">
        <f>'[2]FGT FIRM ZONE 3 MOBILE BAY-DES'!V443-40-60-100</f>
        <v>40.301999999999992</v>
      </c>
      <c r="G432" s="86">
        <v>40</v>
      </c>
      <c r="H432" s="83">
        <f>60+100</f>
        <v>160</v>
      </c>
      <c r="I432" s="83">
        <f t="shared" si="59"/>
        <v>0</v>
      </c>
      <c r="J432" s="86">
        <v>100</v>
      </c>
      <c r="K432" s="86">
        <v>300</v>
      </c>
      <c r="L432" s="83">
        <f t="shared" si="63"/>
        <v>1150</v>
      </c>
      <c r="M432" s="94">
        <v>600</v>
      </c>
      <c r="N432" s="83">
        <f>'[2]FGT NON-FIRM'!P443</f>
        <v>100</v>
      </c>
      <c r="O432" s="86">
        <v>240</v>
      </c>
      <c r="P432" s="86">
        <v>40</v>
      </c>
      <c r="Q432" s="86">
        <f t="shared" si="64"/>
        <v>315</v>
      </c>
      <c r="R432" s="86">
        <f t="shared" si="65"/>
        <v>100</v>
      </c>
      <c r="S432" s="83">
        <f t="shared" si="66"/>
        <v>695</v>
      </c>
      <c r="T432" s="83">
        <f>'[2]GULFSTREAM NON-FIRM'!H443</f>
        <v>50</v>
      </c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</row>
    <row r="433" spans="1:30" ht="15.75" hidden="1" x14ac:dyDescent="0.25">
      <c r="A433" s="33">
        <v>54116</v>
      </c>
      <c r="B433" s="96">
        <v>29</v>
      </c>
      <c r="C433" s="83">
        <f>'[2]FGT PRIMARY FIRM ZONE 1'!V444</f>
        <v>122.58</v>
      </c>
      <c r="D433" s="83">
        <f>'[2]FGT PRIMARY FIRM ZONE 2'!V444</f>
        <v>297.94100000000003</v>
      </c>
      <c r="E433" s="92">
        <f>'[2]FGT PRIMARY FIRM ZONE 3'!V444</f>
        <v>89.177000000000007</v>
      </c>
      <c r="F433" s="83">
        <f>'[2]FGT FIRM ZONE 3 MOBILE BAY-DES'!V444-40-60-100</f>
        <v>40.301999999999992</v>
      </c>
      <c r="G433" s="86">
        <v>40</v>
      </c>
      <c r="H433" s="83">
        <f>60+100</f>
        <v>160</v>
      </c>
      <c r="I433" s="83">
        <f t="shared" si="59"/>
        <v>0</v>
      </c>
      <c r="J433" s="86">
        <v>100</v>
      </c>
      <c r="K433" s="86">
        <v>300</v>
      </c>
      <c r="L433" s="83">
        <f t="shared" si="63"/>
        <v>1150</v>
      </c>
      <c r="M433" s="94">
        <v>600</v>
      </c>
      <c r="N433" s="83">
        <f>'[2]FGT NON-FIRM'!P444</f>
        <v>100</v>
      </c>
      <c r="O433" s="86">
        <v>240</v>
      </c>
      <c r="P433" s="86">
        <v>40</v>
      </c>
      <c r="Q433" s="86">
        <f t="shared" si="64"/>
        <v>315</v>
      </c>
      <c r="R433" s="86">
        <f t="shared" si="65"/>
        <v>100</v>
      </c>
      <c r="S433" s="83">
        <f t="shared" si="66"/>
        <v>695</v>
      </c>
      <c r="T433" s="83">
        <f>'[2]GULFSTREAM NON-FIRM'!H444</f>
        <v>50</v>
      </c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</row>
    <row r="434" spans="1:30" ht="15.75" hidden="1" x14ac:dyDescent="0.25">
      <c r="A434" s="33">
        <v>54148</v>
      </c>
      <c r="B434" s="96">
        <v>31</v>
      </c>
      <c r="C434" s="83">
        <f>'[2]FGT PRIMARY FIRM ZONE 1'!V445</f>
        <v>122.58</v>
      </c>
      <c r="D434" s="83">
        <f>'[2]FGT PRIMARY FIRM ZONE 2'!V445</f>
        <v>297.94100000000003</v>
      </c>
      <c r="E434" s="92">
        <f>'[2]FGT PRIMARY FIRM ZONE 3'!V445</f>
        <v>89.177000000000007</v>
      </c>
      <c r="F434" s="83">
        <f>'[2]FGT FIRM ZONE 3 MOBILE BAY-DES'!V445-40-60-100</f>
        <v>40.301999999999992</v>
      </c>
      <c r="G434" s="86">
        <v>40</v>
      </c>
      <c r="H434" s="83">
        <f>60+100</f>
        <v>160</v>
      </c>
      <c r="I434" s="83">
        <f t="shared" si="59"/>
        <v>0</v>
      </c>
      <c r="J434" s="86">
        <v>100</v>
      </c>
      <c r="K434" s="86">
        <v>300</v>
      </c>
      <c r="L434" s="83">
        <f t="shared" si="63"/>
        <v>1150</v>
      </c>
      <c r="M434" s="94">
        <v>600</v>
      </c>
      <c r="N434" s="83">
        <f>'[2]FGT NON-FIRM'!P445</f>
        <v>100</v>
      </c>
      <c r="O434" s="86">
        <v>240</v>
      </c>
      <c r="P434" s="86">
        <v>40</v>
      </c>
      <c r="Q434" s="86">
        <f t="shared" si="64"/>
        <v>315</v>
      </c>
      <c r="R434" s="86">
        <f t="shared" si="65"/>
        <v>100</v>
      </c>
      <c r="S434" s="83">
        <f t="shared" si="66"/>
        <v>695</v>
      </c>
      <c r="T434" s="83">
        <f>'[2]GULFSTREAM NON-FIRM'!H445</f>
        <v>50</v>
      </c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</row>
    <row r="435" spans="1:30" ht="15.75" hidden="1" x14ac:dyDescent="0.25">
      <c r="A435" s="33">
        <v>54178</v>
      </c>
      <c r="B435" s="96">
        <v>30</v>
      </c>
      <c r="C435" s="83">
        <f>'[2]FGT PRIMARY FIRM ZONE 1'!V446</f>
        <v>141.29300000000001</v>
      </c>
      <c r="D435" s="83">
        <f>'[2]FGT PRIMARY FIRM ZONE 2'!V446</f>
        <v>267.99299999999999</v>
      </c>
      <c r="E435" s="92">
        <f>'[2]FGT PRIMARY FIRM ZONE 3'!V446</f>
        <v>115.01600000000001</v>
      </c>
      <c r="F435" s="83">
        <f>'[2]FGT FIRM ZONE 3 MOBILE BAY-DES'!V446-40-25-60-100</f>
        <v>89.698000000000036</v>
      </c>
      <c r="G435" s="86">
        <v>40</v>
      </c>
      <c r="H435" s="83">
        <f t="shared" ref="H435:H441" si="69">25+60+100</f>
        <v>185</v>
      </c>
      <c r="I435" s="83">
        <f t="shared" si="59"/>
        <v>0</v>
      </c>
      <c r="J435" s="86">
        <v>100</v>
      </c>
      <c r="K435" s="86">
        <v>300</v>
      </c>
      <c r="L435" s="83">
        <f t="shared" si="63"/>
        <v>1239</v>
      </c>
      <c r="M435" s="94">
        <v>600</v>
      </c>
      <c r="N435" s="83">
        <f>'[2]FGT NON-FIRM'!P446</f>
        <v>100</v>
      </c>
      <c r="O435" s="86">
        <v>240</v>
      </c>
      <c r="P435" s="86">
        <v>160</v>
      </c>
      <c r="Q435" s="86">
        <f t="shared" si="64"/>
        <v>195</v>
      </c>
      <c r="R435" s="86">
        <f t="shared" si="65"/>
        <v>100</v>
      </c>
      <c r="S435" s="83">
        <f t="shared" si="66"/>
        <v>695</v>
      </c>
      <c r="T435" s="83">
        <f>'[2]GULFSTREAM NON-FIRM'!H446</f>
        <v>50</v>
      </c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</row>
    <row r="436" spans="1:30" ht="15.75" hidden="1" x14ac:dyDescent="0.25">
      <c r="A436" s="33">
        <v>54209</v>
      </c>
      <c r="B436" s="96">
        <v>31</v>
      </c>
      <c r="C436" s="83">
        <f>'[2]FGT PRIMARY FIRM ZONE 1'!V447</f>
        <v>194.20499999999998</v>
      </c>
      <c r="D436" s="83">
        <f>'[2]FGT PRIMARY FIRM ZONE 2'!V447</f>
        <v>267.46600000000001</v>
      </c>
      <c r="E436" s="92">
        <f>'[2]FGT PRIMARY FIRM ZONE 3'!V447</f>
        <v>133.845</v>
      </c>
      <c r="F436" s="83">
        <f>'[2]FGT FIRM ZONE 3 MOBILE BAY-DES'!V447-40-25-60-100</f>
        <v>53.48399999999998</v>
      </c>
      <c r="G436" s="86">
        <v>40</v>
      </c>
      <c r="H436" s="83">
        <f t="shared" si="69"/>
        <v>185</v>
      </c>
      <c r="I436" s="83">
        <f t="shared" ref="I436:I499" si="70">400-J436-K436</f>
        <v>0</v>
      </c>
      <c r="J436" s="86">
        <v>100</v>
      </c>
      <c r="K436" s="86">
        <v>300</v>
      </c>
      <c r="L436" s="83">
        <f t="shared" si="63"/>
        <v>1274</v>
      </c>
      <c r="M436" s="94">
        <v>600</v>
      </c>
      <c r="N436" s="83">
        <f>'[2]FGT NON-FIRM'!P447</f>
        <v>75</v>
      </c>
      <c r="O436" s="86">
        <v>240</v>
      </c>
      <c r="P436" s="86">
        <v>160</v>
      </c>
      <c r="Q436" s="86">
        <f t="shared" si="64"/>
        <v>195</v>
      </c>
      <c r="R436" s="86">
        <f t="shared" si="65"/>
        <v>100</v>
      </c>
      <c r="S436" s="83">
        <f t="shared" si="66"/>
        <v>695</v>
      </c>
      <c r="T436" s="83">
        <f>'[2]GULFSTREAM NON-FIRM'!H447</f>
        <v>50</v>
      </c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</row>
    <row r="437" spans="1:30" ht="15.75" hidden="1" x14ac:dyDescent="0.25">
      <c r="A437" s="33">
        <v>54239</v>
      </c>
      <c r="B437" s="96">
        <v>30</v>
      </c>
      <c r="C437" s="83">
        <f>'[2]FGT PRIMARY FIRM ZONE 1'!V448</f>
        <v>194.20499999999998</v>
      </c>
      <c r="D437" s="83">
        <f>'[2]FGT PRIMARY FIRM ZONE 2'!V448</f>
        <v>267.46600000000001</v>
      </c>
      <c r="E437" s="92">
        <f>'[2]FGT PRIMARY FIRM ZONE 3'!V448</f>
        <v>133.845</v>
      </c>
      <c r="F437" s="83">
        <f>'[2]FGT FIRM ZONE 3 MOBILE BAY-DES'!V448-40-25-60-100</f>
        <v>53.48399999999998</v>
      </c>
      <c r="G437" s="86">
        <v>40</v>
      </c>
      <c r="H437" s="83">
        <f t="shared" si="69"/>
        <v>185</v>
      </c>
      <c r="I437" s="83">
        <f t="shared" si="70"/>
        <v>0</v>
      </c>
      <c r="J437" s="86">
        <v>100</v>
      </c>
      <c r="K437" s="86">
        <v>300</v>
      </c>
      <c r="L437" s="83">
        <f t="shared" si="63"/>
        <v>1274</v>
      </c>
      <c r="M437" s="94">
        <v>600</v>
      </c>
      <c r="N437" s="83">
        <f>'[2]FGT NON-FIRM'!P448</f>
        <v>30</v>
      </c>
      <c r="O437" s="86">
        <v>240</v>
      </c>
      <c r="P437" s="86">
        <v>160</v>
      </c>
      <c r="Q437" s="86">
        <f t="shared" si="64"/>
        <v>195</v>
      </c>
      <c r="R437" s="86">
        <f t="shared" si="65"/>
        <v>100</v>
      </c>
      <c r="S437" s="83">
        <f t="shared" si="66"/>
        <v>695</v>
      </c>
      <c r="T437" s="83">
        <f>'[2]GULFSTREAM NON-FIRM'!H448</f>
        <v>50</v>
      </c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</row>
    <row r="438" spans="1:30" ht="15.75" hidden="1" x14ac:dyDescent="0.25">
      <c r="A438" s="33">
        <v>54270</v>
      </c>
      <c r="B438" s="96">
        <v>31</v>
      </c>
      <c r="C438" s="83">
        <f>'[2]FGT PRIMARY FIRM ZONE 1'!V449</f>
        <v>194.20499999999998</v>
      </c>
      <c r="D438" s="83">
        <f>'[2]FGT PRIMARY FIRM ZONE 2'!V449</f>
        <v>267.46600000000001</v>
      </c>
      <c r="E438" s="92">
        <f>'[2]FGT PRIMARY FIRM ZONE 3'!V449</f>
        <v>133.845</v>
      </c>
      <c r="F438" s="83">
        <f>'[2]FGT FIRM ZONE 3 MOBILE BAY-DES'!V449-40-25-60-100</f>
        <v>53.48399999999998</v>
      </c>
      <c r="G438" s="86">
        <v>40</v>
      </c>
      <c r="H438" s="83">
        <f t="shared" si="69"/>
        <v>185</v>
      </c>
      <c r="I438" s="83">
        <f t="shared" si="70"/>
        <v>0</v>
      </c>
      <c r="J438" s="86">
        <v>100</v>
      </c>
      <c r="K438" s="86">
        <v>300</v>
      </c>
      <c r="L438" s="83">
        <f t="shared" si="63"/>
        <v>1274</v>
      </c>
      <c r="M438" s="94">
        <v>600</v>
      </c>
      <c r="N438" s="83">
        <f>'[2]FGT NON-FIRM'!P449</f>
        <v>30</v>
      </c>
      <c r="O438" s="86">
        <v>240</v>
      </c>
      <c r="P438" s="86">
        <v>160</v>
      </c>
      <c r="Q438" s="86">
        <f t="shared" si="64"/>
        <v>195</v>
      </c>
      <c r="R438" s="86">
        <f t="shared" si="65"/>
        <v>100</v>
      </c>
      <c r="S438" s="83">
        <f t="shared" si="66"/>
        <v>695</v>
      </c>
      <c r="T438" s="83">
        <f>'[2]GULFSTREAM NON-FIRM'!H449</f>
        <v>0</v>
      </c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</row>
    <row r="439" spans="1:30" ht="15.75" hidden="1" x14ac:dyDescent="0.25">
      <c r="A439" s="33">
        <v>54301</v>
      </c>
      <c r="B439" s="96">
        <v>31</v>
      </c>
      <c r="C439" s="83">
        <f>'[2]FGT PRIMARY FIRM ZONE 1'!V450</f>
        <v>194.20499999999998</v>
      </c>
      <c r="D439" s="83">
        <f>'[2]FGT PRIMARY FIRM ZONE 2'!V450</f>
        <v>267.46600000000001</v>
      </c>
      <c r="E439" s="92">
        <f>'[2]FGT PRIMARY FIRM ZONE 3'!V450</f>
        <v>133.845</v>
      </c>
      <c r="F439" s="83">
        <f>'[2]FGT FIRM ZONE 3 MOBILE BAY-DES'!V450-40-25-60-100</f>
        <v>53.48399999999998</v>
      </c>
      <c r="G439" s="86">
        <v>40</v>
      </c>
      <c r="H439" s="83">
        <f t="shared" si="69"/>
        <v>185</v>
      </c>
      <c r="I439" s="83">
        <f t="shared" si="70"/>
        <v>0</v>
      </c>
      <c r="J439" s="86">
        <v>100</v>
      </c>
      <c r="K439" s="86">
        <v>300</v>
      </c>
      <c r="L439" s="83">
        <f t="shared" si="63"/>
        <v>1274</v>
      </c>
      <c r="M439" s="94">
        <v>600</v>
      </c>
      <c r="N439" s="83">
        <f>'[2]FGT NON-FIRM'!P450</f>
        <v>30</v>
      </c>
      <c r="O439" s="86">
        <v>240</v>
      </c>
      <c r="P439" s="86">
        <v>160</v>
      </c>
      <c r="Q439" s="86">
        <f t="shared" si="64"/>
        <v>195</v>
      </c>
      <c r="R439" s="86">
        <f t="shared" si="65"/>
        <v>100</v>
      </c>
      <c r="S439" s="83">
        <f t="shared" si="66"/>
        <v>695</v>
      </c>
      <c r="T439" s="83">
        <f>'[2]GULFSTREAM NON-FIRM'!H450</f>
        <v>0</v>
      </c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</row>
    <row r="440" spans="1:30" ht="15.75" hidden="1" x14ac:dyDescent="0.25">
      <c r="A440" s="33">
        <v>54331</v>
      </c>
      <c r="B440" s="96">
        <v>30</v>
      </c>
      <c r="C440" s="83">
        <f>'[2]FGT PRIMARY FIRM ZONE 1'!V451</f>
        <v>194.20499999999998</v>
      </c>
      <c r="D440" s="83">
        <f>'[2]FGT PRIMARY FIRM ZONE 2'!V451</f>
        <v>267.46600000000001</v>
      </c>
      <c r="E440" s="92">
        <f>'[2]FGT PRIMARY FIRM ZONE 3'!V451</f>
        <v>133.845</v>
      </c>
      <c r="F440" s="83">
        <f>'[2]FGT FIRM ZONE 3 MOBILE BAY-DES'!V451-40-25-60-100</f>
        <v>53.48399999999998</v>
      </c>
      <c r="G440" s="86">
        <v>40</v>
      </c>
      <c r="H440" s="83">
        <f t="shared" si="69"/>
        <v>185</v>
      </c>
      <c r="I440" s="83">
        <f t="shared" si="70"/>
        <v>0</v>
      </c>
      <c r="J440" s="86">
        <v>100</v>
      </c>
      <c r="K440" s="86">
        <v>300</v>
      </c>
      <c r="L440" s="83">
        <f t="shared" si="63"/>
        <v>1274</v>
      </c>
      <c r="M440" s="94">
        <v>600</v>
      </c>
      <c r="N440" s="83">
        <f>'[2]FGT NON-FIRM'!P451</f>
        <v>30</v>
      </c>
      <c r="O440" s="86">
        <v>240</v>
      </c>
      <c r="P440" s="86">
        <v>160</v>
      </c>
      <c r="Q440" s="86">
        <f t="shared" si="64"/>
        <v>195</v>
      </c>
      <c r="R440" s="86">
        <f t="shared" si="65"/>
        <v>100</v>
      </c>
      <c r="S440" s="83">
        <f t="shared" si="66"/>
        <v>695</v>
      </c>
      <c r="T440" s="83">
        <f>'[2]GULFSTREAM NON-FIRM'!H451</f>
        <v>0</v>
      </c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</row>
    <row r="441" spans="1:30" ht="15.75" hidden="1" x14ac:dyDescent="0.25">
      <c r="A441" s="33">
        <v>54362</v>
      </c>
      <c r="B441" s="96">
        <v>31</v>
      </c>
      <c r="C441" s="83">
        <f>'[2]FGT PRIMARY FIRM ZONE 1'!V452</f>
        <v>131.881</v>
      </c>
      <c r="D441" s="83">
        <f>'[2]FGT PRIMARY FIRM ZONE 2'!V452</f>
        <v>277.16699999999997</v>
      </c>
      <c r="E441" s="92">
        <f>'[2]FGT PRIMARY FIRM ZONE 3'!V452</f>
        <v>79.08</v>
      </c>
      <c r="F441" s="83">
        <f>'[2]FGT FIRM ZONE 3 MOBILE BAY-DES'!V452-40-25-60-100</f>
        <v>125.87199999999996</v>
      </c>
      <c r="G441" s="86">
        <v>40</v>
      </c>
      <c r="H441" s="83">
        <f t="shared" si="69"/>
        <v>185</v>
      </c>
      <c r="I441" s="83">
        <f t="shared" si="70"/>
        <v>0</v>
      </c>
      <c r="J441" s="86">
        <v>100</v>
      </c>
      <c r="K441" s="86">
        <v>300</v>
      </c>
      <c r="L441" s="83">
        <f t="shared" si="63"/>
        <v>1239</v>
      </c>
      <c r="M441" s="94">
        <v>600</v>
      </c>
      <c r="N441" s="83">
        <f>'[2]FGT NON-FIRM'!P452</f>
        <v>75</v>
      </c>
      <c r="O441" s="86">
        <v>240</v>
      </c>
      <c r="P441" s="86">
        <v>160</v>
      </c>
      <c r="Q441" s="86">
        <f t="shared" si="64"/>
        <v>195</v>
      </c>
      <c r="R441" s="86">
        <f t="shared" si="65"/>
        <v>100</v>
      </c>
      <c r="S441" s="83">
        <f t="shared" si="66"/>
        <v>695</v>
      </c>
      <c r="T441" s="83">
        <f>'[2]GULFSTREAM NON-FIRM'!H452</f>
        <v>0</v>
      </c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</row>
    <row r="442" spans="1:30" ht="15.75" hidden="1" x14ac:dyDescent="0.25">
      <c r="A442" s="33">
        <v>54392</v>
      </c>
      <c r="B442" s="96">
        <v>30</v>
      </c>
      <c r="C442" s="83">
        <f>'[2]FGT PRIMARY FIRM ZONE 1'!V453</f>
        <v>122.58</v>
      </c>
      <c r="D442" s="83">
        <f>'[2]FGT PRIMARY FIRM ZONE 2'!V453</f>
        <v>297.94100000000003</v>
      </c>
      <c r="E442" s="92">
        <f>'[2]FGT PRIMARY FIRM ZONE 3'!V453</f>
        <v>89.177000000000007</v>
      </c>
      <c r="F442" s="83">
        <f>'[2]FGT FIRM ZONE 3 MOBILE BAY-DES'!V453-40-60-100</f>
        <v>40.301999999999992</v>
      </c>
      <c r="G442" s="86">
        <v>40</v>
      </c>
      <c r="H442" s="83">
        <f>60+100</f>
        <v>160</v>
      </c>
      <c r="I442" s="83">
        <f t="shared" si="70"/>
        <v>0</v>
      </c>
      <c r="J442" s="86">
        <v>100</v>
      </c>
      <c r="K442" s="86">
        <v>300</v>
      </c>
      <c r="L442" s="83">
        <f t="shared" si="63"/>
        <v>1150</v>
      </c>
      <c r="M442" s="94">
        <v>600</v>
      </c>
      <c r="N442" s="83">
        <f>'[2]FGT NON-FIRM'!P453</f>
        <v>100</v>
      </c>
      <c r="O442" s="86">
        <v>240</v>
      </c>
      <c r="P442" s="86">
        <v>40</v>
      </c>
      <c r="Q442" s="86">
        <f t="shared" si="64"/>
        <v>315</v>
      </c>
      <c r="R442" s="86">
        <f t="shared" si="65"/>
        <v>100</v>
      </c>
      <c r="S442" s="83">
        <f t="shared" si="66"/>
        <v>695</v>
      </c>
      <c r="T442" s="83">
        <f>'[2]GULFSTREAM NON-FIRM'!H453</f>
        <v>50</v>
      </c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</row>
    <row r="443" spans="1:30" ht="15.75" hidden="1" x14ac:dyDescent="0.25">
      <c r="A443" s="33">
        <v>54423</v>
      </c>
      <c r="B443" s="96">
        <v>31</v>
      </c>
      <c r="C443" s="83">
        <f>'[2]FGT PRIMARY FIRM ZONE 1'!V454</f>
        <v>122.58</v>
      </c>
      <c r="D443" s="83">
        <f>'[2]FGT PRIMARY FIRM ZONE 2'!V454</f>
        <v>297.94100000000003</v>
      </c>
      <c r="E443" s="92">
        <f>'[2]FGT PRIMARY FIRM ZONE 3'!V454</f>
        <v>89.177000000000007</v>
      </c>
      <c r="F443" s="83">
        <f>'[2]FGT FIRM ZONE 3 MOBILE BAY-DES'!V454-40-60-100</f>
        <v>40.301999999999992</v>
      </c>
      <c r="G443" s="86">
        <v>40</v>
      </c>
      <c r="H443" s="83">
        <f>60+100</f>
        <v>160</v>
      </c>
      <c r="I443" s="83">
        <f t="shared" si="70"/>
        <v>0</v>
      </c>
      <c r="J443" s="86">
        <v>100</v>
      </c>
      <c r="K443" s="86">
        <v>300</v>
      </c>
      <c r="L443" s="83">
        <f t="shared" si="63"/>
        <v>1150</v>
      </c>
      <c r="M443" s="94">
        <v>600</v>
      </c>
      <c r="N443" s="83">
        <f>'[2]FGT NON-FIRM'!P454</f>
        <v>100</v>
      </c>
      <c r="O443" s="86">
        <v>240</v>
      </c>
      <c r="P443" s="86">
        <v>40</v>
      </c>
      <c r="Q443" s="86">
        <f t="shared" si="64"/>
        <v>315</v>
      </c>
      <c r="R443" s="86">
        <f t="shared" si="65"/>
        <v>100</v>
      </c>
      <c r="S443" s="83">
        <f t="shared" si="66"/>
        <v>695</v>
      </c>
      <c r="T443" s="83">
        <f>'[2]GULFSTREAM NON-FIRM'!H454</f>
        <v>50</v>
      </c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</row>
    <row r="444" spans="1:30" ht="15.75" hidden="1" x14ac:dyDescent="0.25">
      <c r="A444" s="33">
        <v>54454</v>
      </c>
      <c r="B444" s="96">
        <v>31</v>
      </c>
      <c r="C444" s="83">
        <f>'[2]FGT PRIMARY FIRM ZONE 1'!V455</f>
        <v>122.58</v>
      </c>
      <c r="D444" s="83">
        <f>'[2]FGT PRIMARY FIRM ZONE 2'!V455</f>
        <v>297.94100000000003</v>
      </c>
      <c r="E444" s="92">
        <f>'[2]FGT PRIMARY FIRM ZONE 3'!V455</f>
        <v>89.177000000000007</v>
      </c>
      <c r="F444" s="83">
        <f>'[2]FGT FIRM ZONE 3 MOBILE BAY-DES'!V455-40-60-100</f>
        <v>40.301999999999992</v>
      </c>
      <c r="G444" s="86">
        <v>40</v>
      </c>
      <c r="H444" s="83">
        <f>60+100</f>
        <v>160</v>
      </c>
      <c r="I444" s="83">
        <f t="shared" si="70"/>
        <v>0</v>
      </c>
      <c r="J444" s="86">
        <v>100</v>
      </c>
      <c r="K444" s="86">
        <v>300</v>
      </c>
      <c r="L444" s="83">
        <f t="shared" si="63"/>
        <v>1150</v>
      </c>
      <c r="M444" s="94">
        <v>600</v>
      </c>
      <c r="N444" s="83">
        <f>'[2]FGT NON-FIRM'!P455</f>
        <v>100</v>
      </c>
      <c r="O444" s="86">
        <v>240</v>
      </c>
      <c r="P444" s="86">
        <v>40</v>
      </c>
      <c r="Q444" s="86">
        <f t="shared" si="64"/>
        <v>315</v>
      </c>
      <c r="R444" s="86">
        <f t="shared" si="65"/>
        <v>100</v>
      </c>
      <c r="S444" s="83">
        <f t="shared" si="66"/>
        <v>695</v>
      </c>
      <c r="T444" s="83">
        <f>'[2]GULFSTREAM NON-FIRM'!H455</f>
        <v>50</v>
      </c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</row>
    <row r="445" spans="1:30" ht="15.75" hidden="1" x14ac:dyDescent="0.25">
      <c r="A445" s="33">
        <v>54482</v>
      </c>
      <c r="B445" s="96">
        <v>28</v>
      </c>
      <c r="C445" s="83">
        <f>'[2]FGT PRIMARY FIRM ZONE 1'!V456</f>
        <v>122.58</v>
      </c>
      <c r="D445" s="83">
        <f>'[2]FGT PRIMARY FIRM ZONE 2'!V456</f>
        <v>297.94100000000003</v>
      </c>
      <c r="E445" s="92">
        <f>'[2]FGT PRIMARY FIRM ZONE 3'!V456</f>
        <v>89.177000000000007</v>
      </c>
      <c r="F445" s="83">
        <f>'[2]FGT FIRM ZONE 3 MOBILE BAY-DES'!V456-40-60-100</f>
        <v>40.301999999999992</v>
      </c>
      <c r="G445" s="86">
        <v>40</v>
      </c>
      <c r="H445" s="83">
        <f>60+100</f>
        <v>160</v>
      </c>
      <c r="I445" s="83">
        <f t="shared" si="70"/>
        <v>0</v>
      </c>
      <c r="J445" s="86">
        <v>100</v>
      </c>
      <c r="K445" s="86">
        <v>300</v>
      </c>
      <c r="L445" s="83">
        <f t="shared" si="63"/>
        <v>1150</v>
      </c>
      <c r="M445" s="94">
        <v>600</v>
      </c>
      <c r="N445" s="83">
        <f>'[2]FGT NON-FIRM'!P456</f>
        <v>100</v>
      </c>
      <c r="O445" s="86">
        <v>240</v>
      </c>
      <c r="P445" s="86">
        <v>40</v>
      </c>
      <c r="Q445" s="86">
        <f t="shared" si="64"/>
        <v>315</v>
      </c>
      <c r="R445" s="86">
        <f t="shared" si="65"/>
        <v>100</v>
      </c>
      <c r="S445" s="83">
        <f t="shared" si="66"/>
        <v>695</v>
      </c>
      <c r="T445" s="83">
        <f>'[2]GULFSTREAM NON-FIRM'!H456</f>
        <v>50</v>
      </c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</row>
    <row r="446" spans="1:30" ht="15.75" hidden="1" x14ac:dyDescent="0.25">
      <c r="A446" s="33">
        <v>54513</v>
      </c>
      <c r="B446" s="96">
        <v>31</v>
      </c>
      <c r="C446" s="83">
        <f>'[2]FGT PRIMARY FIRM ZONE 1'!V457</f>
        <v>122.58</v>
      </c>
      <c r="D446" s="83">
        <f>'[2]FGT PRIMARY FIRM ZONE 2'!V457</f>
        <v>297.94100000000003</v>
      </c>
      <c r="E446" s="92">
        <f>'[2]FGT PRIMARY FIRM ZONE 3'!V457</f>
        <v>89.177000000000007</v>
      </c>
      <c r="F446" s="83">
        <f>'[2]FGT FIRM ZONE 3 MOBILE BAY-DES'!V457-40-60-100</f>
        <v>40.301999999999992</v>
      </c>
      <c r="G446" s="86">
        <v>40</v>
      </c>
      <c r="H446" s="83">
        <f>60+100</f>
        <v>160</v>
      </c>
      <c r="I446" s="83">
        <f t="shared" si="70"/>
        <v>0</v>
      </c>
      <c r="J446" s="86">
        <v>100</v>
      </c>
      <c r="K446" s="86">
        <v>300</v>
      </c>
      <c r="L446" s="83">
        <f t="shared" si="63"/>
        <v>1150</v>
      </c>
      <c r="M446" s="94">
        <v>600</v>
      </c>
      <c r="N446" s="83">
        <f>'[2]FGT NON-FIRM'!P457</f>
        <v>100</v>
      </c>
      <c r="O446" s="86">
        <v>240</v>
      </c>
      <c r="P446" s="86">
        <v>40</v>
      </c>
      <c r="Q446" s="86">
        <f t="shared" si="64"/>
        <v>315</v>
      </c>
      <c r="R446" s="86">
        <f t="shared" si="65"/>
        <v>100</v>
      </c>
      <c r="S446" s="83">
        <f t="shared" si="66"/>
        <v>695</v>
      </c>
      <c r="T446" s="83">
        <f>'[2]GULFSTREAM NON-FIRM'!H457</f>
        <v>50</v>
      </c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</row>
    <row r="447" spans="1:30" ht="15.75" hidden="1" x14ac:dyDescent="0.25">
      <c r="A447" s="33">
        <v>54543</v>
      </c>
      <c r="B447" s="96">
        <v>30</v>
      </c>
      <c r="C447" s="83">
        <f>'[2]FGT PRIMARY FIRM ZONE 1'!V458</f>
        <v>141.29300000000001</v>
      </c>
      <c r="D447" s="83">
        <f>'[2]FGT PRIMARY FIRM ZONE 2'!V458</f>
        <v>267.99299999999999</v>
      </c>
      <c r="E447" s="92">
        <f>'[2]FGT PRIMARY FIRM ZONE 3'!V458</f>
        <v>115.01600000000001</v>
      </c>
      <c r="F447" s="83">
        <f>'[2]FGT FIRM ZONE 3 MOBILE BAY-DES'!V458-40-25-60-100</f>
        <v>89.698000000000036</v>
      </c>
      <c r="G447" s="86">
        <v>40</v>
      </c>
      <c r="H447" s="83">
        <f t="shared" ref="H447:H453" si="71">25+60+100</f>
        <v>185</v>
      </c>
      <c r="I447" s="83">
        <f t="shared" si="70"/>
        <v>0</v>
      </c>
      <c r="J447" s="86">
        <v>100</v>
      </c>
      <c r="K447" s="86">
        <v>300</v>
      </c>
      <c r="L447" s="83">
        <f t="shared" si="63"/>
        <v>1239</v>
      </c>
      <c r="M447" s="94">
        <v>600</v>
      </c>
      <c r="N447" s="83">
        <f>'[2]FGT NON-FIRM'!P458</f>
        <v>100</v>
      </c>
      <c r="O447" s="86">
        <v>240</v>
      </c>
      <c r="P447" s="86">
        <v>160</v>
      </c>
      <c r="Q447" s="86">
        <f t="shared" si="64"/>
        <v>195</v>
      </c>
      <c r="R447" s="86">
        <f t="shared" si="65"/>
        <v>100</v>
      </c>
      <c r="S447" s="83">
        <f t="shared" si="66"/>
        <v>695</v>
      </c>
      <c r="T447" s="83">
        <f>'[2]GULFSTREAM NON-FIRM'!H458</f>
        <v>50</v>
      </c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</row>
    <row r="448" spans="1:30" ht="15.75" hidden="1" x14ac:dyDescent="0.25">
      <c r="A448" s="33">
        <v>54574</v>
      </c>
      <c r="B448" s="96">
        <v>31</v>
      </c>
      <c r="C448" s="83">
        <f>'[2]FGT PRIMARY FIRM ZONE 1'!V459</f>
        <v>194.20499999999998</v>
      </c>
      <c r="D448" s="83">
        <f>'[2]FGT PRIMARY FIRM ZONE 2'!V459</f>
        <v>267.46600000000001</v>
      </c>
      <c r="E448" s="92">
        <f>'[2]FGT PRIMARY FIRM ZONE 3'!V459</f>
        <v>133.845</v>
      </c>
      <c r="F448" s="83">
        <f>'[2]FGT FIRM ZONE 3 MOBILE BAY-DES'!V459-40-25-60-100</f>
        <v>53.48399999999998</v>
      </c>
      <c r="G448" s="86">
        <v>40</v>
      </c>
      <c r="H448" s="83">
        <f t="shared" si="71"/>
        <v>185</v>
      </c>
      <c r="I448" s="83">
        <f t="shared" si="70"/>
        <v>0</v>
      </c>
      <c r="J448" s="86">
        <v>100</v>
      </c>
      <c r="K448" s="86">
        <v>300</v>
      </c>
      <c r="L448" s="83">
        <f t="shared" si="63"/>
        <v>1274</v>
      </c>
      <c r="M448" s="94">
        <v>600</v>
      </c>
      <c r="N448" s="83">
        <f>'[2]FGT NON-FIRM'!P459</f>
        <v>75</v>
      </c>
      <c r="O448" s="86">
        <v>240</v>
      </c>
      <c r="P448" s="86">
        <v>160</v>
      </c>
      <c r="Q448" s="86">
        <f t="shared" si="64"/>
        <v>195</v>
      </c>
      <c r="R448" s="86">
        <f t="shared" si="65"/>
        <v>100</v>
      </c>
      <c r="S448" s="83">
        <f t="shared" si="66"/>
        <v>695</v>
      </c>
      <c r="T448" s="83">
        <f>'[2]GULFSTREAM NON-FIRM'!H459</f>
        <v>50</v>
      </c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</row>
    <row r="449" spans="1:30" ht="15.75" hidden="1" x14ac:dyDescent="0.25">
      <c r="A449" s="33">
        <v>54604</v>
      </c>
      <c r="B449" s="96">
        <v>30</v>
      </c>
      <c r="C449" s="83">
        <f>'[2]FGT PRIMARY FIRM ZONE 1'!V460</f>
        <v>194.20499999999998</v>
      </c>
      <c r="D449" s="83">
        <f>'[2]FGT PRIMARY FIRM ZONE 2'!V460</f>
        <v>267.46600000000001</v>
      </c>
      <c r="E449" s="92">
        <f>'[2]FGT PRIMARY FIRM ZONE 3'!V460</f>
        <v>133.845</v>
      </c>
      <c r="F449" s="83">
        <f>'[2]FGT FIRM ZONE 3 MOBILE BAY-DES'!V460-40-25-60-100</f>
        <v>53.48399999999998</v>
      </c>
      <c r="G449" s="86">
        <v>40</v>
      </c>
      <c r="H449" s="83">
        <f t="shared" si="71"/>
        <v>185</v>
      </c>
      <c r="I449" s="83">
        <f t="shared" si="70"/>
        <v>0</v>
      </c>
      <c r="J449" s="86">
        <v>100</v>
      </c>
      <c r="K449" s="86">
        <v>300</v>
      </c>
      <c r="L449" s="83">
        <f t="shared" si="63"/>
        <v>1274</v>
      </c>
      <c r="M449" s="94">
        <v>600</v>
      </c>
      <c r="N449" s="83">
        <f>'[2]FGT NON-FIRM'!P460</f>
        <v>30</v>
      </c>
      <c r="O449" s="86">
        <v>240</v>
      </c>
      <c r="P449" s="86">
        <v>160</v>
      </c>
      <c r="Q449" s="86">
        <f t="shared" si="64"/>
        <v>195</v>
      </c>
      <c r="R449" s="86">
        <f t="shared" si="65"/>
        <v>100</v>
      </c>
      <c r="S449" s="83">
        <f t="shared" si="66"/>
        <v>695</v>
      </c>
      <c r="T449" s="83">
        <f>'[2]GULFSTREAM NON-FIRM'!H460</f>
        <v>50</v>
      </c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</row>
    <row r="450" spans="1:30" ht="15.75" hidden="1" x14ac:dyDescent="0.25">
      <c r="A450" s="33">
        <v>54635</v>
      </c>
      <c r="B450" s="96">
        <v>31</v>
      </c>
      <c r="C450" s="83">
        <f>'[2]FGT PRIMARY FIRM ZONE 1'!V461</f>
        <v>194.20499999999998</v>
      </c>
      <c r="D450" s="83">
        <f>'[2]FGT PRIMARY FIRM ZONE 2'!V461</f>
        <v>267.46600000000001</v>
      </c>
      <c r="E450" s="92">
        <f>'[2]FGT PRIMARY FIRM ZONE 3'!V461</f>
        <v>133.845</v>
      </c>
      <c r="F450" s="83">
        <f>'[2]FGT FIRM ZONE 3 MOBILE BAY-DES'!V461-40-25-60-100</f>
        <v>53.48399999999998</v>
      </c>
      <c r="G450" s="86">
        <v>40</v>
      </c>
      <c r="H450" s="83">
        <f t="shared" si="71"/>
        <v>185</v>
      </c>
      <c r="I450" s="83">
        <f t="shared" si="70"/>
        <v>0</v>
      </c>
      <c r="J450" s="86">
        <v>100</v>
      </c>
      <c r="K450" s="86">
        <v>300</v>
      </c>
      <c r="L450" s="83">
        <f t="shared" si="63"/>
        <v>1274</v>
      </c>
      <c r="M450" s="94">
        <v>600</v>
      </c>
      <c r="N450" s="83">
        <f>'[2]FGT NON-FIRM'!P461</f>
        <v>30</v>
      </c>
      <c r="O450" s="86">
        <v>240</v>
      </c>
      <c r="P450" s="86">
        <v>160</v>
      </c>
      <c r="Q450" s="86">
        <f t="shared" si="64"/>
        <v>195</v>
      </c>
      <c r="R450" s="86">
        <f t="shared" si="65"/>
        <v>100</v>
      </c>
      <c r="S450" s="83">
        <f t="shared" si="66"/>
        <v>695</v>
      </c>
      <c r="T450" s="83">
        <f>'[2]GULFSTREAM NON-FIRM'!H461</f>
        <v>0</v>
      </c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</row>
    <row r="451" spans="1:30" ht="15.75" hidden="1" x14ac:dyDescent="0.25">
      <c r="A451" s="33">
        <v>54666</v>
      </c>
      <c r="B451" s="96">
        <v>31</v>
      </c>
      <c r="C451" s="83">
        <f>'[2]FGT PRIMARY FIRM ZONE 1'!V462</f>
        <v>194.20499999999998</v>
      </c>
      <c r="D451" s="83">
        <f>'[2]FGT PRIMARY FIRM ZONE 2'!V462</f>
        <v>267.46600000000001</v>
      </c>
      <c r="E451" s="92">
        <f>'[2]FGT PRIMARY FIRM ZONE 3'!V462</f>
        <v>133.845</v>
      </c>
      <c r="F451" s="83">
        <f>'[2]FGT FIRM ZONE 3 MOBILE BAY-DES'!V462-40-25-60-100</f>
        <v>53.48399999999998</v>
      </c>
      <c r="G451" s="86">
        <v>40</v>
      </c>
      <c r="H451" s="83">
        <f t="shared" si="71"/>
        <v>185</v>
      </c>
      <c r="I451" s="83">
        <f t="shared" si="70"/>
        <v>0</v>
      </c>
      <c r="J451" s="86">
        <v>100</v>
      </c>
      <c r="K451" s="86">
        <v>300</v>
      </c>
      <c r="L451" s="83">
        <f t="shared" si="63"/>
        <v>1274</v>
      </c>
      <c r="M451" s="94">
        <v>600</v>
      </c>
      <c r="N451" s="83">
        <f>'[2]FGT NON-FIRM'!P462</f>
        <v>30</v>
      </c>
      <c r="O451" s="86">
        <v>240</v>
      </c>
      <c r="P451" s="86">
        <v>160</v>
      </c>
      <c r="Q451" s="86">
        <f t="shared" si="64"/>
        <v>195</v>
      </c>
      <c r="R451" s="86">
        <f t="shared" si="65"/>
        <v>100</v>
      </c>
      <c r="S451" s="83">
        <f t="shared" si="66"/>
        <v>695</v>
      </c>
      <c r="T451" s="83">
        <f>'[2]GULFSTREAM NON-FIRM'!H462</f>
        <v>0</v>
      </c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</row>
    <row r="452" spans="1:30" ht="15.75" hidden="1" x14ac:dyDescent="0.25">
      <c r="A452" s="33">
        <v>54696</v>
      </c>
      <c r="B452" s="96">
        <v>30</v>
      </c>
      <c r="C452" s="83">
        <f>'[2]FGT PRIMARY FIRM ZONE 1'!V463</f>
        <v>194.20499999999998</v>
      </c>
      <c r="D452" s="83">
        <f>'[2]FGT PRIMARY FIRM ZONE 2'!V463</f>
        <v>267.46600000000001</v>
      </c>
      <c r="E452" s="92">
        <f>'[2]FGT PRIMARY FIRM ZONE 3'!V463</f>
        <v>133.845</v>
      </c>
      <c r="F452" s="83">
        <f>'[2]FGT FIRM ZONE 3 MOBILE BAY-DES'!V463-40-25-60-100</f>
        <v>53.48399999999998</v>
      </c>
      <c r="G452" s="86">
        <v>40</v>
      </c>
      <c r="H452" s="83">
        <f t="shared" si="71"/>
        <v>185</v>
      </c>
      <c r="I452" s="83">
        <f t="shared" si="70"/>
        <v>0</v>
      </c>
      <c r="J452" s="86">
        <v>100</v>
      </c>
      <c r="K452" s="86">
        <v>300</v>
      </c>
      <c r="L452" s="83">
        <f t="shared" si="63"/>
        <v>1274</v>
      </c>
      <c r="M452" s="94">
        <v>600</v>
      </c>
      <c r="N452" s="83">
        <f>'[2]FGT NON-FIRM'!P463</f>
        <v>30</v>
      </c>
      <c r="O452" s="86">
        <v>240</v>
      </c>
      <c r="P452" s="86">
        <v>160</v>
      </c>
      <c r="Q452" s="86">
        <f t="shared" si="64"/>
        <v>195</v>
      </c>
      <c r="R452" s="86">
        <f t="shared" si="65"/>
        <v>100</v>
      </c>
      <c r="S452" s="83">
        <f t="shared" si="66"/>
        <v>695</v>
      </c>
      <c r="T452" s="83">
        <f>'[2]GULFSTREAM NON-FIRM'!H463</f>
        <v>0</v>
      </c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</row>
    <row r="453" spans="1:30" ht="15.75" hidden="1" x14ac:dyDescent="0.25">
      <c r="A453" s="33">
        <v>54727</v>
      </c>
      <c r="B453" s="96">
        <v>31</v>
      </c>
      <c r="C453" s="83">
        <f>'[2]FGT PRIMARY FIRM ZONE 1'!V464</f>
        <v>131.881</v>
      </c>
      <c r="D453" s="83">
        <f>'[2]FGT PRIMARY FIRM ZONE 2'!V464</f>
        <v>277.16699999999997</v>
      </c>
      <c r="E453" s="92">
        <f>'[2]FGT PRIMARY FIRM ZONE 3'!V464</f>
        <v>79.08</v>
      </c>
      <c r="F453" s="83">
        <f>'[2]FGT FIRM ZONE 3 MOBILE BAY-DES'!V464-40-25-60-100</f>
        <v>125.87199999999996</v>
      </c>
      <c r="G453" s="86">
        <v>40</v>
      </c>
      <c r="H453" s="83">
        <f t="shared" si="71"/>
        <v>185</v>
      </c>
      <c r="I453" s="83">
        <f t="shared" si="70"/>
        <v>0</v>
      </c>
      <c r="J453" s="86">
        <v>100</v>
      </c>
      <c r="K453" s="86">
        <v>300</v>
      </c>
      <c r="L453" s="83">
        <f t="shared" si="63"/>
        <v>1239</v>
      </c>
      <c r="M453" s="94">
        <v>600</v>
      </c>
      <c r="N453" s="83">
        <f>'[2]FGT NON-FIRM'!P464</f>
        <v>75</v>
      </c>
      <c r="O453" s="86">
        <v>240</v>
      </c>
      <c r="P453" s="86">
        <v>160</v>
      </c>
      <c r="Q453" s="86">
        <f t="shared" si="64"/>
        <v>195</v>
      </c>
      <c r="R453" s="86">
        <f t="shared" si="65"/>
        <v>100</v>
      </c>
      <c r="S453" s="83">
        <f t="shared" si="66"/>
        <v>695</v>
      </c>
      <c r="T453" s="83">
        <f>'[2]GULFSTREAM NON-FIRM'!H464</f>
        <v>0</v>
      </c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</row>
    <row r="454" spans="1:30" ht="15.75" hidden="1" x14ac:dyDescent="0.25">
      <c r="A454" s="33">
        <v>54757</v>
      </c>
      <c r="B454" s="96">
        <v>30</v>
      </c>
      <c r="C454" s="83">
        <f>'[2]FGT PRIMARY FIRM ZONE 1'!V465</f>
        <v>122.58</v>
      </c>
      <c r="D454" s="83">
        <f>'[2]FGT PRIMARY FIRM ZONE 2'!V465</f>
        <v>297.94100000000003</v>
      </c>
      <c r="E454" s="92">
        <f>'[2]FGT PRIMARY FIRM ZONE 3'!V465</f>
        <v>89.177000000000007</v>
      </c>
      <c r="F454" s="83">
        <f>'[2]FGT FIRM ZONE 3 MOBILE BAY-DES'!V465-40-60-100</f>
        <v>40.301999999999992</v>
      </c>
      <c r="G454" s="86">
        <v>40</v>
      </c>
      <c r="H454" s="83">
        <f>60+100</f>
        <v>160</v>
      </c>
      <c r="I454" s="83">
        <f t="shared" si="70"/>
        <v>0</v>
      </c>
      <c r="J454" s="86">
        <v>100</v>
      </c>
      <c r="K454" s="86">
        <v>300</v>
      </c>
      <c r="L454" s="83">
        <f t="shared" si="63"/>
        <v>1150</v>
      </c>
      <c r="M454" s="94">
        <v>600</v>
      </c>
      <c r="N454" s="83">
        <f>'[2]FGT NON-FIRM'!P465</f>
        <v>100</v>
      </c>
      <c r="O454" s="86">
        <v>240</v>
      </c>
      <c r="P454" s="86">
        <v>40</v>
      </c>
      <c r="Q454" s="86">
        <f t="shared" si="64"/>
        <v>315</v>
      </c>
      <c r="R454" s="86">
        <f t="shared" si="65"/>
        <v>100</v>
      </c>
      <c r="S454" s="83">
        <f t="shared" si="66"/>
        <v>695</v>
      </c>
      <c r="T454" s="83">
        <f>'[2]GULFSTREAM NON-FIRM'!H465</f>
        <v>50</v>
      </c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</row>
    <row r="455" spans="1:30" ht="15.75" hidden="1" x14ac:dyDescent="0.25">
      <c r="A455" s="33">
        <v>54788</v>
      </c>
      <c r="B455" s="96">
        <v>31</v>
      </c>
      <c r="C455" s="83">
        <f>'[2]FGT PRIMARY FIRM ZONE 1'!V466</f>
        <v>122.58</v>
      </c>
      <c r="D455" s="83">
        <f>'[2]FGT PRIMARY FIRM ZONE 2'!V466</f>
        <v>297.94100000000003</v>
      </c>
      <c r="E455" s="92">
        <f>'[2]FGT PRIMARY FIRM ZONE 3'!V466</f>
        <v>89.177000000000007</v>
      </c>
      <c r="F455" s="83">
        <f>'[2]FGT FIRM ZONE 3 MOBILE BAY-DES'!V466-40-60-100</f>
        <v>40.301999999999992</v>
      </c>
      <c r="G455" s="86">
        <v>40</v>
      </c>
      <c r="H455" s="83">
        <f>60+100</f>
        <v>160</v>
      </c>
      <c r="I455" s="83">
        <f t="shared" si="70"/>
        <v>0</v>
      </c>
      <c r="J455" s="86">
        <v>100</v>
      </c>
      <c r="K455" s="86">
        <v>300</v>
      </c>
      <c r="L455" s="83">
        <f t="shared" si="63"/>
        <v>1150</v>
      </c>
      <c r="M455" s="94">
        <v>600</v>
      </c>
      <c r="N455" s="83">
        <f>'[2]FGT NON-FIRM'!P466</f>
        <v>100</v>
      </c>
      <c r="O455" s="86">
        <v>240</v>
      </c>
      <c r="P455" s="86">
        <v>40</v>
      </c>
      <c r="Q455" s="86">
        <f t="shared" si="64"/>
        <v>315</v>
      </c>
      <c r="R455" s="86">
        <f t="shared" si="65"/>
        <v>100</v>
      </c>
      <c r="S455" s="83">
        <f t="shared" si="66"/>
        <v>695</v>
      </c>
      <c r="T455" s="83">
        <f>'[2]GULFSTREAM NON-FIRM'!H466</f>
        <v>50</v>
      </c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</row>
    <row r="456" spans="1:30" ht="15.75" hidden="1" x14ac:dyDescent="0.25">
      <c r="A456" s="33">
        <v>54819</v>
      </c>
      <c r="B456" s="96">
        <v>31</v>
      </c>
      <c r="C456" s="83">
        <f>'[2]FGT PRIMARY FIRM ZONE 1'!V467</f>
        <v>122.58</v>
      </c>
      <c r="D456" s="83">
        <f>'[2]FGT PRIMARY FIRM ZONE 2'!V467</f>
        <v>297.94100000000003</v>
      </c>
      <c r="E456" s="92">
        <f>'[2]FGT PRIMARY FIRM ZONE 3'!V467</f>
        <v>89.177000000000007</v>
      </c>
      <c r="F456" s="83">
        <f>'[2]FGT FIRM ZONE 3 MOBILE BAY-DES'!V467-40-60-100</f>
        <v>40.301999999999992</v>
      </c>
      <c r="G456" s="86">
        <v>40</v>
      </c>
      <c r="H456" s="83">
        <f>60+100</f>
        <v>160</v>
      </c>
      <c r="I456" s="83">
        <f t="shared" si="70"/>
        <v>0</v>
      </c>
      <c r="J456" s="86">
        <v>100</v>
      </c>
      <c r="K456" s="86">
        <v>300</v>
      </c>
      <c r="L456" s="83">
        <f t="shared" si="63"/>
        <v>1150</v>
      </c>
      <c r="M456" s="94">
        <v>600</v>
      </c>
      <c r="N456" s="83">
        <f>'[2]FGT NON-FIRM'!P467</f>
        <v>100</v>
      </c>
      <c r="O456" s="86">
        <v>240</v>
      </c>
      <c r="P456" s="86">
        <v>40</v>
      </c>
      <c r="Q456" s="86">
        <f t="shared" si="64"/>
        <v>315</v>
      </c>
      <c r="R456" s="86">
        <f t="shared" si="65"/>
        <v>100</v>
      </c>
      <c r="S456" s="83">
        <f t="shared" si="66"/>
        <v>695</v>
      </c>
      <c r="T456" s="83">
        <f>'[2]GULFSTREAM NON-FIRM'!H467</f>
        <v>50</v>
      </c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</row>
    <row r="457" spans="1:30" ht="15.75" hidden="1" x14ac:dyDescent="0.25">
      <c r="A457" s="33">
        <v>54847</v>
      </c>
      <c r="B457" s="96">
        <v>28</v>
      </c>
      <c r="C457" s="83">
        <f>'[2]FGT PRIMARY FIRM ZONE 1'!V468</f>
        <v>122.58</v>
      </c>
      <c r="D457" s="83">
        <f>'[2]FGT PRIMARY FIRM ZONE 2'!V468</f>
        <v>297.94100000000003</v>
      </c>
      <c r="E457" s="92">
        <f>'[2]FGT PRIMARY FIRM ZONE 3'!V468</f>
        <v>89.177000000000007</v>
      </c>
      <c r="F457" s="83">
        <f>'[2]FGT FIRM ZONE 3 MOBILE BAY-DES'!V468-40-60-100</f>
        <v>40.301999999999992</v>
      </c>
      <c r="G457" s="86">
        <v>40</v>
      </c>
      <c r="H457" s="83">
        <f>60+100</f>
        <v>160</v>
      </c>
      <c r="I457" s="83">
        <f t="shared" si="70"/>
        <v>0</v>
      </c>
      <c r="J457" s="86">
        <v>100</v>
      </c>
      <c r="K457" s="86">
        <v>300</v>
      </c>
      <c r="L457" s="83">
        <f t="shared" si="63"/>
        <v>1150</v>
      </c>
      <c r="M457" s="94">
        <v>600</v>
      </c>
      <c r="N457" s="83">
        <f>'[2]FGT NON-FIRM'!P468</f>
        <v>100</v>
      </c>
      <c r="O457" s="86">
        <v>240</v>
      </c>
      <c r="P457" s="86">
        <v>40</v>
      </c>
      <c r="Q457" s="86">
        <f t="shared" si="64"/>
        <v>315</v>
      </c>
      <c r="R457" s="86">
        <f t="shared" si="65"/>
        <v>100</v>
      </c>
      <c r="S457" s="83">
        <f t="shared" si="66"/>
        <v>695</v>
      </c>
      <c r="T457" s="83">
        <f>'[2]GULFSTREAM NON-FIRM'!H468</f>
        <v>50</v>
      </c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</row>
    <row r="458" spans="1:30" ht="15.75" hidden="1" x14ac:dyDescent="0.25">
      <c r="A458" s="33">
        <v>54878</v>
      </c>
      <c r="B458" s="96">
        <v>31</v>
      </c>
      <c r="C458" s="83">
        <f>'[2]FGT PRIMARY FIRM ZONE 1'!V469</f>
        <v>122.58</v>
      </c>
      <c r="D458" s="83">
        <f>'[2]FGT PRIMARY FIRM ZONE 2'!V469</f>
        <v>297.94100000000003</v>
      </c>
      <c r="E458" s="92">
        <f>'[2]FGT PRIMARY FIRM ZONE 3'!V469</f>
        <v>89.177000000000007</v>
      </c>
      <c r="F458" s="83">
        <f>'[2]FGT FIRM ZONE 3 MOBILE BAY-DES'!V469-40-60-100</f>
        <v>40.301999999999992</v>
      </c>
      <c r="G458" s="86">
        <v>40</v>
      </c>
      <c r="H458" s="83">
        <f>60+100</f>
        <v>160</v>
      </c>
      <c r="I458" s="83">
        <f t="shared" si="70"/>
        <v>0</v>
      </c>
      <c r="J458" s="86">
        <v>100</v>
      </c>
      <c r="K458" s="86">
        <v>300</v>
      </c>
      <c r="L458" s="83">
        <f t="shared" si="63"/>
        <v>1150</v>
      </c>
      <c r="M458" s="94">
        <v>600</v>
      </c>
      <c r="N458" s="83">
        <f>'[2]FGT NON-FIRM'!P469</f>
        <v>100</v>
      </c>
      <c r="O458" s="86">
        <v>240</v>
      </c>
      <c r="P458" s="86">
        <v>40</v>
      </c>
      <c r="Q458" s="86">
        <f t="shared" si="64"/>
        <v>315</v>
      </c>
      <c r="R458" s="86">
        <f t="shared" si="65"/>
        <v>100</v>
      </c>
      <c r="S458" s="83">
        <f t="shared" si="66"/>
        <v>695</v>
      </c>
      <c r="T458" s="83">
        <f>'[2]GULFSTREAM NON-FIRM'!H469</f>
        <v>50</v>
      </c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</row>
    <row r="459" spans="1:30" ht="15.75" hidden="1" x14ac:dyDescent="0.25">
      <c r="A459" s="33">
        <v>54908</v>
      </c>
      <c r="B459" s="96">
        <v>30</v>
      </c>
      <c r="C459" s="83">
        <f>'[2]FGT PRIMARY FIRM ZONE 1'!V470</f>
        <v>141.29300000000001</v>
      </c>
      <c r="D459" s="83">
        <f>'[2]FGT PRIMARY FIRM ZONE 2'!V470</f>
        <v>267.99299999999999</v>
      </c>
      <c r="E459" s="92">
        <f>'[2]FGT PRIMARY FIRM ZONE 3'!V470</f>
        <v>115.01600000000001</v>
      </c>
      <c r="F459" s="83">
        <f>'[2]FGT FIRM ZONE 3 MOBILE BAY-DES'!V470-40-25-60-100</f>
        <v>89.698000000000036</v>
      </c>
      <c r="G459" s="86">
        <v>40</v>
      </c>
      <c r="H459" s="83">
        <f t="shared" ref="H459:H465" si="72">25+60+100</f>
        <v>185</v>
      </c>
      <c r="I459" s="83">
        <f t="shared" si="70"/>
        <v>0</v>
      </c>
      <c r="J459" s="86">
        <v>100</v>
      </c>
      <c r="K459" s="86">
        <v>300</v>
      </c>
      <c r="L459" s="83">
        <f t="shared" si="63"/>
        <v>1239</v>
      </c>
      <c r="M459" s="94">
        <v>600</v>
      </c>
      <c r="N459" s="83">
        <f>'[2]FGT NON-FIRM'!P470</f>
        <v>100</v>
      </c>
      <c r="O459" s="86">
        <v>240</v>
      </c>
      <c r="P459" s="86">
        <v>160</v>
      </c>
      <c r="Q459" s="86">
        <f t="shared" si="64"/>
        <v>195</v>
      </c>
      <c r="R459" s="86">
        <f t="shared" si="65"/>
        <v>100</v>
      </c>
      <c r="S459" s="83">
        <f t="shared" si="66"/>
        <v>695</v>
      </c>
      <c r="T459" s="83">
        <f>'[2]GULFSTREAM NON-FIRM'!H470</f>
        <v>50</v>
      </c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</row>
    <row r="460" spans="1:30" ht="15.75" hidden="1" x14ac:dyDescent="0.25">
      <c r="A460" s="33">
        <v>54939</v>
      </c>
      <c r="B460" s="96">
        <v>31</v>
      </c>
      <c r="C460" s="83">
        <f>'[2]FGT PRIMARY FIRM ZONE 1'!V471</f>
        <v>194.20499999999998</v>
      </c>
      <c r="D460" s="83">
        <f>'[2]FGT PRIMARY FIRM ZONE 2'!V471</f>
        <v>267.46600000000001</v>
      </c>
      <c r="E460" s="92">
        <f>'[2]FGT PRIMARY FIRM ZONE 3'!V471</f>
        <v>133.845</v>
      </c>
      <c r="F460" s="83">
        <f>'[2]FGT FIRM ZONE 3 MOBILE BAY-DES'!V471-40-25-60-100</f>
        <v>53.48399999999998</v>
      </c>
      <c r="G460" s="86">
        <v>40</v>
      </c>
      <c r="H460" s="83">
        <f t="shared" si="72"/>
        <v>185</v>
      </c>
      <c r="I460" s="83">
        <f t="shared" si="70"/>
        <v>0</v>
      </c>
      <c r="J460" s="86">
        <v>100</v>
      </c>
      <c r="K460" s="86">
        <v>300</v>
      </c>
      <c r="L460" s="83">
        <f t="shared" si="63"/>
        <v>1274</v>
      </c>
      <c r="M460" s="94">
        <v>600</v>
      </c>
      <c r="N460" s="83">
        <f>'[2]FGT NON-FIRM'!P471</f>
        <v>75</v>
      </c>
      <c r="O460" s="86">
        <v>240</v>
      </c>
      <c r="P460" s="86">
        <v>160</v>
      </c>
      <c r="Q460" s="86">
        <f t="shared" si="64"/>
        <v>195</v>
      </c>
      <c r="R460" s="86">
        <f t="shared" si="65"/>
        <v>100</v>
      </c>
      <c r="S460" s="83">
        <f t="shared" si="66"/>
        <v>695</v>
      </c>
      <c r="T460" s="83">
        <f>'[2]GULFSTREAM NON-FIRM'!H471</f>
        <v>50</v>
      </c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</row>
    <row r="461" spans="1:30" ht="15.75" hidden="1" x14ac:dyDescent="0.25">
      <c r="A461" s="33">
        <v>54969</v>
      </c>
      <c r="B461" s="96">
        <v>30</v>
      </c>
      <c r="C461" s="83">
        <f>'[2]FGT PRIMARY FIRM ZONE 1'!V472</f>
        <v>194.20499999999998</v>
      </c>
      <c r="D461" s="83">
        <f>'[2]FGT PRIMARY FIRM ZONE 2'!V472</f>
        <v>267.46600000000001</v>
      </c>
      <c r="E461" s="92">
        <f>'[2]FGT PRIMARY FIRM ZONE 3'!V472</f>
        <v>133.845</v>
      </c>
      <c r="F461" s="83">
        <f>'[2]FGT FIRM ZONE 3 MOBILE BAY-DES'!V472-40-25-60-100</f>
        <v>53.48399999999998</v>
      </c>
      <c r="G461" s="86">
        <v>40</v>
      </c>
      <c r="H461" s="83">
        <f t="shared" si="72"/>
        <v>185</v>
      </c>
      <c r="I461" s="83">
        <f t="shared" si="70"/>
        <v>0</v>
      </c>
      <c r="J461" s="86">
        <v>100</v>
      </c>
      <c r="K461" s="86">
        <v>300</v>
      </c>
      <c r="L461" s="83">
        <f t="shared" si="63"/>
        <v>1274</v>
      </c>
      <c r="M461" s="94">
        <v>600</v>
      </c>
      <c r="N461" s="83">
        <f>'[2]FGT NON-FIRM'!P472</f>
        <v>30</v>
      </c>
      <c r="O461" s="86">
        <v>240</v>
      </c>
      <c r="P461" s="86">
        <v>160</v>
      </c>
      <c r="Q461" s="86">
        <f t="shared" si="64"/>
        <v>195</v>
      </c>
      <c r="R461" s="86">
        <f t="shared" si="65"/>
        <v>100</v>
      </c>
      <c r="S461" s="83">
        <f t="shared" si="66"/>
        <v>695</v>
      </c>
      <c r="T461" s="83">
        <f>'[2]GULFSTREAM NON-FIRM'!H472</f>
        <v>50</v>
      </c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</row>
    <row r="462" spans="1:30" ht="15.75" hidden="1" x14ac:dyDescent="0.25">
      <c r="A462" s="33">
        <v>55000</v>
      </c>
      <c r="B462" s="96">
        <v>31</v>
      </c>
      <c r="C462" s="83">
        <f>'[2]FGT PRIMARY FIRM ZONE 1'!V473</f>
        <v>194.20499999999998</v>
      </c>
      <c r="D462" s="83">
        <f>'[2]FGT PRIMARY FIRM ZONE 2'!V473</f>
        <v>267.46600000000001</v>
      </c>
      <c r="E462" s="92">
        <f>'[2]FGT PRIMARY FIRM ZONE 3'!V473</f>
        <v>133.845</v>
      </c>
      <c r="F462" s="83">
        <f>'[2]FGT FIRM ZONE 3 MOBILE BAY-DES'!V473-40-25-60-100</f>
        <v>53.48399999999998</v>
      </c>
      <c r="G462" s="86">
        <v>40</v>
      </c>
      <c r="H462" s="83">
        <f t="shared" si="72"/>
        <v>185</v>
      </c>
      <c r="I462" s="83">
        <f t="shared" si="70"/>
        <v>0</v>
      </c>
      <c r="J462" s="86">
        <v>100</v>
      </c>
      <c r="K462" s="86">
        <v>300</v>
      </c>
      <c r="L462" s="83">
        <f t="shared" si="63"/>
        <v>1274</v>
      </c>
      <c r="M462" s="94">
        <v>600</v>
      </c>
      <c r="N462" s="83">
        <f>'[2]FGT NON-FIRM'!P473</f>
        <v>30</v>
      </c>
      <c r="O462" s="86">
        <v>240</v>
      </c>
      <c r="P462" s="86">
        <v>160</v>
      </c>
      <c r="Q462" s="86">
        <f t="shared" si="64"/>
        <v>195</v>
      </c>
      <c r="R462" s="86">
        <f t="shared" si="65"/>
        <v>100</v>
      </c>
      <c r="S462" s="83">
        <f t="shared" si="66"/>
        <v>695</v>
      </c>
      <c r="T462" s="83">
        <f>'[2]GULFSTREAM NON-FIRM'!H473</f>
        <v>0</v>
      </c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</row>
    <row r="463" spans="1:30" ht="15.75" hidden="1" x14ac:dyDescent="0.25">
      <c r="A463" s="33">
        <v>55031</v>
      </c>
      <c r="B463" s="96">
        <v>31</v>
      </c>
      <c r="C463" s="83">
        <f>'[2]FGT PRIMARY FIRM ZONE 1'!V474</f>
        <v>194.20499999999998</v>
      </c>
      <c r="D463" s="83">
        <f>'[2]FGT PRIMARY FIRM ZONE 2'!V474</f>
        <v>267.46600000000001</v>
      </c>
      <c r="E463" s="92">
        <f>'[2]FGT PRIMARY FIRM ZONE 3'!V474</f>
        <v>133.845</v>
      </c>
      <c r="F463" s="83">
        <f>'[2]FGT FIRM ZONE 3 MOBILE BAY-DES'!V474-40-25-60-100</f>
        <v>53.48399999999998</v>
      </c>
      <c r="G463" s="86">
        <v>40</v>
      </c>
      <c r="H463" s="83">
        <f t="shared" si="72"/>
        <v>185</v>
      </c>
      <c r="I463" s="83">
        <f t="shared" si="70"/>
        <v>0</v>
      </c>
      <c r="J463" s="86">
        <v>100</v>
      </c>
      <c r="K463" s="86">
        <v>300</v>
      </c>
      <c r="L463" s="83">
        <f t="shared" si="63"/>
        <v>1274</v>
      </c>
      <c r="M463" s="94">
        <v>600</v>
      </c>
      <c r="N463" s="83">
        <f>'[2]FGT NON-FIRM'!P474</f>
        <v>30</v>
      </c>
      <c r="O463" s="86">
        <v>240</v>
      </c>
      <c r="P463" s="86">
        <v>160</v>
      </c>
      <c r="Q463" s="86">
        <f t="shared" si="64"/>
        <v>195</v>
      </c>
      <c r="R463" s="86">
        <f t="shared" si="65"/>
        <v>100</v>
      </c>
      <c r="S463" s="83">
        <f t="shared" si="66"/>
        <v>695</v>
      </c>
      <c r="T463" s="83">
        <f>'[2]GULFSTREAM NON-FIRM'!H474</f>
        <v>0</v>
      </c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</row>
    <row r="464" spans="1:30" ht="15.75" hidden="1" x14ac:dyDescent="0.25">
      <c r="A464" s="33">
        <v>55061</v>
      </c>
      <c r="B464" s="96">
        <v>30</v>
      </c>
      <c r="C464" s="83">
        <f>'[2]FGT PRIMARY FIRM ZONE 1'!V475</f>
        <v>194.20499999999998</v>
      </c>
      <c r="D464" s="83">
        <f>'[2]FGT PRIMARY FIRM ZONE 2'!V475</f>
        <v>267.46600000000001</v>
      </c>
      <c r="E464" s="92">
        <f>'[2]FGT PRIMARY FIRM ZONE 3'!V475</f>
        <v>133.845</v>
      </c>
      <c r="F464" s="83">
        <f>'[2]FGT FIRM ZONE 3 MOBILE BAY-DES'!V475-40-25-60-100</f>
        <v>53.48399999999998</v>
      </c>
      <c r="G464" s="86">
        <v>40</v>
      </c>
      <c r="H464" s="83">
        <f t="shared" si="72"/>
        <v>185</v>
      </c>
      <c r="I464" s="83">
        <f t="shared" si="70"/>
        <v>0</v>
      </c>
      <c r="J464" s="86">
        <v>100</v>
      </c>
      <c r="K464" s="86">
        <v>300</v>
      </c>
      <c r="L464" s="83">
        <f t="shared" si="63"/>
        <v>1274</v>
      </c>
      <c r="M464" s="94">
        <v>600</v>
      </c>
      <c r="N464" s="83">
        <f>'[2]FGT NON-FIRM'!P475</f>
        <v>30</v>
      </c>
      <c r="O464" s="86">
        <v>240</v>
      </c>
      <c r="P464" s="86">
        <v>160</v>
      </c>
      <c r="Q464" s="86">
        <f t="shared" si="64"/>
        <v>195</v>
      </c>
      <c r="R464" s="86">
        <f t="shared" si="65"/>
        <v>100</v>
      </c>
      <c r="S464" s="83">
        <f t="shared" si="66"/>
        <v>695</v>
      </c>
      <c r="T464" s="83">
        <f>'[2]GULFSTREAM NON-FIRM'!H475</f>
        <v>0</v>
      </c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</row>
    <row r="465" spans="1:30" ht="15.75" hidden="1" x14ac:dyDescent="0.25">
      <c r="A465" s="33">
        <v>55092</v>
      </c>
      <c r="B465" s="96">
        <v>31</v>
      </c>
      <c r="C465" s="83">
        <f>'[2]FGT PRIMARY FIRM ZONE 1'!V476</f>
        <v>131.881</v>
      </c>
      <c r="D465" s="83">
        <f>'[2]FGT PRIMARY FIRM ZONE 2'!V476</f>
        <v>277.16699999999997</v>
      </c>
      <c r="E465" s="92">
        <f>'[2]FGT PRIMARY FIRM ZONE 3'!V476</f>
        <v>79.08</v>
      </c>
      <c r="F465" s="83">
        <f>'[2]FGT FIRM ZONE 3 MOBILE BAY-DES'!V476-40-25-60-100</f>
        <v>125.87199999999996</v>
      </c>
      <c r="G465" s="86">
        <v>40</v>
      </c>
      <c r="H465" s="83">
        <f t="shared" si="72"/>
        <v>185</v>
      </c>
      <c r="I465" s="83">
        <f t="shared" si="70"/>
        <v>0</v>
      </c>
      <c r="J465" s="86">
        <v>100</v>
      </c>
      <c r="K465" s="86">
        <v>300</v>
      </c>
      <c r="L465" s="83">
        <f t="shared" si="63"/>
        <v>1239</v>
      </c>
      <c r="M465" s="94">
        <v>600</v>
      </c>
      <c r="N465" s="83">
        <f>'[2]FGT NON-FIRM'!P476</f>
        <v>75</v>
      </c>
      <c r="O465" s="86">
        <v>240</v>
      </c>
      <c r="P465" s="86">
        <v>160</v>
      </c>
      <c r="Q465" s="86">
        <f t="shared" si="64"/>
        <v>195</v>
      </c>
      <c r="R465" s="86">
        <f t="shared" si="65"/>
        <v>100</v>
      </c>
      <c r="S465" s="83">
        <f t="shared" si="66"/>
        <v>695</v>
      </c>
      <c r="T465" s="83">
        <f>'[2]GULFSTREAM NON-FIRM'!H476</f>
        <v>0</v>
      </c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</row>
    <row r="466" spans="1:30" ht="15.75" hidden="1" x14ac:dyDescent="0.25">
      <c r="A466" s="33">
        <v>55122</v>
      </c>
      <c r="B466" s="96">
        <v>30</v>
      </c>
      <c r="C466" s="83">
        <f>'[2]FGT PRIMARY FIRM ZONE 1'!V477</f>
        <v>122.58</v>
      </c>
      <c r="D466" s="83">
        <f>'[2]FGT PRIMARY FIRM ZONE 2'!V477</f>
        <v>297.94100000000003</v>
      </c>
      <c r="E466" s="92">
        <f>'[2]FGT PRIMARY FIRM ZONE 3'!V477</f>
        <v>89.177000000000007</v>
      </c>
      <c r="F466" s="83">
        <f>'[2]FGT FIRM ZONE 3 MOBILE BAY-DES'!V477-40-60-100</f>
        <v>40.301999999999992</v>
      </c>
      <c r="G466" s="86">
        <v>40</v>
      </c>
      <c r="H466" s="83">
        <f>60+100</f>
        <v>160</v>
      </c>
      <c r="I466" s="83">
        <f t="shared" si="70"/>
        <v>0</v>
      </c>
      <c r="J466" s="86">
        <v>100</v>
      </c>
      <c r="K466" s="86">
        <v>300</v>
      </c>
      <c r="L466" s="83">
        <f t="shared" si="63"/>
        <v>1150</v>
      </c>
      <c r="M466" s="94">
        <v>600</v>
      </c>
      <c r="N466" s="83">
        <f>'[2]FGT NON-FIRM'!P477</f>
        <v>100</v>
      </c>
      <c r="O466" s="86">
        <v>240</v>
      </c>
      <c r="P466" s="86">
        <v>40</v>
      </c>
      <c r="Q466" s="86">
        <f t="shared" si="64"/>
        <v>315</v>
      </c>
      <c r="R466" s="86">
        <f t="shared" si="65"/>
        <v>100</v>
      </c>
      <c r="S466" s="83">
        <f t="shared" si="66"/>
        <v>695</v>
      </c>
      <c r="T466" s="83">
        <f>'[2]GULFSTREAM NON-FIRM'!H477</f>
        <v>50</v>
      </c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</row>
    <row r="467" spans="1:30" ht="15.75" hidden="1" x14ac:dyDescent="0.25">
      <c r="A467" s="33">
        <v>55153</v>
      </c>
      <c r="B467" s="96">
        <v>31</v>
      </c>
      <c r="C467" s="83">
        <f>'[2]FGT PRIMARY FIRM ZONE 1'!V478</f>
        <v>122.58</v>
      </c>
      <c r="D467" s="83">
        <f>'[2]FGT PRIMARY FIRM ZONE 2'!V478</f>
        <v>297.94100000000003</v>
      </c>
      <c r="E467" s="92">
        <f>'[2]FGT PRIMARY FIRM ZONE 3'!V478</f>
        <v>89.177000000000007</v>
      </c>
      <c r="F467" s="83">
        <f>'[2]FGT FIRM ZONE 3 MOBILE BAY-DES'!V478-40-60-100</f>
        <v>40.301999999999992</v>
      </c>
      <c r="G467" s="86">
        <v>40</v>
      </c>
      <c r="H467" s="83">
        <f>60+100</f>
        <v>160</v>
      </c>
      <c r="I467" s="83">
        <f t="shared" si="70"/>
        <v>0</v>
      </c>
      <c r="J467" s="86">
        <v>100</v>
      </c>
      <c r="K467" s="86">
        <v>300</v>
      </c>
      <c r="L467" s="83">
        <f t="shared" si="63"/>
        <v>1150</v>
      </c>
      <c r="M467" s="94">
        <v>600</v>
      </c>
      <c r="N467" s="83">
        <f>'[2]FGT NON-FIRM'!P478</f>
        <v>100</v>
      </c>
      <c r="O467" s="86">
        <v>240</v>
      </c>
      <c r="P467" s="86">
        <v>40</v>
      </c>
      <c r="Q467" s="86">
        <f t="shared" si="64"/>
        <v>315</v>
      </c>
      <c r="R467" s="86">
        <f t="shared" si="65"/>
        <v>100</v>
      </c>
      <c r="S467" s="83">
        <f t="shared" si="66"/>
        <v>695</v>
      </c>
      <c r="T467" s="83">
        <f>'[2]GULFSTREAM NON-FIRM'!H478</f>
        <v>50</v>
      </c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</row>
    <row r="468" spans="1:30" ht="15.75" hidden="1" x14ac:dyDescent="0.25">
      <c r="A468" s="33">
        <v>55184</v>
      </c>
      <c r="B468" s="96">
        <v>31</v>
      </c>
      <c r="C468" s="83">
        <f>'[2]FGT PRIMARY FIRM ZONE 1'!V479</f>
        <v>122.58</v>
      </c>
      <c r="D468" s="83">
        <f>'[2]FGT PRIMARY FIRM ZONE 2'!V479</f>
        <v>297.94100000000003</v>
      </c>
      <c r="E468" s="92">
        <f>'[2]FGT PRIMARY FIRM ZONE 3'!V479</f>
        <v>89.177000000000007</v>
      </c>
      <c r="F468" s="83">
        <f>'[2]FGT FIRM ZONE 3 MOBILE BAY-DES'!V479-40-60-100</f>
        <v>40.301999999999992</v>
      </c>
      <c r="G468" s="86">
        <v>40</v>
      </c>
      <c r="H468" s="83">
        <f>60+100</f>
        <v>160</v>
      </c>
      <c r="I468" s="83">
        <f t="shared" si="70"/>
        <v>0</v>
      </c>
      <c r="J468" s="86">
        <v>100</v>
      </c>
      <c r="K468" s="86">
        <v>300</v>
      </c>
      <c r="L468" s="83">
        <f t="shared" ref="L468:L531" si="73">SUM(C468:K468)</f>
        <v>1150</v>
      </c>
      <c r="M468" s="94">
        <v>600</v>
      </c>
      <c r="N468" s="83">
        <f>'[2]FGT NON-FIRM'!P479</f>
        <v>100</v>
      </c>
      <c r="O468" s="86">
        <v>240</v>
      </c>
      <c r="P468" s="86">
        <v>40</v>
      </c>
      <c r="Q468" s="86">
        <f t="shared" ref="Q468:Q531" si="74">695-R468-O468-P468</f>
        <v>315</v>
      </c>
      <c r="R468" s="86">
        <f t="shared" ref="R468:R531" si="75">200-J468</f>
        <v>100</v>
      </c>
      <c r="S468" s="83">
        <f t="shared" ref="S468:S531" si="76">SUM(O468:R468)</f>
        <v>695</v>
      </c>
      <c r="T468" s="83">
        <f>'[2]GULFSTREAM NON-FIRM'!H479</f>
        <v>50</v>
      </c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</row>
    <row r="469" spans="1:30" ht="15.75" hidden="1" x14ac:dyDescent="0.25">
      <c r="A469" s="33">
        <v>55212</v>
      </c>
      <c r="B469" s="96">
        <v>28</v>
      </c>
      <c r="C469" s="83">
        <f>'[2]FGT PRIMARY FIRM ZONE 1'!V480</f>
        <v>122.58</v>
      </c>
      <c r="D469" s="83">
        <f>'[2]FGT PRIMARY FIRM ZONE 2'!V480</f>
        <v>297.94100000000003</v>
      </c>
      <c r="E469" s="92">
        <f>'[2]FGT PRIMARY FIRM ZONE 3'!V480</f>
        <v>89.177000000000007</v>
      </c>
      <c r="F469" s="83">
        <f>'[2]FGT FIRM ZONE 3 MOBILE BAY-DES'!V480-40-60-100</f>
        <v>40.301999999999992</v>
      </c>
      <c r="G469" s="86">
        <v>40</v>
      </c>
      <c r="H469" s="83">
        <f>60+100</f>
        <v>160</v>
      </c>
      <c r="I469" s="83">
        <f t="shared" si="70"/>
        <v>0</v>
      </c>
      <c r="J469" s="86">
        <v>100</v>
      </c>
      <c r="K469" s="86">
        <v>300</v>
      </c>
      <c r="L469" s="83">
        <f t="shared" si="73"/>
        <v>1150</v>
      </c>
      <c r="M469" s="94">
        <v>600</v>
      </c>
      <c r="N469" s="83">
        <f>'[2]FGT NON-FIRM'!P480</f>
        <v>100</v>
      </c>
      <c r="O469" s="86">
        <v>240</v>
      </c>
      <c r="P469" s="86">
        <v>40</v>
      </c>
      <c r="Q469" s="86">
        <f t="shared" si="74"/>
        <v>315</v>
      </c>
      <c r="R469" s="86">
        <f t="shared" si="75"/>
        <v>100</v>
      </c>
      <c r="S469" s="83">
        <f t="shared" si="76"/>
        <v>695</v>
      </c>
      <c r="T469" s="83">
        <f>'[2]GULFSTREAM NON-FIRM'!H480</f>
        <v>50</v>
      </c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</row>
    <row r="470" spans="1:30" ht="15.75" hidden="1" x14ac:dyDescent="0.25">
      <c r="A470" s="33">
        <v>55243</v>
      </c>
      <c r="B470" s="96">
        <v>31</v>
      </c>
      <c r="C470" s="83">
        <f>'[2]FGT PRIMARY FIRM ZONE 1'!V481</f>
        <v>122.58</v>
      </c>
      <c r="D470" s="83">
        <f>'[2]FGT PRIMARY FIRM ZONE 2'!V481</f>
        <v>297.94100000000003</v>
      </c>
      <c r="E470" s="92">
        <f>'[2]FGT PRIMARY FIRM ZONE 3'!V481</f>
        <v>89.177000000000007</v>
      </c>
      <c r="F470" s="83">
        <f>'[2]FGT FIRM ZONE 3 MOBILE BAY-DES'!V481-40-60-100</f>
        <v>40.301999999999992</v>
      </c>
      <c r="G470" s="86">
        <v>40</v>
      </c>
      <c r="H470" s="83">
        <f>60+100</f>
        <v>160</v>
      </c>
      <c r="I470" s="83">
        <f t="shared" si="70"/>
        <v>0</v>
      </c>
      <c r="J470" s="86">
        <v>100</v>
      </c>
      <c r="K470" s="86">
        <v>300</v>
      </c>
      <c r="L470" s="83">
        <f t="shared" si="73"/>
        <v>1150</v>
      </c>
      <c r="M470" s="94">
        <v>600</v>
      </c>
      <c r="N470" s="83">
        <f>'[2]FGT NON-FIRM'!P481</f>
        <v>100</v>
      </c>
      <c r="O470" s="86">
        <v>240</v>
      </c>
      <c r="P470" s="86">
        <v>40</v>
      </c>
      <c r="Q470" s="86">
        <f t="shared" si="74"/>
        <v>315</v>
      </c>
      <c r="R470" s="86">
        <f t="shared" si="75"/>
        <v>100</v>
      </c>
      <c r="S470" s="83">
        <f t="shared" si="76"/>
        <v>695</v>
      </c>
      <c r="T470" s="83">
        <f>'[2]GULFSTREAM NON-FIRM'!H481</f>
        <v>50</v>
      </c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</row>
    <row r="471" spans="1:30" ht="15.75" hidden="1" x14ac:dyDescent="0.25">
      <c r="A471" s="33">
        <v>55273</v>
      </c>
      <c r="B471" s="96">
        <v>30</v>
      </c>
      <c r="C471" s="83">
        <f>'[2]FGT PRIMARY FIRM ZONE 1'!V482</f>
        <v>141.29300000000001</v>
      </c>
      <c r="D471" s="83">
        <f>'[2]FGT PRIMARY FIRM ZONE 2'!V482</f>
        <v>267.99299999999999</v>
      </c>
      <c r="E471" s="92">
        <f>'[2]FGT PRIMARY FIRM ZONE 3'!V482</f>
        <v>115.01600000000001</v>
      </c>
      <c r="F471" s="83">
        <f>'[2]FGT FIRM ZONE 3 MOBILE BAY-DES'!V482-40-25-60-100</f>
        <v>89.698000000000036</v>
      </c>
      <c r="G471" s="86">
        <v>40</v>
      </c>
      <c r="H471" s="83">
        <f t="shared" ref="H471:H477" si="77">25+60+100</f>
        <v>185</v>
      </c>
      <c r="I471" s="83">
        <f t="shared" si="70"/>
        <v>0</v>
      </c>
      <c r="J471" s="86">
        <v>100</v>
      </c>
      <c r="K471" s="86">
        <v>300</v>
      </c>
      <c r="L471" s="83">
        <f t="shared" si="73"/>
        <v>1239</v>
      </c>
      <c r="M471" s="94">
        <v>600</v>
      </c>
      <c r="N471" s="83">
        <f>'[2]FGT NON-FIRM'!P482</f>
        <v>100</v>
      </c>
      <c r="O471" s="86">
        <v>240</v>
      </c>
      <c r="P471" s="86">
        <v>160</v>
      </c>
      <c r="Q471" s="86">
        <f t="shared" si="74"/>
        <v>195</v>
      </c>
      <c r="R471" s="86">
        <f t="shared" si="75"/>
        <v>100</v>
      </c>
      <c r="S471" s="83">
        <f t="shared" si="76"/>
        <v>695</v>
      </c>
      <c r="T471" s="83">
        <f>'[2]GULFSTREAM NON-FIRM'!H482</f>
        <v>50</v>
      </c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</row>
    <row r="472" spans="1:30" ht="15.75" hidden="1" x14ac:dyDescent="0.25">
      <c r="A472" s="33">
        <v>55304</v>
      </c>
      <c r="B472" s="96">
        <v>31</v>
      </c>
      <c r="C472" s="83">
        <f>'[2]FGT PRIMARY FIRM ZONE 1'!V483</f>
        <v>194.20499999999998</v>
      </c>
      <c r="D472" s="83">
        <f>'[2]FGT PRIMARY FIRM ZONE 2'!V483</f>
        <v>267.46600000000001</v>
      </c>
      <c r="E472" s="92">
        <f>'[2]FGT PRIMARY FIRM ZONE 3'!V483</f>
        <v>133.845</v>
      </c>
      <c r="F472" s="83">
        <f>'[2]FGT FIRM ZONE 3 MOBILE BAY-DES'!V483-40-25-60-100</f>
        <v>53.48399999999998</v>
      </c>
      <c r="G472" s="86">
        <v>40</v>
      </c>
      <c r="H472" s="83">
        <f t="shared" si="77"/>
        <v>185</v>
      </c>
      <c r="I472" s="83">
        <f t="shared" si="70"/>
        <v>0</v>
      </c>
      <c r="J472" s="86">
        <v>100</v>
      </c>
      <c r="K472" s="86">
        <v>300</v>
      </c>
      <c r="L472" s="83">
        <f t="shared" si="73"/>
        <v>1274</v>
      </c>
      <c r="M472" s="94">
        <v>600</v>
      </c>
      <c r="N472" s="83">
        <f>'[2]FGT NON-FIRM'!P483</f>
        <v>75</v>
      </c>
      <c r="O472" s="86">
        <v>240</v>
      </c>
      <c r="P472" s="86">
        <v>160</v>
      </c>
      <c r="Q472" s="86">
        <f t="shared" si="74"/>
        <v>195</v>
      </c>
      <c r="R472" s="86">
        <f t="shared" si="75"/>
        <v>100</v>
      </c>
      <c r="S472" s="83">
        <f t="shared" si="76"/>
        <v>695</v>
      </c>
      <c r="T472" s="83">
        <f>'[2]GULFSTREAM NON-FIRM'!H483</f>
        <v>50</v>
      </c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</row>
    <row r="473" spans="1:30" ht="15.75" hidden="1" x14ac:dyDescent="0.25">
      <c r="A473" s="33">
        <v>55334</v>
      </c>
      <c r="B473" s="96">
        <v>30</v>
      </c>
      <c r="C473" s="83">
        <f>'[2]FGT PRIMARY FIRM ZONE 1'!V484</f>
        <v>194.20499999999998</v>
      </c>
      <c r="D473" s="83">
        <f>'[2]FGT PRIMARY FIRM ZONE 2'!V484</f>
        <v>267.46600000000001</v>
      </c>
      <c r="E473" s="92">
        <f>'[2]FGT PRIMARY FIRM ZONE 3'!V484</f>
        <v>133.845</v>
      </c>
      <c r="F473" s="83">
        <f>'[2]FGT FIRM ZONE 3 MOBILE BAY-DES'!V484-40-25-60-100</f>
        <v>53.48399999999998</v>
      </c>
      <c r="G473" s="86">
        <v>40</v>
      </c>
      <c r="H473" s="83">
        <f t="shared" si="77"/>
        <v>185</v>
      </c>
      <c r="I473" s="83">
        <f t="shared" si="70"/>
        <v>0</v>
      </c>
      <c r="J473" s="86">
        <v>100</v>
      </c>
      <c r="K473" s="86">
        <v>300</v>
      </c>
      <c r="L473" s="83">
        <f t="shared" si="73"/>
        <v>1274</v>
      </c>
      <c r="M473" s="94">
        <v>600</v>
      </c>
      <c r="N473" s="83">
        <f>'[2]FGT NON-FIRM'!P484</f>
        <v>30</v>
      </c>
      <c r="O473" s="86">
        <v>240</v>
      </c>
      <c r="P473" s="86">
        <v>160</v>
      </c>
      <c r="Q473" s="86">
        <f t="shared" si="74"/>
        <v>195</v>
      </c>
      <c r="R473" s="86">
        <f t="shared" si="75"/>
        <v>100</v>
      </c>
      <c r="S473" s="83">
        <f t="shared" si="76"/>
        <v>695</v>
      </c>
      <c r="T473" s="83">
        <f>'[2]GULFSTREAM NON-FIRM'!H484</f>
        <v>50</v>
      </c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</row>
    <row r="474" spans="1:30" ht="15.75" hidden="1" x14ac:dyDescent="0.25">
      <c r="A474" s="33">
        <v>55365</v>
      </c>
      <c r="B474" s="96">
        <v>31</v>
      </c>
      <c r="C474" s="83">
        <f>'[2]FGT PRIMARY FIRM ZONE 1'!V485</f>
        <v>194.20499999999998</v>
      </c>
      <c r="D474" s="83">
        <f>'[2]FGT PRIMARY FIRM ZONE 2'!V485</f>
        <v>267.46600000000001</v>
      </c>
      <c r="E474" s="92">
        <f>'[2]FGT PRIMARY FIRM ZONE 3'!V485</f>
        <v>133.845</v>
      </c>
      <c r="F474" s="83">
        <f>'[2]FGT FIRM ZONE 3 MOBILE BAY-DES'!V485-40-25-60-100</f>
        <v>53.48399999999998</v>
      </c>
      <c r="G474" s="86">
        <v>40</v>
      </c>
      <c r="H474" s="83">
        <f t="shared" si="77"/>
        <v>185</v>
      </c>
      <c r="I474" s="83">
        <f t="shared" si="70"/>
        <v>0</v>
      </c>
      <c r="J474" s="86">
        <v>100</v>
      </c>
      <c r="K474" s="86">
        <v>300</v>
      </c>
      <c r="L474" s="83">
        <f t="shared" si="73"/>
        <v>1274</v>
      </c>
      <c r="M474" s="94">
        <v>600</v>
      </c>
      <c r="N474" s="83">
        <f>'[2]FGT NON-FIRM'!P485</f>
        <v>30</v>
      </c>
      <c r="O474" s="86">
        <v>240</v>
      </c>
      <c r="P474" s="86">
        <v>160</v>
      </c>
      <c r="Q474" s="86">
        <f t="shared" si="74"/>
        <v>195</v>
      </c>
      <c r="R474" s="86">
        <f t="shared" si="75"/>
        <v>100</v>
      </c>
      <c r="S474" s="83">
        <f t="shared" si="76"/>
        <v>695</v>
      </c>
      <c r="T474" s="83">
        <f>'[2]GULFSTREAM NON-FIRM'!H485</f>
        <v>0</v>
      </c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</row>
    <row r="475" spans="1:30" ht="15.75" hidden="1" x14ac:dyDescent="0.25">
      <c r="A475" s="33">
        <v>55396</v>
      </c>
      <c r="B475" s="96">
        <v>31</v>
      </c>
      <c r="C475" s="83">
        <f>'[2]FGT PRIMARY FIRM ZONE 1'!V486</f>
        <v>194.20499999999998</v>
      </c>
      <c r="D475" s="83">
        <f>'[2]FGT PRIMARY FIRM ZONE 2'!V486</f>
        <v>267.46600000000001</v>
      </c>
      <c r="E475" s="92">
        <f>'[2]FGT PRIMARY FIRM ZONE 3'!V486</f>
        <v>133.845</v>
      </c>
      <c r="F475" s="83">
        <f>'[2]FGT FIRM ZONE 3 MOBILE BAY-DES'!V486-40-25-60-100</f>
        <v>53.48399999999998</v>
      </c>
      <c r="G475" s="86">
        <v>40</v>
      </c>
      <c r="H475" s="83">
        <f t="shared" si="77"/>
        <v>185</v>
      </c>
      <c r="I475" s="83">
        <f t="shared" si="70"/>
        <v>0</v>
      </c>
      <c r="J475" s="86">
        <v>100</v>
      </c>
      <c r="K475" s="86">
        <v>300</v>
      </c>
      <c r="L475" s="83">
        <f t="shared" si="73"/>
        <v>1274</v>
      </c>
      <c r="M475" s="94">
        <v>600</v>
      </c>
      <c r="N475" s="83">
        <f>'[2]FGT NON-FIRM'!P486</f>
        <v>30</v>
      </c>
      <c r="O475" s="86">
        <v>240</v>
      </c>
      <c r="P475" s="86">
        <v>160</v>
      </c>
      <c r="Q475" s="86">
        <f t="shared" si="74"/>
        <v>195</v>
      </c>
      <c r="R475" s="86">
        <f t="shared" si="75"/>
        <v>100</v>
      </c>
      <c r="S475" s="83">
        <f t="shared" si="76"/>
        <v>695</v>
      </c>
      <c r="T475" s="83">
        <f>'[2]GULFSTREAM NON-FIRM'!H486</f>
        <v>0</v>
      </c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</row>
    <row r="476" spans="1:30" ht="15.75" hidden="1" x14ac:dyDescent="0.25">
      <c r="A476" s="33">
        <v>55426</v>
      </c>
      <c r="B476" s="96">
        <v>30</v>
      </c>
      <c r="C476" s="83">
        <f>'[2]FGT PRIMARY FIRM ZONE 1'!V487</f>
        <v>194.20499999999998</v>
      </c>
      <c r="D476" s="83">
        <f>'[2]FGT PRIMARY FIRM ZONE 2'!V487</f>
        <v>267.46600000000001</v>
      </c>
      <c r="E476" s="92">
        <f>'[2]FGT PRIMARY FIRM ZONE 3'!V487</f>
        <v>133.845</v>
      </c>
      <c r="F476" s="83">
        <f>'[2]FGT FIRM ZONE 3 MOBILE BAY-DES'!V487-40-25-60-100</f>
        <v>53.48399999999998</v>
      </c>
      <c r="G476" s="86">
        <v>40</v>
      </c>
      <c r="H476" s="83">
        <f t="shared" si="77"/>
        <v>185</v>
      </c>
      <c r="I476" s="83">
        <f t="shared" si="70"/>
        <v>0</v>
      </c>
      <c r="J476" s="86">
        <v>100</v>
      </c>
      <c r="K476" s="86">
        <v>300</v>
      </c>
      <c r="L476" s="83">
        <f t="shared" si="73"/>
        <v>1274</v>
      </c>
      <c r="M476" s="94">
        <v>600</v>
      </c>
      <c r="N476" s="83">
        <f>'[2]FGT NON-FIRM'!P487</f>
        <v>30</v>
      </c>
      <c r="O476" s="86">
        <v>240</v>
      </c>
      <c r="P476" s="86">
        <v>160</v>
      </c>
      <c r="Q476" s="86">
        <f t="shared" si="74"/>
        <v>195</v>
      </c>
      <c r="R476" s="86">
        <f t="shared" si="75"/>
        <v>100</v>
      </c>
      <c r="S476" s="83">
        <f t="shared" si="76"/>
        <v>695</v>
      </c>
      <c r="T476" s="83">
        <f>'[2]GULFSTREAM NON-FIRM'!H487</f>
        <v>0</v>
      </c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</row>
    <row r="477" spans="1:30" ht="15.75" hidden="1" x14ac:dyDescent="0.25">
      <c r="A477" s="33">
        <v>55457</v>
      </c>
      <c r="B477" s="96">
        <v>31</v>
      </c>
      <c r="C477" s="83">
        <f>'[2]FGT PRIMARY FIRM ZONE 1'!V488</f>
        <v>131.881</v>
      </c>
      <c r="D477" s="83">
        <f>'[2]FGT PRIMARY FIRM ZONE 2'!V488</f>
        <v>277.16699999999997</v>
      </c>
      <c r="E477" s="92">
        <f>'[2]FGT PRIMARY FIRM ZONE 3'!V488</f>
        <v>79.08</v>
      </c>
      <c r="F477" s="83">
        <f>'[2]FGT FIRM ZONE 3 MOBILE BAY-DES'!V488-40-25-60-100</f>
        <v>125.87199999999996</v>
      </c>
      <c r="G477" s="86">
        <v>40</v>
      </c>
      <c r="H477" s="83">
        <f t="shared" si="77"/>
        <v>185</v>
      </c>
      <c r="I477" s="83">
        <f t="shared" si="70"/>
        <v>0</v>
      </c>
      <c r="J477" s="86">
        <v>100</v>
      </c>
      <c r="K477" s="86">
        <v>300</v>
      </c>
      <c r="L477" s="83">
        <f t="shared" si="73"/>
        <v>1239</v>
      </c>
      <c r="M477" s="94">
        <v>600</v>
      </c>
      <c r="N477" s="83">
        <f>'[2]FGT NON-FIRM'!P488</f>
        <v>75</v>
      </c>
      <c r="O477" s="86">
        <v>240</v>
      </c>
      <c r="P477" s="86">
        <v>160</v>
      </c>
      <c r="Q477" s="86">
        <f t="shared" si="74"/>
        <v>195</v>
      </c>
      <c r="R477" s="86">
        <f t="shared" si="75"/>
        <v>100</v>
      </c>
      <c r="S477" s="83">
        <f t="shared" si="76"/>
        <v>695</v>
      </c>
      <c r="T477" s="83">
        <f>'[2]GULFSTREAM NON-FIRM'!H488</f>
        <v>0</v>
      </c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</row>
    <row r="478" spans="1:30" ht="15.75" hidden="1" x14ac:dyDescent="0.25">
      <c r="A478" s="33">
        <v>55487</v>
      </c>
      <c r="B478" s="96">
        <v>30</v>
      </c>
      <c r="C478" s="83">
        <f>'[2]FGT PRIMARY FIRM ZONE 1'!V489</f>
        <v>122.58</v>
      </c>
      <c r="D478" s="83">
        <f>'[2]FGT PRIMARY FIRM ZONE 2'!V489</f>
        <v>297.94100000000003</v>
      </c>
      <c r="E478" s="92">
        <f>'[2]FGT PRIMARY FIRM ZONE 3'!V489</f>
        <v>89.177000000000007</v>
      </c>
      <c r="F478" s="83">
        <f>'[2]FGT FIRM ZONE 3 MOBILE BAY-DES'!V489-40-60-100</f>
        <v>40.301999999999992</v>
      </c>
      <c r="G478" s="86">
        <v>40</v>
      </c>
      <c r="H478" s="83">
        <f>60+100</f>
        <v>160</v>
      </c>
      <c r="I478" s="83">
        <f t="shared" si="70"/>
        <v>0</v>
      </c>
      <c r="J478" s="86">
        <v>100</v>
      </c>
      <c r="K478" s="86">
        <v>300</v>
      </c>
      <c r="L478" s="83">
        <f t="shared" si="73"/>
        <v>1150</v>
      </c>
      <c r="M478" s="94">
        <v>600</v>
      </c>
      <c r="N478" s="83">
        <f>'[2]FGT NON-FIRM'!P489</f>
        <v>100</v>
      </c>
      <c r="O478" s="86">
        <v>240</v>
      </c>
      <c r="P478" s="86">
        <v>40</v>
      </c>
      <c r="Q478" s="86">
        <f t="shared" si="74"/>
        <v>315</v>
      </c>
      <c r="R478" s="86">
        <f t="shared" si="75"/>
        <v>100</v>
      </c>
      <c r="S478" s="83">
        <f t="shared" si="76"/>
        <v>695</v>
      </c>
      <c r="T478" s="83">
        <f>'[2]GULFSTREAM NON-FIRM'!H489</f>
        <v>50</v>
      </c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</row>
    <row r="479" spans="1:30" ht="15.75" hidden="1" x14ac:dyDescent="0.25">
      <c r="A479" s="33">
        <v>55518</v>
      </c>
      <c r="B479" s="96">
        <v>31</v>
      </c>
      <c r="C479" s="83">
        <f>'[2]FGT PRIMARY FIRM ZONE 1'!V490</f>
        <v>122.58</v>
      </c>
      <c r="D479" s="83">
        <f>'[2]FGT PRIMARY FIRM ZONE 2'!V490</f>
        <v>297.94100000000003</v>
      </c>
      <c r="E479" s="92">
        <f>'[2]FGT PRIMARY FIRM ZONE 3'!V490</f>
        <v>89.177000000000007</v>
      </c>
      <c r="F479" s="83">
        <f>'[2]FGT FIRM ZONE 3 MOBILE BAY-DES'!V490-40-60-100</f>
        <v>40.301999999999992</v>
      </c>
      <c r="G479" s="86">
        <v>40</v>
      </c>
      <c r="H479" s="83">
        <f>60+100</f>
        <v>160</v>
      </c>
      <c r="I479" s="83">
        <f t="shared" si="70"/>
        <v>0</v>
      </c>
      <c r="J479" s="86">
        <v>100</v>
      </c>
      <c r="K479" s="86">
        <v>300</v>
      </c>
      <c r="L479" s="83">
        <f t="shared" si="73"/>
        <v>1150</v>
      </c>
      <c r="M479" s="94">
        <v>600</v>
      </c>
      <c r="N479" s="83">
        <f>'[2]FGT NON-FIRM'!P490</f>
        <v>100</v>
      </c>
      <c r="O479" s="86">
        <v>240</v>
      </c>
      <c r="P479" s="86">
        <v>40</v>
      </c>
      <c r="Q479" s="86">
        <f t="shared" si="74"/>
        <v>315</v>
      </c>
      <c r="R479" s="86">
        <f t="shared" si="75"/>
        <v>100</v>
      </c>
      <c r="S479" s="83">
        <f t="shared" si="76"/>
        <v>695</v>
      </c>
      <c r="T479" s="83">
        <f>'[2]GULFSTREAM NON-FIRM'!H490</f>
        <v>50</v>
      </c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</row>
    <row r="480" spans="1:30" ht="15.75" hidden="1" x14ac:dyDescent="0.25">
      <c r="A480" s="33">
        <v>55549</v>
      </c>
      <c r="B480" s="96">
        <v>31</v>
      </c>
      <c r="C480" s="83">
        <f>'[2]FGT PRIMARY FIRM ZONE 1'!V491</f>
        <v>122.58</v>
      </c>
      <c r="D480" s="83">
        <f>'[2]FGT PRIMARY FIRM ZONE 2'!V491</f>
        <v>297.94100000000003</v>
      </c>
      <c r="E480" s="92">
        <f>'[2]FGT PRIMARY FIRM ZONE 3'!V491</f>
        <v>89.177000000000007</v>
      </c>
      <c r="F480" s="83">
        <f>'[2]FGT FIRM ZONE 3 MOBILE BAY-DES'!V491-40-60-100</f>
        <v>40.301999999999992</v>
      </c>
      <c r="G480" s="86">
        <v>40</v>
      </c>
      <c r="H480" s="83">
        <f>60+100</f>
        <v>160</v>
      </c>
      <c r="I480" s="83">
        <f t="shared" si="70"/>
        <v>0</v>
      </c>
      <c r="J480" s="86">
        <v>100</v>
      </c>
      <c r="K480" s="86">
        <v>300</v>
      </c>
      <c r="L480" s="83">
        <f t="shared" si="73"/>
        <v>1150</v>
      </c>
      <c r="M480" s="94">
        <v>600</v>
      </c>
      <c r="N480" s="83">
        <f>'[2]FGT NON-FIRM'!P491</f>
        <v>100</v>
      </c>
      <c r="O480" s="86">
        <v>240</v>
      </c>
      <c r="P480" s="86">
        <v>40</v>
      </c>
      <c r="Q480" s="86">
        <f t="shared" si="74"/>
        <v>315</v>
      </c>
      <c r="R480" s="86">
        <f t="shared" si="75"/>
        <v>100</v>
      </c>
      <c r="S480" s="83">
        <f t="shared" si="76"/>
        <v>695</v>
      </c>
      <c r="T480" s="83">
        <f>'[2]GULFSTREAM NON-FIRM'!H491</f>
        <v>50</v>
      </c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</row>
    <row r="481" spans="1:30" ht="15.75" hidden="1" x14ac:dyDescent="0.25">
      <c r="A481" s="33">
        <v>55577</v>
      </c>
      <c r="B481" s="96">
        <v>29</v>
      </c>
      <c r="C481" s="83">
        <f>'[2]FGT PRIMARY FIRM ZONE 1'!V492</f>
        <v>122.58</v>
      </c>
      <c r="D481" s="83">
        <f>'[2]FGT PRIMARY FIRM ZONE 2'!V492</f>
        <v>297.94100000000003</v>
      </c>
      <c r="E481" s="92">
        <f>'[2]FGT PRIMARY FIRM ZONE 3'!V492</f>
        <v>89.177000000000007</v>
      </c>
      <c r="F481" s="83">
        <f>'[2]FGT FIRM ZONE 3 MOBILE BAY-DES'!V492-40-60-100</f>
        <v>40.301999999999992</v>
      </c>
      <c r="G481" s="86">
        <v>40</v>
      </c>
      <c r="H481" s="83">
        <f>60+100</f>
        <v>160</v>
      </c>
      <c r="I481" s="83">
        <f t="shared" si="70"/>
        <v>0</v>
      </c>
      <c r="J481" s="86">
        <v>100</v>
      </c>
      <c r="K481" s="86">
        <v>300</v>
      </c>
      <c r="L481" s="83">
        <f t="shared" si="73"/>
        <v>1150</v>
      </c>
      <c r="M481" s="94">
        <v>600</v>
      </c>
      <c r="N481" s="83">
        <f>'[2]FGT NON-FIRM'!P492</f>
        <v>100</v>
      </c>
      <c r="O481" s="86">
        <v>240</v>
      </c>
      <c r="P481" s="86">
        <v>40</v>
      </c>
      <c r="Q481" s="86">
        <f t="shared" si="74"/>
        <v>315</v>
      </c>
      <c r="R481" s="86">
        <f t="shared" si="75"/>
        <v>100</v>
      </c>
      <c r="S481" s="83">
        <f t="shared" si="76"/>
        <v>695</v>
      </c>
      <c r="T481" s="83">
        <f>'[2]GULFSTREAM NON-FIRM'!H492</f>
        <v>50</v>
      </c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</row>
    <row r="482" spans="1:30" ht="15.75" hidden="1" x14ac:dyDescent="0.25">
      <c r="A482" s="33">
        <v>55609</v>
      </c>
      <c r="B482" s="96">
        <v>31</v>
      </c>
      <c r="C482" s="83">
        <f>'[2]FGT PRIMARY FIRM ZONE 1'!V493</f>
        <v>122.58</v>
      </c>
      <c r="D482" s="83">
        <f>'[2]FGT PRIMARY FIRM ZONE 2'!V493</f>
        <v>297.94100000000003</v>
      </c>
      <c r="E482" s="92">
        <f>'[2]FGT PRIMARY FIRM ZONE 3'!V493</f>
        <v>89.177000000000007</v>
      </c>
      <c r="F482" s="83">
        <f>'[2]FGT FIRM ZONE 3 MOBILE BAY-DES'!V493-40-60-100</f>
        <v>40.301999999999992</v>
      </c>
      <c r="G482" s="86">
        <v>40</v>
      </c>
      <c r="H482" s="83">
        <f>60+100</f>
        <v>160</v>
      </c>
      <c r="I482" s="83">
        <f t="shared" si="70"/>
        <v>0</v>
      </c>
      <c r="J482" s="86">
        <v>100</v>
      </c>
      <c r="K482" s="86">
        <v>300</v>
      </c>
      <c r="L482" s="83">
        <f t="shared" si="73"/>
        <v>1150</v>
      </c>
      <c r="M482" s="94">
        <v>600</v>
      </c>
      <c r="N482" s="83">
        <f>'[2]FGT NON-FIRM'!P493</f>
        <v>100</v>
      </c>
      <c r="O482" s="86">
        <v>240</v>
      </c>
      <c r="P482" s="86">
        <v>40</v>
      </c>
      <c r="Q482" s="86">
        <f t="shared" si="74"/>
        <v>315</v>
      </c>
      <c r="R482" s="86">
        <f t="shared" si="75"/>
        <v>100</v>
      </c>
      <c r="S482" s="83">
        <f t="shared" si="76"/>
        <v>695</v>
      </c>
      <c r="T482" s="83">
        <f>'[2]GULFSTREAM NON-FIRM'!H493</f>
        <v>50</v>
      </c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</row>
    <row r="483" spans="1:30" ht="15.75" hidden="1" x14ac:dyDescent="0.25">
      <c r="A483" s="33">
        <v>55639</v>
      </c>
      <c r="B483" s="96">
        <v>30</v>
      </c>
      <c r="C483" s="83">
        <f>'[2]FGT PRIMARY FIRM ZONE 1'!V494</f>
        <v>141.29300000000001</v>
      </c>
      <c r="D483" s="83">
        <f>'[2]FGT PRIMARY FIRM ZONE 2'!V494</f>
        <v>267.99299999999999</v>
      </c>
      <c r="E483" s="92">
        <f>'[2]FGT PRIMARY FIRM ZONE 3'!V494</f>
        <v>115.01600000000001</v>
      </c>
      <c r="F483" s="83">
        <f>'[2]FGT FIRM ZONE 3 MOBILE BAY-DES'!V494-40-25-60-100</f>
        <v>89.698000000000036</v>
      </c>
      <c r="G483" s="86">
        <v>40</v>
      </c>
      <c r="H483" s="83">
        <f t="shared" ref="H483:H489" si="78">25+60+100</f>
        <v>185</v>
      </c>
      <c r="I483" s="83">
        <f t="shared" si="70"/>
        <v>0</v>
      </c>
      <c r="J483" s="86">
        <v>100</v>
      </c>
      <c r="K483" s="86">
        <v>300</v>
      </c>
      <c r="L483" s="83">
        <f t="shared" si="73"/>
        <v>1239</v>
      </c>
      <c r="M483" s="94">
        <v>600</v>
      </c>
      <c r="N483" s="83">
        <f>'[2]FGT NON-FIRM'!P494</f>
        <v>100</v>
      </c>
      <c r="O483" s="86">
        <v>240</v>
      </c>
      <c r="P483" s="86">
        <v>160</v>
      </c>
      <c r="Q483" s="86">
        <f t="shared" si="74"/>
        <v>195</v>
      </c>
      <c r="R483" s="86">
        <f t="shared" si="75"/>
        <v>100</v>
      </c>
      <c r="S483" s="83">
        <f t="shared" si="76"/>
        <v>695</v>
      </c>
      <c r="T483" s="83">
        <f>'[2]GULFSTREAM NON-FIRM'!H494</f>
        <v>50</v>
      </c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</row>
    <row r="484" spans="1:30" ht="15.75" hidden="1" x14ac:dyDescent="0.25">
      <c r="A484" s="33">
        <v>55670</v>
      </c>
      <c r="B484" s="96">
        <v>31</v>
      </c>
      <c r="C484" s="83">
        <f>'[2]FGT PRIMARY FIRM ZONE 1'!V495</f>
        <v>194.20499999999998</v>
      </c>
      <c r="D484" s="83">
        <f>'[2]FGT PRIMARY FIRM ZONE 2'!V495</f>
        <v>267.46600000000001</v>
      </c>
      <c r="E484" s="92">
        <f>'[2]FGT PRIMARY FIRM ZONE 3'!V495</f>
        <v>133.845</v>
      </c>
      <c r="F484" s="83">
        <f>'[2]FGT FIRM ZONE 3 MOBILE BAY-DES'!V495-40-25-60-100</f>
        <v>53.48399999999998</v>
      </c>
      <c r="G484" s="86">
        <v>40</v>
      </c>
      <c r="H484" s="83">
        <f t="shared" si="78"/>
        <v>185</v>
      </c>
      <c r="I484" s="83">
        <f t="shared" si="70"/>
        <v>0</v>
      </c>
      <c r="J484" s="86">
        <v>100</v>
      </c>
      <c r="K484" s="86">
        <v>300</v>
      </c>
      <c r="L484" s="83">
        <f t="shared" si="73"/>
        <v>1274</v>
      </c>
      <c r="M484" s="94">
        <v>600</v>
      </c>
      <c r="N484" s="83">
        <f>'[2]FGT NON-FIRM'!P495</f>
        <v>75</v>
      </c>
      <c r="O484" s="86">
        <v>240</v>
      </c>
      <c r="P484" s="86">
        <v>160</v>
      </c>
      <c r="Q484" s="86">
        <f t="shared" si="74"/>
        <v>195</v>
      </c>
      <c r="R484" s="86">
        <f t="shared" si="75"/>
        <v>100</v>
      </c>
      <c r="S484" s="83">
        <f t="shared" si="76"/>
        <v>695</v>
      </c>
      <c r="T484" s="83">
        <f>'[2]GULFSTREAM NON-FIRM'!H495</f>
        <v>50</v>
      </c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</row>
    <row r="485" spans="1:30" ht="15.75" hidden="1" x14ac:dyDescent="0.25">
      <c r="A485" s="33">
        <v>55700</v>
      </c>
      <c r="B485" s="96">
        <v>30</v>
      </c>
      <c r="C485" s="83">
        <f>'[2]FGT PRIMARY FIRM ZONE 1'!V496</f>
        <v>194.20499999999998</v>
      </c>
      <c r="D485" s="83">
        <f>'[2]FGT PRIMARY FIRM ZONE 2'!V496</f>
        <v>267.46600000000001</v>
      </c>
      <c r="E485" s="92">
        <f>'[2]FGT PRIMARY FIRM ZONE 3'!V496</f>
        <v>133.845</v>
      </c>
      <c r="F485" s="83">
        <f>'[2]FGT FIRM ZONE 3 MOBILE BAY-DES'!V496-40-25-60-100</f>
        <v>53.48399999999998</v>
      </c>
      <c r="G485" s="86">
        <v>40</v>
      </c>
      <c r="H485" s="83">
        <f t="shared" si="78"/>
        <v>185</v>
      </c>
      <c r="I485" s="83">
        <f t="shared" si="70"/>
        <v>0</v>
      </c>
      <c r="J485" s="86">
        <v>100</v>
      </c>
      <c r="K485" s="86">
        <v>300</v>
      </c>
      <c r="L485" s="83">
        <f t="shared" si="73"/>
        <v>1274</v>
      </c>
      <c r="M485" s="94">
        <v>600</v>
      </c>
      <c r="N485" s="83">
        <f>'[2]FGT NON-FIRM'!P496</f>
        <v>30</v>
      </c>
      <c r="O485" s="86">
        <v>240</v>
      </c>
      <c r="P485" s="86">
        <v>160</v>
      </c>
      <c r="Q485" s="86">
        <f t="shared" si="74"/>
        <v>195</v>
      </c>
      <c r="R485" s="86">
        <f t="shared" si="75"/>
        <v>100</v>
      </c>
      <c r="S485" s="83">
        <f t="shared" si="76"/>
        <v>695</v>
      </c>
      <c r="T485" s="83">
        <f>'[2]GULFSTREAM NON-FIRM'!H496</f>
        <v>50</v>
      </c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</row>
    <row r="486" spans="1:30" ht="15.75" hidden="1" x14ac:dyDescent="0.25">
      <c r="A486" s="33">
        <v>55731</v>
      </c>
      <c r="B486" s="96">
        <v>31</v>
      </c>
      <c r="C486" s="83">
        <f>'[2]FGT PRIMARY FIRM ZONE 1'!V497</f>
        <v>194.20499999999998</v>
      </c>
      <c r="D486" s="83">
        <f>'[2]FGT PRIMARY FIRM ZONE 2'!V497</f>
        <v>267.46600000000001</v>
      </c>
      <c r="E486" s="92">
        <f>'[2]FGT PRIMARY FIRM ZONE 3'!V497</f>
        <v>133.845</v>
      </c>
      <c r="F486" s="83">
        <f>'[2]FGT FIRM ZONE 3 MOBILE BAY-DES'!V497-40-25-60-100</f>
        <v>53.48399999999998</v>
      </c>
      <c r="G486" s="86">
        <v>40</v>
      </c>
      <c r="H486" s="83">
        <f t="shared" si="78"/>
        <v>185</v>
      </c>
      <c r="I486" s="83">
        <f t="shared" si="70"/>
        <v>0</v>
      </c>
      <c r="J486" s="86">
        <v>100</v>
      </c>
      <c r="K486" s="86">
        <v>300</v>
      </c>
      <c r="L486" s="83">
        <f t="shared" si="73"/>
        <v>1274</v>
      </c>
      <c r="M486" s="94">
        <v>600</v>
      </c>
      <c r="N486" s="83">
        <f>'[2]FGT NON-FIRM'!P497</f>
        <v>30</v>
      </c>
      <c r="O486" s="86">
        <v>240</v>
      </c>
      <c r="P486" s="86">
        <v>160</v>
      </c>
      <c r="Q486" s="86">
        <f t="shared" si="74"/>
        <v>195</v>
      </c>
      <c r="R486" s="86">
        <f t="shared" si="75"/>
        <v>100</v>
      </c>
      <c r="S486" s="83">
        <f t="shared" si="76"/>
        <v>695</v>
      </c>
      <c r="T486" s="83">
        <f>'[2]GULFSTREAM NON-FIRM'!H497</f>
        <v>0</v>
      </c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</row>
    <row r="487" spans="1:30" ht="15.75" hidden="1" x14ac:dyDescent="0.25">
      <c r="A487" s="33">
        <v>55762</v>
      </c>
      <c r="B487" s="96">
        <v>31</v>
      </c>
      <c r="C487" s="83">
        <f>'[2]FGT PRIMARY FIRM ZONE 1'!V498</f>
        <v>194.20499999999998</v>
      </c>
      <c r="D487" s="83">
        <f>'[2]FGT PRIMARY FIRM ZONE 2'!V498</f>
        <v>267.46600000000001</v>
      </c>
      <c r="E487" s="92">
        <f>'[2]FGT PRIMARY FIRM ZONE 3'!V498</f>
        <v>133.845</v>
      </c>
      <c r="F487" s="83">
        <f>'[2]FGT FIRM ZONE 3 MOBILE BAY-DES'!V498-40-25-60-100</f>
        <v>53.48399999999998</v>
      </c>
      <c r="G487" s="86">
        <v>40</v>
      </c>
      <c r="H487" s="83">
        <f t="shared" si="78"/>
        <v>185</v>
      </c>
      <c r="I487" s="83">
        <f t="shared" si="70"/>
        <v>0</v>
      </c>
      <c r="J487" s="86">
        <v>100</v>
      </c>
      <c r="K487" s="86">
        <v>300</v>
      </c>
      <c r="L487" s="83">
        <f t="shared" si="73"/>
        <v>1274</v>
      </c>
      <c r="M487" s="94">
        <v>600</v>
      </c>
      <c r="N487" s="83">
        <f>'[2]FGT NON-FIRM'!P498</f>
        <v>30</v>
      </c>
      <c r="O487" s="86">
        <v>240</v>
      </c>
      <c r="P487" s="86">
        <v>160</v>
      </c>
      <c r="Q487" s="86">
        <f t="shared" si="74"/>
        <v>195</v>
      </c>
      <c r="R487" s="86">
        <f t="shared" si="75"/>
        <v>100</v>
      </c>
      <c r="S487" s="83">
        <f t="shared" si="76"/>
        <v>695</v>
      </c>
      <c r="T487" s="83">
        <f>'[2]GULFSTREAM NON-FIRM'!H498</f>
        <v>0</v>
      </c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</row>
    <row r="488" spans="1:30" ht="15.75" hidden="1" x14ac:dyDescent="0.25">
      <c r="A488" s="33">
        <v>55792</v>
      </c>
      <c r="B488" s="96">
        <v>30</v>
      </c>
      <c r="C488" s="83">
        <f>'[2]FGT PRIMARY FIRM ZONE 1'!V499</f>
        <v>194.20499999999998</v>
      </c>
      <c r="D488" s="83">
        <f>'[2]FGT PRIMARY FIRM ZONE 2'!V499</f>
        <v>267.46600000000001</v>
      </c>
      <c r="E488" s="92">
        <f>'[2]FGT PRIMARY FIRM ZONE 3'!V499</f>
        <v>133.845</v>
      </c>
      <c r="F488" s="83">
        <f>'[2]FGT FIRM ZONE 3 MOBILE BAY-DES'!V499-40-25-60-100</f>
        <v>53.48399999999998</v>
      </c>
      <c r="G488" s="86">
        <v>40</v>
      </c>
      <c r="H488" s="83">
        <f t="shared" si="78"/>
        <v>185</v>
      </c>
      <c r="I488" s="83">
        <f t="shared" si="70"/>
        <v>0</v>
      </c>
      <c r="J488" s="86">
        <v>100</v>
      </c>
      <c r="K488" s="86">
        <v>300</v>
      </c>
      <c r="L488" s="83">
        <f t="shared" si="73"/>
        <v>1274</v>
      </c>
      <c r="M488" s="94">
        <v>600</v>
      </c>
      <c r="N488" s="83">
        <f>'[2]FGT NON-FIRM'!P499</f>
        <v>30</v>
      </c>
      <c r="O488" s="86">
        <v>240</v>
      </c>
      <c r="P488" s="86">
        <v>160</v>
      </c>
      <c r="Q488" s="86">
        <f t="shared" si="74"/>
        <v>195</v>
      </c>
      <c r="R488" s="86">
        <f t="shared" si="75"/>
        <v>100</v>
      </c>
      <c r="S488" s="83">
        <f t="shared" si="76"/>
        <v>695</v>
      </c>
      <c r="T488" s="83">
        <f>'[2]GULFSTREAM NON-FIRM'!H499</f>
        <v>0</v>
      </c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</row>
    <row r="489" spans="1:30" ht="15.75" hidden="1" x14ac:dyDescent="0.25">
      <c r="A489" s="33">
        <v>55823</v>
      </c>
      <c r="B489" s="96">
        <v>31</v>
      </c>
      <c r="C489" s="83">
        <f>'[2]FGT PRIMARY FIRM ZONE 1'!V500</f>
        <v>131.881</v>
      </c>
      <c r="D489" s="83">
        <f>'[2]FGT PRIMARY FIRM ZONE 2'!V500</f>
        <v>277.16699999999997</v>
      </c>
      <c r="E489" s="92">
        <f>'[2]FGT PRIMARY FIRM ZONE 3'!V500</f>
        <v>79.08</v>
      </c>
      <c r="F489" s="83">
        <f>'[2]FGT FIRM ZONE 3 MOBILE BAY-DES'!V500-40-25-60-100</f>
        <v>125.87199999999996</v>
      </c>
      <c r="G489" s="86">
        <v>40</v>
      </c>
      <c r="H489" s="83">
        <f t="shared" si="78"/>
        <v>185</v>
      </c>
      <c r="I489" s="83">
        <f t="shared" si="70"/>
        <v>0</v>
      </c>
      <c r="J489" s="86">
        <v>100</v>
      </c>
      <c r="K489" s="86">
        <v>300</v>
      </c>
      <c r="L489" s="83">
        <f t="shared" si="73"/>
        <v>1239</v>
      </c>
      <c r="M489" s="94">
        <v>600</v>
      </c>
      <c r="N489" s="83">
        <f>'[2]FGT NON-FIRM'!P500</f>
        <v>75</v>
      </c>
      <c r="O489" s="86">
        <v>240</v>
      </c>
      <c r="P489" s="86">
        <v>160</v>
      </c>
      <c r="Q489" s="86">
        <f t="shared" si="74"/>
        <v>195</v>
      </c>
      <c r="R489" s="86">
        <f t="shared" si="75"/>
        <v>100</v>
      </c>
      <c r="S489" s="83">
        <f t="shared" si="76"/>
        <v>695</v>
      </c>
      <c r="T489" s="83">
        <f>'[2]GULFSTREAM NON-FIRM'!H500</f>
        <v>0</v>
      </c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</row>
    <row r="490" spans="1:30" ht="15.75" hidden="1" x14ac:dyDescent="0.25">
      <c r="A490" s="33">
        <v>55853</v>
      </c>
      <c r="B490" s="96">
        <v>30</v>
      </c>
      <c r="C490" s="83">
        <f>'[2]FGT PRIMARY FIRM ZONE 1'!V501</f>
        <v>122.58</v>
      </c>
      <c r="D490" s="83">
        <f>'[2]FGT PRIMARY FIRM ZONE 2'!V501</f>
        <v>297.94100000000003</v>
      </c>
      <c r="E490" s="92">
        <f>'[2]FGT PRIMARY FIRM ZONE 3'!V501</f>
        <v>89.177000000000007</v>
      </c>
      <c r="F490" s="83">
        <f>'[2]FGT FIRM ZONE 3 MOBILE BAY-DES'!V501-40-60-100</f>
        <v>40.301999999999992</v>
      </c>
      <c r="G490" s="86">
        <v>40</v>
      </c>
      <c r="H490" s="83">
        <f>60+100</f>
        <v>160</v>
      </c>
      <c r="I490" s="83">
        <f t="shared" si="70"/>
        <v>0</v>
      </c>
      <c r="J490" s="86">
        <v>100</v>
      </c>
      <c r="K490" s="86">
        <v>300</v>
      </c>
      <c r="L490" s="83">
        <f t="shared" si="73"/>
        <v>1150</v>
      </c>
      <c r="M490" s="94">
        <v>600</v>
      </c>
      <c r="N490" s="83">
        <f>'[2]FGT NON-FIRM'!P501</f>
        <v>100</v>
      </c>
      <c r="O490" s="86">
        <v>240</v>
      </c>
      <c r="P490" s="86">
        <v>40</v>
      </c>
      <c r="Q490" s="86">
        <f t="shared" si="74"/>
        <v>315</v>
      </c>
      <c r="R490" s="86">
        <f t="shared" si="75"/>
        <v>100</v>
      </c>
      <c r="S490" s="83">
        <f t="shared" si="76"/>
        <v>695</v>
      </c>
      <c r="T490" s="83">
        <f>'[2]GULFSTREAM NON-FIRM'!H501</f>
        <v>50</v>
      </c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</row>
    <row r="491" spans="1:30" ht="15.75" hidden="1" x14ac:dyDescent="0.25">
      <c r="A491" s="33">
        <v>55884</v>
      </c>
      <c r="B491" s="96">
        <v>31</v>
      </c>
      <c r="C491" s="83">
        <f>'[2]FGT PRIMARY FIRM ZONE 1'!V502</f>
        <v>122.58</v>
      </c>
      <c r="D491" s="83">
        <f>'[2]FGT PRIMARY FIRM ZONE 2'!V502</f>
        <v>297.94100000000003</v>
      </c>
      <c r="E491" s="92">
        <f>'[2]FGT PRIMARY FIRM ZONE 3'!V502</f>
        <v>89.177000000000007</v>
      </c>
      <c r="F491" s="83">
        <f>'[2]FGT FIRM ZONE 3 MOBILE BAY-DES'!V502-40-60-100</f>
        <v>40.301999999999992</v>
      </c>
      <c r="G491" s="86">
        <v>40</v>
      </c>
      <c r="H491" s="83">
        <f>60+100</f>
        <v>160</v>
      </c>
      <c r="I491" s="83">
        <f t="shared" si="70"/>
        <v>0</v>
      </c>
      <c r="J491" s="86">
        <v>100</v>
      </c>
      <c r="K491" s="86">
        <v>300</v>
      </c>
      <c r="L491" s="83">
        <f t="shared" si="73"/>
        <v>1150</v>
      </c>
      <c r="M491" s="94">
        <v>600</v>
      </c>
      <c r="N491" s="83">
        <f>'[2]FGT NON-FIRM'!P502</f>
        <v>100</v>
      </c>
      <c r="O491" s="86">
        <v>240</v>
      </c>
      <c r="P491" s="86">
        <v>40</v>
      </c>
      <c r="Q491" s="86">
        <f t="shared" si="74"/>
        <v>315</v>
      </c>
      <c r="R491" s="86">
        <f t="shared" si="75"/>
        <v>100</v>
      </c>
      <c r="S491" s="83">
        <f t="shared" si="76"/>
        <v>695</v>
      </c>
      <c r="T491" s="83">
        <f>'[2]GULFSTREAM NON-FIRM'!H502</f>
        <v>50</v>
      </c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</row>
    <row r="492" spans="1:30" ht="15.75" hidden="1" x14ac:dyDescent="0.25">
      <c r="A492" s="33">
        <v>55915</v>
      </c>
      <c r="B492" s="96">
        <v>31</v>
      </c>
      <c r="C492" s="83">
        <f>'[2]FGT PRIMARY FIRM ZONE 1'!V503</f>
        <v>122.58</v>
      </c>
      <c r="D492" s="83">
        <f>'[2]FGT PRIMARY FIRM ZONE 2'!V503</f>
        <v>297.94100000000003</v>
      </c>
      <c r="E492" s="92">
        <f>'[2]FGT PRIMARY FIRM ZONE 3'!V503</f>
        <v>89.177000000000007</v>
      </c>
      <c r="F492" s="83">
        <f>'[2]FGT FIRM ZONE 3 MOBILE BAY-DES'!V503-40-60-100</f>
        <v>40.301999999999992</v>
      </c>
      <c r="G492" s="86">
        <v>40</v>
      </c>
      <c r="H492" s="83">
        <f>60+100</f>
        <v>160</v>
      </c>
      <c r="I492" s="83">
        <f t="shared" si="70"/>
        <v>0</v>
      </c>
      <c r="J492" s="86">
        <v>100</v>
      </c>
      <c r="K492" s="86">
        <v>300</v>
      </c>
      <c r="L492" s="83">
        <f t="shared" si="73"/>
        <v>1150</v>
      </c>
      <c r="M492" s="94">
        <v>600</v>
      </c>
      <c r="N492" s="83">
        <f>'[2]FGT NON-FIRM'!P503</f>
        <v>100</v>
      </c>
      <c r="O492" s="86">
        <v>240</v>
      </c>
      <c r="P492" s="86">
        <v>40</v>
      </c>
      <c r="Q492" s="86">
        <f t="shared" si="74"/>
        <v>315</v>
      </c>
      <c r="R492" s="86">
        <f t="shared" si="75"/>
        <v>100</v>
      </c>
      <c r="S492" s="83">
        <f t="shared" si="76"/>
        <v>695</v>
      </c>
      <c r="T492" s="83">
        <f>'[2]GULFSTREAM NON-FIRM'!H503</f>
        <v>50</v>
      </c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</row>
    <row r="493" spans="1:30" ht="15.75" hidden="1" x14ac:dyDescent="0.25">
      <c r="A493" s="33">
        <v>55943</v>
      </c>
      <c r="B493" s="96">
        <v>28</v>
      </c>
      <c r="C493" s="83">
        <f>'[2]FGT PRIMARY FIRM ZONE 1'!V504</f>
        <v>122.58</v>
      </c>
      <c r="D493" s="83">
        <f>'[2]FGT PRIMARY FIRM ZONE 2'!V504</f>
        <v>297.94100000000003</v>
      </c>
      <c r="E493" s="92">
        <f>'[2]FGT PRIMARY FIRM ZONE 3'!V504</f>
        <v>89.177000000000007</v>
      </c>
      <c r="F493" s="83">
        <f>'[2]FGT FIRM ZONE 3 MOBILE BAY-DES'!V504-40-60-100</f>
        <v>40.301999999999992</v>
      </c>
      <c r="G493" s="86">
        <v>40</v>
      </c>
      <c r="H493" s="83">
        <f>60+100</f>
        <v>160</v>
      </c>
      <c r="I493" s="83">
        <f t="shared" si="70"/>
        <v>0</v>
      </c>
      <c r="J493" s="86">
        <v>100</v>
      </c>
      <c r="K493" s="86">
        <v>300</v>
      </c>
      <c r="L493" s="83">
        <f t="shared" si="73"/>
        <v>1150</v>
      </c>
      <c r="M493" s="94">
        <v>600</v>
      </c>
      <c r="N493" s="83">
        <f>'[2]FGT NON-FIRM'!P504</f>
        <v>100</v>
      </c>
      <c r="O493" s="86">
        <v>240</v>
      </c>
      <c r="P493" s="86">
        <v>40</v>
      </c>
      <c r="Q493" s="86">
        <f t="shared" si="74"/>
        <v>315</v>
      </c>
      <c r="R493" s="86">
        <f t="shared" si="75"/>
        <v>100</v>
      </c>
      <c r="S493" s="83">
        <f t="shared" si="76"/>
        <v>695</v>
      </c>
      <c r="T493" s="83">
        <f>'[2]GULFSTREAM NON-FIRM'!H504</f>
        <v>50</v>
      </c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</row>
    <row r="494" spans="1:30" ht="15.75" hidden="1" x14ac:dyDescent="0.25">
      <c r="A494" s="33">
        <v>55974</v>
      </c>
      <c r="B494" s="96">
        <v>31</v>
      </c>
      <c r="C494" s="83">
        <f>'[2]FGT PRIMARY FIRM ZONE 1'!V505</f>
        <v>122.58</v>
      </c>
      <c r="D494" s="83">
        <f>'[2]FGT PRIMARY FIRM ZONE 2'!V505</f>
        <v>297.94100000000003</v>
      </c>
      <c r="E494" s="92">
        <f>'[2]FGT PRIMARY FIRM ZONE 3'!V505</f>
        <v>89.177000000000007</v>
      </c>
      <c r="F494" s="83">
        <f>'[2]FGT FIRM ZONE 3 MOBILE BAY-DES'!V505-40-60-100</f>
        <v>40.301999999999992</v>
      </c>
      <c r="G494" s="86">
        <v>40</v>
      </c>
      <c r="H494" s="83">
        <f>60+100</f>
        <v>160</v>
      </c>
      <c r="I494" s="83">
        <f t="shared" si="70"/>
        <v>0</v>
      </c>
      <c r="J494" s="86">
        <v>100</v>
      </c>
      <c r="K494" s="86">
        <v>300</v>
      </c>
      <c r="L494" s="83">
        <f t="shared" si="73"/>
        <v>1150</v>
      </c>
      <c r="M494" s="94">
        <v>600</v>
      </c>
      <c r="N494" s="83">
        <f>'[2]FGT NON-FIRM'!P505</f>
        <v>100</v>
      </c>
      <c r="O494" s="86">
        <v>240</v>
      </c>
      <c r="P494" s="86">
        <v>40</v>
      </c>
      <c r="Q494" s="86">
        <f t="shared" si="74"/>
        <v>315</v>
      </c>
      <c r="R494" s="86">
        <f t="shared" si="75"/>
        <v>100</v>
      </c>
      <c r="S494" s="83">
        <f t="shared" si="76"/>
        <v>695</v>
      </c>
      <c r="T494" s="83">
        <f>'[2]GULFSTREAM NON-FIRM'!H505</f>
        <v>50</v>
      </c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</row>
    <row r="495" spans="1:30" ht="15.75" hidden="1" x14ac:dyDescent="0.25">
      <c r="A495" s="33">
        <v>56004</v>
      </c>
      <c r="B495" s="96">
        <v>30</v>
      </c>
      <c r="C495" s="83">
        <f>'[2]FGT PRIMARY FIRM ZONE 1'!V506</f>
        <v>141.29300000000001</v>
      </c>
      <c r="D495" s="83">
        <f>'[2]FGT PRIMARY FIRM ZONE 2'!V506</f>
        <v>267.99299999999999</v>
      </c>
      <c r="E495" s="92">
        <f>'[2]FGT PRIMARY FIRM ZONE 3'!V506</f>
        <v>115.01600000000001</v>
      </c>
      <c r="F495" s="83">
        <f>'[2]FGT FIRM ZONE 3 MOBILE BAY-DES'!V506-40-25-60-100</f>
        <v>89.698000000000036</v>
      </c>
      <c r="G495" s="86">
        <v>40</v>
      </c>
      <c r="H495" s="83">
        <f t="shared" ref="H495:H501" si="79">25+60+100</f>
        <v>185</v>
      </c>
      <c r="I495" s="83">
        <f t="shared" si="70"/>
        <v>0</v>
      </c>
      <c r="J495" s="86">
        <v>100</v>
      </c>
      <c r="K495" s="86">
        <v>300</v>
      </c>
      <c r="L495" s="83">
        <f t="shared" si="73"/>
        <v>1239</v>
      </c>
      <c r="M495" s="94">
        <v>600</v>
      </c>
      <c r="N495" s="83">
        <f>'[2]FGT NON-FIRM'!P506</f>
        <v>100</v>
      </c>
      <c r="O495" s="86">
        <v>240</v>
      </c>
      <c r="P495" s="86">
        <v>160</v>
      </c>
      <c r="Q495" s="86">
        <f t="shared" si="74"/>
        <v>195</v>
      </c>
      <c r="R495" s="86">
        <f t="shared" si="75"/>
        <v>100</v>
      </c>
      <c r="S495" s="83">
        <f t="shared" si="76"/>
        <v>695</v>
      </c>
      <c r="T495" s="83">
        <f>'[2]GULFSTREAM NON-FIRM'!H506</f>
        <v>50</v>
      </c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</row>
    <row r="496" spans="1:30" ht="15.75" hidden="1" x14ac:dyDescent="0.25">
      <c r="A496" s="33">
        <v>56035</v>
      </c>
      <c r="B496" s="96">
        <v>31</v>
      </c>
      <c r="C496" s="83">
        <f>'[2]FGT PRIMARY FIRM ZONE 1'!V507</f>
        <v>194.20499999999998</v>
      </c>
      <c r="D496" s="83">
        <f>'[2]FGT PRIMARY FIRM ZONE 2'!V507</f>
        <v>267.46600000000001</v>
      </c>
      <c r="E496" s="92">
        <f>'[2]FGT PRIMARY FIRM ZONE 3'!V507</f>
        <v>133.845</v>
      </c>
      <c r="F496" s="83">
        <f>'[2]FGT FIRM ZONE 3 MOBILE BAY-DES'!V507-40-25-60-100</f>
        <v>53.48399999999998</v>
      </c>
      <c r="G496" s="86">
        <v>40</v>
      </c>
      <c r="H496" s="83">
        <f t="shared" si="79"/>
        <v>185</v>
      </c>
      <c r="I496" s="83">
        <f t="shared" si="70"/>
        <v>0</v>
      </c>
      <c r="J496" s="86">
        <v>100</v>
      </c>
      <c r="K496" s="86">
        <v>300</v>
      </c>
      <c r="L496" s="83">
        <f t="shared" si="73"/>
        <v>1274</v>
      </c>
      <c r="M496" s="94">
        <v>600</v>
      </c>
      <c r="N496" s="83">
        <f>'[2]FGT NON-FIRM'!P507</f>
        <v>75</v>
      </c>
      <c r="O496" s="86">
        <v>240</v>
      </c>
      <c r="P496" s="86">
        <v>160</v>
      </c>
      <c r="Q496" s="86">
        <f t="shared" si="74"/>
        <v>195</v>
      </c>
      <c r="R496" s="86">
        <f t="shared" si="75"/>
        <v>100</v>
      </c>
      <c r="S496" s="83">
        <f t="shared" si="76"/>
        <v>695</v>
      </c>
      <c r="T496" s="83">
        <f>'[2]GULFSTREAM NON-FIRM'!H507</f>
        <v>50</v>
      </c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</row>
    <row r="497" spans="1:30" ht="15.75" hidden="1" x14ac:dyDescent="0.25">
      <c r="A497" s="33">
        <v>56065</v>
      </c>
      <c r="B497" s="96">
        <v>30</v>
      </c>
      <c r="C497" s="83">
        <f>'[2]FGT PRIMARY FIRM ZONE 1'!V508</f>
        <v>194.20499999999998</v>
      </c>
      <c r="D497" s="83">
        <f>'[2]FGT PRIMARY FIRM ZONE 2'!V508</f>
        <v>267.46600000000001</v>
      </c>
      <c r="E497" s="92">
        <f>'[2]FGT PRIMARY FIRM ZONE 3'!V508</f>
        <v>133.845</v>
      </c>
      <c r="F497" s="83">
        <f>'[2]FGT FIRM ZONE 3 MOBILE BAY-DES'!V508-40-25-60-100</f>
        <v>53.48399999999998</v>
      </c>
      <c r="G497" s="86">
        <v>40</v>
      </c>
      <c r="H497" s="83">
        <f t="shared" si="79"/>
        <v>185</v>
      </c>
      <c r="I497" s="83">
        <f t="shared" si="70"/>
        <v>0</v>
      </c>
      <c r="J497" s="86">
        <v>100</v>
      </c>
      <c r="K497" s="86">
        <v>300</v>
      </c>
      <c r="L497" s="83">
        <f t="shared" si="73"/>
        <v>1274</v>
      </c>
      <c r="M497" s="94">
        <v>600</v>
      </c>
      <c r="N497" s="83">
        <f>'[2]FGT NON-FIRM'!P508</f>
        <v>30</v>
      </c>
      <c r="O497" s="86">
        <v>240</v>
      </c>
      <c r="P497" s="86">
        <v>160</v>
      </c>
      <c r="Q497" s="86">
        <f t="shared" si="74"/>
        <v>195</v>
      </c>
      <c r="R497" s="86">
        <f t="shared" si="75"/>
        <v>100</v>
      </c>
      <c r="S497" s="83">
        <f t="shared" si="76"/>
        <v>695</v>
      </c>
      <c r="T497" s="83">
        <f>'[2]GULFSTREAM NON-FIRM'!H508</f>
        <v>50</v>
      </c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</row>
    <row r="498" spans="1:30" ht="15.75" hidden="1" x14ac:dyDescent="0.25">
      <c r="A498" s="33">
        <v>56096</v>
      </c>
      <c r="B498" s="96">
        <v>31</v>
      </c>
      <c r="C498" s="83">
        <f>'[2]FGT PRIMARY FIRM ZONE 1'!V509</f>
        <v>194.20499999999998</v>
      </c>
      <c r="D498" s="83">
        <f>'[2]FGT PRIMARY FIRM ZONE 2'!V509</f>
        <v>267.46600000000001</v>
      </c>
      <c r="E498" s="92">
        <f>'[2]FGT PRIMARY FIRM ZONE 3'!V509</f>
        <v>133.845</v>
      </c>
      <c r="F498" s="83">
        <f>'[2]FGT FIRM ZONE 3 MOBILE BAY-DES'!V509-40-25-60-100</f>
        <v>53.48399999999998</v>
      </c>
      <c r="G498" s="86">
        <v>40</v>
      </c>
      <c r="H498" s="83">
        <f t="shared" si="79"/>
        <v>185</v>
      </c>
      <c r="I498" s="83">
        <f t="shared" si="70"/>
        <v>0</v>
      </c>
      <c r="J498" s="86">
        <v>100</v>
      </c>
      <c r="K498" s="86">
        <v>300</v>
      </c>
      <c r="L498" s="83">
        <f t="shared" si="73"/>
        <v>1274</v>
      </c>
      <c r="M498" s="94">
        <v>600</v>
      </c>
      <c r="N498" s="83">
        <f>'[2]FGT NON-FIRM'!P509</f>
        <v>30</v>
      </c>
      <c r="O498" s="86">
        <v>240</v>
      </c>
      <c r="P498" s="86">
        <v>160</v>
      </c>
      <c r="Q498" s="86">
        <f t="shared" si="74"/>
        <v>195</v>
      </c>
      <c r="R498" s="86">
        <f t="shared" si="75"/>
        <v>100</v>
      </c>
      <c r="S498" s="83">
        <f t="shared" si="76"/>
        <v>695</v>
      </c>
      <c r="T498" s="83">
        <f>'[2]GULFSTREAM NON-FIRM'!H509</f>
        <v>0</v>
      </c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</row>
    <row r="499" spans="1:30" ht="15.75" hidden="1" x14ac:dyDescent="0.25">
      <c r="A499" s="33">
        <v>56127</v>
      </c>
      <c r="B499" s="96">
        <v>31</v>
      </c>
      <c r="C499" s="83">
        <f>'[2]FGT PRIMARY FIRM ZONE 1'!V510</f>
        <v>194.20499999999998</v>
      </c>
      <c r="D499" s="83">
        <f>'[2]FGT PRIMARY FIRM ZONE 2'!V510</f>
        <v>267.46600000000001</v>
      </c>
      <c r="E499" s="92">
        <f>'[2]FGT PRIMARY FIRM ZONE 3'!V510</f>
        <v>133.845</v>
      </c>
      <c r="F499" s="83">
        <f>'[2]FGT FIRM ZONE 3 MOBILE BAY-DES'!V510-40-25-60-100</f>
        <v>53.48399999999998</v>
      </c>
      <c r="G499" s="86">
        <v>40</v>
      </c>
      <c r="H499" s="83">
        <f t="shared" si="79"/>
        <v>185</v>
      </c>
      <c r="I499" s="83">
        <f t="shared" si="70"/>
        <v>0</v>
      </c>
      <c r="J499" s="86">
        <v>100</v>
      </c>
      <c r="K499" s="86">
        <v>300</v>
      </c>
      <c r="L499" s="83">
        <f t="shared" si="73"/>
        <v>1274</v>
      </c>
      <c r="M499" s="94">
        <v>600</v>
      </c>
      <c r="N499" s="83">
        <f>'[2]FGT NON-FIRM'!P510</f>
        <v>30</v>
      </c>
      <c r="O499" s="86">
        <v>240</v>
      </c>
      <c r="P499" s="86">
        <v>160</v>
      </c>
      <c r="Q499" s="86">
        <f t="shared" si="74"/>
        <v>195</v>
      </c>
      <c r="R499" s="86">
        <f t="shared" si="75"/>
        <v>100</v>
      </c>
      <c r="S499" s="83">
        <f t="shared" si="76"/>
        <v>695</v>
      </c>
      <c r="T499" s="83">
        <f>'[2]GULFSTREAM NON-FIRM'!H510</f>
        <v>0</v>
      </c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</row>
    <row r="500" spans="1:30" ht="15.75" hidden="1" x14ac:dyDescent="0.25">
      <c r="A500" s="33">
        <v>56157</v>
      </c>
      <c r="B500" s="96">
        <v>30</v>
      </c>
      <c r="C500" s="83">
        <f>'[2]FGT PRIMARY FIRM ZONE 1'!V511</f>
        <v>194.20499999999998</v>
      </c>
      <c r="D500" s="83">
        <f>'[2]FGT PRIMARY FIRM ZONE 2'!V511</f>
        <v>267.46600000000001</v>
      </c>
      <c r="E500" s="92">
        <f>'[2]FGT PRIMARY FIRM ZONE 3'!V511</f>
        <v>133.845</v>
      </c>
      <c r="F500" s="83">
        <f>'[2]FGT FIRM ZONE 3 MOBILE BAY-DES'!V511-40-25-60-100</f>
        <v>53.48399999999998</v>
      </c>
      <c r="G500" s="86">
        <v>40</v>
      </c>
      <c r="H500" s="83">
        <f t="shared" si="79"/>
        <v>185</v>
      </c>
      <c r="I500" s="83">
        <f t="shared" ref="I500:I563" si="80">400-J500-K500</f>
        <v>0</v>
      </c>
      <c r="J500" s="86">
        <v>100</v>
      </c>
      <c r="K500" s="86">
        <v>300</v>
      </c>
      <c r="L500" s="83">
        <f t="shared" si="73"/>
        <v>1274</v>
      </c>
      <c r="M500" s="94">
        <v>600</v>
      </c>
      <c r="N500" s="83">
        <f>'[2]FGT NON-FIRM'!P511</f>
        <v>30</v>
      </c>
      <c r="O500" s="86">
        <v>240</v>
      </c>
      <c r="P500" s="86">
        <v>160</v>
      </c>
      <c r="Q500" s="86">
        <f t="shared" si="74"/>
        <v>195</v>
      </c>
      <c r="R500" s="86">
        <f t="shared" si="75"/>
        <v>100</v>
      </c>
      <c r="S500" s="83">
        <f t="shared" si="76"/>
        <v>695</v>
      </c>
      <c r="T500" s="83">
        <f>'[2]GULFSTREAM NON-FIRM'!H511</f>
        <v>0</v>
      </c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</row>
    <row r="501" spans="1:30" ht="15.75" hidden="1" x14ac:dyDescent="0.25">
      <c r="A501" s="33">
        <v>56188</v>
      </c>
      <c r="B501" s="96">
        <v>31</v>
      </c>
      <c r="C501" s="83">
        <f>'[2]FGT PRIMARY FIRM ZONE 1'!V512</f>
        <v>131.881</v>
      </c>
      <c r="D501" s="83">
        <f>'[2]FGT PRIMARY FIRM ZONE 2'!V512</f>
        <v>277.16699999999997</v>
      </c>
      <c r="E501" s="92">
        <f>'[2]FGT PRIMARY FIRM ZONE 3'!V512</f>
        <v>79.08</v>
      </c>
      <c r="F501" s="83">
        <f>'[2]FGT FIRM ZONE 3 MOBILE BAY-DES'!V512-40-25-60-100</f>
        <v>125.87199999999996</v>
      </c>
      <c r="G501" s="86">
        <v>40</v>
      </c>
      <c r="H501" s="83">
        <f t="shared" si="79"/>
        <v>185</v>
      </c>
      <c r="I501" s="83">
        <f t="shared" si="80"/>
        <v>0</v>
      </c>
      <c r="J501" s="86">
        <v>100</v>
      </c>
      <c r="K501" s="86">
        <v>300</v>
      </c>
      <c r="L501" s="83">
        <f t="shared" si="73"/>
        <v>1239</v>
      </c>
      <c r="M501" s="94">
        <v>600</v>
      </c>
      <c r="N501" s="83">
        <f>'[2]FGT NON-FIRM'!P512</f>
        <v>75</v>
      </c>
      <c r="O501" s="86">
        <v>240</v>
      </c>
      <c r="P501" s="86">
        <v>160</v>
      </c>
      <c r="Q501" s="86">
        <f t="shared" si="74"/>
        <v>195</v>
      </c>
      <c r="R501" s="86">
        <f t="shared" si="75"/>
        <v>100</v>
      </c>
      <c r="S501" s="83">
        <f t="shared" si="76"/>
        <v>695</v>
      </c>
      <c r="T501" s="83">
        <f>'[2]GULFSTREAM NON-FIRM'!H512</f>
        <v>0</v>
      </c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</row>
    <row r="502" spans="1:30" ht="15.75" hidden="1" x14ac:dyDescent="0.25">
      <c r="A502" s="33">
        <v>56218</v>
      </c>
      <c r="B502" s="96">
        <v>30</v>
      </c>
      <c r="C502" s="83">
        <f>'[2]FGT PRIMARY FIRM ZONE 1'!V513</f>
        <v>122.58</v>
      </c>
      <c r="D502" s="83">
        <f>'[2]FGT PRIMARY FIRM ZONE 2'!V513</f>
        <v>297.94100000000003</v>
      </c>
      <c r="E502" s="92">
        <f>'[2]FGT PRIMARY FIRM ZONE 3'!V513</f>
        <v>89.177000000000007</v>
      </c>
      <c r="F502" s="83">
        <f>'[2]FGT FIRM ZONE 3 MOBILE BAY-DES'!V513-40-60-100</f>
        <v>40.301999999999992</v>
      </c>
      <c r="G502" s="86">
        <v>40</v>
      </c>
      <c r="H502" s="83">
        <f>60+100</f>
        <v>160</v>
      </c>
      <c r="I502" s="83">
        <f t="shared" si="80"/>
        <v>0</v>
      </c>
      <c r="J502" s="86">
        <v>100</v>
      </c>
      <c r="K502" s="86">
        <v>300</v>
      </c>
      <c r="L502" s="83">
        <f t="shared" si="73"/>
        <v>1150</v>
      </c>
      <c r="M502" s="94">
        <v>600</v>
      </c>
      <c r="N502" s="83">
        <f>'[2]FGT NON-FIRM'!P513</f>
        <v>100</v>
      </c>
      <c r="O502" s="86">
        <v>240</v>
      </c>
      <c r="P502" s="86">
        <v>40</v>
      </c>
      <c r="Q502" s="86">
        <f t="shared" si="74"/>
        <v>315</v>
      </c>
      <c r="R502" s="86">
        <f t="shared" si="75"/>
        <v>100</v>
      </c>
      <c r="S502" s="83">
        <f t="shared" si="76"/>
        <v>695</v>
      </c>
      <c r="T502" s="83">
        <f>'[2]GULFSTREAM NON-FIRM'!H513</f>
        <v>50</v>
      </c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</row>
    <row r="503" spans="1:30" ht="15.75" hidden="1" x14ac:dyDescent="0.25">
      <c r="A503" s="33">
        <v>56249</v>
      </c>
      <c r="B503" s="96">
        <v>31</v>
      </c>
      <c r="C503" s="83">
        <f>'[2]FGT PRIMARY FIRM ZONE 1'!V514</f>
        <v>122.58</v>
      </c>
      <c r="D503" s="83">
        <f>'[2]FGT PRIMARY FIRM ZONE 2'!V514</f>
        <v>297.94100000000003</v>
      </c>
      <c r="E503" s="92">
        <f>'[2]FGT PRIMARY FIRM ZONE 3'!V514</f>
        <v>89.177000000000007</v>
      </c>
      <c r="F503" s="83">
        <f>'[2]FGT FIRM ZONE 3 MOBILE BAY-DES'!V514-40-60-100</f>
        <v>40.301999999999992</v>
      </c>
      <c r="G503" s="86">
        <v>40</v>
      </c>
      <c r="H503" s="83">
        <f>60+100</f>
        <v>160</v>
      </c>
      <c r="I503" s="83">
        <f t="shared" si="80"/>
        <v>0</v>
      </c>
      <c r="J503" s="86">
        <v>100</v>
      </c>
      <c r="K503" s="86">
        <v>300</v>
      </c>
      <c r="L503" s="83">
        <f t="shared" si="73"/>
        <v>1150</v>
      </c>
      <c r="M503" s="94">
        <v>600</v>
      </c>
      <c r="N503" s="83">
        <f>'[2]FGT NON-FIRM'!P514</f>
        <v>100</v>
      </c>
      <c r="O503" s="86">
        <v>240</v>
      </c>
      <c r="P503" s="86">
        <v>40</v>
      </c>
      <c r="Q503" s="86">
        <f t="shared" si="74"/>
        <v>315</v>
      </c>
      <c r="R503" s="86">
        <f t="shared" si="75"/>
        <v>100</v>
      </c>
      <c r="S503" s="83">
        <f t="shared" si="76"/>
        <v>695</v>
      </c>
      <c r="T503" s="83">
        <f>'[2]GULFSTREAM NON-FIRM'!H514</f>
        <v>50</v>
      </c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</row>
    <row r="504" spans="1:30" ht="15.75" hidden="1" x14ac:dyDescent="0.25">
      <c r="A504" s="33">
        <v>56280</v>
      </c>
      <c r="B504" s="96">
        <v>31</v>
      </c>
      <c r="C504" s="83">
        <f>'[2]FGT PRIMARY FIRM ZONE 1'!V515</f>
        <v>122.58</v>
      </c>
      <c r="D504" s="83">
        <f>'[2]FGT PRIMARY FIRM ZONE 2'!V515</f>
        <v>297.94100000000003</v>
      </c>
      <c r="E504" s="92">
        <f>'[2]FGT PRIMARY FIRM ZONE 3'!V515</f>
        <v>89.177000000000007</v>
      </c>
      <c r="F504" s="83">
        <f>'[2]FGT FIRM ZONE 3 MOBILE BAY-DES'!V515-40-60-100</f>
        <v>40.301999999999992</v>
      </c>
      <c r="G504" s="86">
        <v>40</v>
      </c>
      <c r="H504" s="83">
        <f>60+100</f>
        <v>160</v>
      </c>
      <c r="I504" s="83">
        <f t="shared" si="80"/>
        <v>0</v>
      </c>
      <c r="J504" s="86">
        <v>100</v>
      </c>
      <c r="K504" s="86">
        <v>300</v>
      </c>
      <c r="L504" s="83">
        <f t="shared" si="73"/>
        <v>1150</v>
      </c>
      <c r="M504" s="94">
        <v>600</v>
      </c>
      <c r="N504" s="83">
        <f>'[2]FGT NON-FIRM'!P515</f>
        <v>100</v>
      </c>
      <c r="O504" s="86">
        <v>240</v>
      </c>
      <c r="P504" s="86">
        <v>40</v>
      </c>
      <c r="Q504" s="86">
        <f t="shared" si="74"/>
        <v>315</v>
      </c>
      <c r="R504" s="86">
        <f t="shared" si="75"/>
        <v>100</v>
      </c>
      <c r="S504" s="83">
        <f t="shared" si="76"/>
        <v>695</v>
      </c>
      <c r="T504" s="83">
        <f>'[2]GULFSTREAM NON-FIRM'!H515</f>
        <v>50</v>
      </c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</row>
    <row r="505" spans="1:30" ht="15.75" hidden="1" x14ac:dyDescent="0.25">
      <c r="A505" s="33">
        <v>56308</v>
      </c>
      <c r="B505" s="96">
        <v>28</v>
      </c>
      <c r="C505" s="83">
        <f>'[2]FGT PRIMARY FIRM ZONE 1'!V516</f>
        <v>122.58</v>
      </c>
      <c r="D505" s="83">
        <f>'[2]FGT PRIMARY FIRM ZONE 2'!V516</f>
        <v>297.94100000000003</v>
      </c>
      <c r="E505" s="92">
        <f>'[2]FGT PRIMARY FIRM ZONE 3'!V516</f>
        <v>89.177000000000007</v>
      </c>
      <c r="F505" s="83">
        <f>'[2]FGT FIRM ZONE 3 MOBILE BAY-DES'!V516-40-60-100</f>
        <v>40.301999999999992</v>
      </c>
      <c r="G505" s="86">
        <v>40</v>
      </c>
      <c r="H505" s="83">
        <f>60+100</f>
        <v>160</v>
      </c>
      <c r="I505" s="83">
        <f t="shared" si="80"/>
        <v>0</v>
      </c>
      <c r="J505" s="86">
        <v>100</v>
      </c>
      <c r="K505" s="86">
        <v>300</v>
      </c>
      <c r="L505" s="83">
        <f t="shared" si="73"/>
        <v>1150</v>
      </c>
      <c r="M505" s="94">
        <v>600</v>
      </c>
      <c r="N505" s="83">
        <f>'[2]FGT NON-FIRM'!P516</f>
        <v>100</v>
      </c>
      <c r="O505" s="86">
        <v>240</v>
      </c>
      <c r="P505" s="86">
        <v>40</v>
      </c>
      <c r="Q505" s="86">
        <f t="shared" si="74"/>
        <v>315</v>
      </c>
      <c r="R505" s="86">
        <f t="shared" si="75"/>
        <v>100</v>
      </c>
      <c r="S505" s="83">
        <f t="shared" si="76"/>
        <v>695</v>
      </c>
      <c r="T505" s="83">
        <f>'[2]GULFSTREAM NON-FIRM'!H516</f>
        <v>50</v>
      </c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</row>
    <row r="506" spans="1:30" ht="15.75" hidden="1" x14ac:dyDescent="0.25">
      <c r="A506" s="33">
        <v>56339</v>
      </c>
      <c r="B506" s="96">
        <v>31</v>
      </c>
      <c r="C506" s="83">
        <f>'[2]FGT PRIMARY FIRM ZONE 1'!V517</f>
        <v>122.58</v>
      </c>
      <c r="D506" s="83">
        <f>'[2]FGT PRIMARY FIRM ZONE 2'!V517</f>
        <v>297.94100000000003</v>
      </c>
      <c r="E506" s="92">
        <f>'[2]FGT PRIMARY FIRM ZONE 3'!V517</f>
        <v>89.177000000000007</v>
      </c>
      <c r="F506" s="83">
        <f>'[2]FGT FIRM ZONE 3 MOBILE BAY-DES'!V517-40-60-100</f>
        <v>40.301999999999992</v>
      </c>
      <c r="G506" s="86">
        <v>40</v>
      </c>
      <c r="H506" s="83">
        <f>60+100</f>
        <v>160</v>
      </c>
      <c r="I506" s="83">
        <f t="shared" si="80"/>
        <v>0</v>
      </c>
      <c r="J506" s="86">
        <v>100</v>
      </c>
      <c r="K506" s="86">
        <v>300</v>
      </c>
      <c r="L506" s="83">
        <f t="shared" si="73"/>
        <v>1150</v>
      </c>
      <c r="M506" s="94">
        <v>600</v>
      </c>
      <c r="N506" s="83">
        <f>'[2]FGT NON-FIRM'!P517</f>
        <v>100</v>
      </c>
      <c r="O506" s="86">
        <v>240</v>
      </c>
      <c r="P506" s="86">
        <v>40</v>
      </c>
      <c r="Q506" s="86">
        <f t="shared" si="74"/>
        <v>315</v>
      </c>
      <c r="R506" s="86">
        <f t="shared" si="75"/>
        <v>100</v>
      </c>
      <c r="S506" s="83">
        <f t="shared" si="76"/>
        <v>695</v>
      </c>
      <c r="T506" s="83">
        <f>'[2]GULFSTREAM NON-FIRM'!H517</f>
        <v>50</v>
      </c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</row>
    <row r="507" spans="1:30" ht="15.75" hidden="1" x14ac:dyDescent="0.25">
      <c r="A507" s="33">
        <v>56369</v>
      </c>
      <c r="B507" s="96">
        <v>30</v>
      </c>
      <c r="C507" s="83">
        <f>'[2]FGT PRIMARY FIRM ZONE 1'!V518</f>
        <v>141.29300000000001</v>
      </c>
      <c r="D507" s="83">
        <f>'[2]FGT PRIMARY FIRM ZONE 2'!V518</f>
        <v>267.99299999999999</v>
      </c>
      <c r="E507" s="92">
        <f>'[2]FGT PRIMARY FIRM ZONE 3'!V518</f>
        <v>115.01600000000001</v>
      </c>
      <c r="F507" s="83">
        <f>'[2]FGT FIRM ZONE 3 MOBILE BAY-DES'!V518-40-25-60-100</f>
        <v>89.698000000000036</v>
      </c>
      <c r="G507" s="86">
        <v>40</v>
      </c>
      <c r="H507" s="83">
        <f t="shared" ref="H507:H513" si="81">25+60+100</f>
        <v>185</v>
      </c>
      <c r="I507" s="83">
        <f t="shared" si="80"/>
        <v>0</v>
      </c>
      <c r="J507" s="86">
        <v>100</v>
      </c>
      <c r="K507" s="86">
        <v>300</v>
      </c>
      <c r="L507" s="83">
        <f t="shared" si="73"/>
        <v>1239</v>
      </c>
      <c r="M507" s="94">
        <v>600</v>
      </c>
      <c r="N507" s="83">
        <f>'[2]FGT NON-FIRM'!P518</f>
        <v>100</v>
      </c>
      <c r="O507" s="86">
        <v>240</v>
      </c>
      <c r="P507" s="86">
        <v>160</v>
      </c>
      <c r="Q507" s="86">
        <f t="shared" si="74"/>
        <v>195</v>
      </c>
      <c r="R507" s="86">
        <f t="shared" si="75"/>
        <v>100</v>
      </c>
      <c r="S507" s="83">
        <f t="shared" si="76"/>
        <v>695</v>
      </c>
      <c r="T507" s="83">
        <f>'[2]GULFSTREAM NON-FIRM'!H518</f>
        <v>50</v>
      </c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</row>
    <row r="508" spans="1:30" ht="15.75" hidden="1" x14ac:dyDescent="0.25">
      <c r="A508" s="33">
        <v>56400</v>
      </c>
      <c r="B508" s="96">
        <v>31</v>
      </c>
      <c r="C508" s="83">
        <f>'[2]FGT PRIMARY FIRM ZONE 1'!V519</f>
        <v>194.20499999999998</v>
      </c>
      <c r="D508" s="83">
        <f>'[2]FGT PRIMARY FIRM ZONE 2'!V519</f>
        <v>267.46600000000001</v>
      </c>
      <c r="E508" s="92">
        <f>'[2]FGT PRIMARY FIRM ZONE 3'!V519</f>
        <v>133.845</v>
      </c>
      <c r="F508" s="83">
        <f>'[2]FGT FIRM ZONE 3 MOBILE BAY-DES'!V519-40-25-60-100</f>
        <v>53.48399999999998</v>
      </c>
      <c r="G508" s="86">
        <v>40</v>
      </c>
      <c r="H508" s="83">
        <f t="shared" si="81"/>
        <v>185</v>
      </c>
      <c r="I508" s="83">
        <f t="shared" si="80"/>
        <v>0</v>
      </c>
      <c r="J508" s="86">
        <v>100</v>
      </c>
      <c r="K508" s="86">
        <v>300</v>
      </c>
      <c r="L508" s="83">
        <f t="shared" si="73"/>
        <v>1274</v>
      </c>
      <c r="M508" s="94">
        <v>600</v>
      </c>
      <c r="N508" s="83">
        <f>'[2]FGT NON-FIRM'!P519</f>
        <v>75</v>
      </c>
      <c r="O508" s="86">
        <v>240</v>
      </c>
      <c r="P508" s="86">
        <v>160</v>
      </c>
      <c r="Q508" s="86">
        <f t="shared" si="74"/>
        <v>195</v>
      </c>
      <c r="R508" s="86">
        <f t="shared" si="75"/>
        <v>100</v>
      </c>
      <c r="S508" s="83">
        <f t="shared" si="76"/>
        <v>695</v>
      </c>
      <c r="T508" s="83">
        <f>'[2]GULFSTREAM NON-FIRM'!H519</f>
        <v>50</v>
      </c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</row>
    <row r="509" spans="1:30" ht="15.75" hidden="1" x14ac:dyDescent="0.25">
      <c r="A509" s="33">
        <v>56430</v>
      </c>
      <c r="B509" s="96">
        <v>30</v>
      </c>
      <c r="C509" s="83">
        <f>'[2]FGT PRIMARY FIRM ZONE 1'!V520</f>
        <v>194.20499999999998</v>
      </c>
      <c r="D509" s="83">
        <f>'[2]FGT PRIMARY FIRM ZONE 2'!V520</f>
        <v>267.46600000000001</v>
      </c>
      <c r="E509" s="92">
        <f>'[2]FGT PRIMARY FIRM ZONE 3'!V520</f>
        <v>133.845</v>
      </c>
      <c r="F509" s="83">
        <f>'[2]FGT FIRM ZONE 3 MOBILE BAY-DES'!V520-40-25-60-100</f>
        <v>53.48399999999998</v>
      </c>
      <c r="G509" s="86">
        <v>40</v>
      </c>
      <c r="H509" s="83">
        <f t="shared" si="81"/>
        <v>185</v>
      </c>
      <c r="I509" s="83">
        <f t="shared" si="80"/>
        <v>0</v>
      </c>
      <c r="J509" s="86">
        <v>100</v>
      </c>
      <c r="K509" s="86">
        <v>300</v>
      </c>
      <c r="L509" s="83">
        <f t="shared" si="73"/>
        <v>1274</v>
      </c>
      <c r="M509" s="94">
        <v>600</v>
      </c>
      <c r="N509" s="83">
        <f>'[2]FGT NON-FIRM'!P520</f>
        <v>30</v>
      </c>
      <c r="O509" s="86">
        <v>240</v>
      </c>
      <c r="P509" s="86">
        <v>160</v>
      </c>
      <c r="Q509" s="86">
        <f t="shared" si="74"/>
        <v>195</v>
      </c>
      <c r="R509" s="86">
        <f t="shared" si="75"/>
        <v>100</v>
      </c>
      <c r="S509" s="83">
        <f t="shared" si="76"/>
        <v>695</v>
      </c>
      <c r="T509" s="83">
        <f>'[2]GULFSTREAM NON-FIRM'!H520</f>
        <v>50</v>
      </c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</row>
    <row r="510" spans="1:30" ht="15.75" hidden="1" x14ac:dyDescent="0.25">
      <c r="A510" s="33">
        <v>56461</v>
      </c>
      <c r="B510" s="96">
        <v>31</v>
      </c>
      <c r="C510" s="83">
        <f>'[2]FGT PRIMARY FIRM ZONE 1'!V521</f>
        <v>194.20499999999998</v>
      </c>
      <c r="D510" s="83">
        <f>'[2]FGT PRIMARY FIRM ZONE 2'!V521</f>
        <v>267.46600000000001</v>
      </c>
      <c r="E510" s="92">
        <f>'[2]FGT PRIMARY FIRM ZONE 3'!V521</f>
        <v>133.845</v>
      </c>
      <c r="F510" s="83">
        <f>'[2]FGT FIRM ZONE 3 MOBILE BAY-DES'!V521-40-25-60-100</f>
        <v>53.48399999999998</v>
      </c>
      <c r="G510" s="86">
        <v>40</v>
      </c>
      <c r="H510" s="83">
        <f t="shared" si="81"/>
        <v>185</v>
      </c>
      <c r="I510" s="83">
        <f t="shared" si="80"/>
        <v>0</v>
      </c>
      <c r="J510" s="86">
        <v>100</v>
      </c>
      <c r="K510" s="86">
        <v>300</v>
      </c>
      <c r="L510" s="83">
        <f t="shared" si="73"/>
        <v>1274</v>
      </c>
      <c r="M510" s="94">
        <v>600</v>
      </c>
      <c r="N510" s="83">
        <f>'[2]FGT NON-FIRM'!P521</f>
        <v>30</v>
      </c>
      <c r="O510" s="86">
        <v>240</v>
      </c>
      <c r="P510" s="86">
        <v>160</v>
      </c>
      <c r="Q510" s="86">
        <f t="shared" si="74"/>
        <v>195</v>
      </c>
      <c r="R510" s="86">
        <f t="shared" si="75"/>
        <v>100</v>
      </c>
      <c r="S510" s="83">
        <f t="shared" si="76"/>
        <v>695</v>
      </c>
      <c r="T510" s="83">
        <f>'[2]GULFSTREAM NON-FIRM'!H521</f>
        <v>0</v>
      </c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</row>
    <row r="511" spans="1:30" ht="15.75" hidden="1" x14ac:dyDescent="0.25">
      <c r="A511" s="33">
        <v>56492</v>
      </c>
      <c r="B511" s="96">
        <v>31</v>
      </c>
      <c r="C511" s="83">
        <f>'[2]FGT PRIMARY FIRM ZONE 1'!V522</f>
        <v>194.20499999999998</v>
      </c>
      <c r="D511" s="83">
        <f>'[2]FGT PRIMARY FIRM ZONE 2'!V522</f>
        <v>267.46600000000001</v>
      </c>
      <c r="E511" s="92">
        <f>'[2]FGT PRIMARY FIRM ZONE 3'!V522</f>
        <v>133.845</v>
      </c>
      <c r="F511" s="83">
        <f>'[2]FGT FIRM ZONE 3 MOBILE BAY-DES'!V522-40-25-60-100</f>
        <v>53.48399999999998</v>
      </c>
      <c r="G511" s="86">
        <v>40</v>
      </c>
      <c r="H511" s="83">
        <f t="shared" si="81"/>
        <v>185</v>
      </c>
      <c r="I511" s="83">
        <f t="shared" si="80"/>
        <v>0</v>
      </c>
      <c r="J511" s="86">
        <v>100</v>
      </c>
      <c r="K511" s="86">
        <v>300</v>
      </c>
      <c r="L511" s="83">
        <f t="shared" si="73"/>
        <v>1274</v>
      </c>
      <c r="M511" s="94">
        <v>600</v>
      </c>
      <c r="N511" s="83">
        <f>'[2]FGT NON-FIRM'!P522</f>
        <v>30</v>
      </c>
      <c r="O511" s="86">
        <v>240</v>
      </c>
      <c r="P511" s="86">
        <v>160</v>
      </c>
      <c r="Q511" s="86">
        <f t="shared" si="74"/>
        <v>195</v>
      </c>
      <c r="R511" s="86">
        <f t="shared" si="75"/>
        <v>100</v>
      </c>
      <c r="S511" s="83">
        <f t="shared" si="76"/>
        <v>695</v>
      </c>
      <c r="T511" s="83">
        <f>'[2]GULFSTREAM NON-FIRM'!H522</f>
        <v>0</v>
      </c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</row>
    <row r="512" spans="1:30" ht="15.75" hidden="1" x14ac:dyDescent="0.25">
      <c r="A512" s="33">
        <v>56522</v>
      </c>
      <c r="B512" s="96">
        <v>30</v>
      </c>
      <c r="C512" s="83">
        <f>'[2]FGT PRIMARY FIRM ZONE 1'!V523</f>
        <v>194.20499999999998</v>
      </c>
      <c r="D512" s="83">
        <f>'[2]FGT PRIMARY FIRM ZONE 2'!V523</f>
        <v>267.46600000000001</v>
      </c>
      <c r="E512" s="92">
        <f>'[2]FGT PRIMARY FIRM ZONE 3'!V523</f>
        <v>133.845</v>
      </c>
      <c r="F512" s="83">
        <f>'[2]FGT FIRM ZONE 3 MOBILE BAY-DES'!V523-40-25-60-100</f>
        <v>53.48399999999998</v>
      </c>
      <c r="G512" s="86">
        <v>40</v>
      </c>
      <c r="H512" s="83">
        <f t="shared" si="81"/>
        <v>185</v>
      </c>
      <c r="I512" s="83">
        <f t="shared" si="80"/>
        <v>0</v>
      </c>
      <c r="J512" s="86">
        <v>100</v>
      </c>
      <c r="K512" s="86">
        <v>300</v>
      </c>
      <c r="L512" s="83">
        <f t="shared" si="73"/>
        <v>1274</v>
      </c>
      <c r="M512" s="94">
        <v>600</v>
      </c>
      <c r="N512" s="83">
        <f>'[2]FGT NON-FIRM'!P523</f>
        <v>30</v>
      </c>
      <c r="O512" s="86">
        <v>240</v>
      </c>
      <c r="P512" s="86">
        <v>160</v>
      </c>
      <c r="Q512" s="86">
        <f t="shared" si="74"/>
        <v>195</v>
      </c>
      <c r="R512" s="86">
        <f t="shared" si="75"/>
        <v>100</v>
      </c>
      <c r="S512" s="83">
        <f t="shared" si="76"/>
        <v>695</v>
      </c>
      <c r="T512" s="83">
        <f>'[2]GULFSTREAM NON-FIRM'!H523</f>
        <v>0</v>
      </c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</row>
    <row r="513" spans="1:30" ht="15.75" hidden="1" x14ac:dyDescent="0.25">
      <c r="A513" s="33">
        <v>56553</v>
      </c>
      <c r="B513" s="96">
        <v>31</v>
      </c>
      <c r="C513" s="83">
        <f>'[2]FGT PRIMARY FIRM ZONE 1'!V524</f>
        <v>131.881</v>
      </c>
      <c r="D513" s="83">
        <f>'[2]FGT PRIMARY FIRM ZONE 2'!V524</f>
        <v>277.16699999999997</v>
      </c>
      <c r="E513" s="92">
        <f>'[2]FGT PRIMARY FIRM ZONE 3'!V524</f>
        <v>79.08</v>
      </c>
      <c r="F513" s="83">
        <f>'[2]FGT FIRM ZONE 3 MOBILE BAY-DES'!V524-40-25-60-100</f>
        <v>125.87199999999996</v>
      </c>
      <c r="G513" s="86">
        <v>40</v>
      </c>
      <c r="H513" s="83">
        <f t="shared" si="81"/>
        <v>185</v>
      </c>
      <c r="I513" s="83">
        <f t="shared" si="80"/>
        <v>0</v>
      </c>
      <c r="J513" s="86">
        <v>100</v>
      </c>
      <c r="K513" s="86">
        <v>300</v>
      </c>
      <c r="L513" s="83">
        <f t="shared" si="73"/>
        <v>1239</v>
      </c>
      <c r="M513" s="94">
        <v>600</v>
      </c>
      <c r="N513" s="83">
        <f>'[2]FGT NON-FIRM'!P524</f>
        <v>75</v>
      </c>
      <c r="O513" s="86">
        <v>240</v>
      </c>
      <c r="P513" s="86">
        <v>160</v>
      </c>
      <c r="Q513" s="86">
        <f t="shared" si="74"/>
        <v>195</v>
      </c>
      <c r="R513" s="86">
        <f t="shared" si="75"/>
        <v>100</v>
      </c>
      <c r="S513" s="83">
        <f t="shared" si="76"/>
        <v>695</v>
      </c>
      <c r="T513" s="83">
        <f>'[2]GULFSTREAM NON-FIRM'!H524</f>
        <v>0</v>
      </c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</row>
    <row r="514" spans="1:30" ht="15.75" hidden="1" x14ac:dyDescent="0.25">
      <c r="A514" s="33">
        <v>56583</v>
      </c>
      <c r="B514" s="96">
        <v>30</v>
      </c>
      <c r="C514" s="83">
        <f>'[2]FGT PRIMARY FIRM ZONE 1'!V525</f>
        <v>122.58</v>
      </c>
      <c r="D514" s="83">
        <f>'[2]FGT PRIMARY FIRM ZONE 2'!V525</f>
        <v>297.94100000000003</v>
      </c>
      <c r="E514" s="92">
        <f>'[2]FGT PRIMARY FIRM ZONE 3'!V525</f>
        <v>89.177000000000007</v>
      </c>
      <c r="F514" s="83">
        <f>'[2]FGT FIRM ZONE 3 MOBILE BAY-DES'!V525-40-60-100</f>
        <v>40.301999999999992</v>
      </c>
      <c r="G514" s="86">
        <v>40</v>
      </c>
      <c r="H514" s="83">
        <f>60+100</f>
        <v>160</v>
      </c>
      <c r="I514" s="83">
        <f t="shared" si="80"/>
        <v>0</v>
      </c>
      <c r="J514" s="86">
        <v>100</v>
      </c>
      <c r="K514" s="86">
        <v>300</v>
      </c>
      <c r="L514" s="83">
        <f t="shared" si="73"/>
        <v>1150</v>
      </c>
      <c r="M514" s="94">
        <v>600</v>
      </c>
      <c r="N514" s="83">
        <f>'[2]FGT NON-FIRM'!P525</f>
        <v>100</v>
      </c>
      <c r="O514" s="86">
        <v>240</v>
      </c>
      <c r="P514" s="86">
        <v>40</v>
      </c>
      <c r="Q514" s="86">
        <f t="shared" si="74"/>
        <v>315</v>
      </c>
      <c r="R514" s="86">
        <f t="shared" si="75"/>
        <v>100</v>
      </c>
      <c r="S514" s="83">
        <f t="shared" si="76"/>
        <v>695</v>
      </c>
      <c r="T514" s="83">
        <f>'[2]GULFSTREAM NON-FIRM'!H525</f>
        <v>50</v>
      </c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</row>
    <row r="515" spans="1:30" ht="15.75" hidden="1" x14ac:dyDescent="0.25">
      <c r="A515" s="33">
        <v>56614</v>
      </c>
      <c r="B515" s="96">
        <v>31</v>
      </c>
      <c r="C515" s="83">
        <f>'[2]FGT PRIMARY FIRM ZONE 1'!V526</f>
        <v>122.58</v>
      </c>
      <c r="D515" s="83">
        <f>'[2]FGT PRIMARY FIRM ZONE 2'!V526</f>
        <v>297.94100000000003</v>
      </c>
      <c r="E515" s="92">
        <f>'[2]FGT PRIMARY FIRM ZONE 3'!V526</f>
        <v>89.177000000000007</v>
      </c>
      <c r="F515" s="83">
        <f>'[2]FGT FIRM ZONE 3 MOBILE BAY-DES'!V526-40-60-100</f>
        <v>40.301999999999992</v>
      </c>
      <c r="G515" s="86">
        <v>40</v>
      </c>
      <c r="H515" s="83">
        <f>60+100</f>
        <v>160</v>
      </c>
      <c r="I515" s="83">
        <f t="shared" si="80"/>
        <v>0</v>
      </c>
      <c r="J515" s="86">
        <v>100</v>
      </c>
      <c r="K515" s="86">
        <v>300</v>
      </c>
      <c r="L515" s="83">
        <f t="shared" si="73"/>
        <v>1150</v>
      </c>
      <c r="M515" s="94">
        <v>600</v>
      </c>
      <c r="N515" s="83">
        <f>'[2]FGT NON-FIRM'!P526</f>
        <v>100</v>
      </c>
      <c r="O515" s="86">
        <v>240</v>
      </c>
      <c r="P515" s="86">
        <v>40</v>
      </c>
      <c r="Q515" s="86">
        <f t="shared" si="74"/>
        <v>315</v>
      </c>
      <c r="R515" s="86">
        <f t="shared" si="75"/>
        <v>100</v>
      </c>
      <c r="S515" s="83">
        <f t="shared" si="76"/>
        <v>695</v>
      </c>
      <c r="T515" s="83">
        <f>'[2]GULFSTREAM NON-FIRM'!H526</f>
        <v>50</v>
      </c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</row>
    <row r="516" spans="1:30" ht="15.75" hidden="1" x14ac:dyDescent="0.25">
      <c r="A516" s="32">
        <v>56645</v>
      </c>
      <c r="B516" s="95">
        <v>31</v>
      </c>
      <c r="C516" s="83">
        <f>'[2]FGT PRIMARY FIRM ZONE 1'!V527</f>
        <v>122.58</v>
      </c>
      <c r="D516" s="83">
        <f>'[2]FGT PRIMARY FIRM ZONE 2'!V527</f>
        <v>297.94100000000003</v>
      </c>
      <c r="E516" s="92">
        <f>'[2]FGT PRIMARY FIRM ZONE 3'!V527</f>
        <v>89.177000000000007</v>
      </c>
      <c r="F516" s="83">
        <f>'[2]FGT FIRM ZONE 3 MOBILE BAY-DES'!V527-40-60-100</f>
        <v>40.301999999999992</v>
      </c>
      <c r="G516" s="86">
        <v>40</v>
      </c>
      <c r="H516" s="83">
        <f>60+100</f>
        <v>160</v>
      </c>
      <c r="I516" s="83">
        <f t="shared" si="80"/>
        <v>0</v>
      </c>
      <c r="J516" s="86">
        <v>100</v>
      </c>
      <c r="K516" s="86">
        <v>300</v>
      </c>
      <c r="L516" s="83">
        <f t="shared" si="73"/>
        <v>1150</v>
      </c>
      <c r="M516" s="94">
        <v>600</v>
      </c>
      <c r="N516" s="83">
        <f>'[2]FGT NON-FIRM'!P527</f>
        <v>100</v>
      </c>
      <c r="O516" s="86">
        <v>240</v>
      </c>
      <c r="P516" s="86">
        <v>40</v>
      </c>
      <c r="Q516" s="86">
        <f t="shared" si="74"/>
        <v>315</v>
      </c>
      <c r="R516" s="86">
        <f t="shared" si="75"/>
        <v>100</v>
      </c>
      <c r="S516" s="83">
        <f t="shared" si="76"/>
        <v>695</v>
      </c>
      <c r="T516" s="83">
        <f>'[2]GULFSTREAM NON-FIRM'!H527</f>
        <v>50</v>
      </c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</row>
    <row r="517" spans="1:30" ht="15.75" hidden="1" x14ac:dyDescent="0.25">
      <c r="A517" s="32">
        <v>56673</v>
      </c>
      <c r="B517" s="95">
        <v>28</v>
      </c>
      <c r="C517" s="83">
        <f>'[2]FGT PRIMARY FIRM ZONE 1'!V528</f>
        <v>122.58</v>
      </c>
      <c r="D517" s="83">
        <f>'[2]FGT PRIMARY FIRM ZONE 2'!V528</f>
        <v>297.94100000000003</v>
      </c>
      <c r="E517" s="92">
        <f>'[2]FGT PRIMARY FIRM ZONE 3'!V528</f>
        <v>89.177000000000007</v>
      </c>
      <c r="F517" s="83">
        <f>'[2]FGT FIRM ZONE 3 MOBILE BAY-DES'!V528-40-60-100</f>
        <v>40.301999999999992</v>
      </c>
      <c r="G517" s="86">
        <v>40</v>
      </c>
      <c r="H517" s="83">
        <f>60+100</f>
        <v>160</v>
      </c>
      <c r="I517" s="83">
        <f t="shared" si="80"/>
        <v>0</v>
      </c>
      <c r="J517" s="86">
        <v>100</v>
      </c>
      <c r="K517" s="86">
        <v>300</v>
      </c>
      <c r="L517" s="83">
        <f t="shared" si="73"/>
        <v>1150</v>
      </c>
      <c r="M517" s="94">
        <v>600</v>
      </c>
      <c r="N517" s="83">
        <f>'[2]FGT NON-FIRM'!P528</f>
        <v>100</v>
      </c>
      <c r="O517" s="86">
        <v>240</v>
      </c>
      <c r="P517" s="86">
        <v>40</v>
      </c>
      <c r="Q517" s="86">
        <f t="shared" si="74"/>
        <v>315</v>
      </c>
      <c r="R517" s="86">
        <f t="shared" si="75"/>
        <v>100</v>
      </c>
      <c r="S517" s="83">
        <f t="shared" si="76"/>
        <v>695</v>
      </c>
      <c r="T517" s="83">
        <f>'[2]GULFSTREAM NON-FIRM'!H528</f>
        <v>50</v>
      </c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</row>
    <row r="518" spans="1:30" ht="15.75" hidden="1" x14ac:dyDescent="0.25">
      <c r="A518" s="32">
        <v>56704</v>
      </c>
      <c r="B518" s="95">
        <v>31</v>
      </c>
      <c r="C518" s="83">
        <f>'[2]FGT PRIMARY FIRM ZONE 1'!V529</f>
        <v>122.58</v>
      </c>
      <c r="D518" s="83">
        <f>'[2]FGT PRIMARY FIRM ZONE 2'!V529</f>
        <v>297.94100000000003</v>
      </c>
      <c r="E518" s="92">
        <f>'[2]FGT PRIMARY FIRM ZONE 3'!V529</f>
        <v>89.177000000000007</v>
      </c>
      <c r="F518" s="83">
        <f>'[2]FGT FIRM ZONE 3 MOBILE BAY-DES'!V529-40-60-100</f>
        <v>40.301999999999992</v>
      </c>
      <c r="G518" s="86">
        <v>40</v>
      </c>
      <c r="H518" s="83">
        <f>60+100</f>
        <v>160</v>
      </c>
      <c r="I518" s="83">
        <f t="shared" si="80"/>
        <v>0</v>
      </c>
      <c r="J518" s="86">
        <v>100</v>
      </c>
      <c r="K518" s="86">
        <v>300</v>
      </c>
      <c r="L518" s="83">
        <f t="shared" si="73"/>
        <v>1150</v>
      </c>
      <c r="M518" s="94">
        <v>600</v>
      </c>
      <c r="N518" s="83">
        <f>'[2]FGT NON-FIRM'!P529</f>
        <v>100</v>
      </c>
      <c r="O518" s="86">
        <v>240</v>
      </c>
      <c r="P518" s="86">
        <v>40</v>
      </c>
      <c r="Q518" s="86">
        <f t="shared" si="74"/>
        <v>315</v>
      </c>
      <c r="R518" s="86">
        <f t="shared" si="75"/>
        <v>100</v>
      </c>
      <c r="S518" s="83">
        <f t="shared" si="76"/>
        <v>695</v>
      </c>
      <c r="T518" s="83">
        <f>'[2]GULFSTREAM NON-FIRM'!H529</f>
        <v>50</v>
      </c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</row>
    <row r="519" spans="1:30" ht="15.75" hidden="1" x14ac:dyDescent="0.25">
      <c r="A519" s="32">
        <v>56734</v>
      </c>
      <c r="B519" s="95">
        <v>30</v>
      </c>
      <c r="C519" s="83">
        <f>'[2]FGT PRIMARY FIRM ZONE 1'!V530</f>
        <v>141.29300000000001</v>
      </c>
      <c r="D519" s="83">
        <f>'[2]FGT PRIMARY FIRM ZONE 2'!V530</f>
        <v>267.99299999999999</v>
      </c>
      <c r="E519" s="92">
        <f>'[2]FGT PRIMARY FIRM ZONE 3'!V530</f>
        <v>115.01600000000001</v>
      </c>
      <c r="F519" s="83">
        <f>'[2]FGT FIRM ZONE 3 MOBILE BAY-DES'!V530-40-25-60-100</f>
        <v>89.698000000000036</v>
      </c>
      <c r="G519" s="86">
        <v>40</v>
      </c>
      <c r="H519" s="83">
        <f t="shared" ref="H519:H525" si="82">25+60+100</f>
        <v>185</v>
      </c>
      <c r="I519" s="83">
        <f t="shared" si="80"/>
        <v>0</v>
      </c>
      <c r="J519" s="86">
        <v>100</v>
      </c>
      <c r="K519" s="86">
        <v>300</v>
      </c>
      <c r="L519" s="83">
        <f t="shared" si="73"/>
        <v>1239</v>
      </c>
      <c r="M519" s="94">
        <v>600</v>
      </c>
      <c r="N519" s="83">
        <f>'[2]FGT NON-FIRM'!P530</f>
        <v>100</v>
      </c>
      <c r="O519" s="86">
        <v>240</v>
      </c>
      <c r="P519" s="86">
        <v>160</v>
      </c>
      <c r="Q519" s="86">
        <f t="shared" si="74"/>
        <v>195</v>
      </c>
      <c r="R519" s="86">
        <f t="shared" si="75"/>
        <v>100</v>
      </c>
      <c r="S519" s="83">
        <f t="shared" si="76"/>
        <v>695</v>
      </c>
      <c r="T519" s="83">
        <f>'[2]GULFSTREAM NON-FIRM'!H530</f>
        <v>50</v>
      </c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</row>
    <row r="520" spans="1:30" ht="15.75" hidden="1" x14ac:dyDescent="0.25">
      <c r="A520" s="32">
        <v>56765</v>
      </c>
      <c r="B520" s="95">
        <v>31</v>
      </c>
      <c r="C520" s="83">
        <f>'[2]FGT PRIMARY FIRM ZONE 1'!V531</f>
        <v>194.20499999999998</v>
      </c>
      <c r="D520" s="83">
        <f>'[2]FGT PRIMARY FIRM ZONE 2'!V531</f>
        <v>267.46600000000001</v>
      </c>
      <c r="E520" s="92">
        <f>'[2]FGT PRIMARY FIRM ZONE 3'!V531</f>
        <v>133.845</v>
      </c>
      <c r="F520" s="83">
        <f>'[2]FGT FIRM ZONE 3 MOBILE BAY-DES'!V531-40-25-60-100</f>
        <v>53.48399999999998</v>
      </c>
      <c r="G520" s="86">
        <v>40</v>
      </c>
      <c r="H520" s="83">
        <f t="shared" si="82"/>
        <v>185</v>
      </c>
      <c r="I520" s="83">
        <f t="shared" si="80"/>
        <v>0</v>
      </c>
      <c r="J520" s="86">
        <v>100</v>
      </c>
      <c r="K520" s="86">
        <v>300</v>
      </c>
      <c r="L520" s="83">
        <f t="shared" si="73"/>
        <v>1274</v>
      </c>
      <c r="M520" s="94">
        <v>600</v>
      </c>
      <c r="N520" s="83">
        <f>'[2]FGT NON-FIRM'!P531</f>
        <v>75</v>
      </c>
      <c r="O520" s="86">
        <v>240</v>
      </c>
      <c r="P520" s="86">
        <v>160</v>
      </c>
      <c r="Q520" s="86">
        <f t="shared" si="74"/>
        <v>195</v>
      </c>
      <c r="R520" s="86">
        <f t="shared" si="75"/>
        <v>100</v>
      </c>
      <c r="S520" s="83">
        <f t="shared" si="76"/>
        <v>695</v>
      </c>
      <c r="T520" s="83">
        <f>'[2]GULFSTREAM NON-FIRM'!H531</f>
        <v>50</v>
      </c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</row>
    <row r="521" spans="1:30" ht="15.75" hidden="1" x14ac:dyDescent="0.25">
      <c r="A521" s="32">
        <v>56795</v>
      </c>
      <c r="B521" s="95">
        <v>30</v>
      </c>
      <c r="C521" s="83">
        <f>'[2]FGT PRIMARY FIRM ZONE 1'!V532</f>
        <v>194.20499999999998</v>
      </c>
      <c r="D521" s="83">
        <f>'[2]FGT PRIMARY FIRM ZONE 2'!V532</f>
        <v>267.46600000000001</v>
      </c>
      <c r="E521" s="92">
        <f>'[2]FGT PRIMARY FIRM ZONE 3'!V532</f>
        <v>133.845</v>
      </c>
      <c r="F521" s="83">
        <f>'[2]FGT FIRM ZONE 3 MOBILE BAY-DES'!V532-40-25-60-100</f>
        <v>53.48399999999998</v>
      </c>
      <c r="G521" s="86">
        <v>40</v>
      </c>
      <c r="H521" s="83">
        <f t="shared" si="82"/>
        <v>185</v>
      </c>
      <c r="I521" s="83">
        <f t="shared" si="80"/>
        <v>0</v>
      </c>
      <c r="J521" s="86">
        <v>100</v>
      </c>
      <c r="K521" s="86">
        <v>300</v>
      </c>
      <c r="L521" s="83">
        <f t="shared" si="73"/>
        <v>1274</v>
      </c>
      <c r="M521" s="94">
        <v>600</v>
      </c>
      <c r="N521" s="83">
        <f>'[2]FGT NON-FIRM'!P532</f>
        <v>30</v>
      </c>
      <c r="O521" s="86">
        <v>240</v>
      </c>
      <c r="P521" s="86">
        <v>160</v>
      </c>
      <c r="Q521" s="86">
        <f t="shared" si="74"/>
        <v>195</v>
      </c>
      <c r="R521" s="86">
        <f t="shared" si="75"/>
        <v>100</v>
      </c>
      <c r="S521" s="83">
        <f t="shared" si="76"/>
        <v>695</v>
      </c>
      <c r="T521" s="83">
        <f>'[2]GULFSTREAM NON-FIRM'!H532</f>
        <v>50</v>
      </c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</row>
    <row r="522" spans="1:30" ht="15.75" hidden="1" x14ac:dyDescent="0.25">
      <c r="A522" s="32">
        <v>56826</v>
      </c>
      <c r="B522" s="95">
        <v>31</v>
      </c>
      <c r="C522" s="83">
        <f>'[2]FGT PRIMARY FIRM ZONE 1'!V533</f>
        <v>194.20499999999998</v>
      </c>
      <c r="D522" s="83">
        <f>'[2]FGT PRIMARY FIRM ZONE 2'!V533</f>
        <v>267.46600000000001</v>
      </c>
      <c r="E522" s="92">
        <f>'[2]FGT PRIMARY FIRM ZONE 3'!V533</f>
        <v>133.845</v>
      </c>
      <c r="F522" s="83">
        <f>'[2]FGT FIRM ZONE 3 MOBILE BAY-DES'!V533-40-25-60-100</f>
        <v>53.48399999999998</v>
      </c>
      <c r="G522" s="86">
        <v>40</v>
      </c>
      <c r="H522" s="83">
        <f t="shared" si="82"/>
        <v>185</v>
      </c>
      <c r="I522" s="83">
        <f t="shared" si="80"/>
        <v>0</v>
      </c>
      <c r="J522" s="86">
        <v>100</v>
      </c>
      <c r="K522" s="86">
        <v>300</v>
      </c>
      <c r="L522" s="83">
        <f t="shared" si="73"/>
        <v>1274</v>
      </c>
      <c r="M522" s="94">
        <v>600</v>
      </c>
      <c r="N522" s="83">
        <f>'[2]FGT NON-FIRM'!P533</f>
        <v>30</v>
      </c>
      <c r="O522" s="86">
        <v>240</v>
      </c>
      <c r="P522" s="86">
        <v>160</v>
      </c>
      <c r="Q522" s="86">
        <f t="shared" si="74"/>
        <v>195</v>
      </c>
      <c r="R522" s="86">
        <f t="shared" si="75"/>
        <v>100</v>
      </c>
      <c r="S522" s="83">
        <f t="shared" si="76"/>
        <v>695</v>
      </c>
      <c r="T522" s="83">
        <f>'[2]GULFSTREAM NON-FIRM'!H533</f>
        <v>0</v>
      </c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</row>
    <row r="523" spans="1:30" ht="15.75" hidden="1" x14ac:dyDescent="0.25">
      <c r="A523" s="32">
        <v>56857</v>
      </c>
      <c r="B523" s="95">
        <v>31</v>
      </c>
      <c r="C523" s="83">
        <f>'[2]FGT PRIMARY FIRM ZONE 1'!V534</f>
        <v>194.20499999999998</v>
      </c>
      <c r="D523" s="83">
        <f>'[2]FGT PRIMARY FIRM ZONE 2'!V534</f>
        <v>267.46600000000001</v>
      </c>
      <c r="E523" s="92">
        <f>'[2]FGT PRIMARY FIRM ZONE 3'!V534</f>
        <v>133.845</v>
      </c>
      <c r="F523" s="83">
        <f>'[2]FGT FIRM ZONE 3 MOBILE BAY-DES'!V534-40-25-60-100</f>
        <v>53.48399999999998</v>
      </c>
      <c r="G523" s="86">
        <v>40</v>
      </c>
      <c r="H523" s="83">
        <f t="shared" si="82"/>
        <v>185</v>
      </c>
      <c r="I523" s="83">
        <f t="shared" si="80"/>
        <v>0</v>
      </c>
      <c r="J523" s="86">
        <v>100</v>
      </c>
      <c r="K523" s="86">
        <v>300</v>
      </c>
      <c r="L523" s="83">
        <f t="shared" si="73"/>
        <v>1274</v>
      </c>
      <c r="M523" s="94">
        <v>600</v>
      </c>
      <c r="N523" s="83">
        <f>'[2]FGT NON-FIRM'!P534</f>
        <v>30</v>
      </c>
      <c r="O523" s="86">
        <v>240</v>
      </c>
      <c r="P523" s="86">
        <v>160</v>
      </c>
      <c r="Q523" s="86">
        <f t="shared" si="74"/>
        <v>195</v>
      </c>
      <c r="R523" s="86">
        <f t="shared" si="75"/>
        <v>100</v>
      </c>
      <c r="S523" s="83">
        <f t="shared" si="76"/>
        <v>695</v>
      </c>
      <c r="T523" s="83">
        <f>'[2]GULFSTREAM NON-FIRM'!H534</f>
        <v>0</v>
      </c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</row>
    <row r="524" spans="1:30" ht="15.75" hidden="1" x14ac:dyDescent="0.25">
      <c r="A524" s="32">
        <v>56887</v>
      </c>
      <c r="B524" s="95">
        <v>30</v>
      </c>
      <c r="C524" s="83">
        <f>'[2]FGT PRIMARY FIRM ZONE 1'!V535</f>
        <v>194.20499999999998</v>
      </c>
      <c r="D524" s="83">
        <f>'[2]FGT PRIMARY FIRM ZONE 2'!V535</f>
        <v>267.46600000000001</v>
      </c>
      <c r="E524" s="92">
        <f>'[2]FGT PRIMARY FIRM ZONE 3'!V535</f>
        <v>133.845</v>
      </c>
      <c r="F524" s="83">
        <f>'[2]FGT FIRM ZONE 3 MOBILE BAY-DES'!V535-40-25-60-100</f>
        <v>53.48399999999998</v>
      </c>
      <c r="G524" s="86">
        <v>40</v>
      </c>
      <c r="H524" s="83">
        <f t="shared" si="82"/>
        <v>185</v>
      </c>
      <c r="I524" s="83">
        <f t="shared" si="80"/>
        <v>0</v>
      </c>
      <c r="J524" s="86">
        <v>100</v>
      </c>
      <c r="K524" s="86">
        <v>300</v>
      </c>
      <c r="L524" s="83">
        <f t="shared" si="73"/>
        <v>1274</v>
      </c>
      <c r="M524" s="94">
        <v>600</v>
      </c>
      <c r="N524" s="83">
        <f>'[2]FGT NON-FIRM'!P535</f>
        <v>30</v>
      </c>
      <c r="O524" s="86">
        <v>240</v>
      </c>
      <c r="P524" s="86">
        <v>160</v>
      </c>
      <c r="Q524" s="86">
        <f t="shared" si="74"/>
        <v>195</v>
      </c>
      <c r="R524" s="86">
        <f t="shared" si="75"/>
        <v>100</v>
      </c>
      <c r="S524" s="83">
        <f t="shared" si="76"/>
        <v>695</v>
      </c>
      <c r="T524" s="83">
        <f>'[2]GULFSTREAM NON-FIRM'!H535</f>
        <v>0</v>
      </c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</row>
    <row r="525" spans="1:30" ht="15.75" hidden="1" x14ac:dyDescent="0.25">
      <c r="A525" s="32">
        <v>56918</v>
      </c>
      <c r="B525" s="95">
        <v>31</v>
      </c>
      <c r="C525" s="83">
        <f>'[2]FGT PRIMARY FIRM ZONE 1'!V536</f>
        <v>131.881</v>
      </c>
      <c r="D525" s="83">
        <f>'[2]FGT PRIMARY FIRM ZONE 2'!V536</f>
        <v>277.16699999999997</v>
      </c>
      <c r="E525" s="92">
        <f>'[2]FGT PRIMARY FIRM ZONE 3'!V536</f>
        <v>79.08</v>
      </c>
      <c r="F525" s="83">
        <f>'[2]FGT FIRM ZONE 3 MOBILE BAY-DES'!V536-40-25-60-100</f>
        <v>125.87199999999996</v>
      </c>
      <c r="G525" s="86">
        <v>40</v>
      </c>
      <c r="H525" s="83">
        <f t="shared" si="82"/>
        <v>185</v>
      </c>
      <c r="I525" s="83">
        <f t="shared" si="80"/>
        <v>0</v>
      </c>
      <c r="J525" s="86">
        <v>100</v>
      </c>
      <c r="K525" s="86">
        <v>300</v>
      </c>
      <c r="L525" s="83">
        <f t="shared" si="73"/>
        <v>1239</v>
      </c>
      <c r="M525" s="94">
        <v>600</v>
      </c>
      <c r="N525" s="83">
        <f>'[2]FGT NON-FIRM'!P536</f>
        <v>75</v>
      </c>
      <c r="O525" s="86">
        <v>240</v>
      </c>
      <c r="P525" s="86">
        <v>160</v>
      </c>
      <c r="Q525" s="86">
        <f t="shared" si="74"/>
        <v>195</v>
      </c>
      <c r="R525" s="86">
        <f t="shared" si="75"/>
        <v>100</v>
      </c>
      <c r="S525" s="83">
        <f t="shared" si="76"/>
        <v>695</v>
      </c>
      <c r="T525" s="83">
        <f>'[2]GULFSTREAM NON-FIRM'!H536</f>
        <v>0</v>
      </c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</row>
    <row r="526" spans="1:30" ht="15.75" hidden="1" x14ac:dyDescent="0.25">
      <c r="A526" s="32">
        <v>56948</v>
      </c>
      <c r="B526" s="95">
        <v>30</v>
      </c>
      <c r="C526" s="83">
        <f>'[2]FGT PRIMARY FIRM ZONE 1'!V537</f>
        <v>122.58</v>
      </c>
      <c r="D526" s="83">
        <f>'[2]FGT PRIMARY FIRM ZONE 2'!V537</f>
        <v>297.94100000000003</v>
      </c>
      <c r="E526" s="92">
        <f>'[2]FGT PRIMARY FIRM ZONE 3'!V537</f>
        <v>89.177000000000007</v>
      </c>
      <c r="F526" s="83">
        <f>'[2]FGT FIRM ZONE 3 MOBILE BAY-DES'!V537-40-60-100</f>
        <v>40.301999999999992</v>
      </c>
      <c r="G526" s="86">
        <v>40</v>
      </c>
      <c r="H526" s="83">
        <f>60+100</f>
        <v>160</v>
      </c>
      <c r="I526" s="83">
        <f t="shared" si="80"/>
        <v>0</v>
      </c>
      <c r="J526" s="86">
        <v>100</v>
      </c>
      <c r="K526" s="86">
        <v>300</v>
      </c>
      <c r="L526" s="83">
        <f t="shared" si="73"/>
        <v>1150</v>
      </c>
      <c r="M526" s="94">
        <v>600</v>
      </c>
      <c r="N526" s="83">
        <f>'[2]FGT NON-FIRM'!P537</f>
        <v>100</v>
      </c>
      <c r="O526" s="86">
        <v>240</v>
      </c>
      <c r="P526" s="86">
        <v>40</v>
      </c>
      <c r="Q526" s="86">
        <f t="shared" si="74"/>
        <v>315</v>
      </c>
      <c r="R526" s="86">
        <f t="shared" si="75"/>
        <v>100</v>
      </c>
      <c r="S526" s="83">
        <f t="shared" si="76"/>
        <v>695</v>
      </c>
      <c r="T526" s="83">
        <f>'[2]GULFSTREAM NON-FIRM'!H537</f>
        <v>50</v>
      </c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</row>
    <row r="527" spans="1:30" ht="15.75" hidden="1" x14ac:dyDescent="0.25">
      <c r="A527" s="32">
        <v>56979</v>
      </c>
      <c r="B527" s="95">
        <v>31</v>
      </c>
      <c r="C527" s="83">
        <f>'[2]FGT PRIMARY FIRM ZONE 1'!V538</f>
        <v>122.58</v>
      </c>
      <c r="D527" s="83">
        <f>'[2]FGT PRIMARY FIRM ZONE 2'!V538</f>
        <v>297.94100000000003</v>
      </c>
      <c r="E527" s="92">
        <f>'[2]FGT PRIMARY FIRM ZONE 3'!V538</f>
        <v>89.177000000000007</v>
      </c>
      <c r="F527" s="83">
        <f>'[2]FGT FIRM ZONE 3 MOBILE BAY-DES'!V538-40-60-100</f>
        <v>40.301999999999992</v>
      </c>
      <c r="G527" s="86">
        <v>40</v>
      </c>
      <c r="H527" s="83">
        <f>60+100</f>
        <v>160</v>
      </c>
      <c r="I527" s="83">
        <f t="shared" si="80"/>
        <v>0</v>
      </c>
      <c r="J527" s="86">
        <v>100</v>
      </c>
      <c r="K527" s="86">
        <v>300</v>
      </c>
      <c r="L527" s="83">
        <f t="shared" si="73"/>
        <v>1150</v>
      </c>
      <c r="M527" s="94">
        <v>600</v>
      </c>
      <c r="N527" s="83">
        <f>'[2]FGT NON-FIRM'!P538</f>
        <v>100</v>
      </c>
      <c r="O527" s="86">
        <v>240</v>
      </c>
      <c r="P527" s="86">
        <v>40</v>
      </c>
      <c r="Q527" s="86">
        <f t="shared" si="74"/>
        <v>315</v>
      </c>
      <c r="R527" s="86">
        <f t="shared" si="75"/>
        <v>100</v>
      </c>
      <c r="S527" s="83">
        <f t="shared" si="76"/>
        <v>695</v>
      </c>
      <c r="T527" s="83">
        <f>'[2]GULFSTREAM NON-FIRM'!H538</f>
        <v>50</v>
      </c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</row>
    <row r="528" spans="1:30" ht="15.75" hidden="1" x14ac:dyDescent="0.25">
      <c r="A528" s="32">
        <v>57010</v>
      </c>
      <c r="B528" s="95">
        <v>31</v>
      </c>
      <c r="C528" s="83">
        <f>'[2]FGT PRIMARY FIRM ZONE 1'!V539</f>
        <v>122.58</v>
      </c>
      <c r="D528" s="83">
        <f>'[2]FGT PRIMARY FIRM ZONE 2'!V539</f>
        <v>297.94100000000003</v>
      </c>
      <c r="E528" s="92">
        <f>'[2]FGT PRIMARY FIRM ZONE 3'!V539</f>
        <v>89.177000000000007</v>
      </c>
      <c r="F528" s="83">
        <f>'[2]FGT FIRM ZONE 3 MOBILE BAY-DES'!V539-40-60-100</f>
        <v>40.301999999999992</v>
      </c>
      <c r="G528" s="86">
        <v>40</v>
      </c>
      <c r="H528" s="83">
        <f>60+100</f>
        <v>160</v>
      </c>
      <c r="I528" s="83">
        <f t="shared" si="80"/>
        <v>0</v>
      </c>
      <c r="J528" s="86">
        <v>100</v>
      </c>
      <c r="K528" s="86">
        <v>300</v>
      </c>
      <c r="L528" s="83">
        <f t="shared" si="73"/>
        <v>1150</v>
      </c>
      <c r="M528" s="94">
        <v>600</v>
      </c>
      <c r="N528" s="83">
        <f>'[2]FGT NON-FIRM'!P539</f>
        <v>100</v>
      </c>
      <c r="O528" s="86">
        <v>240</v>
      </c>
      <c r="P528" s="86">
        <v>40</v>
      </c>
      <c r="Q528" s="86">
        <f t="shared" si="74"/>
        <v>315</v>
      </c>
      <c r="R528" s="86">
        <f t="shared" si="75"/>
        <v>100</v>
      </c>
      <c r="S528" s="83">
        <f t="shared" si="76"/>
        <v>695</v>
      </c>
      <c r="T528" s="83">
        <f>'[2]GULFSTREAM NON-FIRM'!H539</f>
        <v>50</v>
      </c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</row>
    <row r="529" spans="1:30" ht="15.75" hidden="1" x14ac:dyDescent="0.25">
      <c r="A529" s="32">
        <v>57038</v>
      </c>
      <c r="B529" s="95">
        <v>29</v>
      </c>
      <c r="C529" s="83">
        <f>'[2]FGT PRIMARY FIRM ZONE 1'!V540</f>
        <v>122.58</v>
      </c>
      <c r="D529" s="83">
        <f>'[2]FGT PRIMARY FIRM ZONE 2'!V540</f>
        <v>297.94100000000003</v>
      </c>
      <c r="E529" s="92">
        <f>'[2]FGT PRIMARY FIRM ZONE 3'!V540</f>
        <v>89.177000000000007</v>
      </c>
      <c r="F529" s="83">
        <f>'[2]FGT FIRM ZONE 3 MOBILE BAY-DES'!V540-40-60-100</f>
        <v>40.301999999999992</v>
      </c>
      <c r="G529" s="86">
        <v>40</v>
      </c>
      <c r="H529" s="83">
        <f>60+100</f>
        <v>160</v>
      </c>
      <c r="I529" s="83">
        <f t="shared" si="80"/>
        <v>0</v>
      </c>
      <c r="J529" s="86">
        <v>100</v>
      </c>
      <c r="K529" s="86">
        <v>300</v>
      </c>
      <c r="L529" s="83">
        <f t="shared" si="73"/>
        <v>1150</v>
      </c>
      <c r="M529" s="94">
        <v>600</v>
      </c>
      <c r="N529" s="83">
        <f>'[2]FGT NON-FIRM'!P540</f>
        <v>100</v>
      </c>
      <c r="O529" s="86">
        <v>240</v>
      </c>
      <c r="P529" s="86">
        <v>40</v>
      </c>
      <c r="Q529" s="86">
        <f t="shared" si="74"/>
        <v>315</v>
      </c>
      <c r="R529" s="86">
        <f t="shared" si="75"/>
        <v>100</v>
      </c>
      <c r="S529" s="83">
        <f t="shared" si="76"/>
        <v>695</v>
      </c>
      <c r="T529" s="83">
        <f>'[2]GULFSTREAM NON-FIRM'!H540</f>
        <v>50</v>
      </c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</row>
    <row r="530" spans="1:30" ht="15.75" hidden="1" x14ac:dyDescent="0.25">
      <c r="A530" s="32">
        <v>57070</v>
      </c>
      <c r="B530" s="95">
        <v>31</v>
      </c>
      <c r="C530" s="83">
        <f>'[2]FGT PRIMARY FIRM ZONE 1'!V541</f>
        <v>122.58</v>
      </c>
      <c r="D530" s="83">
        <f>'[2]FGT PRIMARY FIRM ZONE 2'!V541</f>
        <v>297.94100000000003</v>
      </c>
      <c r="E530" s="92">
        <f>'[2]FGT PRIMARY FIRM ZONE 3'!V541</f>
        <v>89.177000000000007</v>
      </c>
      <c r="F530" s="83">
        <f>'[2]FGT FIRM ZONE 3 MOBILE BAY-DES'!V541-40-60-100</f>
        <v>40.301999999999992</v>
      </c>
      <c r="G530" s="86">
        <v>40</v>
      </c>
      <c r="H530" s="83">
        <f>60+100</f>
        <v>160</v>
      </c>
      <c r="I530" s="83">
        <f t="shared" si="80"/>
        <v>0</v>
      </c>
      <c r="J530" s="86">
        <v>100</v>
      </c>
      <c r="K530" s="86">
        <v>300</v>
      </c>
      <c r="L530" s="83">
        <f t="shared" si="73"/>
        <v>1150</v>
      </c>
      <c r="M530" s="94">
        <v>600</v>
      </c>
      <c r="N530" s="83">
        <f>'[2]FGT NON-FIRM'!P541</f>
        <v>100</v>
      </c>
      <c r="O530" s="86">
        <v>240</v>
      </c>
      <c r="P530" s="86">
        <v>40</v>
      </c>
      <c r="Q530" s="86">
        <f t="shared" si="74"/>
        <v>315</v>
      </c>
      <c r="R530" s="86">
        <f t="shared" si="75"/>
        <v>100</v>
      </c>
      <c r="S530" s="83">
        <f t="shared" si="76"/>
        <v>695</v>
      </c>
      <c r="T530" s="83">
        <f>'[2]GULFSTREAM NON-FIRM'!H541</f>
        <v>50</v>
      </c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</row>
    <row r="531" spans="1:30" ht="15.75" hidden="1" x14ac:dyDescent="0.25">
      <c r="A531" s="32">
        <v>57100</v>
      </c>
      <c r="B531" s="95">
        <v>30</v>
      </c>
      <c r="C531" s="83">
        <f>'[2]FGT PRIMARY FIRM ZONE 1'!V542</f>
        <v>141.29300000000001</v>
      </c>
      <c r="D531" s="83">
        <f>'[2]FGT PRIMARY FIRM ZONE 2'!V542</f>
        <v>267.99299999999999</v>
      </c>
      <c r="E531" s="92">
        <f>'[2]FGT PRIMARY FIRM ZONE 3'!V542</f>
        <v>115.01600000000001</v>
      </c>
      <c r="F531" s="83">
        <f>'[2]FGT FIRM ZONE 3 MOBILE BAY-DES'!V542-40-25-60-100</f>
        <v>89.698000000000036</v>
      </c>
      <c r="G531" s="86">
        <v>40</v>
      </c>
      <c r="H531" s="83">
        <f t="shared" ref="H531:H537" si="83">25+60+100</f>
        <v>185</v>
      </c>
      <c r="I531" s="83">
        <f t="shared" si="80"/>
        <v>0</v>
      </c>
      <c r="J531" s="86">
        <v>100</v>
      </c>
      <c r="K531" s="86">
        <v>300</v>
      </c>
      <c r="L531" s="83">
        <f t="shared" si="73"/>
        <v>1239</v>
      </c>
      <c r="M531" s="94">
        <v>600</v>
      </c>
      <c r="N531" s="83">
        <f>'[2]FGT NON-FIRM'!P542</f>
        <v>100</v>
      </c>
      <c r="O531" s="86">
        <v>240</v>
      </c>
      <c r="P531" s="86">
        <v>160</v>
      </c>
      <c r="Q531" s="86">
        <f t="shared" si="74"/>
        <v>195</v>
      </c>
      <c r="R531" s="86">
        <f t="shared" si="75"/>
        <v>100</v>
      </c>
      <c r="S531" s="83">
        <f t="shared" si="76"/>
        <v>695</v>
      </c>
      <c r="T531" s="83">
        <f>'[2]GULFSTREAM NON-FIRM'!H542</f>
        <v>50</v>
      </c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</row>
    <row r="532" spans="1:30" ht="15.75" hidden="1" x14ac:dyDescent="0.25">
      <c r="A532" s="32">
        <v>57131</v>
      </c>
      <c r="B532" s="95">
        <v>31</v>
      </c>
      <c r="C532" s="83">
        <f>'[2]FGT PRIMARY FIRM ZONE 1'!V543</f>
        <v>194.20499999999998</v>
      </c>
      <c r="D532" s="83">
        <f>'[2]FGT PRIMARY FIRM ZONE 2'!V543</f>
        <v>267.46600000000001</v>
      </c>
      <c r="E532" s="92">
        <f>'[2]FGT PRIMARY FIRM ZONE 3'!V543</f>
        <v>133.845</v>
      </c>
      <c r="F532" s="83">
        <f>'[2]FGT FIRM ZONE 3 MOBILE BAY-DES'!V543-40-25-60-100</f>
        <v>53.48399999999998</v>
      </c>
      <c r="G532" s="86">
        <v>40</v>
      </c>
      <c r="H532" s="83">
        <f t="shared" si="83"/>
        <v>185</v>
      </c>
      <c r="I532" s="83">
        <f t="shared" si="80"/>
        <v>0</v>
      </c>
      <c r="J532" s="86">
        <v>100</v>
      </c>
      <c r="K532" s="86">
        <v>300</v>
      </c>
      <c r="L532" s="83">
        <f t="shared" ref="L532:L595" si="84">SUM(C532:K532)</f>
        <v>1274</v>
      </c>
      <c r="M532" s="94">
        <v>600</v>
      </c>
      <c r="N532" s="83">
        <f>'[2]FGT NON-FIRM'!P543</f>
        <v>75</v>
      </c>
      <c r="O532" s="86">
        <v>240</v>
      </c>
      <c r="P532" s="86">
        <v>160</v>
      </c>
      <c r="Q532" s="86">
        <f t="shared" ref="Q532:Q595" si="85">695-R532-O532-P532</f>
        <v>195</v>
      </c>
      <c r="R532" s="86">
        <f t="shared" ref="R532:R595" si="86">200-J532</f>
        <v>100</v>
      </c>
      <c r="S532" s="83">
        <f t="shared" ref="S532:S595" si="87">SUM(O532:R532)</f>
        <v>695</v>
      </c>
      <c r="T532" s="83">
        <f>'[2]GULFSTREAM NON-FIRM'!H543</f>
        <v>50</v>
      </c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</row>
    <row r="533" spans="1:30" ht="15.75" hidden="1" x14ac:dyDescent="0.25">
      <c r="A533" s="32">
        <v>57161</v>
      </c>
      <c r="B533" s="95">
        <v>30</v>
      </c>
      <c r="C533" s="83">
        <f>'[2]FGT PRIMARY FIRM ZONE 1'!V544</f>
        <v>194.20499999999998</v>
      </c>
      <c r="D533" s="83">
        <f>'[2]FGT PRIMARY FIRM ZONE 2'!V544</f>
        <v>267.46600000000001</v>
      </c>
      <c r="E533" s="92">
        <f>'[2]FGT PRIMARY FIRM ZONE 3'!V544</f>
        <v>133.845</v>
      </c>
      <c r="F533" s="83">
        <f>'[2]FGT FIRM ZONE 3 MOBILE BAY-DES'!V544-40-25-60-100</f>
        <v>53.48399999999998</v>
      </c>
      <c r="G533" s="86">
        <v>40</v>
      </c>
      <c r="H533" s="83">
        <f t="shared" si="83"/>
        <v>185</v>
      </c>
      <c r="I533" s="83">
        <f t="shared" si="80"/>
        <v>0</v>
      </c>
      <c r="J533" s="86">
        <v>100</v>
      </c>
      <c r="K533" s="86">
        <v>300</v>
      </c>
      <c r="L533" s="83">
        <f t="shared" si="84"/>
        <v>1274</v>
      </c>
      <c r="M533" s="94">
        <v>600</v>
      </c>
      <c r="N533" s="83">
        <f>'[2]FGT NON-FIRM'!P544</f>
        <v>30</v>
      </c>
      <c r="O533" s="86">
        <v>240</v>
      </c>
      <c r="P533" s="86">
        <v>160</v>
      </c>
      <c r="Q533" s="86">
        <f t="shared" si="85"/>
        <v>195</v>
      </c>
      <c r="R533" s="86">
        <f t="shared" si="86"/>
        <v>100</v>
      </c>
      <c r="S533" s="83">
        <f t="shared" si="87"/>
        <v>695</v>
      </c>
      <c r="T533" s="83">
        <f>'[2]GULFSTREAM NON-FIRM'!H544</f>
        <v>50</v>
      </c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</row>
    <row r="534" spans="1:30" ht="15.75" hidden="1" x14ac:dyDescent="0.25">
      <c r="A534" s="32">
        <v>57192</v>
      </c>
      <c r="B534" s="95">
        <v>31</v>
      </c>
      <c r="C534" s="83">
        <f>'[2]FGT PRIMARY FIRM ZONE 1'!V545</f>
        <v>194.20499999999998</v>
      </c>
      <c r="D534" s="83">
        <f>'[2]FGT PRIMARY FIRM ZONE 2'!V545</f>
        <v>267.46600000000001</v>
      </c>
      <c r="E534" s="92">
        <f>'[2]FGT PRIMARY FIRM ZONE 3'!V545</f>
        <v>133.845</v>
      </c>
      <c r="F534" s="83">
        <f>'[2]FGT FIRM ZONE 3 MOBILE BAY-DES'!V545-40-25-60-100</f>
        <v>53.48399999999998</v>
      </c>
      <c r="G534" s="86">
        <v>40</v>
      </c>
      <c r="H534" s="83">
        <f t="shared" si="83"/>
        <v>185</v>
      </c>
      <c r="I534" s="83">
        <f t="shared" si="80"/>
        <v>0</v>
      </c>
      <c r="J534" s="86">
        <v>100</v>
      </c>
      <c r="K534" s="86">
        <v>300</v>
      </c>
      <c r="L534" s="83">
        <f t="shared" si="84"/>
        <v>1274</v>
      </c>
      <c r="M534" s="94">
        <v>600</v>
      </c>
      <c r="N534" s="83">
        <f>'[2]FGT NON-FIRM'!P545</f>
        <v>30</v>
      </c>
      <c r="O534" s="86">
        <v>240</v>
      </c>
      <c r="P534" s="86">
        <v>160</v>
      </c>
      <c r="Q534" s="86">
        <f t="shared" si="85"/>
        <v>195</v>
      </c>
      <c r="R534" s="86">
        <f t="shared" si="86"/>
        <v>100</v>
      </c>
      <c r="S534" s="83">
        <f t="shared" si="87"/>
        <v>695</v>
      </c>
      <c r="T534" s="83">
        <f>'[2]GULFSTREAM NON-FIRM'!H545</f>
        <v>0</v>
      </c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</row>
    <row r="535" spans="1:30" ht="15.75" hidden="1" x14ac:dyDescent="0.25">
      <c r="A535" s="32">
        <v>57223</v>
      </c>
      <c r="B535" s="95">
        <v>31</v>
      </c>
      <c r="C535" s="83">
        <f>'[2]FGT PRIMARY FIRM ZONE 1'!V546</f>
        <v>194.20499999999998</v>
      </c>
      <c r="D535" s="83">
        <f>'[2]FGT PRIMARY FIRM ZONE 2'!V546</f>
        <v>267.46600000000001</v>
      </c>
      <c r="E535" s="92">
        <f>'[2]FGT PRIMARY FIRM ZONE 3'!V546</f>
        <v>133.845</v>
      </c>
      <c r="F535" s="83">
        <f>'[2]FGT FIRM ZONE 3 MOBILE BAY-DES'!V546-40-25-60-100</f>
        <v>53.48399999999998</v>
      </c>
      <c r="G535" s="86">
        <v>40</v>
      </c>
      <c r="H535" s="83">
        <f t="shared" si="83"/>
        <v>185</v>
      </c>
      <c r="I535" s="83">
        <f t="shared" si="80"/>
        <v>0</v>
      </c>
      <c r="J535" s="86">
        <v>100</v>
      </c>
      <c r="K535" s="86">
        <v>300</v>
      </c>
      <c r="L535" s="83">
        <f t="shared" si="84"/>
        <v>1274</v>
      </c>
      <c r="M535" s="94">
        <v>600</v>
      </c>
      <c r="N535" s="83">
        <f>'[2]FGT NON-FIRM'!P546</f>
        <v>30</v>
      </c>
      <c r="O535" s="86">
        <v>240</v>
      </c>
      <c r="P535" s="86">
        <v>160</v>
      </c>
      <c r="Q535" s="86">
        <f t="shared" si="85"/>
        <v>195</v>
      </c>
      <c r="R535" s="86">
        <f t="shared" si="86"/>
        <v>100</v>
      </c>
      <c r="S535" s="83">
        <f t="shared" si="87"/>
        <v>695</v>
      </c>
      <c r="T535" s="83">
        <f>'[2]GULFSTREAM NON-FIRM'!H546</f>
        <v>0</v>
      </c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</row>
    <row r="536" spans="1:30" ht="15.75" hidden="1" x14ac:dyDescent="0.25">
      <c r="A536" s="32">
        <v>57253</v>
      </c>
      <c r="B536" s="95">
        <v>30</v>
      </c>
      <c r="C536" s="83">
        <f>'[2]FGT PRIMARY FIRM ZONE 1'!V547</f>
        <v>194.20499999999998</v>
      </c>
      <c r="D536" s="83">
        <f>'[2]FGT PRIMARY FIRM ZONE 2'!V547</f>
        <v>267.46600000000001</v>
      </c>
      <c r="E536" s="92">
        <f>'[2]FGT PRIMARY FIRM ZONE 3'!V547</f>
        <v>133.845</v>
      </c>
      <c r="F536" s="83">
        <f>'[2]FGT FIRM ZONE 3 MOBILE BAY-DES'!V547-40-25-60-100</f>
        <v>53.48399999999998</v>
      </c>
      <c r="G536" s="86">
        <v>40</v>
      </c>
      <c r="H536" s="83">
        <f t="shared" si="83"/>
        <v>185</v>
      </c>
      <c r="I536" s="83">
        <f t="shared" si="80"/>
        <v>0</v>
      </c>
      <c r="J536" s="86">
        <v>100</v>
      </c>
      <c r="K536" s="86">
        <v>300</v>
      </c>
      <c r="L536" s="83">
        <f t="shared" si="84"/>
        <v>1274</v>
      </c>
      <c r="M536" s="94">
        <v>600</v>
      </c>
      <c r="N536" s="83">
        <f>'[2]FGT NON-FIRM'!P547</f>
        <v>30</v>
      </c>
      <c r="O536" s="86">
        <v>240</v>
      </c>
      <c r="P536" s="86">
        <v>160</v>
      </c>
      <c r="Q536" s="86">
        <f t="shared" si="85"/>
        <v>195</v>
      </c>
      <c r="R536" s="86">
        <f t="shared" si="86"/>
        <v>100</v>
      </c>
      <c r="S536" s="83">
        <f t="shared" si="87"/>
        <v>695</v>
      </c>
      <c r="T536" s="83">
        <f>'[2]GULFSTREAM NON-FIRM'!H547</f>
        <v>0</v>
      </c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</row>
    <row r="537" spans="1:30" ht="15.75" hidden="1" x14ac:dyDescent="0.25">
      <c r="A537" s="32">
        <v>57284</v>
      </c>
      <c r="B537" s="95">
        <v>31</v>
      </c>
      <c r="C537" s="83">
        <f>'[2]FGT PRIMARY FIRM ZONE 1'!V548</f>
        <v>131.881</v>
      </c>
      <c r="D537" s="83">
        <f>'[2]FGT PRIMARY FIRM ZONE 2'!V548</f>
        <v>277.16699999999997</v>
      </c>
      <c r="E537" s="92">
        <f>'[2]FGT PRIMARY FIRM ZONE 3'!V548</f>
        <v>79.08</v>
      </c>
      <c r="F537" s="83">
        <f>'[2]FGT FIRM ZONE 3 MOBILE BAY-DES'!V548-40-25-60-100</f>
        <v>125.87199999999996</v>
      </c>
      <c r="G537" s="86">
        <v>40</v>
      </c>
      <c r="H537" s="83">
        <f t="shared" si="83"/>
        <v>185</v>
      </c>
      <c r="I537" s="83">
        <f t="shared" si="80"/>
        <v>0</v>
      </c>
      <c r="J537" s="86">
        <v>100</v>
      </c>
      <c r="K537" s="86">
        <v>300</v>
      </c>
      <c r="L537" s="83">
        <f t="shared" si="84"/>
        <v>1239</v>
      </c>
      <c r="M537" s="94">
        <v>600</v>
      </c>
      <c r="N537" s="83">
        <f>'[2]FGT NON-FIRM'!P548</f>
        <v>75</v>
      </c>
      <c r="O537" s="86">
        <v>240</v>
      </c>
      <c r="P537" s="86">
        <v>160</v>
      </c>
      <c r="Q537" s="86">
        <f t="shared" si="85"/>
        <v>195</v>
      </c>
      <c r="R537" s="86">
        <f t="shared" si="86"/>
        <v>100</v>
      </c>
      <c r="S537" s="83">
        <f t="shared" si="87"/>
        <v>695</v>
      </c>
      <c r="T537" s="83">
        <f>'[2]GULFSTREAM NON-FIRM'!H548</f>
        <v>0</v>
      </c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</row>
    <row r="538" spans="1:30" ht="15.75" hidden="1" x14ac:dyDescent="0.25">
      <c r="A538" s="32">
        <v>57314</v>
      </c>
      <c r="B538" s="95">
        <v>30</v>
      </c>
      <c r="C538" s="83">
        <f>'[2]FGT PRIMARY FIRM ZONE 1'!V549</f>
        <v>122.58</v>
      </c>
      <c r="D538" s="83">
        <f>'[2]FGT PRIMARY FIRM ZONE 2'!V549</f>
        <v>297.94100000000003</v>
      </c>
      <c r="E538" s="92">
        <f>'[2]FGT PRIMARY FIRM ZONE 3'!V549</f>
        <v>89.177000000000007</v>
      </c>
      <c r="F538" s="83">
        <f>'[2]FGT FIRM ZONE 3 MOBILE BAY-DES'!V549-40-60-100</f>
        <v>40.301999999999992</v>
      </c>
      <c r="G538" s="86">
        <v>40</v>
      </c>
      <c r="H538" s="83">
        <f>60+100</f>
        <v>160</v>
      </c>
      <c r="I538" s="83">
        <f t="shared" si="80"/>
        <v>0</v>
      </c>
      <c r="J538" s="86">
        <v>100</v>
      </c>
      <c r="K538" s="86">
        <v>300</v>
      </c>
      <c r="L538" s="83">
        <f t="shared" si="84"/>
        <v>1150</v>
      </c>
      <c r="M538" s="94">
        <v>600</v>
      </c>
      <c r="N538" s="83">
        <f>'[2]FGT NON-FIRM'!P549</f>
        <v>100</v>
      </c>
      <c r="O538" s="86">
        <v>240</v>
      </c>
      <c r="P538" s="86">
        <v>40</v>
      </c>
      <c r="Q538" s="86">
        <f t="shared" si="85"/>
        <v>315</v>
      </c>
      <c r="R538" s="86">
        <f t="shared" si="86"/>
        <v>100</v>
      </c>
      <c r="S538" s="83">
        <f t="shared" si="87"/>
        <v>695</v>
      </c>
      <c r="T538" s="83">
        <f>'[2]GULFSTREAM NON-FIRM'!H549</f>
        <v>50</v>
      </c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</row>
    <row r="539" spans="1:30" ht="15.75" hidden="1" x14ac:dyDescent="0.25">
      <c r="A539" s="32">
        <v>57345</v>
      </c>
      <c r="B539" s="95">
        <v>31</v>
      </c>
      <c r="C539" s="83">
        <f>'[2]FGT PRIMARY FIRM ZONE 1'!V550</f>
        <v>122.58</v>
      </c>
      <c r="D539" s="83">
        <f>'[2]FGT PRIMARY FIRM ZONE 2'!V550</f>
        <v>297.94100000000003</v>
      </c>
      <c r="E539" s="92">
        <f>'[2]FGT PRIMARY FIRM ZONE 3'!V550</f>
        <v>89.177000000000007</v>
      </c>
      <c r="F539" s="83">
        <f>'[2]FGT FIRM ZONE 3 MOBILE BAY-DES'!V550-40-60-100</f>
        <v>40.301999999999992</v>
      </c>
      <c r="G539" s="86">
        <v>40</v>
      </c>
      <c r="H539" s="83">
        <f>60+100</f>
        <v>160</v>
      </c>
      <c r="I539" s="83">
        <f t="shared" si="80"/>
        <v>0</v>
      </c>
      <c r="J539" s="86">
        <v>100</v>
      </c>
      <c r="K539" s="86">
        <v>300</v>
      </c>
      <c r="L539" s="83">
        <f t="shared" si="84"/>
        <v>1150</v>
      </c>
      <c r="M539" s="94">
        <v>600</v>
      </c>
      <c r="N539" s="83">
        <f>'[2]FGT NON-FIRM'!P550</f>
        <v>100</v>
      </c>
      <c r="O539" s="86">
        <v>240</v>
      </c>
      <c r="P539" s="86">
        <v>40</v>
      </c>
      <c r="Q539" s="86">
        <f t="shared" si="85"/>
        <v>315</v>
      </c>
      <c r="R539" s="86">
        <f t="shared" si="86"/>
        <v>100</v>
      </c>
      <c r="S539" s="83">
        <f t="shared" si="87"/>
        <v>695</v>
      </c>
      <c r="T539" s="83">
        <f>'[2]GULFSTREAM NON-FIRM'!H550</f>
        <v>50</v>
      </c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</row>
    <row r="540" spans="1:30" ht="15.75" hidden="1" x14ac:dyDescent="0.25">
      <c r="A540" s="32">
        <v>57376</v>
      </c>
      <c r="B540" s="95">
        <v>31</v>
      </c>
      <c r="C540" s="83">
        <f>'[2]FGT PRIMARY FIRM ZONE 1'!V551</f>
        <v>122.58</v>
      </c>
      <c r="D540" s="83">
        <f>'[2]FGT PRIMARY FIRM ZONE 2'!V551</f>
        <v>297.94100000000003</v>
      </c>
      <c r="E540" s="92">
        <f>'[2]FGT PRIMARY FIRM ZONE 3'!V551</f>
        <v>89.177000000000007</v>
      </c>
      <c r="F540" s="83">
        <f>'[2]FGT FIRM ZONE 3 MOBILE BAY-DES'!V551-40-60-100</f>
        <v>40.301999999999992</v>
      </c>
      <c r="G540" s="86">
        <v>40</v>
      </c>
      <c r="H540" s="83">
        <f>60+100</f>
        <v>160</v>
      </c>
      <c r="I540" s="83">
        <f t="shared" si="80"/>
        <v>0</v>
      </c>
      <c r="J540" s="86">
        <v>100</v>
      </c>
      <c r="K540" s="86">
        <v>300</v>
      </c>
      <c r="L540" s="83">
        <f t="shared" si="84"/>
        <v>1150</v>
      </c>
      <c r="M540" s="94">
        <v>600</v>
      </c>
      <c r="N540" s="83">
        <f>'[2]FGT NON-FIRM'!P551</f>
        <v>100</v>
      </c>
      <c r="O540" s="86">
        <v>240</v>
      </c>
      <c r="P540" s="86">
        <v>40</v>
      </c>
      <c r="Q540" s="86">
        <f t="shared" si="85"/>
        <v>315</v>
      </c>
      <c r="R540" s="86">
        <f t="shared" si="86"/>
        <v>100</v>
      </c>
      <c r="S540" s="83">
        <f t="shared" si="87"/>
        <v>695</v>
      </c>
      <c r="T540" s="83">
        <f>'[2]GULFSTREAM NON-FIRM'!H551</f>
        <v>50</v>
      </c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</row>
    <row r="541" spans="1:30" ht="15.75" hidden="1" x14ac:dyDescent="0.25">
      <c r="A541" s="32">
        <v>57404</v>
      </c>
      <c r="B541" s="95">
        <v>28</v>
      </c>
      <c r="C541" s="83">
        <f>'[2]FGT PRIMARY FIRM ZONE 1'!V552</f>
        <v>122.58</v>
      </c>
      <c r="D541" s="83">
        <f>'[2]FGT PRIMARY FIRM ZONE 2'!V552</f>
        <v>297.94100000000003</v>
      </c>
      <c r="E541" s="92">
        <f>'[2]FGT PRIMARY FIRM ZONE 3'!V552</f>
        <v>89.177000000000007</v>
      </c>
      <c r="F541" s="83">
        <f>'[2]FGT FIRM ZONE 3 MOBILE BAY-DES'!V552-40-60-100</f>
        <v>40.301999999999992</v>
      </c>
      <c r="G541" s="86">
        <v>40</v>
      </c>
      <c r="H541" s="83">
        <f>60+100</f>
        <v>160</v>
      </c>
      <c r="I541" s="83">
        <f t="shared" si="80"/>
        <v>0</v>
      </c>
      <c r="J541" s="86">
        <v>100</v>
      </c>
      <c r="K541" s="86">
        <v>300</v>
      </c>
      <c r="L541" s="83">
        <f t="shared" si="84"/>
        <v>1150</v>
      </c>
      <c r="M541" s="94">
        <v>600</v>
      </c>
      <c r="N541" s="83">
        <f>'[2]FGT NON-FIRM'!P552</f>
        <v>100</v>
      </c>
      <c r="O541" s="86">
        <v>240</v>
      </c>
      <c r="P541" s="86">
        <v>40</v>
      </c>
      <c r="Q541" s="86">
        <f t="shared" si="85"/>
        <v>315</v>
      </c>
      <c r="R541" s="86">
        <f t="shared" si="86"/>
        <v>100</v>
      </c>
      <c r="S541" s="83">
        <f t="shared" si="87"/>
        <v>695</v>
      </c>
      <c r="T541" s="83">
        <f>'[2]GULFSTREAM NON-FIRM'!H552</f>
        <v>50</v>
      </c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</row>
    <row r="542" spans="1:30" ht="15.75" hidden="1" x14ac:dyDescent="0.25">
      <c r="A542" s="32">
        <v>57435</v>
      </c>
      <c r="B542" s="95">
        <v>31</v>
      </c>
      <c r="C542" s="83">
        <f>'[2]FGT PRIMARY FIRM ZONE 1'!V553</f>
        <v>122.58</v>
      </c>
      <c r="D542" s="83">
        <f>'[2]FGT PRIMARY FIRM ZONE 2'!V553</f>
        <v>297.94100000000003</v>
      </c>
      <c r="E542" s="92">
        <f>'[2]FGT PRIMARY FIRM ZONE 3'!V553</f>
        <v>89.177000000000007</v>
      </c>
      <c r="F542" s="83">
        <f>'[2]FGT FIRM ZONE 3 MOBILE BAY-DES'!V553-40-60-100</f>
        <v>40.301999999999992</v>
      </c>
      <c r="G542" s="86">
        <v>40</v>
      </c>
      <c r="H542" s="83">
        <f>60+100</f>
        <v>160</v>
      </c>
      <c r="I542" s="83">
        <f t="shared" si="80"/>
        <v>0</v>
      </c>
      <c r="J542" s="86">
        <v>100</v>
      </c>
      <c r="K542" s="86">
        <v>300</v>
      </c>
      <c r="L542" s="83">
        <f t="shared" si="84"/>
        <v>1150</v>
      </c>
      <c r="M542" s="94">
        <v>600</v>
      </c>
      <c r="N542" s="83">
        <f>'[2]FGT NON-FIRM'!P553</f>
        <v>100</v>
      </c>
      <c r="O542" s="86">
        <v>240</v>
      </c>
      <c r="P542" s="86">
        <v>40</v>
      </c>
      <c r="Q542" s="86">
        <f t="shared" si="85"/>
        <v>315</v>
      </c>
      <c r="R542" s="86">
        <f t="shared" si="86"/>
        <v>100</v>
      </c>
      <c r="S542" s="83">
        <f t="shared" si="87"/>
        <v>695</v>
      </c>
      <c r="T542" s="83">
        <f>'[2]GULFSTREAM NON-FIRM'!H553</f>
        <v>50</v>
      </c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</row>
    <row r="543" spans="1:30" ht="15.75" hidden="1" x14ac:dyDescent="0.25">
      <c r="A543" s="32">
        <v>57465</v>
      </c>
      <c r="B543" s="95">
        <v>30</v>
      </c>
      <c r="C543" s="83">
        <f>'[2]FGT PRIMARY FIRM ZONE 1'!V554</f>
        <v>141.29300000000001</v>
      </c>
      <c r="D543" s="83">
        <f>'[2]FGT PRIMARY FIRM ZONE 2'!V554</f>
        <v>267.99299999999999</v>
      </c>
      <c r="E543" s="92">
        <f>'[2]FGT PRIMARY FIRM ZONE 3'!V554</f>
        <v>115.01600000000001</v>
      </c>
      <c r="F543" s="83">
        <f>'[2]FGT FIRM ZONE 3 MOBILE BAY-DES'!V554-40-25-60-100</f>
        <v>89.698000000000036</v>
      </c>
      <c r="G543" s="86">
        <v>40</v>
      </c>
      <c r="H543" s="83">
        <f t="shared" ref="H543:H549" si="88">25+60+100</f>
        <v>185</v>
      </c>
      <c r="I543" s="83">
        <f t="shared" si="80"/>
        <v>0</v>
      </c>
      <c r="J543" s="86">
        <v>100</v>
      </c>
      <c r="K543" s="86">
        <v>300</v>
      </c>
      <c r="L543" s="83">
        <f t="shared" si="84"/>
        <v>1239</v>
      </c>
      <c r="M543" s="94">
        <v>600</v>
      </c>
      <c r="N543" s="83">
        <f>'[2]FGT NON-FIRM'!P554</f>
        <v>100</v>
      </c>
      <c r="O543" s="86">
        <v>240</v>
      </c>
      <c r="P543" s="86">
        <v>160</v>
      </c>
      <c r="Q543" s="86">
        <f t="shared" si="85"/>
        <v>195</v>
      </c>
      <c r="R543" s="86">
        <f t="shared" si="86"/>
        <v>100</v>
      </c>
      <c r="S543" s="83">
        <f t="shared" si="87"/>
        <v>695</v>
      </c>
      <c r="T543" s="83">
        <f>'[2]GULFSTREAM NON-FIRM'!H554</f>
        <v>50</v>
      </c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</row>
    <row r="544" spans="1:30" ht="15.75" hidden="1" x14ac:dyDescent="0.25">
      <c r="A544" s="32">
        <v>57496</v>
      </c>
      <c r="B544" s="95">
        <v>31</v>
      </c>
      <c r="C544" s="83">
        <f>'[2]FGT PRIMARY FIRM ZONE 1'!V555</f>
        <v>194.20499999999998</v>
      </c>
      <c r="D544" s="83">
        <f>'[2]FGT PRIMARY FIRM ZONE 2'!V555</f>
        <v>267.46600000000001</v>
      </c>
      <c r="E544" s="92">
        <f>'[2]FGT PRIMARY FIRM ZONE 3'!V555</f>
        <v>133.845</v>
      </c>
      <c r="F544" s="83">
        <f>'[2]FGT FIRM ZONE 3 MOBILE BAY-DES'!V555-40-25-60-100</f>
        <v>53.48399999999998</v>
      </c>
      <c r="G544" s="86">
        <v>40</v>
      </c>
      <c r="H544" s="83">
        <f t="shared" si="88"/>
        <v>185</v>
      </c>
      <c r="I544" s="83">
        <f t="shared" si="80"/>
        <v>0</v>
      </c>
      <c r="J544" s="86">
        <v>100</v>
      </c>
      <c r="K544" s="86">
        <v>300</v>
      </c>
      <c r="L544" s="83">
        <f t="shared" si="84"/>
        <v>1274</v>
      </c>
      <c r="M544" s="94">
        <v>600</v>
      </c>
      <c r="N544" s="83">
        <f>'[2]FGT NON-FIRM'!P555</f>
        <v>75</v>
      </c>
      <c r="O544" s="86">
        <v>240</v>
      </c>
      <c r="P544" s="86">
        <v>160</v>
      </c>
      <c r="Q544" s="86">
        <f t="shared" si="85"/>
        <v>195</v>
      </c>
      <c r="R544" s="86">
        <f t="shared" si="86"/>
        <v>100</v>
      </c>
      <c r="S544" s="83">
        <f t="shared" si="87"/>
        <v>695</v>
      </c>
      <c r="T544" s="83">
        <f>'[2]GULFSTREAM NON-FIRM'!H555</f>
        <v>50</v>
      </c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</row>
    <row r="545" spans="1:30" ht="15.75" hidden="1" x14ac:dyDescent="0.25">
      <c r="A545" s="32">
        <v>57526</v>
      </c>
      <c r="B545" s="95">
        <v>30</v>
      </c>
      <c r="C545" s="83">
        <f>'[2]FGT PRIMARY FIRM ZONE 1'!V556</f>
        <v>194.20499999999998</v>
      </c>
      <c r="D545" s="83">
        <f>'[2]FGT PRIMARY FIRM ZONE 2'!V556</f>
        <v>267.46600000000001</v>
      </c>
      <c r="E545" s="92">
        <f>'[2]FGT PRIMARY FIRM ZONE 3'!V556</f>
        <v>133.845</v>
      </c>
      <c r="F545" s="83">
        <f>'[2]FGT FIRM ZONE 3 MOBILE BAY-DES'!V556-40-25-60-100</f>
        <v>53.48399999999998</v>
      </c>
      <c r="G545" s="86">
        <v>40</v>
      </c>
      <c r="H545" s="83">
        <f t="shared" si="88"/>
        <v>185</v>
      </c>
      <c r="I545" s="83">
        <f t="shared" si="80"/>
        <v>0</v>
      </c>
      <c r="J545" s="86">
        <v>100</v>
      </c>
      <c r="K545" s="86">
        <v>300</v>
      </c>
      <c r="L545" s="83">
        <f t="shared" si="84"/>
        <v>1274</v>
      </c>
      <c r="M545" s="94">
        <v>600</v>
      </c>
      <c r="N545" s="83">
        <f>'[2]FGT NON-FIRM'!P556</f>
        <v>30</v>
      </c>
      <c r="O545" s="86">
        <v>240</v>
      </c>
      <c r="P545" s="86">
        <v>160</v>
      </c>
      <c r="Q545" s="86">
        <f t="shared" si="85"/>
        <v>195</v>
      </c>
      <c r="R545" s="86">
        <f t="shared" si="86"/>
        <v>100</v>
      </c>
      <c r="S545" s="83">
        <f t="shared" si="87"/>
        <v>695</v>
      </c>
      <c r="T545" s="83">
        <f>'[2]GULFSTREAM NON-FIRM'!H556</f>
        <v>50</v>
      </c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</row>
    <row r="546" spans="1:30" ht="15.75" hidden="1" x14ac:dyDescent="0.25">
      <c r="A546" s="32">
        <v>57557</v>
      </c>
      <c r="B546" s="95">
        <v>31</v>
      </c>
      <c r="C546" s="83">
        <f>'[2]FGT PRIMARY FIRM ZONE 1'!V557</f>
        <v>194.20499999999998</v>
      </c>
      <c r="D546" s="83">
        <f>'[2]FGT PRIMARY FIRM ZONE 2'!V557</f>
        <v>267.46600000000001</v>
      </c>
      <c r="E546" s="92">
        <f>'[2]FGT PRIMARY FIRM ZONE 3'!V557</f>
        <v>133.845</v>
      </c>
      <c r="F546" s="83">
        <f>'[2]FGT FIRM ZONE 3 MOBILE BAY-DES'!V557-40-25-60-100</f>
        <v>53.48399999999998</v>
      </c>
      <c r="G546" s="86">
        <v>40</v>
      </c>
      <c r="H546" s="83">
        <f t="shared" si="88"/>
        <v>185</v>
      </c>
      <c r="I546" s="83">
        <f t="shared" si="80"/>
        <v>0</v>
      </c>
      <c r="J546" s="86">
        <v>100</v>
      </c>
      <c r="K546" s="86">
        <v>300</v>
      </c>
      <c r="L546" s="83">
        <f t="shared" si="84"/>
        <v>1274</v>
      </c>
      <c r="M546" s="94">
        <v>600</v>
      </c>
      <c r="N546" s="83">
        <f>'[2]FGT NON-FIRM'!P557</f>
        <v>30</v>
      </c>
      <c r="O546" s="86">
        <v>240</v>
      </c>
      <c r="P546" s="86">
        <v>160</v>
      </c>
      <c r="Q546" s="86">
        <f t="shared" si="85"/>
        <v>195</v>
      </c>
      <c r="R546" s="86">
        <f t="shared" si="86"/>
        <v>100</v>
      </c>
      <c r="S546" s="83">
        <f t="shared" si="87"/>
        <v>695</v>
      </c>
      <c r="T546" s="83">
        <f>'[2]GULFSTREAM NON-FIRM'!H557</f>
        <v>0</v>
      </c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</row>
    <row r="547" spans="1:30" ht="15.75" hidden="1" x14ac:dyDescent="0.25">
      <c r="A547" s="32">
        <v>57588</v>
      </c>
      <c r="B547" s="95">
        <v>31</v>
      </c>
      <c r="C547" s="83">
        <f>'[2]FGT PRIMARY FIRM ZONE 1'!V558</f>
        <v>194.20499999999998</v>
      </c>
      <c r="D547" s="83">
        <f>'[2]FGT PRIMARY FIRM ZONE 2'!V558</f>
        <v>267.46600000000001</v>
      </c>
      <c r="E547" s="92">
        <f>'[2]FGT PRIMARY FIRM ZONE 3'!V558</f>
        <v>133.845</v>
      </c>
      <c r="F547" s="83">
        <f>'[2]FGT FIRM ZONE 3 MOBILE BAY-DES'!V558-40-25-60-100</f>
        <v>53.48399999999998</v>
      </c>
      <c r="G547" s="86">
        <v>40</v>
      </c>
      <c r="H547" s="83">
        <f t="shared" si="88"/>
        <v>185</v>
      </c>
      <c r="I547" s="83">
        <f t="shared" si="80"/>
        <v>0</v>
      </c>
      <c r="J547" s="86">
        <v>100</v>
      </c>
      <c r="K547" s="86">
        <v>300</v>
      </c>
      <c r="L547" s="83">
        <f t="shared" si="84"/>
        <v>1274</v>
      </c>
      <c r="M547" s="94">
        <v>600</v>
      </c>
      <c r="N547" s="83">
        <f>'[2]FGT NON-FIRM'!P558</f>
        <v>30</v>
      </c>
      <c r="O547" s="86">
        <v>240</v>
      </c>
      <c r="P547" s="86">
        <v>160</v>
      </c>
      <c r="Q547" s="86">
        <f t="shared" si="85"/>
        <v>195</v>
      </c>
      <c r="R547" s="86">
        <f t="shared" si="86"/>
        <v>100</v>
      </c>
      <c r="S547" s="83">
        <f t="shared" si="87"/>
        <v>695</v>
      </c>
      <c r="T547" s="83">
        <f>'[2]GULFSTREAM NON-FIRM'!H558</f>
        <v>0</v>
      </c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</row>
    <row r="548" spans="1:30" ht="15.75" hidden="1" x14ac:dyDescent="0.25">
      <c r="A548" s="32">
        <v>57618</v>
      </c>
      <c r="B548" s="95">
        <v>30</v>
      </c>
      <c r="C548" s="83">
        <f>'[2]FGT PRIMARY FIRM ZONE 1'!V559</f>
        <v>194.20499999999998</v>
      </c>
      <c r="D548" s="83">
        <f>'[2]FGT PRIMARY FIRM ZONE 2'!V559</f>
        <v>267.46600000000001</v>
      </c>
      <c r="E548" s="92">
        <f>'[2]FGT PRIMARY FIRM ZONE 3'!V559</f>
        <v>133.845</v>
      </c>
      <c r="F548" s="83">
        <f>'[2]FGT FIRM ZONE 3 MOBILE BAY-DES'!V559-40-25-60-100</f>
        <v>53.48399999999998</v>
      </c>
      <c r="G548" s="86">
        <v>40</v>
      </c>
      <c r="H548" s="83">
        <f t="shared" si="88"/>
        <v>185</v>
      </c>
      <c r="I548" s="83">
        <f t="shared" si="80"/>
        <v>0</v>
      </c>
      <c r="J548" s="86">
        <v>100</v>
      </c>
      <c r="K548" s="86">
        <v>300</v>
      </c>
      <c r="L548" s="83">
        <f t="shared" si="84"/>
        <v>1274</v>
      </c>
      <c r="M548" s="94">
        <v>600</v>
      </c>
      <c r="N548" s="83">
        <f>'[2]FGT NON-FIRM'!P559</f>
        <v>30</v>
      </c>
      <c r="O548" s="86">
        <v>240</v>
      </c>
      <c r="P548" s="86">
        <v>160</v>
      </c>
      <c r="Q548" s="86">
        <f t="shared" si="85"/>
        <v>195</v>
      </c>
      <c r="R548" s="86">
        <f t="shared" si="86"/>
        <v>100</v>
      </c>
      <c r="S548" s="83">
        <f t="shared" si="87"/>
        <v>695</v>
      </c>
      <c r="T548" s="83">
        <f>'[2]GULFSTREAM NON-FIRM'!H559</f>
        <v>0</v>
      </c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</row>
    <row r="549" spans="1:30" ht="15.75" hidden="1" x14ac:dyDescent="0.25">
      <c r="A549" s="32">
        <v>57649</v>
      </c>
      <c r="B549" s="95">
        <v>31</v>
      </c>
      <c r="C549" s="83">
        <f>'[2]FGT PRIMARY FIRM ZONE 1'!V560</f>
        <v>131.881</v>
      </c>
      <c r="D549" s="83">
        <f>'[2]FGT PRIMARY FIRM ZONE 2'!V560</f>
        <v>277.16699999999997</v>
      </c>
      <c r="E549" s="92">
        <f>'[2]FGT PRIMARY FIRM ZONE 3'!V560</f>
        <v>79.08</v>
      </c>
      <c r="F549" s="83">
        <f>'[2]FGT FIRM ZONE 3 MOBILE BAY-DES'!V560-40-25-60-100</f>
        <v>125.87199999999996</v>
      </c>
      <c r="G549" s="86">
        <v>40</v>
      </c>
      <c r="H549" s="83">
        <f t="shared" si="88"/>
        <v>185</v>
      </c>
      <c r="I549" s="83">
        <f t="shared" si="80"/>
        <v>0</v>
      </c>
      <c r="J549" s="86">
        <v>100</v>
      </c>
      <c r="K549" s="86">
        <v>300</v>
      </c>
      <c r="L549" s="83">
        <f t="shared" si="84"/>
        <v>1239</v>
      </c>
      <c r="M549" s="94">
        <v>600</v>
      </c>
      <c r="N549" s="83">
        <f>'[2]FGT NON-FIRM'!P560</f>
        <v>75</v>
      </c>
      <c r="O549" s="86">
        <v>240</v>
      </c>
      <c r="P549" s="86">
        <v>160</v>
      </c>
      <c r="Q549" s="86">
        <f t="shared" si="85"/>
        <v>195</v>
      </c>
      <c r="R549" s="86">
        <f t="shared" si="86"/>
        <v>100</v>
      </c>
      <c r="S549" s="83">
        <f t="shared" si="87"/>
        <v>695</v>
      </c>
      <c r="T549" s="83">
        <f>'[2]GULFSTREAM NON-FIRM'!H560</f>
        <v>0</v>
      </c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</row>
    <row r="550" spans="1:30" ht="15.75" hidden="1" x14ac:dyDescent="0.25">
      <c r="A550" s="32">
        <v>57679</v>
      </c>
      <c r="B550" s="95">
        <v>30</v>
      </c>
      <c r="C550" s="83">
        <f>'[2]FGT PRIMARY FIRM ZONE 1'!V561</f>
        <v>122.58</v>
      </c>
      <c r="D550" s="83">
        <f>'[2]FGT PRIMARY FIRM ZONE 2'!V561</f>
        <v>297.94100000000003</v>
      </c>
      <c r="E550" s="92">
        <f>'[2]FGT PRIMARY FIRM ZONE 3'!V561</f>
        <v>89.177000000000007</v>
      </c>
      <c r="F550" s="83">
        <f>'[2]FGT FIRM ZONE 3 MOBILE BAY-DES'!V561-40-60-100</f>
        <v>40.301999999999992</v>
      </c>
      <c r="G550" s="86">
        <v>40</v>
      </c>
      <c r="H550" s="83">
        <f>60+100</f>
        <v>160</v>
      </c>
      <c r="I550" s="83">
        <f t="shared" si="80"/>
        <v>0</v>
      </c>
      <c r="J550" s="86">
        <v>100</v>
      </c>
      <c r="K550" s="86">
        <v>300</v>
      </c>
      <c r="L550" s="83">
        <f t="shared" si="84"/>
        <v>1150</v>
      </c>
      <c r="M550" s="94">
        <v>600</v>
      </c>
      <c r="N550" s="83">
        <f>'[2]FGT NON-FIRM'!P561</f>
        <v>100</v>
      </c>
      <c r="O550" s="86">
        <v>240</v>
      </c>
      <c r="P550" s="86">
        <v>40</v>
      </c>
      <c r="Q550" s="86">
        <f t="shared" si="85"/>
        <v>315</v>
      </c>
      <c r="R550" s="86">
        <f t="shared" si="86"/>
        <v>100</v>
      </c>
      <c r="S550" s="83">
        <f t="shared" si="87"/>
        <v>695</v>
      </c>
      <c r="T550" s="83">
        <f>'[2]GULFSTREAM NON-FIRM'!H561</f>
        <v>50</v>
      </c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</row>
    <row r="551" spans="1:30" ht="15.75" hidden="1" x14ac:dyDescent="0.25">
      <c r="A551" s="32">
        <v>57710</v>
      </c>
      <c r="B551" s="95">
        <v>31</v>
      </c>
      <c r="C551" s="83">
        <f>'[2]FGT PRIMARY FIRM ZONE 1'!V562</f>
        <v>122.58</v>
      </c>
      <c r="D551" s="83">
        <f>'[2]FGT PRIMARY FIRM ZONE 2'!V562</f>
        <v>297.94100000000003</v>
      </c>
      <c r="E551" s="92">
        <f>'[2]FGT PRIMARY FIRM ZONE 3'!V562</f>
        <v>89.177000000000007</v>
      </c>
      <c r="F551" s="83">
        <f>'[2]FGT FIRM ZONE 3 MOBILE BAY-DES'!V562-40-60-100</f>
        <v>40.301999999999992</v>
      </c>
      <c r="G551" s="86">
        <v>40</v>
      </c>
      <c r="H551" s="83">
        <f>60+100</f>
        <v>160</v>
      </c>
      <c r="I551" s="83">
        <f t="shared" si="80"/>
        <v>0</v>
      </c>
      <c r="J551" s="86">
        <v>100</v>
      </c>
      <c r="K551" s="86">
        <v>300</v>
      </c>
      <c r="L551" s="83">
        <f t="shared" si="84"/>
        <v>1150</v>
      </c>
      <c r="M551" s="94">
        <v>600</v>
      </c>
      <c r="N551" s="83">
        <f>'[2]FGT NON-FIRM'!P562</f>
        <v>100</v>
      </c>
      <c r="O551" s="86">
        <v>240</v>
      </c>
      <c r="P551" s="86">
        <v>40</v>
      </c>
      <c r="Q551" s="86">
        <f t="shared" si="85"/>
        <v>315</v>
      </c>
      <c r="R551" s="86">
        <f t="shared" si="86"/>
        <v>100</v>
      </c>
      <c r="S551" s="83">
        <f t="shared" si="87"/>
        <v>695</v>
      </c>
      <c r="T551" s="83">
        <f>'[2]GULFSTREAM NON-FIRM'!H562</f>
        <v>50</v>
      </c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</row>
    <row r="552" spans="1:30" ht="15.75" hidden="1" x14ac:dyDescent="0.25">
      <c r="A552" s="32">
        <v>57741</v>
      </c>
      <c r="B552" s="95">
        <v>31</v>
      </c>
      <c r="C552" s="83">
        <f>'[2]FGT PRIMARY FIRM ZONE 1'!V563</f>
        <v>122.58</v>
      </c>
      <c r="D552" s="83">
        <f>'[2]FGT PRIMARY FIRM ZONE 2'!V563</f>
        <v>297.94100000000003</v>
      </c>
      <c r="E552" s="92">
        <f>'[2]FGT PRIMARY FIRM ZONE 3'!V563</f>
        <v>89.177000000000007</v>
      </c>
      <c r="F552" s="83">
        <f>'[2]FGT FIRM ZONE 3 MOBILE BAY-DES'!V563-40-60-100</f>
        <v>40.301999999999992</v>
      </c>
      <c r="G552" s="86">
        <v>40</v>
      </c>
      <c r="H552" s="83">
        <f>60+100</f>
        <v>160</v>
      </c>
      <c r="I552" s="83">
        <f t="shared" si="80"/>
        <v>0</v>
      </c>
      <c r="J552" s="86">
        <v>100</v>
      </c>
      <c r="K552" s="86">
        <v>300</v>
      </c>
      <c r="L552" s="83">
        <f t="shared" si="84"/>
        <v>1150</v>
      </c>
      <c r="M552" s="94">
        <v>600</v>
      </c>
      <c r="N552" s="83">
        <f>'[2]FGT NON-FIRM'!P563</f>
        <v>100</v>
      </c>
      <c r="O552" s="86">
        <v>240</v>
      </c>
      <c r="P552" s="86">
        <v>40</v>
      </c>
      <c r="Q552" s="86">
        <f t="shared" si="85"/>
        <v>315</v>
      </c>
      <c r="R552" s="86">
        <f t="shared" si="86"/>
        <v>100</v>
      </c>
      <c r="S552" s="83">
        <f t="shared" si="87"/>
        <v>695</v>
      </c>
      <c r="T552" s="83">
        <f>'[2]GULFSTREAM NON-FIRM'!H563</f>
        <v>50</v>
      </c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</row>
    <row r="553" spans="1:30" ht="15.75" hidden="1" x14ac:dyDescent="0.25">
      <c r="A553" s="32">
        <v>57769</v>
      </c>
      <c r="B553" s="95">
        <v>28</v>
      </c>
      <c r="C553" s="83">
        <f>'[2]FGT PRIMARY FIRM ZONE 1'!V564</f>
        <v>122.58</v>
      </c>
      <c r="D553" s="83">
        <f>'[2]FGT PRIMARY FIRM ZONE 2'!V564</f>
        <v>297.94100000000003</v>
      </c>
      <c r="E553" s="92">
        <f>'[2]FGT PRIMARY FIRM ZONE 3'!V564</f>
        <v>89.177000000000007</v>
      </c>
      <c r="F553" s="83">
        <f>'[2]FGT FIRM ZONE 3 MOBILE BAY-DES'!V564-40-60-100</f>
        <v>40.301999999999992</v>
      </c>
      <c r="G553" s="86">
        <v>40</v>
      </c>
      <c r="H553" s="83">
        <f>60+100</f>
        <v>160</v>
      </c>
      <c r="I553" s="83">
        <f t="shared" si="80"/>
        <v>0</v>
      </c>
      <c r="J553" s="86">
        <v>100</v>
      </c>
      <c r="K553" s="86">
        <v>300</v>
      </c>
      <c r="L553" s="83">
        <f t="shared" si="84"/>
        <v>1150</v>
      </c>
      <c r="M553" s="94">
        <v>600</v>
      </c>
      <c r="N553" s="83">
        <f>'[2]FGT NON-FIRM'!P564</f>
        <v>100</v>
      </c>
      <c r="O553" s="86">
        <v>240</v>
      </c>
      <c r="P553" s="86">
        <v>40</v>
      </c>
      <c r="Q553" s="86">
        <f t="shared" si="85"/>
        <v>315</v>
      </c>
      <c r="R553" s="86">
        <f t="shared" si="86"/>
        <v>100</v>
      </c>
      <c r="S553" s="83">
        <f t="shared" si="87"/>
        <v>695</v>
      </c>
      <c r="T553" s="83">
        <f>'[2]GULFSTREAM NON-FIRM'!H564</f>
        <v>50</v>
      </c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</row>
    <row r="554" spans="1:30" ht="15.75" hidden="1" x14ac:dyDescent="0.25">
      <c r="A554" s="32">
        <v>57800</v>
      </c>
      <c r="B554" s="95">
        <v>31</v>
      </c>
      <c r="C554" s="83">
        <f>'[2]FGT PRIMARY FIRM ZONE 1'!V565</f>
        <v>122.58</v>
      </c>
      <c r="D554" s="83">
        <f>'[2]FGT PRIMARY FIRM ZONE 2'!V565</f>
        <v>297.94100000000003</v>
      </c>
      <c r="E554" s="92">
        <f>'[2]FGT PRIMARY FIRM ZONE 3'!V565</f>
        <v>89.177000000000007</v>
      </c>
      <c r="F554" s="83">
        <f>'[2]FGT FIRM ZONE 3 MOBILE BAY-DES'!V565-40-60-100</f>
        <v>40.301999999999992</v>
      </c>
      <c r="G554" s="86">
        <v>40</v>
      </c>
      <c r="H554" s="83">
        <f>60+100</f>
        <v>160</v>
      </c>
      <c r="I554" s="83">
        <f t="shared" si="80"/>
        <v>0</v>
      </c>
      <c r="J554" s="86">
        <v>100</v>
      </c>
      <c r="K554" s="86">
        <v>300</v>
      </c>
      <c r="L554" s="83">
        <f t="shared" si="84"/>
        <v>1150</v>
      </c>
      <c r="M554" s="94">
        <v>600</v>
      </c>
      <c r="N554" s="83">
        <f>'[2]FGT NON-FIRM'!P565</f>
        <v>100</v>
      </c>
      <c r="O554" s="86">
        <v>240</v>
      </c>
      <c r="P554" s="86">
        <v>40</v>
      </c>
      <c r="Q554" s="86">
        <f t="shared" si="85"/>
        <v>315</v>
      </c>
      <c r="R554" s="86">
        <f t="shared" si="86"/>
        <v>100</v>
      </c>
      <c r="S554" s="83">
        <f t="shared" si="87"/>
        <v>695</v>
      </c>
      <c r="T554" s="83">
        <f>'[2]GULFSTREAM NON-FIRM'!H565</f>
        <v>50</v>
      </c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</row>
    <row r="555" spans="1:30" ht="15.75" hidden="1" x14ac:dyDescent="0.25">
      <c r="A555" s="32">
        <v>57830</v>
      </c>
      <c r="B555" s="95">
        <v>30</v>
      </c>
      <c r="C555" s="83">
        <f>'[2]FGT PRIMARY FIRM ZONE 1'!V566</f>
        <v>141.29300000000001</v>
      </c>
      <c r="D555" s="83">
        <f>'[2]FGT PRIMARY FIRM ZONE 2'!V566</f>
        <v>267.99299999999999</v>
      </c>
      <c r="E555" s="92">
        <f>'[2]FGT PRIMARY FIRM ZONE 3'!V566</f>
        <v>115.01600000000001</v>
      </c>
      <c r="F555" s="83">
        <f>'[2]FGT FIRM ZONE 3 MOBILE BAY-DES'!V566-40-25-60-100</f>
        <v>89.698000000000036</v>
      </c>
      <c r="G555" s="86">
        <v>40</v>
      </c>
      <c r="H555" s="83">
        <f t="shared" ref="H555:H561" si="89">25+60+100</f>
        <v>185</v>
      </c>
      <c r="I555" s="83">
        <f t="shared" si="80"/>
        <v>0</v>
      </c>
      <c r="J555" s="86">
        <v>100</v>
      </c>
      <c r="K555" s="86">
        <v>300</v>
      </c>
      <c r="L555" s="83">
        <f t="shared" si="84"/>
        <v>1239</v>
      </c>
      <c r="M555" s="94">
        <v>600</v>
      </c>
      <c r="N555" s="83">
        <f>'[2]FGT NON-FIRM'!P566</f>
        <v>100</v>
      </c>
      <c r="O555" s="86">
        <v>240</v>
      </c>
      <c r="P555" s="86">
        <v>160</v>
      </c>
      <c r="Q555" s="86">
        <f t="shared" si="85"/>
        <v>195</v>
      </c>
      <c r="R555" s="86">
        <f t="shared" si="86"/>
        <v>100</v>
      </c>
      <c r="S555" s="83">
        <f t="shared" si="87"/>
        <v>695</v>
      </c>
      <c r="T555" s="83">
        <f>'[2]GULFSTREAM NON-FIRM'!H566</f>
        <v>50</v>
      </c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</row>
    <row r="556" spans="1:30" ht="15.75" hidden="1" x14ac:dyDescent="0.25">
      <c r="A556" s="32">
        <v>57861</v>
      </c>
      <c r="B556" s="95">
        <v>31</v>
      </c>
      <c r="C556" s="83">
        <f>'[2]FGT PRIMARY FIRM ZONE 1'!V567</f>
        <v>194.20499999999998</v>
      </c>
      <c r="D556" s="83">
        <f>'[2]FGT PRIMARY FIRM ZONE 2'!V567</f>
        <v>267.46600000000001</v>
      </c>
      <c r="E556" s="92">
        <f>'[2]FGT PRIMARY FIRM ZONE 3'!V567</f>
        <v>133.845</v>
      </c>
      <c r="F556" s="83">
        <f>'[2]FGT FIRM ZONE 3 MOBILE BAY-DES'!V567-40-25-60-100</f>
        <v>53.48399999999998</v>
      </c>
      <c r="G556" s="86">
        <v>40</v>
      </c>
      <c r="H556" s="83">
        <f t="shared" si="89"/>
        <v>185</v>
      </c>
      <c r="I556" s="83">
        <f t="shared" si="80"/>
        <v>0</v>
      </c>
      <c r="J556" s="86">
        <v>100</v>
      </c>
      <c r="K556" s="86">
        <v>300</v>
      </c>
      <c r="L556" s="83">
        <f t="shared" si="84"/>
        <v>1274</v>
      </c>
      <c r="M556" s="94">
        <v>600</v>
      </c>
      <c r="N556" s="83">
        <f>'[2]FGT NON-FIRM'!P567</f>
        <v>75</v>
      </c>
      <c r="O556" s="86">
        <v>240</v>
      </c>
      <c r="P556" s="86">
        <v>160</v>
      </c>
      <c r="Q556" s="86">
        <f t="shared" si="85"/>
        <v>195</v>
      </c>
      <c r="R556" s="86">
        <f t="shared" si="86"/>
        <v>100</v>
      </c>
      <c r="S556" s="83">
        <f t="shared" si="87"/>
        <v>695</v>
      </c>
      <c r="T556" s="83">
        <f>'[2]GULFSTREAM NON-FIRM'!H567</f>
        <v>50</v>
      </c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</row>
    <row r="557" spans="1:30" ht="15.75" hidden="1" x14ac:dyDescent="0.25">
      <c r="A557" s="32">
        <v>57891</v>
      </c>
      <c r="B557" s="95">
        <v>30</v>
      </c>
      <c r="C557" s="83">
        <f>'[2]FGT PRIMARY FIRM ZONE 1'!V568</f>
        <v>194.20499999999998</v>
      </c>
      <c r="D557" s="83">
        <f>'[2]FGT PRIMARY FIRM ZONE 2'!V568</f>
        <v>267.46600000000001</v>
      </c>
      <c r="E557" s="92">
        <f>'[2]FGT PRIMARY FIRM ZONE 3'!V568</f>
        <v>133.845</v>
      </c>
      <c r="F557" s="83">
        <f>'[2]FGT FIRM ZONE 3 MOBILE BAY-DES'!V568-40-25-60-100</f>
        <v>53.48399999999998</v>
      </c>
      <c r="G557" s="86">
        <v>40</v>
      </c>
      <c r="H557" s="83">
        <f t="shared" si="89"/>
        <v>185</v>
      </c>
      <c r="I557" s="83">
        <f t="shared" si="80"/>
        <v>0</v>
      </c>
      <c r="J557" s="86">
        <v>100</v>
      </c>
      <c r="K557" s="86">
        <v>300</v>
      </c>
      <c r="L557" s="83">
        <f t="shared" si="84"/>
        <v>1274</v>
      </c>
      <c r="M557" s="94">
        <v>600</v>
      </c>
      <c r="N557" s="83">
        <f>'[2]FGT NON-FIRM'!P568</f>
        <v>30</v>
      </c>
      <c r="O557" s="86">
        <v>240</v>
      </c>
      <c r="P557" s="86">
        <v>160</v>
      </c>
      <c r="Q557" s="86">
        <f t="shared" si="85"/>
        <v>195</v>
      </c>
      <c r="R557" s="86">
        <f t="shared" si="86"/>
        <v>100</v>
      </c>
      <c r="S557" s="83">
        <f t="shared" si="87"/>
        <v>695</v>
      </c>
      <c r="T557" s="83">
        <f>'[2]GULFSTREAM NON-FIRM'!H568</f>
        <v>50</v>
      </c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</row>
    <row r="558" spans="1:30" ht="15.75" hidden="1" x14ac:dyDescent="0.25">
      <c r="A558" s="32">
        <v>57922</v>
      </c>
      <c r="B558" s="95">
        <v>31</v>
      </c>
      <c r="C558" s="83">
        <f>'[2]FGT PRIMARY FIRM ZONE 1'!V569</f>
        <v>194.20499999999998</v>
      </c>
      <c r="D558" s="83">
        <f>'[2]FGT PRIMARY FIRM ZONE 2'!V569</f>
        <v>267.46600000000001</v>
      </c>
      <c r="E558" s="92">
        <f>'[2]FGT PRIMARY FIRM ZONE 3'!V569</f>
        <v>133.845</v>
      </c>
      <c r="F558" s="83">
        <f>'[2]FGT FIRM ZONE 3 MOBILE BAY-DES'!V569-40-25-60-100</f>
        <v>53.48399999999998</v>
      </c>
      <c r="G558" s="86">
        <v>40</v>
      </c>
      <c r="H558" s="83">
        <f t="shared" si="89"/>
        <v>185</v>
      </c>
      <c r="I558" s="83">
        <f t="shared" si="80"/>
        <v>0</v>
      </c>
      <c r="J558" s="86">
        <v>100</v>
      </c>
      <c r="K558" s="86">
        <v>300</v>
      </c>
      <c r="L558" s="83">
        <f t="shared" si="84"/>
        <v>1274</v>
      </c>
      <c r="M558" s="94">
        <v>600</v>
      </c>
      <c r="N558" s="83">
        <f>'[2]FGT NON-FIRM'!P569</f>
        <v>30</v>
      </c>
      <c r="O558" s="86">
        <v>240</v>
      </c>
      <c r="P558" s="86">
        <v>160</v>
      </c>
      <c r="Q558" s="86">
        <f t="shared" si="85"/>
        <v>195</v>
      </c>
      <c r="R558" s="86">
        <f t="shared" si="86"/>
        <v>100</v>
      </c>
      <c r="S558" s="83">
        <f t="shared" si="87"/>
        <v>695</v>
      </c>
      <c r="T558" s="83">
        <f>'[2]GULFSTREAM NON-FIRM'!H569</f>
        <v>0</v>
      </c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</row>
    <row r="559" spans="1:30" ht="15.75" hidden="1" x14ac:dyDescent="0.25">
      <c r="A559" s="32">
        <v>57953</v>
      </c>
      <c r="B559" s="95">
        <v>31</v>
      </c>
      <c r="C559" s="83">
        <f>'[2]FGT PRIMARY FIRM ZONE 1'!V570</f>
        <v>194.20499999999998</v>
      </c>
      <c r="D559" s="83">
        <f>'[2]FGT PRIMARY FIRM ZONE 2'!V570</f>
        <v>267.46600000000001</v>
      </c>
      <c r="E559" s="92">
        <f>'[2]FGT PRIMARY FIRM ZONE 3'!V570</f>
        <v>133.845</v>
      </c>
      <c r="F559" s="83">
        <f>'[2]FGT FIRM ZONE 3 MOBILE BAY-DES'!V570-40-25-60-100</f>
        <v>53.48399999999998</v>
      </c>
      <c r="G559" s="86">
        <v>40</v>
      </c>
      <c r="H559" s="83">
        <f t="shared" si="89"/>
        <v>185</v>
      </c>
      <c r="I559" s="83">
        <f t="shared" si="80"/>
        <v>0</v>
      </c>
      <c r="J559" s="86">
        <v>100</v>
      </c>
      <c r="K559" s="86">
        <v>300</v>
      </c>
      <c r="L559" s="83">
        <f t="shared" si="84"/>
        <v>1274</v>
      </c>
      <c r="M559" s="94">
        <v>600</v>
      </c>
      <c r="N559" s="83">
        <f>'[2]FGT NON-FIRM'!P570</f>
        <v>30</v>
      </c>
      <c r="O559" s="86">
        <v>240</v>
      </c>
      <c r="P559" s="86">
        <v>160</v>
      </c>
      <c r="Q559" s="86">
        <f t="shared" si="85"/>
        <v>195</v>
      </c>
      <c r="R559" s="86">
        <f t="shared" si="86"/>
        <v>100</v>
      </c>
      <c r="S559" s="83">
        <f t="shared" si="87"/>
        <v>695</v>
      </c>
      <c r="T559" s="83">
        <f>'[2]GULFSTREAM NON-FIRM'!H570</f>
        <v>0</v>
      </c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</row>
    <row r="560" spans="1:30" ht="15.75" hidden="1" x14ac:dyDescent="0.25">
      <c r="A560" s="32">
        <v>57983</v>
      </c>
      <c r="B560" s="95">
        <v>30</v>
      </c>
      <c r="C560" s="83">
        <f>'[2]FGT PRIMARY FIRM ZONE 1'!V571</f>
        <v>194.20499999999998</v>
      </c>
      <c r="D560" s="83">
        <f>'[2]FGT PRIMARY FIRM ZONE 2'!V571</f>
        <v>267.46600000000001</v>
      </c>
      <c r="E560" s="92">
        <f>'[2]FGT PRIMARY FIRM ZONE 3'!V571</f>
        <v>133.845</v>
      </c>
      <c r="F560" s="83">
        <f>'[2]FGT FIRM ZONE 3 MOBILE BAY-DES'!V571-40-25-60-100</f>
        <v>53.48399999999998</v>
      </c>
      <c r="G560" s="86">
        <v>40</v>
      </c>
      <c r="H560" s="83">
        <f t="shared" si="89"/>
        <v>185</v>
      </c>
      <c r="I560" s="83">
        <f t="shared" si="80"/>
        <v>0</v>
      </c>
      <c r="J560" s="86">
        <v>100</v>
      </c>
      <c r="K560" s="86">
        <v>300</v>
      </c>
      <c r="L560" s="83">
        <f t="shared" si="84"/>
        <v>1274</v>
      </c>
      <c r="M560" s="94">
        <v>600</v>
      </c>
      <c r="N560" s="83">
        <f>'[2]FGT NON-FIRM'!P571</f>
        <v>30</v>
      </c>
      <c r="O560" s="86">
        <v>240</v>
      </c>
      <c r="P560" s="86">
        <v>160</v>
      </c>
      <c r="Q560" s="86">
        <f t="shared" si="85"/>
        <v>195</v>
      </c>
      <c r="R560" s="86">
        <f t="shared" si="86"/>
        <v>100</v>
      </c>
      <c r="S560" s="83">
        <f t="shared" si="87"/>
        <v>695</v>
      </c>
      <c r="T560" s="83">
        <f>'[2]GULFSTREAM NON-FIRM'!H571</f>
        <v>0</v>
      </c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</row>
    <row r="561" spans="1:30" ht="15.75" hidden="1" x14ac:dyDescent="0.25">
      <c r="A561" s="32">
        <v>58014</v>
      </c>
      <c r="B561" s="95">
        <v>31</v>
      </c>
      <c r="C561" s="83">
        <f>'[2]FGT PRIMARY FIRM ZONE 1'!V572</f>
        <v>131.881</v>
      </c>
      <c r="D561" s="83">
        <f>'[2]FGT PRIMARY FIRM ZONE 2'!V572</f>
        <v>277.16699999999997</v>
      </c>
      <c r="E561" s="92">
        <f>'[2]FGT PRIMARY FIRM ZONE 3'!V572</f>
        <v>79.08</v>
      </c>
      <c r="F561" s="83">
        <f>'[2]FGT FIRM ZONE 3 MOBILE BAY-DES'!V572-40-25-60-100</f>
        <v>125.87199999999996</v>
      </c>
      <c r="G561" s="86">
        <v>40</v>
      </c>
      <c r="H561" s="83">
        <f t="shared" si="89"/>
        <v>185</v>
      </c>
      <c r="I561" s="83">
        <f t="shared" si="80"/>
        <v>0</v>
      </c>
      <c r="J561" s="86">
        <v>100</v>
      </c>
      <c r="K561" s="86">
        <v>300</v>
      </c>
      <c r="L561" s="83">
        <f t="shared" si="84"/>
        <v>1239</v>
      </c>
      <c r="M561" s="94">
        <v>600</v>
      </c>
      <c r="N561" s="83">
        <f>'[2]FGT NON-FIRM'!P572</f>
        <v>75</v>
      </c>
      <c r="O561" s="86">
        <v>240</v>
      </c>
      <c r="P561" s="86">
        <v>160</v>
      </c>
      <c r="Q561" s="86">
        <f t="shared" si="85"/>
        <v>195</v>
      </c>
      <c r="R561" s="86">
        <f t="shared" si="86"/>
        <v>100</v>
      </c>
      <c r="S561" s="83">
        <f t="shared" si="87"/>
        <v>695</v>
      </c>
      <c r="T561" s="83">
        <f>'[2]GULFSTREAM NON-FIRM'!H572</f>
        <v>0</v>
      </c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</row>
    <row r="562" spans="1:30" ht="15.75" hidden="1" x14ac:dyDescent="0.25">
      <c r="A562" s="32">
        <v>58044</v>
      </c>
      <c r="B562" s="95">
        <v>30</v>
      </c>
      <c r="C562" s="83">
        <f>'[2]FGT PRIMARY FIRM ZONE 1'!V573</f>
        <v>122.58</v>
      </c>
      <c r="D562" s="83">
        <f>'[2]FGT PRIMARY FIRM ZONE 2'!V573</f>
        <v>297.94100000000003</v>
      </c>
      <c r="E562" s="92">
        <f>'[2]FGT PRIMARY FIRM ZONE 3'!V573</f>
        <v>89.177000000000007</v>
      </c>
      <c r="F562" s="83">
        <f>'[2]FGT FIRM ZONE 3 MOBILE BAY-DES'!V573-40-60-100</f>
        <v>40.301999999999992</v>
      </c>
      <c r="G562" s="86">
        <v>40</v>
      </c>
      <c r="H562" s="83">
        <f>60+100</f>
        <v>160</v>
      </c>
      <c r="I562" s="83">
        <f t="shared" si="80"/>
        <v>0</v>
      </c>
      <c r="J562" s="86">
        <v>100</v>
      </c>
      <c r="K562" s="86">
        <v>300</v>
      </c>
      <c r="L562" s="83">
        <f t="shared" si="84"/>
        <v>1150</v>
      </c>
      <c r="M562" s="94">
        <v>600</v>
      </c>
      <c r="N562" s="83">
        <f>'[2]FGT NON-FIRM'!P573</f>
        <v>100</v>
      </c>
      <c r="O562" s="86">
        <v>240</v>
      </c>
      <c r="P562" s="86">
        <v>40</v>
      </c>
      <c r="Q562" s="86">
        <f t="shared" si="85"/>
        <v>315</v>
      </c>
      <c r="R562" s="86">
        <f t="shared" si="86"/>
        <v>100</v>
      </c>
      <c r="S562" s="83">
        <f t="shared" si="87"/>
        <v>695</v>
      </c>
      <c r="T562" s="83">
        <f>'[2]GULFSTREAM NON-FIRM'!H573</f>
        <v>50</v>
      </c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</row>
    <row r="563" spans="1:30" ht="15.75" hidden="1" x14ac:dyDescent="0.25">
      <c r="A563" s="32">
        <v>58075</v>
      </c>
      <c r="B563" s="95">
        <v>31</v>
      </c>
      <c r="C563" s="83">
        <f>'[2]FGT PRIMARY FIRM ZONE 1'!V574</f>
        <v>122.58</v>
      </c>
      <c r="D563" s="83">
        <f>'[2]FGT PRIMARY FIRM ZONE 2'!V574</f>
        <v>297.94100000000003</v>
      </c>
      <c r="E563" s="92">
        <f>'[2]FGT PRIMARY FIRM ZONE 3'!V574</f>
        <v>89.177000000000007</v>
      </c>
      <c r="F563" s="83">
        <f>'[2]FGT FIRM ZONE 3 MOBILE BAY-DES'!V574-40-60-100</f>
        <v>40.301999999999992</v>
      </c>
      <c r="G563" s="86">
        <v>40</v>
      </c>
      <c r="H563" s="83">
        <f>60+100</f>
        <v>160</v>
      </c>
      <c r="I563" s="83">
        <f t="shared" si="80"/>
        <v>0</v>
      </c>
      <c r="J563" s="86">
        <v>100</v>
      </c>
      <c r="K563" s="86">
        <v>300</v>
      </c>
      <c r="L563" s="83">
        <f t="shared" si="84"/>
        <v>1150</v>
      </c>
      <c r="M563" s="94">
        <v>600</v>
      </c>
      <c r="N563" s="83">
        <f>'[2]FGT NON-FIRM'!P574</f>
        <v>100</v>
      </c>
      <c r="O563" s="86">
        <v>240</v>
      </c>
      <c r="P563" s="86">
        <v>40</v>
      </c>
      <c r="Q563" s="86">
        <f t="shared" si="85"/>
        <v>315</v>
      </c>
      <c r="R563" s="86">
        <f t="shared" si="86"/>
        <v>100</v>
      </c>
      <c r="S563" s="83">
        <f t="shared" si="87"/>
        <v>695</v>
      </c>
      <c r="T563" s="83">
        <f>'[2]GULFSTREAM NON-FIRM'!H574</f>
        <v>50</v>
      </c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</row>
    <row r="564" spans="1:30" ht="15.75" hidden="1" x14ac:dyDescent="0.25">
      <c r="A564" s="32">
        <v>58106</v>
      </c>
      <c r="B564" s="95">
        <v>31</v>
      </c>
      <c r="C564" s="83">
        <f>'[2]FGT PRIMARY FIRM ZONE 1'!V575</f>
        <v>122.58</v>
      </c>
      <c r="D564" s="83">
        <f>'[2]FGT PRIMARY FIRM ZONE 2'!V575</f>
        <v>297.94100000000003</v>
      </c>
      <c r="E564" s="92">
        <f>'[2]FGT PRIMARY FIRM ZONE 3'!V575</f>
        <v>89.177000000000007</v>
      </c>
      <c r="F564" s="83">
        <f>'[2]FGT FIRM ZONE 3 MOBILE BAY-DES'!V575-40-60-100</f>
        <v>40.301999999999992</v>
      </c>
      <c r="G564" s="86">
        <v>40</v>
      </c>
      <c r="H564" s="83">
        <f>60+100</f>
        <v>160</v>
      </c>
      <c r="I564" s="83">
        <f t="shared" ref="I564:I627" si="90">400-J564-K564</f>
        <v>0</v>
      </c>
      <c r="J564" s="86">
        <v>100</v>
      </c>
      <c r="K564" s="86">
        <v>300</v>
      </c>
      <c r="L564" s="83">
        <f t="shared" si="84"/>
        <v>1150</v>
      </c>
      <c r="M564" s="94">
        <v>600</v>
      </c>
      <c r="N564" s="83">
        <f>'[2]FGT NON-FIRM'!P575</f>
        <v>100</v>
      </c>
      <c r="O564" s="86">
        <v>240</v>
      </c>
      <c r="P564" s="86">
        <v>40</v>
      </c>
      <c r="Q564" s="86">
        <f t="shared" si="85"/>
        <v>315</v>
      </c>
      <c r="R564" s="86">
        <f t="shared" si="86"/>
        <v>100</v>
      </c>
      <c r="S564" s="83">
        <f t="shared" si="87"/>
        <v>695</v>
      </c>
      <c r="T564" s="83">
        <f>'[2]GULFSTREAM NON-FIRM'!H575</f>
        <v>50</v>
      </c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</row>
    <row r="565" spans="1:30" ht="15.75" hidden="1" x14ac:dyDescent="0.25">
      <c r="A565" s="32">
        <v>58134</v>
      </c>
      <c r="B565" s="95">
        <v>28</v>
      </c>
      <c r="C565" s="83">
        <f>'[2]FGT PRIMARY FIRM ZONE 1'!V576</f>
        <v>122.58</v>
      </c>
      <c r="D565" s="83">
        <f>'[2]FGT PRIMARY FIRM ZONE 2'!V576</f>
        <v>297.94100000000003</v>
      </c>
      <c r="E565" s="92">
        <f>'[2]FGT PRIMARY FIRM ZONE 3'!V576</f>
        <v>89.177000000000007</v>
      </c>
      <c r="F565" s="83">
        <f>'[2]FGT FIRM ZONE 3 MOBILE BAY-DES'!V576-40-60-100</f>
        <v>40.301999999999992</v>
      </c>
      <c r="G565" s="86">
        <v>40</v>
      </c>
      <c r="H565" s="83">
        <f>60+100</f>
        <v>160</v>
      </c>
      <c r="I565" s="83">
        <f t="shared" si="90"/>
        <v>0</v>
      </c>
      <c r="J565" s="86">
        <v>100</v>
      </c>
      <c r="K565" s="86">
        <v>300</v>
      </c>
      <c r="L565" s="83">
        <f t="shared" si="84"/>
        <v>1150</v>
      </c>
      <c r="M565" s="94">
        <v>600</v>
      </c>
      <c r="N565" s="83">
        <f>'[2]FGT NON-FIRM'!P576</f>
        <v>100</v>
      </c>
      <c r="O565" s="86">
        <v>240</v>
      </c>
      <c r="P565" s="86">
        <v>40</v>
      </c>
      <c r="Q565" s="86">
        <f t="shared" si="85"/>
        <v>315</v>
      </c>
      <c r="R565" s="86">
        <f t="shared" si="86"/>
        <v>100</v>
      </c>
      <c r="S565" s="83">
        <f t="shared" si="87"/>
        <v>695</v>
      </c>
      <c r="T565" s="83">
        <f>'[2]GULFSTREAM NON-FIRM'!H576</f>
        <v>50</v>
      </c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</row>
    <row r="566" spans="1:30" ht="15.75" hidden="1" x14ac:dyDescent="0.25">
      <c r="A566" s="32">
        <v>58165</v>
      </c>
      <c r="B566" s="95">
        <v>31</v>
      </c>
      <c r="C566" s="83">
        <f>'[2]FGT PRIMARY FIRM ZONE 1'!V577</f>
        <v>122.58</v>
      </c>
      <c r="D566" s="83">
        <f>'[2]FGT PRIMARY FIRM ZONE 2'!V577</f>
        <v>297.94100000000003</v>
      </c>
      <c r="E566" s="92">
        <f>'[2]FGT PRIMARY FIRM ZONE 3'!V577</f>
        <v>89.177000000000007</v>
      </c>
      <c r="F566" s="83">
        <f>'[2]FGT FIRM ZONE 3 MOBILE BAY-DES'!V577-40-60-100</f>
        <v>40.301999999999992</v>
      </c>
      <c r="G566" s="86">
        <v>40</v>
      </c>
      <c r="H566" s="83">
        <f>60+100</f>
        <v>160</v>
      </c>
      <c r="I566" s="83">
        <f t="shared" si="90"/>
        <v>0</v>
      </c>
      <c r="J566" s="86">
        <v>100</v>
      </c>
      <c r="K566" s="86">
        <v>300</v>
      </c>
      <c r="L566" s="83">
        <f t="shared" si="84"/>
        <v>1150</v>
      </c>
      <c r="M566" s="94">
        <v>600</v>
      </c>
      <c r="N566" s="83">
        <f>'[2]FGT NON-FIRM'!P577</f>
        <v>100</v>
      </c>
      <c r="O566" s="86">
        <v>240</v>
      </c>
      <c r="P566" s="86">
        <v>40</v>
      </c>
      <c r="Q566" s="86">
        <f t="shared" si="85"/>
        <v>315</v>
      </c>
      <c r="R566" s="86">
        <f t="shared" si="86"/>
        <v>100</v>
      </c>
      <c r="S566" s="83">
        <f t="shared" si="87"/>
        <v>695</v>
      </c>
      <c r="T566" s="83">
        <f>'[2]GULFSTREAM NON-FIRM'!H577</f>
        <v>50</v>
      </c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</row>
    <row r="567" spans="1:30" ht="15.75" hidden="1" x14ac:dyDescent="0.25">
      <c r="A567" s="32">
        <v>58195</v>
      </c>
      <c r="B567" s="95">
        <v>30</v>
      </c>
      <c r="C567" s="83">
        <f>'[2]FGT PRIMARY FIRM ZONE 1'!V578</f>
        <v>141.29300000000001</v>
      </c>
      <c r="D567" s="83">
        <f>'[2]FGT PRIMARY FIRM ZONE 2'!V578</f>
        <v>267.99299999999999</v>
      </c>
      <c r="E567" s="92">
        <f>'[2]FGT PRIMARY FIRM ZONE 3'!V578</f>
        <v>115.01600000000001</v>
      </c>
      <c r="F567" s="83">
        <f>'[2]FGT FIRM ZONE 3 MOBILE BAY-DES'!V578-40-25-60-100</f>
        <v>89.698000000000036</v>
      </c>
      <c r="G567" s="86">
        <v>40</v>
      </c>
      <c r="H567" s="83">
        <f t="shared" ref="H567:H573" si="91">25+60+100</f>
        <v>185</v>
      </c>
      <c r="I567" s="83">
        <f t="shared" si="90"/>
        <v>0</v>
      </c>
      <c r="J567" s="86">
        <v>100</v>
      </c>
      <c r="K567" s="86">
        <v>300</v>
      </c>
      <c r="L567" s="83">
        <f t="shared" si="84"/>
        <v>1239</v>
      </c>
      <c r="M567" s="94">
        <v>600</v>
      </c>
      <c r="N567" s="83">
        <f>'[2]FGT NON-FIRM'!P578</f>
        <v>100</v>
      </c>
      <c r="O567" s="86">
        <v>240</v>
      </c>
      <c r="P567" s="86">
        <v>160</v>
      </c>
      <c r="Q567" s="86">
        <f t="shared" si="85"/>
        <v>195</v>
      </c>
      <c r="R567" s="86">
        <f t="shared" si="86"/>
        <v>100</v>
      </c>
      <c r="S567" s="83">
        <f t="shared" si="87"/>
        <v>695</v>
      </c>
      <c r="T567" s="83">
        <f>'[2]GULFSTREAM NON-FIRM'!H578</f>
        <v>50</v>
      </c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</row>
    <row r="568" spans="1:30" ht="15.75" hidden="1" x14ac:dyDescent="0.25">
      <c r="A568" s="32">
        <v>58226</v>
      </c>
      <c r="B568" s="95">
        <v>31</v>
      </c>
      <c r="C568" s="83">
        <f>'[2]FGT PRIMARY FIRM ZONE 1'!V579</f>
        <v>194.20499999999998</v>
      </c>
      <c r="D568" s="83">
        <f>'[2]FGT PRIMARY FIRM ZONE 2'!V579</f>
        <v>267.46600000000001</v>
      </c>
      <c r="E568" s="92">
        <f>'[2]FGT PRIMARY FIRM ZONE 3'!V579</f>
        <v>133.845</v>
      </c>
      <c r="F568" s="83">
        <f>'[2]FGT FIRM ZONE 3 MOBILE BAY-DES'!V579-40-25-60-100</f>
        <v>53.48399999999998</v>
      </c>
      <c r="G568" s="86">
        <v>40</v>
      </c>
      <c r="H568" s="83">
        <f t="shared" si="91"/>
        <v>185</v>
      </c>
      <c r="I568" s="83">
        <f t="shared" si="90"/>
        <v>0</v>
      </c>
      <c r="J568" s="86">
        <v>100</v>
      </c>
      <c r="K568" s="86">
        <v>300</v>
      </c>
      <c r="L568" s="83">
        <f t="shared" si="84"/>
        <v>1274</v>
      </c>
      <c r="M568" s="94">
        <v>600</v>
      </c>
      <c r="N568" s="83">
        <f>'[2]FGT NON-FIRM'!P579</f>
        <v>75</v>
      </c>
      <c r="O568" s="86">
        <v>240</v>
      </c>
      <c r="P568" s="86">
        <v>160</v>
      </c>
      <c r="Q568" s="86">
        <f t="shared" si="85"/>
        <v>195</v>
      </c>
      <c r="R568" s="86">
        <f t="shared" si="86"/>
        <v>100</v>
      </c>
      <c r="S568" s="83">
        <f t="shared" si="87"/>
        <v>695</v>
      </c>
      <c r="T568" s="83">
        <f>'[2]GULFSTREAM NON-FIRM'!H579</f>
        <v>50</v>
      </c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</row>
    <row r="569" spans="1:30" ht="15.75" hidden="1" x14ac:dyDescent="0.25">
      <c r="A569" s="32">
        <v>58256</v>
      </c>
      <c r="B569" s="95">
        <v>30</v>
      </c>
      <c r="C569" s="83">
        <f>'[2]FGT PRIMARY FIRM ZONE 1'!V580</f>
        <v>194.20499999999998</v>
      </c>
      <c r="D569" s="83">
        <f>'[2]FGT PRIMARY FIRM ZONE 2'!V580</f>
        <v>267.46600000000001</v>
      </c>
      <c r="E569" s="92">
        <f>'[2]FGT PRIMARY FIRM ZONE 3'!V580</f>
        <v>133.845</v>
      </c>
      <c r="F569" s="83">
        <f>'[2]FGT FIRM ZONE 3 MOBILE BAY-DES'!V580-40-25-60-100</f>
        <v>53.48399999999998</v>
      </c>
      <c r="G569" s="86">
        <v>40</v>
      </c>
      <c r="H569" s="83">
        <f t="shared" si="91"/>
        <v>185</v>
      </c>
      <c r="I569" s="83">
        <f t="shared" si="90"/>
        <v>0</v>
      </c>
      <c r="J569" s="86">
        <v>100</v>
      </c>
      <c r="K569" s="86">
        <v>300</v>
      </c>
      <c r="L569" s="83">
        <f t="shared" si="84"/>
        <v>1274</v>
      </c>
      <c r="M569" s="94">
        <v>600</v>
      </c>
      <c r="N569" s="83">
        <f>'[2]FGT NON-FIRM'!P580</f>
        <v>30</v>
      </c>
      <c r="O569" s="86">
        <v>240</v>
      </c>
      <c r="P569" s="86">
        <v>160</v>
      </c>
      <c r="Q569" s="86">
        <f t="shared" si="85"/>
        <v>195</v>
      </c>
      <c r="R569" s="86">
        <f t="shared" si="86"/>
        <v>100</v>
      </c>
      <c r="S569" s="83">
        <f t="shared" si="87"/>
        <v>695</v>
      </c>
      <c r="T569" s="83">
        <f>'[2]GULFSTREAM NON-FIRM'!H580</f>
        <v>50</v>
      </c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</row>
    <row r="570" spans="1:30" ht="15.75" hidden="1" x14ac:dyDescent="0.25">
      <c r="A570" s="32">
        <v>58287</v>
      </c>
      <c r="B570" s="95">
        <v>31</v>
      </c>
      <c r="C570" s="83">
        <f>'[2]FGT PRIMARY FIRM ZONE 1'!V581</f>
        <v>194.20499999999998</v>
      </c>
      <c r="D570" s="83">
        <f>'[2]FGT PRIMARY FIRM ZONE 2'!V581</f>
        <v>267.46600000000001</v>
      </c>
      <c r="E570" s="92">
        <f>'[2]FGT PRIMARY FIRM ZONE 3'!V581</f>
        <v>133.845</v>
      </c>
      <c r="F570" s="83">
        <f>'[2]FGT FIRM ZONE 3 MOBILE BAY-DES'!V581-40-25-60-100</f>
        <v>53.48399999999998</v>
      </c>
      <c r="G570" s="86">
        <v>40</v>
      </c>
      <c r="H570" s="83">
        <f t="shared" si="91"/>
        <v>185</v>
      </c>
      <c r="I570" s="83">
        <f t="shared" si="90"/>
        <v>0</v>
      </c>
      <c r="J570" s="86">
        <v>100</v>
      </c>
      <c r="K570" s="86">
        <v>300</v>
      </c>
      <c r="L570" s="83">
        <f t="shared" si="84"/>
        <v>1274</v>
      </c>
      <c r="M570" s="94">
        <v>600</v>
      </c>
      <c r="N570" s="83">
        <f>'[2]FGT NON-FIRM'!P581</f>
        <v>30</v>
      </c>
      <c r="O570" s="86">
        <v>240</v>
      </c>
      <c r="P570" s="86">
        <v>160</v>
      </c>
      <c r="Q570" s="86">
        <f t="shared" si="85"/>
        <v>195</v>
      </c>
      <c r="R570" s="86">
        <f t="shared" si="86"/>
        <v>100</v>
      </c>
      <c r="S570" s="83">
        <f t="shared" si="87"/>
        <v>695</v>
      </c>
      <c r="T570" s="83">
        <f>'[2]GULFSTREAM NON-FIRM'!H581</f>
        <v>0</v>
      </c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</row>
    <row r="571" spans="1:30" ht="15.75" hidden="1" x14ac:dyDescent="0.25">
      <c r="A571" s="32">
        <v>58318</v>
      </c>
      <c r="B571" s="95">
        <v>31</v>
      </c>
      <c r="C571" s="83">
        <f>'[2]FGT PRIMARY FIRM ZONE 1'!V582</f>
        <v>194.20499999999998</v>
      </c>
      <c r="D571" s="83">
        <f>'[2]FGT PRIMARY FIRM ZONE 2'!V582</f>
        <v>267.46600000000001</v>
      </c>
      <c r="E571" s="92">
        <f>'[2]FGT PRIMARY FIRM ZONE 3'!V582</f>
        <v>133.845</v>
      </c>
      <c r="F571" s="83">
        <f>'[2]FGT FIRM ZONE 3 MOBILE BAY-DES'!V582-40-25-60-100</f>
        <v>53.48399999999998</v>
      </c>
      <c r="G571" s="86">
        <v>40</v>
      </c>
      <c r="H571" s="83">
        <f t="shared" si="91"/>
        <v>185</v>
      </c>
      <c r="I571" s="83">
        <f t="shared" si="90"/>
        <v>0</v>
      </c>
      <c r="J571" s="86">
        <v>100</v>
      </c>
      <c r="K571" s="86">
        <v>300</v>
      </c>
      <c r="L571" s="83">
        <f t="shared" si="84"/>
        <v>1274</v>
      </c>
      <c r="M571" s="94">
        <v>600</v>
      </c>
      <c r="N571" s="83">
        <f>'[2]FGT NON-FIRM'!P582</f>
        <v>30</v>
      </c>
      <c r="O571" s="86">
        <v>240</v>
      </c>
      <c r="P571" s="86">
        <v>160</v>
      </c>
      <c r="Q571" s="86">
        <f t="shared" si="85"/>
        <v>195</v>
      </c>
      <c r="R571" s="86">
        <f t="shared" si="86"/>
        <v>100</v>
      </c>
      <c r="S571" s="83">
        <f t="shared" si="87"/>
        <v>695</v>
      </c>
      <c r="T571" s="83">
        <f>'[2]GULFSTREAM NON-FIRM'!H582</f>
        <v>0</v>
      </c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</row>
    <row r="572" spans="1:30" ht="15.75" hidden="1" x14ac:dyDescent="0.25">
      <c r="A572" s="32">
        <v>58348</v>
      </c>
      <c r="B572" s="95">
        <v>30</v>
      </c>
      <c r="C572" s="83">
        <f>'[2]FGT PRIMARY FIRM ZONE 1'!V583</f>
        <v>194.20499999999998</v>
      </c>
      <c r="D572" s="83">
        <f>'[2]FGT PRIMARY FIRM ZONE 2'!V583</f>
        <v>267.46600000000001</v>
      </c>
      <c r="E572" s="92">
        <f>'[2]FGT PRIMARY FIRM ZONE 3'!V583</f>
        <v>133.845</v>
      </c>
      <c r="F572" s="83">
        <f>'[2]FGT FIRM ZONE 3 MOBILE BAY-DES'!V583-40-25-60-100</f>
        <v>53.48399999999998</v>
      </c>
      <c r="G572" s="86">
        <v>40</v>
      </c>
      <c r="H572" s="83">
        <f t="shared" si="91"/>
        <v>185</v>
      </c>
      <c r="I572" s="83">
        <f t="shared" si="90"/>
        <v>0</v>
      </c>
      <c r="J572" s="86">
        <v>100</v>
      </c>
      <c r="K572" s="86">
        <v>300</v>
      </c>
      <c r="L572" s="83">
        <f t="shared" si="84"/>
        <v>1274</v>
      </c>
      <c r="M572" s="94">
        <v>600</v>
      </c>
      <c r="N572" s="83">
        <f>'[2]FGT NON-FIRM'!P583</f>
        <v>30</v>
      </c>
      <c r="O572" s="86">
        <v>240</v>
      </c>
      <c r="P572" s="86">
        <v>160</v>
      </c>
      <c r="Q572" s="86">
        <f t="shared" si="85"/>
        <v>195</v>
      </c>
      <c r="R572" s="86">
        <f t="shared" si="86"/>
        <v>100</v>
      </c>
      <c r="S572" s="83">
        <f t="shared" si="87"/>
        <v>695</v>
      </c>
      <c r="T572" s="83">
        <f>'[2]GULFSTREAM NON-FIRM'!H583</f>
        <v>0</v>
      </c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</row>
    <row r="573" spans="1:30" ht="15.75" hidden="1" x14ac:dyDescent="0.25">
      <c r="A573" s="32">
        <v>58379</v>
      </c>
      <c r="B573" s="95">
        <v>31</v>
      </c>
      <c r="C573" s="83">
        <f>'[2]FGT PRIMARY FIRM ZONE 1'!V584</f>
        <v>131.881</v>
      </c>
      <c r="D573" s="83">
        <f>'[2]FGT PRIMARY FIRM ZONE 2'!V584</f>
        <v>277.16699999999997</v>
      </c>
      <c r="E573" s="92">
        <f>'[2]FGT PRIMARY FIRM ZONE 3'!V584</f>
        <v>79.08</v>
      </c>
      <c r="F573" s="83">
        <f>'[2]FGT FIRM ZONE 3 MOBILE BAY-DES'!V584-40-25-60-100</f>
        <v>125.87199999999996</v>
      </c>
      <c r="G573" s="86">
        <v>40</v>
      </c>
      <c r="H573" s="83">
        <f t="shared" si="91"/>
        <v>185</v>
      </c>
      <c r="I573" s="83">
        <f t="shared" si="90"/>
        <v>0</v>
      </c>
      <c r="J573" s="86">
        <v>100</v>
      </c>
      <c r="K573" s="86">
        <v>300</v>
      </c>
      <c r="L573" s="83">
        <f t="shared" si="84"/>
        <v>1239</v>
      </c>
      <c r="M573" s="94">
        <v>600</v>
      </c>
      <c r="N573" s="83">
        <f>'[2]FGT NON-FIRM'!P584</f>
        <v>75</v>
      </c>
      <c r="O573" s="86">
        <v>240</v>
      </c>
      <c r="P573" s="86">
        <v>160</v>
      </c>
      <c r="Q573" s="86">
        <f t="shared" si="85"/>
        <v>195</v>
      </c>
      <c r="R573" s="86">
        <f t="shared" si="86"/>
        <v>100</v>
      </c>
      <c r="S573" s="83">
        <f t="shared" si="87"/>
        <v>695</v>
      </c>
      <c r="T573" s="83">
        <f>'[2]GULFSTREAM NON-FIRM'!H584</f>
        <v>0</v>
      </c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</row>
    <row r="574" spans="1:30" ht="15.75" hidden="1" x14ac:dyDescent="0.25">
      <c r="A574" s="32">
        <v>58409</v>
      </c>
      <c r="B574" s="95">
        <v>30</v>
      </c>
      <c r="C574" s="83">
        <f>'[2]FGT PRIMARY FIRM ZONE 1'!V585</f>
        <v>122.58</v>
      </c>
      <c r="D574" s="83">
        <f>'[2]FGT PRIMARY FIRM ZONE 2'!V585</f>
        <v>297.94100000000003</v>
      </c>
      <c r="E574" s="92">
        <f>'[2]FGT PRIMARY FIRM ZONE 3'!V585</f>
        <v>89.177000000000007</v>
      </c>
      <c r="F574" s="83">
        <f>'[2]FGT FIRM ZONE 3 MOBILE BAY-DES'!V585-40-60-100</f>
        <v>40.301999999999992</v>
      </c>
      <c r="G574" s="86">
        <v>40</v>
      </c>
      <c r="H574" s="83">
        <f>60+100</f>
        <v>160</v>
      </c>
      <c r="I574" s="83">
        <f t="shared" si="90"/>
        <v>0</v>
      </c>
      <c r="J574" s="86">
        <v>100</v>
      </c>
      <c r="K574" s="86">
        <v>300</v>
      </c>
      <c r="L574" s="83">
        <f t="shared" si="84"/>
        <v>1150</v>
      </c>
      <c r="M574" s="94">
        <v>600</v>
      </c>
      <c r="N574" s="83">
        <f>'[2]FGT NON-FIRM'!P585</f>
        <v>100</v>
      </c>
      <c r="O574" s="86">
        <v>240</v>
      </c>
      <c r="P574" s="86">
        <v>40</v>
      </c>
      <c r="Q574" s="86">
        <f t="shared" si="85"/>
        <v>315</v>
      </c>
      <c r="R574" s="86">
        <f t="shared" si="86"/>
        <v>100</v>
      </c>
      <c r="S574" s="83">
        <f t="shared" si="87"/>
        <v>695</v>
      </c>
      <c r="T574" s="83">
        <f>'[2]GULFSTREAM NON-FIRM'!H585</f>
        <v>50</v>
      </c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</row>
    <row r="575" spans="1:30" ht="15.75" hidden="1" x14ac:dyDescent="0.25">
      <c r="A575" s="32">
        <v>58440</v>
      </c>
      <c r="B575" s="95">
        <v>31</v>
      </c>
      <c r="C575" s="83">
        <f>'[2]FGT PRIMARY FIRM ZONE 1'!V586</f>
        <v>122.58</v>
      </c>
      <c r="D575" s="83">
        <f>'[2]FGT PRIMARY FIRM ZONE 2'!V586</f>
        <v>297.94100000000003</v>
      </c>
      <c r="E575" s="92">
        <f>'[2]FGT PRIMARY FIRM ZONE 3'!V586</f>
        <v>89.177000000000007</v>
      </c>
      <c r="F575" s="83">
        <f>'[2]FGT FIRM ZONE 3 MOBILE BAY-DES'!V586-40-60-100</f>
        <v>40.301999999999992</v>
      </c>
      <c r="G575" s="86">
        <v>40</v>
      </c>
      <c r="H575" s="83">
        <f>60+100</f>
        <v>160</v>
      </c>
      <c r="I575" s="83">
        <f t="shared" si="90"/>
        <v>0</v>
      </c>
      <c r="J575" s="86">
        <v>100</v>
      </c>
      <c r="K575" s="86">
        <v>300</v>
      </c>
      <c r="L575" s="83">
        <f t="shared" si="84"/>
        <v>1150</v>
      </c>
      <c r="M575" s="94">
        <v>600</v>
      </c>
      <c r="N575" s="83">
        <f>'[2]FGT NON-FIRM'!P586</f>
        <v>100</v>
      </c>
      <c r="O575" s="86">
        <v>240</v>
      </c>
      <c r="P575" s="86">
        <v>40</v>
      </c>
      <c r="Q575" s="86">
        <f t="shared" si="85"/>
        <v>315</v>
      </c>
      <c r="R575" s="86">
        <f t="shared" si="86"/>
        <v>100</v>
      </c>
      <c r="S575" s="83">
        <f t="shared" si="87"/>
        <v>695</v>
      </c>
      <c r="T575" s="83">
        <f>'[2]GULFSTREAM NON-FIRM'!H586</f>
        <v>50</v>
      </c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</row>
    <row r="576" spans="1:30" ht="15.75" hidden="1" x14ac:dyDescent="0.25">
      <c r="A576" s="32">
        <v>58471</v>
      </c>
      <c r="B576" s="95">
        <v>31</v>
      </c>
      <c r="C576" s="83">
        <f>'[2]FGT PRIMARY FIRM ZONE 1'!V587</f>
        <v>122.58</v>
      </c>
      <c r="D576" s="83">
        <f>'[2]FGT PRIMARY FIRM ZONE 2'!V587</f>
        <v>297.94100000000003</v>
      </c>
      <c r="E576" s="92">
        <f>'[2]FGT PRIMARY FIRM ZONE 3'!V587</f>
        <v>89.177000000000007</v>
      </c>
      <c r="F576" s="83">
        <f>'[2]FGT FIRM ZONE 3 MOBILE BAY-DES'!V587-40-60-100</f>
        <v>40.301999999999992</v>
      </c>
      <c r="G576" s="86">
        <v>40</v>
      </c>
      <c r="H576" s="83">
        <f>60+100</f>
        <v>160</v>
      </c>
      <c r="I576" s="83">
        <f t="shared" si="90"/>
        <v>0</v>
      </c>
      <c r="J576" s="86">
        <v>100</v>
      </c>
      <c r="K576" s="86">
        <v>300</v>
      </c>
      <c r="L576" s="83">
        <f t="shared" si="84"/>
        <v>1150</v>
      </c>
      <c r="M576" s="94">
        <v>600</v>
      </c>
      <c r="N576" s="83">
        <f>'[2]FGT NON-FIRM'!P587</f>
        <v>100</v>
      </c>
      <c r="O576" s="86">
        <v>240</v>
      </c>
      <c r="P576" s="86">
        <v>40</v>
      </c>
      <c r="Q576" s="86">
        <f t="shared" si="85"/>
        <v>315</v>
      </c>
      <c r="R576" s="86">
        <f t="shared" si="86"/>
        <v>100</v>
      </c>
      <c r="S576" s="83">
        <f t="shared" si="87"/>
        <v>695</v>
      </c>
      <c r="T576" s="83">
        <f>'[2]GULFSTREAM NON-FIRM'!H587</f>
        <v>50</v>
      </c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</row>
    <row r="577" spans="1:30" ht="15.75" hidden="1" x14ac:dyDescent="0.25">
      <c r="A577" s="32">
        <v>58499</v>
      </c>
      <c r="B577" s="95">
        <v>29</v>
      </c>
      <c r="C577" s="83">
        <f>'[2]FGT PRIMARY FIRM ZONE 1'!V588</f>
        <v>122.58</v>
      </c>
      <c r="D577" s="83">
        <f>'[2]FGT PRIMARY FIRM ZONE 2'!V588</f>
        <v>297.94100000000003</v>
      </c>
      <c r="E577" s="92">
        <f>'[2]FGT PRIMARY FIRM ZONE 3'!V588</f>
        <v>89.177000000000007</v>
      </c>
      <c r="F577" s="83">
        <f>'[2]FGT FIRM ZONE 3 MOBILE BAY-DES'!V588-40-60-100</f>
        <v>40.301999999999992</v>
      </c>
      <c r="G577" s="86">
        <v>40</v>
      </c>
      <c r="H577" s="83">
        <f>60+100</f>
        <v>160</v>
      </c>
      <c r="I577" s="83">
        <f t="shared" si="90"/>
        <v>0</v>
      </c>
      <c r="J577" s="86">
        <v>100</v>
      </c>
      <c r="K577" s="86">
        <v>300</v>
      </c>
      <c r="L577" s="83">
        <f t="shared" si="84"/>
        <v>1150</v>
      </c>
      <c r="M577" s="94">
        <v>600</v>
      </c>
      <c r="N577" s="83">
        <f>'[2]FGT NON-FIRM'!P588</f>
        <v>100</v>
      </c>
      <c r="O577" s="86">
        <v>240</v>
      </c>
      <c r="P577" s="86">
        <v>40</v>
      </c>
      <c r="Q577" s="86">
        <f t="shared" si="85"/>
        <v>315</v>
      </c>
      <c r="R577" s="86">
        <f t="shared" si="86"/>
        <v>100</v>
      </c>
      <c r="S577" s="83">
        <f t="shared" si="87"/>
        <v>695</v>
      </c>
      <c r="T577" s="83">
        <f>'[2]GULFSTREAM NON-FIRM'!H588</f>
        <v>50</v>
      </c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</row>
    <row r="578" spans="1:30" ht="15.75" hidden="1" x14ac:dyDescent="0.25">
      <c r="A578" s="32">
        <v>58531</v>
      </c>
      <c r="B578" s="95">
        <v>31</v>
      </c>
      <c r="C578" s="83">
        <f>'[2]FGT PRIMARY FIRM ZONE 1'!V589</f>
        <v>122.58</v>
      </c>
      <c r="D578" s="83">
        <f>'[2]FGT PRIMARY FIRM ZONE 2'!V589</f>
        <v>297.94100000000003</v>
      </c>
      <c r="E578" s="92">
        <f>'[2]FGT PRIMARY FIRM ZONE 3'!V589</f>
        <v>89.177000000000007</v>
      </c>
      <c r="F578" s="83">
        <f>'[2]FGT FIRM ZONE 3 MOBILE BAY-DES'!V589-40-60-100</f>
        <v>40.301999999999992</v>
      </c>
      <c r="G578" s="86">
        <v>40</v>
      </c>
      <c r="H578" s="83">
        <f>60+100</f>
        <v>160</v>
      </c>
      <c r="I578" s="83">
        <f t="shared" si="90"/>
        <v>0</v>
      </c>
      <c r="J578" s="86">
        <v>100</v>
      </c>
      <c r="K578" s="86">
        <v>300</v>
      </c>
      <c r="L578" s="83">
        <f t="shared" si="84"/>
        <v>1150</v>
      </c>
      <c r="M578" s="94">
        <v>600</v>
      </c>
      <c r="N578" s="83">
        <f>'[2]FGT NON-FIRM'!P589</f>
        <v>100</v>
      </c>
      <c r="O578" s="86">
        <v>240</v>
      </c>
      <c r="P578" s="86">
        <v>40</v>
      </c>
      <c r="Q578" s="86">
        <f t="shared" si="85"/>
        <v>315</v>
      </c>
      <c r="R578" s="86">
        <f t="shared" si="86"/>
        <v>100</v>
      </c>
      <c r="S578" s="83">
        <f t="shared" si="87"/>
        <v>695</v>
      </c>
      <c r="T578" s="83">
        <f>'[2]GULFSTREAM NON-FIRM'!H589</f>
        <v>50</v>
      </c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</row>
    <row r="579" spans="1:30" ht="15.75" hidden="1" x14ac:dyDescent="0.25">
      <c r="A579" s="32">
        <v>58561</v>
      </c>
      <c r="B579" s="95">
        <v>30</v>
      </c>
      <c r="C579" s="83">
        <f>'[2]FGT PRIMARY FIRM ZONE 1'!V590</f>
        <v>141.29300000000001</v>
      </c>
      <c r="D579" s="83">
        <f>'[2]FGT PRIMARY FIRM ZONE 2'!V590</f>
        <v>267.99299999999999</v>
      </c>
      <c r="E579" s="92">
        <f>'[2]FGT PRIMARY FIRM ZONE 3'!V590</f>
        <v>115.01600000000001</v>
      </c>
      <c r="F579" s="83">
        <f>'[2]FGT FIRM ZONE 3 MOBILE BAY-DES'!V590-40-25-60-100</f>
        <v>89.698000000000036</v>
      </c>
      <c r="G579" s="86">
        <v>40</v>
      </c>
      <c r="H579" s="83">
        <f t="shared" ref="H579:H585" si="92">25+60+100</f>
        <v>185</v>
      </c>
      <c r="I579" s="83">
        <f t="shared" si="90"/>
        <v>0</v>
      </c>
      <c r="J579" s="86">
        <v>100</v>
      </c>
      <c r="K579" s="86">
        <v>300</v>
      </c>
      <c r="L579" s="83">
        <f t="shared" si="84"/>
        <v>1239</v>
      </c>
      <c r="M579" s="94">
        <v>600</v>
      </c>
      <c r="N579" s="83">
        <f>'[2]FGT NON-FIRM'!P590</f>
        <v>100</v>
      </c>
      <c r="O579" s="86">
        <v>240</v>
      </c>
      <c r="P579" s="86">
        <v>160</v>
      </c>
      <c r="Q579" s="86">
        <f t="shared" si="85"/>
        <v>195</v>
      </c>
      <c r="R579" s="86">
        <f t="shared" si="86"/>
        <v>100</v>
      </c>
      <c r="S579" s="83">
        <f t="shared" si="87"/>
        <v>695</v>
      </c>
      <c r="T579" s="83">
        <f>'[2]GULFSTREAM NON-FIRM'!H590</f>
        <v>50</v>
      </c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</row>
    <row r="580" spans="1:30" ht="15.75" hidden="1" x14ac:dyDescent="0.25">
      <c r="A580" s="32">
        <v>58592</v>
      </c>
      <c r="B580" s="95">
        <v>31</v>
      </c>
      <c r="C580" s="83">
        <f>'[2]FGT PRIMARY FIRM ZONE 1'!V591</f>
        <v>194.20499999999998</v>
      </c>
      <c r="D580" s="83">
        <f>'[2]FGT PRIMARY FIRM ZONE 2'!V591</f>
        <v>267.46600000000001</v>
      </c>
      <c r="E580" s="92">
        <f>'[2]FGT PRIMARY FIRM ZONE 3'!V591</f>
        <v>133.845</v>
      </c>
      <c r="F580" s="83">
        <f>'[2]FGT FIRM ZONE 3 MOBILE BAY-DES'!V591-40-25-60-100</f>
        <v>53.48399999999998</v>
      </c>
      <c r="G580" s="86">
        <v>40</v>
      </c>
      <c r="H580" s="83">
        <f t="shared" si="92"/>
        <v>185</v>
      </c>
      <c r="I580" s="83">
        <f t="shared" si="90"/>
        <v>0</v>
      </c>
      <c r="J580" s="86">
        <v>100</v>
      </c>
      <c r="K580" s="86">
        <v>300</v>
      </c>
      <c r="L580" s="83">
        <f t="shared" si="84"/>
        <v>1274</v>
      </c>
      <c r="M580" s="94">
        <v>600</v>
      </c>
      <c r="N580" s="83">
        <f>'[2]FGT NON-FIRM'!P591</f>
        <v>75</v>
      </c>
      <c r="O580" s="86">
        <v>240</v>
      </c>
      <c r="P580" s="86">
        <v>160</v>
      </c>
      <c r="Q580" s="86">
        <f t="shared" si="85"/>
        <v>195</v>
      </c>
      <c r="R580" s="86">
        <f t="shared" si="86"/>
        <v>100</v>
      </c>
      <c r="S580" s="83">
        <f t="shared" si="87"/>
        <v>695</v>
      </c>
      <c r="T580" s="83">
        <f>'[2]GULFSTREAM NON-FIRM'!H591</f>
        <v>50</v>
      </c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</row>
    <row r="581" spans="1:30" ht="15.75" hidden="1" x14ac:dyDescent="0.25">
      <c r="A581" s="32">
        <v>58622</v>
      </c>
      <c r="B581" s="95">
        <v>30</v>
      </c>
      <c r="C581" s="83">
        <f>'[2]FGT PRIMARY FIRM ZONE 1'!V592</f>
        <v>194.20499999999998</v>
      </c>
      <c r="D581" s="83">
        <f>'[2]FGT PRIMARY FIRM ZONE 2'!V592</f>
        <v>267.46600000000001</v>
      </c>
      <c r="E581" s="92">
        <f>'[2]FGT PRIMARY FIRM ZONE 3'!V592</f>
        <v>133.845</v>
      </c>
      <c r="F581" s="83">
        <f>'[2]FGT FIRM ZONE 3 MOBILE BAY-DES'!V592-40-25-60-100</f>
        <v>53.48399999999998</v>
      </c>
      <c r="G581" s="86">
        <v>40</v>
      </c>
      <c r="H581" s="83">
        <f t="shared" si="92"/>
        <v>185</v>
      </c>
      <c r="I581" s="83">
        <f t="shared" si="90"/>
        <v>0</v>
      </c>
      <c r="J581" s="86">
        <v>100</v>
      </c>
      <c r="K581" s="86">
        <v>300</v>
      </c>
      <c r="L581" s="83">
        <f t="shared" si="84"/>
        <v>1274</v>
      </c>
      <c r="M581" s="94">
        <v>600</v>
      </c>
      <c r="N581" s="83">
        <f>'[2]FGT NON-FIRM'!P592</f>
        <v>30</v>
      </c>
      <c r="O581" s="86">
        <v>240</v>
      </c>
      <c r="P581" s="86">
        <v>160</v>
      </c>
      <c r="Q581" s="86">
        <f t="shared" si="85"/>
        <v>195</v>
      </c>
      <c r="R581" s="86">
        <f t="shared" si="86"/>
        <v>100</v>
      </c>
      <c r="S581" s="83">
        <f t="shared" si="87"/>
        <v>695</v>
      </c>
      <c r="T581" s="83">
        <f>'[2]GULFSTREAM NON-FIRM'!H592</f>
        <v>50</v>
      </c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</row>
    <row r="582" spans="1:30" ht="15.75" hidden="1" x14ac:dyDescent="0.25">
      <c r="A582" s="32">
        <v>58653</v>
      </c>
      <c r="B582" s="95">
        <v>31</v>
      </c>
      <c r="C582" s="83">
        <f>'[2]FGT PRIMARY FIRM ZONE 1'!V593</f>
        <v>194.20499999999998</v>
      </c>
      <c r="D582" s="83">
        <f>'[2]FGT PRIMARY FIRM ZONE 2'!V593</f>
        <v>267.46600000000001</v>
      </c>
      <c r="E582" s="92">
        <f>'[2]FGT PRIMARY FIRM ZONE 3'!V593</f>
        <v>133.845</v>
      </c>
      <c r="F582" s="83">
        <f>'[2]FGT FIRM ZONE 3 MOBILE BAY-DES'!V593-40-25-60-100</f>
        <v>53.48399999999998</v>
      </c>
      <c r="G582" s="86">
        <v>40</v>
      </c>
      <c r="H582" s="83">
        <f t="shared" si="92"/>
        <v>185</v>
      </c>
      <c r="I582" s="83">
        <f t="shared" si="90"/>
        <v>0</v>
      </c>
      <c r="J582" s="86">
        <v>100</v>
      </c>
      <c r="K582" s="86">
        <v>300</v>
      </c>
      <c r="L582" s="83">
        <f t="shared" si="84"/>
        <v>1274</v>
      </c>
      <c r="M582" s="94">
        <v>600</v>
      </c>
      <c r="N582" s="83">
        <f>'[2]FGT NON-FIRM'!P593</f>
        <v>30</v>
      </c>
      <c r="O582" s="86">
        <v>240</v>
      </c>
      <c r="P582" s="86">
        <v>160</v>
      </c>
      <c r="Q582" s="86">
        <f t="shared" si="85"/>
        <v>195</v>
      </c>
      <c r="R582" s="86">
        <f t="shared" si="86"/>
        <v>100</v>
      </c>
      <c r="S582" s="83">
        <f t="shared" si="87"/>
        <v>695</v>
      </c>
      <c r="T582" s="83">
        <f>'[2]GULFSTREAM NON-FIRM'!H593</f>
        <v>0</v>
      </c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</row>
    <row r="583" spans="1:30" ht="15.75" hidden="1" x14ac:dyDescent="0.25">
      <c r="A583" s="32">
        <v>58684</v>
      </c>
      <c r="B583" s="95">
        <v>31</v>
      </c>
      <c r="C583" s="83">
        <f>'[2]FGT PRIMARY FIRM ZONE 1'!V594</f>
        <v>194.20499999999998</v>
      </c>
      <c r="D583" s="83">
        <f>'[2]FGT PRIMARY FIRM ZONE 2'!V594</f>
        <v>267.46600000000001</v>
      </c>
      <c r="E583" s="92">
        <f>'[2]FGT PRIMARY FIRM ZONE 3'!V594</f>
        <v>133.845</v>
      </c>
      <c r="F583" s="83">
        <f>'[2]FGT FIRM ZONE 3 MOBILE BAY-DES'!V594-40-25-60-100</f>
        <v>53.48399999999998</v>
      </c>
      <c r="G583" s="86">
        <v>40</v>
      </c>
      <c r="H583" s="83">
        <f t="shared" si="92"/>
        <v>185</v>
      </c>
      <c r="I583" s="83">
        <f t="shared" si="90"/>
        <v>0</v>
      </c>
      <c r="J583" s="86">
        <v>100</v>
      </c>
      <c r="K583" s="86">
        <v>300</v>
      </c>
      <c r="L583" s="83">
        <f t="shared" si="84"/>
        <v>1274</v>
      </c>
      <c r="M583" s="94">
        <v>600</v>
      </c>
      <c r="N583" s="83">
        <f>'[2]FGT NON-FIRM'!P594</f>
        <v>30</v>
      </c>
      <c r="O583" s="86">
        <v>240</v>
      </c>
      <c r="P583" s="86">
        <v>160</v>
      </c>
      <c r="Q583" s="86">
        <f t="shared" si="85"/>
        <v>195</v>
      </c>
      <c r="R583" s="86">
        <f t="shared" si="86"/>
        <v>100</v>
      </c>
      <c r="S583" s="83">
        <f t="shared" si="87"/>
        <v>695</v>
      </c>
      <c r="T583" s="83">
        <f>'[2]GULFSTREAM NON-FIRM'!H594</f>
        <v>0</v>
      </c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</row>
    <row r="584" spans="1:30" ht="15.75" hidden="1" x14ac:dyDescent="0.25">
      <c r="A584" s="32">
        <v>58714</v>
      </c>
      <c r="B584" s="95">
        <v>30</v>
      </c>
      <c r="C584" s="83">
        <f>'[2]FGT PRIMARY FIRM ZONE 1'!V595</f>
        <v>194.20499999999998</v>
      </c>
      <c r="D584" s="83">
        <f>'[2]FGT PRIMARY FIRM ZONE 2'!V595</f>
        <v>267.46600000000001</v>
      </c>
      <c r="E584" s="92">
        <f>'[2]FGT PRIMARY FIRM ZONE 3'!V595</f>
        <v>133.845</v>
      </c>
      <c r="F584" s="83">
        <f>'[2]FGT FIRM ZONE 3 MOBILE BAY-DES'!V595-40-25-60-100</f>
        <v>53.48399999999998</v>
      </c>
      <c r="G584" s="86">
        <v>40</v>
      </c>
      <c r="H584" s="83">
        <f t="shared" si="92"/>
        <v>185</v>
      </c>
      <c r="I584" s="83">
        <f t="shared" si="90"/>
        <v>0</v>
      </c>
      <c r="J584" s="86">
        <v>100</v>
      </c>
      <c r="K584" s="86">
        <v>300</v>
      </c>
      <c r="L584" s="83">
        <f t="shared" si="84"/>
        <v>1274</v>
      </c>
      <c r="M584" s="94">
        <v>600</v>
      </c>
      <c r="N584" s="83">
        <f>'[2]FGT NON-FIRM'!P595</f>
        <v>30</v>
      </c>
      <c r="O584" s="86">
        <v>240</v>
      </c>
      <c r="P584" s="86">
        <v>160</v>
      </c>
      <c r="Q584" s="86">
        <f t="shared" si="85"/>
        <v>195</v>
      </c>
      <c r="R584" s="86">
        <f t="shared" si="86"/>
        <v>100</v>
      </c>
      <c r="S584" s="83">
        <f t="shared" si="87"/>
        <v>695</v>
      </c>
      <c r="T584" s="83">
        <f>'[2]GULFSTREAM NON-FIRM'!H595</f>
        <v>0</v>
      </c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</row>
    <row r="585" spans="1:30" ht="15.75" hidden="1" x14ac:dyDescent="0.25">
      <c r="A585" s="32">
        <v>58745</v>
      </c>
      <c r="B585" s="95">
        <v>31</v>
      </c>
      <c r="C585" s="83">
        <f>'[2]FGT PRIMARY FIRM ZONE 1'!V596</f>
        <v>131.881</v>
      </c>
      <c r="D585" s="83">
        <f>'[2]FGT PRIMARY FIRM ZONE 2'!V596</f>
        <v>277.16699999999997</v>
      </c>
      <c r="E585" s="92">
        <f>'[2]FGT PRIMARY FIRM ZONE 3'!V596</f>
        <v>79.08</v>
      </c>
      <c r="F585" s="83">
        <f>'[2]FGT FIRM ZONE 3 MOBILE BAY-DES'!V596-40-25-60-100</f>
        <v>125.87199999999996</v>
      </c>
      <c r="G585" s="86">
        <v>40</v>
      </c>
      <c r="H585" s="83">
        <f t="shared" si="92"/>
        <v>185</v>
      </c>
      <c r="I585" s="83">
        <f t="shared" si="90"/>
        <v>0</v>
      </c>
      <c r="J585" s="86">
        <v>100</v>
      </c>
      <c r="K585" s="86">
        <v>300</v>
      </c>
      <c r="L585" s="83">
        <f t="shared" si="84"/>
        <v>1239</v>
      </c>
      <c r="M585" s="94">
        <v>600</v>
      </c>
      <c r="N585" s="83">
        <f>'[2]FGT NON-FIRM'!P596</f>
        <v>75</v>
      </c>
      <c r="O585" s="86">
        <v>240</v>
      </c>
      <c r="P585" s="86">
        <v>160</v>
      </c>
      <c r="Q585" s="86">
        <f t="shared" si="85"/>
        <v>195</v>
      </c>
      <c r="R585" s="86">
        <f t="shared" si="86"/>
        <v>100</v>
      </c>
      <c r="S585" s="83">
        <f t="shared" si="87"/>
        <v>695</v>
      </c>
      <c r="T585" s="83">
        <f>'[2]GULFSTREAM NON-FIRM'!H596</f>
        <v>0</v>
      </c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</row>
    <row r="586" spans="1:30" ht="15.75" hidden="1" x14ac:dyDescent="0.25">
      <c r="A586" s="32">
        <v>58775</v>
      </c>
      <c r="B586" s="95">
        <v>30</v>
      </c>
      <c r="C586" s="83">
        <f>'[2]FGT PRIMARY FIRM ZONE 1'!V597</f>
        <v>122.58</v>
      </c>
      <c r="D586" s="83">
        <f>'[2]FGT PRIMARY FIRM ZONE 2'!V597</f>
        <v>297.94100000000003</v>
      </c>
      <c r="E586" s="92">
        <f>'[2]FGT PRIMARY FIRM ZONE 3'!V597</f>
        <v>89.177000000000007</v>
      </c>
      <c r="F586" s="83">
        <f>'[2]FGT FIRM ZONE 3 MOBILE BAY-DES'!V597-40-60-100</f>
        <v>40.301999999999992</v>
      </c>
      <c r="G586" s="86">
        <v>40</v>
      </c>
      <c r="H586" s="83">
        <f>60+100</f>
        <v>160</v>
      </c>
      <c r="I586" s="83">
        <f t="shared" si="90"/>
        <v>0</v>
      </c>
      <c r="J586" s="86">
        <v>100</v>
      </c>
      <c r="K586" s="86">
        <v>300</v>
      </c>
      <c r="L586" s="83">
        <f t="shared" si="84"/>
        <v>1150</v>
      </c>
      <c r="M586" s="94">
        <v>600</v>
      </c>
      <c r="N586" s="83">
        <f>'[2]FGT NON-FIRM'!P597</f>
        <v>100</v>
      </c>
      <c r="O586" s="86">
        <v>240</v>
      </c>
      <c r="P586" s="86">
        <v>40</v>
      </c>
      <c r="Q586" s="86">
        <f t="shared" si="85"/>
        <v>315</v>
      </c>
      <c r="R586" s="86">
        <f t="shared" si="86"/>
        <v>100</v>
      </c>
      <c r="S586" s="83">
        <f t="shared" si="87"/>
        <v>695</v>
      </c>
      <c r="T586" s="83">
        <f>'[2]GULFSTREAM NON-FIRM'!H597</f>
        <v>50</v>
      </c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</row>
    <row r="587" spans="1:30" ht="15.75" hidden="1" x14ac:dyDescent="0.25">
      <c r="A587" s="32">
        <v>58806</v>
      </c>
      <c r="B587" s="95">
        <v>31</v>
      </c>
      <c r="C587" s="83">
        <f>'[2]FGT PRIMARY FIRM ZONE 1'!V598</f>
        <v>122.58</v>
      </c>
      <c r="D587" s="83">
        <f>'[2]FGT PRIMARY FIRM ZONE 2'!V598</f>
        <v>297.94100000000003</v>
      </c>
      <c r="E587" s="92">
        <f>'[2]FGT PRIMARY FIRM ZONE 3'!V598</f>
        <v>89.177000000000007</v>
      </c>
      <c r="F587" s="83">
        <f>'[2]FGT FIRM ZONE 3 MOBILE BAY-DES'!V598-40-60-100</f>
        <v>40.301999999999992</v>
      </c>
      <c r="G587" s="86">
        <v>40</v>
      </c>
      <c r="H587" s="83">
        <f>60+100</f>
        <v>160</v>
      </c>
      <c r="I587" s="83">
        <f t="shared" si="90"/>
        <v>0</v>
      </c>
      <c r="J587" s="86">
        <v>100</v>
      </c>
      <c r="K587" s="86">
        <v>300</v>
      </c>
      <c r="L587" s="83">
        <f t="shared" si="84"/>
        <v>1150</v>
      </c>
      <c r="M587" s="94">
        <v>600</v>
      </c>
      <c r="N587" s="83">
        <f>'[2]FGT NON-FIRM'!P598</f>
        <v>100</v>
      </c>
      <c r="O587" s="86">
        <v>240</v>
      </c>
      <c r="P587" s="86">
        <v>40</v>
      </c>
      <c r="Q587" s="86">
        <f t="shared" si="85"/>
        <v>315</v>
      </c>
      <c r="R587" s="86">
        <f t="shared" si="86"/>
        <v>100</v>
      </c>
      <c r="S587" s="83">
        <f t="shared" si="87"/>
        <v>695</v>
      </c>
      <c r="T587" s="83">
        <f>'[2]GULFSTREAM NON-FIRM'!H598</f>
        <v>50</v>
      </c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</row>
    <row r="588" spans="1:30" ht="15.75" hidden="1" x14ac:dyDescent="0.25">
      <c r="A588" s="32">
        <v>58837</v>
      </c>
      <c r="B588" s="95">
        <v>31</v>
      </c>
      <c r="C588" s="83">
        <f>'[2]FGT PRIMARY FIRM ZONE 1'!V599</f>
        <v>122.58</v>
      </c>
      <c r="D588" s="83">
        <f>'[2]FGT PRIMARY FIRM ZONE 2'!V599</f>
        <v>297.94100000000003</v>
      </c>
      <c r="E588" s="92">
        <f>'[2]FGT PRIMARY FIRM ZONE 3'!V599</f>
        <v>89.177000000000007</v>
      </c>
      <c r="F588" s="83">
        <f>'[2]FGT FIRM ZONE 3 MOBILE BAY-DES'!V599-40-60-100</f>
        <v>40.301999999999992</v>
      </c>
      <c r="G588" s="86">
        <v>40</v>
      </c>
      <c r="H588" s="83">
        <f>60+100</f>
        <v>160</v>
      </c>
      <c r="I588" s="83">
        <f t="shared" si="90"/>
        <v>0</v>
      </c>
      <c r="J588" s="86">
        <v>100</v>
      </c>
      <c r="K588" s="86">
        <v>300</v>
      </c>
      <c r="L588" s="83">
        <f t="shared" si="84"/>
        <v>1150</v>
      </c>
      <c r="M588" s="94">
        <v>600</v>
      </c>
      <c r="N588" s="83">
        <f>'[2]FGT NON-FIRM'!P599</f>
        <v>100</v>
      </c>
      <c r="O588" s="86">
        <v>240</v>
      </c>
      <c r="P588" s="86">
        <v>40</v>
      </c>
      <c r="Q588" s="86">
        <f t="shared" si="85"/>
        <v>315</v>
      </c>
      <c r="R588" s="86">
        <f t="shared" si="86"/>
        <v>100</v>
      </c>
      <c r="S588" s="83">
        <f t="shared" si="87"/>
        <v>695</v>
      </c>
      <c r="T588" s="83">
        <f>'[2]GULFSTREAM NON-FIRM'!H599</f>
        <v>50</v>
      </c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</row>
    <row r="589" spans="1:30" ht="15.75" hidden="1" x14ac:dyDescent="0.25">
      <c r="A589" s="32">
        <v>58865</v>
      </c>
      <c r="B589" s="95">
        <v>28</v>
      </c>
      <c r="C589" s="83">
        <f>'[2]FGT PRIMARY FIRM ZONE 1'!V600</f>
        <v>122.58</v>
      </c>
      <c r="D589" s="83">
        <f>'[2]FGT PRIMARY FIRM ZONE 2'!V600</f>
        <v>297.94100000000003</v>
      </c>
      <c r="E589" s="92">
        <f>'[2]FGT PRIMARY FIRM ZONE 3'!V600</f>
        <v>89.177000000000007</v>
      </c>
      <c r="F589" s="83">
        <f>'[2]FGT FIRM ZONE 3 MOBILE BAY-DES'!V600-40-60-100</f>
        <v>40.301999999999992</v>
      </c>
      <c r="G589" s="86">
        <v>40</v>
      </c>
      <c r="H589" s="83">
        <f>60+100</f>
        <v>160</v>
      </c>
      <c r="I589" s="83">
        <f t="shared" si="90"/>
        <v>0</v>
      </c>
      <c r="J589" s="86">
        <v>100</v>
      </c>
      <c r="K589" s="86">
        <v>300</v>
      </c>
      <c r="L589" s="83">
        <f t="shared" si="84"/>
        <v>1150</v>
      </c>
      <c r="M589" s="94">
        <v>600</v>
      </c>
      <c r="N589" s="83">
        <f>'[2]FGT NON-FIRM'!P600</f>
        <v>100</v>
      </c>
      <c r="O589" s="86">
        <v>240</v>
      </c>
      <c r="P589" s="86">
        <v>40</v>
      </c>
      <c r="Q589" s="86">
        <f t="shared" si="85"/>
        <v>315</v>
      </c>
      <c r="R589" s="86">
        <f t="shared" si="86"/>
        <v>100</v>
      </c>
      <c r="S589" s="83">
        <f t="shared" si="87"/>
        <v>695</v>
      </c>
      <c r="T589" s="83">
        <f>'[2]GULFSTREAM NON-FIRM'!H600</f>
        <v>50</v>
      </c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</row>
    <row r="590" spans="1:30" ht="15.75" hidden="1" x14ac:dyDescent="0.25">
      <c r="A590" s="32">
        <v>58893</v>
      </c>
      <c r="B590" s="95">
        <v>31</v>
      </c>
      <c r="C590" s="83">
        <f>'[2]FGT PRIMARY FIRM ZONE 1'!V601</f>
        <v>122.58</v>
      </c>
      <c r="D590" s="83">
        <f>'[2]FGT PRIMARY FIRM ZONE 2'!V601</f>
        <v>297.94100000000003</v>
      </c>
      <c r="E590" s="92">
        <f>'[2]FGT PRIMARY FIRM ZONE 3'!V601</f>
        <v>89.177000000000007</v>
      </c>
      <c r="F590" s="83">
        <f>'[2]FGT FIRM ZONE 3 MOBILE BAY-DES'!V601-40-60-100</f>
        <v>40.301999999999992</v>
      </c>
      <c r="G590" s="86">
        <v>40</v>
      </c>
      <c r="H590" s="83">
        <f>60+100</f>
        <v>160</v>
      </c>
      <c r="I590" s="83">
        <f t="shared" si="90"/>
        <v>0</v>
      </c>
      <c r="J590" s="86">
        <v>100</v>
      </c>
      <c r="K590" s="86">
        <v>300</v>
      </c>
      <c r="L590" s="83">
        <f t="shared" si="84"/>
        <v>1150</v>
      </c>
      <c r="M590" s="94">
        <v>600</v>
      </c>
      <c r="N590" s="83">
        <f>'[2]FGT NON-FIRM'!P601</f>
        <v>100</v>
      </c>
      <c r="O590" s="86">
        <v>240</v>
      </c>
      <c r="P590" s="86">
        <v>40</v>
      </c>
      <c r="Q590" s="86">
        <f t="shared" si="85"/>
        <v>315</v>
      </c>
      <c r="R590" s="86">
        <f t="shared" si="86"/>
        <v>100</v>
      </c>
      <c r="S590" s="83">
        <f t="shared" si="87"/>
        <v>695</v>
      </c>
      <c r="T590" s="83">
        <f>'[2]GULFSTREAM NON-FIRM'!H601</f>
        <v>50</v>
      </c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</row>
    <row r="591" spans="1:30" ht="15.75" hidden="1" x14ac:dyDescent="0.25">
      <c r="A591" s="32">
        <v>58926</v>
      </c>
      <c r="B591" s="95">
        <v>30</v>
      </c>
      <c r="C591" s="83">
        <f>'[2]FGT PRIMARY FIRM ZONE 1'!V602</f>
        <v>141.29300000000001</v>
      </c>
      <c r="D591" s="83">
        <f>'[2]FGT PRIMARY FIRM ZONE 2'!V602</f>
        <v>267.99299999999999</v>
      </c>
      <c r="E591" s="92">
        <f>'[2]FGT PRIMARY FIRM ZONE 3'!V602</f>
        <v>115.01600000000001</v>
      </c>
      <c r="F591" s="83">
        <f>'[2]FGT FIRM ZONE 3 MOBILE BAY-DES'!V602-40-25-60-100</f>
        <v>89.698000000000036</v>
      </c>
      <c r="G591" s="86">
        <v>40</v>
      </c>
      <c r="H591" s="83">
        <f t="shared" ref="H591:H597" si="93">25+60+100</f>
        <v>185</v>
      </c>
      <c r="I591" s="83">
        <f t="shared" si="90"/>
        <v>0</v>
      </c>
      <c r="J591" s="86">
        <v>100</v>
      </c>
      <c r="K591" s="86">
        <v>300</v>
      </c>
      <c r="L591" s="83">
        <f t="shared" si="84"/>
        <v>1239</v>
      </c>
      <c r="M591" s="94">
        <v>600</v>
      </c>
      <c r="N591" s="83">
        <f>'[2]FGT NON-FIRM'!P602</f>
        <v>100</v>
      </c>
      <c r="O591" s="86">
        <v>240</v>
      </c>
      <c r="P591" s="86">
        <v>160</v>
      </c>
      <c r="Q591" s="86">
        <f t="shared" si="85"/>
        <v>195</v>
      </c>
      <c r="R591" s="86">
        <f t="shared" si="86"/>
        <v>100</v>
      </c>
      <c r="S591" s="83">
        <f t="shared" si="87"/>
        <v>695</v>
      </c>
      <c r="T591" s="83">
        <f>'[2]GULFSTREAM NON-FIRM'!H602</f>
        <v>50</v>
      </c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</row>
    <row r="592" spans="1:30" ht="15.75" hidden="1" x14ac:dyDescent="0.25">
      <c r="A592" s="32">
        <v>58957</v>
      </c>
      <c r="B592" s="95">
        <v>31</v>
      </c>
      <c r="C592" s="83">
        <f>'[2]FGT PRIMARY FIRM ZONE 1'!V603</f>
        <v>194.20499999999998</v>
      </c>
      <c r="D592" s="83">
        <f>'[2]FGT PRIMARY FIRM ZONE 2'!V603</f>
        <v>267.46600000000001</v>
      </c>
      <c r="E592" s="92">
        <f>'[2]FGT PRIMARY FIRM ZONE 3'!V603</f>
        <v>133.845</v>
      </c>
      <c r="F592" s="83">
        <f>'[2]FGT FIRM ZONE 3 MOBILE BAY-DES'!V603-40-25-60-100</f>
        <v>53.48399999999998</v>
      </c>
      <c r="G592" s="86">
        <v>40</v>
      </c>
      <c r="H592" s="83">
        <f t="shared" si="93"/>
        <v>185</v>
      </c>
      <c r="I592" s="83">
        <f t="shared" si="90"/>
        <v>0</v>
      </c>
      <c r="J592" s="86">
        <v>100</v>
      </c>
      <c r="K592" s="86">
        <v>300</v>
      </c>
      <c r="L592" s="83">
        <f t="shared" si="84"/>
        <v>1274</v>
      </c>
      <c r="M592" s="94">
        <v>600</v>
      </c>
      <c r="N592" s="83">
        <f>'[2]FGT NON-FIRM'!P603</f>
        <v>75</v>
      </c>
      <c r="O592" s="86">
        <v>240</v>
      </c>
      <c r="P592" s="86">
        <v>160</v>
      </c>
      <c r="Q592" s="86">
        <f t="shared" si="85"/>
        <v>195</v>
      </c>
      <c r="R592" s="86">
        <f t="shared" si="86"/>
        <v>100</v>
      </c>
      <c r="S592" s="83">
        <f t="shared" si="87"/>
        <v>695</v>
      </c>
      <c r="T592" s="83">
        <f>'[2]GULFSTREAM NON-FIRM'!H603</f>
        <v>50</v>
      </c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</row>
    <row r="593" spans="1:30" ht="15.75" hidden="1" x14ac:dyDescent="0.25">
      <c r="A593" s="32">
        <v>58987</v>
      </c>
      <c r="B593" s="95">
        <v>30</v>
      </c>
      <c r="C593" s="83">
        <f>'[2]FGT PRIMARY FIRM ZONE 1'!V604</f>
        <v>194.20499999999998</v>
      </c>
      <c r="D593" s="83">
        <f>'[2]FGT PRIMARY FIRM ZONE 2'!V604</f>
        <v>267.46600000000001</v>
      </c>
      <c r="E593" s="92">
        <f>'[2]FGT PRIMARY FIRM ZONE 3'!V604</f>
        <v>133.845</v>
      </c>
      <c r="F593" s="83">
        <f>'[2]FGT FIRM ZONE 3 MOBILE BAY-DES'!V604-40-25-60-100</f>
        <v>53.48399999999998</v>
      </c>
      <c r="G593" s="86">
        <v>40</v>
      </c>
      <c r="H593" s="83">
        <f t="shared" si="93"/>
        <v>185</v>
      </c>
      <c r="I593" s="83">
        <f t="shared" si="90"/>
        <v>0</v>
      </c>
      <c r="J593" s="86">
        <v>100</v>
      </c>
      <c r="K593" s="86">
        <v>300</v>
      </c>
      <c r="L593" s="83">
        <f t="shared" si="84"/>
        <v>1274</v>
      </c>
      <c r="M593" s="94">
        <v>600</v>
      </c>
      <c r="N593" s="83">
        <f>'[2]FGT NON-FIRM'!P604</f>
        <v>30</v>
      </c>
      <c r="O593" s="86">
        <v>240</v>
      </c>
      <c r="P593" s="86">
        <v>160</v>
      </c>
      <c r="Q593" s="86">
        <f t="shared" si="85"/>
        <v>195</v>
      </c>
      <c r="R593" s="86">
        <f t="shared" si="86"/>
        <v>100</v>
      </c>
      <c r="S593" s="83">
        <f t="shared" si="87"/>
        <v>695</v>
      </c>
      <c r="T593" s="83">
        <f>'[2]GULFSTREAM NON-FIRM'!H604</f>
        <v>50</v>
      </c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</row>
    <row r="594" spans="1:30" ht="15.75" hidden="1" x14ac:dyDescent="0.25">
      <c r="A594" s="32">
        <v>59018</v>
      </c>
      <c r="B594" s="95">
        <v>31</v>
      </c>
      <c r="C594" s="83">
        <f>'[2]FGT PRIMARY FIRM ZONE 1'!V605</f>
        <v>194.20499999999998</v>
      </c>
      <c r="D594" s="83">
        <f>'[2]FGT PRIMARY FIRM ZONE 2'!V605</f>
        <v>267.46600000000001</v>
      </c>
      <c r="E594" s="92">
        <f>'[2]FGT PRIMARY FIRM ZONE 3'!V605</f>
        <v>133.845</v>
      </c>
      <c r="F594" s="83">
        <f>'[2]FGT FIRM ZONE 3 MOBILE BAY-DES'!V605-40-25-60-100</f>
        <v>53.48399999999998</v>
      </c>
      <c r="G594" s="86">
        <v>40</v>
      </c>
      <c r="H594" s="83">
        <f t="shared" si="93"/>
        <v>185</v>
      </c>
      <c r="I594" s="83">
        <f t="shared" si="90"/>
        <v>0</v>
      </c>
      <c r="J594" s="86">
        <v>100</v>
      </c>
      <c r="K594" s="86">
        <v>300</v>
      </c>
      <c r="L594" s="83">
        <f t="shared" si="84"/>
        <v>1274</v>
      </c>
      <c r="M594" s="94">
        <v>600</v>
      </c>
      <c r="N594" s="83">
        <f>'[2]FGT NON-FIRM'!P605</f>
        <v>30</v>
      </c>
      <c r="O594" s="86">
        <v>240</v>
      </c>
      <c r="P594" s="86">
        <v>160</v>
      </c>
      <c r="Q594" s="86">
        <f t="shared" si="85"/>
        <v>195</v>
      </c>
      <c r="R594" s="86">
        <f t="shared" si="86"/>
        <v>100</v>
      </c>
      <c r="S594" s="83">
        <f t="shared" si="87"/>
        <v>695</v>
      </c>
      <c r="T594" s="83">
        <f>'[2]GULFSTREAM NON-FIRM'!H605</f>
        <v>0</v>
      </c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</row>
    <row r="595" spans="1:30" ht="15.75" hidden="1" x14ac:dyDescent="0.25">
      <c r="A595" s="32">
        <v>59049</v>
      </c>
      <c r="B595" s="95">
        <v>31</v>
      </c>
      <c r="C595" s="83">
        <f>'[2]FGT PRIMARY FIRM ZONE 1'!V606</f>
        <v>194.20499999999998</v>
      </c>
      <c r="D595" s="83">
        <f>'[2]FGT PRIMARY FIRM ZONE 2'!V606</f>
        <v>267.46600000000001</v>
      </c>
      <c r="E595" s="92">
        <f>'[2]FGT PRIMARY FIRM ZONE 3'!V606</f>
        <v>133.845</v>
      </c>
      <c r="F595" s="83">
        <f>'[2]FGT FIRM ZONE 3 MOBILE BAY-DES'!V606-40-25-60-100</f>
        <v>53.48399999999998</v>
      </c>
      <c r="G595" s="86">
        <v>40</v>
      </c>
      <c r="H595" s="83">
        <f t="shared" si="93"/>
        <v>185</v>
      </c>
      <c r="I595" s="83">
        <f t="shared" si="90"/>
        <v>0</v>
      </c>
      <c r="J595" s="86">
        <v>100</v>
      </c>
      <c r="K595" s="86">
        <v>300</v>
      </c>
      <c r="L595" s="83">
        <f t="shared" si="84"/>
        <v>1274</v>
      </c>
      <c r="M595" s="94">
        <v>600</v>
      </c>
      <c r="N595" s="83">
        <f>'[2]FGT NON-FIRM'!P606</f>
        <v>30</v>
      </c>
      <c r="O595" s="86">
        <v>240</v>
      </c>
      <c r="P595" s="86">
        <v>160</v>
      </c>
      <c r="Q595" s="86">
        <f t="shared" si="85"/>
        <v>195</v>
      </c>
      <c r="R595" s="86">
        <f t="shared" si="86"/>
        <v>100</v>
      </c>
      <c r="S595" s="83">
        <f t="shared" si="87"/>
        <v>695</v>
      </c>
      <c r="T595" s="83">
        <f>'[2]GULFSTREAM NON-FIRM'!H606</f>
        <v>0</v>
      </c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</row>
    <row r="596" spans="1:30" ht="15.75" hidden="1" x14ac:dyDescent="0.25">
      <c r="A596" s="32">
        <v>59079</v>
      </c>
      <c r="B596" s="95">
        <v>30</v>
      </c>
      <c r="C596" s="83">
        <f>'[2]FGT PRIMARY FIRM ZONE 1'!V607</f>
        <v>194.20499999999998</v>
      </c>
      <c r="D596" s="83">
        <f>'[2]FGT PRIMARY FIRM ZONE 2'!V607</f>
        <v>267.46600000000001</v>
      </c>
      <c r="E596" s="92">
        <f>'[2]FGT PRIMARY FIRM ZONE 3'!V607</f>
        <v>133.845</v>
      </c>
      <c r="F596" s="83">
        <f>'[2]FGT FIRM ZONE 3 MOBILE BAY-DES'!V607-40-25-60-100</f>
        <v>53.48399999999998</v>
      </c>
      <c r="G596" s="86">
        <v>40</v>
      </c>
      <c r="H596" s="83">
        <f t="shared" si="93"/>
        <v>185</v>
      </c>
      <c r="I596" s="83">
        <f t="shared" si="90"/>
        <v>0</v>
      </c>
      <c r="J596" s="86">
        <v>100</v>
      </c>
      <c r="K596" s="86">
        <v>300</v>
      </c>
      <c r="L596" s="83">
        <f t="shared" ref="L596:L659" si="94">SUM(C596:K596)</f>
        <v>1274</v>
      </c>
      <c r="M596" s="94">
        <v>600</v>
      </c>
      <c r="N596" s="83">
        <f>'[2]FGT NON-FIRM'!P607</f>
        <v>30</v>
      </c>
      <c r="O596" s="86">
        <v>240</v>
      </c>
      <c r="P596" s="86">
        <v>160</v>
      </c>
      <c r="Q596" s="86">
        <f t="shared" ref="Q596:Q659" si="95">695-R596-O596-P596</f>
        <v>195</v>
      </c>
      <c r="R596" s="86">
        <f t="shared" ref="R596:R659" si="96">200-J596</f>
        <v>100</v>
      </c>
      <c r="S596" s="83">
        <f t="shared" ref="S596:S659" si="97">SUM(O596:R596)</f>
        <v>695</v>
      </c>
      <c r="T596" s="83">
        <f>'[2]GULFSTREAM NON-FIRM'!H607</f>
        <v>0</v>
      </c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</row>
    <row r="597" spans="1:30" ht="15.75" hidden="1" x14ac:dyDescent="0.25">
      <c r="A597" s="32">
        <v>59110</v>
      </c>
      <c r="B597" s="95">
        <v>31</v>
      </c>
      <c r="C597" s="83">
        <f>'[2]FGT PRIMARY FIRM ZONE 1'!V608</f>
        <v>131.881</v>
      </c>
      <c r="D597" s="83">
        <f>'[2]FGT PRIMARY FIRM ZONE 2'!V608</f>
        <v>277.16699999999997</v>
      </c>
      <c r="E597" s="92">
        <f>'[2]FGT PRIMARY FIRM ZONE 3'!V608</f>
        <v>79.08</v>
      </c>
      <c r="F597" s="83">
        <f>'[2]FGT FIRM ZONE 3 MOBILE BAY-DES'!V608-40-25-60-100</f>
        <v>125.87199999999996</v>
      </c>
      <c r="G597" s="86">
        <v>40</v>
      </c>
      <c r="H597" s="83">
        <f t="shared" si="93"/>
        <v>185</v>
      </c>
      <c r="I597" s="83">
        <f t="shared" si="90"/>
        <v>0</v>
      </c>
      <c r="J597" s="86">
        <v>100</v>
      </c>
      <c r="K597" s="86">
        <v>300</v>
      </c>
      <c r="L597" s="83">
        <f t="shared" si="94"/>
        <v>1239</v>
      </c>
      <c r="M597" s="94">
        <v>600</v>
      </c>
      <c r="N597" s="83">
        <f>'[2]FGT NON-FIRM'!P608</f>
        <v>75</v>
      </c>
      <c r="O597" s="86">
        <v>240</v>
      </c>
      <c r="P597" s="86">
        <v>160</v>
      </c>
      <c r="Q597" s="86">
        <f t="shared" si="95"/>
        <v>195</v>
      </c>
      <c r="R597" s="86">
        <f t="shared" si="96"/>
        <v>100</v>
      </c>
      <c r="S597" s="83">
        <f t="shared" si="97"/>
        <v>695</v>
      </c>
      <c r="T597" s="83">
        <f>'[2]GULFSTREAM NON-FIRM'!H608</f>
        <v>0</v>
      </c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</row>
    <row r="598" spans="1:30" ht="15.75" hidden="1" x14ac:dyDescent="0.25">
      <c r="A598" s="32">
        <v>59140</v>
      </c>
      <c r="B598" s="95">
        <v>30</v>
      </c>
      <c r="C598" s="83">
        <f>'[2]FGT PRIMARY FIRM ZONE 1'!V609</f>
        <v>122.58</v>
      </c>
      <c r="D598" s="83">
        <f>'[2]FGT PRIMARY FIRM ZONE 2'!V609</f>
        <v>297.94100000000003</v>
      </c>
      <c r="E598" s="92">
        <f>'[2]FGT PRIMARY FIRM ZONE 3'!V609</f>
        <v>89.177000000000007</v>
      </c>
      <c r="F598" s="83">
        <f>'[2]FGT FIRM ZONE 3 MOBILE BAY-DES'!V609-40-60-100</f>
        <v>40.301999999999992</v>
      </c>
      <c r="G598" s="86">
        <v>40</v>
      </c>
      <c r="H598" s="83">
        <f>60+100</f>
        <v>160</v>
      </c>
      <c r="I598" s="83">
        <f t="shared" si="90"/>
        <v>0</v>
      </c>
      <c r="J598" s="86">
        <v>100</v>
      </c>
      <c r="K598" s="86">
        <v>300</v>
      </c>
      <c r="L598" s="83">
        <f t="shared" si="94"/>
        <v>1150</v>
      </c>
      <c r="M598" s="94">
        <v>600</v>
      </c>
      <c r="N598" s="83">
        <f>'[2]FGT NON-FIRM'!P609</f>
        <v>100</v>
      </c>
      <c r="O598" s="86">
        <v>240</v>
      </c>
      <c r="P598" s="86">
        <v>40</v>
      </c>
      <c r="Q598" s="86">
        <f t="shared" si="95"/>
        <v>315</v>
      </c>
      <c r="R598" s="86">
        <f t="shared" si="96"/>
        <v>100</v>
      </c>
      <c r="S598" s="83">
        <f t="shared" si="97"/>
        <v>695</v>
      </c>
      <c r="T598" s="83">
        <f>'[2]GULFSTREAM NON-FIRM'!H609</f>
        <v>50</v>
      </c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</row>
    <row r="599" spans="1:30" ht="15.75" hidden="1" x14ac:dyDescent="0.25">
      <c r="A599" s="32">
        <v>59171</v>
      </c>
      <c r="B599" s="95">
        <v>31</v>
      </c>
      <c r="C599" s="83">
        <f>'[2]FGT PRIMARY FIRM ZONE 1'!V610</f>
        <v>122.58</v>
      </c>
      <c r="D599" s="83">
        <f>'[2]FGT PRIMARY FIRM ZONE 2'!V610</f>
        <v>297.94100000000003</v>
      </c>
      <c r="E599" s="92">
        <f>'[2]FGT PRIMARY FIRM ZONE 3'!V610</f>
        <v>89.177000000000007</v>
      </c>
      <c r="F599" s="83">
        <f>'[2]FGT FIRM ZONE 3 MOBILE BAY-DES'!V610-40-60-100</f>
        <v>40.301999999999992</v>
      </c>
      <c r="G599" s="86">
        <v>40</v>
      </c>
      <c r="H599" s="83">
        <f>60+100</f>
        <v>160</v>
      </c>
      <c r="I599" s="83">
        <f t="shared" si="90"/>
        <v>0</v>
      </c>
      <c r="J599" s="86">
        <v>100</v>
      </c>
      <c r="K599" s="86">
        <v>300</v>
      </c>
      <c r="L599" s="83">
        <f t="shared" si="94"/>
        <v>1150</v>
      </c>
      <c r="M599" s="94">
        <v>600</v>
      </c>
      <c r="N599" s="83">
        <f>'[2]FGT NON-FIRM'!P610</f>
        <v>100</v>
      </c>
      <c r="O599" s="86">
        <v>240</v>
      </c>
      <c r="P599" s="86">
        <v>40</v>
      </c>
      <c r="Q599" s="86">
        <f t="shared" si="95"/>
        <v>315</v>
      </c>
      <c r="R599" s="86">
        <f t="shared" si="96"/>
        <v>100</v>
      </c>
      <c r="S599" s="83">
        <f t="shared" si="97"/>
        <v>695</v>
      </c>
      <c r="T599" s="83">
        <f>'[2]GULFSTREAM NON-FIRM'!H610</f>
        <v>50</v>
      </c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</row>
    <row r="600" spans="1:30" ht="15.75" hidden="1" x14ac:dyDescent="0.25">
      <c r="A600" s="32">
        <v>59202</v>
      </c>
      <c r="B600" s="95">
        <f t="shared" ref="B600:B663" si="98">EOMONTH(A600,0)-EOMONTH(A600,-1)</f>
        <v>31</v>
      </c>
      <c r="C600" s="83">
        <f>'[2]FGT PRIMARY FIRM ZONE 1'!V611</f>
        <v>122.58</v>
      </c>
      <c r="D600" s="83">
        <f>'[2]FGT PRIMARY FIRM ZONE 2'!V611</f>
        <v>297.94100000000003</v>
      </c>
      <c r="E600" s="92">
        <f>'[2]FGT PRIMARY FIRM ZONE 3'!V611</f>
        <v>89.177000000000007</v>
      </c>
      <c r="F600" s="83">
        <f>'[2]FGT FIRM ZONE 3 MOBILE BAY-DES'!V611-40-60-100</f>
        <v>40.301999999999992</v>
      </c>
      <c r="G600" s="86">
        <v>40</v>
      </c>
      <c r="H600" s="83">
        <f>60+100</f>
        <v>160</v>
      </c>
      <c r="I600" s="83">
        <f t="shared" si="90"/>
        <v>0</v>
      </c>
      <c r="J600" s="86">
        <v>100</v>
      </c>
      <c r="K600" s="86">
        <v>300</v>
      </c>
      <c r="L600" s="83">
        <f t="shared" si="94"/>
        <v>1150</v>
      </c>
      <c r="M600" s="94">
        <v>600</v>
      </c>
      <c r="N600" s="83">
        <f>'[2]FGT NON-FIRM'!P611</f>
        <v>100</v>
      </c>
      <c r="O600" s="86">
        <v>240</v>
      </c>
      <c r="P600" s="86">
        <v>40</v>
      </c>
      <c r="Q600" s="86">
        <f t="shared" si="95"/>
        <v>315</v>
      </c>
      <c r="R600" s="86">
        <f t="shared" si="96"/>
        <v>100</v>
      </c>
      <c r="S600" s="83">
        <f t="shared" si="97"/>
        <v>695</v>
      </c>
      <c r="T600" s="83">
        <f>'[2]GULFSTREAM NON-FIRM'!H611</f>
        <v>50</v>
      </c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</row>
    <row r="601" spans="1:30" ht="15.75" hidden="1" x14ac:dyDescent="0.25">
      <c r="A601" s="32">
        <v>59230</v>
      </c>
      <c r="B601" s="95">
        <f t="shared" si="98"/>
        <v>28</v>
      </c>
      <c r="C601" s="83">
        <f>'[2]FGT PRIMARY FIRM ZONE 1'!V612</f>
        <v>122.58</v>
      </c>
      <c r="D601" s="83">
        <f>'[2]FGT PRIMARY FIRM ZONE 2'!V612</f>
        <v>297.94100000000003</v>
      </c>
      <c r="E601" s="92">
        <f>'[2]FGT PRIMARY FIRM ZONE 3'!V612</f>
        <v>89.177000000000007</v>
      </c>
      <c r="F601" s="83">
        <f>'[2]FGT FIRM ZONE 3 MOBILE BAY-DES'!V612-40-60-100</f>
        <v>40.301999999999992</v>
      </c>
      <c r="G601" s="86">
        <v>40</v>
      </c>
      <c r="H601" s="83">
        <f>60+100</f>
        <v>160</v>
      </c>
      <c r="I601" s="83">
        <f t="shared" si="90"/>
        <v>0</v>
      </c>
      <c r="J601" s="86">
        <v>100</v>
      </c>
      <c r="K601" s="86">
        <v>300</v>
      </c>
      <c r="L601" s="83">
        <f t="shared" si="94"/>
        <v>1150</v>
      </c>
      <c r="M601" s="94">
        <v>600</v>
      </c>
      <c r="N601" s="83">
        <f>'[2]FGT NON-FIRM'!P612</f>
        <v>100</v>
      </c>
      <c r="O601" s="86">
        <v>240</v>
      </c>
      <c r="P601" s="86">
        <v>40</v>
      </c>
      <c r="Q601" s="86">
        <f t="shared" si="95"/>
        <v>315</v>
      </c>
      <c r="R601" s="86">
        <f t="shared" si="96"/>
        <v>100</v>
      </c>
      <c r="S601" s="83">
        <f t="shared" si="97"/>
        <v>695</v>
      </c>
      <c r="T601" s="83">
        <f>'[2]GULFSTREAM NON-FIRM'!H612</f>
        <v>50</v>
      </c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</row>
    <row r="602" spans="1:30" ht="15.75" hidden="1" x14ac:dyDescent="0.25">
      <c r="A602" s="32">
        <v>59261</v>
      </c>
      <c r="B602" s="95">
        <f t="shared" si="98"/>
        <v>31</v>
      </c>
      <c r="C602" s="83">
        <f>'[2]FGT PRIMARY FIRM ZONE 1'!V613</f>
        <v>122.58</v>
      </c>
      <c r="D602" s="83">
        <f>'[2]FGT PRIMARY FIRM ZONE 2'!V613</f>
        <v>297.94100000000003</v>
      </c>
      <c r="E602" s="92">
        <f>'[2]FGT PRIMARY FIRM ZONE 3'!V613</f>
        <v>89.177000000000007</v>
      </c>
      <c r="F602" s="83">
        <f>'[2]FGT FIRM ZONE 3 MOBILE BAY-DES'!V613-40-60-100</f>
        <v>40.301999999999992</v>
      </c>
      <c r="G602" s="86">
        <v>40</v>
      </c>
      <c r="H602" s="83">
        <f>60+100</f>
        <v>160</v>
      </c>
      <c r="I602" s="83">
        <f t="shared" si="90"/>
        <v>0</v>
      </c>
      <c r="J602" s="86">
        <v>100</v>
      </c>
      <c r="K602" s="86">
        <v>300</v>
      </c>
      <c r="L602" s="83">
        <f t="shared" si="94"/>
        <v>1150</v>
      </c>
      <c r="M602" s="94">
        <v>600</v>
      </c>
      <c r="N602" s="83">
        <f>'[2]FGT NON-FIRM'!P613</f>
        <v>100</v>
      </c>
      <c r="O602" s="86">
        <v>240</v>
      </c>
      <c r="P602" s="86">
        <v>40</v>
      </c>
      <c r="Q602" s="86">
        <f t="shared" si="95"/>
        <v>315</v>
      </c>
      <c r="R602" s="86">
        <f t="shared" si="96"/>
        <v>100</v>
      </c>
      <c r="S602" s="83">
        <f t="shared" si="97"/>
        <v>695</v>
      </c>
      <c r="T602" s="83">
        <f>'[2]GULFSTREAM NON-FIRM'!H613</f>
        <v>50</v>
      </c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</row>
    <row r="603" spans="1:30" ht="15.75" hidden="1" x14ac:dyDescent="0.25">
      <c r="A603" s="32">
        <v>59291</v>
      </c>
      <c r="B603" s="95">
        <f t="shared" si="98"/>
        <v>30</v>
      </c>
      <c r="C603" s="83">
        <f>'[2]FGT PRIMARY FIRM ZONE 1'!V614</f>
        <v>141.29300000000001</v>
      </c>
      <c r="D603" s="83">
        <f>'[2]FGT PRIMARY FIRM ZONE 2'!V614</f>
        <v>267.99299999999999</v>
      </c>
      <c r="E603" s="92">
        <f>'[2]FGT PRIMARY FIRM ZONE 3'!V614</f>
        <v>115.01600000000001</v>
      </c>
      <c r="F603" s="83">
        <f>'[2]FGT FIRM ZONE 3 MOBILE BAY-DES'!V614-40-25-60-100</f>
        <v>89.698000000000036</v>
      </c>
      <c r="G603" s="86">
        <v>40</v>
      </c>
      <c r="H603" s="83">
        <f t="shared" ref="H603:H609" si="99">25+60+100</f>
        <v>185</v>
      </c>
      <c r="I603" s="83">
        <f t="shared" si="90"/>
        <v>0</v>
      </c>
      <c r="J603" s="86">
        <v>100</v>
      </c>
      <c r="K603" s="86">
        <v>300</v>
      </c>
      <c r="L603" s="83">
        <f t="shared" si="94"/>
        <v>1239</v>
      </c>
      <c r="M603" s="94">
        <v>600</v>
      </c>
      <c r="N603" s="83">
        <f>'[2]FGT NON-FIRM'!P614</f>
        <v>100</v>
      </c>
      <c r="O603" s="86">
        <v>240</v>
      </c>
      <c r="P603" s="86">
        <v>40</v>
      </c>
      <c r="Q603" s="86">
        <f t="shared" si="95"/>
        <v>315</v>
      </c>
      <c r="R603" s="86">
        <f t="shared" si="96"/>
        <v>100</v>
      </c>
      <c r="S603" s="83">
        <f t="shared" si="97"/>
        <v>695</v>
      </c>
      <c r="T603" s="83">
        <f>'[2]GULFSTREAM NON-FIRM'!H614</f>
        <v>50</v>
      </c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</row>
    <row r="604" spans="1:30" ht="15.75" hidden="1" x14ac:dyDescent="0.25">
      <c r="A604" s="32">
        <v>59322</v>
      </c>
      <c r="B604" s="95">
        <f t="shared" si="98"/>
        <v>31</v>
      </c>
      <c r="C604" s="83">
        <f>'[2]FGT PRIMARY FIRM ZONE 1'!V615</f>
        <v>194.20499999999998</v>
      </c>
      <c r="D604" s="83">
        <f>'[2]FGT PRIMARY FIRM ZONE 2'!V615</f>
        <v>267.46600000000001</v>
      </c>
      <c r="E604" s="92">
        <f>'[2]FGT PRIMARY FIRM ZONE 3'!V615</f>
        <v>133.845</v>
      </c>
      <c r="F604" s="83">
        <f>'[2]FGT FIRM ZONE 3 MOBILE BAY-DES'!V615-40-25-60-100</f>
        <v>53.48399999999998</v>
      </c>
      <c r="G604" s="86">
        <v>40</v>
      </c>
      <c r="H604" s="83">
        <f t="shared" si="99"/>
        <v>185</v>
      </c>
      <c r="I604" s="83">
        <f t="shared" si="90"/>
        <v>0</v>
      </c>
      <c r="J604" s="86">
        <v>100</v>
      </c>
      <c r="K604" s="86">
        <v>300</v>
      </c>
      <c r="L604" s="83">
        <f t="shared" si="94"/>
        <v>1274</v>
      </c>
      <c r="M604" s="94">
        <v>600</v>
      </c>
      <c r="N604" s="83">
        <f>'[2]FGT NON-FIRM'!P615</f>
        <v>75</v>
      </c>
      <c r="O604" s="86">
        <v>240</v>
      </c>
      <c r="P604" s="86">
        <v>40</v>
      </c>
      <c r="Q604" s="86">
        <f t="shared" si="95"/>
        <v>315</v>
      </c>
      <c r="R604" s="86">
        <f t="shared" si="96"/>
        <v>100</v>
      </c>
      <c r="S604" s="83">
        <f t="shared" si="97"/>
        <v>695</v>
      </c>
      <c r="T604" s="83">
        <f>'[2]GULFSTREAM NON-FIRM'!H615</f>
        <v>50</v>
      </c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</row>
    <row r="605" spans="1:30" ht="15.75" hidden="1" x14ac:dyDescent="0.25">
      <c r="A605" s="32">
        <v>59352</v>
      </c>
      <c r="B605" s="95">
        <f t="shared" si="98"/>
        <v>30</v>
      </c>
      <c r="C605" s="83">
        <f>'[2]FGT PRIMARY FIRM ZONE 1'!V616</f>
        <v>194.20499999999998</v>
      </c>
      <c r="D605" s="83">
        <f>'[2]FGT PRIMARY FIRM ZONE 2'!V616</f>
        <v>267.46600000000001</v>
      </c>
      <c r="E605" s="92">
        <f>'[2]FGT PRIMARY FIRM ZONE 3'!V616</f>
        <v>133.845</v>
      </c>
      <c r="F605" s="83">
        <f>'[2]FGT FIRM ZONE 3 MOBILE BAY-DES'!V616-40-25-60-100</f>
        <v>53.48399999999998</v>
      </c>
      <c r="G605" s="86">
        <v>40</v>
      </c>
      <c r="H605" s="83">
        <f t="shared" si="99"/>
        <v>185</v>
      </c>
      <c r="I605" s="83">
        <f t="shared" si="90"/>
        <v>0</v>
      </c>
      <c r="J605" s="86">
        <v>100</v>
      </c>
      <c r="K605" s="86">
        <v>300</v>
      </c>
      <c r="L605" s="83">
        <f t="shared" si="94"/>
        <v>1274</v>
      </c>
      <c r="M605" s="94">
        <v>600</v>
      </c>
      <c r="N605" s="83">
        <f>'[2]FGT NON-FIRM'!P616</f>
        <v>30</v>
      </c>
      <c r="O605" s="86">
        <v>240</v>
      </c>
      <c r="P605" s="86">
        <v>40</v>
      </c>
      <c r="Q605" s="86">
        <f t="shared" si="95"/>
        <v>315</v>
      </c>
      <c r="R605" s="86">
        <f t="shared" si="96"/>
        <v>100</v>
      </c>
      <c r="S605" s="83">
        <f t="shared" si="97"/>
        <v>695</v>
      </c>
      <c r="T605" s="83">
        <f>'[2]GULFSTREAM NON-FIRM'!H616</f>
        <v>50</v>
      </c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</row>
    <row r="606" spans="1:30" ht="15.75" hidden="1" x14ac:dyDescent="0.25">
      <c r="A606" s="32">
        <v>59383</v>
      </c>
      <c r="B606" s="95">
        <f t="shared" si="98"/>
        <v>31</v>
      </c>
      <c r="C606" s="83">
        <f>'[2]FGT PRIMARY FIRM ZONE 1'!V617</f>
        <v>194.20499999999998</v>
      </c>
      <c r="D606" s="83">
        <f>'[2]FGT PRIMARY FIRM ZONE 2'!V617</f>
        <v>267.46600000000001</v>
      </c>
      <c r="E606" s="92">
        <f>'[2]FGT PRIMARY FIRM ZONE 3'!V617</f>
        <v>133.845</v>
      </c>
      <c r="F606" s="83">
        <f>'[2]FGT FIRM ZONE 3 MOBILE BAY-DES'!V617-40-25-60-100</f>
        <v>53.48399999999998</v>
      </c>
      <c r="G606" s="86">
        <v>40</v>
      </c>
      <c r="H606" s="83">
        <f t="shared" si="99"/>
        <v>185</v>
      </c>
      <c r="I606" s="83">
        <f t="shared" si="90"/>
        <v>0</v>
      </c>
      <c r="J606" s="86">
        <v>100</v>
      </c>
      <c r="K606" s="86">
        <v>300</v>
      </c>
      <c r="L606" s="83">
        <f t="shared" si="94"/>
        <v>1274</v>
      </c>
      <c r="M606" s="94">
        <v>600</v>
      </c>
      <c r="N606" s="83">
        <f>'[2]FGT NON-FIRM'!P617</f>
        <v>30</v>
      </c>
      <c r="O606" s="86">
        <v>240</v>
      </c>
      <c r="P606" s="86">
        <v>40</v>
      </c>
      <c r="Q606" s="86">
        <f t="shared" si="95"/>
        <v>315</v>
      </c>
      <c r="R606" s="86">
        <f t="shared" si="96"/>
        <v>100</v>
      </c>
      <c r="S606" s="83">
        <f t="shared" si="97"/>
        <v>695</v>
      </c>
      <c r="T606" s="83">
        <f>'[2]GULFSTREAM NON-FIRM'!H617</f>
        <v>0</v>
      </c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</row>
    <row r="607" spans="1:30" ht="15.75" hidden="1" x14ac:dyDescent="0.25">
      <c r="A607" s="32">
        <v>59414</v>
      </c>
      <c r="B607" s="95">
        <f t="shared" si="98"/>
        <v>31</v>
      </c>
      <c r="C607" s="83">
        <f>'[2]FGT PRIMARY FIRM ZONE 1'!V618</f>
        <v>194.20499999999998</v>
      </c>
      <c r="D607" s="83">
        <f>'[2]FGT PRIMARY FIRM ZONE 2'!V618</f>
        <v>267.46600000000001</v>
      </c>
      <c r="E607" s="92">
        <f>'[2]FGT PRIMARY FIRM ZONE 3'!V618</f>
        <v>133.845</v>
      </c>
      <c r="F607" s="83">
        <f>'[2]FGT FIRM ZONE 3 MOBILE BAY-DES'!V618-40-25-60-100</f>
        <v>53.48399999999998</v>
      </c>
      <c r="G607" s="86">
        <v>40</v>
      </c>
      <c r="H607" s="83">
        <f t="shared" si="99"/>
        <v>185</v>
      </c>
      <c r="I607" s="83">
        <f t="shared" si="90"/>
        <v>0</v>
      </c>
      <c r="J607" s="86">
        <v>100</v>
      </c>
      <c r="K607" s="86">
        <v>300</v>
      </c>
      <c r="L607" s="83">
        <f t="shared" si="94"/>
        <v>1274</v>
      </c>
      <c r="M607" s="94">
        <v>600</v>
      </c>
      <c r="N607" s="83">
        <f>'[2]FGT NON-FIRM'!P618</f>
        <v>30</v>
      </c>
      <c r="O607" s="86">
        <v>240</v>
      </c>
      <c r="P607" s="86">
        <v>40</v>
      </c>
      <c r="Q607" s="86">
        <f t="shared" si="95"/>
        <v>315</v>
      </c>
      <c r="R607" s="86">
        <f t="shared" si="96"/>
        <v>100</v>
      </c>
      <c r="S607" s="83">
        <f t="shared" si="97"/>
        <v>695</v>
      </c>
      <c r="T607" s="83">
        <f>'[2]GULFSTREAM NON-FIRM'!H618</f>
        <v>0</v>
      </c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</row>
    <row r="608" spans="1:30" ht="15.75" hidden="1" x14ac:dyDescent="0.25">
      <c r="A608" s="32">
        <v>59444</v>
      </c>
      <c r="B608" s="95">
        <f t="shared" si="98"/>
        <v>30</v>
      </c>
      <c r="C608" s="83">
        <f>'[2]FGT PRIMARY FIRM ZONE 1'!V619</f>
        <v>194.20499999999998</v>
      </c>
      <c r="D608" s="83">
        <f>'[2]FGT PRIMARY FIRM ZONE 2'!V619</f>
        <v>267.46600000000001</v>
      </c>
      <c r="E608" s="92">
        <f>'[2]FGT PRIMARY FIRM ZONE 3'!V619</f>
        <v>133.845</v>
      </c>
      <c r="F608" s="83">
        <f>'[2]FGT FIRM ZONE 3 MOBILE BAY-DES'!V619-40-25-60-100</f>
        <v>53.48399999999998</v>
      </c>
      <c r="G608" s="86">
        <v>40</v>
      </c>
      <c r="H608" s="83">
        <f t="shared" si="99"/>
        <v>185</v>
      </c>
      <c r="I608" s="83">
        <f t="shared" si="90"/>
        <v>0</v>
      </c>
      <c r="J608" s="86">
        <v>100</v>
      </c>
      <c r="K608" s="86">
        <v>300</v>
      </c>
      <c r="L608" s="83">
        <f t="shared" si="94"/>
        <v>1274</v>
      </c>
      <c r="M608" s="94">
        <v>600</v>
      </c>
      <c r="N608" s="83">
        <f>'[2]FGT NON-FIRM'!P619</f>
        <v>30</v>
      </c>
      <c r="O608" s="86">
        <v>240</v>
      </c>
      <c r="P608" s="86">
        <v>40</v>
      </c>
      <c r="Q608" s="86">
        <f t="shared" si="95"/>
        <v>315</v>
      </c>
      <c r="R608" s="86">
        <f t="shared" si="96"/>
        <v>100</v>
      </c>
      <c r="S608" s="83">
        <f t="shared" si="97"/>
        <v>695</v>
      </c>
      <c r="T608" s="83">
        <f>'[2]GULFSTREAM NON-FIRM'!H619</f>
        <v>0</v>
      </c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</row>
    <row r="609" spans="1:30" ht="15.75" hidden="1" x14ac:dyDescent="0.25">
      <c r="A609" s="32">
        <v>59475</v>
      </c>
      <c r="B609" s="95">
        <f t="shared" si="98"/>
        <v>31</v>
      </c>
      <c r="C609" s="83">
        <f>'[2]FGT PRIMARY FIRM ZONE 1'!V620</f>
        <v>131.881</v>
      </c>
      <c r="D609" s="83">
        <f>'[2]FGT PRIMARY FIRM ZONE 2'!V620</f>
        <v>277.16699999999997</v>
      </c>
      <c r="E609" s="92">
        <f>'[2]FGT PRIMARY FIRM ZONE 3'!V620</f>
        <v>79.08</v>
      </c>
      <c r="F609" s="83">
        <f>'[2]FGT FIRM ZONE 3 MOBILE BAY-DES'!V620-40-25-60-100</f>
        <v>125.87199999999996</v>
      </c>
      <c r="G609" s="86">
        <v>40</v>
      </c>
      <c r="H609" s="83">
        <f t="shared" si="99"/>
        <v>185</v>
      </c>
      <c r="I609" s="83">
        <f t="shared" si="90"/>
        <v>0</v>
      </c>
      <c r="J609" s="86">
        <v>100</v>
      </c>
      <c r="K609" s="86">
        <v>300</v>
      </c>
      <c r="L609" s="83">
        <f t="shared" si="94"/>
        <v>1239</v>
      </c>
      <c r="M609" s="94">
        <v>600</v>
      </c>
      <c r="N609" s="83">
        <f>'[2]FGT NON-FIRM'!P620</f>
        <v>75</v>
      </c>
      <c r="O609" s="86">
        <v>240</v>
      </c>
      <c r="P609" s="86">
        <v>40</v>
      </c>
      <c r="Q609" s="86">
        <f t="shared" si="95"/>
        <v>315</v>
      </c>
      <c r="R609" s="86">
        <f t="shared" si="96"/>
        <v>100</v>
      </c>
      <c r="S609" s="83">
        <f t="shared" si="97"/>
        <v>695</v>
      </c>
      <c r="T609" s="83">
        <f>'[2]GULFSTREAM NON-FIRM'!H620</f>
        <v>0</v>
      </c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</row>
    <row r="610" spans="1:30" ht="15.75" hidden="1" x14ac:dyDescent="0.25">
      <c r="A610" s="32">
        <v>59505</v>
      </c>
      <c r="B610" s="95">
        <f t="shared" si="98"/>
        <v>30</v>
      </c>
      <c r="C610" s="83">
        <f>'[2]FGT PRIMARY FIRM ZONE 1'!V621</f>
        <v>122.58</v>
      </c>
      <c r="D610" s="83">
        <f>'[2]FGT PRIMARY FIRM ZONE 2'!V621</f>
        <v>297.94100000000003</v>
      </c>
      <c r="E610" s="92">
        <f>'[2]FGT PRIMARY FIRM ZONE 3'!V621</f>
        <v>89.177000000000007</v>
      </c>
      <c r="F610" s="83">
        <f>'[2]FGT FIRM ZONE 3 MOBILE BAY-DES'!V621-40-60-100</f>
        <v>40.301999999999992</v>
      </c>
      <c r="G610" s="86">
        <v>40</v>
      </c>
      <c r="H610" s="83">
        <f>60+100</f>
        <v>160</v>
      </c>
      <c r="I610" s="83">
        <f t="shared" si="90"/>
        <v>0</v>
      </c>
      <c r="J610" s="86">
        <v>100</v>
      </c>
      <c r="K610" s="86">
        <v>300</v>
      </c>
      <c r="L610" s="83">
        <f t="shared" si="94"/>
        <v>1150</v>
      </c>
      <c r="M610" s="94">
        <v>600</v>
      </c>
      <c r="N610" s="83">
        <f>'[2]FGT NON-FIRM'!P621</f>
        <v>100</v>
      </c>
      <c r="O610" s="86">
        <v>240</v>
      </c>
      <c r="P610" s="86">
        <v>40</v>
      </c>
      <c r="Q610" s="86">
        <f t="shared" si="95"/>
        <v>315</v>
      </c>
      <c r="R610" s="86">
        <f t="shared" si="96"/>
        <v>100</v>
      </c>
      <c r="S610" s="83">
        <f t="shared" si="97"/>
        <v>695</v>
      </c>
      <c r="T610" s="83">
        <f>'[2]GULFSTREAM NON-FIRM'!H621</f>
        <v>50</v>
      </c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</row>
    <row r="611" spans="1:30" ht="15.75" hidden="1" x14ac:dyDescent="0.25">
      <c r="A611" s="32">
        <v>59536</v>
      </c>
      <c r="B611" s="95">
        <f t="shared" si="98"/>
        <v>31</v>
      </c>
      <c r="C611" s="83">
        <f>'[2]FGT PRIMARY FIRM ZONE 1'!V622</f>
        <v>122.58</v>
      </c>
      <c r="D611" s="83">
        <f>'[2]FGT PRIMARY FIRM ZONE 2'!V622</f>
        <v>297.94100000000003</v>
      </c>
      <c r="E611" s="92">
        <f>'[2]FGT PRIMARY FIRM ZONE 3'!V622</f>
        <v>89.177000000000007</v>
      </c>
      <c r="F611" s="83">
        <f>'[2]FGT FIRM ZONE 3 MOBILE BAY-DES'!V622-40-60-100</f>
        <v>40.301999999999992</v>
      </c>
      <c r="G611" s="86">
        <v>40</v>
      </c>
      <c r="H611" s="83">
        <f>60+100</f>
        <v>160</v>
      </c>
      <c r="I611" s="83">
        <f t="shared" si="90"/>
        <v>0</v>
      </c>
      <c r="J611" s="86">
        <v>100</v>
      </c>
      <c r="K611" s="86">
        <v>300</v>
      </c>
      <c r="L611" s="83">
        <f t="shared" si="94"/>
        <v>1150</v>
      </c>
      <c r="M611" s="94">
        <v>600</v>
      </c>
      <c r="N611" s="83">
        <f>'[2]FGT NON-FIRM'!P622</f>
        <v>100</v>
      </c>
      <c r="O611" s="86">
        <v>240</v>
      </c>
      <c r="P611" s="86">
        <v>40</v>
      </c>
      <c r="Q611" s="86">
        <f t="shared" si="95"/>
        <v>315</v>
      </c>
      <c r="R611" s="86">
        <f t="shared" si="96"/>
        <v>100</v>
      </c>
      <c r="S611" s="83">
        <f t="shared" si="97"/>
        <v>695</v>
      </c>
      <c r="T611" s="83">
        <f>'[2]GULFSTREAM NON-FIRM'!H622</f>
        <v>50</v>
      </c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</row>
    <row r="612" spans="1:30" ht="15.75" hidden="1" x14ac:dyDescent="0.25">
      <c r="A612" s="32">
        <v>59567</v>
      </c>
      <c r="B612" s="95">
        <f t="shared" si="98"/>
        <v>31</v>
      </c>
      <c r="C612" s="83">
        <f>'[2]FGT PRIMARY FIRM ZONE 1'!V623</f>
        <v>122.58</v>
      </c>
      <c r="D612" s="83">
        <f>'[2]FGT PRIMARY FIRM ZONE 2'!V623</f>
        <v>297.94100000000003</v>
      </c>
      <c r="E612" s="92">
        <f>'[2]FGT PRIMARY FIRM ZONE 3'!V623</f>
        <v>89.177000000000007</v>
      </c>
      <c r="F612" s="83">
        <f>'[2]FGT FIRM ZONE 3 MOBILE BAY-DES'!V623-40-60-100</f>
        <v>40.301999999999992</v>
      </c>
      <c r="G612" s="86">
        <v>40</v>
      </c>
      <c r="H612" s="83">
        <f>60+100</f>
        <v>160</v>
      </c>
      <c r="I612" s="83">
        <f t="shared" si="90"/>
        <v>0</v>
      </c>
      <c r="J612" s="86">
        <v>100</v>
      </c>
      <c r="K612" s="86">
        <v>300</v>
      </c>
      <c r="L612" s="83">
        <f t="shared" si="94"/>
        <v>1150</v>
      </c>
      <c r="M612" s="94">
        <v>600</v>
      </c>
      <c r="N612" s="83">
        <f>'[2]FGT NON-FIRM'!P623</f>
        <v>100</v>
      </c>
      <c r="O612" s="86">
        <v>240</v>
      </c>
      <c r="P612" s="86">
        <v>40</v>
      </c>
      <c r="Q612" s="86">
        <f t="shared" si="95"/>
        <v>315</v>
      </c>
      <c r="R612" s="86">
        <f t="shared" si="96"/>
        <v>100</v>
      </c>
      <c r="S612" s="83">
        <f t="shared" si="97"/>
        <v>695</v>
      </c>
      <c r="T612" s="83">
        <f>'[2]GULFSTREAM NON-FIRM'!H623</f>
        <v>50</v>
      </c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</row>
    <row r="613" spans="1:30" ht="15.75" hidden="1" x14ac:dyDescent="0.25">
      <c r="A613" s="32">
        <v>59595</v>
      </c>
      <c r="B613" s="95">
        <f t="shared" si="98"/>
        <v>28</v>
      </c>
      <c r="C613" s="83">
        <f>'[2]FGT PRIMARY FIRM ZONE 1'!V624</f>
        <v>122.58</v>
      </c>
      <c r="D613" s="83">
        <f>'[2]FGT PRIMARY FIRM ZONE 2'!V624</f>
        <v>297.94100000000003</v>
      </c>
      <c r="E613" s="92">
        <f>'[2]FGT PRIMARY FIRM ZONE 3'!V624</f>
        <v>89.177000000000007</v>
      </c>
      <c r="F613" s="83">
        <f>'[2]FGT FIRM ZONE 3 MOBILE BAY-DES'!V624-40-60-100</f>
        <v>40.301999999999992</v>
      </c>
      <c r="G613" s="86">
        <v>40</v>
      </c>
      <c r="H613" s="83">
        <f>60+100</f>
        <v>160</v>
      </c>
      <c r="I613" s="83">
        <f t="shared" si="90"/>
        <v>0</v>
      </c>
      <c r="J613" s="86">
        <v>100</v>
      </c>
      <c r="K613" s="86">
        <v>300</v>
      </c>
      <c r="L613" s="83">
        <f t="shared" si="94"/>
        <v>1150</v>
      </c>
      <c r="M613" s="94">
        <v>600</v>
      </c>
      <c r="N613" s="83">
        <f>'[2]FGT NON-FIRM'!P624</f>
        <v>100</v>
      </c>
      <c r="O613" s="86">
        <v>240</v>
      </c>
      <c r="P613" s="86">
        <v>40</v>
      </c>
      <c r="Q613" s="86">
        <f t="shared" si="95"/>
        <v>315</v>
      </c>
      <c r="R613" s="86">
        <f t="shared" si="96"/>
        <v>100</v>
      </c>
      <c r="S613" s="83">
        <f t="shared" si="97"/>
        <v>695</v>
      </c>
      <c r="T613" s="83">
        <f>'[2]GULFSTREAM NON-FIRM'!H624</f>
        <v>50</v>
      </c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</row>
    <row r="614" spans="1:30" ht="15.75" hidden="1" x14ac:dyDescent="0.25">
      <c r="A614" s="32">
        <v>59626</v>
      </c>
      <c r="B614" s="95">
        <f t="shared" si="98"/>
        <v>31</v>
      </c>
      <c r="C614" s="83">
        <f>'[2]FGT PRIMARY FIRM ZONE 1'!V625</f>
        <v>122.58</v>
      </c>
      <c r="D614" s="83">
        <f>'[2]FGT PRIMARY FIRM ZONE 2'!V625</f>
        <v>297.94100000000003</v>
      </c>
      <c r="E614" s="92">
        <f>'[2]FGT PRIMARY FIRM ZONE 3'!V625</f>
        <v>89.177000000000007</v>
      </c>
      <c r="F614" s="83">
        <f>'[2]FGT FIRM ZONE 3 MOBILE BAY-DES'!V625-40-60-100</f>
        <v>40.301999999999992</v>
      </c>
      <c r="G614" s="86">
        <v>40</v>
      </c>
      <c r="H614" s="83">
        <f>60+100</f>
        <v>160</v>
      </c>
      <c r="I614" s="83">
        <f t="shared" si="90"/>
        <v>0</v>
      </c>
      <c r="J614" s="86">
        <v>100</v>
      </c>
      <c r="K614" s="86">
        <v>300</v>
      </c>
      <c r="L614" s="83">
        <f t="shared" si="94"/>
        <v>1150</v>
      </c>
      <c r="M614" s="94">
        <v>600</v>
      </c>
      <c r="N614" s="83">
        <f>'[2]FGT NON-FIRM'!P625</f>
        <v>100</v>
      </c>
      <c r="O614" s="86">
        <v>240</v>
      </c>
      <c r="P614" s="86">
        <v>40</v>
      </c>
      <c r="Q614" s="86">
        <f t="shared" si="95"/>
        <v>315</v>
      </c>
      <c r="R614" s="86">
        <f t="shared" si="96"/>
        <v>100</v>
      </c>
      <c r="S614" s="83">
        <f t="shared" si="97"/>
        <v>695</v>
      </c>
      <c r="T614" s="83">
        <f>'[2]GULFSTREAM NON-FIRM'!H625</f>
        <v>50</v>
      </c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</row>
    <row r="615" spans="1:30" ht="15.75" hidden="1" x14ac:dyDescent="0.25">
      <c r="A615" s="32">
        <v>59656</v>
      </c>
      <c r="B615" s="95">
        <f t="shared" si="98"/>
        <v>30</v>
      </c>
      <c r="C615" s="83">
        <f>'[2]FGT PRIMARY FIRM ZONE 1'!V626</f>
        <v>141.29300000000001</v>
      </c>
      <c r="D615" s="83">
        <f>'[2]FGT PRIMARY FIRM ZONE 2'!V626</f>
        <v>267.99299999999999</v>
      </c>
      <c r="E615" s="92">
        <f>'[2]FGT PRIMARY FIRM ZONE 3'!V626</f>
        <v>115.01600000000001</v>
      </c>
      <c r="F615" s="83">
        <f>'[2]FGT FIRM ZONE 3 MOBILE BAY-DES'!V626-40-25-60-100</f>
        <v>89.698000000000036</v>
      </c>
      <c r="G615" s="86">
        <v>40</v>
      </c>
      <c r="H615" s="83">
        <f t="shared" ref="H615:H621" si="100">25+60+100</f>
        <v>185</v>
      </c>
      <c r="I615" s="83">
        <f t="shared" si="90"/>
        <v>0</v>
      </c>
      <c r="J615" s="86">
        <v>100</v>
      </c>
      <c r="K615" s="86">
        <v>300</v>
      </c>
      <c r="L615" s="83">
        <f t="shared" si="94"/>
        <v>1239</v>
      </c>
      <c r="M615" s="94">
        <v>600</v>
      </c>
      <c r="N615" s="83">
        <f>'[2]FGT NON-FIRM'!P626</f>
        <v>100</v>
      </c>
      <c r="O615" s="86">
        <v>240</v>
      </c>
      <c r="P615" s="86">
        <v>40</v>
      </c>
      <c r="Q615" s="86">
        <f t="shared" si="95"/>
        <v>315</v>
      </c>
      <c r="R615" s="86">
        <f t="shared" si="96"/>
        <v>100</v>
      </c>
      <c r="S615" s="83">
        <f t="shared" si="97"/>
        <v>695</v>
      </c>
      <c r="T615" s="83">
        <f>'[2]GULFSTREAM NON-FIRM'!H626</f>
        <v>50</v>
      </c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</row>
    <row r="616" spans="1:30" ht="15.75" hidden="1" x14ac:dyDescent="0.25">
      <c r="A616" s="32">
        <v>59687</v>
      </c>
      <c r="B616" s="95">
        <f t="shared" si="98"/>
        <v>31</v>
      </c>
      <c r="C616" s="83">
        <f>'[2]FGT PRIMARY FIRM ZONE 1'!V627</f>
        <v>194.20499999999998</v>
      </c>
      <c r="D616" s="83">
        <f>'[2]FGT PRIMARY FIRM ZONE 2'!V627</f>
        <v>267.46600000000001</v>
      </c>
      <c r="E616" s="92">
        <f>'[2]FGT PRIMARY FIRM ZONE 3'!V627</f>
        <v>133.845</v>
      </c>
      <c r="F616" s="83">
        <f>'[2]FGT FIRM ZONE 3 MOBILE BAY-DES'!V627-40-25-60-100</f>
        <v>53.48399999999998</v>
      </c>
      <c r="G616" s="86">
        <v>40</v>
      </c>
      <c r="H616" s="83">
        <f t="shared" si="100"/>
        <v>185</v>
      </c>
      <c r="I616" s="83">
        <f t="shared" si="90"/>
        <v>0</v>
      </c>
      <c r="J616" s="86">
        <v>100</v>
      </c>
      <c r="K616" s="86">
        <v>300</v>
      </c>
      <c r="L616" s="83">
        <f t="shared" si="94"/>
        <v>1274</v>
      </c>
      <c r="M616" s="94">
        <v>600</v>
      </c>
      <c r="N616" s="83">
        <f>'[2]FGT NON-FIRM'!P627</f>
        <v>75</v>
      </c>
      <c r="O616" s="86">
        <v>240</v>
      </c>
      <c r="P616" s="86">
        <v>40</v>
      </c>
      <c r="Q616" s="86">
        <f t="shared" si="95"/>
        <v>315</v>
      </c>
      <c r="R616" s="86">
        <f t="shared" si="96"/>
        <v>100</v>
      </c>
      <c r="S616" s="83">
        <f t="shared" si="97"/>
        <v>695</v>
      </c>
      <c r="T616" s="83">
        <f>'[2]GULFSTREAM NON-FIRM'!H627</f>
        <v>50</v>
      </c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</row>
    <row r="617" spans="1:30" ht="15.75" hidden="1" x14ac:dyDescent="0.25">
      <c r="A617" s="32">
        <v>59717</v>
      </c>
      <c r="B617" s="95">
        <f t="shared" si="98"/>
        <v>30</v>
      </c>
      <c r="C617" s="83">
        <f>'[2]FGT PRIMARY FIRM ZONE 1'!V628</f>
        <v>194.20499999999998</v>
      </c>
      <c r="D617" s="83">
        <f>'[2]FGT PRIMARY FIRM ZONE 2'!V628</f>
        <v>267.46600000000001</v>
      </c>
      <c r="E617" s="92">
        <f>'[2]FGT PRIMARY FIRM ZONE 3'!V628</f>
        <v>133.845</v>
      </c>
      <c r="F617" s="83">
        <f>'[2]FGT FIRM ZONE 3 MOBILE BAY-DES'!V628-40-25-60-100</f>
        <v>53.48399999999998</v>
      </c>
      <c r="G617" s="86">
        <v>40</v>
      </c>
      <c r="H617" s="83">
        <f t="shared" si="100"/>
        <v>185</v>
      </c>
      <c r="I617" s="83">
        <f t="shared" si="90"/>
        <v>0</v>
      </c>
      <c r="J617" s="86">
        <v>100</v>
      </c>
      <c r="K617" s="86">
        <v>300</v>
      </c>
      <c r="L617" s="83">
        <f t="shared" si="94"/>
        <v>1274</v>
      </c>
      <c r="M617" s="94">
        <v>600</v>
      </c>
      <c r="N617" s="83">
        <f>'[2]FGT NON-FIRM'!P628</f>
        <v>30</v>
      </c>
      <c r="O617" s="86">
        <v>240</v>
      </c>
      <c r="P617" s="86">
        <v>40</v>
      </c>
      <c r="Q617" s="86">
        <f t="shared" si="95"/>
        <v>315</v>
      </c>
      <c r="R617" s="86">
        <f t="shared" si="96"/>
        <v>100</v>
      </c>
      <c r="S617" s="83">
        <f t="shared" si="97"/>
        <v>695</v>
      </c>
      <c r="T617" s="83">
        <f>'[2]GULFSTREAM NON-FIRM'!H628</f>
        <v>50</v>
      </c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</row>
    <row r="618" spans="1:30" ht="15.75" hidden="1" x14ac:dyDescent="0.25">
      <c r="A618" s="32">
        <v>59748</v>
      </c>
      <c r="B618" s="95">
        <f t="shared" si="98"/>
        <v>31</v>
      </c>
      <c r="C618" s="83">
        <f>'[2]FGT PRIMARY FIRM ZONE 1'!V629</f>
        <v>194.20499999999998</v>
      </c>
      <c r="D618" s="83">
        <f>'[2]FGT PRIMARY FIRM ZONE 2'!V629</f>
        <v>267.46600000000001</v>
      </c>
      <c r="E618" s="92">
        <f>'[2]FGT PRIMARY FIRM ZONE 3'!V629</f>
        <v>133.845</v>
      </c>
      <c r="F618" s="83">
        <f>'[2]FGT FIRM ZONE 3 MOBILE BAY-DES'!V629-40-25-60-100</f>
        <v>53.48399999999998</v>
      </c>
      <c r="G618" s="86">
        <v>40</v>
      </c>
      <c r="H618" s="83">
        <f t="shared" si="100"/>
        <v>185</v>
      </c>
      <c r="I618" s="83">
        <f t="shared" si="90"/>
        <v>0</v>
      </c>
      <c r="J618" s="86">
        <v>100</v>
      </c>
      <c r="K618" s="86">
        <v>300</v>
      </c>
      <c r="L618" s="83">
        <f t="shared" si="94"/>
        <v>1274</v>
      </c>
      <c r="M618" s="94">
        <v>600</v>
      </c>
      <c r="N618" s="83">
        <f>'[2]FGT NON-FIRM'!P629</f>
        <v>30</v>
      </c>
      <c r="O618" s="86">
        <v>240</v>
      </c>
      <c r="P618" s="86">
        <v>40</v>
      </c>
      <c r="Q618" s="86">
        <f t="shared" si="95"/>
        <v>315</v>
      </c>
      <c r="R618" s="86">
        <f t="shared" si="96"/>
        <v>100</v>
      </c>
      <c r="S618" s="83">
        <f t="shared" si="97"/>
        <v>695</v>
      </c>
      <c r="T618" s="83">
        <f>'[2]GULFSTREAM NON-FIRM'!H629</f>
        <v>0</v>
      </c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</row>
    <row r="619" spans="1:30" ht="15.75" hidden="1" x14ac:dyDescent="0.25">
      <c r="A619" s="32">
        <v>59779</v>
      </c>
      <c r="B619" s="95">
        <f t="shared" si="98"/>
        <v>31</v>
      </c>
      <c r="C619" s="83">
        <f>'[2]FGT PRIMARY FIRM ZONE 1'!V630</f>
        <v>194.20499999999998</v>
      </c>
      <c r="D619" s="83">
        <f>'[2]FGT PRIMARY FIRM ZONE 2'!V630</f>
        <v>267.46600000000001</v>
      </c>
      <c r="E619" s="92">
        <f>'[2]FGT PRIMARY FIRM ZONE 3'!V630</f>
        <v>133.845</v>
      </c>
      <c r="F619" s="83">
        <f>'[2]FGT FIRM ZONE 3 MOBILE BAY-DES'!V630-40-25-60-100</f>
        <v>53.48399999999998</v>
      </c>
      <c r="G619" s="86">
        <v>40</v>
      </c>
      <c r="H619" s="83">
        <f t="shared" si="100"/>
        <v>185</v>
      </c>
      <c r="I619" s="83">
        <f t="shared" si="90"/>
        <v>0</v>
      </c>
      <c r="J619" s="86">
        <v>100</v>
      </c>
      <c r="K619" s="86">
        <v>300</v>
      </c>
      <c r="L619" s="83">
        <f t="shared" si="94"/>
        <v>1274</v>
      </c>
      <c r="M619" s="94">
        <v>600</v>
      </c>
      <c r="N619" s="83">
        <f>'[2]FGT NON-FIRM'!P630</f>
        <v>30</v>
      </c>
      <c r="O619" s="86">
        <v>240</v>
      </c>
      <c r="P619" s="86">
        <v>40</v>
      </c>
      <c r="Q619" s="86">
        <f t="shared" si="95"/>
        <v>315</v>
      </c>
      <c r="R619" s="86">
        <f t="shared" si="96"/>
        <v>100</v>
      </c>
      <c r="S619" s="83">
        <f t="shared" si="97"/>
        <v>695</v>
      </c>
      <c r="T619" s="83">
        <f>'[2]GULFSTREAM NON-FIRM'!H630</f>
        <v>0</v>
      </c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</row>
    <row r="620" spans="1:30" ht="15.75" hidden="1" x14ac:dyDescent="0.25">
      <c r="A620" s="32">
        <v>59809</v>
      </c>
      <c r="B620" s="95">
        <f t="shared" si="98"/>
        <v>30</v>
      </c>
      <c r="C620" s="83">
        <f>'[2]FGT PRIMARY FIRM ZONE 1'!V631</f>
        <v>194.20499999999998</v>
      </c>
      <c r="D620" s="83">
        <f>'[2]FGT PRIMARY FIRM ZONE 2'!V631</f>
        <v>267.46600000000001</v>
      </c>
      <c r="E620" s="92">
        <f>'[2]FGT PRIMARY FIRM ZONE 3'!V631</f>
        <v>133.845</v>
      </c>
      <c r="F620" s="83">
        <f>'[2]FGT FIRM ZONE 3 MOBILE BAY-DES'!V631-40-25-60-100</f>
        <v>53.48399999999998</v>
      </c>
      <c r="G620" s="86">
        <v>40</v>
      </c>
      <c r="H620" s="83">
        <f t="shared" si="100"/>
        <v>185</v>
      </c>
      <c r="I620" s="83">
        <f t="shared" si="90"/>
        <v>0</v>
      </c>
      <c r="J620" s="86">
        <v>100</v>
      </c>
      <c r="K620" s="86">
        <v>300</v>
      </c>
      <c r="L620" s="83">
        <f t="shared" si="94"/>
        <v>1274</v>
      </c>
      <c r="M620" s="94">
        <v>600</v>
      </c>
      <c r="N620" s="83">
        <f>'[2]FGT NON-FIRM'!P631</f>
        <v>30</v>
      </c>
      <c r="O620" s="86">
        <v>240</v>
      </c>
      <c r="P620" s="86">
        <v>40</v>
      </c>
      <c r="Q620" s="86">
        <f t="shared" si="95"/>
        <v>315</v>
      </c>
      <c r="R620" s="86">
        <f t="shared" si="96"/>
        <v>100</v>
      </c>
      <c r="S620" s="83">
        <f t="shared" si="97"/>
        <v>695</v>
      </c>
      <c r="T620" s="83">
        <f>'[2]GULFSTREAM NON-FIRM'!H631</f>
        <v>0</v>
      </c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</row>
    <row r="621" spans="1:30" ht="15.75" hidden="1" x14ac:dyDescent="0.25">
      <c r="A621" s="32">
        <v>59840</v>
      </c>
      <c r="B621" s="95">
        <f t="shared" si="98"/>
        <v>31</v>
      </c>
      <c r="C621" s="83">
        <f>'[2]FGT PRIMARY FIRM ZONE 1'!V632</f>
        <v>131.881</v>
      </c>
      <c r="D621" s="83">
        <f>'[2]FGT PRIMARY FIRM ZONE 2'!V632</f>
        <v>277.16699999999997</v>
      </c>
      <c r="E621" s="92">
        <f>'[2]FGT PRIMARY FIRM ZONE 3'!V632</f>
        <v>79.08</v>
      </c>
      <c r="F621" s="83">
        <f>'[2]FGT FIRM ZONE 3 MOBILE BAY-DES'!V632-40-25-60-100</f>
        <v>125.87199999999996</v>
      </c>
      <c r="G621" s="86">
        <v>40</v>
      </c>
      <c r="H621" s="83">
        <f t="shared" si="100"/>
        <v>185</v>
      </c>
      <c r="I621" s="83">
        <f t="shared" si="90"/>
        <v>0</v>
      </c>
      <c r="J621" s="86">
        <v>100</v>
      </c>
      <c r="K621" s="86">
        <v>300</v>
      </c>
      <c r="L621" s="83">
        <f t="shared" si="94"/>
        <v>1239</v>
      </c>
      <c r="M621" s="94">
        <v>600</v>
      </c>
      <c r="N621" s="83">
        <f>'[2]FGT NON-FIRM'!P632</f>
        <v>75</v>
      </c>
      <c r="O621" s="86">
        <v>240</v>
      </c>
      <c r="P621" s="86">
        <v>40</v>
      </c>
      <c r="Q621" s="86">
        <f t="shared" si="95"/>
        <v>315</v>
      </c>
      <c r="R621" s="86">
        <f t="shared" si="96"/>
        <v>100</v>
      </c>
      <c r="S621" s="83">
        <f t="shared" si="97"/>
        <v>695</v>
      </c>
      <c r="T621" s="83">
        <f>'[2]GULFSTREAM NON-FIRM'!H632</f>
        <v>0</v>
      </c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</row>
    <row r="622" spans="1:30" ht="15.75" hidden="1" x14ac:dyDescent="0.25">
      <c r="A622" s="32">
        <v>59870</v>
      </c>
      <c r="B622" s="95">
        <f t="shared" si="98"/>
        <v>30</v>
      </c>
      <c r="C622" s="83">
        <f>'[2]FGT PRIMARY FIRM ZONE 1'!V633</f>
        <v>122.58</v>
      </c>
      <c r="D622" s="83">
        <f>'[2]FGT PRIMARY FIRM ZONE 2'!V633</f>
        <v>297.94100000000003</v>
      </c>
      <c r="E622" s="92">
        <f>'[2]FGT PRIMARY FIRM ZONE 3'!V633</f>
        <v>89.177000000000007</v>
      </c>
      <c r="F622" s="83">
        <f>'[2]FGT FIRM ZONE 3 MOBILE BAY-DES'!V633-40-60-100</f>
        <v>40.301999999999992</v>
      </c>
      <c r="G622" s="86">
        <v>40</v>
      </c>
      <c r="H622" s="83">
        <f>60+100</f>
        <v>160</v>
      </c>
      <c r="I622" s="83">
        <f t="shared" si="90"/>
        <v>0</v>
      </c>
      <c r="J622" s="86">
        <v>100</v>
      </c>
      <c r="K622" s="86">
        <v>300</v>
      </c>
      <c r="L622" s="83">
        <f t="shared" si="94"/>
        <v>1150</v>
      </c>
      <c r="M622" s="94">
        <v>600</v>
      </c>
      <c r="N622" s="83">
        <f>'[2]FGT NON-FIRM'!P633</f>
        <v>100</v>
      </c>
      <c r="O622" s="86">
        <v>240</v>
      </c>
      <c r="P622" s="86">
        <v>40</v>
      </c>
      <c r="Q622" s="86">
        <f t="shared" si="95"/>
        <v>315</v>
      </c>
      <c r="R622" s="86">
        <f t="shared" si="96"/>
        <v>100</v>
      </c>
      <c r="S622" s="83">
        <f t="shared" si="97"/>
        <v>695</v>
      </c>
      <c r="T622" s="83">
        <f>'[2]GULFSTREAM NON-FIRM'!H633</f>
        <v>50</v>
      </c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</row>
    <row r="623" spans="1:30" ht="15.75" hidden="1" x14ac:dyDescent="0.25">
      <c r="A623" s="32">
        <v>59901</v>
      </c>
      <c r="B623" s="95">
        <f t="shared" si="98"/>
        <v>31</v>
      </c>
      <c r="C623" s="83">
        <f>'[2]FGT PRIMARY FIRM ZONE 1'!V634</f>
        <v>122.58</v>
      </c>
      <c r="D623" s="83">
        <f>'[2]FGT PRIMARY FIRM ZONE 2'!V634</f>
        <v>297.94100000000003</v>
      </c>
      <c r="E623" s="92">
        <f>'[2]FGT PRIMARY FIRM ZONE 3'!V634</f>
        <v>89.177000000000007</v>
      </c>
      <c r="F623" s="83">
        <f>'[2]FGT FIRM ZONE 3 MOBILE BAY-DES'!V634-40-60-100</f>
        <v>40.301999999999992</v>
      </c>
      <c r="G623" s="86">
        <v>40</v>
      </c>
      <c r="H623" s="83">
        <f>60+100</f>
        <v>160</v>
      </c>
      <c r="I623" s="83">
        <f t="shared" si="90"/>
        <v>0</v>
      </c>
      <c r="J623" s="86">
        <v>100</v>
      </c>
      <c r="K623" s="86">
        <v>300</v>
      </c>
      <c r="L623" s="83">
        <f t="shared" si="94"/>
        <v>1150</v>
      </c>
      <c r="M623" s="94">
        <v>600</v>
      </c>
      <c r="N623" s="83">
        <f>'[2]FGT NON-FIRM'!P634</f>
        <v>100</v>
      </c>
      <c r="O623" s="86">
        <v>240</v>
      </c>
      <c r="P623" s="86">
        <v>40</v>
      </c>
      <c r="Q623" s="86">
        <f t="shared" si="95"/>
        <v>315</v>
      </c>
      <c r="R623" s="86">
        <f t="shared" si="96"/>
        <v>100</v>
      </c>
      <c r="S623" s="83">
        <f t="shared" si="97"/>
        <v>695</v>
      </c>
      <c r="T623" s="83">
        <f>'[2]GULFSTREAM NON-FIRM'!H634</f>
        <v>50</v>
      </c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</row>
    <row r="624" spans="1:30" ht="15.75" hidden="1" x14ac:dyDescent="0.25">
      <c r="A624" s="32">
        <v>59932</v>
      </c>
      <c r="B624" s="95">
        <f t="shared" si="98"/>
        <v>31</v>
      </c>
      <c r="C624" s="83">
        <f>'[2]FGT PRIMARY FIRM ZONE 1'!V635</f>
        <v>122.58</v>
      </c>
      <c r="D624" s="83">
        <f>'[2]FGT PRIMARY FIRM ZONE 2'!V635</f>
        <v>297.94100000000003</v>
      </c>
      <c r="E624" s="92">
        <f>'[2]FGT PRIMARY FIRM ZONE 3'!V635</f>
        <v>89.177000000000007</v>
      </c>
      <c r="F624" s="83">
        <f>'[2]FGT FIRM ZONE 3 MOBILE BAY-DES'!V635-40-60-100</f>
        <v>40.301999999999992</v>
      </c>
      <c r="G624" s="86">
        <v>40</v>
      </c>
      <c r="H624" s="83">
        <f>60+100</f>
        <v>160</v>
      </c>
      <c r="I624" s="83">
        <f t="shared" si="90"/>
        <v>0</v>
      </c>
      <c r="J624" s="86">
        <v>100</v>
      </c>
      <c r="K624" s="86">
        <v>300</v>
      </c>
      <c r="L624" s="83">
        <f t="shared" si="94"/>
        <v>1150</v>
      </c>
      <c r="M624" s="94">
        <v>600</v>
      </c>
      <c r="N624" s="83">
        <f>'[2]FGT NON-FIRM'!P635</f>
        <v>100</v>
      </c>
      <c r="O624" s="86">
        <v>240</v>
      </c>
      <c r="P624" s="86">
        <v>40</v>
      </c>
      <c r="Q624" s="86">
        <f t="shared" si="95"/>
        <v>315</v>
      </c>
      <c r="R624" s="86">
        <f t="shared" si="96"/>
        <v>100</v>
      </c>
      <c r="S624" s="83">
        <f t="shared" si="97"/>
        <v>695</v>
      </c>
      <c r="T624" s="83">
        <f>'[2]GULFSTREAM NON-FIRM'!H635</f>
        <v>50</v>
      </c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</row>
    <row r="625" spans="1:30" ht="15.75" hidden="1" x14ac:dyDescent="0.25">
      <c r="A625" s="32">
        <v>59961</v>
      </c>
      <c r="B625" s="95">
        <f t="shared" si="98"/>
        <v>29</v>
      </c>
      <c r="C625" s="83">
        <f>'[2]FGT PRIMARY FIRM ZONE 1'!V636</f>
        <v>122.58</v>
      </c>
      <c r="D625" s="83">
        <f>'[2]FGT PRIMARY FIRM ZONE 2'!V636</f>
        <v>297.94100000000003</v>
      </c>
      <c r="E625" s="92">
        <f>'[2]FGT PRIMARY FIRM ZONE 3'!V636</f>
        <v>89.177000000000007</v>
      </c>
      <c r="F625" s="83">
        <f>'[2]FGT FIRM ZONE 3 MOBILE BAY-DES'!V636-40-60-100</f>
        <v>40.301999999999992</v>
      </c>
      <c r="G625" s="86">
        <v>40</v>
      </c>
      <c r="H625" s="83">
        <f>60+100</f>
        <v>160</v>
      </c>
      <c r="I625" s="83">
        <f t="shared" si="90"/>
        <v>0</v>
      </c>
      <c r="J625" s="86">
        <v>100</v>
      </c>
      <c r="K625" s="86">
        <v>300</v>
      </c>
      <c r="L625" s="83">
        <f t="shared" si="94"/>
        <v>1150</v>
      </c>
      <c r="M625" s="94">
        <v>600</v>
      </c>
      <c r="N625" s="83">
        <f>'[2]FGT NON-FIRM'!P636</f>
        <v>100</v>
      </c>
      <c r="O625" s="86">
        <v>240</v>
      </c>
      <c r="P625" s="86">
        <v>40</v>
      </c>
      <c r="Q625" s="86">
        <f t="shared" si="95"/>
        <v>315</v>
      </c>
      <c r="R625" s="86">
        <f t="shared" si="96"/>
        <v>100</v>
      </c>
      <c r="S625" s="83">
        <f t="shared" si="97"/>
        <v>695</v>
      </c>
      <c r="T625" s="83">
        <f>'[2]GULFSTREAM NON-FIRM'!H636</f>
        <v>50</v>
      </c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</row>
    <row r="626" spans="1:30" ht="15.75" hidden="1" x14ac:dyDescent="0.25">
      <c r="A626" s="32">
        <v>59992</v>
      </c>
      <c r="B626" s="95">
        <f t="shared" si="98"/>
        <v>31</v>
      </c>
      <c r="C626" s="83">
        <f>'[2]FGT PRIMARY FIRM ZONE 1'!V637</f>
        <v>122.58</v>
      </c>
      <c r="D626" s="83">
        <f>'[2]FGT PRIMARY FIRM ZONE 2'!V637</f>
        <v>297.94100000000003</v>
      </c>
      <c r="E626" s="92">
        <f>'[2]FGT PRIMARY FIRM ZONE 3'!V637</f>
        <v>89.177000000000007</v>
      </c>
      <c r="F626" s="83">
        <f>'[2]FGT FIRM ZONE 3 MOBILE BAY-DES'!V637-40-60-100</f>
        <v>40.301999999999992</v>
      </c>
      <c r="G626" s="86">
        <v>40</v>
      </c>
      <c r="H626" s="83">
        <f>60+100</f>
        <v>160</v>
      </c>
      <c r="I626" s="83">
        <f t="shared" si="90"/>
        <v>0</v>
      </c>
      <c r="J626" s="86">
        <v>100</v>
      </c>
      <c r="K626" s="86">
        <v>300</v>
      </c>
      <c r="L626" s="83">
        <f t="shared" si="94"/>
        <v>1150</v>
      </c>
      <c r="M626" s="94">
        <v>600</v>
      </c>
      <c r="N626" s="83">
        <f>'[2]FGT NON-FIRM'!P637</f>
        <v>100</v>
      </c>
      <c r="O626" s="86">
        <v>240</v>
      </c>
      <c r="P626" s="86">
        <v>40</v>
      </c>
      <c r="Q626" s="86">
        <f t="shared" si="95"/>
        <v>315</v>
      </c>
      <c r="R626" s="86">
        <f t="shared" si="96"/>
        <v>100</v>
      </c>
      <c r="S626" s="83">
        <f t="shared" si="97"/>
        <v>695</v>
      </c>
      <c r="T626" s="83">
        <f>'[2]GULFSTREAM NON-FIRM'!H637</f>
        <v>50</v>
      </c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</row>
    <row r="627" spans="1:30" ht="15.75" hidden="1" x14ac:dyDescent="0.25">
      <c r="A627" s="32">
        <v>60022</v>
      </c>
      <c r="B627" s="95">
        <f t="shared" si="98"/>
        <v>30</v>
      </c>
      <c r="C627" s="83">
        <f>'[2]FGT PRIMARY FIRM ZONE 1'!V638</f>
        <v>141.29300000000001</v>
      </c>
      <c r="D627" s="83">
        <f>'[2]FGT PRIMARY FIRM ZONE 2'!V638</f>
        <v>267.99299999999999</v>
      </c>
      <c r="E627" s="92">
        <f>'[2]FGT PRIMARY FIRM ZONE 3'!V638</f>
        <v>115.01600000000001</v>
      </c>
      <c r="F627" s="83">
        <f>'[2]FGT FIRM ZONE 3 MOBILE BAY-DES'!V638-40-25-60-100</f>
        <v>89.698000000000036</v>
      </c>
      <c r="G627" s="86">
        <v>40</v>
      </c>
      <c r="H627" s="83">
        <f t="shared" ref="H627:H633" si="101">25+60+100</f>
        <v>185</v>
      </c>
      <c r="I627" s="83">
        <f t="shared" si="90"/>
        <v>0</v>
      </c>
      <c r="J627" s="86">
        <v>100</v>
      </c>
      <c r="K627" s="86">
        <v>300</v>
      </c>
      <c r="L627" s="83">
        <f t="shared" si="94"/>
        <v>1239</v>
      </c>
      <c r="M627" s="94">
        <v>600</v>
      </c>
      <c r="N627" s="83">
        <f>'[2]FGT NON-FIRM'!P638</f>
        <v>100</v>
      </c>
      <c r="O627" s="86">
        <v>240</v>
      </c>
      <c r="P627" s="86">
        <v>40</v>
      </c>
      <c r="Q627" s="86">
        <f t="shared" si="95"/>
        <v>315</v>
      </c>
      <c r="R627" s="86">
        <f t="shared" si="96"/>
        <v>100</v>
      </c>
      <c r="S627" s="83">
        <f t="shared" si="97"/>
        <v>695</v>
      </c>
      <c r="T627" s="83">
        <f>'[2]GULFSTREAM NON-FIRM'!H638</f>
        <v>50</v>
      </c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</row>
    <row r="628" spans="1:30" ht="15.75" hidden="1" x14ac:dyDescent="0.25">
      <c r="A628" s="32">
        <v>60053</v>
      </c>
      <c r="B628" s="95">
        <f t="shared" si="98"/>
        <v>31</v>
      </c>
      <c r="C628" s="83">
        <f>'[2]FGT PRIMARY FIRM ZONE 1'!V639</f>
        <v>194.20499999999998</v>
      </c>
      <c r="D628" s="83">
        <f>'[2]FGT PRIMARY FIRM ZONE 2'!V639</f>
        <v>267.46600000000001</v>
      </c>
      <c r="E628" s="92">
        <f>'[2]FGT PRIMARY FIRM ZONE 3'!V639</f>
        <v>133.845</v>
      </c>
      <c r="F628" s="83">
        <f>'[2]FGT FIRM ZONE 3 MOBILE BAY-DES'!V639-40-25-60-100</f>
        <v>53.48399999999998</v>
      </c>
      <c r="G628" s="86">
        <v>40</v>
      </c>
      <c r="H628" s="83">
        <f t="shared" si="101"/>
        <v>185</v>
      </c>
      <c r="I628" s="83">
        <f t="shared" ref="I628:I691" si="102">400-J628-K628</f>
        <v>0</v>
      </c>
      <c r="J628" s="86">
        <v>100</v>
      </c>
      <c r="K628" s="86">
        <v>300</v>
      </c>
      <c r="L628" s="83">
        <f t="shared" si="94"/>
        <v>1274</v>
      </c>
      <c r="M628" s="94">
        <v>600</v>
      </c>
      <c r="N628" s="83">
        <f>'[2]FGT NON-FIRM'!P639</f>
        <v>75</v>
      </c>
      <c r="O628" s="86">
        <v>240</v>
      </c>
      <c r="P628" s="86">
        <v>40</v>
      </c>
      <c r="Q628" s="86">
        <f t="shared" si="95"/>
        <v>315</v>
      </c>
      <c r="R628" s="86">
        <f t="shared" si="96"/>
        <v>100</v>
      </c>
      <c r="S628" s="83">
        <f t="shared" si="97"/>
        <v>695</v>
      </c>
      <c r="T628" s="83">
        <f>'[2]GULFSTREAM NON-FIRM'!H639</f>
        <v>50</v>
      </c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</row>
    <row r="629" spans="1:30" ht="15.75" hidden="1" x14ac:dyDescent="0.25">
      <c r="A629" s="32">
        <v>60083</v>
      </c>
      <c r="B629" s="95">
        <f t="shared" si="98"/>
        <v>30</v>
      </c>
      <c r="C629" s="83">
        <f>'[2]FGT PRIMARY FIRM ZONE 1'!V640</f>
        <v>194.20499999999998</v>
      </c>
      <c r="D629" s="83">
        <f>'[2]FGT PRIMARY FIRM ZONE 2'!V640</f>
        <v>267.46600000000001</v>
      </c>
      <c r="E629" s="92">
        <f>'[2]FGT PRIMARY FIRM ZONE 3'!V640</f>
        <v>133.845</v>
      </c>
      <c r="F629" s="83">
        <f>'[2]FGT FIRM ZONE 3 MOBILE BAY-DES'!V640-40-25-60-100</f>
        <v>53.48399999999998</v>
      </c>
      <c r="G629" s="86">
        <v>40</v>
      </c>
      <c r="H629" s="83">
        <f t="shared" si="101"/>
        <v>185</v>
      </c>
      <c r="I629" s="83">
        <f t="shared" si="102"/>
        <v>0</v>
      </c>
      <c r="J629" s="86">
        <v>100</v>
      </c>
      <c r="K629" s="86">
        <v>300</v>
      </c>
      <c r="L629" s="83">
        <f t="shared" si="94"/>
        <v>1274</v>
      </c>
      <c r="M629" s="94">
        <v>600</v>
      </c>
      <c r="N629" s="83">
        <f>'[2]FGT NON-FIRM'!P640</f>
        <v>30</v>
      </c>
      <c r="O629" s="86">
        <v>240</v>
      </c>
      <c r="P629" s="86">
        <v>40</v>
      </c>
      <c r="Q629" s="86">
        <f t="shared" si="95"/>
        <v>315</v>
      </c>
      <c r="R629" s="86">
        <f t="shared" si="96"/>
        <v>100</v>
      </c>
      <c r="S629" s="83">
        <f t="shared" si="97"/>
        <v>695</v>
      </c>
      <c r="T629" s="83">
        <f>'[2]GULFSTREAM NON-FIRM'!H640</f>
        <v>50</v>
      </c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</row>
    <row r="630" spans="1:30" ht="15.75" hidden="1" x14ac:dyDescent="0.25">
      <c r="A630" s="32">
        <v>60114</v>
      </c>
      <c r="B630" s="95">
        <f t="shared" si="98"/>
        <v>31</v>
      </c>
      <c r="C630" s="83">
        <f>'[2]FGT PRIMARY FIRM ZONE 1'!V641</f>
        <v>194.20499999999998</v>
      </c>
      <c r="D630" s="83">
        <f>'[2]FGT PRIMARY FIRM ZONE 2'!V641</f>
        <v>267.46600000000001</v>
      </c>
      <c r="E630" s="92">
        <f>'[2]FGT PRIMARY FIRM ZONE 3'!V641</f>
        <v>133.845</v>
      </c>
      <c r="F630" s="83">
        <f>'[2]FGT FIRM ZONE 3 MOBILE BAY-DES'!V641-40-25-60-100</f>
        <v>53.48399999999998</v>
      </c>
      <c r="G630" s="86">
        <v>40</v>
      </c>
      <c r="H630" s="83">
        <f t="shared" si="101"/>
        <v>185</v>
      </c>
      <c r="I630" s="83">
        <f t="shared" si="102"/>
        <v>0</v>
      </c>
      <c r="J630" s="86">
        <v>100</v>
      </c>
      <c r="K630" s="86">
        <v>300</v>
      </c>
      <c r="L630" s="83">
        <f t="shared" si="94"/>
        <v>1274</v>
      </c>
      <c r="M630" s="94">
        <v>600</v>
      </c>
      <c r="N630" s="83">
        <f>'[2]FGT NON-FIRM'!P641</f>
        <v>30</v>
      </c>
      <c r="O630" s="86">
        <v>240</v>
      </c>
      <c r="P630" s="86">
        <v>40</v>
      </c>
      <c r="Q630" s="86">
        <f t="shared" si="95"/>
        <v>315</v>
      </c>
      <c r="R630" s="86">
        <f t="shared" si="96"/>
        <v>100</v>
      </c>
      <c r="S630" s="83">
        <f t="shared" si="97"/>
        <v>695</v>
      </c>
      <c r="T630" s="83">
        <f>'[2]GULFSTREAM NON-FIRM'!H641</f>
        <v>0</v>
      </c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</row>
    <row r="631" spans="1:30" ht="15.75" hidden="1" x14ac:dyDescent="0.25">
      <c r="A631" s="32">
        <v>60145</v>
      </c>
      <c r="B631" s="95">
        <f t="shared" si="98"/>
        <v>31</v>
      </c>
      <c r="C631" s="83">
        <f>'[2]FGT PRIMARY FIRM ZONE 1'!V642</f>
        <v>194.20499999999998</v>
      </c>
      <c r="D631" s="83">
        <f>'[2]FGT PRIMARY FIRM ZONE 2'!V642</f>
        <v>267.46600000000001</v>
      </c>
      <c r="E631" s="92">
        <f>'[2]FGT PRIMARY FIRM ZONE 3'!V642</f>
        <v>133.845</v>
      </c>
      <c r="F631" s="83">
        <f>'[2]FGT FIRM ZONE 3 MOBILE BAY-DES'!V642-40-25-60-100</f>
        <v>53.48399999999998</v>
      </c>
      <c r="G631" s="86">
        <v>40</v>
      </c>
      <c r="H631" s="83">
        <f t="shared" si="101"/>
        <v>185</v>
      </c>
      <c r="I631" s="83">
        <f t="shared" si="102"/>
        <v>0</v>
      </c>
      <c r="J631" s="86">
        <v>100</v>
      </c>
      <c r="K631" s="86">
        <v>300</v>
      </c>
      <c r="L631" s="83">
        <f t="shared" si="94"/>
        <v>1274</v>
      </c>
      <c r="M631" s="94">
        <v>600</v>
      </c>
      <c r="N631" s="83">
        <f>'[2]FGT NON-FIRM'!P642</f>
        <v>30</v>
      </c>
      <c r="O631" s="86">
        <v>240</v>
      </c>
      <c r="P631" s="86">
        <v>40</v>
      </c>
      <c r="Q631" s="86">
        <f t="shared" si="95"/>
        <v>315</v>
      </c>
      <c r="R631" s="86">
        <f t="shared" si="96"/>
        <v>100</v>
      </c>
      <c r="S631" s="83">
        <f t="shared" si="97"/>
        <v>695</v>
      </c>
      <c r="T631" s="83">
        <f>'[2]GULFSTREAM NON-FIRM'!H642</f>
        <v>0</v>
      </c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</row>
    <row r="632" spans="1:30" ht="15.75" hidden="1" x14ac:dyDescent="0.25">
      <c r="A632" s="32">
        <v>60175</v>
      </c>
      <c r="B632" s="95">
        <f t="shared" si="98"/>
        <v>30</v>
      </c>
      <c r="C632" s="83">
        <f>'[2]FGT PRIMARY FIRM ZONE 1'!V643</f>
        <v>194.20499999999998</v>
      </c>
      <c r="D632" s="83">
        <f>'[2]FGT PRIMARY FIRM ZONE 2'!V643</f>
        <v>267.46600000000001</v>
      </c>
      <c r="E632" s="92">
        <f>'[2]FGT PRIMARY FIRM ZONE 3'!V643</f>
        <v>133.845</v>
      </c>
      <c r="F632" s="83">
        <f>'[2]FGT FIRM ZONE 3 MOBILE BAY-DES'!V643-40-25-60-100</f>
        <v>53.48399999999998</v>
      </c>
      <c r="G632" s="86">
        <v>40</v>
      </c>
      <c r="H632" s="83">
        <f t="shared" si="101"/>
        <v>185</v>
      </c>
      <c r="I632" s="83">
        <f t="shared" si="102"/>
        <v>0</v>
      </c>
      <c r="J632" s="86">
        <v>100</v>
      </c>
      <c r="K632" s="86">
        <v>300</v>
      </c>
      <c r="L632" s="83">
        <f t="shared" si="94"/>
        <v>1274</v>
      </c>
      <c r="M632" s="94">
        <v>600</v>
      </c>
      <c r="N632" s="83">
        <f>'[2]FGT NON-FIRM'!P643</f>
        <v>30</v>
      </c>
      <c r="O632" s="86">
        <v>240</v>
      </c>
      <c r="P632" s="86">
        <v>40</v>
      </c>
      <c r="Q632" s="86">
        <f t="shared" si="95"/>
        <v>315</v>
      </c>
      <c r="R632" s="86">
        <f t="shared" si="96"/>
        <v>100</v>
      </c>
      <c r="S632" s="83">
        <f t="shared" si="97"/>
        <v>695</v>
      </c>
      <c r="T632" s="83">
        <f>'[2]GULFSTREAM NON-FIRM'!H643</f>
        <v>0</v>
      </c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</row>
    <row r="633" spans="1:30" ht="15.75" hidden="1" x14ac:dyDescent="0.25">
      <c r="A633" s="32">
        <v>60206</v>
      </c>
      <c r="B633" s="95">
        <f t="shared" si="98"/>
        <v>31</v>
      </c>
      <c r="C633" s="83">
        <f>'[2]FGT PRIMARY FIRM ZONE 1'!V644</f>
        <v>131.881</v>
      </c>
      <c r="D633" s="83">
        <f>'[2]FGT PRIMARY FIRM ZONE 2'!V644</f>
        <v>277.16699999999997</v>
      </c>
      <c r="E633" s="92">
        <f>'[2]FGT PRIMARY FIRM ZONE 3'!V644</f>
        <v>79.08</v>
      </c>
      <c r="F633" s="83">
        <f>'[2]FGT FIRM ZONE 3 MOBILE BAY-DES'!V644-40-25-60-100</f>
        <v>125.87199999999996</v>
      </c>
      <c r="G633" s="86">
        <v>40</v>
      </c>
      <c r="H633" s="83">
        <f t="shared" si="101"/>
        <v>185</v>
      </c>
      <c r="I633" s="83">
        <f t="shared" si="102"/>
        <v>0</v>
      </c>
      <c r="J633" s="86">
        <v>100</v>
      </c>
      <c r="K633" s="86">
        <v>300</v>
      </c>
      <c r="L633" s="83">
        <f t="shared" si="94"/>
        <v>1239</v>
      </c>
      <c r="M633" s="94">
        <v>600</v>
      </c>
      <c r="N633" s="83">
        <f>'[2]FGT NON-FIRM'!P644</f>
        <v>75</v>
      </c>
      <c r="O633" s="86">
        <v>240</v>
      </c>
      <c r="P633" s="86">
        <v>40</v>
      </c>
      <c r="Q633" s="86">
        <f t="shared" si="95"/>
        <v>315</v>
      </c>
      <c r="R633" s="86">
        <f t="shared" si="96"/>
        <v>100</v>
      </c>
      <c r="S633" s="83">
        <f t="shared" si="97"/>
        <v>695</v>
      </c>
      <c r="T633" s="83">
        <f>'[2]GULFSTREAM NON-FIRM'!H644</f>
        <v>0</v>
      </c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</row>
    <row r="634" spans="1:30" ht="15.75" hidden="1" x14ac:dyDescent="0.25">
      <c r="A634" s="32">
        <v>60236</v>
      </c>
      <c r="B634" s="95">
        <f t="shared" si="98"/>
        <v>30</v>
      </c>
      <c r="C634" s="83">
        <f>'[2]FGT PRIMARY FIRM ZONE 1'!V645</f>
        <v>122.58</v>
      </c>
      <c r="D634" s="83">
        <f>'[2]FGT PRIMARY FIRM ZONE 2'!V645</f>
        <v>297.94100000000003</v>
      </c>
      <c r="E634" s="92">
        <f>'[2]FGT PRIMARY FIRM ZONE 3'!V645</f>
        <v>89.177000000000007</v>
      </c>
      <c r="F634" s="83">
        <f>'[2]FGT FIRM ZONE 3 MOBILE BAY-DES'!V645-40-60-100</f>
        <v>40.301999999999992</v>
      </c>
      <c r="G634" s="86">
        <v>40</v>
      </c>
      <c r="H634" s="83">
        <f>60+100</f>
        <v>160</v>
      </c>
      <c r="I634" s="83">
        <f t="shared" si="102"/>
        <v>0</v>
      </c>
      <c r="J634" s="86">
        <v>100</v>
      </c>
      <c r="K634" s="86">
        <v>300</v>
      </c>
      <c r="L634" s="83">
        <f t="shared" si="94"/>
        <v>1150</v>
      </c>
      <c r="M634" s="94">
        <v>600</v>
      </c>
      <c r="N634" s="83">
        <f>'[2]FGT NON-FIRM'!P645</f>
        <v>100</v>
      </c>
      <c r="O634" s="86">
        <v>240</v>
      </c>
      <c r="P634" s="86">
        <v>40</v>
      </c>
      <c r="Q634" s="86">
        <f t="shared" si="95"/>
        <v>315</v>
      </c>
      <c r="R634" s="86">
        <f t="shared" si="96"/>
        <v>100</v>
      </c>
      <c r="S634" s="83">
        <f t="shared" si="97"/>
        <v>695</v>
      </c>
      <c r="T634" s="83">
        <f>'[2]GULFSTREAM NON-FIRM'!H645</f>
        <v>50</v>
      </c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</row>
    <row r="635" spans="1:30" ht="15.75" hidden="1" x14ac:dyDescent="0.25">
      <c r="A635" s="32">
        <v>60267</v>
      </c>
      <c r="B635" s="95">
        <f t="shared" si="98"/>
        <v>31</v>
      </c>
      <c r="C635" s="83">
        <f>'[2]FGT PRIMARY FIRM ZONE 1'!V646</f>
        <v>122.58</v>
      </c>
      <c r="D635" s="83">
        <f>'[2]FGT PRIMARY FIRM ZONE 2'!V646</f>
        <v>297.94100000000003</v>
      </c>
      <c r="E635" s="92">
        <f>'[2]FGT PRIMARY FIRM ZONE 3'!V646</f>
        <v>89.177000000000007</v>
      </c>
      <c r="F635" s="83">
        <f>'[2]FGT FIRM ZONE 3 MOBILE BAY-DES'!V646-40-60-100</f>
        <v>40.301999999999992</v>
      </c>
      <c r="G635" s="86">
        <v>40</v>
      </c>
      <c r="H635" s="83">
        <f>60+100</f>
        <v>160</v>
      </c>
      <c r="I635" s="83">
        <f t="shared" si="102"/>
        <v>0</v>
      </c>
      <c r="J635" s="86">
        <v>100</v>
      </c>
      <c r="K635" s="86">
        <v>300</v>
      </c>
      <c r="L635" s="83">
        <f t="shared" si="94"/>
        <v>1150</v>
      </c>
      <c r="M635" s="94">
        <v>600</v>
      </c>
      <c r="N635" s="83">
        <f>'[2]FGT NON-FIRM'!P646</f>
        <v>100</v>
      </c>
      <c r="O635" s="86">
        <v>240</v>
      </c>
      <c r="P635" s="86">
        <v>40</v>
      </c>
      <c r="Q635" s="86">
        <f t="shared" si="95"/>
        <v>315</v>
      </c>
      <c r="R635" s="86">
        <f t="shared" si="96"/>
        <v>100</v>
      </c>
      <c r="S635" s="83">
        <f t="shared" si="97"/>
        <v>695</v>
      </c>
      <c r="T635" s="83">
        <f>'[2]GULFSTREAM NON-FIRM'!H646</f>
        <v>50</v>
      </c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</row>
    <row r="636" spans="1:30" ht="15.75" hidden="1" x14ac:dyDescent="0.25">
      <c r="A636" s="32">
        <v>60298</v>
      </c>
      <c r="B636" s="95">
        <f t="shared" si="98"/>
        <v>31</v>
      </c>
      <c r="C636" s="83">
        <f>'[2]FGT PRIMARY FIRM ZONE 1'!V647</f>
        <v>122.58</v>
      </c>
      <c r="D636" s="83">
        <f>'[2]FGT PRIMARY FIRM ZONE 2'!V647</f>
        <v>297.94100000000003</v>
      </c>
      <c r="E636" s="92">
        <f>'[2]FGT PRIMARY FIRM ZONE 3'!V647</f>
        <v>89.177000000000007</v>
      </c>
      <c r="F636" s="83">
        <f>'[2]FGT FIRM ZONE 3 MOBILE BAY-DES'!V647-40-60-100</f>
        <v>40.301999999999992</v>
      </c>
      <c r="G636" s="86">
        <v>40</v>
      </c>
      <c r="H636" s="83">
        <f>60+100</f>
        <v>160</v>
      </c>
      <c r="I636" s="83">
        <f t="shared" si="102"/>
        <v>0</v>
      </c>
      <c r="J636" s="86">
        <v>100</v>
      </c>
      <c r="K636" s="86">
        <v>300</v>
      </c>
      <c r="L636" s="83">
        <f t="shared" si="94"/>
        <v>1150</v>
      </c>
      <c r="M636" s="94">
        <v>600</v>
      </c>
      <c r="N636" s="83">
        <f>'[2]FGT NON-FIRM'!P647</f>
        <v>100</v>
      </c>
      <c r="O636" s="86">
        <v>240</v>
      </c>
      <c r="P636" s="86">
        <v>40</v>
      </c>
      <c r="Q636" s="86">
        <f t="shared" si="95"/>
        <v>315</v>
      </c>
      <c r="R636" s="86">
        <f t="shared" si="96"/>
        <v>100</v>
      </c>
      <c r="S636" s="83">
        <f t="shared" si="97"/>
        <v>695</v>
      </c>
      <c r="T636" s="83">
        <f>'[2]GULFSTREAM NON-FIRM'!H647</f>
        <v>50</v>
      </c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</row>
    <row r="637" spans="1:30" ht="15.75" hidden="1" x14ac:dyDescent="0.25">
      <c r="A637" s="32">
        <v>60326</v>
      </c>
      <c r="B637" s="95">
        <f t="shared" si="98"/>
        <v>28</v>
      </c>
      <c r="C637" s="83">
        <f>'[2]FGT PRIMARY FIRM ZONE 1'!V648</f>
        <v>122.58</v>
      </c>
      <c r="D637" s="83">
        <f>'[2]FGT PRIMARY FIRM ZONE 2'!V648</f>
        <v>297.94100000000003</v>
      </c>
      <c r="E637" s="92">
        <f>'[2]FGT PRIMARY FIRM ZONE 3'!V648</f>
        <v>89.177000000000007</v>
      </c>
      <c r="F637" s="83">
        <f>'[2]FGT FIRM ZONE 3 MOBILE BAY-DES'!V648-40-60-100</f>
        <v>40.301999999999992</v>
      </c>
      <c r="G637" s="86">
        <v>40</v>
      </c>
      <c r="H637" s="83">
        <f>60+100</f>
        <v>160</v>
      </c>
      <c r="I637" s="83">
        <f t="shared" si="102"/>
        <v>0</v>
      </c>
      <c r="J637" s="86">
        <v>100</v>
      </c>
      <c r="K637" s="86">
        <v>300</v>
      </c>
      <c r="L637" s="83">
        <f t="shared" si="94"/>
        <v>1150</v>
      </c>
      <c r="M637" s="94">
        <v>600</v>
      </c>
      <c r="N637" s="83">
        <f>'[2]FGT NON-FIRM'!P648</f>
        <v>100</v>
      </c>
      <c r="O637" s="86">
        <v>240</v>
      </c>
      <c r="P637" s="86">
        <v>40</v>
      </c>
      <c r="Q637" s="86">
        <f t="shared" si="95"/>
        <v>315</v>
      </c>
      <c r="R637" s="86">
        <f t="shared" si="96"/>
        <v>100</v>
      </c>
      <c r="S637" s="83">
        <f t="shared" si="97"/>
        <v>695</v>
      </c>
      <c r="T637" s="83">
        <f>'[2]GULFSTREAM NON-FIRM'!H648</f>
        <v>50</v>
      </c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</row>
    <row r="638" spans="1:30" ht="15.75" hidden="1" x14ac:dyDescent="0.25">
      <c r="A638" s="32">
        <v>60357</v>
      </c>
      <c r="B638" s="95">
        <f t="shared" si="98"/>
        <v>31</v>
      </c>
      <c r="C638" s="83">
        <f>'[2]FGT PRIMARY FIRM ZONE 1'!V649</f>
        <v>122.58</v>
      </c>
      <c r="D638" s="83">
        <f>'[2]FGT PRIMARY FIRM ZONE 2'!V649</f>
        <v>297.94100000000003</v>
      </c>
      <c r="E638" s="92">
        <f>'[2]FGT PRIMARY FIRM ZONE 3'!V649</f>
        <v>89.177000000000007</v>
      </c>
      <c r="F638" s="83">
        <f>'[2]FGT FIRM ZONE 3 MOBILE BAY-DES'!V649-40-60-100</f>
        <v>40.301999999999992</v>
      </c>
      <c r="G638" s="86">
        <v>40</v>
      </c>
      <c r="H638" s="83">
        <f>60+100</f>
        <v>160</v>
      </c>
      <c r="I638" s="83">
        <f t="shared" si="102"/>
        <v>0</v>
      </c>
      <c r="J638" s="86">
        <v>100</v>
      </c>
      <c r="K638" s="86">
        <v>300</v>
      </c>
      <c r="L638" s="83">
        <f t="shared" si="94"/>
        <v>1150</v>
      </c>
      <c r="M638" s="94">
        <v>600</v>
      </c>
      <c r="N638" s="83">
        <f>'[2]FGT NON-FIRM'!P649</f>
        <v>100</v>
      </c>
      <c r="O638" s="86">
        <v>240</v>
      </c>
      <c r="P638" s="86">
        <v>40</v>
      </c>
      <c r="Q638" s="86">
        <f t="shared" si="95"/>
        <v>315</v>
      </c>
      <c r="R638" s="86">
        <f t="shared" si="96"/>
        <v>100</v>
      </c>
      <c r="S638" s="83">
        <f t="shared" si="97"/>
        <v>695</v>
      </c>
      <c r="T638" s="83">
        <f>'[2]GULFSTREAM NON-FIRM'!H649</f>
        <v>50</v>
      </c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</row>
    <row r="639" spans="1:30" ht="15.75" hidden="1" x14ac:dyDescent="0.25">
      <c r="A639" s="32">
        <v>60387</v>
      </c>
      <c r="B639" s="95">
        <f t="shared" si="98"/>
        <v>30</v>
      </c>
      <c r="C639" s="83">
        <f>'[2]FGT PRIMARY FIRM ZONE 1'!V650</f>
        <v>141.29300000000001</v>
      </c>
      <c r="D639" s="83">
        <f>'[2]FGT PRIMARY FIRM ZONE 2'!V650</f>
        <v>267.99299999999999</v>
      </c>
      <c r="E639" s="92">
        <f>'[2]FGT PRIMARY FIRM ZONE 3'!V650</f>
        <v>115.01600000000001</v>
      </c>
      <c r="F639" s="83">
        <f>'[2]FGT FIRM ZONE 3 MOBILE BAY-DES'!V650-40-25-60-100</f>
        <v>89.698000000000036</v>
      </c>
      <c r="G639" s="86">
        <v>40</v>
      </c>
      <c r="H639" s="83">
        <f t="shared" ref="H639:H645" si="103">25+60+100</f>
        <v>185</v>
      </c>
      <c r="I639" s="83">
        <f t="shared" si="102"/>
        <v>0</v>
      </c>
      <c r="J639" s="86">
        <v>100</v>
      </c>
      <c r="K639" s="86">
        <v>300</v>
      </c>
      <c r="L639" s="83">
        <f t="shared" si="94"/>
        <v>1239</v>
      </c>
      <c r="M639" s="94">
        <v>600</v>
      </c>
      <c r="N639" s="83">
        <f>'[2]FGT NON-FIRM'!P650</f>
        <v>100</v>
      </c>
      <c r="O639" s="86">
        <v>240</v>
      </c>
      <c r="P639" s="86">
        <v>40</v>
      </c>
      <c r="Q639" s="86">
        <f t="shared" si="95"/>
        <v>315</v>
      </c>
      <c r="R639" s="86">
        <f t="shared" si="96"/>
        <v>100</v>
      </c>
      <c r="S639" s="83">
        <f t="shared" si="97"/>
        <v>695</v>
      </c>
      <c r="T639" s="83">
        <f>'[2]GULFSTREAM NON-FIRM'!H650</f>
        <v>50</v>
      </c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</row>
    <row r="640" spans="1:30" ht="15.75" hidden="1" x14ac:dyDescent="0.25">
      <c r="A640" s="32">
        <v>60418</v>
      </c>
      <c r="B640" s="95">
        <f t="shared" si="98"/>
        <v>31</v>
      </c>
      <c r="C640" s="83">
        <f>'[2]FGT PRIMARY FIRM ZONE 1'!V651</f>
        <v>194.20499999999998</v>
      </c>
      <c r="D640" s="83">
        <f>'[2]FGT PRIMARY FIRM ZONE 2'!V651</f>
        <v>267.46600000000001</v>
      </c>
      <c r="E640" s="92">
        <f>'[2]FGT PRIMARY FIRM ZONE 3'!V651</f>
        <v>133.845</v>
      </c>
      <c r="F640" s="83">
        <f>'[2]FGT FIRM ZONE 3 MOBILE BAY-DES'!V651-40-25-60-100</f>
        <v>53.48399999999998</v>
      </c>
      <c r="G640" s="86">
        <v>40</v>
      </c>
      <c r="H640" s="83">
        <f t="shared" si="103"/>
        <v>185</v>
      </c>
      <c r="I640" s="83">
        <f t="shared" si="102"/>
        <v>0</v>
      </c>
      <c r="J640" s="86">
        <v>100</v>
      </c>
      <c r="K640" s="86">
        <v>300</v>
      </c>
      <c r="L640" s="83">
        <f t="shared" si="94"/>
        <v>1274</v>
      </c>
      <c r="M640" s="94">
        <v>600</v>
      </c>
      <c r="N640" s="83">
        <f>'[2]FGT NON-FIRM'!P651</f>
        <v>75</v>
      </c>
      <c r="O640" s="86">
        <v>240</v>
      </c>
      <c r="P640" s="86">
        <v>40</v>
      </c>
      <c r="Q640" s="86">
        <f t="shared" si="95"/>
        <v>315</v>
      </c>
      <c r="R640" s="86">
        <f t="shared" si="96"/>
        <v>100</v>
      </c>
      <c r="S640" s="83">
        <f t="shared" si="97"/>
        <v>695</v>
      </c>
      <c r="T640" s="83">
        <f>'[2]GULFSTREAM NON-FIRM'!H651</f>
        <v>50</v>
      </c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</row>
    <row r="641" spans="1:30" ht="15.75" hidden="1" x14ac:dyDescent="0.25">
      <c r="A641" s="32">
        <v>60448</v>
      </c>
      <c r="B641" s="95">
        <f t="shared" si="98"/>
        <v>30</v>
      </c>
      <c r="C641" s="83">
        <f>'[2]FGT PRIMARY FIRM ZONE 1'!V652</f>
        <v>194.20499999999998</v>
      </c>
      <c r="D641" s="83">
        <f>'[2]FGT PRIMARY FIRM ZONE 2'!V652</f>
        <v>267.46600000000001</v>
      </c>
      <c r="E641" s="92">
        <f>'[2]FGT PRIMARY FIRM ZONE 3'!V652</f>
        <v>133.845</v>
      </c>
      <c r="F641" s="83">
        <f>'[2]FGT FIRM ZONE 3 MOBILE BAY-DES'!V652-40-25-60-100</f>
        <v>53.48399999999998</v>
      </c>
      <c r="G641" s="86">
        <v>40</v>
      </c>
      <c r="H641" s="83">
        <f t="shared" si="103"/>
        <v>185</v>
      </c>
      <c r="I641" s="83">
        <f t="shared" si="102"/>
        <v>0</v>
      </c>
      <c r="J641" s="86">
        <v>100</v>
      </c>
      <c r="K641" s="86">
        <v>300</v>
      </c>
      <c r="L641" s="83">
        <f t="shared" si="94"/>
        <v>1274</v>
      </c>
      <c r="M641" s="94">
        <v>600</v>
      </c>
      <c r="N641" s="83">
        <f>'[2]FGT NON-FIRM'!P652</f>
        <v>30</v>
      </c>
      <c r="O641" s="86">
        <v>240</v>
      </c>
      <c r="P641" s="86">
        <v>40</v>
      </c>
      <c r="Q641" s="86">
        <f t="shared" si="95"/>
        <v>315</v>
      </c>
      <c r="R641" s="86">
        <f t="shared" si="96"/>
        <v>100</v>
      </c>
      <c r="S641" s="83">
        <f t="shared" si="97"/>
        <v>695</v>
      </c>
      <c r="T641" s="83">
        <f>'[2]GULFSTREAM NON-FIRM'!H652</f>
        <v>50</v>
      </c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</row>
    <row r="642" spans="1:30" ht="15.75" hidden="1" x14ac:dyDescent="0.25">
      <c r="A642" s="32">
        <v>60479</v>
      </c>
      <c r="B642" s="95">
        <f t="shared" si="98"/>
        <v>31</v>
      </c>
      <c r="C642" s="83">
        <f>'[2]FGT PRIMARY FIRM ZONE 1'!V653</f>
        <v>194.20499999999998</v>
      </c>
      <c r="D642" s="83">
        <f>'[2]FGT PRIMARY FIRM ZONE 2'!V653</f>
        <v>267.46600000000001</v>
      </c>
      <c r="E642" s="92">
        <f>'[2]FGT PRIMARY FIRM ZONE 3'!V653</f>
        <v>133.845</v>
      </c>
      <c r="F642" s="83">
        <f>'[2]FGT FIRM ZONE 3 MOBILE BAY-DES'!V653-40-25-60-100</f>
        <v>53.48399999999998</v>
      </c>
      <c r="G642" s="86">
        <v>40</v>
      </c>
      <c r="H642" s="83">
        <f t="shared" si="103"/>
        <v>185</v>
      </c>
      <c r="I642" s="83">
        <f t="shared" si="102"/>
        <v>0</v>
      </c>
      <c r="J642" s="86">
        <v>100</v>
      </c>
      <c r="K642" s="86">
        <v>300</v>
      </c>
      <c r="L642" s="83">
        <f t="shared" si="94"/>
        <v>1274</v>
      </c>
      <c r="M642" s="94">
        <v>600</v>
      </c>
      <c r="N642" s="83">
        <f>'[2]FGT NON-FIRM'!P653</f>
        <v>30</v>
      </c>
      <c r="O642" s="86">
        <v>240</v>
      </c>
      <c r="P642" s="86">
        <v>40</v>
      </c>
      <c r="Q642" s="86">
        <f t="shared" si="95"/>
        <v>315</v>
      </c>
      <c r="R642" s="86">
        <f t="shared" si="96"/>
        <v>100</v>
      </c>
      <c r="S642" s="83">
        <f t="shared" si="97"/>
        <v>695</v>
      </c>
      <c r="T642" s="83">
        <f>'[2]GULFSTREAM NON-FIRM'!H653</f>
        <v>0</v>
      </c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</row>
    <row r="643" spans="1:30" ht="15.75" hidden="1" x14ac:dyDescent="0.25">
      <c r="A643" s="32">
        <v>60510</v>
      </c>
      <c r="B643" s="95">
        <f t="shared" si="98"/>
        <v>31</v>
      </c>
      <c r="C643" s="83">
        <f>'[2]FGT PRIMARY FIRM ZONE 1'!V654</f>
        <v>194.20499999999998</v>
      </c>
      <c r="D643" s="83">
        <f>'[2]FGT PRIMARY FIRM ZONE 2'!V654</f>
        <v>267.46600000000001</v>
      </c>
      <c r="E643" s="92">
        <f>'[2]FGT PRIMARY FIRM ZONE 3'!V654</f>
        <v>133.845</v>
      </c>
      <c r="F643" s="83">
        <f>'[2]FGT FIRM ZONE 3 MOBILE BAY-DES'!V654-40-25-60-100</f>
        <v>53.48399999999998</v>
      </c>
      <c r="G643" s="86">
        <v>40</v>
      </c>
      <c r="H643" s="83">
        <f t="shared" si="103"/>
        <v>185</v>
      </c>
      <c r="I643" s="83">
        <f t="shared" si="102"/>
        <v>0</v>
      </c>
      <c r="J643" s="86">
        <v>100</v>
      </c>
      <c r="K643" s="86">
        <v>300</v>
      </c>
      <c r="L643" s="83">
        <f t="shared" si="94"/>
        <v>1274</v>
      </c>
      <c r="M643" s="94">
        <v>600</v>
      </c>
      <c r="N643" s="83">
        <f>'[2]FGT NON-FIRM'!P654</f>
        <v>30</v>
      </c>
      <c r="O643" s="86">
        <v>240</v>
      </c>
      <c r="P643" s="86">
        <v>40</v>
      </c>
      <c r="Q643" s="86">
        <f t="shared" si="95"/>
        <v>315</v>
      </c>
      <c r="R643" s="86">
        <f t="shared" si="96"/>
        <v>100</v>
      </c>
      <c r="S643" s="83">
        <f t="shared" si="97"/>
        <v>695</v>
      </c>
      <c r="T643" s="83">
        <f>'[2]GULFSTREAM NON-FIRM'!H654</f>
        <v>0</v>
      </c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</row>
    <row r="644" spans="1:30" ht="15.75" hidden="1" x14ac:dyDescent="0.25">
      <c r="A644" s="32">
        <v>60540</v>
      </c>
      <c r="B644" s="95">
        <f t="shared" si="98"/>
        <v>30</v>
      </c>
      <c r="C644" s="83">
        <f>'[2]FGT PRIMARY FIRM ZONE 1'!V655</f>
        <v>194.20499999999998</v>
      </c>
      <c r="D644" s="83">
        <f>'[2]FGT PRIMARY FIRM ZONE 2'!V655</f>
        <v>267.46600000000001</v>
      </c>
      <c r="E644" s="92">
        <f>'[2]FGT PRIMARY FIRM ZONE 3'!V655</f>
        <v>133.845</v>
      </c>
      <c r="F644" s="83">
        <f>'[2]FGT FIRM ZONE 3 MOBILE BAY-DES'!V655-40-25-60-100</f>
        <v>53.48399999999998</v>
      </c>
      <c r="G644" s="86">
        <v>40</v>
      </c>
      <c r="H644" s="83">
        <f t="shared" si="103"/>
        <v>185</v>
      </c>
      <c r="I644" s="83">
        <f t="shared" si="102"/>
        <v>0</v>
      </c>
      <c r="J644" s="86">
        <v>100</v>
      </c>
      <c r="K644" s="86">
        <v>300</v>
      </c>
      <c r="L644" s="83">
        <f t="shared" si="94"/>
        <v>1274</v>
      </c>
      <c r="M644" s="94">
        <v>600</v>
      </c>
      <c r="N644" s="83">
        <f>'[2]FGT NON-FIRM'!P655</f>
        <v>30</v>
      </c>
      <c r="O644" s="86">
        <v>240</v>
      </c>
      <c r="P644" s="86">
        <v>40</v>
      </c>
      <c r="Q644" s="86">
        <f t="shared" si="95"/>
        <v>315</v>
      </c>
      <c r="R644" s="86">
        <f t="shared" si="96"/>
        <v>100</v>
      </c>
      <c r="S644" s="83">
        <f t="shared" si="97"/>
        <v>695</v>
      </c>
      <c r="T644" s="83">
        <f>'[2]GULFSTREAM NON-FIRM'!H655</f>
        <v>0</v>
      </c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</row>
    <row r="645" spans="1:30" ht="15.75" hidden="1" x14ac:dyDescent="0.25">
      <c r="A645" s="32">
        <v>60571</v>
      </c>
      <c r="B645" s="95">
        <f t="shared" si="98"/>
        <v>31</v>
      </c>
      <c r="C645" s="83">
        <f>'[2]FGT PRIMARY FIRM ZONE 1'!V656</f>
        <v>131.881</v>
      </c>
      <c r="D645" s="83">
        <f>'[2]FGT PRIMARY FIRM ZONE 2'!V656</f>
        <v>277.16699999999997</v>
      </c>
      <c r="E645" s="92">
        <f>'[2]FGT PRIMARY FIRM ZONE 3'!V656</f>
        <v>79.08</v>
      </c>
      <c r="F645" s="83">
        <f>'[2]FGT FIRM ZONE 3 MOBILE BAY-DES'!V656-40-25-60-100</f>
        <v>125.87199999999996</v>
      </c>
      <c r="G645" s="86">
        <v>40</v>
      </c>
      <c r="H645" s="83">
        <f t="shared" si="103"/>
        <v>185</v>
      </c>
      <c r="I645" s="83">
        <f t="shared" si="102"/>
        <v>0</v>
      </c>
      <c r="J645" s="86">
        <v>100</v>
      </c>
      <c r="K645" s="86">
        <v>300</v>
      </c>
      <c r="L645" s="83">
        <f t="shared" si="94"/>
        <v>1239</v>
      </c>
      <c r="M645" s="94">
        <v>600</v>
      </c>
      <c r="N645" s="83">
        <f>'[2]FGT NON-FIRM'!P656</f>
        <v>75</v>
      </c>
      <c r="O645" s="86">
        <v>240</v>
      </c>
      <c r="P645" s="86">
        <v>40</v>
      </c>
      <c r="Q645" s="86">
        <f t="shared" si="95"/>
        <v>315</v>
      </c>
      <c r="R645" s="86">
        <f t="shared" si="96"/>
        <v>100</v>
      </c>
      <c r="S645" s="83">
        <f t="shared" si="97"/>
        <v>695</v>
      </c>
      <c r="T645" s="83">
        <f>'[2]GULFSTREAM NON-FIRM'!H656</f>
        <v>0</v>
      </c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</row>
    <row r="646" spans="1:30" ht="15.75" hidden="1" x14ac:dyDescent="0.25">
      <c r="A646" s="32">
        <v>60601</v>
      </c>
      <c r="B646" s="95">
        <f t="shared" si="98"/>
        <v>30</v>
      </c>
      <c r="C646" s="83">
        <f>'[2]FGT PRIMARY FIRM ZONE 1'!V657</f>
        <v>122.58</v>
      </c>
      <c r="D646" s="83">
        <f>'[2]FGT PRIMARY FIRM ZONE 2'!V657</f>
        <v>297.94100000000003</v>
      </c>
      <c r="E646" s="92">
        <f>'[2]FGT PRIMARY FIRM ZONE 3'!V657</f>
        <v>89.177000000000007</v>
      </c>
      <c r="F646" s="83">
        <f>'[2]FGT FIRM ZONE 3 MOBILE BAY-DES'!V657-40-60-100</f>
        <v>40.301999999999992</v>
      </c>
      <c r="G646" s="86">
        <v>40</v>
      </c>
      <c r="H646" s="83">
        <f>60+100</f>
        <v>160</v>
      </c>
      <c r="I646" s="83">
        <f t="shared" si="102"/>
        <v>0</v>
      </c>
      <c r="J646" s="86">
        <v>100</v>
      </c>
      <c r="K646" s="86">
        <v>300</v>
      </c>
      <c r="L646" s="83">
        <f t="shared" si="94"/>
        <v>1150</v>
      </c>
      <c r="M646" s="94">
        <v>600</v>
      </c>
      <c r="N646" s="83">
        <f>'[2]FGT NON-FIRM'!P657</f>
        <v>100</v>
      </c>
      <c r="O646" s="86">
        <v>240</v>
      </c>
      <c r="P646" s="86">
        <v>40</v>
      </c>
      <c r="Q646" s="86">
        <f t="shared" si="95"/>
        <v>315</v>
      </c>
      <c r="R646" s="86">
        <f t="shared" si="96"/>
        <v>100</v>
      </c>
      <c r="S646" s="83">
        <f t="shared" si="97"/>
        <v>695</v>
      </c>
      <c r="T646" s="83">
        <f>'[2]GULFSTREAM NON-FIRM'!H657</f>
        <v>50</v>
      </c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</row>
    <row r="647" spans="1:30" ht="15.75" hidden="1" x14ac:dyDescent="0.25">
      <c r="A647" s="32">
        <v>60632</v>
      </c>
      <c r="B647" s="95">
        <f t="shared" si="98"/>
        <v>31</v>
      </c>
      <c r="C647" s="83">
        <f>'[2]FGT PRIMARY FIRM ZONE 1'!V658</f>
        <v>122.58</v>
      </c>
      <c r="D647" s="83">
        <f>'[2]FGT PRIMARY FIRM ZONE 2'!V658</f>
        <v>297.94100000000003</v>
      </c>
      <c r="E647" s="92">
        <f>'[2]FGT PRIMARY FIRM ZONE 3'!V658</f>
        <v>89.177000000000007</v>
      </c>
      <c r="F647" s="83">
        <f>'[2]FGT FIRM ZONE 3 MOBILE BAY-DES'!V658-40-60-100</f>
        <v>40.301999999999992</v>
      </c>
      <c r="G647" s="86">
        <v>40</v>
      </c>
      <c r="H647" s="83">
        <f>60+100</f>
        <v>160</v>
      </c>
      <c r="I647" s="83">
        <f t="shared" si="102"/>
        <v>0</v>
      </c>
      <c r="J647" s="86">
        <v>100</v>
      </c>
      <c r="K647" s="86">
        <v>300</v>
      </c>
      <c r="L647" s="83">
        <f t="shared" si="94"/>
        <v>1150</v>
      </c>
      <c r="M647" s="94">
        <v>600</v>
      </c>
      <c r="N647" s="83">
        <f>'[2]FGT NON-FIRM'!P658</f>
        <v>100</v>
      </c>
      <c r="O647" s="86">
        <v>240</v>
      </c>
      <c r="P647" s="86">
        <v>40</v>
      </c>
      <c r="Q647" s="86">
        <f t="shared" si="95"/>
        <v>315</v>
      </c>
      <c r="R647" s="86">
        <f t="shared" si="96"/>
        <v>100</v>
      </c>
      <c r="S647" s="83">
        <f t="shared" si="97"/>
        <v>695</v>
      </c>
      <c r="T647" s="83">
        <f>'[2]GULFSTREAM NON-FIRM'!H658</f>
        <v>50</v>
      </c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</row>
    <row r="648" spans="1:30" ht="15.75" hidden="1" x14ac:dyDescent="0.25">
      <c r="A648" s="32">
        <v>60663</v>
      </c>
      <c r="B648" s="95">
        <f t="shared" si="98"/>
        <v>31</v>
      </c>
      <c r="C648" s="83">
        <f>'[2]FGT PRIMARY FIRM ZONE 1'!V659</f>
        <v>122.58</v>
      </c>
      <c r="D648" s="83">
        <f>'[2]FGT PRIMARY FIRM ZONE 2'!V659</f>
        <v>297.94100000000003</v>
      </c>
      <c r="E648" s="92">
        <f>'[2]FGT PRIMARY FIRM ZONE 3'!V659</f>
        <v>89.177000000000007</v>
      </c>
      <c r="F648" s="83">
        <f>'[2]FGT FIRM ZONE 3 MOBILE BAY-DES'!V659-40-60-100</f>
        <v>40.301999999999992</v>
      </c>
      <c r="G648" s="86">
        <v>40</v>
      </c>
      <c r="H648" s="83">
        <f>60+100</f>
        <v>160</v>
      </c>
      <c r="I648" s="83">
        <f t="shared" si="102"/>
        <v>0</v>
      </c>
      <c r="J648" s="86">
        <v>100</v>
      </c>
      <c r="K648" s="86">
        <v>300</v>
      </c>
      <c r="L648" s="83">
        <f t="shared" si="94"/>
        <v>1150</v>
      </c>
      <c r="M648" s="94">
        <v>600</v>
      </c>
      <c r="N648" s="83">
        <f>'[2]FGT NON-FIRM'!P659</f>
        <v>100</v>
      </c>
      <c r="O648" s="86">
        <v>240</v>
      </c>
      <c r="P648" s="86">
        <v>40</v>
      </c>
      <c r="Q648" s="86">
        <f t="shared" si="95"/>
        <v>315</v>
      </c>
      <c r="R648" s="86">
        <f t="shared" si="96"/>
        <v>100</v>
      </c>
      <c r="S648" s="83">
        <f t="shared" si="97"/>
        <v>695</v>
      </c>
      <c r="T648" s="83">
        <f>'[2]GULFSTREAM NON-FIRM'!H659</f>
        <v>50</v>
      </c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</row>
    <row r="649" spans="1:30" ht="15.75" hidden="1" x14ac:dyDescent="0.25">
      <c r="A649" s="32">
        <v>60691</v>
      </c>
      <c r="B649" s="95">
        <f t="shared" si="98"/>
        <v>28</v>
      </c>
      <c r="C649" s="83">
        <f>'[2]FGT PRIMARY FIRM ZONE 1'!V660</f>
        <v>122.58</v>
      </c>
      <c r="D649" s="83">
        <f>'[2]FGT PRIMARY FIRM ZONE 2'!V660</f>
        <v>297.94100000000003</v>
      </c>
      <c r="E649" s="92">
        <f>'[2]FGT PRIMARY FIRM ZONE 3'!V660</f>
        <v>89.177000000000007</v>
      </c>
      <c r="F649" s="83">
        <f>'[2]FGT FIRM ZONE 3 MOBILE BAY-DES'!V660-40-60-100</f>
        <v>40.301999999999992</v>
      </c>
      <c r="G649" s="86">
        <v>40</v>
      </c>
      <c r="H649" s="83">
        <f>60+100</f>
        <v>160</v>
      </c>
      <c r="I649" s="83">
        <f t="shared" si="102"/>
        <v>0</v>
      </c>
      <c r="J649" s="86">
        <v>100</v>
      </c>
      <c r="K649" s="86">
        <v>300</v>
      </c>
      <c r="L649" s="83">
        <f t="shared" si="94"/>
        <v>1150</v>
      </c>
      <c r="M649" s="94">
        <v>600</v>
      </c>
      <c r="N649" s="83">
        <f>'[2]FGT NON-FIRM'!P660</f>
        <v>100</v>
      </c>
      <c r="O649" s="86">
        <v>240</v>
      </c>
      <c r="P649" s="86">
        <v>40</v>
      </c>
      <c r="Q649" s="86">
        <f t="shared" si="95"/>
        <v>315</v>
      </c>
      <c r="R649" s="86">
        <f t="shared" si="96"/>
        <v>100</v>
      </c>
      <c r="S649" s="83">
        <f t="shared" si="97"/>
        <v>695</v>
      </c>
      <c r="T649" s="83">
        <f>'[2]GULFSTREAM NON-FIRM'!H660</f>
        <v>50</v>
      </c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</row>
    <row r="650" spans="1:30" ht="15.75" hidden="1" x14ac:dyDescent="0.25">
      <c r="A650" s="32">
        <v>60722</v>
      </c>
      <c r="B650" s="95">
        <f t="shared" si="98"/>
        <v>31</v>
      </c>
      <c r="C650" s="83">
        <f>'[2]FGT PRIMARY FIRM ZONE 1'!V661</f>
        <v>122.58</v>
      </c>
      <c r="D650" s="83">
        <f>'[2]FGT PRIMARY FIRM ZONE 2'!V661</f>
        <v>297.94100000000003</v>
      </c>
      <c r="E650" s="92">
        <f>'[2]FGT PRIMARY FIRM ZONE 3'!V661</f>
        <v>89.177000000000007</v>
      </c>
      <c r="F650" s="83">
        <f>'[2]FGT FIRM ZONE 3 MOBILE BAY-DES'!V661-40-60-100</f>
        <v>40.301999999999992</v>
      </c>
      <c r="G650" s="86">
        <v>40</v>
      </c>
      <c r="H650" s="83">
        <f>60+100</f>
        <v>160</v>
      </c>
      <c r="I650" s="83">
        <f t="shared" si="102"/>
        <v>0</v>
      </c>
      <c r="J650" s="86">
        <v>100</v>
      </c>
      <c r="K650" s="86">
        <v>300</v>
      </c>
      <c r="L650" s="83">
        <f t="shared" si="94"/>
        <v>1150</v>
      </c>
      <c r="M650" s="94">
        <v>600</v>
      </c>
      <c r="N650" s="83">
        <f>'[2]FGT NON-FIRM'!P661</f>
        <v>100</v>
      </c>
      <c r="O650" s="86">
        <v>240</v>
      </c>
      <c r="P650" s="86">
        <v>40</v>
      </c>
      <c r="Q650" s="86">
        <f t="shared" si="95"/>
        <v>315</v>
      </c>
      <c r="R650" s="86">
        <f t="shared" si="96"/>
        <v>100</v>
      </c>
      <c r="S650" s="83">
        <f t="shared" si="97"/>
        <v>695</v>
      </c>
      <c r="T650" s="83">
        <f>'[2]GULFSTREAM NON-FIRM'!H661</f>
        <v>50</v>
      </c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</row>
    <row r="651" spans="1:30" ht="15.75" hidden="1" x14ac:dyDescent="0.25">
      <c r="A651" s="32">
        <v>60752</v>
      </c>
      <c r="B651" s="95">
        <f t="shared" si="98"/>
        <v>30</v>
      </c>
      <c r="C651" s="83">
        <f>'[2]FGT PRIMARY FIRM ZONE 1'!V662</f>
        <v>141.29300000000001</v>
      </c>
      <c r="D651" s="83">
        <f>'[2]FGT PRIMARY FIRM ZONE 2'!V662</f>
        <v>267.99299999999999</v>
      </c>
      <c r="E651" s="92">
        <f>'[2]FGT PRIMARY FIRM ZONE 3'!V662</f>
        <v>115.01600000000001</v>
      </c>
      <c r="F651" s="83">
        <f>'[2]FGT FIRM ZONE 3 MOBILE BAY-DES'!V662-40-25-60-100</f>
        <v>89.698000000000036</v>
      </c>
      <c r="G651" s="86">
        <v>40</v>
      </c>
      <c r="H651" s="83">
        <f t="shared" ref="H651:H657" si="104">25+60+100</f>
        <v>185</v>
      </c>
      <c r="I651" s="83">
        <f t="shared" si="102"/>
        <v>0</v>
      </c>
      <c r="J651" s="86">
        <v>100</v>
      </c>
      <c r="K651" s="86">
        <v>300</v>
      </c>
      <c r="L651" s="83">
        <f t="shared" si="94"/>
        <v>1239</v>
      </c>
      <c r="M651" s="94">
        <v>600</v>
      </c>
      <c r="N651" s="83">
        <f>'[2]FGT NON-FIRM'!P662</f>
        <v>100</v>
      </c>
      <c r="O651" s="86">
        <v>240</v>
      </c>
      <c r="P651" s="86">
        <v>40</v>
      </c>
      <c r="Q651" s="86">
        <f t="shared" si="95"/>
        <v>315</v>
      </c>
      <c r="R651" s="86">
        <f t="shared" si="96"/>
        <v>100</v>
      </c>
      <c r="S651" s="83">
        <f t="shared" si="97"/>
        <v>695</v>
      </c>
      <c r="T651" s="83">
        <f>'[2]GULFSTREAM NON-FIRM'!H662</f>
        <v>50</v>
      </c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</row>
    <row r="652" spans="1:30" ht="15.75" hidden="1" x14ac:dyDescent="0.25">
      <c r="A652" s="32">
        <v>60783</v>
      </c>
      <c r="B652" s="95">
        <f t="shared" si="98"/>
        <v>31</v>
      </c>
      <c r="C652" s="83">
        <f>'[2]FGT PRIMARY FIRM ZONE 1'!V663</f>
        <v>194.20499999999998</v>
      </c>
      <c r="D652" s="83">
        <f>'[2]FGT PRIMARY FIRM ZONE 2'!V663</f>
        <v>267.46600000000001</v>
      </c>
      <c r="E652" s="92">
        <f>'[2]FGT PRIMARY FIRM ZONE 3'!V663</f>
        <v>133.845</v>
      </c>
      <c r="F652" s="83">
        <f>'[2]FGT FIRM ZONE 3 MOBILE BAY-DES'!V663-40-25-60-100</f>
        <v>53.48399999999998</v>
      </c>
      <c r="G652" s="86">
        <v>40</v>
      </c>
      <c r="H652" s="83">
        <f t="shared" si="104"/>
        <v>185</v>
      </c>
      <c r="I652" s="83">
        <f t="shared" si="102"/>
        <v>0</v>
      </c>
      <c r="J652" s="86">
        <v>100</v>
      </c>
      <c r="K652" s="86">
        <v>300</v>
      </c>
      <c r="L652" s="83">
        <f t="shared" si="94"/>
        <v>1274</v>
      </c>
      <c r="M652" s="94">
        <v>600</v>
      </c>
      <c r="N652" s="83">
        <f>'[2]FGT NON-FIRM'!P663</f>
        <v>75</v>
      </c>
      <c r="O652" s="86">
        <v>240</v>
      </c>
      <c r="P652" s="86">
        <v>40</v>
      </c>
      <c r="Q652" s="86">
        <f t="shared" si="95"/>
        <v>315</v>
      </c>
      <c r="R652" s="86">
        <f t="shared" si="96"/>
        <v>100</v>
      </c>
      <c r="S652" s="83">
        <f t="shared" si="97"/>
        <v>695</v>
      </c>
      <c r="T652" s="83">
        <f>'[2]GULFSTREAM NON-FIRM'!H663</f>
        <v>50</v>
      </c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</row>
    <row r="653" spans="1:30" ht="15.75" hidden="1" x14ac:dyDescent="0.25">
      <c r="A653" s="32">
        <v>60813</v>
      </c>
      <c r="B653" s="95">
        <f t="shared" si="98"/>
        <v>30</v>
      </c>
      <c r="C653" s="83">
        <f>'[2]FGT PRIMARY FIRM ZONE 1'!V664</f>
        <v>194.20499999999998</v>
      </c>
      <c r="D653" s="83">
        <f>'[2]FGT PRIMARY FIRM ZONE 2'!V664</f>
        <v>267.46600000000001</v>
      </c>
      <c r="E653" s="92">
        <f>'[2]FGT PRIMARY FIRM ZONE 3'!V664</f>
        <v>133.845</v>
      </c>
      <c r="F653" s="83">
        <f>'[2]FGT FIRM ZONE 3 MOBILE BAY-DES'!V664-40-25-60-100</f>
        <v>53.48399999999998</v>
      </c>
      <c r="G653" s="86">
        <v>40</v>
      </c>
      <c r="H653" s="83">
        <f t="shared" si="104"/>
        <v>185</v>
      </c>
      <c r="I653" s="83">
        <f t="shared" si="102"/>
        <v>0</v>
      </c>
      <c r="J653" s="86">
        <v>100</v>
      </c>
      <c r="K653" s="86">
        <v>300</v>
      </c>
      <c r="L653" s="83">
        <f t="shared" si="94"/>
        <v>1274</v>
      </c>
      <c r="M653" s="94">
        <v>600</v>
      </c>
      <c r="N653" s="83">
        <f>'[2]FGT NON-FIRM'!P664</f>
        <v>30</v>
      </c>
      <c r="O653" s="86">
        <v>240</v>
      </c>
      <c r="P653" s="86">
        <v>40</v>
      </c>
      <c r="Q653" s="86">
        <f t="shared" si="95"/>
        <v>315</v>
      </c>
      <c r="R653" s="86">
        <f t="shared" si="96"/>
        <v>100</v>
      </c>
      <c r="S653" s="83">
        <f t="shared" si="97"/>
        <v>695</v>
      </c>
      <c r="T653" s="83">
        <f>'[2]GULFSTREAM NON-FIRM'!H664</f>
        <v>50</v>
      </c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</row>
    <row r="654" spans="1:30" ht="15.75" hidden="1" x14ac:dyDescent="0.25">
      <c r="A654" s="32">
        <v>60844</v>
      </c>
      <c r="B654" s="95">
        <f t="shared" si="98"/>
        <v>31</v>
      </c>
      <c r="C654" s="83">
        <f>'[2]FGT PRIMARY FIRM ZONE 1'!V665</f>
        <v>194.20499999999998</v>
      </c>
      <c r="D654" s="83">
        <f>'[2]FGT PRIMARY FIRM ZONE 2'!V665</f>
        <v>267.46600000000001</v>
      </c>
      <c r="E654" s="92">
        <f>'[2]FGT PRIMARY FIRM ZONE 3'!V665</f>
        <v>133.845</v>
      </c>
      <c r="F654" s="83">
        <f>'[2]FGT FIRM ZONE 3 MOBILE BAY-DES'!V665-40-25-60-100</f>
        <v>53.48399999999998</v>
      </c>
      <c r="G654" s="86">
        <v>40</v>
      </c>
      <c r="H654" s="83">
        <f t="shared" si="104"/>
        <v>185</v>
      </c>
      <c r="I654" s="83">
        <f t="shared" si="102"/>
        <v>0</v>
      </c>
      <c r="J654" s="86">
        <v>100</v>
      </c>
      <c r="K654" s="86">
        <v>300</v>
      </c>
      <c r="L654" s="83">
        <f t="shared" si="94"/>
        <v>1274</v>
      </c>
      <c r="M654" s="94">
        <v>600</v>
      </c>
      <c r="N654" s="83">
        <f>'[2]FGT NON-FIRM'!P665</f>
        <v>30</v>
      </c>
      <c r="O654" s="86">
        <v>240</v>
      </c>
      <c r="P654" s="86">
        <v>40</v>
      </c>
      <c r="Q654" s="86">
        <f t="shared" si="95"/>
        <v>315</v>
      </c>
      <c r="R654" s="86">
        <f t="shared" si="96"/>
        <v>100</v>
      </c>
      <c r="S654" s="83">
        <f t="shared" si="97"/>
        <v>695</v>
      </c>
      <c r="T654" s="83">
        <f>'[2]GULFSTREAM NON-FIRM'!H665</f>
        <v>0</v>
      </c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</row>
    <row r="655" spans="1:30" ht="15.75" hidden="1" x14ac:dyDescent="0.25">
      <c r="A655" s="32">
        <v>60875</v>
      </c>
      <c r="B655" s="95">
        <f t="shared" si="98"/>
        <v>31</v>
      </c>
      <c r="C655" s="83">
        <f>'[2]FGT PRIMARY FIRM ZONE 1'!V666</f>
        <v>194.20499999999998</v>
      </c>
      <c r="D655" s="83">
        <f>'[2]FGT PRIMARY FIRM ZONE 2'!V666</f>
        <v>267.46600000000001</v>
      </c>
      <c r="E655" s="92">
        <f>'[2]FGT PRIMARY FIRM ZONE 3'!V666</f>
        <v>133.845</v>
      </c>
      <c r="F655" s="83">
        <f>'[2]FGT FIRM ZONE 3 MOBILE BAY-DES'!V666-40-25-60-100</f>
        <v>53.48399999999998</v>
      </c>
      <c r="G655" s="86">
        <v>40</v>
      </c>
      <c r="H655" s="83">
        <f t="shared" si="104"/>
        <v>185</v>
      </c>
      <c r="I655" s="83">
        <f t="shared" si="102"/>
        <v>0</v>
      </c>
      <c r="J655" s="86">
        <v>100</v>
      </c>
      <c r="K655" s="86">
        <v>300</v>
      </c>
      <c r="L655" s="83">
        <f t="shared" si="94"/>
        <v>1274</v>
      </c>
      <c r="M655" s="94">
        <v>600</v>
      </c>
      <c r="N655" s="83">
        <f>'[2]FGT NON-FIRM'!P666</f>
        <v>30</v>
      </c>
      <c r="O655" s="86">
        <v>240</v>
      </c>
      <c r="P655" s="86">
        <v>40</v>
      </c>
      <c r="Q655" s="86">
        <f t="shared" si="95"/>
        <v>315</v>
      </c>
      <c r="R655" s="86">
        <f t="shared" si="96"/>
        <v>100</v>
      </c>
      <c r="S655" s="83">
        <f t="shared" si="97"/>
        <v>695</v>
      </c>
      <c r="T655" s="83">
        <f>'[2]GULFSTREAM NON-FIRM'!H666</f>
        <v>0</v>
      </c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</row>
    <row r="656" spans="1:30" ht="15.75" hidden="1" x14ac:dyDescent="0.25">
      <c r="A656" s="32">
        <v>60905</v>
      </c>
      <c r="B656" s="95">
        <f t="shared" si="98"/>
        <v>30</v>
      </c>
      <c r="C656" s="83">
        <f>'[2]FGT PRIMARY FIRM ZONE 1'!V667</f>
        <v>194.20499999999998</v>
      </c>
      <c r="D656" s="83">
        <f>'[2]FGT PRIMARY FIRM ZONE 2'!V667</f>
        <v>267.46600000000001</v>
      </c>
      <c r="E656" s="92">
        <f>'[2]FGT PRIMARY FIRM ZONE 3'!V667</f>
        <v>133.845</v>
      </c>
      <c r="F656" s="83">
        <f>'[2]FGT FIRM ZONE 3 MOBILE BAY-DES'!V667-40-25-60-100</f>
        <v>53.48399999999998</v>
      </c>
      <c r="G656" s="86">
        <v>40</v>
      </c>
      <c r="H656" s="83">
        <f t="shared" si="104"/>
        <v>185</v>
      </c>
      <c r="I656" s="83">
        <f t="shared" si="102"/>
        <v>0</v>
      </c>
      <c r="J656" s="86">
        <v>100</v>
      </c>
      <c r="K656" s="86">
        <v>300</v>
      </c>
      <c r="L656" s="83">
        <f t="shared" si="94"/>
        <v>1274</v>
      </c>
      <c r="M656" s="94">
        <v>600</v>
      </c>
      <c r="N656" s="83">
        <f>'[2]FGT NON-FIRM'!P667</f>
        <v>30</v>
      </c>
      <c r="O656" s="86">
        <v>240</v>
      </c>
      <c r="P656" s="86">
        <v>40</v>
      </c>
      <c r="Q656" s="86">
        <f t="shared" si="95"/>
        <v>315</v>
      </c>
      <c r="R656" s="86">
        <f t="shared" si="96"/>
        <v>100</v>
      </c>
      <c r="S656" s="83">
        <f t="shared" si="97"/>
        <v>695</v>
      </c>
      <c r="T656" s="83">
        <f>'[2]GULFSTREAM NON-FIRM'!H667</f>
        <v>0</v>
      </c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</row>
    <row r="657" spans="1:30" ht="15.75" hidden="1" x14ac:dyDescent="0.25">
      <c r="A657" s="32">
        <v>60936</v>
      </c>
      <c r="B657" s="95">
        <f t="shared" si="98"/>
        <v>31</v>
      </c>
      <c r="C657" s="83">
        <f>'[2]FGT PRIMARY FIRM ZONE 1'!V668</f>
        <v>131.881</v>
      </c>
      <c r="D657" s="83">
        <f>'[2]FGT PRIMARY FIRM ZONE 2'!V668</f>
        <v>277.16699999999997</v>
      </c>
      <c r="E657" s="92">
        <f>'[2]FGT PRIMARY FIRM ZONE 3'!V668</f>
        <v>79.08</v>
      </c>
      <c r="F657" s="83">
        <f>'[2]FGT FIRM ZONE 3 MOBILE BAY-DES'!V668-40-25-60-100</f>
        <v>125.87199999999996</v>
      </c>
      <c r="G657" s="86">
        <v>40</v>
      </c>
      <c r="H657" s="83">
        <f t="shared" si="104"/>
        <v>185</v>
      </c>
      <c r="I657" s="83">
        <f t="shared" si="102"/>
        <v>0</v>
      </c>
      <c r="J657" s="86">
        <v>100</v>
      </c>
      <c r="K657" s="86">
        <v>300</v>
      </c>
      <c r="L657" s="83">
        <f t="shared" si="94"/>
        <v>1239</v>
      </c>
      <c r="M657" s="94">
        <v>600</v>
      </c>
      <c r="N657" s="83">
        <f>'[2]FGT NON-FIRM'!P668</f>
        <v>75</v>
      </c>
      <c r="O657" s="86">
        <v>240</v>
      </c>
      <c r="P657" s="86">
        <v>40</v>
      </c>
      <c r="Q657" s="86">
        <f t="shared" si="95"/>
        <v>315</v>
      </c>
      <c r="R657" s="86">
        <f t="shared" si="96"/>
        <v>100</v>
      </c>
      <c r="S657" s="83">
        <f t="shared" si="97"/>
        <v>695</v>
      </c>
      <c r="T657" s="83">
        <f>'[2]GULFSTREAM NON-FIRM'!H668</f>
        <v>0</v>
      </c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</row>
    <row r="658" spans="1:30" ht="15.75" hidden="1" x14ac:dyDescent="0.25">
      <c r="A658" s="32">
        <v>60966</v>
      </c>
      <c r="B658" s="95">
        <f t="shared" si="98"/>
        <v>30</v>
      </c>
      <c r="C658" s="83">
        <f>'[2]FGT PRIMARY FIRM ZONE 1'!V669</f>
        <v>122.58</v>
      </c>
      <c r="D658" s="83">
        <f>'[2]FGT PRIMARY FIRM ZONE 2'!V669</f>
        <v>297.94100000000003</v>
      </c>
      <c r="E658" s="92">
        <f>'[2]FGT PRIMARY FIRM ZONE 3'!V669</f>
        <v>89.177000000000007</v>
      </c>
      <c r="F658" s="83">
        <f>'[2]FGT FIRM ZONE 3 MOBILE BAY-DES'!V669-40-60-100</f>
        <v>40.301999999999992</v>
      </c>
      <c r="G658" s="86">
        <v>40</v>
      </c>
      <c r="H658" s="83">
        <f>60+100</f>
        <v>160</v>
      </c>
      <c r="I658" s="83">
        <f t="shared" si="102"/>
        <v>0</v>
      </c>
      <c r="J658" s="86">
        <v>100</v>
      </c>
      <c r="K658" s="86">
        <v>300</v>
      </c>
      <c r="L658" s="83">
        <f t="shared" si="94"/>
        <v>1150</v>
      </c>
      <c r="M658" s="94">
        <v>600</v>
      </c>
      <c r="N658" s="83">
        <f>'[2]FGT NON-FIRM'!P669</f>
        <v>100</v>
      </c>
      <c r="O658" s="86">
        <v>240</v>
      </c>
      <c r="P658" s="86">
        <v>40</v>
      </c>
      <c r="Q658" s="86">
        <f t="shared" si="95"/>
        <v>315</v>
      </c>
      <c r="R658" s="86">
        <f t="shared" si="96"/>
        <v>100</v>
      </c>
      <c r="S658" s="83">
        <f t="shared" si="97"/>
        <v>695</v>
      </c>
      <c r="T658" s="83">
        <f>'[2]GULFSTREAM NON-FIRM'!H669</f>
        <v>50</v>
      </c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</row>
    <row r="659" spans="1:30" ht="15.75" hidden="1" x14ac:dyDescent="0.25">
      <c r="A659" s="32">
        <v>60997</v>
      </c>
      <c r="B659" s="95">
        <f t="shared" si="98"/>
        <v>31</v>
      </c>
      <c r="C659" s="83">
        <f>'[2]FGT PRIMARY FIRM ZONE 1'!V670</f>
        <v>122.58</v>
      </c>
      <c r="D659" s="83">
        <f>'[2]FGT PRIMARY FIRM ZONE 2'!V670</f>
        <v>297.94100000000003</v>
      </c>
      <c r="E659" s="92">
        <f>'[2]FGT PRIMARY FIRM ZONE 3'!V670</f>
        <v>89.177000000000007</v>
      </c>
      <c r="F659" s="83">
        <f>'[2]FGT FIRM ZONE 3 MOBILE BAY-DES'!V670-40-60-100</f>
        <v>40.301999999999992</v>
      </c>
      <c r="G659" s="86">
        <v>40</v>
      </c>
      <c r="H659" s="83">
        <f>60+100</f>
        <v>160</v>
      </c>
      <c r="I659" s="83">
        <f t="shared" si="102"/>
        <v>0</v>
      </c>
      <c r="J659" s="86">
        <v>100</v>
      </c>
      <c r="K659" s="86">
        <v>300</v>
      </c>
      <c r="L659" s="83">
        <f t="shared" si="94"/>
        <v>1150</v>
      </c>
      <c r="M659" s="94">
        <v>600</v>
      </c>
      <c r="N659" s="83">
        <f>'[2]FGT NON-FIRM'!P670</f>
        <v>100</v>
      </c>
      <c r="O659" s="86">
        <v>240</v>
      </c>
      <c r="P659" s="86">
        <v>40</v>
      </c>
      <c r="Q659" s="86">
        <f t="shared" si="95"/>
        <v>315</v>
      </c>
      <c r="R659" s="86">
        <f t="shared" si="96"/>
        <v>100</v>
      </c>
      <c r="S659" s="83">
        <f t="shared" si="97"/>
        <v>695</v>
      </c>
      <c r="T659" s="83">
        <f>'[2]GULFSTREAM NON-FIRM'!H670</f>
        <v>50</v>
      </c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</row>
    <row r="660" spans="1:30" ht="15.75" hidden="1" x14ac:dyDescent="0.25">
      <c r="A660" s="32">
        <v>61028</v>
      </c>
      <c r="B660" s="95">
        <f t="shared" si="98"/>
        <v>31</v>
      </c>
      <c r="C660" s="83">
        <f>'[2]FGT PRIMARY FIRM ZONE 1'!V671</f>
        <v>122.58</v>
      </c>
      <c r="D660" s="83">
        <f>'[2]FGT PRIMARY FIRM ZONE 2'!V671</f>
        <v>297.94100000000003</v>
      </c>
      <c r="E660" s="92">
        <f>'[2]FGT PRIMARY FIRM ZONE 3'!V671</f>
        <v>89.177000000000007</v>
      </c>
      <c r="F660" s="83">
        <f>'[2]FGT FIRM ZONE 3 MOBILE BAY-DES'!V671-40-60-100</f>
        <v>40.301999999999992</v>
      </c>
      <c r="G660" s="86">
        <v>40</v>
      </c>
      <c r="H660" s="83">
        <f>60+100</f>
        <v>160</v>
      </c>
      <c r="I660" s="83">
        <f t="shared" si="102"/>
        <v>0</v>
      </c>
      <c r="J660" s="86">
        <v>100</v>
      </c>
      <c r="K660" s="86">
        <v>300</v>
      </c>
      <c r="L660" s="83">
        <f t="shared" ref="L660:L723" si="105">SUM(C660:K660)</f>
        <v>1150</v>
      </c>
      <c r="M660" s="94">
        <v>600</v>
      </c>
      <c r="N660" s="83">
        <f>'[2]FGT NON-FIRM'!P671</f>
        <v>100</v>
      </c>
      <c r="O660" s="86">
        <v>240</v>
      </c>
      <c r="P660" s="86">
        <v>40</v>
      </c>
      <c r="Q660" s="86">
        <f t="shared" ref="Q660:Q723" si="106">695-R660-O660-P660</f>
        <v>315</v>
      </c>
      <c r="R660" s="86">
        <f t="shared" ref="R660:R723" si="107">200-J660</f>
        <v>100</v>
      </c>
      <c r="S660" s="83">
        <f t="shared" ref="S660:S723" si="108">SUM(O660:R660)</f>
        <v>695</v>
      </c>
      <c r="T660" s="83">
        <f>'[2]GULFSTREAM NON-FIRM'!H671</f>
        <v>50</v>
      </c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</row>
    <row r="661" spans="1:30" ht="15.75" hidden="1" x14ac:dyDescent="0.25">
      <c r="A661" s="32">
        <v>61056</v>
      </c>
      <c r="B661" s="95">
        <f t="shared" si="98"/>
        <v>28</v>
      </c>
      <c r="C661" s="83">
        <f>'[2]FGT PRIMARY FIRM ZONE 1'!V672</f>
        <v>122.58</v>
      </c>
      <c r="D661" s="83">
        <f>'[2]FGT PRIMARY FIRM ZONE 2'!V672</f>
        <v>297.94100000000003</v>
      </c>
      <c r="E661" s="92">
        <f>'[2]FGT PRIMARY FIRM ZONE 3'!V672</f>
        <v>89.177000000000007</v>
      </c>
      <c r="F661" s="83">
        <f>'[2]FGT FIRM ZONE 3 MOBILE BAY-DES'!V672-40-60-100</f>
        <v>40.301999999999992</v>
      </c>
      <c r="G661" s="86">
        <v>40</v>
      </c>
      <c r="H661" s="83">
        <f>60+100</f>
        <v>160</v>
      </c>
      <c r="I661" s="83">
        <f t="shared" si="102"/>
        <v>0</v>
      </c>
      <c r="J661" s="86">
        <v>100</v>
      </c>
      <c r="K661" s="86">
        <v>300</v>
      </c>
      <c r="L661" s="83">
        <f t="shared" si="105"/>
        <v>1150</v>
      </c>
      <c r="M661" s="94">
        <v>600</v>
      </c>
      <c r="N661" s="83">
        <f>'[2]FGT NON-FIRM'!P672</f>
        <v>100</v>
      </c>
      <c r="O661" s="86">
        <v>240</v>
      </c>
      <c r="P661" s="86">
        <v>40</v>
      </c>
      <c r="Q661" s="86">
        <f t="shared" si="106"/>
        <v>315</v>
      </c>
      <c r="R661" s="86">
        <f t="shared" si="107"/>
        <v>100</v>
      </c>
      <c r="S661" s="83">
        <f t="shared" si="108"/>
        <v>695</v>
      </c>
      <c r="T661" s="83">
        <f>'[2]GULFSTREAM NON-FIRM'!H672</f>
        <v>50</v>
      </c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</row>
    <row r="662" spans="1:30" ht="15.75" hidden="1" x14ac:dyDescent="0.25">
      <c r="A662" s="32">
        <v>61087</v>
      </c>
      <c r="B662" s="95">
        <f t="shared" si="98"/>
        <v>31</v>
      </c>
      <c r="C662" s="83">
        <f>'[2]FGT PRIMARY FIRM ZONE 1'!V673</f>
        <v>122.58</v>
      </c>
      <c r="D662" s="83">
        <f>'[2]FGT PRIMARY FIRM ZONE 2'!V673</f>
        <v>297.94100000000003</v>
      </c>
      <c r="E662" s="92">
        <f>'[2]FGT PRIMARY FIRM ZONE 3'!V673</f>
        <v>89.177000000000007</v>
      </c>
      <c r="F662" s="83">
        <f>'[2]FGT FIRM ZONE 3 MOBILE BAY-DES'!V673-40-60-100</f>
        <v>40.301999999999992</v>
      </c>
      <c r="G662" s="86">
        <v>40</v>
      </c>
      <c r="H662" s="83">
        <f>60+100</f>
        <v>160</v>
      </c>
      <c r="I662" s="83">
        <f t="shared" si="102"/>
        <v>0</v>
      </c>
      <c r="J662" s="86">
        <v>100</v>
      </c>
      <c r="K662" s="86">
        <v>300</v>
      </c>
      <c r="L662" s="83">
        <f t="shared" si="105"/>
        <v>1150</v>
      </c>
      <c r="M662" s="94">
        <v>600</v>
      </c>
      <c r="N662" s="83">
        <f>'[2]FGT NON-FIRM'!P673</f>
        <v>100</v>
      </c>
      <c r="O662" s="86">
        <v>240</v>
      </c>
      <c r="P662" s="86">
        <v>40</v>
      </c>
      <c r="Q662" s="86">
        <f t="shared" si="106"/>
        <v>315</v>
      </c>
      <c r="R662" s="86">
        <f t="shared" si="107"/>
        <v>100</v>
      </c>
      <c r="S662" s="83">
        <f t="shared" si="108"/>
        <v>695</v>
      </c>
      <c r="T662" s="83">
        <f>'[2]GULFSTREAM NON-FIRM'!H673</f>
        <v>50</v>
      </c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</row>
    <row r="663" spans="1:30" ht="15.75" hidden="1" x14ac:dyDescent="0.25">
      <c r="A663" s="32">
        <v>61117</v>
      </c>
      <c r="B663" s="95">
        <f t="shared" si="98"/>
        <v>30</v>
      </c>
      <c r="C663" s="83">
        <f>'[2]FGT PRIMARY FIRM ZONE 1'!V674</f>
        <v>141.29300000000001</v>
      </c>
      <c r="D663" s="83">
        <f>'[2]FGT PRIMARY FIRM ZONE 2'!V674</f>
        <v>267.99299999999999</v>
      </c>
      <c r="E663" s="92">
        <f>'[2]FGT PRIMARY FIRM ZONE 3'!V674</f>
        <v>115.01600000000001</v>
      </c>
      <c r="F663" s="83">
        <f>'[2]FGT FIRM ZONE 3 MOBILE BAY-DES'!V674-40-25-60-100</f>
        <v>89.698000000000036</v>
      </c>
      <c r="G663" s="86">
        <v>40</v>
      </c>
      <c r="H663" s="83">
        <f t="shared" ref="H663:H669" si="109">25+60+100</f>
        <v>185</v>
      </c>
      <c r="I663" s="83">
        <f t="shared" si="102"/>
        <v>0</v>
      </c>
      <c r="J663" s="86">
        <v>100</v>
      </c>
      <c r="K663" s="86">
        <v>300</v>
      </c>
      <c r="L663" s="83">
        <f t="shared" si="105"/>
        <v>1239</v>
      </c>
      <c r="M663" s="94">
        <v>600</v>
      </c>
      <c r="N663" s="83">
        <f>'[2]FGT NON-FIRM'!P674</f>
        <v>100</v>
      </c>
      <c r="O663" s="86">
        <v>240</v>
      </c>
      <c r="P663" s="86">
        <v>40</v>
      </c>
      <c r="Q663" s="86">
        <f t="shared" si="106"/>
        <v>315</v>
      </c>
      <c r="R663" s="86">
        <f t="shared" si="107"/>
        <v>100</v>
      </c>
      <c r="S663" s="83">
        <f t="shared" si="108"/>
        <v>695</v>
      </c>
      <c r="T663" s="83">
        <f>'[2]GULFSTREAM NON-FIRM'!H674</f>
        <v>50</v>
      </c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</row>
    <row r="664" spans="1:30" ht="15.75" hidden="1" x14ac:dyDescent="0.25">
      <c r="A664" s="32">
        <v>61148</v>
      </c>
      <c r="B664" s="95">
        <f t="shared" ref="B664:B727" si="110">EOMONTH(A664,0)-EOMONTH(A664,-1)</f>
        <v>31</v>
      </c>
      <c r="C664" s="83">
        <f>'[2]FGT PRIMARY FIRM ZONE 1'!V675</f>
        <v>194.20499999999998</v>
      </c>
      <c r="D664" s="83">
        <f>'[2]FGT PRIMARY FIRM ZONE 2'!V675</f>
        <v>267.46600000000001</v>
      </c>
      <c r="E664" s="92">
        <f>'[2]FGT PRIMARY FIRM ZONE 3'!V675</f>
        <v>133.845</v>
      </c>
      <c r="F664" s="83">
        <f>'[2]FGT FIRM ZONE 3 MOBILE BAY-DES'!V675-40-25-60-100</f>
        <v>53.48399999999998</v>
      </c>
      <c r="G664" s="86">
        <v>40</v>
      </c>
      <c r="H664" s="83">
        <f t="shared" si="109"/>
        <v>185</v>
      </c>
      <c r="I664" s="83">
        <f t="shared" si="102"/>
        <v>0</v>
      </c>
      <c r="J664" s="86">
        <v>100</v>
      </c>
      <c r="K664" s="86">
        <v>300</v>
      </c>
      <c r="L664" s="83">
        <f t="shared" si="105"/>
        <v>1274</v>
      </c>
      <c r="M664" s="94">
        <v>600</v>
      </c>
      <c r="N664" s="83">
        <f>'[2]FGT NON-FIRM'!P675</f>
        <v>75</v>
      </c>
      <c r="O664" s="86">
        <v>240</v>
      </c>
      <c r="P664" s="86">
        <v>40</v>
      </c>
      <c r="Q664" s="86">
        <f t="shared" si="106"/>
        <v>315</v>
      </c>
      <c r="R664" s="86">
        <f t="shared" si="107"/>
        <v>100</v>
      </c>
      <c r="S664" s="83">
        <f t="shared" si="108"/>
        <v>695</v>
      </c>
      <c r="T664" s="83">
        <f>'[2]GULFSTREAM NON-FIRM'!H675</f>
        <v>50</v>
      </c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</row>
    <row r="665" spans="1:30" ht="15.75" hidden="1" x14ac:dyDescent="0.25">
      <c r="A665" s="32">
        <v>61178</v>
      </c>
      <c r="B665" s="95">
        <f t="shared" si="110"/>
        <v>30</v>
      </c>
      <c r="C665" s="83">
        <f>'[2]FGT PRIMARY FIRM ZONE 1'!V676</f>
        <v>194.20499999999998</v>
      </c>
      <c r="D665" s="83">
        <f>'[2]FGT PRIMARY FIRM ZONE 2'!V676</f>
        <v>267.46600000000001</v>
      </c>
      <c r="E665" s="92">
        <f>'[2]FGT PRIMARY FIRM ZONE 3'!V676</f>
        <v>133.845</v>
      </c>
      <c r="F665" s="83">
        <f>'[2]FGT FIRM ZONE 3 MOBILE BAY-DES'!V676-40-25-60-100</f>
        <v>53.48399999999998</v>
      </c>
      <c r="G665" s="86">
        <v>40</v>
      </c>
      <c r="H665" s="83">
        <f t="shared" si="109"/>
        <v>185</v>
      </c>
      <c r="I665" s="83">
        <f t="shared" si="102"/>
        <v>0</v>
      </c>
      <c r="J665" s="86">
        <v>100</v>
      </c>
      <c r="K665" s="86">
        <v>300</v>
      </c>
      <c r="L665" s="83">
        <f t="shared" si="105"/>
        <v>1274</v>
      </c>
      <c r="M665" s="94">
        <v>600</v>
      </c>
      <c r="N665" s="83">
        <f>'[2]FGT NON-FIRM'!P676</f>
        <v>30</v>
      </c>
      <c r="O665" s="86">
        <v>240</v>
      </c>
      <c r="P665" s="86">
        <v>40</v>
      </c>
      <c r="Q665" s="86">
        <f t="shared" si="106"/>
        <v>315</v>
      </c>
      <c r="R665" s="86">
        <f t="shared" si="107"/>
        <v>100</v>
      </c>
      <c r="S665" s="83">
        <f t="shared" si="108"/>
        <v>695</v>
      </c>
      <c r="T665" s="83">
        <f>'[2]GULFSTREAM NON-FIRM'!H676</f>
        <v>50</v>
      </c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</row>
    <row r="666" spans="1:30" ht="15.75" hidden="1" x14ac:dyDescent="0.25">
      <c r="A666" s="32">
        <v>61209</v>
      </c>
      <c r="B666" s="95">
        <f t="shared" si="110"/>
        <v>31</v>
      </c>
      <c r="C666" s="83">
        <f>'[2]FGT PRIMARY FIRM ZONE 1'!V677</f>
        <v>194.20499999999998</v>
      </c>
      <c r="D666" s="83">
        <f>'[2]FGT PRIMARY FIRM ZONE 2'!V677</f>
        <v>267.46600000000001</v>
      </c>
      <c r="E666" s="92">
        <f>'[2]FGT PRIMARY FIRM ZONE 3'!V677</f>
        <v>133.845</v>
      </c>
      <c r="F666" s="83">
        <f>'[2]FGT FIRM ZONE 3 MOBILE BAY-DES'!V677-40-25-60-100</f>
        <v>53.48399999999998</v>
      </c>
      <c r="G666" s="86">
        <v>40</v>
      </c>
      <c r="H666" s="83">
        <f t="shared" si="109"/>
        <v>185</v>
      </c>
      <c r="I666" s="83">
        <f t="shared" si="102"/>
        <v>0</v>
      </c>
      <c r="J666" s="86">
        <v>100</v>
      </c>
      <c r="K666" s="86">
        <v>300</v>
      </c>
      <c r="L666" s="83">
        <f t="shared" si="105"/>
        <v>1274</v>
      </c>
      <c r="M666" s="94">
        <v>600</v>
      </c>
      <c r="N666" s="83">
        <f>'[2]FGT NON-FIRM'!P677</f>
        <v>30</v>
      </c>
      <c r="O666" s="86">
        <v>240</v>
      </c>
      <c r="P666" s="86">
        <v>40</v>
      </c>
      <c r="Q666" s="86">
        <f t="shared" si="106"/>
        <v>315</v>
      </c>
      <c r="R666" s="86">
        <f t="shared" si="107"/>
        <v>100</v>
      </c>
      <c r="S666" s="83">
        <f t="shared" si="108"/>
        <v>695</v>
      </c>
      <c r="T666" s="83">
        <f>'[2]GULFSTREAM NON-FIRM'!H677</f>
        <v>0</v>
      </c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</row>
    <row r="667" spans="1:30" ht="15.75" hidden="1" x14ac:dyDescent="0.25">
      <c r="A667" s="32">
        <v>61240</v>
      </c>
      <c r="B667" s="95">
        <f t="shared" si="110"/>
        <v>31</v>
      </c>
      <c r="C667" s="83">
        <f>'[2]FGT PRIMARY FIRM ZONE 1'!V678</f>
        <v>194.20499999999998</v>
      </c>
      <c r="D667" s="83">
        <f>'[2]FGT PRIMARY FIRM ZONE 2'!V678</f>
        <v>267.46600000000001</v>
      </c>
      <c r="E667" s="92">
        <f>'[2]FGT PRIMARY FIRM ZONE 3'!V678</f>
        <v>133.845</v>
      </c>
      <c r="F667" s="83">
        <f>'[2]FGT FIRM ZONE 3 MOBILE BAY-DES'!V678-40-25-60-100</f>
        <v>53.48399999999998</v>
      </c>
      <c r="G667" s="86">
        <v>40</v>
      </c>
      <c r="H667" s="83">
        <f t="shared" si="109"/>
        <v>185</v>
      </c>
      <c r="I667" s="83">
        <f t="shared" si="102"/>
        <v>0</v>
      </c>
      <c r="J667" s="86">
        <v>100</v>
      </c>
      <c r="K667" s="86">
        <v>300</v>
      </c>
      <c r="L667" s="83">
        <f t="shared" si="105"/>
        <v>1274</v>
      </c>
      <c r="M667" s="94">
        <v>600</v>
      </c>
      <c r="N667" s="83">
        <f>'[2]FGT NON-FIRM'!P678</f>
        <v>30</v>
      </c>
      <c r="O667" s="86">
        <v>240</v>
      </c>
      <c r="P667" s="86">
        <v>40</v>
      </c>
      <c r="Q667" s="86">
        <f t="shared" si="106"/>
        <v>315</v>
      </c>
      <c r="R667" s="86">
        <f t="shared" si="107"/>
        <v>100</v>
      </c>
      <c r="S667" s="83">
        <f t="shared" si="108"/>
        <v>695</v>
      </c>
      <c r="T667" s="83">
        <f>'[2]GULFSTREAM NON-FIRM'!H678</f>
        <v>0</v>
      </c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</row>
    <row r="668" spans="1:30" ht="15.75" hidden="1" x14ac:dyDescent="0.25">
      <c r="A668" s="32">
        <v>61270</v>
      </c>
      <c r="B668" s="95">
        <f t="shared" si="110"/>
        <v>30</v>
      </c>
      <c r="C668" s="83">
        <f>'[2]FGT PRIMARY FIRM ZONE 1'!V679</f>
        <v>194.20499999999998</v>
      </c>
      <c r="D668" s="83">
        <f>'[2]FGT PRIMARY FIRM ZONE 2'!V679</f>
        <v>267.46600000000001</v>
      </c>
      <c r="E668" s="92">
        <f>'[2]FGT PRIMARY FIRM ZONE 3'!V679</f>
        <v>133.845</v>
      </c>
      <c r="F668" s="83">
        <f>'[2]FGT FIRM ZONE 3 MOBILE BAY-DES'!V679-40-25-60-100</f>
        <v>53.48399999999998</v>
      </c>
      <c r="G668" s="86">
        <v>40</v>
      </c>
      <c r="H668" s="83">
        <f t="shared" si="109"/>
        <v>185</v>
      </c>
      <c r="I668" s="83">
        <f t="shared" si="102"/>
        <v>0</v>
      </c>
      <c r="J668" s="86">
        <v>100</v>
      </c>
      <c r="K668" s="86">
        <v>300</v>
      </c>
      <c r="L668" s="83">
        <f t="shared" si="105"/>
        <v>1274</v>
      </c>
      <c r="M668" s="94">
        <v>600</v>
      </c>
      <c r="N668" s="83">
        <f>'[2]FGT NON-FIRM'!P679</f>
        <v>30</v>
      </c>
      <c r="O668" s="86">
        <v>240</v>
      </c>
      <c r="P668" s="86">
        <v>40</v>
      </c>
      <c r="Q668" s="86">
        <f t="shared" si="106"/>
        <v>315</v>
      </c>
      <c r="R668" s="86">
        <f t="shared" si="107"/>
        <v>100</v>
      </c>
      <c r="S668" s="83">
        <f t="shared" si="108"/>
        <v>695</v>
      </c>
      <c r="T668" s="83">
        <f>'[2]GULFSTREAM NON-FIRM'!H679</f>
        <v>0</v>
      </c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</row>
    <row r="669" spans="1:30" ht="15.75" hidden="1" x14ac:dyDescent="0.25">
      <c r="A669" s="32">
        <v>61301</v>
      </c>
      <c r="B669" s="95">
        <f t="shared" si="110"/>
        <v>31</v>
      </c>
      <c r="C669" s="83">
        <f>'[2]FGT PRIMARY FIRM ZONE 1'!V680</f>
        <v>131.881</v>
      </c>
      <c r="D669" s="83">
        <f>'[2]FGT PRIMARY FIRM ZONE 2'!V680</f>
        <v>277.16699999999997</v>
      </c>
      <c r="E669" s="92">
        <f>'[2]FGT PRIMARY FIRM ZONE 3'!V680</f>
        <v>79.08</v>
      </c>
      <c r="F669" s="83">
        <f>'[2]FGT FIRM ZONE 3 MOBILE BAY-DES'!V680-40-25-60-100</f>
        <v>125.87199999999996</v>
      </c>
      <c r="G669" s="86">
        <v>40</v>
      </c>
      <c r="H669" s="83">
        <f t="shared" si="109"/>
        <v>185</v>
      </c>
      <c r="I669" s="83">
        <f t="shared" si="102"/>
        <v>0</v>
      </c>
      <c r="J669" s="86">
        <v>100</v>
      </c>
      <c r="K669" s="86">
        <v>300</v>
      </c>
      <c r="L669" s="83">
        <f t="shared" si="105"/>
        <v>1239</v>
      </c>
      <c r="M669" s="94">
        <v>600</v>
      </c>
      <c r="N669" s="83">
        <f>'[2]FGT NON-FIRM'!P680</f>
        <v>75</v>
      </c>
      <c r="O669" s="86">
        <v>240</v>
      </c>
      <c r="P669" s="86">
        <v>40</v>
      </c>
      <c r="Q669" s="86">
        <f t="shared" si="106"/>
        <v>315</v>
      </c>
      <c r="R669" s="86">
        <f t="shared" si="107"/>
        <v>100</v>
      </c>
      <c r="S669" s="83">
        <f t="shared" si="108"/>
        <v>695</v>
      </c>
      <c r="T669" s="83">
        <f>'[2]GULFSTREAM NON-FIRM'!H680</f>
        <v>0</v>
      </c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</row>
    <row r="670" spans="1:30" ht="15.75" hidden="1" x14ac:dyDescent="0.25">
      <c r="A670" s="32">
        <v>61331</v>
      </c>
      <c r="B670" s="95">
        <f t="shared" si="110"/>
        <v>30</v>
      </c>
      <c r="C670" s="83">
        <f>'[2]FGT PRIMARY FIRM ZONE 1'!V681</f>
        <v>122.58</v>
      </c>
      <c r="D670" s="83">
        <f>'[2]FGT PRIMARY FIRM ZONE 2'!V681</f>
        <v>297.94100000000003</v>
      </c>
      <c r="E670" s="92">
        <f>'[2]FGT PRIMARY FIRM ZONE 3'!V681</f>
        <v>89.177000000000007</v>
      </c>
      <c r="F670" s="83">
        <f>'[2]FGT FIRM ZONE 3 MOBILE BAY-DES'!V681-40-60-100</f>
        <v>40.301999999999992</v>
      </c>
      <c r="G670" s="86">
        <v>40</v>
      </c>
      <c r="H670" s="83">
        <f>60+100</f>
        <v>160</v>
      </c>
      <c r="I670" s="83">
        <f t="shared" si="102"/>
        <v>0</v>
      </c>
      <c r="J670" s="86">
        <v>100</v>
      </c>
      <c r="K670" s="86">
        <v>300</v>
      </c>
      <c r="L670" s="83">
        <f t="shared" si="105"/>
        <v>1150</v>
      </c>
      <c r="M670" s="94">
        <v>600</v>
      </c>
      <c r="N670" s="83">
        <f>'[2]FGT NON-FIRM'!P681</f>
        <v>100</v>
      </c>
      <c r="O670" s="86">
        <v>240</v>
      </c>
      <c r="P670" s="86">
        <v>40</v>
      </c>
      <c r="Q670" s="86">
        <f t="shared" si="106"/>
        <v>315</v>
      </c>
      <c r="R670" s="86">
        <f t="shared" si="107"/>
        <v>100</v>
      </c>
      <c r="S670" s="83">
        <f t="shared" si="108"/>
        <v>695</v>
      </c>
      <c r="T670" s="83">
        <f>'[2]GULFSTREAM NON-FIRM'!H681</f>
        <v>50</v>
      </c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</row>
    <row r="671" spans="1:30" ht="15.75" hidden="1" x14ac:dyDescent="0.25">
      <c r="A671" s="32">
        <v>61362</v>
      </c>
      <c r="B671" s="95">
        <f t="shared" si="110"/>
        <v>31</v>
      </c>
      <c r="C671" s="83">
        <f>'[2]FGT PRIMARY FIRM ZONE 1'!V682</f>
        <v>122.58</v>
      </c>
      <c r="D671" s="83">
        <f>'[2]FGT PRIMARY FIRM ZONE 2'!V682</f>
        <v>297.94100000000003</v>
      </c>
      <c r="E671" s="92">
        <f>'[2]FGT PRIMARY FIRM ZONE 3'!V682</f>
        <v>89.177000000000007</v>
      </c>
      <c r="F671" s="83">
        <f>'[2]FGT FIRM ZONE 3 MOBILE BAY-DES'!V682-40-60-100</f>
        <v>40.301999999999992</v>
      </c>
      <c r="G671" s="86">
        <v>40</v>
      </c>
      <c r="H671" s="83">
        <f>60+100</f>
        <v>160</v>
      </c>
      <c r="I671" s="83">
        <f t="shared" si="102"/>
        <v>0</v>
      </c>
      <c r="J671" s="86">
        <v>100</v>
      </c>
      <c r="K671" s="86">
        <v>300</v>
      </c>
      <c r="L671" s="83">
        <f t="shared" si="105"/>
        <v>1150</v>
      </c>
      <c r="M671" s="94">
        <v>600</v>
      </c>
      <c r="N671" s="83">
        <f>'[2]FGT NON-FIRM'!P682</f>
        <v>100</v>
      </c>
      <c r="O671" s="86">
        <v>240</v>
      </c>
      <c r="P671" s="86">
        <v>40</v>
      </c>
      <c r="Q671" s="86">
        <f t="shared" si="106"/>
        <v>315</v>
      </c>
      <c r="R671" s="86">
        <f t="shared" si="107"/>
        <v>100</v>
      </c>
      <c r="S671" s="83">
        <f t="shared" si="108"/>
        <v>695</v>
      </c>
      <c r="T671" s="83">
        <f>'[2]GULFSTREAM NON-FIRM'!H682</f>
        <v>50</v>
      </c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</row>
    <row r="672" spans="1:30" ht="15.75" hidden="1" x14ac:dyDescent="0.25">
      <c r="A672" s="32">
        <v>61393</v>
      </c>
      <c r="B672" s="95">
        <f t="shared" si="110"/>
        <v>31</v>
      </c>
      <c r="C672" s="83">
        <f>'[2]FGT PRIMARY FIRM ZONE 1'!V683</f>
        <v>122.58</v>
      </c>
      <c r="D672" s="83">
        <f>'[2]FGT PRIMARY FIRM ZONE 2'!V683</f>
        <v>297.94100000000003</v>
      </c>
      <c r="E672" s="92">
        <f>'[2]FGT PRIMARY FIRM ZONE 3'!V683</f>
        <v>89.177000000000007</v>
      </c>
      <c r="F672" s="83">
        <f>'[2]FGT FIRM ZONE 3 MOBILE BAY-DES'!V683-40-60-100</f>
        <v>40.301999999999992</v>
      </c>
      <c r="G672" s="86">
        <v>40</v>
      </c>
      <c r="H672" s="83">
        <f>60+100</f>
        <v>160</v>
      </c>
      <c r="I672" s="83">
        <f t="shared" si="102"/>
        <v>0</v>
      </c>
      <c r="J672" s="86">
        <v>100</v>
      </c>
      <c r="K672" s="86">
        <v>300</v>
      </c>
      <c r="L672" s="83">
        <f t="shared" si="105"/>
        <v>1150</v>
      </c>
      <c r="M672" s="94">
        <v>600</v>
      </c>
      <c r="N672" s="83">
        <f>'[2]FGT NON-FIRM'!P683</f>
        <v>100</v>
      </c>
      <c r="O672" s="86">
        <v>240</v>
      </c>
      <c r="P672" s="86">
        <v>40</v>
      </c>
      <c r="Q672" s="86">
        <f t="shared" si="106"/>
        <v>315</v>
      </c>
      <c r="R672" s="86">
        <f t="shared" si="107"/>
        <v>100</v>
      </c>
      <c r="S672" s="83">
        <f t="shared" si="108"/>
        <v>695</v>
      </c>
      <c r="T672" s="83">
        <f>'[2]GULFSTREAM NON-FIRM'!H683</f>
        <v>50</v>
      </c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</row>
    <row r="673" spans="1:30" ht="15.75" hidden="1" x14ac:dyDescent="0.25">
      <c r="A673" s="32">
        <v>61422</v>
      </c>
      <c r="B673" s="95">
        <f t="shared" si="110"/>
        <v>29</v>
      </c>
      <c r="C673" s="83">
        <f>'[2]FGT PRIMARY FIRM ZONE 1'!V684</f>
        <v>122.58</v>
      </c>
      <c r="D673" s="83">
        <f>'[2]FGT PRIMARY FIRM ZONE 2'!V684</f>
        <v>297.94100000000003</v>
      </c>
      <c r="E673" s="92">
        <f>'[2]FGT PRIMARY FIRM ZONE 3'!V684</f>
        <v>89.177000000000007</v>
      </c>
      <c r="F673" s="83">
        <f>'[2]FGT FIRM ZONE 3 MOBILE BAY-DES'!V684-40-60-100</f>
        <v>40.301999999999992</v>
      </c>
      <c r="G673" s="86">
        <v>40</v>
      </c>
      <c r="H673" s="83">
        <f>60+100</f>
        <v>160</v>
      </c>
      <c r="I673" s="83">
        <f t="shared" si="102"/>
        <v>0</v>
      </c>
      <c r="J673" s="86">
        <v>100</v>
      </c>
      <c r="K673" s="86">
        <v>300</v>
      </c>
      <c r="L673" s="83">
        <f t="shared" si="105"/>
        <v>1150</v>
      </c>
      <c r="M673" s="94">
        <v>600</v>
      </c>
      <c r="N673" s="83">
        <f>'[2]FGT NON-FIRM'!P684</f>
        <v>100</v>
      </c>
      <c r="O673" s="86">
        <v>240</v>
      </c>
      <c r="P673" s="86">
        <v>40</v>
      </c>
      <c r="Q673" s="86">
        <f t="shared" si="106"/>
        <v>315</v>
      </c>
      <c r="R673" s="86">
        <f t="shared" si="107"/>
        <v>100</v>
      </c>
      <c r="S673" s="83">
        <f t="shared" si="108"/>
        <v>695</v>
      </c>
      <c r="T673" s="83">
        <f>'[2]GULFSTREAM NON-FIRM'!H684</f>
        <v>50</v>
      </c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</row>
    <row r="674" spans="1:30" ht="15.75" hidden="1" x14ac:dyDescent="0.25">
      <c r="A674" s="32">
        <v>61453</v>
      </c>
      <c r="B674" s="95">
        <f t="shared" si="110"/>
        <v>31</v>
      </c>
      <c r="C674" s="83">
        <f>'[2]FGT PRIMARY FIRM ZONE 1'!V685</f>
        <v>122.58</v>
      </c>
      <c r="D674" s="83">
        <f>'[2]FGT PRIMARY FIRM ZONE 2'!V685</f>
        <v>297.94100000000003</v>
      </c>
      <c r="E674" s="92">
        <f>'[2]FGT PRIMARY FIRM ZONE 3'!V685</f>
        <v>89.177000000000007</v>
      </c>
      <c r="F674" s="83">
        <f>'[2]FGT FIRM ZONE 3 MOBILE BAY-DES'!V685-40-60-100</f>
        <v>40.301999999999992</v>
      </c>
      <c r="G674" s="86">
        <v>40</v>
      </c>
      <c r="H674" s="83">
        <f>60+100</f>
        <v>160</v>
      </c>
      <c r="I674" s="83">
        <f t="shared" si="102"/>
        <v>0</v>
      </c>
      <c r="J674" s="86">
        <v>100</v>
      </c>
      <c r="K674" s="86">
        <v>300</v>
      </c>
      <c r="L674" s="83">
        <f t="shared" si="105"/>
        <v>1150</v>
      </c>
      <c r="M674" s="94">
        <v>600</v>
      </c>
      <c r="N674" s="83">
        <f>'[2]FGT NON-FIRM'!P685</f>
        <v>100</v>
      </c>
      <c r="O674" s="86">
        <v>240</v>
      </c>
      <c r="P674" s="86">
        <v>40</v>
      </c>
      <c r="Q674" s="86">
        <f t="shared" si="106"/>
        <v>315</v>
      </c>
      <c r="R674" s="86">
        <f t="shared" si="107"/>
        <v>100</v>
      </c>
      <c r="S674" s="83">
        <f t="shared" si="108"/>
        <v>695</v>
      </c>
      <c r="T674" s="83">
        <f>'[2]GULFSTREAM NON-FIRM'!H685</f>
        <v>50</v>
      </c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</row>
    <row r="675" spans="1:30" ht="15.75" hidden="1" x14ac:dyDescent="0.25">
      <c r="A675" s="32">
        <v>61483</v>
      </c>
      <c r="B675" s="95">
        <f t="shared" si="110"/>
        <v>30</v>
      </c>
      <c r="C675" s="83">
        <f>'[2]FGT PRIMARY FIRM ZONE 1'!V686</f>
        <v>141.29300000000001</v>
      </c>
      <c r="D675" s="83">
        <f>'[2]FGT PRIMARY FIRM ZONE 2'!V686</f>
        <v>267.99299999999999</v>
      </c>
      <c r="E675" s="92">
        <f>'[2]FGT PRIMARY FIRM ZONE 3'!V686</f>
        <v>115.01600000000001</v>
      </c>
      <c r="F675" s="83">
        <f>'[2]FGT FIRM ZONE 3 MOBILE BAY-DES'!V686-40-25-60-100</f>
        <v>89.698000000000036</v>
      </c>
      <c r="G675" s="86">
        <v>40</v>
      </c>
      <c r="H675" s="83">
        <f t="shared" ref="H675:H681" si="111">25+60+100</f>
        <v>185</v>
      </c>
      <c r="I675" s="83">
        <f t="shared" si="102"/>
        <v>0</v>
      </c>
      <c r="J675" s="86">
        <v>100</v>
      </c>
      <c r="K675" s="86">
        <v>300</v>
      </c>
      <c r="L675" s="83">
        <f t="shared" si="105"/>
        <v>1239</v>
      </c>
      <c r="M675" s="94">
        <v>600</v>
      </c>
      <c r="N675" s="83">
        <f>'[2]FGT NON-FIRM'!P686</f>
        <v>100</v>
      </c>
      <c r="O675" s="86">
        <v>240</v>
      </c>
      <c r="P675" s="86">
        <v>40</v>
      </c>
      <c r="Q675" s="86">
        <f t="shared" si="106"/>
        <v>315</v>
      </c>
      <c r="R675" s="86">
        <f t="shared" si="107"/>
        <v>100</v>
      </c>
      <c r="S675" s="83">
        <f t="shared" si="108"/>
        <v>695</v>
      </c>
      <c r="T675" s="83">
        <f>'[2]GULFSTREAM NON-FIRM'!H686</f>
        <v>50</v>
      </c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</row>
    <row r="676" spans="1:30" ht="15.75" hidden="1" x14ac:dyDescent="0.25">
      <c r="A676" s="32">
        <v>61514</v>
      </c>
      <c r="B676" s="95">
        <f t="shared" si="110"/>
        <v>31</v>
      </c>
      <c r="C676" s="83">
        <f>'[2]FGT PRIMARY FIRM ZONE 1'!V687</f>
        <v>194.20499999999998</v>
      </c>
      <c r="D676" s="83">
        <f>'[2]FGT PRIMARY FIRM ZONE 2'!V687</f>
        <v>267.46600000000001</v>
      </c>
      <c r="E676" s="92">
        <f>'[2]FGT PRIMARY FIRM ZONE 3'!V687</f>
        <v>133.845</v>
      </c>
      <c r="F676" s="83">
        <f>'[2]FGT FIRM ZONE 3 MOBILE BAY-DES'!V687-40-25-60-100</f>
        <v>53.48399999999998</v>
      </c>
      <c r="G676" s="86">
        <v>40</v>
      </c>
      <c r="H676" s="83">
        <f t="shared" si="111"/>
        <v>185</v>
      </c>
      <c r="I676" s="83">
        <f t="shared" si="102"/>
        <v>0</v>
      </c>
      <c r="J676" s="86">
        <v>100</v>
      </c>
      <c r="K676" s="86">
        <v>300</v>
      </c>
      <c r="L676" s="83">
        <f t="shared" si="105"/>
        <v>1274</v>
      </c>
      <c r="M676" s="94">
        <v>600</v>
      </c>
      <c r="N676" s="83">
        <f>'[2]FGT NON-FIRM'!P687</f>
        <v>75</v>
      </c>
      <c r="O676" s="86">
        <v>240</v>
      </c>
      <c r="P676" s="86">
        <v>40</v>
      </c>
      <c r="Q676" s="86">
        <f t="shared" si="106"/>
        <v>315</v>
      </c>
      <c r="R676" s="86">
        <f t="shared" si="107"/>
        <v>100</v>
      </c>
      <c r="S676" s="83">
        <f t="shared" si="108"/>
        <v>695</v>
      </c>
      <c r="T676" s="83">
        <f>'[2]GULFSTREAM NON-FIRM'!H687</f>
        <v>50</v>
      </c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</row>
    <row r="677" spans="1:30" ht="15.75" hidden="1" x14ac:dyDescent="0.25">
      <c r="A677" s="32">
        <v>61544</v>
      </c>
      <c r="B677" s="95">
        <f t="shared" si="110"/>
        <v>30</v>
      </c>
      <c r="C677" s="83">
        <f>'[2]FGT PRIMARY FIRM ZONE 1'!V688</f>
        <v>194.20499999999998</v>
      </c>
      <c r="D677" s="83">
        <f>'[2]FGT PRIMARY FIRM ZONE 2'!V688</f>
        <v>267.46600000000001</v>
      </c>
      <c r="E677" s="92">
        <f>'[2]FGT PRIMARY FIRM ZONE 3'!V688</f>
        <v>133.845</v>
      </c>
      <c r="F677" s="83">
        <f>'[2]FGT FIRM ZONE 3 MOBILE BAY-DES'!V688-40-25-60-100</f>
        <v>53.48399999999998</v>
      </c>
      <c r="G677" s="86">
        <v>40</v>
      </c>
      <c r="H677" s="83">
        <f t="shared" si="111"/>
        <v>185</v>
      </c>
      <c r="I677" s="83">
        <f t="shared" si="102"/>
        <v>0</v>
      </c>
      <c r="J677" s="86">
        <v>100</v>
      </c>
      <c r="K677" s="86">
        <v>300</v>
      </c>
      <c r="L677" s="83">
        <f t="shared" si="105"/>
        <v>1274</v>
      </c>
      <c r="M677" s="94">
        <v>600</v>
      </c>
      <c r="N677" s="83">
        <f>'[2]FGT NON-FIRM'!P688</f>
        <v>30</v>
      </c>
      <c r="O677" s="86">
        <v>240</v>
      </c>
      <c r="P677" s="86">
        <v>40</v>
      </c>
      <c r="Q677" s="86">
        <f t="shared" si="106"/>
        <v>315</v>
      </c>
      <c r="R677" s="86">
        <f t="shared" si="107"/>
        <v>100</v>
      </c>
      <c r="S677" s="83">
        <f t="shared" si="108"/>
        <v>695</v>
      </c>
      <c r="T677" s="83">
        <f>'[2]GULFSTREAM NON-FIRM'!H688</f>
        <v>50</v>
      </c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</row>
    <row r="678" spans="1:30" ht="15.75" hidden="1" x14ac:dyDescent="0.25">
      <c r="A678" s="32">
        <v>61575</v>
      </c>
      <c r="B678" s="95">
        <f t="shared" si="110"/>
        <v>31</v>
      </c>
      <c r="C678" s="83">
        <f>'[2]FGT PRIMARY FIRM ZONE 1'!V689</f>
        <v>194.20499999999998</v>
      </c>
      <c r="D678" s="83">
        <f>'[2]FGT PRIMARY FIRM ZONE 2'!V689</f>
        <v>267.46600000000001</v>
      </c>
      <c r="E678" s="92">
        <f>'[2]FGT PRIMARY FIRM ZONE 3'!V689</f>
        <v>133.845</v>
      </c>
      <c r="F678" s="83">
        <f>'[2]FGT FIRM ZONE 3 MOBILE BAY-DES'!V689-40-25-60-100</f>
        <v>53.48399999999998</v>
      </c>
      <c r="G678" s="86">
        <v>40</v>
      </c>
      <c r="H678" s="83">
        <f t="shared" si="111"/>
        <v>185</v>
      </c>
      <c r="I678" s="83">
        <f t="shared" si="102"/>
        <v>0</v>
      </c>
      <c r="J678" s="86">
        <v>100</v>
      </c>
      <c r="K678" s="86">
        <v>300</v>
      </c>
      <c r="L678" s="83">
        <f t="shared" si="105"/>
        <v>1274</v>
      </c>
      <c r="M678" s="94">
        <v>600</v>
      </c>
      <c r="N678" s="83">
        <f>'[2]FGT NON-FIRM'!P689</f>
        <v>30</v>
      </c>
      <c r="O678" s="86">
        <v>240</v>
      </c>
      <c r="P678" s="86">
        <v>40</v>
      </c>
      <c r="Q678" s="86">
        <f t="shared" si="106"/>
        <v>315</v>
      </c>
      <c r="R678" s="86">
        <f t="shared" si="107"/>
        <v>100</v>
      </c>
      <c r="S678" s="83">
        <f t="shared" si="108"/>
        <v>695</v>
      </c>
      <c r="T678" s="83">
        <f>'[2]GULFSTREAM NON-FIRM'!H689</f>
        <v>0</v>
      </c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</row>
    <row r="679" spans="1:30" ht="15.75" hidden="1" x14ac:dyDescent="0.25">
      <c r="A679" s="32">
        <v>61606</v>
      </c>
      <c r="B679" s="95">
        <f t="shared" si="110"/>
        <v>31</v>
      </c>
      <c r="C679" s="83">
        <f>'[2]FGT PRIMARY FIRM ZONE 1'!V690</f>
        <v>194.20499999999998</v>
      </c>
      <c r="D679" s="83">
        <f>'[2]FGT PRIMARY FIRM ZONE 2'!V690</f>
        <v>267.46600000000001</v>
      </c>
      <c r="E679" s="92">
        <f>'[2]FGT PRIMARY FIRM ZONE 3'!V690</f>
        <v>133.845</v>
      </c>
      <c r="F679" s="83">
        <f>'[2]FGT FIRM ZONE 3 MOBILE BAY-DES'!V690-40-25-60-100</f>
        <v>53.48399999999998</v>
      </c>
      <c r="G679" s="86">
        <v>40</v>
      </c>
      <c r="H679" s="83">
        <f t="shared" si="111"/>
        <v>185</v>
      </c>
      <c r="I679" s="83">
        <f t="shared" si="102"/>
        <v>0</v>
      </c>
      <c r="J679" s="86">
        <v>100</v>
      </c>
      <c r="K679" s="86">
        <v>300</v>
      </c>
      <c r="L679" s="83">
        <f t="shared" si="105"/>
        <v>1274</v>
      </c>
      <c r="M679" s="94">
        <v>600</v>
      </c>
      <c r="N679" s="83">
        <f>'[2]FGT NON-FIRM'!P690</f>
        <v>30</v>
      </c>
      <c r="O679" s="86">
        <v>240</v>
      </c>
      <c r="P679" s="86">
        <v>40</v>
      </c>
      <c r="Q679" s="86">
        <f t="shared" si="106"/>
        <v>315</v>
      </c>
      <c r="R679" s="86">
        <f t="shared" si="107"/>
        <v>100</v>
      </c>
      <c r="S679" s="83">
        <f t="shared" si="108"/>
        <v>695</v>
      </c>
      <c r="T679" s="83">
        <f>'[2]GULFSTREAM NON-FIRM'!H690</f>
        <v>0</v>
      </c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</row>
    <row r="680" spans="1:30" ht="15.75" hidden="1" x14ac:dyDescent="0.25">
      <c r="A680" s="32">
        <v>61636</v>
      </c>
      <c r="B680" s="95">
        <f t="shared" si="110"/>
        <v>30</v>
      </c>
      <c r="C680" s="83">
        <f>'[2]FGT PRIMARY FIRM ZONE 1'!V691</f>
        <v>194.20499999999998</v>
      </c>
      <c r="D680" s="83">
        <f>'[2]FGT PRIMARY FIRM ZONE 2'!V691</f>
        <v>267.46600000000001</v>
      </c>
      <c r="E680" s="92">
        <f>'[2]FGT PRIMARY FIRM ZONE 3'!V691</f>
        <v>133.845</v>
      </c>
      <c r="F680" s="83">
        <f>'[2]FGT FIRM ZONE 3 MOBILE BAY-DES'!V691-40-25-60-100</f>
        <v>53.48399999999998</v>
      </c>
      <c r="G680" s="86">
        <v>40</v>
      </c>
      <c r="H680" s="83">
        <f t="shared" si="111"/>
        <v>185</v>
      </c>
      <c r="I680" s="83">
        <f t="shared" si="102"/>
        <v>0</v>
      </c>
      <c r="J680" s="86">
        <v>100</v>
      </c>
      <c r="K680" s="86">
        <v>300</v>
      </c>
      <c r="L680" s="83">
        <f t="shared" si="105"/>
        <v>1274</v>
      </c>
      <c r="M680" s="94">
        <v>600</v>
      </c>
      <c r="N680" s="83">
        <f>'[2]FGT NON-FIRM'!P691</f>
        <v>30</v>
      </c>
      <c r="O680" s="86">
        <v>240</v>
      </c>
      <c r="P680" s="86">
        <v>40</v>
      </c>
      <c r="Q680" s="86">
        <f t="shared" si="106"/>
        <v>315</v>
      </c>
      <c r="R680" s="86">
        <f t="shared" si="107"/>
        <v>100</v>
      </c>
      <c r="S680" s="83">
        <f t="shared" si="108"/>
        <v>695</v>
      </c>
      <c r="T680" s="83">
        <f>'[2]GULFSTREAM NON-FIRM'!H691</f>
        <v>0</v>
      </c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</row>
    <row r="681" spans="1:30" ht="15.75" hidden="1" x14ac:dyDescent="0.25">
      <c r="A681" s="32">
        <v>61667</v>
      </c>
      <c r="B681" s="95">
        <f t="shared" si="110"/>
        <v>31</v>
      </c>
      <c r="C681" s="83">
        <f>'[2]FGT PRIMARY FIRM ZONE 1'!V692</f>
        <v>131.881</v>
      </c>
      <c r="D681" s="83">
        <f>'[2]FGT PRIMARY FIRM ZONE 2'!V692</f>
        <v>277.16699999999997</v>
      </c>
      <c r="E681" s="92">
        <f>'[2]FGT PRIMARY FIRM ZONE 3'!V692</f>
        <v>79.08</v>
      </c>
      <c r="F681" s="83">
        <f>'[2]FGT FIRM ZONE 3 MOBILE BAY-DES'!V692-40-25-60-100</f>
        <v>125.87199999999996</v>
      </c>
      <c r="G681" s="86">
        <v>40</v>
      </c>
      <c r="H681" s="83">
        <f t="shared" si="111"/>
        <v>185</v>
      </c>
      <c r="I681" s="83">
        <f t="shared" si="102"/>
        <v>0</v>
      </c>
      <c r="J681" s="86">
        <v>100</v>
      </c>
      <c r="K681" s="86">
        <v>300</v>
      </c>
      <c r="L681" s="83">
        <f t="shared" si="105"/>
        <v>1239</v>
      </c>
      <c r="M681" s="94">
        <v>600</v>
      </c>
      <c r="N681" s="83">
        <f>'[2]FGT NON-FIRM'!P692</f>
        <v>75</v>
      </c>
      <c r="O681" s="86">
        <v>240</v>
      </c>
      <c r="P681" s="86">
        <v>40</v>
      </c>
      <c r="Q681" s="86">
        <f t="shared" si="106"/>
        <v>315</v>
      </c>
      <c r="R681" s="86">
        <f t="shared" si="107"/>
        <v>100</v>
      </c>
      <c r="S681" s="83">
        <f t="shared" si="108"/>
        <v>695</v>
      </c>
      <c r="T681" s="83">
        <f>'[2]GULFSTREAM NON-FIRM'!H692</f>
        <v>0</v>
      </c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</row>
    <row r="682" spans="1:30" ht="15.75" hidden="1" x14ac:dyDescent="0.25">
      <c r="A682" s="32">
        <v>61697</v>
      </c>
      <c r="B682" s="95">
        <f t="shared" si="110"/>
        <v>30</v>
      </c>
      <c r="C682" s="83">
        <f>'[2]FGT PRIMARY FIRM ZONE 1'!V693</f>
        <v>122.58</v>
      </c>
      <c r="D682" s="83">
        <f>'[2]FGT PRIMARY FIRM ZONE 2'!V693</f>
        <v>297.94100000000003</v>
      </c>
      <c r="E682" s="92">
        <f>'[2]FGT PRIMARY FIRM ZONE 3'!V693</f>
        <v>89.177000000000007</v>
      </c>
      <c r="F682" s="83">
        <f>'[2]FGT FIRM ZONE 3 MOBILE BAY-DES'!V693-40-60-100</f>
        <v>40.301999999999992</v>
      </c>
      <c r="G682" s="86">
        <v>40</v>
      </c>
      <c r="H682" s="83">
        <f>60+100</f>
        <v>160</v>
      </c>
      <c r="I682" s="83">
        <f t="shared" si="102"/>
        <v>0</v>
      </c>
      <c r="J682" s="86">
        <v>100</v>
      </c>
      <c r="K682" s="86">
        <v>300</v>
      </c>
      <c r="L682" s="83">
        <f t="shared" si="105"/>
        <v>1150</v>
      </c>
      <c r="M682" s="94">
        <v>600</v>
      </c>
      <c r="N682" s="83">
        <f>'[2]FGT NON-FIRM'!P693</f>
        <v>100</v>
      </c>
      <c r="O682" s="86">
        <v>240</v>
      </c>
      <c r="P682" s="86">
        <v>40</v>
      </c>
      <c r="Q682" s="86">
        <f t="shared" si="106"/>
        <v>315</v>
      </c>
      <c r="R682" s="86">
        <f t="shared" si="107"/>
        <v>100</v>
      </c>
      <c r="S682" s="83">
        <f t="shared" si="108"/>
        <v>695</v>
      </c>
      <c r="T682" s="83">
        <f>'[2]GULFSTREAM NON-FIRM'!H693</f>
        <v>50</v>
      </c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</row>
    <row r="683" spans="1:30" ht="15.75" hidden="1" x14ac:dyDescent="0.25">
      <c r="A683" s="32">
        <v>61728</v>
      </c>
      <c r="B683" s="95">
        <f t="shared" si="110"/>
        <v>31</v>
      </c>
      <c r="C683" s="83">
        <f>'[2]FGT PRIMARY FIRM ZONE 1'!V694</f>
        <v>122.58</v>
      </c>
      <c r="D683" s="83">
        <f>'[2]FGT PRIMARY FIRM ZONE 2'!V694</f>
        <v>297.94100000000003</v>
      </c>
      <c r="E683" s="92">
        <f>'[2]FGT PRIMARY FIRM ZONE 3'!V694</f>
        <v>89.177000000000007</v>
      </c>
      <c r="F683" s="83">
        <f>'[2]FGT FIRM ZONE 3 MOBILE BAY-DES'!V694-40-60-100</f>
        <v>40.301999999999992</v>
      </c>
      <c r="G683" s="86">
        <v>40</v>
      </c>
      <c r="H683" s="83">
        <f>60+100</f>
        <v>160</v>
      </c>
      <c r="I683" s="83">
        <f t="shared" si="102"/>
        <v>0</v>
      </c>
      <c r="J683" s="86">
        <v>100</v>
      </c>
      <c r="K683" s="86">
        <v>300</v>
      </c>
      <c r="L683" s="83">
        <f t="shared" si="105"/>
        <v>1150</v>
      </c>
      <c r="M683" s="94">
        <v>600</v>
      </c>
      <c r="N683" s="83">
        <f>'[2]FGT NON-FIRM'!P694</f>
        <v>100</v>
      </c>
      <c r="O683" s="86">
        <v>240</v>
      </c>
      <c r="P683" s="86">
        <v>40</v>
      </c>
      <c r="Q683" s="86">
        <f t="shared" si="106"/>
        <v>315</v>
      </c>
      <c r="R683" s="86">
        <f t="shared" si="107"/>
        <v>100</v>
      </c>
      <c r="S683" s="83">
        <f t="shared" si="108"/>
        <v>695</v>
      </c>
      <c r="T683" s="83">
        <f>'[2]GULFSTREAM NON-FIRM'!H694</f>
        <v>50</v>
      </c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</row>
    <row r="684" spans="1:30" ht="15.75" hidden="1" x14ac:dyDescent="0.25">
      <c r="A684" s="32">
        <v>61759</v>
      </c>
      <c r="B684" s="95">
        <f t="shared" si="110"/>
        <v>31</v>
      </c>
      <c r="C684" s="83">
        <f>'[2]FGT PRIMARY FIRM ZONE 1'!V695</f>
        <v>122.58</v>
      </c>
      <c r="D684" s="83">
        <f>'[2]FGT PRIMARY FIRM ZONE 2'!V695</f>
        <v>297.94100000000003</v>
      </c>
      <c r="E684" s="92">
        <f>'[2]FGT PRIMARY FIRM ZONE 3'!V695</f>
        <v>89.177000000000007</v>
      </c>
      <c r="F684" s="83">
        <f>'[2]FGT FIRM ZONE 3 MOBILE BAY-DES'!V695-40-60-100</f>
        <v>40.301999999999992</v>
      </c>
      <c r="G684" s="86">
        <v>40</v>
      </c>
      <c r="H684" s="83">
        <f>60+100</f>
        <v>160</v>
      </c>
      <c r="I684" s="83">
        <f t="shared" si="102"/>
        <v>0</v>
      </c>
      <c r="J684" s="86">
        <v>100</v>
      </c>
      <c r="K684" s="86">
        <v>300</v>
      </c>
      <c r="L684" s="83">
        <f t="shared" si="105"/>
        <v>1150</v>
      </c>
      <c r="M684" s="94">
        <v>600</v>
      </c>
      <c r="N684" s="83">
        <f>'[2]FGT NON-FIRM'!P695</f>
        <v>100</v>
      </c>
      <c r="O684" s="86">
        <v>240</v>
      </c>
      <c r="P684" s="86">
        <v>40</v>
      </c>
      <c r="Q684" s="86">
        <f t="shared" si="106"/>
        <v>315</v>
      </c>
      <c r="R684" s="86">
        <f t="shared" si="107"/>
        <v>100</v>
      </c>
      <c r="S684" s="83">
        <f t="shared" si="108"/>
        <v>695</v>
      </c>
      <c r="T684" s="83">
        <f>'[2]GULFSTREAM NON-FIRM'!H695</f>
        <v>50</v>
      </c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</row>
    <row r="685" spans="1:30" ht="15.75" hidden="1" x14ac:dyDescent="0.25">
      <c r="A685" s="32">
        <v>61787</v>
      </c>
      <c r="B685" s="95">
        <f t="shared" si="110"/>
        <v>28</v>
      </c>
      <c r="C685" s="83">
        <f>'[2]FGT PRIMARY FIRM ZONE 1'!V696</f>
        <v>122.58</v>
      </c>
      <c r="D685" s="83">
        <f>'[2]FGT PRIMARY FIRM ZONE 2'!V696</f>
        <v>297.94100000000003</v>
      </c>
      <c r="E685" s="92">
        <f>'[2]FGT PRIMARY FIRM ZONE 3'!V696</f>
        <v>89.177000000000007</v>
      </c>
      <c r="F685" s="83">
        <f>'[2]FGT FIRM ZONE 3 MOBILE BAY-DES'!V696-40-60-100</f>
        <v>40.301999999999992</v>
      </c>
      <c r="G685" s="86">
        <v>40</v>
      </c>
      <c r="H685" s="83">
        <f>60+100</f>
        <v>160</v>
      </c>
      <c r="I685" s="83">
        <f t="shared" si="102"/>
        <v>0</v>
      </c>
      <c r="J685" s="86">
        <v>100</v>
      </c>
      <c r="K685" s="86">
        <v>300</v>
      </c>
      <c r="L685" s="83">
        <f t="shared" si="105"/>
        <v>1150</v>
      </c>
      <c r="M685" s="94">
        <v>600</v>
      </c>
      <c r="N685" s="83">
        <f>'[2]FGT NON-FIRM'!P696</f>
        <v>100</v>
      </c>
      <c r="O685" s="86">
        <v>240</v>
      </c>
      <c r="P685" s="86">
        <v>40</v>
      </c>
      <c r="Q685" s="86">
        <f t="shared" si="106"/>
        <v>315</v>
      </c>
      <c r="R685" s="86">
        <f t="shared" si="107"/>
        <v>100</v>
      </c>
      <c r="S685" s="83">
        <f t="shared" si="108"/>
        <v>695</v>
      </c>
      <c r="T685" s="83">
        <f>'[2]GULFSTREAM NON-FIRM'!H696</f>
        <v>50</v>
      </c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</row>
    <row r="686" spans="1:30" ht="15.75" hidden="1" x14ac:dyDescent="0.25">
      <c r="A686" s="32">
        <v>61818</v>
      </c>
      <c r="B686" s="95">
        <f t="shared" si="110"/>
        <v>31</v>
      </c>
      <c r="C686" s="83">
        <f>'[2]FGT PRIMARY FIRM ZONE 1'!V697</f>
        <v>122.58</v>
      </c>
      <c r="D686" s="83">
        <f>'[2]FGT PRIMARY FIRM ZONE 2'!V697</f>
        <v>297.94100000000003</v>
      </c>
      <c r="E686" s="92">
        <f>'[2]FGT PRIMARY FIRM ZONE 3'!V697</f>
        <v>89.177000000000007</v>
      </c>
      <c r="F686" s="83">
        <f>'[2]FGT FIRM ZONE 3 MOBILE BAY-DES'!V697-40-60-100</f>
        <v>40.301999999999992</v>
      </c>
      <c r="G686" s="86">
        <v>40</v>
      </c>
      <c r="H686" s="83">
        <f>60+100</f>
        <v>160</v>
      </c>
      <c r="I686" s="83">
        <f t="shared" si="102"/>
        <v>0</v>
      </c>
      <c r="J686" s="86">
        <v>100</v>
      </c>
      <c r="K686" s="86">
        <v>300</v>
      </c>
      <c r="L686" s="83">
        <f t="shared" si="105"/>
        <v>1150</v>
      </c>
      <c r="M686" s="94">
        <v>600</v>
      </c>
      <c r="N686" s="83">
        <f>'[2]FGT NON-FIRM'!P697</f>
        <v>100</v>
      </c>
      <c r="O686" s="86">
        <v>240</v>
      </c>
      <c r="P686" s="86">
        <v>40</v>
      </c>
      <c r="Q686" s="86">
        <f t="shared" si="106"/>
        <v>315</v>
      </c>
      <c r="R686" s="86">
        <f t="shared" si="107"/>
        <v>100</v>
      </c>
      <c r="S686" s="83">
        <f t="shared" si="108"/>
        <v>695</v>
      </c>
      <c r="T686" s="83">
        <f>'[2]GULFSTREAM NON-FIRM'!H697</f>
        <v>50</v>
      </c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</row>
    <row r="687" spans="1:30" ht="15.75" hidden="1" x14ac:dyDescent="0.25">
      <c r="A687" s="32">
        <v>61848</v>
      </c>
      <c r="B687" s="95">
        <f t="shared" si="110"/>
        <v>30</v>
      </c>
      <c r="C687" s="83">
        <f>'[2]FGT PRIMARY FIRM ZONE 1'!V698</f>
        <v>141.29300000000001</v>
      </c>
      <c r="D687" s="83">
        <f>'[2]FGT PRIMARY FIRM ZONE 2'!V698</f>
        <v>267.99299999999999</v>
      </c>
      <c r="E687" s="92">
        <f>'[2]FGT PRIMARY FIRM ZONE 3'!V698</f>
        <v>115.01600000000001</v>
      </c>
      <c r="F687" s="83">
        <f>'[2]FGT FIRM ZONE 3 MOBILE BAY-DES'!V698-40-25-60-100</f>
        <v>89.698000000000036</v>
      </c>
      <c r="G687" s="86">
        <v>40</v>
      </c>
      <c r="H687" s="83">
        <f t="shared" ref="H687:H693" si="112">25+60+100</f>
        <v>185</v>
      </c>
      <c r="I687" s="83">
        <f t="shared" si="102"/>
        <v>0</v>
      </c>
      <c r="J687" s="86">
        <v>100</v>
      </c>
      <c r="K687" s="86">
        <v>300</v>
      </c>
      <c r="L687" s="83">
        <f t="shared" si="105"/>
        <v>1239</v>
      </c>
      <c r="M687" s="94">
        <v>600</v>
      </c>
      <c r="N687" s="83">
        <f>'[2]FGT NON-FIRM'!P698</f>
        <v>100</v>
      </c>
      <c r="O687" s="86">
        <v>240</v>
      </c>
      <c r="P687" s="86">
        <v>40</v>
      </c>
      <c r="Q687" s="86">
        <f t="shared" si="106"/>
        <v>315</v>
      </c>
      <c r="R687" s="86">
        <f t="shared" si="107"/>
        <v>100</v>
      </c>
      <c r="S687" s="83">
        <f t="shared" si="108"/>
        <v>695</v>
      </c>
      <c r="T687" s="83">
        <f>'[2]GULFSTREAM NON-FIRM'!H698</f>
        <v>50</v>
      </c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</row>
    <row r="688" spans="1:30" ht="15.75" hidden="1" x14ac:dyDescent="0.25">
      <c r="A688" s="32">
        <v>61879</v>
      </c>
      <c r="B688" s="95">
        <f t="shared" si="110"/>
        <v>31</v>
      </c>
      <c r="C688" s="83">
        <f>'[2]FGT PRIMARY FIRM ZONE 1'!V699</f>
        <v>194.20499999999998</v>
      </c>
      <c r="D688" s="83">
        <f>'[2]FGT PRIMARY FIRM ZONE 2'!V699</f>
        <v>267.46600000000001</v>
      </c>
      <c r="E688" s="92">
        <f>'[2]FGT PRIMARY FIRM ZONE 3'!V699</f>
        <v>133.845</v>
      </c>
      <c r="F688" s="83">
        <f>'[2]FGT FIRM ZONE 3 MOBILE BAY-DES'!V699-40-25-60-100</f>
        <v>53.48399999999998</v>
      </c>
      <c r="G688" s="86">
        <v>40</v>
      </c>
      <c r="H688" s="83">
        <f t="shared" si="112"/>
        <v>185</v>
      </c>
      <c r="I688" s="83">
        <f t="shared" si="102"/>
        <v>0</v>
      </c>
      <c r="J688" s="86">
        <v>100</v>
      </c>
      <c r="K688" s="86">
        <v>300</v>
      </c>
      <c r="L688" s="83">
        <f t="shared" si="105"/>
        <v>1274</v>
      </c>
      <c r="M688" s="94">
        <v>600</v>
      </c>
      <c r="N688" s="83">
        <f>'[2]FGT NON-FIRM'!P699</f>
        <v>75</v>
      </c>
      <c r="O688" s="86">
        <v>240</v>
      </c>
      <c r="P688" s="86">
        <v>40</v>
      </c>
      <c r="Q688" s="86">
        <f t="shared" si="106"/>
        <v>315</v>
      </c>
      <c r="R688" s="86">
        <f t="shared" si="107"/>
        <v>100</v>
      </c>
      <c r="S688" s="83">
        <f t="shared" si="108"/>
        <v>695</v>
      </c>
      <c r="T688" s="83">
        <f>'[2]GULFSTREAM NON-FIRM'!H699</f>
        <v>50</v>
      </c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</row>
    <row r="689" spans="1:30" ht="15.75" hidden="1" x14ac:dyDescent="0.25">
      <c r="A689" s="32">
        <v>61909</v>
      </c>
      <c r="B689" s="95">
        <f t="shared" si="110"/>
        <v>30</v>
      </c>
      <c r="C689" s="83">
        <f>'[2]FGT PRIMARY FIRM ZONE 1'!V700</f>
        <v>194.20499999999998</v>
      </c>
      <c r="D689" s="83">
        <f>'[2]FGT PRIMARY FIRM ZONE 2'!V700</f>
        <v>267.46600000000001</v>
      </c>
      <c r="E689" s="92">
        <f>'[2]FGT PRIMARY FIRM ZONE 3'!V700</f>
        <v>133.845</v>
      </c>
      <c r="F689" s="83">
        <f>'[2]FGT FIRM ZONE 3 MOBILE BAY-DES'!V700-40-25-60-100</f>
        <v>53.48399999999998</v>
      </c>
      <c r="G689" s="86">
        <v>40</v>
      </c>
      <c r="H689" s="83">
        <f t="shared" si="112"/>
        <v>185</v>
      </c>
      <c r="I689" s="83">
        <f t="shared" si="102"/>
        <v>0</v>
      </c>
      <c r="J689" s="86">
        <v>100</v>
      </c>
      <c r="K689" s="86">
        <v>300</v>
      </c>
      <c r="L689" s="83">
        <f t="shared" si="105"/>
        <v>1274</v>
      </c>
      <c r="M689" s="94">
        <v>600</v>
      </c>
      <c r="N689" s="83">
        <f>'[2]FGT NON-FIRM'!P700</f>
        <v>30</v>
      </c>
      <c r="O689" s="86">
        <v>240</v>
      </c>
      <c r="P689" s="86">
        <v>40</v>
      </c>
      <c r="Q689" s="86">
        <f t="shared" si="106"/>
        <v>315</v>
      </c>
      <c r="R689" s="86">
        <f t="shared" si="107"/>
        <v>100</v>
      </c>
      <c r="S689" s="83">
        <f t="shared" si="108"/>
        <v>695</v>
      </c>
      <c r="T689" s="83">
        <f>'[2]GULFSTREAM NON-FIRM'!H700</f>
        <v>50</v>
      </c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</row>
    <row r="690" spans="1:30" ht="15.75" hidden="1" x14ac:dyDescent="0.25">
      <c r="A690" s="32">
        <v>61940</v>
      </c>
      <c r="B690" s="95">
        <f t="shared" si="110"/>
        <v>31</v>
      </c>
      <c r="C690" s="83">
        <f>'[2]FGT PRIMARY FIRM ZONE 1'!V701</f>
        <v>194.20499999999998</v>
      </c>
      <c r="D690" s="83">
        <f>'[2]FGT PRIMARY FIRM ZONE 2'!V701</f>
        <v>267.46600000000001</v>
      </c>
      <c r="E690" s="92">
        <f>'[2]FGT PRIMARY FIRM ZONE 3'!V701</f>
        <v>133.845</v>
      </c>
      <c r="F690" s="83">
        <f>'[2]FGT FIRM ZONE 3 MOBILE BAY-DES'!V701-40-25-60-100</f>
        <v>53.48399999999998</v>
      </c>
      <c r="G690" s="86">
        <v>40</v>
      </c>
      <c r="H690" s="83">
        <f t="shared" si="112"/>
        <v>185</v>
      </c>
      <c r="I690" s="83">
        <f t="shared" si="102"/>
        <v>0</v>
      </c>
      <c r="J690" s="86">
        <v>100</v>
      </c>
      <c r="K690" s="86">
        <v>300</v>
      </c>
      <c r="L690" s="83">
        <f t="shared" si="105"/>
        <v>1274</v>
      </c>
      <c r="M690" s="94">
        <v>600</v>
      </c>
      <c r="N690" s="83">
        <f>'[2]FGT NON-FIRM'!P701</f>
        <v>30</v>
      </c>
      <c r="O690" s="86">
        <v>240</v>
      </c>
      <c r="P690" s="86">
        <v>40</v>
      </c>
      <c r="Q690" s="86">
        <f t="shared" si="106"/>
        <v>315</v>
      </c>
      <c r="R690" s="86">
        <f t="shared" si="107"/>
        <v>100</v>
      </c>
      <c r="S690" s="83">
        <f t="shared" si="108"/>
        <v>695</v>
      </c>
      <c r="T690" s="83">
        <f>'[2]GULFSTREAM NON-FIRM'!H701</f>
        <v>0</v>
      </c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</row>
    <row r="691" spans="1:30" ht="15.75" hidden="1" x14ac:dyDescent="0.25">
      <c r="A691" s="32">
        <v>61971</v>
      </c>
      <c r="B691" s="95">
        <f t="shared" si="110"/>
        <v>31</v>
      </c>
      <c r="C691" s="83">
        <f>'[2]FGT PRIMARY FIRM ZONE 1'!V702</f>
        <v>194.20499999999998</v>
      </c>
      <c r="D691" s="83">
        <f>'[2]FGT PRIMARY FIRM ZONE 2'!V702</f>
        <v>267.46600000000001</v>
      </c>
      <c r="E691" s="92">
        <f>'[2]FGT PRIMARY FIRM ZONE 3'!V702</f>
        <v>133.845</v>
      </c>
      <c r="F691" s="83">
        <f>'[2]FGT FIRM ZONE 3 MOBILE BAY-DES'!V702-40-25-60-100</f>
        <v>53.48399999999998</v>
      </c>
      <c r="G691" s="86">
        <v>40</v>
      </c>
      <c r="H691" s="83">
        <f t="shared" si="112"/>
        <v>185</v>
      </c>
      <c r="I691" s="83">
        <f t="shared" si="102"/>
        <v>0</v>
      </c>
      <c r="J691" s="86">
        <v>100</v>
      </c>
      <c r="K691" s="86">
        <v>300</v>
      </c>
      <c r="L691" s="83">
        <f t="shared" si="105"/>
        <v>1274</v>
      </c>
      <c r="M691" s="94">
        <v>600</v>
      </c>
      <c r="N691" s="83">
        <f>'[2]FGT NON-FIRM'!P702</f>
        <v>30</v>
      </c>
      <c r="O691" s="86">
        <v>240</v>
      </c>
      <c r="P691" s="86">
        <v>40</v>
      </c>
      <c r="Q691" s="86">
        <f t="shared" si="106"/>
        <v>315</v>
      </c>
      <c r="R691" s="86">
        <f t="shared" si="107"/>
        <v>100</v>
      </c>
      <c r="S691" s="83">
        <f t="shared" si="108"/>
        <v>695</v>
      </c>
      <c r="T691" s="83">
        <f>'[2]GULFSTREAM NON-FIRM'!H702</f>
        <v>0</v>
      </c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</row>
    <row r="692" spans="1:30" ht="15.75" hidden="1" x14ac:dyDescent="0.25">
      <c r="A692" s="32">
        <v>62001</v>
      </c>
      <c r="B692" s="95">
        <f t="shared" si="110"/>
        <v>30</v>
      </c>
      <c r="C692" s="83">
        <f>'[2]FGT PRIMARY FIRM ZONE 1'!V703</f>
        <v>194.20499999999998</v>
      </c>
      <c r="D692" s="83">
        <f>'[2]FGT PRIMARY FIRM ZONE 2'!V703</f>
        <v>267.46600000000001</v>
      </c>
      <c r="E692" s="92">
        <f>'[2]FGT PRIMARY FIRM ZONE 3'!V703</f>
        <v>133.845</v>
      </c>
      <c r="F692" s="83">
        <f>'[2]FGT FIRM ZONE 3 MOBILE BAY-DES'!V703-40-25-60-100</f>
        <v>53.48399999999998</v>
      </c>
      <c r="G692" s="86">
        <v>40</v>
      </c>
      <c r="H692" s="83">
        <f t="shared" si="112"/>
        <v>185</v>
      </c>
      <c r="I692" s="83">
        <f t="shared" ref="I692:I755" si="113">400-J692-K692</f>
        <v>0</v>
      </c>
      <c r="J692" s="86">
        <v>100</v>
      </c>
      <c r="K692" s="86">
        <v>300</v>
      </c>
      <c r="L692" s="83">
        <f t="shared" si="105"/>
        <v>1274</v>
      </c>
      <c r="M692" s="94">
        <v>600</v>
      </c>
      <c r="N692" s="83">
        <f>'[2]FGT NON-FIRM'!P703</f>
        <v>30</v>
      </c>
      <c r="O692" s="86">
        <v>240</v>
      </c>
      <c r="P692" s="86">
        <v>40</v>
      </c>
      <c r="Q692" s="86">
        <f t="shared" si="106"/>
        <v>315</v>
      </c>
      <c r="R692" s="86">
        <f t="shared" si="107"/>
        <v>100</v>
      </c>
      <c r="S692" s="83">
        <f t="shared" si="108"/>
        <v>695</v>
      </c>
      <c r="T692" s="83">
        <f>'[2]GULFSTREAM NON-FIRM'!H703</f>
        <v>0</v>
      </c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</row>
    <row r="693" spans="1:30" ht="15.75" hidden="1" x14ac:dyDescent="0.25">
      <c r="A693" s="32">
        <v>62032</v>
      </c>
      <c r="B693" s="95">
        <f t="shared" si="110"/>
        <v>31</v>
      </c>
      <c r="C693" s="83">
        <f>'[2]FGT PRIMARY FIRM ZONE 1'!V704</f>
        <v>131.881</v>
      </c>
      <c r="D693" s="83">
        <f>'[2]FGT PRIMARY FIRM ZONE 2'!V704</f>
        <v>277.16699999999997</v>
      </c>
      <c r="E693" s="92">
        <f>'[2]FGT PRIMARY FIRM ZONE 3'!V704</f>
        <v>79.08</v>
      </c>
      <c r="F693" s="83">
        <f>'[2]FGT FIRM ZONE 3 MOBILE BAY-DES'!V704-40-25-60-100</f>
        <v>125.87199999999996</v>
      </c>
      <c r="G693" s="86">
        <v>40</v>
      </c>
      <c r="H693" s="83">
        <f t="shared" si="112"/>
        <v>185</v>
      </c>
      <c r="I693" s="83">
        <f t="shared" si="113"/>
        <v>0</v>
      </c>
      <c r="J693" s="86">
        <v>100</v>
      </c>
      <c r="K693" s="86">
        <v>300</v>
      </c>
      <c r="L693" s="83">
        <f t="shared" si="105"/>
        <v>1239</v>
      </c>
      <c r="M693" s="94">
        <v>600</v>
      </c>
      <c r="N693" s="83">
        <f>'[2]FGT NON-FIRM'!P704</f>
        <v>75</v>
      </c>
      <c r="O693" s="86">
        <v>240</v>
      </c>
      <c r="P693" s="86">
        <v>40</v>
      </c>
      <c r="Q693" s="86">
        <f t="shared" si="106"/>
        <v>315</v>
      </c>
      <c r="R693" s="86">
        <f t="shared" si="107"/>
        <v>100</v>
      </c>
      <c r="S693" s="83">
        <f t="shared" si="108"/>
        <v>695</v>
      </c>
      <c r="T693" s="83">
        <f>'[2]GULFSTREAM NON-FIRM'!H704</f>
        <v>0</v>
      </c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</row>
    <row r="694" spans="1:30" ht="15.75" hidden="1" x14ac:dyDescent="0.25">
      <c r="A694" s="32">
        <v>62062</v>
      </c>
      <c r="B694" s="95">
        <f t="shared" si="110"/>
        <v>30</v>
      </c>
      <c r="C694" s="83">
        <f>'[2]FGT PRIMARY FIRM ZONE 1'!V705</f>
        <v>122.58</v>
      </c>
      <c r="D694" s="83">
        <f>'[2]FGT PRIMARY FIRM ZONE 2'!V705</f>
        <v>297.94100000000003</v>
      </c>
      <c r="E694" s="92">
        <f>'[2]FGT PRIMARY FIRM ZONE 3'!V705</f>
        <v>89.177000000000007</v>
      </c>
      <c r="F694" s="83">
        <f>'[2]FGT FIRM ZONE 3 MOBILE BAY-DES'!V705-40-60-100</f>
        <v>40.301999999999992</v>
      </c>
      <c r="G694" s="86">
        <v>40</v>
      </c>
      <c r="H694" s="83">
        <f>60+100</f>
        <v>160</v>
      </c>
      <c r="I694" s="83">
        <f t="shared" si="113"/>
        <v>0</v>
      </c>
      <c r="J694" s="86">
        <v>100</v>
      </c>
      <c r="K694" s="86">
        <v>300</v>
      </c>
      <c r="L694" s="83">
        <f t="shared" si="105"/>
        <v>1150</v>
      </c>
      <c r="M694" s="94">
        <v>600</v>
      </c>
      <c r="N694" s="83">
        <f>'[2]FGT NON-FIRM'!P705</f>
        <v>100</v>
      </c>
      <c r="O694" s="86">
        <v>240</v>
      </c>
      <c r="P694" s="86">
        <v>40</v>
      </c>
      <c r="Q694" s="86">
        <f t="shared" si="106"/>
        <v>315</v>
      </c>
      <c r="R694" s="86">
        <f t="shared" si="107"/>
        <v>100</v>
      </c>
      <c r="S694" s="83">
        <f t="shared" si="108"/>
        <v>695</v>
      </c>
      <c r="T694" s="83">
        <f>'[2]GULFSTREAM NON-FIRM'!H705</f>
        <v>50</v>
      </c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</row>
    <row r="695" spans="1:30" ht="15.75" hidden="1" x14ac:dyDescent="0.25">
      <c r="A695" s="32">
        <v>62093</v>
      </c>
      <c r="B695" s="95">
        <f t="shared" si="110"/>
        <v>31</v>
      </c>
      <c r="C695" s="83">
        <f>'[2]FGT PRIMARY FIRM ZONE 1'!V706</f>
        <v>122.58</v>
      </c>
      <c r="D695" s="83">
        <f>'[2]FGT PRIMARY FIRM ZONE 2'!V706</f>
        <v>297.94100000000003</v>
      </c>
      <c r="E695" s="92">
        <f>'[2]FGT PRIMARY FIRM ZONE 3'!V706</f>
        <v>89.177000000000007</v>
      </c>
      <c r="F695" s="83">
        <f>'[2]FGT FIRM ZONE 3 MOBILE BAY-DES'!V706-40-60-100</f>
        <v>40.301999999999992</v>
      </c>
      <c r="G695" s="86">
        <v>40</v>
      </c>
      <c r="H695" s="83">
        <f>60+100</f>
        <v>160</v>
      </c>
      <c r="I695" s="83">
        <f t="shared" si="113"/>
        <v>0</v>
      </c>
      <c r="J695" s="86">
        <v>100</v>
      </c>
      <c r="K695" s="86">
        <v>300</v>
      </c>
      <c r="L695" s="83">
        <f t="shared" si="105"/>
        <v>1150</v>
      </c>
      <c r="M695" s="94">
        <v>600</v>
      </c>
      <c r="N695" s="83">
        <f>'[2]FGT NON-FIRM'!P706</f>
        <v>100</v>
      </c>
      <c r="O695" s="86">
        <v>240</v>
      </c>
      <c r="P695" s="86">
        <v>40</v>
      </c>
      <c r="Q695" s="86">
        <f t="shared" si="106"/>
        <v>315</v>
      </c>
      <c r="R695" s="86">
        <f t="shared" si="107"/>
        <v>100</v>
      </c>
      <c r="S695" s="83">
        <f t="shared" si="108"/>
        <v>695</v>
      </c>
      <c r="T695" s="83">
        <f>'[2]GULFSTREAM NON-FIRM'!H706</f>
        <v>50</v>
      </c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</row>
    <row r="696" spans="1:30" ht="15.75" hidden="1" x14ac:dyDescent="0.25">
      <c r="A696" s="32">
        <v>62124</v>
      </c>
      <c r="B696" s="95">
        <f t="shared" si="110"/>
        <v>31</v>
      </c>
      <c r="C696" s="83">
        <f>'[2]FGT PRIMARY FIRM ZONE 1'!V707</f>
        <v>122.58</v>
      </c>
      <c r="D696" s="83">
        <f>'[2]FGT PRIMARY FIRM ZONE 2'!V707</f>
        <v>297.94100000000003</v>
      </c>
      <c r="E696" s="92">
        <f>'[2]FGT PRIMARY FIRM ZONE 3'!V707</f>
        <v>89.177000000000007</v>
      </c>
      <c r="F696" s="83">
        <f>'[2]FGT FIRM ZONE 3 MOBILE BAY-DES'!V707-40-60-100</f>
        <v>40.301999999999992</v>
      </c>
      <c r="G696" s="86">
        <v>40</v>
      </c>
      <c r="H696" s="83">
        <f>60+100</f>
        <v>160</v>
      </c>
      <c r="I696" s="83">
        <f t="shared" si="113"/>
        <v>0</v>
      </c>
      <c r="J696" s="86">
        <v>100</v>
      </c>
      <c r="K696" s="86">
        <v>300</v>
      </c>
      <c r="L696" s="83">
        <f t="shared" si="105"/>
        <v>1150</v>
      </c>
      <c r="M696" s="94">
        <v>600</v>
      </c>
      <c r="N696" s="83">
        <f>'[2]FGT NON-FIRM'!P707</f>
        <v>100</v>
      </c>
      <c r="O696" s="86">
        <v>240</v>
      </c>
      <c r="P696" s="86">
        <v>40</v>
      </c>
      <c r="Q696" s="86">
        <f t="shared" si="106"/>
        <v>315</v>
      </c>
      <c r="R696" s="86">
        <f t="shared" si="107"/>
        <v>100</v>
      </c>
      <c r="S696" s="83">
        <f t="shared" si="108"/>
        <v>695</v>
      </c>
      <c r="T696" s="83">
        <f>'[2]GULFSTREAM NON-FIRM'!H707</f>
        <v>50</v>
      </c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</row>
    <row r="697" spans="1:30" ht="15.75" hidden="1" x14ac:dyDescent="0.25">
      <c r="A697" s="32">
        <v>62152</v>
      </c>
      <c r="B697" s="95">
        <f t="shared" si="110"/>
        <v>28</v>
      </c>
      <c r="C697" s="83">
        <f>'[2]FGT PRIMARY FIRM ZONE 1'!V708</f>
        <v>122.58</v>
      </c>
      <c r="D697" s="83">
        <f>'[2]FGT PRIMARY FIRM ZONE 2'!V708</f>
        <v>297.94100000000003</v>
      </c>
      <c r="E697" s="92">
        <f>'[2]FGT PRIMARY FIRM ZONE 3'!V708</f>
        <v>89.177000000000007</v>
      </c>
      <c r="F697" s="83">
        <f>'[2]FGT FIRM ZONE 3 MOBILE BAY-DES'!V708-40-60-100</f>
        <v>40.301999999999992</v>
      </c>
      <c r="G697" s="86">
        <v>40</v>
      </c>
      <c r="H697" s="83">
        <f>60+100</f>
        <v>160</v>
      </c>
      <c r="I697" s="83">
        <f t="shared" si="113"/>
        <v>0</v>
      </c>
      <c r="J697" s="86">
        <v>100</v>
      </c>
      <c r="K697" s="86">
        <v>300</v>
      </c>
      <c r="L697" s="83">
        <f t="shared" si="105"/>
        <v>1150</v>
      </c>
      <c r="M697" s="94">
        <v>600</v>
      </c>
      <c r="N697" s="83">
        <f>'[2]FGT NON-FIRM'!P708</f>
        <v>100</v>
      </c>
      <c r="O697" s="86">
        <v>240</v>
      </c>
      <c r="P697" s="86">
        <v>40</v>
      </c>
      <c r="Q697" s="86">
        <f t="shared" si="106"/>
        <v>315</v>
      </c>
      <c r="R697" s="86">
        <f t="shared" si="107"/>
        <v>100</v>
      </c>
      <c r="S697" s="83">
        <f t="shared" si="108"/>
        <v>695</v>
      </c>
      <c r="T697" s="83">
        <f>'[2]GULFSTREAM NON-FIRM'!H708</f>
        <v>50</v>
      </c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</row>
    <row r="698" spans="1:30" ht="15.75" hidden="1" x14ac:dyDescent="0.25">
      <c r="A698" s="32">
        <v>62183</v>
      </c>
      <c r="B698" s="95">
        <f t="shared" si="110"/>
        <v>31</v>
      </c>
      <c r="C698" s="83">
        <f>'[2]FGT PRIMARY FIRM ZONE 1'!V709</f>
        <v>122.58</v>
      </c>
      <c r="D698" s="83">
        <f>'[2]FGT PRIMARY FIRM ZONE 2'!V709</f>
        <v>297.94100000000003</v>
      </c>
      <c r="E698" s="92">
        <f>'[2]FGT PRIMARY FIRM ZONE 3'!V709</f>
        <v>89.177000000000007</v>
      </c>
      <c r="F698" s="83">
        <f>'[2]FGT FIRM ZONE 3 MOBILE BAY-DES'!V709-40-60-100</f>
        <v>40.301999999999992</v>
      </c>
      <c r="G698" s="86">
        <v>40</v>
      </c>
      <c r="H698" s="83">
        <f>60+100</f>
        <v>160</v>
      </c>
      <c r="I698" s="83">
        <f t="shared" si="113"/>
        <v>0</v>
      </c>
      <c r="J698" s="86">
        <v>100</v>
      </c>
      <c r="K698" s="86">
        <v>300</v>
      </c>
      <c r="L698" s="83">
        <f t="shared" si="105"/>
        <v>1150</v>
      </c>
      <c r="M698" s="94">
        <v>600</v>
      </c>
      <c r="N698" s="83">
        <f>'[2]FGT NON-FIRM'!P709</f>
        <v>100</v>
      </c>
      <c r="O698" s="86">
        <v>240</v>
      </c>
      <c r="P698" s="86">
        <v>40</v>
      </c>
      <c r="Q698" s="86">
        <f t="shared" si="106"/>
        <v>315</v>
      </c>
      <c r="R698" s="86">
        <f t="shared" si="107"/>
        <v>100</v>
      </c>
      <c r="S698" s="83">
        <f t="shared" si="108"/>
        <v>695</v>
      </c>
      <c r="T698" s="83">
        <f>'[2]GULFSTREAM NON-FIRM'!H709</f>
        <v>50</v>
      </c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</row>
    <row r="699" spans="1:30" ht="15.75" hidden="1" x14ac:dyDescent="0.25">
      <c r="A699" s="32">
        <v>62213</v>
      </c>
      <c r="B699" s="95">
        <f t="shared" si="110"/>
        <v>30</v>
      </c>
      <c r="C699" s="83">
        <f>'[2]FGT PRIMARY FIRM ZONE 1'!V710</f>
        <v>141.29300000000001</v>
      </c>
      <c r="D699" s="83">
        <f>'[2]FGT PRIMARY FIRM ZONE 2'!V710</f>
        <v>267.99299999999999</v>
      </c>
      <c r="E699" s="92">
        <f>'[2]FGT PRIMARY FIRM ZONE 3'!V710</f>
        <v>115.01600000000001</v>
      </c>
      <c r="F699" s="83">
        <f>'[2]FGT FIRM ZONE 3 MOBILE BAY-DES'!V710-40-25-60-100</f>
        <v>89.698000000000036</v>
      </c>
      <c r="G699" s="86">
        <v>40</v>
      </c>
      <c r="H699" s="83">
        <f t="shared" ref="H699:H705" si="114">25+60+100</f>
        <v>185</v>
      </c>
      <c r="I699" s="83">
        <f t="shared" si="113"/>
        <v>0</v>
      </c>
      <c r="J699" s="86">
        <v>100</v>
      </c>
      <c r="K699" s="86">
        <v>300</v>
      </c>
      <c r="L699" s="83">
        <f t="shared" si="105"/>
        <v>1239</v>
      </c>
      <c r="M699" s="94">
        <v>600</v>
      </c>
      <c r="N699" s="83">
        <f>'[2]FGT NON-FIRM'!P710</f>
        <v>100</v>
      </c>
      <c r="O699" s="86">
        <v>240</v>
      </c>
      <c r="P699" s="86">
        <v>40</v>
      </c>
      <c r="Q699" s="86">
        <f t="shared" si="106"/>
        <v>315</v>
      </c>
      <c r="R699" s="86">
        <f t="shared" si="107"/>
        <v>100</v>
      </c>
      <c r="S699" s="83">
        <f t="shared" si="108"/>
        <v>695</v>
      </c>
      <c r="T699" s="83">
        <f>'[2]GULFSTREAM NON-FIRM'!H710</f>
        <v>50</v>
      </c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</row>
    <row r="700" spans="1:30" ht="15.75" hidden="1" x14ac:dyDescent="0.25">
      <c r="A700" s="32">
        <v>62244</v>
      </c>
      <c r="B700" s="95">
        <f t="shared" si="110"/>
        <v>31</v>
      </c>
      <c r="C700" s="83">
        <f>'[2]FGT PRIMARY FIRM ZONE 1'!V711</f>
        <v>194.20499999999998</v>
      </c>
      <c r="D700" s="83">
        <f>'[2]FGT PRIMARY FIRM ZONE 2'!V711</f>
        <v>267.46600000000001</v>
      </c>
      <c r="E700" s="92">
        <f>'[2]FGT PRIMARY FIRM ZONE 3'!V711</f>
        <v>133.845</v>
      </c>
      <c r="F700" s="83">
        <f>'[2]FGT FIRM ZONE 3 MOBILE BAY-DES'!V711-40-25-60-100</f>
        <v>53.48399999999998</v>
      </c>
      <c r="G700" s="86">
        <v>40</v>
      </c>
      <c r="H700" s="83">
        <f t="shared" si="114"/>
        <v>185</v>
      </c>
      <c r="I700" s="83">
        <f t="shared" si="113"/>
        <v>0</v>
      </c>
      <c r="J700" s="86">
        <v>100</v>
      </c>
      <c r="K700" s="86">
        <v>300</v>
      </c>
      <c r="L700" s="83">
        <f t="shared" si="105"/>
        <v>1274</v>
      </c>
      <c r="M700" s="94">
        <v>600</v>
      </c>
      <c r="N700" s="83">
        <f>'[2]FGT NON-FIRM'!P711</f>
        <v>75</v>
      </c>
      <c r="O700" s="86">
        <v>240</v>
      </c>
      <c r="P700" s="86">
        <v>40</v>
      </c>
      <c r="Q700" s="86">
        <f t="shared" si="106"/>
        <v>315</v>
      </c>
      <c r="R700" s="86">
        <f t="shared" si="107"/>
        <v>100</v>
      </c>
      <c r="S700" s="83">
        <f t="shared" si="108"/>
        <v>695</v>
      </c>
      <c r="T700" s="83">
        <f>'[2]GULFSTREAM NON-FIRM'!H711</f>
        <v>50</v>
      </c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</row>
    <row r="701" spans="1:30" ht="15.75" hidden="1" x14ac:dyDescent="0.25">
      <c r="A701" s="32">
        <v>62274</v>
      </c>
      <c r="B701" s="95">
        <f t="shared" si="110"/>
        <v>30</v>
      </c>
      <c r="C701" s="83">
        <f>'[2]FGT PRIMARY FIRM ZONE 1'!V712</f>
        <v>194.20499999999998</v>
      </c>
      <c r="D701" s="83">
        <f>'[2]FGT PRIMARY FIRM ZONE 2'!V712</f>
        <v>267.46600000000001</v>
      </c>
      <c r="E701" s="92">
        <f>'[2]FGT PRIMARY FIRM ZONE 3'!V712</f>
        <v>133.845</v>
      </c>
      <c r="F701" s="83">
        <f>'[2]FGT FIRM ZONE 3 MOBILE BAY-DES'!V712-40-25-60-100</f>
        <v>53.48399999999998</v>
      </c>
      <c r="G701" s="86">
        <v>40</v>
      </c>
      <c r="H701" s="83">
        <f t="shared" si="114"/>
        <v>185</v>
      </c>
      <c r="I701" s="83">
        <f t="shared" si="113"/>
        <v>0</v>
      </c>
      <c r="J701" s="86">
        <v>100</v>
      </c>
      <c r="K701" s="86">
        <v>300</v>
      </c>
      <c r="L701" s="83">
        <f t="shared" si="105"/>
        <v>1274</v>
      </c>
      <c r="M701" s="94">
        <v>600</v>
      </c>
      <c r="N701" s="83">
        <f>'[2]FGT NON-FIRM'!P712</f>
        <v>30</v>
      </c>
      <c r="O701" s="86">
        <v>240</v>
      </c>
      <c r="P701" s="86">
        <v>40</v>
      </c>
      <c r="Q701" s="86">
        <f t="shared" si="106"/>
        <v>315</v>
      </c>
      <c r="R701" s="86">
        <f t="shared" si="107"/>
        <v>100</v>
      </c>
      <c r="S701" s="83">
        <f t="shared" si="108"/>
        <v>695</v>
      </c>
      <c r="T701" s="83">
        <f>'[2]GULFSTREAM NON-FIRM'!H712</f>
        <v>50</v>
      </c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</row>
    <row r="702" spans="1:30" ht="15.75" hidden="1" x14ac:dyDescent="0.25">
      <c r="A702" s="32">
        <v>62305</v>
      </c>
      <c r="B702" s="95">
        <f t="shared" si="110"/>
        <v>31</v>
      </c>
      <c r="C702" s="83">
        <f>'[2]FGT PRIMARY FIRM ZONE 1'!V713</f>
        <v>194.20499999999998</v>
      </c>
      <c r="D702" s="83">
        <f>'[2]FGT PRIMARY FIRM ZONE 2'!V713</f>
        <v>267.46600000000001</v>
      </c>
      <c r="E702" s="92">
        <f>'[2]FGT PRIMARY FIRM ZONE 3'!V713</f>
        <v>133.845</v>
      </c>
      <c r="F702" s="83">
        <f>'[2]FGT FIRM ZONE 3 MOBILE BAY-DES'!V713-40-25-60-100</f>
        <v>53.48399999999998</v>
      </c>
      <c r="G702" s="86">
        <v>40</v>
      </c>
      <c r="H702" s="83">
        <f t="shared" si="114"/>
        <v>185</v>
      </c>
      <c r="I702" s="83">
        <f t="shared" si="113"/>
        <v>0</v>
      </c>
      <c r="J702" s="86">
        <v>100</v>
      </c>
      <c r="K702" s="86">
        <v>300</v>
      </c>
      <c r="L702" s="83">
        <f t="shared" si="105"/>
        <v>1274</v>
      </c>
      <c r="M702" s="94">
        <v>600</v>
      </c>
      <c r="N702" s="83">
        <f>'[2]FGT NON-FIRM'!P713</f>
        <v>30</v>
      </c>
      <c r="O702" s="86">
        <v>240</v>
      </c>
      <c r="P702" s="86">
        <v>40</v>
      </c>
      <c r="Q702" s="86">
        <f t="shared" si="106"/>
        <v>315</v>
      </c>
      <c r="R702" s="86">
        <f t="shared" si="107"/>
        <v>100</v>
      </c>
      <c r="S702" s="83">
        <f t="shared" si="108"/>
        <v>695</v>
      </c>
      <c r="T702" s="83">
        <f>'[2]GULFSTREAM NON-FIRM'!H713</f>
        <v>0</v>
      </c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</row>
    <row r="703" spans="1:30" ht="15.75" hidden="1" x14ac:dyDescent="0.25">
      <c r="A703" s="32">
        <v>62336</v>
      </c>
      <c r="B703" s="95">
        <f t="shared" si="110"/>
        <v>31</v>
      </c>
      <c r="C703" s="83">
        <f>'[2]FGT PRIMARY FIRM ZONE 1'!V714</f>
        <v>194.20499999999998</v>
      </c>
      <c r="D703" s="83">
        <f>'[2]FGT PRIMARY FIRM ZONE 2'!V714</f>
        <v>267.46600000000001</v>
      </c>
      <c r="E703" s="92">
        <f>'[2]FGT PRIMARY FIRM ZONE 3'!V714</f>
        <v>133.845</v>
      </c>
      <c r="F703" s="83">
        <f>'[2]FGT FIRM ZONE 3 MOBILE BAY-DES'!V714-40-25-60-100</f>
        <v>53.48399999999998</v>
      </c>
      <c r="G703" s="86">
        <v>40</v>
      </c>
      <c r="H703" s="83">
        <f t="shared" si="114"/>
        <v>185</v>
      </c>
      <c r="I703" s="83">
        <f t="shared" si="113"/>
        <v>0</v>
      </c>
      <c r="J703" s="86">
        <v>100</v>
      </c>
      <c r="K703" s="86">
        <v>300</v>
      </c>
      <c r="L703" s="83">
        <f t="shared" si="105"/>
        <v>1274</v>
      </c>
      <c r="M703" s="94">
        <v>600</v>
      </c>
      <c r="N703" s="83">
        <f>'[2]FGT NON-FIRM'!P714</f>
        <v>30</v>
      </c>
      <c r="O703" s="86">
        <v>240</v>
      </c>
      <c r="P703" s="86">
        <v>40</v>
      </c>
      <c r="Q703" s="86">
        <f t="shared" si="106"/>
        <v>315</v>
      </c>
      <c r="R703" s="86">
        <f t="shared" si="107"/>
        <v>100</v>
      </c>
      <c r="S703" s="83">
        <f t="shared" si="108"/>
        <v>695</v>
      </c>
      <c r="T703" s="83">
        <f>'[2]GULFSTREAM NON-FIRM'!H714</f>
        <v>0</v>
      </c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</row>
    <row r="704" spans="1:30" ht="15.75" hidden="1" x14ac:dyDescent="0.25">
      <c r="A704" s="32">
        <v>62366</v>
      </c>
      <c r="B704" s="95">
        <f t="shared" si="110"/>
        <v>30</v>
      </c>
      <c r="C704" s="83">
        <f>'[2]FGT PRIMARY FIRM ZONE 1'!V715</f>
        <v>194.20499999999998</v>
      </c>
      <c r="D704" s="83">
        <f>'[2]FGT PRIMARY FIRM ZONE 2'!V715</f>
        <v>267.46600000000001</v>
      </c>
      <c r="E704" s="92">
        <f>'[2]FGT PRIMARY FIRM ZONE 3'!V715</f>
        <v>133.845</v>
      </c>
      <c r="F704" s="83">
        <f>'[2]FGT FIRM ZONE 3 MOBILE BAY-DES'!V715-40-25-60-100</f>
        <v>53.48399999999998</v>
      </c>
      <c r="G704" s="86">
        <v>40</v>
      </c>
      <c r="H704" s="83">
        <f t="shared" si="114"/>
        <v>185</v>
      </c>
      <c r="I704" s="83">
        <f t="shared" si="113"/>
        <v>0</v>
      </c>
      <c r="J704" s="86">
        <v>100</v>
      </c>
      <c r="K704" s="86">
        <v>300</v>
      </c>
      <c r="L704" s="83">
        <f t="shared" si="105"/>
        <v>1274</v>
      </c>
      <c r="M704" s="94">
        <v>600</v>
      </c>
      <c r="N704" s="83">
        <f>'[2]FGT NON-FIRM'!P715</f>
        <v>30</v>
      </c>
      <c r="O704" s="86">
        <v>240</v>
      </c>
      <c r="P704" s="86">
        <v>40</v>
      </c>
      <c r="Q704" s="86">
        <f t="shared" si="106"/>
        <v>315</v>
      </c>
      <c r="R704" s="86">
        <f t="shared" si="107"/>
        <v>100</v>
      </c>
      <c r="S704" s="83">
        <f t="shared" si="108"/>
        <v>695</v>
      </c>
      <c r="T704" s="83">
        <f>'[2]GULFSTREAM NON-FIRM'!H715</f>
        <v>0</v>
      </c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</row>
    <row r="705" spans="1:30" ht="15.75" hidden="1" x14ac:dyDescent="0.25">
      <c r="A705" s="32">
        <v>62397</v>
      </c>
      <c r="B705" s="95">
        <f t="shared" si="110"/>
        <v>31</v>
      </c>
      <c r="C705" s="83">
        <f>'[2]FGT PRIMARY FIRM ZONE 1'!V716</f>
        <v>131.881</v>
      </c>
      <c r="D705" s="83">
        <f>'[2]FGT PRIMARY FIRM ZONE 2'!V716</f>
        <v>277.16699999999997</v>
      </c>
      <c r="E705" s="92">
        <f>'[2]FGT PRIMARY FIRM ZONE 3'!V716</f>
        <v>79.08</v>
      </c>
      <c r="F705" s="83">
        <f>'[2]FGT FIRM ZONE 3 MOBILE BAY-DES'!V716-40-25-60-100</f>
        <v>125.87199999999996</v>
      </c>
      <c r="G705" s="86">
        <v>40</v>
      </c>
      <c r="H705" s="83">
        <f t="shared" si="114"/>
        <v>185</v>
      </c>
      <c r="I705" s="83">
        <f t="shared" si="113"/>
        <v>0</v>
      </c>
      <c r="J705" s="86">
        <v>100</v>
      </c>
      <c r="K705" s="86">
        <v>300</v>
      </c>
      <c r="L705" s="83">
        <f t="shared" si="105"/>
        <v>1239</v>
      </c>
      <c r="M705" s="94">
        <v>600</v>
      </c>
      <c r="N705" s="83">
        <f>'[2]FGT NON-FIRM'!P716</f>
        <v>75</v>
      </c>
      <c r="O705" s="86">
        <v>240</v>
      </c>
      <c r="P705" s="86">
        <v>40</v>
      </c>
      <c r="Q705" s="86">
        <f t="shared" si="106"/>
        <v>315</v>
      </c>
      <c r="R705" s="86">
        <f t="shared" si="107"/>
        <v>100</v>
      </c>
      <c r="S705" s="83">
        <f t="shared" si="108"/>
        <v>695</v>
      </c>
      <c r="T705" s="83">
        <f>'[2]GULFSTREAM NON-FIRM'!H716</f>
        <v>0</v>
      </c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</row>
    <row r="706" spans="1:30" ht="15.75" hidden="1" x14ac:dyDescent="0.25">
      <c r="A706" s="32">
        <v>62427</v>
      </c>
      <c r="B706" s="95">
        <f t="shared" si="110"/>
        <v>30</v>
      </c>
      <c r="C706" s="83">
        <f>'[2]FGT PRIMARY FIRM ZONE 1'!V717</f>
        <v>122.58</v>
      </c>
      <c r="D706" s="83">
        <f>'[2]FGT PRIMARY FIRM ZONE 2'!V717</f>
        <v>297.94100000000003</v>
      </c>
      <c r="E706" s="92">
        <f>'[2]FGT PRIMARY FIRM ZONE 3'!V717</f>
        <v>89.177000000000007</v>
      </c>
      <c r="F706" s="83">
        <f>'[2]FGT FIRM ZONE 3 MOBILE BAY-DES'!V717-40-60-100</f>
        <v>40.301999999999992</v>
      </c>
      <c r="G706" s="86">
        <v>40</v>
      </c>
      <c r="H706" s="83">
        <f>60+100</f>
        <v>160</v>
      </c>
      <c r="I706" s="83">
        <f t="shared" si="113"/>
        <v>0</v>
      </c>
      <c r="J706" s="86">
        <v>100</v>
      </c>
      <c r="K706" s="86">
        <v>300</v>
      </c>
      <c r="L706" s="83">
        <f t="shared" si="105"/>
        <v>1150</v>
      </c>
      <c r="M706" s="94">
        <v>600</v>
      </c>
      <c r="N706" s="83">
        <f>'[2]FGT NON-FIRM'!P717</f>
        <v>100</v>
      </c>
      <c r="O706" s="86">
        <v>240</v>
      </c>
      <c r="P706" s="86">
        <v>40</v>
      </c>
      <c r="Q706" s="86">
        <f t="shared" si="106"/>
        <v>315</v>
      </c>
      <c r="R706" s="86">
        <f t="shared" si="107"/>
        <v>100</v>
      </c>
      <c r="S706" s="83">
        <f t="shared" si="108"/>
        <v>695</v>
      </c>
      <c r="T706" s="83">
        <f>'[2]GULFSTREAM NON-FIRM'!H717</f>
        <v>50</v>
      </c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</row>
    <row r="707" spans="1:30" ht="15.75" hidden="1" x14ac:dyDescent="0.25">
      <c r="A707" s="32">
        <v>62458</v>
      </c>
      <c r="B707" s="95">
        <f t="shared" si="110"/>
        <v>31</v>
      </c>
      <c r="C707" s="83">
        <f>'[2]FGT PRIMARY FIRM ZONE 1'!V718</f>
        <v>122.58</v>
      </c>
      <c r="D707" s="83">
        <f>'[2]FGT PRIMARY FIRM ZONE 2'!V718</f>
        <v>297.94100000000003</v>
      </c>
      <c r="E707" s="92">
        <f>'[2]FGT PRIMARY FIRM ZONE 3'!V718</f>
        <v>89.177000000000007</v>
      </c>
      <c r="F707" s="83">
        <f>'[2]FGT FIRM ZONE 3 MOBILE BAY-DES'!V718-40-60-100</f>
        <v>40.301999999999992</v>
      </c>
      <c r="G707" s="86">
        <v>40</v>
      </c>
      <c r="H707" s="83">
        <f>60+100</f>
        <v>160</v>
      </c>
      <c r="I707" s="83">
        <f t="shared" si="113"/>
        <v>0</v>
      </c>
      <c r="J707" s="86">
        <v>100</v>
      </c>
      <c r="K707" s="86">
        <v>300</v>
      </c>
      <c r="L707" s="83">
        <f t="shared" si="105"/>
        <v>1150</v>
      </c>
      <c r="M707" s="94">
        <v>600</v>
      </c>
      <c r="N707" s="83">
        <f>'[2]FGT NON-FIRM'!P718</f>
        <v>100</v>
      </c>
      <c r="O707" s="86">
        <v>240</v>
      </c>
      <c r="P707" s="86">
        <v>40</v>
      </c>
      <c r="Q707" s="86">
        <f t="shared" si="106"/>
        <v>315</v>
      </c>
      <c r="R707" s="86">
        <f t="shared" si="107"/>
        <v>100</v>
      </c>
      <c r="S707" s="83">
        <f t="shared" si="108"/>
        <v>695</v>
      </c>
      <c r="T707" s="83">
        <f>'[2]GULFSTREAM NON-FIRM'!H718</f>
        <v>50</v>
      </c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</row>
    <row r="708" spans="1:30" ht="15.75" hidden="1" x14ac:dyDescent="0.25">
      <c r="A708" s="32">
        <v>62489</v>
      </c>
      <c r="B708" s="95">
        <f t="shared" si="110"/>
        <v>31</v>
      </c>
      <c r="C708" s="83">
        <f>'[2]FGT PRIMARY FIRM ZONE 1'!V719</f>
        <v>122.58</v>
      </c>
      <c r="D708" s="83">
        <f>'[2]FGT PRIMARY FIRM ZONE 2'!V719</f>
        <v>297.94100000000003</v>
      </c>
      <c r="E708" s="92">
        <f>'[2]FGT PRIMARY FIRM ZONE 3'!V719</f>
        <v>89.177000000000007</v>
      </c>
      <c r="F708" s="83">
        <f>'[2]FGT FIRM ZONE 3 MOBILE BAY-DES'!V719-40-60-100</f>
        <v>40.301999999999992</v>
      </c>
      <c r="G708" s="86">
        <v>40</v>
      </c>
      <c r="H708" s="83">
        <f>60+100</f>
        <v>160</v>
      </c>
      <c r="I708" s="83">
        <f t="shared" si="113"/>
        <v>0</v>
      </c>
      <c r="J708" s="86">
        <v>100</v>
      </c>
      <c r="K708" s="86">
        <v>300</v>
      </c>
      <c r="L708" s="83">
        <f t="shared" si="105"/>
        <v>1150</v>
      </c>
      <c r="M708" s="94">
        <v>600</v>
      </c>
      <c r="N708" s="83">
        <f>'[2]FGT NON-FIRM'!P719</f>
        <v>100</v>
      </c>
      <c r="O708" s="86">
        <v>240</v>
      </c>
      <c r="P708" s="86">
        <v>40</v>
      </c>
      <c r="Q708" s="86">
        <f t="shared" si="106"/>
        <v>315</v>
      </c>
      <c r="R708" s="86">
        <f t="shared" si="107"/>
        <v>100</v>
      </c>
      <c r="S708" s="83">
        <f t="shared" si="108"/>
        <v>695</v>
      </c>
      <c r="T708" s="83">
        <f>'[2]GULFSTREAM NON-FIRM'!H719</f>
        <v>50</v>
      </c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</row>
    <row r="709" spans="1:30" ht="15.75" hidden="1" x14ac:dyDescent="0.25">
      <c r="A709" s="32">
        <v>62517</v>
      </c>
      <c r="B709" s="95">
        <f t="shared" si="110"/>
        <v>28</v>
      </c>
      <c r="C709" s="83">
        <f>'[2]FGT PRIMARY FIRM ZONE 1'!V720</f>
        <v>122.58</v>
      </c>
      <c r="D709" s="83">
        <f>'[2]FGT PRIMARY FIRM ZONE 2'!V720</f>
        <v>297.94100000000003</v>
      </c>
      <c r="E709" s="92">
        <f>'[2]FGT PRIMARY FIRM ZONE 3'!V720</f>
        <v>89.177000000000007</v>
      </c>
      <c r="F709" s="83">
        <f>'[2]FGT FIRM ZONE 3 MOBILE BAY-DES'!V720-40-60-100</f>
        <v>40.301999999999992</v>
      </c>
      <c r="G709" s="86">
        <v>40</v>
      </c>
      <c r="H709" s="83">
        <f>60+100</f>
        <v>160</v>
      </c>
      <c r="I709" s="83">
        <f t="shared" si="113"/>
        <v>0</v>
      </c>
      <c r="J709" s="86">
        <v>100</v>
      </c>
      <c r="K709" s="86">
        <v>300</v>
      </c>
      <c r="L709" s="83">
        <f t="shared" si="105"/>
        <v>1150</v>
      </c>
      <c r="M709" s="94">
        <v>600</v>
      </c>
      <c r="N709" s="83">
        <f>'[2]FGT NON-FIRM'!P720</f>
        <v>100</v>
      </c>
      <c r="O709" s="86">
        <v>240</v>
      </c>
      <c r="P709" s="86">
        <v>40</v>
      </c>
      <c r="Q709" s="86">
        <f t="shared" si="106"/>
        <v>315</v>
      </c>
      <c r="R709" s="86">
        <f t="shared" si="107"/>
        <v>100</v>
      </c>
      <c r="S709" s="83">
        <f t="shared" si="108"/>
        <v>695</v>
      </c>
      <c r="T709" s="83">
        <f>'[2]GULFSTREAM NON-FIRM'!H720</f>
        <v>50</v>
      </c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</row>
    <row r="710" spans="1:30" ht="15.75" hidden="1" x14ac:dyDescent="0.25">
      <c r="A710" s="32">
        <v>62548</v>
      </c>
      <c r="B710" s="95">
        <f t="shared" si="110"/>
        <v>31</v>
      </c>
      <c r="C710" s="83">
        <f>'[2]FGT PRIMARY FIRM ZONE 1'!V721</f>
        <v>122.58</v>
      </c>
      <c r="D710" s="83">
        <f>'[2]FGT PRIMARY FIRM ZONE 2'!V721</f>
        <v>297.94100000000003</v>
      </c>
      <c r="E710" s="92">
        <f>'[2]FGT PRIMARY FIRM ZONE 3'!V721</f>
        <v>89.177000000000007</v>
      </c>
      <c r="F710" s="83">
        <f>'[2]FGT FIRM ZONE 3 MOBILE BAY-DES'!V721-40-60-100</f>
        <v>40.301999999999992</v>
      </c>
      <c r="G710" s="86">
        <v>40</v>
      </c>
      <c r="H710" s="83">
        <f>60+100</f>
        <v>160</v>
      </c>
      <c r="I710" s="83">
        <f t="shared" si="113"/>
        <v>0</v>
      </c>
      <c r="J710" s="86">
        <v>100</v>
      </c>
      <c r="K710" s="86">
        <v>300</v>
      </c>
      <c r="L710" s="83">
        <f t="shared" si="105"/>
        <v>1150</v>
      </c>
      <c r="M710" s="94">
        <v>600</v>
      </c>
      <c r="N710" s="83">
        <f>'[2]FGT NON-FIRM'!P721</f>
        <v>100</v>
      </c>
      <c r="O710" s="86">
        <v>240</v>
      </c>
      <c r="P710" s="86">
        <v>40</v>
      </c>
      <c r="Q710" s="86">
        <f t="shared" si="106"/>
        <v>315</v>
      </c>
      <c r="R710" s="86">
        <f t="shared" si="107"/>
        <v>100</v>
      </c>
      <c r="S710" s="83">
        <f t="shared" si="108"/>
        <v>695</v>
      </c>
      <c r="T710" s="83">
        <f>'[2]GULFSTREAM NON-FIRM'!H721</f>
        <v>50</v>
      </c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</row>
    <row r="711" spans="1:30" ht="15.75" hidden="1" x14ac:dyDescent="0.25">
      <c r="A711" s="32">
        <v>62578</v>
      </c>
      <c r="B711" s="95">
        <f t="shared" si="110"/>
        <v>30</v>
      </c>
      <c r="C711" s="83">
        <f>'[2]FGT PRIMARY FIRM ZONE 1'!V722</f>
        <v>141.29300000000001</v>
      </c>
      <c r="D711" s="83">
        <f>'[2]FGT PRIMARY FIRM ZONE 2'!V722</f>
        <v>267.99299999999999</v>
      </c>
      <c r="E711" s="92">
        <f>'[2]FGT PRIMARY FIRM ZONE 3'!V722</f>
        <v>115.01600000000001</v>
      </c>
      <c r="F711" s="83">
        <f>'[2]FGT FIRM ZONE 3 MOBILE BAY-DES'!V722-40-25-60-100</f>
        <v>89.698000000000036</v>
      </c>
      <c r="G711" s="86">
        <v>40</v>
      </c>
      <c r="H711" s="83">
        <f t="shared" ref="H711:H717" si="115">25+60+100</f>
        <v>185</v>
      </c>
      <c r="I711" s="83">
        <f t="shared" si="113"/>
        <v>0</v>
      </c>
      <c r="J711" s="86">
        <v>100</v>
      </c>
      <c r="K711" s="86">
        <v>300</v>
      </c>
      <c r="L711" s="83">
        <f t="shared" si="105"/>
        <v>1239</v>
      </c>
      <c r="M711" s="94">
        <v>600</v>
      </c>
      <c r="N711" s="83">
        <f>'[2]FGT NON-FIRM'!P722</f>
        <v>100</v>
      </c>
      <c r="O711" s="86">
        <v>240</v>
      </c>
      <c r="P711" s="86">
        <v>40</v>
      </c>
      <c r="Q711" s="86">
        <f t="shared" si="106"/>
        <v>315</v>
      </c>
      <c r="R711" s="86">
        <f t="shared" si="107"/>
        <v>100</v>
      </c>
      <c r="S711" s="83">
        <f t="shared" si="108"/>
        <v>695</v>
      </c>
      <c r="T711" s="83">
        <f>'[2]GULFSTREAM NON-FIRM'!H722</f>
        <v>50</v>
      </c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</row>
    <row r="712" spans="1:30" ht="15.75" hidden="1" x14ac:dyDescent="0.25">
      <c r="A712" s="32">
        <v>62609</v>
      </c>
      <c r="B712" s="95">
        <f t="shared" si="110"/>
        <v>31</v>
      </c>
      <c r="C712" s="83">
        <f>'[2]FGT PRIMARY FIRM ZONE 1'!V723</f>
        <v>194.20499999999998</v>
      </c>
      <c r="D712" s="83">
        <f>'[2]FGT PRIMARY FIRM ZONE 2'!V723</f>
        <v>267.46600000000001</v>
      </c>
      <c r="E712" s="92">
        <f>'[2]FGT PRIMARY FIRM ZONE 3'!V723</f>
        <v>133.845</v>
      </c>
      <c r="F712" s="83">
        <f>'[2]FGT FIRM ZONE 3 MOBILE BAY-DES'!V723-40-25-60-100</f>
        <v>53.48399999999998</v>
      </c>
      <c r="G712" s="86">
        <v>40</v>
      </c>
      <c r="H712" s="83">
        <f t="shared" si="115"/>
        <v>185</v>
      </c>
      <c r="I712" s="83">
        <f t="shared" si="113"/>
        <v>0</v>
      </c>
      <c r="J712" s="86">
        <v>100</v>
      </c>
      <c r="K712" s="86">
        <v>300</v>
      </c>
      <c r="L712" s="83">
        <f t="shared" si="105"/>
        <v>1274</v>
      </c>
      <c r="M712" s="94">
        <v>600</v>
      </c>
      <c r="N712" s="83">
        <f>'[2]FGT NON-FIRM'!P723</f>
        <v>75</v>
      </c>
      <c r="O712" s="86">
        <v>240</v>
      </c>
      <c r="P712" s="86">
        <v>40</v>
      </c>
      <c r="Q712" s="86">
        <f t="shared" si="106"/>
        <v>315</v>
      </c>
      <c r="R712" s="86">
        <f t="shared" si="107"/>
        <v>100</v>
      </c>
      <c r="S712" s="83">
        <f t="shared" si="108"/>
        <v>695</v>
      </c>
      <c r="T712" s="83">
        <f>'[2]GULFSTREAM NON-FIRM'!H723</f>
        <v>50</v>
      </c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</row>
    <row r="713" spans="1:30" ht="15.75" hidden="1" x14ac:dyDescent="0.25">
      <c r="A713" s="32">
        <v>62639</v>
      </c>
      <c r="B713" s="95">
        <f t="shared" si="110"/>
        <v>30</v>
      </c>
      <c r="C713" s="83">
        <f>'[2]FGT PRIMARY FIRM ZONE 1'!V724</f>
        <v>194.20499999999998</v>
      </c>
      <c r="D713" s="83">
        <f>'[2]FGT PRIMARY FIRM ZONE 2'!V724</f>
        <v>267.46600000000001</v>
      </c>
      <c r="E713" s="92">
        <f>'[2]FGT PRIMARY FIRM ZONE 3'!V724</f>
        <v>133.845</v>
      </c>
      <c r="F713" s="83">
        <f>'[2]FGT FIRM ZONE 3 MOBILE BAY-DES'!V724-40-25-60-100</f>
        <v>53.48399999999998</v>
      </c>
      <c r="G713" s="86">
        <v>40</v>
      </c>
      <c r="H713" s="83">
        <f t="shared" si="115"/>
        <v>185</v>
      </c>
      <c r="I713" s="83">
        <f t="shared" si="113"/>
        <v>0</v>
      </c>
      <c r="J713" s="86">
        <v>100</v>
      </c>
      <c r="K713" s="86">
        <v>300</v>
      </c>
      <c r="L713" s="83">
        <f t="shared" si="105"/>
        <v>1274</v>
      </c>
      <c r="M713" s="94">
        <v>600</v>
      </c>
      <c r="N713" s="83">
        <f>'[2]FGT NON-FIRM'!P724</f>
        <v>30</v>
      </c>
      <c r="O713" s="86">
        <v>240</v>
      </c>
      <c r="P713" s="86">
        <v>40</v>
      </c>
      <c r="Q713" s="86">
        <f t="shared" si="106"/>
        <v>315</v>
      </c>
      <c r="R713" s="86">
        <f t="shared" si="107"/>
        <v>100</v>
      </c>
      <c r="S713" s="83">
        <f t="shared" si="108"/>
        <v>695</v>
      </c>
      <c r="T713" s="83">
        <f>'[2]GULFSTREAM NON-FIRM'!H724</f>
        <v>50</v>
      </c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</row>
    <row r="714" spans="1:30" ht="15.75" hidden="1" x14ac:dyDescent="0.25">
      <c r="A714" s="32">
        <v>62670</v>
      </c>
      <c r="B714" s="95">
        <f t="shared" si="110"/>
        <v>31</v>
      </c>
      <c r="C714" s="83">
        <f>'[2]FGT PRIMARY FIRM ZONE 1'!V725</f>
        <v>194.20499999999998</v>
      </c>
      <c r="D714" s="83">
        <f>'[2]FGT PRIMARY FIRM ZONE 2'!V725</f>
        <v>267.46600000000001</v>
      </c>
      <c r="E714" s="92">
        <f>'[2]FGT PRIMARY FIRM ZONE 3'!V725</f>
        <v>133.845</v>
      </c>
      <c r="F714" s="83">
        <f>'[2]FGT FIRM ZONE 3 MOBILE BAY-DES'!V725-40-25-60-100</f>
        <v>53.48399999999998</v>
      </c>
      <c r="G714" s="86">
        <v>40</v>
      </c>
      <c r="H714" s="83">
        <f t="shared" si="115"/>
        <v>185</v>
      </c>
      <c r="I714" s="83">
        <f t="shared" si="113"/>
        <v>0</v>
      </c>
      <c r="J714" s="86">
        <v>100</v>
      </c>
      <c r="K714" s="86">
        <v>300</v>
      </c>
      <c r="L714" s="83">
        <f t="shared" si="105"/>
        <v>1274</v>
      </c>
      <c r="M714" s="94">
        <v>600</v>
      </c>
      <c r="N714" s="83">
        <f>'[2]FGT NON-FIRM'!P725</f>
        <v>30</v>
      </c>
      <c r="O714" s="86">
        <v>240</v>
      </c>
      <c r="P714" s="86">
        <v>40</v>
      </c>
      <c r="Q714" s="86">
        <f t="shared" si="106"/>
        <v>315</v>
      </c>
      <c r="R714" s="86">
        <f t="shared" si="107"/>
        <v>100</v>
      </c>
      <c r="S714" s="83">
        <f t="shared" si="108"/>
        <v>695</v>
      </c>
      <c r="T714" s="83">
        <f>'[2]GULFSTREAM NON-FIRM'!H725</f>
        <v>0</v>
      </c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</row>
    <row r="715" spans="1:30" ht="15.75" hidden="1" x14ac:dyDescent="0.25">
      <c r="A715" s="32">
        <v>62701</v>
      </c>
      <c r="B715" s="95">
        <f t="shared" si="110"/>
        <v>31</v>
      </c>
      <c r="C715" s="83">
        <f>'[2]FGT PRIMARY FIRM ZONE 1'!V726</f>
        <v>194.20499999999998</v>
      </c>
      <c r="D715" s="83">
        <f>'[2]FGT PRIMARY FIRM ZONE 2'!V726</f>
        <v>267.46600000000001</v>
      </c>
      <c r="E715" s="92">
        <f>'[2]FGT PRIMARY FIRM ZONE 3'!V726</f>
        <v>133.845</v>
      </c>
      <c r="F715" s="83">
        <f>'[2]FGT FIRM ZONE 3 MOBILE BAY-DES'!V726-40-25-60-100</f>
        <v>53.48399999999998</v>
      </c>
      <c r="G715" s="86">
        <v>40</v>
      </c>
      <c r="H715" s="83">
        <f t="shared" si="115"/>
        <v>185</v>
      </c>
      <c r="I715" s="83">
        <f t="shared" si="113"/>
        <v>0</v>
      </c>
      <c r="J715" s="86">
        <v>100</v>
      </c>
      <c r="K715" s="86">
        <v>300</v>
      </c>
      <c r="L715" s="83">
        <f t="shared" si="105"/>
        <v>1274</v>
      </c>
      <c r="M715" s="94">
        <v>600</v>
      </c>
      <c r="N715" s="83">
        <f>'[2]FGT NON-FIRM'!P726</f>
        <v>30</v>
      </c>
      <c r="O715" s="86">
        <v>240</v>
      </c>
      <c r="P715" s="86">
        <v>40</v>
      </c>
      <c r="Q715" s="86">
        <f t="shared" si="106"/>
        <v>315</v>
      </c>
      <c r="R715" s="86">
        <f t="shared" si="107"/>
        <v>100</v>
      </c>
      <c r="S715" s="83">
        <f t="shared" si="108"/>
        <v>695</v>
      </c>
      <c r="T715" s="83">
        <f>'[2]GULFSTREAM NON-FIRM'!H726</f>
        <v>0</v>
      </c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</row>
    <row r="716" spans="1:30" ht="15.75" hidden="1" x14ac:dyDescent="0.25">
      <c r="A716" s="32">
        <v>62731</v>
      </c>
      <c r="B716" s="95">
        <f t="shared" si="110"/>
        <v>30</v>
      </c>
      <c r="C716" s="83">
        <f>'[2]FGT PRIMARY FIRM ZONE 1'!V727</f>
        <v>194.20499999999998</v>
      </c>
      <c r="D716" s="83">
        <f>'[2]FGT PRIMARY FIRM ZONE 2'!V727</f>
        <v>267.46600000000001</v>
      </c>
      <c r="E716" s="92">
        <f>'[2]FGT PRIMARY FIRM ZONE 3'!V727</f>
        <v>133.845</v>
      </c>
      <c r="F716" s="83">
        <f>'[2]FGT FIRM ZONE 3 MOBILE BAY-DES'!V727-40-25-60-100</f>
        <v>53.48399999999998</v>
      </c>
      <c r="G716" s="86">
        <v>40</v>
      </c>
      <c r="H716" s="83">
        <f t="shared" si="115"/>
        <v>185</v>
      </c>
      <c r="I716" s="83">
        <f t="shared" si="113"/>
        <v>0</v>
      </c>
      <c r="J716" s="86">
        <v>100</v>
      </c>
      <c r="K716" s="86">
        <v>300</v>
      </c>
      <c r="L716" s="83">
        <f t="shared" si="105"/>
        <v>1274</v>
      </c>
      <c r="M716" s="94">
        <v>600</v>
      </c>
      <c r="N716" s="83">
        <f>'[2]FGT NON-FIRM'!P727</f>
        <v>30</v>
      </c>
      <c r="O716" s="86">
        <v>240</v>
      </c>
      <c r="P716" s="86">
        <v>40</v>
      </c>
      <c r="Q716" s="86">
        <f t="shared" si="106"/>
        <v>315</v>
      </c>
      <c r="R716" s="86">
        <f t="shared" si="107"/>
        <v>100</v>
      </c>
      <c r="S716" s="83">
        <f t="shared" si="108"/>
        <v>695</v>
      </c>
      <c r="T716" s="83">
        <f>'[2]GULFSTREAM NON-FIRM'!H727</f>
        <v>0</v>
      </c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</row>
    <row r="717" spans="1:30" ht="15.75" hidden="1" x14ac:dyDescent="0.25">
      <c r="A717" s="32">
        <v>62762</v>
      </c>
      <c r="B717" s="95">
        <f t="shared" si="110"/>
        <v>31</v>
      </c>
      <c r="C717" s="83">
        <f>'[2]FGT PRIMARY FIRM ZONE 1'!V728</f>
        <v>131.881</v>
      </c>
      <c r="D717" s="83">
        <f>'[2]FGT PRIMARY FIRM ZONE 2'!V728</f>
        <v>277.16699999999997</v>
      </c>
      <c r="E717" s="92">
        <f>'[2]FGT PRIMARY FIRM ZONE 3'!V728</f>
        <v>79.08</v>
      </c>
      <c r="F717" s="83">
        <f>'[2]FGT FIRM ZONE 3 MOBILE BAY-DES'!V728-40-25-60-100</f>
        <v>125.87199999999996</v>
      </c>
      <c r="G717" s="86">
        <v>40</v>
      </c>
      <c r="H717" s="83">
        <f t="shared" si="115"/>
        <v>185</v>
      </c>
      <c r="I717" s="83">
        <f t="shared" si="113"/>
        <v>0</v>
      </c>
      <c r="J717" s="86">
        <v>100</v>
      </c>
      <c r="K717" s="86">
        <v>300</v>
      </c>
      <c r="L717" s="83">
        <f t="shared" si="105"/>
        <v>1239</v>
      </c>
      <c r="M717" s="94">
        <v>600</v>
      </c>
      <c r="N717" s="83">
        <f>'[2]FGT NON-FIRM'!P728</f>
        <v>75</v>
      </c>
      <c r="O717" s="86">
        <v>240</v>
      </c>
      <c r="P717" s="86">
        <v>40</v>
      </c>
      <c r="Q717" s="86">
        <f t="shared" si="106"/>
        <v>315</v>
      </c>
      <c r="R717" s="86">
        <f t="shared" si="107"/>
        <v>100</v>
      </c>
      <c r="S717" s="83">
        <f t="shared" si="108"/>
        <v>695</v>
      </c>
      <c r="T717" s="83">
        <f>'[2]GULFSTREAM NON-FIRM'!H728</f>
        <v>0</v>
      </c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</row>
    <row r="718" spans="1:30" ht="15.75" hidden="1" x14ac:dyDescent="0.25">
      <c r="A718" s="32">
        <v>62792</v>
      </c>
      <c r="B718" s="95">
        <f t="shared" si="110"/>
        <v>30</v>
      </c>
      <c r="C718" s="83">
        <f>'[2]FGT PRIMARY FIRM ZONE 1'!V729</f>
        <v>122.58</v>
      </c>
      <c r="D718" s="83">
        <f>'[2]FGT PRIMARY FIRM ZONE 2'!V729</f>
        <v>297.94100000000003</v>
      </c>
      <c r="E718" s="92">
        <f>'[2]FGT PRIMARY FIRM ZONE 3'!V729</f>
        <v>89.177000000000007</v>
      </c>
      <c r="F718" s="83">
        <f>'[2]FGT FIRM ZONE 3 MOBILE BAY-DES'!V729-40-60-100</f>
        <v>40.301999999999992</v>
      </c>
      <c r="G718" s="86">
        <v>40</v>
      </c>
      <c r="H718" s="83">
        <f>60+100</f>
        <v>160</v>
      </c>
      <c r="I718" s="83">
        <f t="shared" si="113"/>
        <v>0</v>
      </c>
      <c r="J718" s="86">
        <v>100</v>
      </c>
      <c r="K718" s="86">
        <v>300</v>
      </c>
      <c r="L718" s="83">
        <f t="shared" si="105"/>
        <v>1150</v>
      </c>
      <c r="M718" s="94">
        <v>600</v>
      </c>
      <c r="N718" s="83">
        <f>'[2]FGT NON-FIRM'!P729</f>
        <v>100</v>
      </c>
      <c r="O718" s="86">
        <v>240</v>
      </c>
      <c r="P718" s="86">
        <v>40</v>
      </c>
      <c r="Q718" s="86">
        <f t="shared" si="106"/>
        <v>315</v>
      </c>
      <c r="R718" s="86">
        <f t="shared" si="107"/>
        <v>100</v>
      </c>
      <c r="S718" s="83">
        <f t="shared" si="108"/>
        <v>695</v>
      </c>
      <c r="T718" s="83">
        <f>'[2]GULFSTREAM NON-FIRM'!H729</f>
        <v>50</v>
      </c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</row>
    <row r="719" spans="1:30" ht="15.75" hidden="1" x14ac:dyDescent="0.25">
      <c r="A719" s="32">
        <v>62823</v>
      </c>
      <c r="B719" s="95">
        <f t="shared" si="110"/>
        <v>31</v>
      </c>
      <c r="C719" s="83">
        <f>'[2]FGT PRIMARY FIRM ZONE 1'!V730</f>
        <v>122.58</v>
      </c>
      <c r="D719" s="83">
        <f>'[2]FGT PRIMARY FIRM ZONE 2'!V730</f>
        <v>297.94100000000003</v>
      </c>
      <c r="E719" s="92">
        <f>'[2]FGT PRIMARY FIRM ZONE 3'!V730</f>
        <v>89.177000000000007</v>
      </c>
      <c r="F719" s="83">
        <f>'[2]FGT FIRM ZONE 3 MOBILE BAY-DES'!V730-40-60-100</f>
        <v>40.301999999999992</v>
      </c>
      <c r="G719" s="86">
        <v>40</v>
      </c>
      <c r="H719" s="83">
        <f>60+100</f>
        <v>160</v>
      </c>
      <c r="I719" s="83">
        <f t="shared" si="113"/>
        <v>0</v>
      </c>
      <c r="J719" s="86">
        <v>100</v>
      </c>
      <c r="K719" s="86">
        <v>300</v>
      </c>
      <c r="L719" s="83">
        <f t="shared" si="105"/>
        <v>1150</v>
      </c>
      <c r="M719" s="94">
        <v>600</v>
      </c>
      <c r="N719" s="83">
        <f>'[2]FGT NON-FIRM'!P730</f>
        <v>100</v>
      </c>
      <c r="O719" s="86">
        <v>240</v>
      </c>
      <c r="P719" s="86">
        <v>40</v>
      </c>
      <c r="Q719" s="86">
        <f t="shared" si="106"/>
        <v>315</v>
      </c>
      <c r="R719" s="86">
        <f t="shared" si="107"/>
        <v>100</v>
      </c>
      <c r="S719" s="83">
        <f t="shared" si="108"/>
        <v>695</v>
      </c>
      <c r="T719" s="83">
        <f>'[2]GULFSTREAM NON-FIRM'!H730</f>
        <v>50</v>
      </c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</row>
    <row r="720" spans="1:30" ht="15.75" hidden="1" x14ac:dyDescent="0.25">
      <c r="A720" s="32">
        <v>62854</v>
      </c>
      <c r="B720" s="95">
        <f t="shared" si="110"/>
        <v>31</v>
      </c>
      <c r="C720" s="83">
        <f>'[2]FGT PRIMARY FIRM ZONE 1'!V731</f>
        <v>122.58</v>
      </c>
      <c r="D720" s="83">
        <f>'[2]FGT PRIMARY FIRM ZONE 2'!V731</f>
        <v>297.94100000000003</v>
      </c>
      <c r="E720" s="92">
        <f>'[2]FGT PRIMARY FIRM ZONE 3'!V731</f>
        <v>89.177000000000007</v>
      </c>
      <c r="F720" s="83">
        <f>'[2]FGT FIRM ZONE 3 MOBILE BAY-DES'!V731-40-60-100</f>
        <v>40.301999999999992</v>
      </c>
      <c r="G720" s="86">
        <v>40</v>
      </c>
      <c r="H720" s="83">
        <f>60+100</f>
        <v>160</v>
      </c>
      <c r="I720" s="83">
        <f t="shared" si="113"/>
        <v>0</v>
      </c>
      <c r="J720" s="86">
        <v>100</v>
      </c>
      <c r="K720" s="86">
        <v>300</v>
      </c>
      <c r="L720" s="83">
        <f t="shared" si="105"/>
        <v>1150</v>
      </c>
      <c r="M720" s="94">
        <v>600</v>
      </c>
      <c r="N720" s="83">
        <f>'[2]FGT NON-FIRM'!P731</f>
        <v>100</v>
      </c>
      <c r="O720" s="86">
        <v>240</v>
      </c>
      <c r="P720" s="86">
        <v>40</v>
      </c>
      <c r="Q720" s="86">
        <f t="shared" si="106"/>
        <v>315</v>
      </c>
      <c r="R720" s="86">
        <f t="shared" si="107"/>
        <v>100</v>
      </c>
      <c r="S720" s="83">
        <f t="shared" si="108"/>
        <v>695</v>
      </c>
      <c r="T720" s="83">
        <f>'[2]GULFSTREAM NON-FIRM'!H731</f>
        <v>50</v>
      </c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</row>
    <row r="721" spans="1:30" ht="15.75" hidden="1" x14ac:dyDescent="0.25">
      <c r="A721" s="32">
        <v>62883</v>
      </c>
      <c r="B721" s="95">
        <f t="shared" si="110"/>
        <v>29</v>
      </c>
      <c r="C721" s="83">
        <f>'[2]FGT PRIMARY FIRM ZONE 1'!V732</f>
        <v>122.58</v>
      </c>
      <c r="D721" s="83">
        <f>'[2]FGT PRIMARY FIRM ZONE 2'!V732</f>
        <v>297.94100000000003</v>
      </c>
      <c r="E721" s="92">
        <f>'[2]FGT PRIMARY FIRM ZONE 3'!V732</f>
        <v>89.177000000000007</v>
      </c>
      <c r="F721" s="83">
        <f>'[2]FGT FIRM ZONE 3 MOBILE BAY-DES'!V732-40-60-100</f>
        <v>40.301999999999992</v>
      </c>
      <c r="G721" s="86">
        <v>40</v>
      </c>
      <c r="H721" s="83">
        <f>60+100</f>
        <v>160</v>
      </c>
      <c r="I721" s="83">
        <f t="shared" si="113"/>
        <v>0</v>
      </c>
      <c r="J721" s="86">
        <v>100</v>
      </c>
      <c r="K721" s="86">
        <v>300</v>
      </c>
      <c r="L721" s="83">
        <f t="shared" si="105"/>
        <v>1150</v>
      </c>
      <c r="M721" s="94">
        <v>600</v>
      </c>
      <c r="N721" s="83">
        <f>'[2]FGT NON-FIRM'!P732</f>
        <v>100</v>
      </c>
      <c r="O721" s="86">
        <v>240</v>
      </c>
      <c r="P721" s="86">
        <v>40</v>
      </c>
      <c r="Q721" s="86">
        <f t="shared" si="106"/>
        <v>315</v>
      </c>
      <c r="R721" s="86">
        <f t="shared" si="107"/>
        <v>100</v>
      </c>
      <c r="S721" s="83">
        <f t="shared" si="108"/>
        <v>695</v>
      </c>
      <c r="T721" s="83">
        <f>'[2]GULFSTREAM NON-FIRM'!H732</f>
        <v>50</v>
      </c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</row>
    <row r="722" spans="1:30" ht="15.75" hidden="1" x14ac:dyDescent="0.25">
      <c r="A722" s="32">
        <v>62914</v>
      </c>
      <c r="B722" s="95">
        <f t="shared" si="110"/>
        <v>31</v>
      </c>
      <c r="C722" s="83">
        <f>'[2]FGT PRIMARY FIRM ZONE 1'!V733</f>
        <v>122.58</v>
      </c>
      <c r="D722" s="83">
        <f>'[2]FGT PRIMARY FIRM ZONE 2'!V733</f>
        <v>297.94100000000003</v>
      </c>
      <c r="E722" s="92">
        <f>'[2]FGT PRIMARY FIRM ZONE 3'!V733</f>
        <v>89.177000000000007</v>
      </c>
      <c r="F722" s="83">
        <f>'[2]FGT FIRM ZONE 3 MOBILE BAY-DES'!V733-40-60-100</f>
        <v>40.301999999999992</v>
      </c>
      <c r="G722" s="86">
        <v>40</v>
      </c>
      <c r="H722" s="83">
        <f>60+100</f>
        <v>160</v>
      </c>
      <c r="I722" s="83">
        <f t="shared" si="113"/>
        <v>0</v>
      </c>
      <c r="J722" s="86">
        <v>100</v>
      </c>
      <c r="K722" s="86">
        <v>300</v>
      </c>
      <c r="L722" s="83">
        <f t="shared" si="105"/>
        <v>1150</v>
      </c>
      <c r="M722" s="94">
        <v>600</v>
      </c>
      <c r="N722" s="83">
        <f>'[2]FGT NON-FIRM'!P733</f>
        <v>100</v>
      </c>
      <c r="O722" s="86">
        <v>240</v>
      </c>
      <c r="P722" s="86">
        <v>40</v>
      </c>
      <c r="Q722" s="86">
        <f t="shared" si="106"/>
        <v>315</v>
      </c>
      <c r="R722" s="86">
        <f t="shared" si="107"/>
        <v>100</v>
      </c>
      <c r="S722" s="83">
        <f t="shared" si="108"/>
        <v>695</v>
      </c>
      <c r="T722" s="83">
        <f>'[2]GULFSTREAM NON-FIRM'!H733</f>
        <v>50</v>
      </c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</row>
    <row r="723" spans="1:30" ht="15.75" hidden="1" x14ac:dyDescent="0.25">
      <c r="A723" s="32">
        <v>62944</v>
      </c>
      <c r="B723" s="95">
        <f t="shared" si="110"/>
        <v>30</v>
      </c>
      <c r="C723" s="83">
        <f>'[2]FGT PRIMARY FIRM ZONE 1'!V734</f>
        <v>141.29300000000001</v>
      </c>
      <c r="D723" s="83">
        <f>'[2]FGT PRIMARY FIRM ZONE 2'!V734</f>
        <v>267.99299999999999</v>
      </c>
      <c r="E723" s="92">
        <f>'[2]FGT PRIMARY FIRM ZONE 3'!V734</f>
        <v>115.01600000000001</v>
      </c>
      <c r="F723" s="83">
        <f>'[2]FGT FIRM ZONE 3 MOBILE BAY-DES'!V734-40-25-60-100</f>
        <v>89.698000000000036</v>
      </c>
      <c r="G723" s="86">
        <v>40</v>
      </c>
      <c r="H723" s="83">
        <f t="shared" ref="H723:H729" si="116">25+60+100</f>
        <v>185</v>
      </c>
      <c r="I723" s="83">
        <f t="shared" si="113"/>
        <v>0</v>
      </c>
      <c r="J723" s="86">
        <v>100</v>
      </c>
      <c r="K723" s="86">
        <v>300</v>
      </c>
      <c r="L723" s="83">
        <f t="shared" si="105"/>
        <v>1239</v>
      </c>
      <c r="M723" s="94">
        <v>600</v>
      </c>
      <c r="N723" s="83">
        <f>'[2]FGT NON-FIRM'!P734</f>
        <v>100</v>
      </c>
      <c r="O723" s="86">
        <v>240</v>
      </c>
      <c r="P723" s="86">
        <v>40</v>
      </c>
      <c r="Q723" s="86">
        <f t="shared" si="106"/>
        <v>315</v>
      </c>
      <c r="R723" s="86">
        <f t="shared" si="107"/>
        <v>100</v>
      </c>
      <c r="S723" s="83">
        <f t="shared" si="108"/>
        <v>695</v>
      </c>
      <c r="T723" s="83">
        <f>'[2]GULFSTREAM NON-FIRM'!H734</f>
        <v>50</v>
      </c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</row>
    <row r="724" spans="1:30" ht="15.75" hidden="1" x14ac:dyDescent="0.25">
      <c r="A724" s="32">
        <v>62975</v>
      </c>
      <c r="B724" s="95">
        <f t="shared" si="110"/>
        <v>31</v>
      </c>
      <c r="C724" s="83">
        <f>'[2]FGT PRIMARY FIRM ZONE 1'!V735</f>
        <v>194.20499999999998</v>
      </c>
      <c r="D724" s="83">
        <f>'[2]FGT PRIMARY FIRM ZONE 2'!V735</f>
        <v>267.46600000000001</v>
      </c>
      <c r="E724" s="92">
        <f>'[2]FGT PRIMARY FIRM ZONE 3'!V735</f>
        <v>133.845</v>
      </c>
      <c r="F724" s="83">
        <f>'[2]FGT FIRM ZONE 3 MOBILE BAY-DES'!V735-40-25-60-100</f>
        <v>53.48399999999998</v>
      </c>
      <c r="G724" s="86">
        <v>40</v>
      </c>
      <c r="H724" s="83">
        <f t="shared" si="116"/>
        <v>185</v>
      </c>
      <c r="I724" s="83">
        <f t="shared" si="113"/>
        <v>0</v>
      </c>
      <c r="J724" s="86">
        <v>100</v>
      </c>
      <c r="K724" s="86">
        <v>300</v>
      </c>
      <c r="L724" s="83">
        <f t="shared" ref="L724:L787" si="117">SUM(C724:K724)</f>
        <v>1274</v>
      </c>
      <c r="M724" s="94">
        <v>600</v>
      </c>
      <c r="N724" s="83">
        <f>'[2]FGT NON-FIRM'!P735</f>
        <v>75</v>
      </c>
      <c r="O724" s="86">
        <v>240</v>
      </c>
      <c r="P724" s="86">
        <v>40</v>
      </c>
      <c r="Q724" s="86">
        <f t="shared" ref="Q724:Q787" si="118">695-R724-O724-P724</f>
        <v>315</v>
      </c>
      <c r="R724" s="86">
        <f t="shared" ref="R724:R787" si="119">200-J724</f>
        <v>100</v>
      </c>
      <c r="S724" s="83">
        <f t="shared" ref="S724:S787" si="120">SUM(O724:R724)</f>
        <v>695</v>
      </c>
      <c r="T724" s="83">
        <f>'[2]GULFSTREAM NON-FIRM'!H735</f>
        <v>50</v>
      </c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</row>
    <row r="725" spans="1:30" ht="15.75" hidden="1" x14ac:dyDescent="0.25">
      <c r="A725" s="32">
        <v>63005</v>
      </c>
      <c r="B725" s="95">
        <f t="shared" si="110"/>
        <v>30</v>
      </c>
      <c r="C725" s="83">
        <f>'[2]FGT PRIMARY FIRM ZONE 1'!V736</f>
        <v>194.20499999999998</v>
      </c>
      <c r="D725" s="83">
        <f>'[2]FGT PRIMARY FIRM ZONE 2'!V736</f>
        <v>267.46600000000001</v>
      </c>
      <c r="E725" s="92">
        <f>'[2]FGT PRIMARY FIRM ZONE 3'!V736</f>
        <v>133.845</v>
      </c>
      <c r="F725" s="83">
        <f>'[2]FGT FIRM ZONE 3 MOBILE BAY-DES'!V736-40-25-60-100</f>
        <v>53.48399999999998</v>
      </c>
      <c r="G725" s="86">
        <v>40</v>
      </c>
      <c r="H725" s="83">
        <f t="shared" si="116"/>
        <v>185</v>
      </c>
      <c r="I725" s="83">
        <f t="shared" si="113"/>
        <v>0</v>
      </c>
      <c r="J725" s="86">
        <v>100</v>
      </c>
      <c r="K725" s="86">
        <v>300</v>
      </c>
      <c r="L725" s="83">
        <f t="shared" si="117"/>
        <v>1274</v>
      </c>
      <c r="M725" s="94">
        <v>600</v>
      </c>
      <c r="N725" s="83">
        <f>'[2]FGT NON-FIRM'!P736</f>
        <v>30</v>
      </c>
      <c r="O725" s="86">
        <v>240</v>
      </c>
      <c r="P725" s="86">
        <v>40</v>
      </c>
      <c r="Q725" s="86">
        <f t="shared" si="118"/>
        <v>315</v>
      </c>
      <c r="R725" s="86">
        <f t="shared" si="119"/>
        <v>100</v>
      </c>
      <c r="S725" s="83">
        <f t="shared" si="120"/>
        <v>695</v>
      </c>
      <c r="T725" s="83">
        <f>'[2]GULFSTREAM NON-FIRM'!H736</f>
        <v>50</v>
      </c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</row>
    <row r="726" spans="1:30" ht="15.75" hidden="1" x14ac:dyDescent="0.25">
      <c r="A726" s="32">
        <v>63036</v>
      </c>
      <c r="B726" s="95">
        <f t="shared" si="110"/>
        <v>31</v>
      </c>
      <c r="C726" s="83">
        <f>'[2]FGT PRIMARY FIRM ZONE 1'!V737</f>
        <v>194.20499999999998</v>
      </c>
      <c r="D726" s="83">
        <f>'[2]FGT PRIMARY FIRM ZONE 2'!V737</f>
        <v>267.46600000000001</v>
      </c>
      <c r="E726" s="92">
        <f>'[2]FGT PRIMARY FIRM ZONE 3'!V737</f>
        <v>133.845</v>
      </c>
      <c r="F726" s="83">
        <f>'[2]FGT FIRM ZONE 3 MOBILE BAY-DES'!V737-40-25-60-100</f>
        <v>53.48399999999998</v>
      </c>
      <c r="G726" s="86">
        <v>40</v>
      </c>
      <c r="H726" s="83">
        <f t="shared" si="116"/>
        <v>185</v>
      </c>
      <c r="I726" s="83">
        <f t="shared" si="113"/>
        <v>0</v>
      </c>
      <c r="J726" s="86">
        <v>100</v>
      </c>
      <c r="K726" s="86">
        <v>300</v>
      </c>
      <c r="L726" s="83">
        <f t="shared" si="117"/>
        <v>1274</v>
      </c>
      <c r="M726" s="94">
        <v>600</v>
      </c>
      <c r="N726" s="83">
        <f>'[2]FGT NON-FIRM'!P737</f>
        <v>30</v>
      </c>
      <c r="O726" s="86">
        <v>240</v>
      </c>
      <c r="P726" s="86">
        <v>40</v>
      </c>
      <c r="Q726" s="86">
        <f t="shared" si="118"/>
        <v>315</v>
      </c>
      <c r="R726" s="86">
        <f t="shared" si="119"/>
        <v>100</v>
      </c>
      <c r="S726" s="83">
        <f t="shared" si="120"/>
        <v>695</v>
      </c>
      <c r="T726" s="83">
        <f>'[2]GULFSTREAM NON-FIRM'!H737</f>
        <v>0</v>
      </c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</row>
    <row r="727" spans="1:30" ht="15.75" hidden="1" x14ac:dyDescent="0.25">
      <c r="A727" s="32">
        <v>63067</v>
      </c>
      <c r="B727" s="95">
        <f t="shared" si="110"/>
        <v>31</v>
      </c>
      <c r="C727" s="83">
        <f>'[2]FGT PRIMARY FIRM ZONE 1'!V738</f>
        <v>194.20499999999998</v>
      </c>
      <c r="D727" s="83">
        <f>'[2]FGT PRIMARY FIRM ZONE 2'!V738</f>
        <v>267.46600000000001</v>
      </c>
      <c r="E727" s="92">
        <f>'[2]FGT PRIMARY FIRM ZONE 3'!V738</f>
        <v>133.845</v>
      </c>
      <c r="F727" s="83">
        <f>'[2]FGT FIRM ZONE 3 MOBILE BAY-DES'!V738-40-25-60-100</f>
        <v>53.48399999999998</v>
      </c>
      <c r="G727" s="86">
        <v>40</v>
      </c>
      <c r="H727" s="83">
        <f t="shared" si="116"/>
        <v>185</v>
      </c>
      <c r="I727" s="83">
        <f t="shared" si="113"/>
        <v>0</v>
      </c>
      <c r="J727" s="86">
        <v>100</v>
      </c>
      <c r="K727" s="86">
        <v>300</v>
      </c>
      <c r="L727" s="83">
        <f t="shared" si="117"/>
        <v>1274</v>
      </c>
      <c r="M727" s="94">
        <v>600</v>
      </c>
      <c r="N727" s="83">
        <f>'[2]FGT NON-FIRM'!P738</f>
        <v>30</v>
      </c>
      <c r="O727" s="86">
        <v>240</v>
      </c>
      <c r="P727" s="86">
        <v>40</v>
      </c>
      <c r="Q727" s="86">
        <f t="shared" si="118"/>
        <v>315</v>
      </c>
      <c r="R727" s="86">
        <f t="shared" si="119"/>
        <v>100</v>
      </c>
      <c r="S727" s="83">
        <f t="shared" si="120"/>
        <v>695</v>
      </c>
      <c r="T727" s="83">
        <f>'[2]GULFSTREAM NON-FIRM'!H738</f>
        <v>0</v>
      </c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</row>
    <row r="728" spans="1:30" ht="15.75" hidden="1" x14ac:dyDescent="0.25">
      <c r="A728" s="32">
        <v>63097</v>
      </c>
      <c r="B728" s="95">
        <f t="shared" ref="B728:B791" si="121">EOMONTH(A728,0)-EOMONTH(A728,-1)</f>
        <v>30</v>
      </c>
      <c r="C728" s="83">
        <f>'[2]FGT PRIMARY FIRM ZONE 1'!V739</f>
        <v>194.20499999999998</v>
      </c>
      <c r="D728" s="83">
        <f>'[2]FGT PRIMARY FIRM ZONE 2'!V739</f>
        <v>267.46600000000001</v>
      </c>
      <c r="E728" s="92">
        <f>'[2]FGT PRIMARY FIRM ZONE 3'!V739</f>
        <v>133.845</v>
      </c>
      <c r="F728" s="83">
        <f>'[2]FGT FIRM ZONE 3 MOBILE BAY-DES'!V739-40-25-60-100</f>
        <v>53.48399999999998</v>
      </c>
      <c r="G728" s="86">
        <v>40</v>
      </c>
      <c r="H728" s="83">
        <f t="shared" si="116"/>
        <v>185</v>
      </c>
      <c r="I728" s="83">
        <f t="shared" si="113"/>
        <v>0</v>
      </c>
      <c r="J728" s="86">
        <v>100</v>
      </c>
      <c r="K728" s="86">
        <v>300</v>
      </c>
      <c r="L728" s="83">
        <f t="shared" si="117"/>
        <v>1274</v>
      </c>
      <c r="M728" s="94">
        <v>600</v>
      </c>
      <c r="N728" s="83">
        <f>'[2]FGT NON-FIRM'!P739</f>
        <v>30</v>
      </c>
      <c r="O728" s="86">
        <v>240</v>
      </c>
      <c r="P728" s="86">
        <v>40</v>
      </c>
      <c r="Q728" s="86">
        <f t="shared" si="118"/>
        <v>315</v>
      </c>
      <c r="R728" s="86">
        <f t="shared" si="119"/>
        <v>100</v>
      </c>
      <c r="S728" s="83">
        <f t="shared" si="120"/>
        <v>695</v>
      </c>
      <c r="T728" s="83">
        <f>'[2]GULFSTREAM NON-FIRM'!H739</f>
        <v>0</v>
      </c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</row>
    <row r="729" spans="1:30" ht="15.75" hidden="1" x14ac:dyDescent="0.25">
      <c r="A729" s="32">
        <v>63128</v>
      </c>
      <c r="B729" s="95">
        <f t="shared" si="121"/>
        <v>31</v>
      </c>
      <c r="C729" s="83">
        <f>'[2]FGT PRIMARY FIRM ZONE 1'!V740</f>
        <v>131.881</v>
      </c>
      <c r="D729" s="83">
        <f>'[2]FGT PRIMARY FIRM ZONE 2'!V740</f>
        <v>277.16699999999997</v>
      </c>
      <c r="E729" s="92">
        <f>'[2]FGT PRIMARY FIRM ZONE 3'!V740</f>
        <v>79.08</v>
      </c>
      <c r="F729" s="83">
        <f>'[2]FGT FIRM ZONE 3 MOBILE BAY-DES'!V740-40-25-60-100</f>
        <v>125.87199999999996</v>
      </c>
      <c r="G729" s="86">
        <v>40</v>
      </c>
      <c r="H729" s="83">
        <f t="shared" si="116"/>
        <v>185</v>
      </c>
      <c r="I729" s="83">
        <f t="shared" si="113"/>
        <v>0</v>
      </c>
      <c r="J729" s="86">
        <v>100</v>
      </c>
      <c r="K729" s="86">
        <v>300</v>
      </c>
      <c r="L729" s="83">
        <f t="shared" si="117"/>
        <v>1239</v>
      </c>
      <c r="M729" s="94">
        <v>600</v>
      </c>
      <c r="N729" s="83">
        <f>'[2]FGT NON-FIRM'!P740</f>
        <v>75</v>
      </c>
      <c r="O729" s="86">
        <v>240</v>
      </c>
      <c r="P729" s="86">
        <v>40</v>
      </c>
      <c r="Q729" s="86">
        <f t="shared" si="118"/>
        <v>315</v>
      </c>
      <c r="R729" s="86">
        <f t="shared" si="119"/>
        <v>100</v>
      </c>
      <c r="S729" s="83">
        <f t="shared" si="120"/>
        <v>695</v>
      </c>
      <c r="T729" s="83">
        <f>'[2]GULFSTREAM NON-FIRM'!H740</f>
        <v>0</v>
      </c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</row>
    <row r="730" spans="1:30" ht="15.75" hidden="1" x14ac:dyDescent="0.25">
      <c r="A730" s="32">
        <v>63158</v>
      </c>
      <c r="B730" s="95">
        <f t="shared" si="121"/>
        <v>30</v>
      </c>
      <c r="C730" s="83">
        <f>'[2]FGT PRIMARY FIRM ZONE 1'!V741</f>
        <v>122.58</v>
      </c>
      <c r="D730" s="83">
        <f>'[2]FGT PRIMARY FIRM ZONE 2'!V741</f>
        <v>297.94100000000003</v>
      </c>
      <c r="E730" s="92">
        <f>'[2]FGT PRIMARY FIRM ZONE 3'!V741</f>
        <v>89.177000000000007</v>
      </c>
      <c r="F730" s="83">
        <f>'[2]FGT FIRM ZONE 3 MOBILE BAY-DES'!V741-40-60-100</f>
        <v>40.301999999999992</v>
      </c>
      <c r="G730" s="86">
        <v>40</v>
      </c>
      <c r="H730" s="83">
        <f>60+100</f>
        <v>160</v>
      </c>
      <c r="I730" s="83">
        <f t="shared" si="113"/>
        <v>0</v>
      </c>
      <c r="J730" s="86">
        <v>100</v>
      </c>
      <c r="K730" s="86">
        <v>300</v>
      </c>
      <c r="L730" s="83">
        <f t="shared" si="117"/>
        <v>1150</v>
      </c>
      <c r="M730" s="94">
        <v>600</v>
      </c>
      <c r="N730" s="83">
        <f>'[2]FGT NON-FIRM'!P741</f>
        <v>100</v>
      </c>
      <c r="O730" s="86">
        <v>240</v>
      </c>
      <c r="P730" s="86">
        <v>40</v>
      </c>
      <c r="Q730" s="86">
        <f t="shared" si="118"/>
        <v>315</v>
      </c>
      <c r="R730" s="86">
        <f t="shared" si="119"/>
        <v>100</v>
      </c>
      <c r="S730" s="83">
        <f t="shared" si="120"/>
        <v>695</v>
      </c>
      <c r="T730" s="83">
        <f>'[2]GULFSTREAM NON-FIRM'!H741</f>
        <v>50</v>
      </c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</row>
    <row r="731" spans="1:30" ht="15.75" hidden="1" x14ac:dyDescent="0.25">
      <c r="A731" s="32">
        <v>63189</v>
      </c>
      <c r="B731" s="95">
        <f t="shared" si="121"/>
        <v>31</v>
      </c>
      <c r="C731" s="83">
        <f>'[2]FGT PRIMARY FIRM ZONE 1'!V742</f>
        <v>122.58</v>
      </c>
      <c r="D731" s="83">
        <f>'[2]FGT PRIMARY FIRM ZONE 2'!V742</f>
        <v>297.94100000000003</v>
      </c>
      <c r="E731" s="92">
        <f>'[2]FGT PRIMARY FIRM ZONE 3'!V742</f>
        <v>89.177000000000007</v>
      </c>
      <c r="F731" s="83">
        <f>'[2]FGT FIRM ZONE 3 MOBILE BAY-DES'!V742-40-60-100</f>
        <v>40.301999999999992</v>
      </c>
      <c r="G731" s="86">
        <v>40</v>
      </c>
      <c r="H731" s="83">
        <f>60+100</f>
        <v>160</v>
      </c>
      <c r="I731" s="83">
        <f t="shared" si="113"/>
        <v>0</v>
      </c>
      <c r="J731" s="86">
        <v>100</v>
      </c>
      <c r="K731" s="86">
        <v>300</v>
      </c>
      <c r="L731" s="83">
        <f t="shared" si="117"/>
        <v>1150</v>
      </c>
      <c r="M731" s="94">
        <v>600</v>
      </c>
      <c r="N731" s="83">
        <f>'[2]FGT NON-FIRM'!P742</f>
        <v>100</v>
      </c>
      <c r="O731" s="86">
        <v>240</v>
      </c>
      <c r="P731" s="86">
        <v>40</v>
      </c>
      <c r="Q731" s="86">
        <f t="shared" si="118"/>
        <v>315</v>
      </c>
      <c r="R731" s="86">
        <f t="shared" si="119"/>
        <v>100</v>
      </c>
      <c r="S731" s="83">
        <f t="shared" si="120"/>
        <v>695</v>
      </c>
      <c r="T731" s="83">
        <f>'[2]GULFSTREAM NON-FIRM'!H742</f>
        <v>50</v>
      </c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</row>
    <row r="732" spans="1:30" ht="15.75" hidden="1" x14ac:dyDescent="0.25">
      <c r="A732" s="32">
        <v>63220</v>
      </c>
      <c r="B732" s="95">
        <f t="shared" si="121"/>
        <v>31</v>
      </c>
      <c r="C732" s="83">
        <f>'[2]FGT PRIMARY FIRM ZONE 1'!V743</f>
        <v>122.58</v>
      </c>
      <c r="D732" s="83">
        <f>'[2]FGT PRIMARY FIRM ZONE 2'!V743</f>
        <v>297.94100000000003</v>
      </c>
      <c r="E732" s="92">
        <f>'[2]FGT PRIMARY FIRM ZONE 3'!V743</f>
        <v>89.177000000000007</v>
      </c>
      <c r="F732" s="83">
        <f>'[2]FGT FIRM ZONE 3 MOBILE BAY-DES'!V743-40-60-100</f>
        <v>40.301999999999992</v>
      </c>
      <c r="G732" s="86">
        <v>40</v>
      </c>
      <c r="H732" s="83">
        <f>60+100</f>
        <v>160</v>
      </c>
      <c r="I732" s="83">
        <f t="shared" si="113"/>
        <v>0</v>
      </c>
      <c r="J732" s="86">
        <v>100</v>
      </c>
      <c r="K732" s="86">
        <v>300</v>
      </c>
      <c r="L732" s="83">
        <f t="shared" si="117"/>
        <v>1150</v>
      </c>
      <c r="M732" s="94">
        <v>600</v>
      </c>
      <c r="N732" s="83">
        <f>'[2]FGT NON-FIRM'!P743</f>
        <v>100</v>
      </c>
      <c r="O732" s="86">
        <v>240</v>
      </c>
      <c r="P732" s="86">
        <v>40</v>
      </c>
      <c r="Q732" s="86">
        <f t="shared" si="118"/>
        <v>315</v>
      </c>
      <c r="R732" s="86">
        <f t="shared" si="119"/>
        <v>100</v>
      </c>
      <c r="S732" s="83">
        <f t="shared" si="120"/>
        <v>695</v>
      </c>
      <c r="T732" s="83">
        <f>'[2]GULFSTREAM NON-FIRM'!H743</f>
        <v>50</v>
      </c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</row>
    <row r="733" spans="1:30" ht="15.75" hidden="1" x14ac:dyDescent="0.25">
      <c r="A733" s="32">
        <v>63248</v>
      </c>
      <c r="B733" s="95">
        <f t="shared" si="121"/>
        <v>28</v>
      </c>
      <c r="C733" s="83">
        <f>'[2]FGT PRIMARY FIRM ZONE 1'!V744</f>
        <v>122.58</v>
      </c>
      <c r="D733" s="83">
        <f>'[2]FGT PRIMARY FIRM ZONE 2'!V744</f>
        <v>297.94100000000003</v>
      </c>
      <c r="E733" s="92">
        <f>'[2]FGT PRIMARY FIRM ZONE 3'!V744</f>
        <v>89.177000000000007</v>
      </c>
      <c r="F733" s="83">
        <f>'[2]FGT FIRM ZONE 3 MOBILE BAY-DES'!V744-40-60-100</f>
        <v>40.301999999999992</v>
      </c>
      <c r="G733" s="86">
        <v>40</v>
      </c>
      <c r="H733" s="83">
        <f>60+100</f>
        <v>160</v>
      </c>
      <c r="I733" s="83">
        <f t="shared" si="113"/>
        <v>0</v>
      </c>
      <c r="J733" s="86">
        <v>100</v>
      </c>
      <c r="K733" s="86">
        <v>300</v>
      </c>
      <c r="L733" s="83">
        <f t="shared" si="117"/>
        <v>1150</v>
      </c>
      <c r="M733" s="94">
        <v>600</v>
      </c>
      <c r="N733" s="83">
        <f>'[2]FGT NON-FIRM'!P744</f>
        <v>100</v>
      </c>
      <c r="O733" s="86">
        <v>240</v>
      </c>
      <c r="P733" s="86">
        <v>40</v>
      </c>
      <c r="Q733" s="86">
        <f t="shared" si="118"/>
        <v>315</v>
      </c>
      <c r="R733" s="86">
        <f t="shared" si="119"/>
        <v>100</v>
      </c>
      <c r="S733" s="83">
        <f t="shared" si="120"/>
        <v>695</v>
      </c>
      <c r="T733" s="83">
        <f>'[2]GULFSTREAM NON-FIRM'!H744</f>
        <v>50</v>
      </c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</row>
    <row r="734" spans="1:30" ht="15.75" hidden="1" x14ac:dyDescent="0.25">
      <c r="A734" s="32">
        <v>63279</v>
      </c>
      <c r="B734" s="95">
        <f t="shared" si="121"/>
        <v>31</v>
      </c>
      <c r="C734" s="83">
        <f>'[2]FGT PRIMARY FIRM ZONE 1'!V745</f>
        <v>122.58</v>
      </c>
      <c r="D734" s="83">
        <f>'[2]FGT PRIMARY FIRM ZONE 2'!V745</f>
        <v>297.94100000000003</v>
      </c>
      <c r="E734" s="92">
        <f>'[2]FGT PRIMARY FIRM ZONE 3'!V745</f>
        <v>89.177000000000007</v>
      </c>
      <c r="F734" s="83">
        <f>'[2]FGT FIRM ZONE 3 MOBILE BAY-DES'!V745-40-60-100</f>
        <v>40.301999999999992</v>
      </c>
      <c r="G734" s="86">
        <v>40</v>
      </c>
      <c r="H734" s="83">
        <f>60+100</f>
        <v>160</v>
      </c>
      <c r="I734" s="83">
        <f t="shared" si="113"/>
        <v>0</v>
      </c>
      <c r="J734" s="86">
        <v>100</v>
      </c>
      <c r="K734" s="86">
        <v>300</v>
      </c>
      <c r="L734" s="83">
        <f t="shared" si="117"/>
        <v>1150</v>
      </c>
      <c r="M734" s="94">
        <v>600</v>
      </c>
      <c r="N734" s="83">
        <f>'[2]FGT NON-FIRM'!P745</f>
        <v>100</v>
      </c>
      <c r="O734" s="86">
        <v>240</v>
      </c>
      <c r="P734" s="86">
        <v>40</v>
      </c>
      <c r="Q734" s="86">
        <f t="shared" si="118"/>
        <v>315</v>
      </c>
      <c r="R734" s="86">
        <f t="shared" si="119"/>
        <v>100</v>
      </c>
      <c r="S734" s="83">
        <f t="shared" si="120"/>
        <v>695</v>
      </c>
      <c r="T734" s="83">
        <f>'[2]GULFSTREAM NON-FIRM'!H745</f>
        <v>50</v>
      </c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</row>
    <row r="735" spans="1:30" ht="15.75" hidden="1" x14ac:dyDescent="0.25">
      <c r="A735" s="32">
        <v>63309</v>
      </c>
      <c r="B735" s="95">
        <f t="shared" si="121"/>
        <v>30</v>
      </c>
      <c r="C735" s="83">
        <f>'[2]FGT PRIMARY FIRM ZONE 1'!V746</f>
        <v>141.29300000000001</v>
      </c>
      <c r="D735" s="83">
        <f>'[2]FGT PRIMARY FIRM ZONE 2'!V746</f>
        <v>267.99299999999999</v>
      </c>
      <c r="E735" s="92">
        <f>'[2]FGT PRIMARY FIRM ZONE 3'!V746</f>
        <v>115.01600000000001</v>
      </c>
      <c r="F735" s="83">
        <f>'[2]FGT FIRM ZONE 3 MOBILE BAY-DES'!V746-40-25-60-100</f>
        <v>89.698000000000036</v>
      </c>
      <c r="G735" s="86">
        <v>40</v>
      </c>
      <c r="H735" s="83">
        <f t="shared" ref="H735:H741" si="122">25+60+100</f>
        <v>185</v>
      </c>
      <c r="I735" s="83">
        <f t="shared" si="113"/>
        <v>0</v>
      </c>
      <c r="J735" s="86">
        <v>100</v>
      </c>
      <c r="K735" s="86">
        <v>300</v>
      </c>
      <c r="L735" s="83">
        <f t="shared" si="117"/>
        <v>1239</v>
      </c>
      <c r="M735" s="94">
        <v>600</v>
      </c>
      <c r="N735" s="83">
        <f>'[2]FGT NON-FIRM'!P746</f>
        <v>100</v>
      </c>
      <c r="O735" s="86">
        <v>240</v>
      </c>
      <c r="P735" s="86">
        <v>40</v>
      </c>
      <c r="Q735" s="86">
        <f t="shared" si="118"/>
        <v>315</v>
      </c>
      <c r="R735" s="86">
        <f t="shared" si="119"/>
        <v>100</v>
      </c>
      <c r="S735" s="83">
        <f t="shared" si="120"/>
        <v>695</v>
      </c>
      <c r="T735" s="83">
        <f>'[2]GULFSTREAM NON-FIRM'!H746</f>
        <v>50</v>
      </c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</row>
    <row r="736" spans="1:30" ht="15.75" hidden="1" x14ac:dyDescent="0.25">
      <c r="A736" s="32">
        <v>63340</v>
      </c>
      <c r="B736" s="95">
        <f t="shared" si="121"/>
        <v>31</v>
      </c>
      <c r="C736" s="83">
        <f>'[2]FGT PRIMARY FIRM ZONE 1'!V747</f>
        <v>194.20499999999998</v>
      </c>
      <c r="D736" s="83">
        <f>'[2]FGT PRIMARY FIRM ZONE 2'!V747</f>
        <v>267.46600000000001</v>
      </c>
      <c r="E736" s="92">
        <f>'[2]FGT PRIMARY FIRM ZONE 3'!V747</f>
        <v>133.845</v>
      </c>
      <c r="F736" s="83">
        <f>'[2]FGT FIRM ZONE 3 MOBILE BAY-DES'!V747-40-25-60-100</f>
        <v>53.48399999999998</v>
      </c>
      <c r="G736" s="86">
        <v>40</v>
      </c>
      <c r="H736" s="83">
        <f t="shared" si="122"/>
        <v>185</v>
      </c>
      <c r="I736" s="83">
        <f t="shared" si="113"/>
        <v>0</v>
      </c>
      <c r="J736" s="86">
        <v>100</v>
      </c>
      <c r="K736" s="86">
        <v>300</v>
      </c>
      <c r="L736" s="83">
        <f t="shared" si="117"/>
        <v>1274</v>
      </c>
      <c r="M736" s="94">
        <v>600</v>
      </c>
      <c r="N736" s="83">
        <f>'[2]FGT NON-FIRM'!P747</f>
        <v>75</v>
      </c>
      <c r="O736" s="86">
        <v>240</v>
      </c>
      <c r="P736" s="86">
        <v>40</v>
      </c>
      <c r="Q736" s="86">
        <f t="shared" si="118"/>
        <v>315</v>
      </c>
      <c r="R736" s="86">
        <f t="shared" si="119"/>
        <v>100</v>
      </c>
      <c r="S736" s="83">
        <f t="shared" si="120"/>
        <v>695</v>
      </c>
      <c r="T736" s="83">
        <f>'[2]GULFSTREAM NON-FIRM'!H747</f>
        <v>50</v>
      </c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</row>
    <row r="737" spans="1:30" ht="15.75" hidden="1" x14ac:dyDescent="0.25">
      <c r="A737" s="32">
        <v>63370</v>
      </c>
      <c r="B737" s="95">
        <f t="shared" si="121"/>
        <v>30</v>
      </c>
      <c r="C737" s="83">
        <f>'[2]FGT PRIMARY FIRM ZONE 1'!V748</f>
        <v>194.20499999999998</v>
      </c>
      <c r="D737" s="83">
        <f>'[2]FGT PRIMARY FIRM ZONE 2'!V748</f>
        <v>267.46600000000001</v>
      </c>
      <c r="E737" s="92">
        <f>'[2]FGT PRIMARY FIRM ZONE 3'!V748</f>
        <v>133.845</v>
      </c>
      <c r="F737" s="83">
        <f>'[2]FGT FIRM ZONE 3 MOBILE BAY-DES'!V748-40-25-60-100</f>
        <v>53.48399999999998</v>
      </c>
      <c r="G737" s="86">
        <v>40</v>
      </c>
      <c r="H737" s="83">
        <f t="shared" si="122"/>
        <v>185</v>
      </c>
      <c r="I737" s="83">
        <f t="shared" si="113"/>
        <v>0</v>
      </c>
      <c r="J737" s="86">
        <v>100</v>
      </c>
      <c r="K737" s="86">
        <v>300</v>
      </c>
      <c r="L737" s="83">
        <f t="shared" si="117"/>
        <v>1274</v>
      </c>
      <c r="M737" s="94">
        <v>600</v>
      </c>
      <c r="N737" s="83">
        <f>'[2]FGT NON-FIRM'!P748</f>
        <v>30</v>
      </c>
      <c r="O737" s="86">
        <v>240</v>
      </c>
      <c r="P737" s="86">
        <v>40</v>
      </c>
      <c r="Q737" s="86">
        <f t="shared" si="118"/>
        <v>315</v>
      </c>
      <c r="R737" s="86">
        <f t="shared" si="119"/>
        <v>100</v>
      </c>
      <c r="S737" s="83">
        <f t="shared" si="120"/>
        <v>695</v>
      </c>
      <c r="T737" s="83">
        <f>'[2]GULFSTREAM NON-FIRM'!H748</f>
        <v>50</v>
      </c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</row>
    <row r="738" spans="1:30" ht="15.75" hidden="1" x14ac:dyDescent="0.25">
      <c r="A738" s="32">
        <v>63401</v>
      </c>
      <c r="B738" s="95">
        <f t="shared" si="121"/>
        <v>31</v>
      </c>
      <c r="C738" s="83">
        <f>'[2]FGT PRIMARY FIRM ZONE 1'!V749</f>
        <v>194.20499999999998</v>
      </c>
      <c r="D738" s="83">
        <f>'[2]FGT PRIMARY FIRM ZONE 2'!V749</f>
        <v>267.46600000000001</v>
      </c>
      <c r="E738" s="92">
        <f>'[2]FGT PRIMARY FIRM ZONE 3'!V749</f>
        <v>133.845</v>
      </c>
      <c r="F738" s="83">
        <f>'[2]FGT FIRM ZONE 3 MOBILE BAY-DES'!V749-40-25-60-100</f>
        <v>53.48399999999998</v>
      </c>
      <c r="G738" s="86">
        <v>40</v>
      </c>
      <c r="H738" s="83">
        <f t="shared" si="122"/>
        <v>185</v>
      </c>
      <c r="I738" s="83">
        <f t="shared" si="113"/>
        <v>0</v>
      </c>
      <c r="J738" s="86">
        <v>100</v>
      </c>
      <c r="K738" s="86">
        <v>300</v>
      </c>
      <c r="L738" s="83">
        <f t="shared" si="117"/>
        <v>1274</v>
      </c>
      <c r="M738" s="94">
        <v>600</v>
      </c>
      <c r="N738" s="83">
        <f>'[2]FGT NON-FIRM'!P749</f>
        <v>30</v>
      </c>
      <c r="O738" s="86">
        <v>240</v>
      </c>
      <c r="P738" s="86">
        <v>40</v>
      </c>
      <c r="Q738" s="86">
        <f t="shared" si="118"/>
        <v>315</v>
      </c>
      <c r="R738" s="86">
        <f t="shared" si="119"/>
        <v>100</v>
      </c>
      <c r="S738" s="83">
        <f t="shared" si="120"/>
        <v>695</v>
      </c>
      <c r="T738" s="83">
        <f>'[2]GULFSTREAM NON-FIRM'!H749</f>
        <v>0</v>
      </c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</row>
    <row r="739" spans="1:30" ht="15.75" hidden="1" x14ac:dyDescent="0.25">
      <c r="A739" s="32">
        <v>63432</v>
      </c>
      <c r="B739" s="95">
        <f t="shared" si="121"/>
        <v>31</v>
      </c>
      <c r="C739" s="83">
        <f>'[2]FGT PRIMARY FIRM ZONE 1'!V750</f>
        <v>194.20499999999998</v>
      </c>
      <c r="D739" s="83">
        <f>'[2]FGT PRIMARY FIRM ZONE 2'!V750</f>
        <v>267.46600000000001</v>
      </c>
      <c r="E739" s="92">
        <f>'[2]FGT PRIMARY FIRM ZONE 3'!V750</f>
        <v>133.845</v>
      </c>
      <c r="F739" s="83">
        <f>'[2]FGT FIRM ZONE 3 MOBILE BAY-DES'!V750-40-25-60-100</f>
        <v>53.48399999999998</v>
      </c>
      <c r="G739" s="86">
        <v>40</v>
      </c>
      <c r="H739" s="83">
        <f t="shared" si="122"/>
        <v>185</v>
      </c>
      <c r="I739" s="83">
        <f t="shared" si="113"/>
        <v>0</v>
      </c>
      <c r="J739" s="86">
        <v>100</v>
      </c>
      <c r="K739" s="86">
        <v>300</v>
      </c>
      <c r="L739" s="83">
        <f t="shared" si="117"/>
        <v>1274</v>
      </c>
      <c r="M739" s="94">
        <v>600</v>
      </c>
      <c r="N739" s="83">
        <f>'[2]FGT NON-FIRM'!P750</f>
        <v>30</v>
      </c>
      <c r="O739" s="86">
        <v>240</v>
      </c>
      <c r="P739" s="86">
        <v>40</v>
      </c>
      <c r="Q739" s="86">
        <f t="shared" si="118"/>
        <v>315</v>
      </c>
      <c r="R739" s="86">
        <f t="shared" si="119"/>
        <v>100</v>
      </c>
      <c r="S739" s="83">
        <f t="shared" si="120"/>
        <v>695</v>
      </c>
      <c r="T739" s="83">
        <f>'[2]GULFSTREAM NON-FIRM'!H750</f>
        <v>0</v>
      </c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</row>
    <row r="740" spans="1:30" ht="15.75" hidden="1" x14ac:dyDescent="0.25">
      <c r="A740" s="32">
        <v>63462</v>
      </c>
      <c r="B740" s="95">
        <f t="shared" si="121"/>
        <v>30</v>
      </c>
      <c r="C740" s="83">
        <f>'[2]FGT PRIMARY FIRM ZONE 1'!V751</f>
        <v>194.20499999999998</v>
      </c>
      <c r="D740" s="83">
        <f>'[2]FGT PRIMARY FIRM ZONE 2'!V751</f>
        <v>267.46600000000001</v>
      </c>
      <c r="E740" s="92">
        <f>'[2]FGT PRIMARY FIRM ZONE 3'!V751</f>
        <v>133.845</v>
      </c>
      <c r="F740" s="83">
        <f>'[2]FGT FIRM ZONE 3 MOBILE BAY-DES'!V751-40-25-60-100</f>
        <v>53.48399999999998</v>
      </c>
      <c r="G740" s="86">
        <v>40</v>
      </c>
      <c r="H740" s="83">
        <f t="shared" si="122"/>
        <v>185</v>
      </c>
      <c r="I740" s="83">
        <f t="shared" si="113"/>
        <v>0</v>
      </c>
      <c r="J740" s="86">
        <v>100</v>
      </c>
      <c r="K740" s="86">
        <v>300</v>
      </c>
      <c r="L740" s="83">
        <f t="shared" si="117"/>
        <v>1274</v>
      </c>
      <c r="M740" s="94">
        <v>600</v>
      </c>
      <c r="N740" s="83">
        <f>'[2]FGT NON-FIRM'!P751</f>
        <v>30</v>
      </c>
      <c r="O740" s="86">
        <v>240</v>
      </c>
      <c r="P740" s="86">
        <v>40</v>
      </c>
      <c r="Q740" s="86">
        <f t="shared" si="118"/>
        <v>315</v>
      </c>
      <c r="R740" s="86">
        <f t="shared" si="119"/>
        <v>100</v>
      </c>
      <c r="S740" s="83">
        <f t="shared" si="120"/>
        <v>695</v>
      </c>
      <c r="T740" s="83">
        <f>'[2]GULFSTREAM NON-FIRM'!H751</f>
        <v>0</v>
      </c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</row>
    <row r="741" spans="1:30" ht="15.75" hidden="1" x14ac:dyDescent="0.25">
      <c r="A741" s="32">
        <v>63493</v>
      </c>
      <c r="B741" s="95">
        <f t="shared" si="121"/>
        <v>31</v>
      </c>
      <c r="C741" s="83">
        <f>'[2]FGT PRIMARY FIRM ZONE 1'!V752</f>
        <v>131.881</v>
      </c>
      <c r="D741" s="83">
        <f>'[2]FGT PRIMARY FIRM ZONE 2'!V752</f>
        <v>277.16699999999997</v>
      </c>
      <c r="E741" s="92">
        <f>'[2]FGT PRIMARY FIRM ZONE 3'!V752</f>
        <v>79.08</v>
      </c>
      <c r="F741" s="83">
        <f>'[2]FGT FIRM ZONE 3 MOBILE BAY-DES'!V752-40-25-60-100</f>
        <v>125.87199999999996</v>
      </c>
      <c r="G741" s="86">
        <v>40</v>
      </c>
      <c r="H741" s="83">
        <f t="shared" si="122"/>
        <v>185</v>
      </c>
      <c r="I741" s="83">
        <f t="shared" si="113"/>
        <v>0</v>
      </c>
      <c r="J741" s="86">
        <v>100</v>
      </c>
      <c r="K741" s="86">
        <v>300</v>
      </c>
      <c r="L741" s="83">
        <f t="shared" si="117"/>
        <v>1239</v>
      </c>
      <c r="M741" s="94">
        <v>600</v>
      </c>
      <c r="N741" s="83">
        <f>'[2]FGT NON-FIRM'!P752</f>
        <v>75</v>
      </c>
      <c r="O741" s="86">
        <v>240</v>
      </c>
      <c r="P741" s="86">
        <v>40</v>
      </c>
      <c r="Q741" s="86">
        <f t="shared" si="118"/>
        <v>315</v>
      </c>
      <c r="R741" s="86">
        <f t="shared" si="119"/>
        <v>100</v>
      </c>
      <c r="S741" s="83">
        <f t="shared" si="120"/>
        <v>695</v>
      </c>
      <c r="T741" s="83">
        <f>'[2]GULFSTREAM NON-FIRM'!H752</f>
        <v>0</v>
      </c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</row>
    <row r="742" spans="1:30" ht="15.75" hidden="1" x14ac:dyDescent="0.25">
      <c r="A742" s="32">
        <v>63523</v>
      </c>
      <c r="B742" s="95">
        <f t="shared" si="121"/>
        <v>30</v>
      </c>
      <c r="C742" s="83">
        <f>'[2]FGT PRIMARY FIRM ZONE 1'!V753</f>
        <v>122.58</v>
      </c>
      <c r="D742" s="83">
        <f>'[2]FGT PRIMARY FIRM ZONE 2'!V753</f>
        <v>297.94100000000003</v>
      </c>
      <c r="E742" s="92">
        <f>'[2]FGT PRIMARY FIRM ZONE 3'!V753</f>
        <v>89.177000000000007</v>
      </c>
      <c r="F742" s="83">
        <f>'[2]FGT FIRM ZONE 3 MOBILE BAY-DES'!V753-40-60-100</f>
        <v>40.301999999999992</v>
      </c>
      <c r="G742" s="86">
        <v>40</v>
      </c>
      <c r="H742" s="83">
        <f>60+100</f>
        <v>160</v>
      </c>
      <c r="I742" s="83">
        <f t="shared" si="113"/>
        <v>0</v>
      </c>
      <c r="J742" s="86">
        <v>100</v>
      </c>
      <c r="K742" s="86">
        <v>300</v>
      </c>
      <c r="L742" s="83">
        <f t="shared" si="117"/>
        <v>1150</v>
      </c>
      <c r="M742" s="94">
        <v>600</v>
      </c>
      <c r="N742" s="83">
        <f>'[2]FGT NON-FIRM'!P753</f>
        <v>100</v>
      </c>
      <c r="O742" s="86">
        <v>240</v>
      </c>
      <c r="P742" s="86">
        <v>40</v>
      </c>
      <c r="Q742" s="86">
        <f t="shared" si="118"/>
        <v>315</v>
      </c>
      <c r="R742" s="86">
        <f t="shared" si="119"/>
        <v>100</v>
      </c>
      <c r="S742" s="83">
        <f t="shared" si="120"/>
        <v>695</v>
      </c>
      <c r="T742" s="83">
        <f>'[2]GULFSTREAM NON-FIRM'!H753</f>
        <v>50</v>
      </c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</row>
    <row r="743" spans="1:30" ht="15.75" hidden="1" x14ac:dyDescent="0.25">
      <c r="A743" s="32">
        <v>63554</v>
      </c>
      <c r="B743" s="95">
        <f t="shared" si="121"/>
        <v>31</v>
      </c>
      <c r="C743" s="83">
        <f>'[2]FGT PRIMARY FIRM ZONE 1'!V754</f>
        <v>122.58</v>
      </c>
      <c r="D743" s="83">
        <f>'[2]FGT PRIMARY FIRM ZONE 2'!V754</f>
        <v>297.94100000000003</v>
      </c>
      <c r="E743" s="92">
        <f>'[2]FGT PRIMARY FIRM ZONE 3'!V754</f>
        <v>89.177000000000007</v>
      </c>
      <c r="F743" s="83">
        <f>'[2]FGT FIRM ZONE 3 MOBILE BAY-DES'!V754-40-60-100</f>
        <v>40.301999999999992</v>
      </c>
      <c r="G743" s="86">
        <v>40</v>
      </c>
      <c r="H743" s="83">
        <f>60+100</f>
        <v>160</v>
      </c>
      <c r="I743" s="83">
        <f t="shared" si="113"/>
        <v>0</v>
      </c>
      <c r="J743" s="86">
        <v>100</v>
      </c>
      <c r="K743" s="86">
        <v>300</v>
      </c>
      <c r="L743" s="83">
        <f t="shared" si="117"/>
        <v>1150</v>
      </c>
      <c r="M743" s="94">
        <v>600</v>
      </c>
      <c r="N743" s="83">
        <f>'[2]FGT NON-FIRM'!P754</f>
        <v>100</v>
      </c>
      <c r="O743" s="86">
        <v>240</v>
      </c>
      <c r="P743" s="86">
        <v>40</v>
      </c>
      <c r="Q743" s="86">
        <f t="shared" si="118"/>
        <v>315</v>
      </c>
      <c r="R743" s="86">
        <f t="shared" si="119"/>
        <v>100</v>
      </c>
      <c r="S743" s="83">
        <f t="shared" si="120"/>
        <v>695</v>
      </c>
      <c r="T743" s="83">
        <f>'[2]GULFSTREAM NON-FIRM'!H754</f>
        <v>50</v>
      </c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</row>
    <row r="744" spans="1:30" ht="15.75" hidden="1" x14ac:dyDescent="0.25">
      <c r="A744" s="32">
        <v>63585</v>
      </c>
      <c r="B744" s="95">
        <f t="shared" si="121"/>
        <v>31</v>
      </c>
      <c r="C744" s="83">
        <f>'[2]FGT PRIMARY FIRM ZONE 1'!V755</f>
        <v>122.58</v>
      </c>
      <c r="D744" s="83">
        <f>'[2]FGT PRIMARY FIRM ZONE 2'!V755</f>
        <v>297.94100000000003</v>
      </c>
      <c r="E744" s="92">
        <f>'[2]FGT PRIMARY FIRM ZONE 3'!V755</f>
        <v>89.177000000000007</v>
      </c>
      <c r="F744" s="83">
        <f>'[2]FGT FIRM ZONE 3 MOBILE BAY-DES'!V755-40-60-100</f>
        <v>40.301999999999992</v>
      </c>
      <c r="G744" s="86">
        <v>40</v>
      </c>
      <c r="H744" s="83">
        <f>60+100</f>
        <v>160</v>
      </c>
      <c r="I744" s="83">
        <f t="shared" si="113"/>
        <v>0</v>
      </c>
      <c r="J744" s="86">
        <v>100</v>
      </c>
      <c r="K744" s="86">
        <v>300</v>
      </c>
      <c r="L744" s="83">
        <f t="shared" si="117"/>
        <v>1150</v>
      </c>
      <c r="M744" s="94">
        <v>600</v>
      </c>
      <c r="N744" s="83">
        <f>'[2]FGT NON-FIRM'!P755</f>
        <v>100</v>
      </c>
      <c r="O744" s="86">
        <v>240</v>
      </c>
      <c r="P744" s="86">
        <v>40</v>
      </c>
      <c r="Q744" s="86">
        <f t="shared" si="118"/>
        <v>315</v>
      </c>
      <c r="R744" s="86">
        <f t="shared" si="119"/>
        <v>100</v>
      </c>
      <c r="S744" s="83">
        <f t="shared" si="120"/>
        <v>695</v>
      </c>
      <c r="T744" s="83">
        <f>'[2]GULFSTREAM NON-FIRM'!H755</f>
        <v>50</v>
      </c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</row>
    <row r="745" spans="1:30" ht="15.75" hidden="1" x14ac:dyDescent="0.25">
      <c r="A745" s="32">
        <v>63613</v>
      </c>
      <c r="B745" s="95">
        <f t="shared" si="121"/>
        <v>28</v>
      </c>
      <c r="C745" s="83">
        <f>'[2]FGT PRIMARY FIRM ZONE 1'!V756</f>
        <v>122.58</v>
      </c>
      <c r="D745" s="83">
        <f>'[2]FGT PRIMARY FIRM ZONE 2'!V756</f>
        <v>297.94100000000003</v>
      </c>
      <c r="E745" s="92">
        <f>'[2]FGT PRIMARY FIRM ZONE 3'!V756</f>
        <v>89.177000000000007</v>
      </c>
      <c r="F745" s="83">
        <f>'[2]FGT FIRM ZONE 3 MOBILE BAY-DES'!V756-40-60-100</f>
        <v>40.301999999999992</v>
      </c>
      <c r="G745" s="86">
        <v>40</v>
      </c>
      <c r="H745" s="83">
        <f>60+100</f>
        <v>160</v>
      </c>
      <c r="I745" s="83">
        <f t="shared" si="113"/>
        <v>0</v>
      </c>
      <c r="J745" s="86">
        <v>100</v>
      </c>
      <c r="K745" s="86">
        <v>300</v>
      </c>
      <c r="L745" s="83">
        <f t="shared" si="117"/>
        <v>1150</v>
      </c>
      <c r="M745" s="94">
        <v>600</v>
      </c>
      <c r="N745" s="83">
        <f>'[2]FGT NON-FIRM'!P756</f>
        <v>100</v>
      </c>
      <c r="O745" s="86">
        <v>240</v>
      </c>
      <c r="P745" s="86">
        <v>40</v>
      </c>
      <c r="Q745" s="86">
        <f t="shared" si="118"/>
        <v>315</v>
      </c>
      <c r="R745" s="86">
        <f t="shared" si="119"/>
        <v>100</v>
      </c>
      <c r="S745" s="83">
        <f t="shared" si="120"/>
        <v>695</v>
      </c>
      <c r="T745" s="83">
        <f>'[2]GULFSTREAM NON-FIRM'!H756</f>
        <v>50</v>
      </c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</row>
    <row r="746" spans="1:30" ht="15.75" hidden="1" x14ac:dyDescent="0.25">
      <c r="A746" s="32">
        <v>63644</v>
      </c>
      <c r="B746" s="95">
        <f t="shared" si="121"/>
        <v>31</v>
      </c>
      <c r="C746" s="83">
        <f>'[2]FGT PRIMARY FIRM ZONE 1'!V757</f>
        <v>122.58</v>
      </c>
      <c r="D746" s="83">
        <f>'[2]FGT PRIMARY FIRM ZONE 2'!V757</f>
        <v>297.94100000000003</v>
      </c>
      <c r="E746" s="92">
        <f>'[2]FGT PRIMARY FIRM ZONE 3'!V757</f>
        <v>89.177000000000007</v>
      </c>
      <c r="F746" s="83">
        <f>'[2]FGT FIRM ZONE 3 MOBILE BAY-DES'!V757-40-60-100</f>
        <v>40.301999999999992</v>
      </c>
      <c r="G746" s="86">
        <v>40</v>
      </c>
      <c r="H746" s="83">
        <f>60+100</f>
        <v>160</v>
      </c>
      <c r="I746" s="83">
        <f t="shared" si="113"/>
        <v>0</v>
      </c>
      <c r="J746" s="86">
        <v>100</v>
      </c>
      <c r="K746" s="86">
        <v>300</v>
      </c>
      <c r="L746" s="83">
        <f t="shared" si="117"/>
        <v>1150</v>
      </c>
      <c r="M746" s="94">
        <v>600</v>
      </c>
      <c r="N746" s="83">
        <f>'[2]FGT NON-FIRM'!P757</f>
        <v>100</v>
      </c>
      <c r="O746" s="86">
        <v>240</v>
      </c>
      <c r="P746" s="86">
        <v>40</v>
      </c>
      <c r="Q746" s="86">
        <f t="shared" si="118"/>
        <v>315</v>
      </c>
      <c r="R746" s="86">
        <f t="shared" si="119"/>
        <v>100</v>
      </c>
      <c r="S746" s="83">
        <f t="shared" si="120"/>
        <v>695</v>
      </c>
      <c r="T746" s="83">
        <f>'[2]GULFSTREAM NON-FIRM'!H757</f>
        <v>50</v>
      </c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</row>
    <row r="747" spans="1:30" ht="15.75" hidden="1" x14ac:dyDescent="0.25">
      <c r="A747" s="32">
        <v>63674</v>
      </c>
      <c r="B747" s="95">
        <f t="shared" si="121"/>
        <v>30</v>
      </c>
      <c r="C747" s="83">
        <f>'[2]FGT PRIMARY FIRM ZONE 1'!V758</f>
        <v>141.29300000000001</v>
      </c>
      <c r="D747" s="83">
        <f>'[2]FGT PRIMARY FIRM ZONE 2'!V758</f>
        <v>267.99299999999999</v>
      </c>
      <c r="E747" s="92">
        <f>'[2]FGT PRIMARY FIRM ZONE 3'!V758</f>
        <v>115.01600000000001</v>
      </c>
      <c r="F747" s="83">
        <f>'[2]FGT FIRM ZONE 3 MOBILE BAY-DES'!V758-40-25-60-100</f>
        <v>89.698000000000036</v>
      </c>
      <c r="G747" s="86">
        <v>40</v>
      </c>
      <c r="H747" s="83">
        <f t="shared" ref="H747:H753" si="123">25+60+100</f>
        <v>185</v>
      </c>
      <c r="I747" s="83">
        <f t="shared" si="113"/>
        <v>0</v>
      </c>
      <c r="J747" s="86">
        <v>100</v>
      </c>
      <c r="K747" s="86">
        <v>300</v>
      </c>
      <c r="L747" s="83">
        <f t="shared" si="117"/>
        <v>1239</v>
      </c>
      <c r="M747" s="94">
        <v>600</v>
      </c>
      <c r="N747" s="83">
        <f>'[2]FGT NON-FIRM'!P758</f>
        <v>100</v>
      </c>
      <c r="O747" s="86">
        <v>240</v>
      </c>
      <c r="P747" s="86">
        <v>40</v>
      </c>
      <c r="Q747" s="86">
        <f t="shared" si="118"/>
        <v>315</v>
      </c>
      <c r="R747" s="86">
        <f t="shared" si="119"/>
        <v>100</v>
      </c>
      <c r="S747" s="83">
        <f t="shared" si="120"/>
        <v>695</v>
      </c>
      <c r="T747" s="83">
        <f>'[2]GULFSTREAM NON-FIRM'!H758</f>
        <v>50</v>
      </c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</row>
    <row r="748" spans="1:30" ht="15.75" hidden="1" x14ac:dyDescent="0.25">
      <c r="A748" s="32">
        <v>63705</v>
      </c>
      <c r="B748" s="95">
        <f t="shared" si="121"/>
        <v>31</v>
      </c>
      <c r="C748" s="83">
        <f>'[2]FGT PRIMARY FIRM ZONE 1'!V759</f>
        <v>194.20499999999998</v>
      </c>
      <c r="D748" s="83">
        <f>'[2]FGT PRIMARY FIRM ZONE 2'!V759</f>
        <v>267.46600000000001</v>
      </c>
      <c r="E748" s="92">
        <f>'[2]FGT PRIMARY FIRM ZONE 3'!V759</f>
        <v>133.845</v>
      </c>
      <c r="F748" s="83">
        <f>'[2]FGT FIRM ZONE 3 MOBILE BAY-DES'!V759-40-25-60-100</f>
        <v>53.48399999999998</v>
      </c>
      <c r="G748" s="86">
        <v>40</v>
      </c>
      <c r="H748" s="83">
        <f t="shared" si="123"/>
        <v>185</v>
      </c>
      <c r="I748" s="83">
        <f t="shared" si="113"/>
        <v>0</v>
      </c>
      <c r="J748" s="86">
        <v>100</v>
      </c>
      <c r="K748" s="86">
        <v>300</v>
      </c>
      <c r="L748" s="83">
        <f t="shared" si="117"/>
        <v>1274</v>
      </c>
      <c r="M748" s="94">
        <v>600</v>
      </c>
      <c r="N748" s="83">
        <f>'[2]FGT NON-FIRM'!P759</f>
        <v>75</v>
      </c>
      <c r="O748" s="86">
        <v>240</v>
      </c>
      <c r="P748" s="86">
        <v>40</v>
      </c>
      <c r="Q748" s="86">
        <f t="shared" si="118"/>
        <v>315</v>
      </c>
      <c r="R748" s="86">
        <f t="shared" si="119"/>
        <v>100</v>
      </c>
      <c r="S748" s="83">
        <f t="shared" si="120"/>
        <v>695</v>
      </c>
      <c r="T748" s="83">
        <f>'[2]GULFSTREAM NON-FIRM'!H759</f>
        <v>50</v>
      </c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</row>
    <row r="749" spans="1:30" ht="15.75" hidden="1" x14ac:dyDescent="0.25">
      <c r="A749" s="32">
        <v>63735</v>
      </c>
      <c r="B749" s="95">
        <f t="shared" si="121"/>
        <v>30</v>
      </c>
      <c r="C749" s="83">
        <f>'[2]FGT PRIMARY FIRM ZONE 1'!V760</f>
        <v>194.20499999999998</v>
      </c>
      <c r="D749" s="83">
        <f>'[2]FGT PRIMARY FIRM ZONE 2'!V760</f>
        <v>267.46600000000001</v>
      </c>
      <c r="E749" s="92">
        <f>'[2]FGT PRIMARY FIRM ZONE 3'!V760</f>
        <v>133.845</v>
      </c>
      <c r="F749" s="83">
        <f>'[2]FGT FIRM ZONE 3 MOBILE BAY-DES'!V760-40-25-60-100</f>
        <v>53.48399999999998</v>
      </c>
      <c r="G749" s="86">
        <v>40</v>
      </c>
      <c r="H749" s="83">
        <f t="shared" si="123"/>
        <v>185</v>
      </c>
      <c r="I749" s="83">
        <f t="shared" si="113"/>
        <v>0</v>
      </c>
      <c r="J749" s="86">
        <v>100</v>
      </c>
      <c r="K749" s="86">
        <v>300</v>
      </c>
      <c r="L749" s="83">
        <f t="shared" si="117"/>
        <v>1274</v>
      </c>
      <c r="M749" s="94">
        <v>600</v>
      </c>
      <c r="N749" s="83">
        <f>'[2]FGT NON-FIRM'!P760</f>
        <v>30</v>
      </c>
      <c r="O749" s="86">
        <v>240</v>
      </c>
      <c r="P749" s="86">
        <v>40</v>
      </c>
      <c r="Q749" s="86">
        <f t="shared" si="118"/>
        <v>315</v>
      </c>
      <c r="R749" s="86">
        <f t="shared" si="119"/>
        <v>100</v>
      </c>
      <c r="S749" s="83">
        <f t="shared" si="120"/>
        <v>695</v>
      </c>
      <c r="T749" s="83">
        <f>'[2]GULFSTREAM NON-FIRM'!H760</f>
        <v>50</v>
      </c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</row>
    <row r="750" spans="1:30" ht="15.75" hidden="1" x14ac:dyDescent="0.25">
      <c r="A750" s="32">
        <v>63766</v>
      </c>
      <c r="B750" s="95">
        <f t="shared" si="121"/>
        <v>31</v>
      </c>
      <c r="C750" s="83">
        <f>'[2]FGT PRIMARY FIRM ZONE 1'!V761</f>
        <v>194.20499999999998</v>
      </c>
      <c r="D750" s="83">
        <f>'[2]FGT PRIMARY FIRM ZONE 2'!V761</f>
        <v>267.46600000000001</v>
      </c>
      <c r="E750" s="92">
        <f>'[2]FGT PRIMARY FIRM ZONE 3'!V761</f>
        <v>133.845</v>
      </c>
      <c r="F750" s="83">
        <f>'[2]FGT FIRM ZONE 3 MOBILE BAY-DES'!V761-40-25-60-100</f>
        <v>53.48399999999998</v>
      </c>
      <c r="G750" s="86">
        <v>40</v>
      </c>
      <c r="H750" s="83">
        <f t="shared" si="123"/>
        <v>185</v>
      </c>
      <c r="I750" s="83">
        <f t="shared" si="113"/>
        <v>0</v>
      </c>
      <c r="J750" s="86">
        <v>100</v>
      </c>
      <c r="K750" s="86">
        <v>300</v>
      </c>
      <c r="L750" s="83">
        <f t="shared" si="117"/>
        <v>1274</v>
      </c>
      <c r="M750" s="94">
        <v>600</v>
      </c>
      <c r="N750" s="83">
        <f>'[2]FGT NON-FIRM'!P761</f>
        <v>30</v>
      </c>
      <c r="O750" s="86">
        <v>240</v>
      </c>
      <c r="P750" s="86">
        <v>40</v>
      </c>
      <c r="Q750" s="86">
        <f t="shared" si="118"/>
        <v>315</v>
      </c>
      <c r="R750" s="86">
        <f t="shared" si="119"/>
        <v>100</v>
      </c>
      <c r="S750" s="83">
        <f t="shared" si="120"/>
        <v>695</v>
      </c>
      <c r="T750" s="83">
        <f>'[2]GULFSTREAM NON-FIRM'!H761</f>
        <v>0</v>
      </c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</row>
    <row r="751" spans="1:30" ht="15.75" hidden="1" x14ac:dyDescent="0.25">
      <c r="A751" s="32">
        <v>63797</v>
      </c>
      <c r="B751" s="95">
        <f t="shared" si="121"/>
        <v>31</v>
      </c>
      <c r="C751" s="83">
        <f>'[2]FGT PRIMARY FIRM ZONE 1'!V762</f>
        <v>194.20499999999998</v>
      </c>
      <c r="D751" s="83">
        <f>'[2]FGT PRIMARY FIRM ZONE 2'!V762</f>
        <v>267.46600000000001</v>
      </c>
      <c r="E751" s="92">
        <f>'[2]FGT PRIMARY FIRM ZONE 3'!V762</f>
        <v>133.845</v>
      </c>
      <c r="F751" s="83">
        <f>'[2]FGT FIRM ZONE 3 MOBILE BAY-DES'!V762-40-25-60-100</f>
        <v>53.48399999999998</v>
      </c>
      <c r="G751" s="86">
        <v>40</v>
      </c>
      <c r="H751" s="83">
        <f t="shared" si="123"/>
        <v>185</v>
      </c>
      <c r="I751" s="83">
        <f t="shared" si="113"/>
        <v>0</v>
      </c>
      <c r="J751" s="86">
        <v>100</v>
      </c>
      <c r="K751" s="86">
        <v>300</v>
      </c>
      <c r="L751" s="83">
        <f t="shared" si="117"/>
        <v>1274</v>
      </c>
      <c r="M751" s="94">
        <v>600</v>
      </c>
      <c r="N751" s="83">
        <f>'[2]FGT NON-FIRM'!P762</f>
        <v>30</v>
      </c>
      <c r="O751" s="86">
        <v>240</v>
      </c>
      <c r="P751" s="86">
        <v>40</v>
      </c>
      <c r="Q751" s="86">
        <f t="shared" si="118"/>
        <v>315</v>
      </c>
      <c r="R751" s="86">
        <f t="shared" si="119"/>
        <v>100</v>
      </c>
      <c r="S751" s="83">
        <f t="shared" si="120"/>
        <v>695</v>
      </c>
      <c r="T751" s="83">
        <f>'[2]GULFSTREAM NON-FIRM'!H762</f>
        <v>0</v>
      </c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</row>
    <row r="752" spans="1:30" ht="15.75" hidden="1" x14ac:dyDescent="0.25">
      <c r="A752" s="32">
        <v>63827</v>
      </c>
      <c r="B752" s="95">
        <f t="shared" si="121"/>
        <v>30</v>
      </c>
      <c r="C752" s="83">
        <f>'[2]FGT PRIMARY FIRM ZONE 1'!V763</f>
        <v>194.20499999999998</v>
      </c>
      <c r="D752" s="83">
        <f>'[2]FGT PRIMARY FIRM ZONE 2'!V763</f>
        <v>267.46600000000001</v>
      </c>
      <c r="E752" s="92">
        <f>'[2]FGT PRIMARY FIRM ZONE 3'!V763</f>
        <v>133.845</v>
      </c>
      <c r="F752" s="83">
        <f>'[2]FGT FIRM ZONE 3 MOBILE BAY-DES'!V763-40-25-60-100</f>
        <v>53.48399999999998</v>
      </c>
      <c r="G752" s="86">
        <v>40</v>
      </c>
      <c r="H752" s="83">
        <f t="shared" si="123"/>
        <v>185</v>
      </c>
      <c r="I752" s="83">
        <f t="shared" si="113"/>
        <v>0</v>
      </c>
      <c r="J752" s="86">
        <v>100</v>
      </c>
      <c r="K752" s="86">
        <v>300</v>
      </c>
      <c r="L752" s="83">
        <f t="shared" si="117"/>
        <v>1274</v>
      </c>
      <c r="M752" s="94">
        <v>600</v>
      </c>
      <c r="N752" s="83">
        <f>'[2]FGT NON-FIRM'!P763</f>
        <v>30</v>
      </c>
      <c r="O752" s="86">
        <v>240</v>
      </c>
      <c r="P752" s="86">
        <v>40</v>
      </c>
      <c r="Q752" s="86">
        <f t="shared" si="118"/>
        <v>315</v>
      </c>
      <c r="R752" s="86">
        <f t="shared" si="119"/>
        <v>100</v>
      </c>
      <c r="S752" s="83">
        <f t="shared" si="120"/>
        <v>695</v>
      </c>
      <c r="T752" s="83">
        <f>'[2]GULFSTREAM NON-FIRM'!H763</f>
        <v>0</v>
      </c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</row>
    <row r="753" spans="1:30" ht="15.75" hidden="1" x14ac:dyDescent="0.25">
      <c r="A753" s="32">
        <v>63858</v>
      </c>
      <c r="B753" s="95">
        <f t="shared" si="121"/>
        <v>31</v>
      </c>
      <c r="C753" s="83">
        <f>'[2]FGT PRIMARY FIRM ZONE 1'!V764</f>
        <v>131.881</v>
      </c>
      <c r="D753" s="83">
        <f>'[2]FGT PRIMARY FIRM ZONE 2'!V764</f>
        <v>277.16699999999997</v>
      </c>
      <c r="E753" s="92">
        <f>'[2]FGT PRIMARY FIRM ZONE 3'!V764</f>
        <v>79.08</v>
      </c>
      <c r="F753" s="83">
        <f>'[2]FGT FIRM ZONE 3 MOBILE BAY-DES'!V764-40-25-60-100</f>
        <v>125.87199999999996</v>
      </c>
      <c r="G753" s="86">
        <v>40</v>
      </c>
      <c r="H753" s="83">
        <f t="shared" si="123"/>
        <v>185</v>
      </c>
      <c r="I753" s="83">
        <f t="shared" si="113"/>
        <v>0</v>
      </c>
      <c r="J753" s="86">
        <v>100</v>
      </c>
      <c r="K753" s="86">
        <v>300</v>
      </c>
      <c r="L753" s="83">
        <f t="shared" si="117"/>
        <v>1239</v>
      </c>
      <c r="M753" s="94">
        <v>600</v>
      </c>
      <c r="N753" s="83">
        <f>'[2]FGT NON-FIRM'!P764</f>
        <v>75</v>
      </c>
      <c r="O753" s="86">
        <v>240</v>
      </c>
      <c r="P753" s="86">
        <v>40</v>
      </c>
      <c r="Q753" s="86">
        <f t="shared" si="118"/>
        <v>315</v>
      </c>
      <c r="R753" s="86">
        <f t="shared" si="119"/>
        <v>100</v>
      </c>
      <c r="S753" s="83">
        <f t="shared" si="120"/>
        <v>695</v>
      </c>
      <c r="T753" s="83">
        <f>'[2]GULFSTREAM NON-FIRM'!H764</f>
        <v>0</v>
      </c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</row>
    <row r="754" spans="1:30" ht="15.75" hidden="1" x14ac:dyDescent="0.25">
      <c r="A754" s="32">
        <v>63888</v>
      </c>
      <c r="B754" s="95">
        <f t="shared" si="121"/>
        <v>30</v>
      </c>
      <c r="C754" s="83">
        <f>'[2]FGT PRIMARY FIRM ZONE 1'!V765</f>
        <v>122.58</v>
      </c>
      <c r="D754" s="83">
        <f>'[2]FGT PRIMARY FIRM ZONE 2'!V765</f>
        <v>297.94100000000003</v>
      </c>
      <c r="E754" s="92">
        <f>'[2]FGT PRIMARY FIRM ZONE 3'!V765</f>
        <v>89.177000000000007</v>
      </c>
      <c r="F754" s="83">
        <f>'[2]FGT FIRM ZONE 3 MOBILE BAY-DES'!V765-40-60-100</f>
        <v>40.301999999999992</v>
      </c>
      <c r="G754" s="86">
        <v>40</v>
      </c>
      <c r="H754" s="83">
        <f>60+100</f>
        <v>160</v>
      </c>
      <c r="I754" s="83">
        <f t="shared" si="113"/>
        <v>0</v>
      </c>
      <c r="J754" s="86">
        <v>100</v>
      </c>
      <c r="K754" s="86">
        <v>300</v>
      </c>
      <c r="L754" s="83">
        <f t="shared" si="117"/>
        <v>1150</v>
      </c>
      <c r="M754" s="94">
        <v>600</v>
      </c>
      <c r="N754" s="83">
        <f>'[2]FGT NON-FIRM'!P765</f>
        <v>100</v>
      </c>
      <c r="O754" s="86">
        <v>240</v>
      </c>
      <c r="P754" s="86">
        <v>40</v>
      </c>
      <c r="Q754" s="86">
        <f t="shared" si="118"/>
        <v>315</v>
      </c>
      <c r="R754" s="86">
        <f t="shared" si="119"/>
        <v>100</v>
      </c>
      <c r="S754" s="83">
        <f t="shared" si="120"/>
        <v>695</v>
      </c>
      <c r="T754" s="83">
        <f>'[2]GULFSTREAM NON-FIRM'!H765</f>
        <v>50</v>
      </c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</row>
    <row r="755" spans="1:30" ht="15.75" hidden="1" x14ac:dyDescent="0.25">
      <c r="A755" s="32">
        <v>63919</v>
      </c>
      <c r="B755" s="95">
        <f t="shared" si="121"/>
        <v>31</v>
      </c>
      <c r="C755" s="83">
        <f>'[2]FGT PRIMARY FIRM ZONE 1'!V766</f>
        <v>122.58</v>
      </c>
      <c r="D755" s="83">
        <f>'[2]FGT PRIMARY FIRM ZONE 2'!V766</f>
        <v>297.94100000000003</v>
      </c>
      <c r="E755" s="92">
        <f>'[2]FGT PRIMARY FIRM ZONE 3'!V766</f>
        <v>89.177000000000007</v>
      </c>
      <c r="F755" s="83">
        <f>'[2]FGT FIRM ZONE 3 MOBILE BAY-DES'!V766-40-60-100</f>
        <v>40.301999999999992</v>
      </c>
      <c r="G755" s="86">
        <v>40</v>
      </c>
      <c r="H755" s="83">
        <f>60+100</f>
        <v>160</v>
      </c>
      <c r="I755" s="83">
        <f t="shared" si="113"/>
        <v>0</v>
      </c>
      <c r="J755" s="86">
        <v>100</v>
      </c>
      <c r="K755" s="86">
        <v>300</v>
      </c>
      <c r="L755" s="83">
        <f t="shared" si="117"/>
        <v>1150</v>
      </c>
      <c r="M755" s="94">
        <v>600</v>
      </c>
      <c r="N755" s="83">
        <f>'[2]FGT NON-FIRM'!P766</f>
        <v>100</v>
      </c>
      <c r="O755" s="86">
        <v>240</v>
      </c>
      <c r="P755" s="86">
        <v>40</v>
      </c>
      <c r="Q755" s="86">
        <f t="shared" si="118"/>
        <v>315</v>
      </c>
      <c r="R755" s="86">
        <f t="shared" si="119"/>
        <v>100</v>
      </c>
      <c r="S755" s="83">
        <f t="shared" si="120"/>
        <v>695</v>
      </c>
      <c r="T755" s="83">
        <f>'[2]GULFSTREAM NON-FIRM'!H766</f>
        <v>50</v>
      </c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</row>
    <row r="756" spans="1:30" ht="15.75" hidden="1" x14ac:dyDescent="0.25">
      <c r="A756" s="32">
        <v>63950</v>
      </c>
      <c r="B756" s="95">
        <f t="shared" si="121"/>
        <v>31</v>
      </c>
      <c r="C756" s="83">
        <f>'[2]FGT PRIMARY FIRM ZONE 1'!V767</f>
        <v>122.58</v>
      </c>
      <c r="D756" s="83">
        <f>'[2]FGT PRIMARY FIRM ZONE 2'!V767</f>
        <v>297.94100000000003</v>
      </c>
      <c r="E756" s="92">
        <f>'[2]FGT PRIMARY FIRM ZONE 3'!V767</f>
        <v>89.177000000000007</v>
      </c>
      <c r="F756" s="83">
        <f>'[2]FGT FIRM ZONE 3 MOBILE BAY-DES'!V767-40-60-100</f>
        <v>40.301999999999992</v>
      </c>
      <c r="G756" s="86">
        <v>40</v>
      </c>
      <c r="H756" s="83">
        <f>60+100</f>
        <v>160</v>
      </c>
      <c r="I756" s="83">
        <f t="shared" ref="I756:I819" si="124">400-J756-K756</f>
        <v>0</v>
      </c>
      <c r="J756" s="86">
        <v>100</v>
      </c>
      <c r="K756" s="86">
        <v>300</v>
      </c>
      <c r="L756" s="83">
        <f t="shared" si="117"/>
        <v>1150</v>
      </c>
      <c r="M756" s="94">
        <v>600</v>
      </c>
      <c r="N756" s="83">
        <f>'[2]FGT NON-FIRM'!P767</f>
        <v>100</v>
      </c>
      <c r="O756" s="86">
        <v>240</v>
      </c>
      <c r="P756" s="86">
        <v>40</v>
      </c>
      <c r="Q756" s="86">
        <f t="shared" si="118"/>
        <v>315</v>
      </c>
      <c r="R756" s="86">
        <f t="shared" si="119"/>
        <v>100</v>
      </c>
      <c r="S756" s="83">
        <f t="shared" si="120"/>
        <v>695</v>
      </c>
      <c r="T756" s="83">
        <f>'[2]GULFSTREAM NON-FIRM'!H767</f>
        <v>50</v>
      </c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</row>
    <row r="757" spans="1:30" ht="15.75" hidden="1" x14ac:dyDescent="0.25">
      <c r="A757" s="32">
        <v>63978</v>
      </c>
      <c r="B757" s="95">
        <f t="shared" si="121"/>
        <v>28</v>
      </c>
      <c r="C757" s="83">
        <f>'[2]FGT PRIMARY FIRM ZONE 1'!V768</f>
        <v>122.58</v>
      </c>
      <c r="D757" s="83">
        <f>'[2]FGT PRIMARY FIRM ZONE 2'!V768</f>
        <v>297.94100000000003</v>
      </c>
      <c r="E757" s="92">
        <f>'[2]FGT PRIMARY FIRM ZONE 3'!V768</f>
        <v>89.177000000000007</v>
      </c>
      <c r="F757" s="83">
        <f>'[2]FGT FIRM ZONE 3 MOBILE BAY-DES'!V768-40-60-100</f>
        <v>40.301999999999992</v>
      </c>
      <c r="G757" s="86">
        <v>40</v>
      </c>
      <c r="H757" s="83">
        <f>60+100</f>
        <v>160</v>
      </c>
      <c r="I757" s="83">
        <f t="shared" si="124"/>
        <v>0</v>
      </c>
      <c r="J757" s="86">
        <v>100</v>
      </c>
      <c r="K757" s="86">
        <v>300</v>
      </c>
      <c r="L757" s="83">
        <f t="shared" si="117"/>
        <v>1150</v>
      </c>
      <c r="M757" s="94">
        <v>600</v>
      </c>
      <c r="N757" s="83">
        <f>'[2]FGT NON-FIRM'!P768</f>
        <v>100</v>
      </c>
      <c r="O757" s="86">
        <v>240</v>
      </c>
      <c r="P757" s="86">
        <v>40</v>
      </c>
      <c r="Q757" s="86">
        <f t="shared" si="118"/>
        <v>315</v>
      </c>
      <c r="R757" s="86">
        <f t="shared" si="119"/>
        <v>100</v>
      </c>
      <c r="S757" s="83">
        <f t="shared" si="120"/>
        <v>695</v>
      </c>
      <c r="T757" s="83">
        <f>'[2]GULFSTREAM NON-FIRM'!H768</f>
        <v>50</v>
      </c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</row>
    <row r="758" spans="1:30" ht="15.75" hidden="1" x14ac:dyDescent="0.25">
      <c r="A758" s="32">
        <v>64009</v>
      </c>
      <c r="B758" s="95">
        <f t="shared" si="121"/>
        <v>31</v>
      </c>
      <c r="C758" s="83">
        <f>'[2]FGT PRIMARY FIRM ZONE 1'!V769</f>
        <v>122.58</v>
      </c>
      <c r="D758" s="83">
        <f>'[2]FGT PRIMARY FIRM ZONE 2'!V769</f>
        <v>297.94100000000003</v>
      </c>
      <c r="E758" s="92">
        <f>'[2]FGT PRIMARY FIRM ZONE 3'!V769</f>
        <v>89.177000000000007</v>
      </c>
      <c r="F758" s="83">
        <f>'[2]FGT FIRM ZONE 3 MOBILE BAY-DES'!V769-40-60-100</f>
        <v>40.301999999999992</v>
      </c>
      <c r="G758" s="86">
        <v>40</v>
      </c>
      <c r="H758" s="83">
        <f>60+100</f>
        <v>160</v>
      </c>
      <c r="I758" s="83">
        <f t="shared" si="124"/>
        <v>0</v>
      </c>
      <c r="J758" s="86">
        <v>100</v>
      </c>
      <c r="K758" s="86">
        <v>300</v>
      </c>
      <c r="L758" s="83">
        <f t="shared" si="117"/>
        <v>1150</v>
      </c>
      <c r="M758" s="94">
        <v>600</v>
      </c>
      <c r="N758" s="83">
        <f>'[2]FGT NON-FIRM'!P769</f>
        <v>100</v>
      </c>
      <c r="O758" s="86">
        <v>240</v>
      </c>
      <c r="P758" s="86">
        <v>40</v>
      </c>
      <c r="Q758" s="86">
        <f t="shared" si="118"/>
        <v>315</v>
      </c>
      <c r="R758" s="86">
        <f t="shared" si="119"/>
        <v>100</v>
      </c>
      <c r="S758" s="83">
        <f t="shared" si="120"/>
        <v>695</v>
      </c>
      <c r="T758" s="83">
        <f>'[2]GULFSTREAM NON-FIRM'!H769</f>
        <v>50</v>
      </c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</row>
    <row r="759" spans="1:30" ht="15.75" hidden="1" x14ac:dyDescent="0.25">
      <c r="A759" s="32">
        <v>64039</v>
      </c>
      <c r="B759" s="95">
        <f t="shared" si="121"/>
        <v>30</v>
      </c>
      <c r="C759" s="83">
        <f>'[2]FGT PRIMARY FIRM ZONE 1'!V770</f>
        <v>141.29300000000001</v>
      </c>
      <c r="D759" s="83">
        <f>'[2]FGT PRIMARY FIRM ZONE 2'!V770</f>
        <v>267.99299999999999</v>
      </c>
      <c r="E759" s="92">
        <f>'[2]FGT PRIMARY FIRM ZONE 3'!V770</f>
        <v>115.01600000000001</v>
      </c>
      <c r="F759" s="83">
        <f>'[2]FGT FIRM ZONE 3 MOBILE BAY-DES'!V770-40-25-60-100</f>
        <v>89.698000000000036</v>
      </c>
      <c r="G759" s="86">
        <v>40</v>
      </c>
      <c r="H759" s="83">
        <f t="shared" ref="H759:H765" si="125">25+60+100</f>
        <v>185</v>
      </c>
      <c r="I759" s="83">
        <f t="shared" si="124"/>
        <v>0</v>
      </c>
      <c r="J759" s="86">
        <v>100</v>
      </c>
      <c r="K759" s="86">
        <v>300</v>
      </c>
      <c r="L759" s="83">
        <f t="shared" si="117"/>
        <v>1239</v>
      </c>
      <c r="M759" s="94">
        <v>600</v>
      </c>
      <c r="N759" s="83">
        <f>'[2]FGT NON-FIRM'!P770</f>
        <v>100</v>
      </c>
      <c r="O759" s="86">
        <v>240</v>
      </c>
      <c r="P759" s="86">
        <v>40</v>
      </c>
      <c r="Q759" s="86">
        <f t="shared" si="118"/>
        <v>315</v>
      </c>
      <c r="R759" s="86">
        <f t="shared" si="119"/>
        <v>100</v>
      </c>
      <c r="S759" s="83">
        <f t="shared" si="120"/>
        <v>695</v>
      </c>
      <c r="T759" s="83">
        <f>'[2]GULFSTREAM NON-FIRM'!H770</f>
        <v>50</v>
      </c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</row>
    <row r="760" spans="1:30" ht="15.75" hidden="1" x14ac:dyDescent="0.25">
      <c r="A760" s="32">
        <v>64070</v>
      </c>
      <c r="B760" s="95">
        <f t="shared" si="121"/>
        <v>31</v>
      </c>
      <c r="C760" s="83">
        <f>'[2]FGT PRIMARY FIRM ZONE 1'!V771</f>
        <v>194.20499999999998</v>
      </c>
      <c r="D760" s="83">
        <f>'[2]FGT PRIMARY FIRM ZONE 2'!V771</f>
        <v>267.46600000000001</v>
      </c>
      <c r="E760" s="92">
        <f>'[2]FGT PRIMARY FIRM ZONE 3'!V771</f>
        <v>133.845</v>
      </c>
      <c r="F760" s="83">
        <f>'[2]FGT FIRM ZONE 3 MOBILE BAY-DES'!V771-40-25-60-100</f>
        <v>53.48399999999998</v>
      </c>
      <c r="G760" s="86">
        <v>40</v>
      </c>
      <c r="H760" s="83">
        <f t="shared" si="125"/>
        <v>185</v>
      </c>
      <c r="I760" s="83">
        <f t="shared" si="124"/>
        <v>0</v>
      </c>
      <c r="J760" s="86">
        <v>100</v>
      </c>
      <c r="K760" s="86">
        <v>300</v>
      </c>
      <c r="L760" s="83">
        <f t="shared" si="117"/>
        <v>1274</v>
      </c>
      <c r="M760" s="94">
        <v>600</v>
      </c>
      <c r="N760" s="83">
        <f>'[2]FGT NON-FIRM'!P771</f>
        <v>75</v>
      </c>
      <c r="O760" s="86">
        <v>240</v>
      </c>
      <c r="P760" s="86">
        <v>40</v>
      </c>
      <c r="Q760" s="86">
        <f t="shared" si="118"/>
        <v>315</v>
      </c>
      <c r="R760" s="86">
        <f t="shared" si="119"/>
        <v>100</v>
      </c>
      <c r="S760" s="83">
        <f t="shared" si="120"/>
        <v>695</v>
      </c>
      <c r="T760" s="83">
        <f>'[2]GULFSTREAM NON-FIRM'!H771</f>
        <v>50</v>
      </c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</row>
    <row r="761" spans="1:30" ht="15.75" hidden="1" x14ac:dyDescent="0.25">
      <c r="A761" s="32">
        <v>64100</v>
      </c>
      <c r="B761" s="95">
        <f t="shared" si="121"/>
        <v>30</v>
      </c>
      <c r="C761" s="83">
        <f>'[2]FGT PRIMARY FIRM ZONE 1'!V772</f>
        <v>194.20499999999998</v>
      </c>
      <c r="D761" s="83">
        <f>'[2]FGT PRIMARY FIRM ZONE 2'!V772</f>
        <v>267.46600000000001</v>
      </c>
      <c r="E761" s="92">
        <f>'[2]FGT PRIMARY FIRM ZONE 3'!V772</f>
        <v>133.845</v>
      </c>
      <c r="F761" s="83">
        <f>'[2]FGT FIRM ZONE 3 MOBILE BAY-DES'!V772-40-25-60-100</f>
        <v>53.48399999999998</v>
      </c>
      <c r="G761" s="86">
        <v>40</v>
      </c>
      <c r="H761" s="83">
        <f t="shared" si="125"/>
        <v>185</v>
      </c>
      <c r="I761" s="83">
        <f t="shared" si="124"/>
        <v>0</v>
      </c>
      <c r="J761" s="86">
        <v>100</v>
      </c>
      <c r="K761" s="86">
        <v>300</v>
      </c>
      <c r="L761" s="83">
        <f t="shared" si="117"/>
        <v>1274</v>
      </c>
      <c r="M761" s="94">
        <v>600</v>
      </c>
      <c r="N761" s="83">
        <f>'[2]FGT NON-FIRM'!P772</f>
        <v>30</v>
      </c>
      <c r="O761" s="86">
        <v>240</v>
      </c>
      <c r="P761" s="86">
        <v>40</v>
      </c>
      <c r="Q761" s="86">
        <f t="shared" si="118"/>
        <v>315</v>
      </c>
      <c r="R761" s="86">
        <f t="shared" si="119"/>
        <v>100</v>
      </c>
      <c r="S761" s="83">
        <f t="shared" si="120"/>
        <v>695</v>
      </c>
      <c r="T761" s="83">
        <f>'[2]GULFSTREAM NON-FIRM'!H772</f>
        <v>50</v>
      </c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</row>
    <row r="762" spans="1:30" ht="15.75" hidden="1" x14ac:dyDescent="0.25">
      <c r="A762" s="32">
        <v>64131</v>
      </c>
      <c r="B762" s="95">
        <f t="shared" si="121"/>
        <v>31</v>
      </c>
      <c r="C762" s="83">
        <f>'[2]FGT PRIMARY FIRM ZONE 1'!V773</f>
        <v>194.20499999999998</v>
      </c>
      <c r="D762" s="83">
        <f>'[2]FGT PRIMARY FIRM ZONE 2'!V773</f>
        <v>267.46600000000001</v>
      </c>
      <c r="E762" s="92">
        <f>'[2]FGT PRIMARY FIRM ZONE 3'!V773</f>
        <v>133.845</v>
      </c>
      <c r="F762" s="83">
        <f>'[2]FGT FIRM ZONE 3 MOBILE BAY-DES'!V773-40-25-60-100</f>
        <v>53.48399999999998</v>
      </c>
      <c r="G762" s="86">
        <v>40</v>
      </c>
      <c r="H762" s="83">
        <f t="shared" si="125"/>
        <v>185</v>
      </c>
      <c r="I762" s="83">
        <f t="shared" si="124"/>
        <v>0</v>
      </c>
      <c r="J762" s="86">
        <v>100</v>
      </c>
      <c r="K762" s="86">
        <v>300</v>
      </c>
      <c r="L762" s="83">
        <f t="shared" si="117"/>
        <v>1274</v>
      </c>
      <c r="M762" s="94">
        <v>600</v>
      </c>
      <c r="N762" s="83">
        <f>'[2]FGT NON-FIRM'!P773</f>
        <v>30</v>
      </c>
      <c r="O762" s="86">
        <v>240</v>
      </c>
      <c r="P762" s="86">
        <v>40</v>
      </c>
      <c r="Q762" s="86">
        <f t="shared" si="118"/>
        <v>315</v>
      </c>
      <c r="R762" s="86">
        <f t="shared" si="119"/>
        <v>100</v>
      </c>
      <c r="S762" s="83">
        <f t="shared" si="120"/>
        <v>695</v>
      </c>
      <c r="T762" s="83">
        <f>'[2]GULFSTREAM NON-FIRM'!H773</f>
        <v>0</v>
      </c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</row>
    <row r="763" spans="1:30" ht="15.75" hidden="1" x14ac:dyDescent="0.25">
      <c r="A763" s="32">
        <v>64162</v>
      </c>
      <c r="B763" s="95">
        <f t="shared" si="121"/>
        <v>31</v>
      </c>
      <c r="C763" s="83">
        <f>'[2]FGT PRIMARY FIRM ZONE 1'!V774</f>
        <v>194.20499999999998</v>
      </c>
      <c r="D763" s="83">
        <f>'[2]FGT PRIMARY FIRM ZONE 2'!V774</f>
        <v>267.46600000000001</v>
      </c>
      <c r="E763" s="92">
        <f>'[2]FGT PRIMARY FIRM ZONE 3'!V774</f>
        <v>133.845</v>
      </c>
      <c r="F763" s="83">
        <f>'[2]FGT FIRM ZONE 3 MOBILE BAY-DES'!V774-40-25-60-100</f>
        <v>53.48399999999998</v>
      </c>
      <c r="G763" s="86">
        <v>40</v>
      </c>
      <c r="H763" s="83">
        <f t="shared" si="125"/>
        <v>185</v>
      </c>
      <c r="I763" s="83">
        <f t="shared" si="124"/>
        <v>0</v>
      </c>
      <c r="J763" s="86">
        <v>100</v>
      </c>
      <c r="K763" s="86">
        <v>300</v>
      </c>
      <c r="L763" s="83">
        <f t="shared" si="117"/>
        <v>1274</v>
      </c>
      <c r="M763" s="94">
        <v>600</v>
      </c>
      <c r="N763" s="83">
        <f>'[2]FGT NON-FIRM'!P774</f>
        <v>30</v>
      </c>
      <c r="O763" s="86">
        <v>240</v>
      </c>
      <c r="P763" s="86">
        <v>40</v>
      </c>
      <c r="Q763" s="86">
        <f t="shared" si="118"/>
        <v>315</v>
      </c>
      <c r="R763" s="86">
        <f t="shared" si="119"/>
        <v>100</v>
      </c>
      <c r="S763" s="83">
        <f t="shared" si="120"/>
        <v>695</v>
      </c>
      <c r="T763" s="83">
        <f>'[2]GULFSTREAM NON-FIRM'!H774</f>
        <v>0</v>
      </c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</row>
    <row r="764" spans="1:30" ht="15.75" hidden="1" x14ac:dyDescent="0.25">
      <c r="A764" s="32">
        <v>64192</v>
      </c>
      <c r="B764" s="95">
        <f t="shared" si="121"/>
        <v>30</v>
      </c>
      <c r="C764" s="83">
        <f>'[2]FGT PRIMARY FIRM ZONE 1'!V775</f>
        <v>194.20499999999998</v>
      </c>
      <c r="D764" s="83">
        <f>'[2]FGT PRIMARY FIRM ZONE 2'!V775</f>
        <v>267.46600000000001</v>
      </c>
      <c r="E764" s="92">
        <f>'[2]FGT PRIMARY FIRM ZONE 3'!V775</f>
        <v>133.845</v>
      </c>
      <c r="F764" s="83">
        <f>'[2]FGT FIRM ZONE 3 MOBILE BAY-DES'!V775-40-25-60-100</f>
        <v>53.48399999999998</v>
      </c>
      <c r="G764" s="86">
        <v>40</v>
      </c>
      <c r="H764" s="83">
        <f t="shared" si="125"/>
        <v>185</v>
      </c>
      <c r="I764" s="83">
        <f t="shared" si="124"/>
        <v>0</v>
      </c>
      <c r="J764" s="86">
        <v>100</v>
      </c>
      <c r="K764" s="86">
        <v>300</v>
      </c>
      <c r="L764" s="83">
        <f t="shared" si="117"/>
        <v>1274</v>
      </c>
      <c r="M764" s="94">
        <v>600</v>
      </c>
      <c r="N764" s="83">
        <f>'[2]FGT NON-FIRM'!P775</f>
        <v>30</v>
      </c>
      <c r="O764" s="86">
        <v>240</v>
      </c>
      <c r="P764" s="86">
        <v>40</v>
      </c>
      <c r="Q764" s="86">
        <f t="shared" si="118"/>
        <v>315</v>
      </c>
      <c r="R764" s="86">
        <f t="shared" si="119"/>
        <v>100</v>
      </c>
      <c r="S764" s="83">
        <f t="shared" si="120"/>
        <v>695</v>
      </c>
      <c r="T764" s="83">
        <f>'[2]GULFSTREAM NON-FIRM'!H775</f>
        <v>0</v>
      </c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</row>
    <row r="765" spans="1:30" ht="15.75" hidden="1" x14ac:dyDescent="0.25">
      <c r="A765" s="32">
        <v>64223</v>
      </c>
      <c r="B765" s="95">
        <f t="shared" si="121"/>
        <v>31</v>
      </c>
      <c r="C765" s="83">
        <f>'[2]FGT PRIMARY FIRM ZONE 1'!V776</f>
        <v>131.881</v>
      </c>
      <c r="D765" s="83">
        <f>'[2]FGT PRIMARY FIRM ZONE 2'!V776</f>
        <v>277.16699999999997</v>
      </c>
      <c r="E765" s="92">
        <f>'[2]FGT PRIMARY FIRM ZONE 3'!V776</f>
        <v>79.08</v>
      </c>
      <c r="F765" s="83">
        <f>'[2]FGT FIRM ZONE 3 MOBILE BAY-DES'!V776-40-25-60-100</f>
        <v>125.87199999999996</v>
      </c>
      <c r="G765" s="86">
        <v>40</v>
      </c>
      <c r="H765" s="83">
        <f t="shared" si="125"/>
        <v>185</v>
      </c>
      <c r="I765" s="83">
        <f t="shared" si="124"/>
        <v>0</v>
      </c>
      <c r="J765" s="86">
        <v>100</v>
      </c>
      <c r="K765" s="86">
        <v>300</v>
      </c>
      <c r="L765" s="83">
        <f t="shared" si="117"/>
        <v>1239</v>
      </c>
      <c r="M765" s="94">
        <v>600</v>
      </c>
      <c r="N765" s="83">
        <f>'[2]FGT NON-FIRM'!P776</f>
        <v>75</v>
      </c>
      <c r="O765" s="86">
        <v>240</v>
      </c>
      <c r="P765" s="86">
        <v>40</v>
      </c>
      <c r="Q765" s="86">
        <f t="shared" si="118"/>
        <v>315</v>
      </c>
      <c r="R765" s="86">
        <f t="shared" si="119"/>
        <v>100</v>
      </c>
      <c r="S765" s="83">
        <f t="shared" si="120"/>
        <v>695</v>
      </c>
      <c r="T765" s="83">
        <f>'[2]GULFSTREAM NON-FIRM'!H776</f>
        <v>0</v>
      </c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</row>
    <row r="766" spans="1:30" ht="15.75" hidden="1" x14ac:dyDescent="0.25">
      <c r="A766" s="32">
        <v>64253</v>
      </c>
      <c r="B766" s="95">
        <f t="shared" si="121"/>
        <v>30</v>
      </c>
      <c r="C766" s="83">
        <f>'[2]FGT PRIMARY FIRM ZONE 1'!V777</f>
        <v>122.58</v>
      </c>
      <c r="D766" s="83">
        <f>'[2]FGT PRIMARY FIRM ZONE 2'!V777</f>
        <v>297.94100000000003</v>
      </c>
      <c r="E766" s="92">
        <f>'[2]FGT PRIMARY FIRM ZONE 3'!V777</f>
        <v>89.177000000000007</v>
      </c>
      <c r="F766" s="83">
        <f>'[2]FGT FIRM ZONE 3 MOBILE BAY-DES'!V777-40-60-100</f>
        <v>40.301999999999992</v>
      </c>
      <c r="G766" s="86">
        <v>40</v>
      </c>
      <c r="H766" s="83">
        <f>60+100</f>
        <v>160</v>
      </c>
      <c r="I766" s="83">
        <f t="shared" si="124"/>
        <v>0</v>
      </c>
      <c r="J766" s="86">
        <v>100</v>
      </c>
      <c r="K766" s="86">
        <v>300</v>
      </c>
      <c r="L766" s="83">
        <f t="shared" si="117"/>
        <v>1150</v>
      </c>
      <c r="M766" s="94">
        <v>600</v>
      </c>
      <c r="N766" s="83">
        <f>'[2]FGT NON-FIRM'!P777</f>
        <v>100</v>
      </c>
      <c r="O766" s="86">
        <v>240</v>
      </c>
      <c r="P766" s="86">
        <v>40</v>
      </c>
      <c r="Q766" s="86">
        <f t="shared" si="118"/>
        <v>315</v>
      </c>
      <c r="R766" s="86">
        <f t="shared" si="119"/>
        <v>100</v>
      </c>
      <c r="S766" s="83">
        <f t="shared" si="120"/>
        <v>695</v>
      </c>
      <c r="T766" s="83">
        <f>'[2]GULFSTREAM NON-FIRM'!H777</f>
        <v>50</v>
      </c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</row>
    <row r="767" spans="1:30" ht="15.75" hidden="1" x14ac:dyDescent="0.25">
      <c r="A767" s="32">
        <v>64284</v>
      </c>
      <c r="B767" s="95">
        <f t="shared" si="121"/>
        <v>31</v>
      </c>
      <c r="C767" s="83">
        <f>'[2]FGT PRIMARY FIRM ZONE 1'!V778</f>
        <v>122.58</v>
      </c>
      <c r="D767" s="83">
        <f>'[2]FGT PRIMARY FIRM ZONE 2'!V778</f>
        <v>297.94100000000003</v>
      </c>
      <c r="E767" s="92">
        <f>'[2]FGT PRIMARY FIRM ZONE 3'!V778</f>
        <v>89.177000000000007</v>
      </c>
      <c r="F767" s="83">
        <f>'[2]FGT FIRM ZONE 3 MOBILE BAY-DES'!V778-40-60-100</f>
        <v>40.301999999999992</v>
      </c>
      <c r="G767" s="86">
        <v>40</v>
      </c>
      <c r="H767" s="83">
        <f>60+100</f>
        <v>160</v>
      </c>
      <c r="I767" s="83">
        <f t="shared" si="124"/>
        <v>0</v>
      </c>
      <c r="J767" s="86">
        <v>100</v>
      </c>
      <c r="K767" s="86">
        <v>300</v>
      </c>
      <c r="L767" s="83">
        <f t="shared" si="117"/>
        <v>1150</v>
      </c>
      <c r="M767" s="94">
        <v>600</v>
      </c>
      <c r="N767" s="83">
        <f>'[2]FGT NON-FIRM'!P778</f>
        <v>100</v>
      </c>
      <c r="O767" s="86">
        <v>240</v>
      </c>
      <c r="P767" s="86">
        <v>40</v>
      </c>
      <c r="Q767" s="86">
        <f t="shared" si="118"/>
        <v>315</v>
      </c>
      <c r="R767" s="86">
        <f t="shared" si="119"/>
        <v>100</v>
      </c>
      <c r="S767" s="83">
        <f t="shared" si="120"/>
        <v>695</v>
      </c>
      <c r="T767" s="83">
        <f>'[2]GULFSTREAM NON-FIRM'!H778</f>
        <v>50</v>
      </c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</row>
    <row r="768" spans="1:30" ht="15.75" hidden="1" x14ac:dyDescent="0.25">
      <c r="A768" s="32">
        <v>64315</v>
      </c>
      <c r="B768" s="95">
        <f t="shared" si="121"/>
        <v>31</v>
      </c>
      <c r="C768" s="83">
        <f>'[2]FGT PRIMARY FIRM ZONE 1'!V779</f>
        <v>122.58</v>
      </c>
      <c r="D768" s="83">
        <f>'[2]FGT PRIMARY FIRM ZONE 2'!V779</f>
        <v>297.94100000000003</v>
      </c>
      <c r="E768" s="92">
        <f>'[2]FGT PRIMARY FIRM ZONE 3'!V779</f>
        <v>89.177000000000007</v>
      </c>
      <c r="F768" s="83">
        <f>'[2]FGT FIRM ZONE 3 MOBILE BAY-DES'!V779-40-60-100</f>
        <v>40.301999999999992</v>
      </c>
      <c r="G768" s="86">
        <v>40</v>
      </c>
      <c r="H768" s="83">
        <f>60+100</f>
        <v>160</v>
      </c>
      <c r="I768" s="83">
        <f t="shared" si="124"/>
        <v>0</v>
      </c>
      <c r="J768" s="86">
        <v>100</v>
      </c>
      <c r="K768" s="86">
        <v>300</v>
      </c>
      <c r="L768" s="83">
        <f t="shared" si="117"/>
        <v>1150</v>
      </c>
      <c r="M768" s="94">
        <v>600</v>
      </c>
      <c r="N768" s="83">
        <f>'[2]FGT NON-FIRM'!P779</f>
        <v>100</v>
      </c>
      <c r="O768" s="86">
        <v>240</v>
      </c>
      <c r="P768" s="86">
        <v>40</v>
      </c>
      <c r="Q768" s="86">
        <f t="shared" si="118"/>
        <v>315</v>
      </c>
      <c r="R768" s="86">
        <f t="shared" si="119"/>
        <v>100</v>
      </c>
      <c r="S768" s="83">
        <f t="shared" si="120"/>
        <v>695</v>
      </c>
      <c r="T768" s="83">
        <f>'[2]GULFSTREAM NON-FIRM'!H779</f>
        <v>50</v>
      </c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</row>
    <row r="769" spans="1:30" ht="15.75" hidden="1" x14ac:dyDescent="0.25">
      <c r="A769" s="32">
        <v>64344</v>
      </c>
      <c r="B769" s="95">
        <f t="shared" si="121"/>
        <v>29</v>
      </c>
      <c r="C769" s="83">
        <f>'[2]FGT PRIMARY FIRM ZONE 1'!V780</f>
        <v>122.58</v>
      </c>
      <c r="D769" s="83">
        <f>'[2]FGT PRIMARY FIRM ZONE 2'!V780</f>
        <v>297.94100000000003</v>
      </c>
      <c r="E769" s="92">
        <f>'[2]FGT PRIMARY FIRM ZONE 3'!V780</f>
        <v>89.177000000000007</v>
      </c>
      <c r="F769" s="83">
        <f>'[2]FGT FIRM ZONE 3 MOBILE BAY-DES'!V780-40-60-100</f>
        <v>40.301999999999992</v>
      </c>
      <c r="G769" s="86">
        <v>40</v>
      </c>
      <c r="H769" s="83">
        <f>60+100</f>
        <v>160</v>
      </c>
      <c r="I769" s="83">
        <f t="shared" si="124"/>
        <v>0</v>
      </c>
      <c r="J769" s="86">
        <v>100</v>
      </c>
      <c r="K769" s="86">
        <v>300</v>
      </c>
      <c r="L769" s="83">
        <f t="shared" si="117"/>
        <v>1150</v>
      </c>
      <c r="M769" s="94">
        <v>600</v>
      </c>
      <c r="N769" s="83">
        <f>'[2]FGT NON-FIRM'!P780</f>
        <v>100</v>
      </c>
      <c r="O769" s="86">
        <v>240</v>
      </c>
      <c r="P769" s="86">
        <v>40</v>
      </c>
      <c r="Q769" s="86">
        <f t="shared" si="118"/>
        <v>315</v>
      </c>
      <c r="R769" s="86">
        <f t="shared" si="119"/>
        <v>100</v>
      </c>
      <c r="S769" s="83">
        <f t="shared" si="120"/>
        <v>695</v>
      </c>
      <c r="T769" s="83">
        <f>'[2]GULFSTREAM NON-FIRM'!H780</f>
        <v>50</v>
      </c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</row>
    <row r="770" spans="1:30" ht="15.75" hidden="1" x14ac:dyDescent="0.25">
      <c r="A770" s="32">
        <v>64375</v>
      </c>
      <c r="B770" s="95">
        <f t="shared" si="121"/>
        <v>31</v>
      </c>
      <c r="C770" s="83">
        <f>'[2]FGT PRIMARY FIRM ZONE 1'!V781</f>
        <v>122.58</v>
      </c>
      <c r="D770" s="83">
        <f>'[2]FGT PRIMARY FIRM ZONE 2'!V781</f>
        <v>297.94100000000003</v>
      </c>
      <c r="E770" s="92">
        <f>'[2]FGT PRIMARY FIRM ZONE 3'!V781</f>
        <v>89.177000000000007</v>
      </c>
      <c r="F770" s="83">
        <f>'[2]FGT FIRM ZONE 3 MOBILE BAY-DES'!V781-40-60-100</f>
        <v>40.301999999999992</v>
      </c>
      <c r="G770" s="86">
        <v>40</v>
      </c>
      <c r="H770" s="83">
        <f>60+100</f>
        <v>160</v>
      </c>
      <c r="I770" s="83">
        <f t="shared" si="124"/>
        <v>0</v>
      </c>
      <c r="J770" s="86">
        <v>100</v>
      </c>
      <c r="K770" s="86">
        <v>300</v>
      </c>
      <c r="L770" s="83">
        <f t="shared" si="117"/>
        <v>1150</v>
      </c>
      <c r="M770" s="94">
        <v>600</v>
      </c>
      <c r="N770" s="83">
        <f>'[2]FGT NON-FIRM'!P781</f>
        <v>100</v>
      </c>
      <c r="O770" s="86">
        <v>240</v>
      </c>
      <c r="P770" s="86">
        <v>40</v>
      </c>
      <c r="Q770" s="86">
        <f t="shared" si="118"/>
        <v>315</v>
      </c>
      <c r="R770" s="86">
        <f t="shared" si="119"/>
        <v>100</v>
      </c>
      <c r="S770" s="83">
        <f t="shared" si="120"/>
        <v>695</v>
      </c>
      <c r="T770" s="83">
        <f>'[2]GULFSTREAM NON-FIRM'!H781</f>
        <v>50</v>
      </c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</row>
    <row r="771" spans="1:30" ht="15.75" hidden="1" x14ac:dyDescent="0.25">
      <c r="A771" s="32">
        <v>64405</v>
      </c>
      <c r="B771" s="95">
        <f t="shared" si="121"/>
        <v>30</v>
      </c>
      <c r="C771" s="83">
        <f>'[2]FGT PRIMARY FIRM ZONE 1'!V782</f>
        <v>141.29300000000001</v>
      </c>
      <c r="D771" s="83">
        <f>'[2]FGT PRIMARY FIRM ZONE 2'!V782</f>
        <v>267.99299999999999</v>
      </c>
      <c r="E771" s="92">
        <f>'[2]FGT PRIMARY FIRM ZONE 3'!V782</f>
        <v>115.01600000000001</v>
      </c>
      <c r="F771" s="83">
        <f>'[2]FGT FIRM ZONE 3 MOBILE BAY-DES'!V782-40-25-60-100</f>
        <v>89.698000000000036</v>
      </c>
      <c r="G771" s="86">
        <v>40</v>
      </c>
      <c r="H771" s="83">
        <f t="shared" ref="H771:H777" si="126">25+60+100</f>
        <v>185</v>
      </c>
      <c r="I771" s="83">
        <f t="shared" si="124"/>
        <v>0</v>
      </c>
      <c r="J771" s="86">
        <v>100</v>
      </c>
      <c r="K771" s="86">
        <v>300</v>
      </c>
      <c r="L771" s="83">
        <f t="shared" si="117"/>
        <v>1239</v>
      </c>
      <c r="M771" s="94">
        <v>600</v>
      </c>
      <c r="N771" s="83">
        <f>'[2]FGT NON-FIRM'!P782</f>
        <v>100</v>
      </c>
      <c r="O771" s="86">
        <v>240</v>
      </c>
      <c r="P771" s="86">
        <v>40</v>
      </c>
      <c r="Q771" s="86">
        <f t="shared" si="118"/>
        <v>315</v>
      </c>
      <c r="R771" s="86">
        <f t="shared" si="119"/>
        <v>100</v>
      </c>
      <c r="S771" s="83">
        <f t="shared" si="120"/>
        <v>695</v>
      </c>
      <c r="T771" s="83">
        <f>'[2]GULFSTREAM NON-FIRM'!H782</f>
        <v>50</v>
      </c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</row>
    <row r="772" spans="1:30" ht="15.75" hidden="1" x14ac:dyDescent="0.25">
      <c r="A772" s="32">
        <v>64436</v>
      </c>
      <c r="B772" s="95">
        <f t="shared" si="121"/>
        <v>31</v>
      </c>
      <c r="C772" s="83">
        <f>'[2]FGT PRIMARY FIRM ZONE 1'!V783</f>
        <v>194.20499999999998</v>
      </c>
      <c r="D772" s="83">
        <f>'[2]FGT PRIMARY FIRM ZONE 2'!V783</f>
        <v>267.46600000000001</v>
      </c>
      <c r="E772" s="92">
        <f>'[2]FGT PRIMARY FIRM ZONE 3'!V783</f>
        <v>133.845</v>
      </c>
      <c r="F772" s="83">
        <f>'[2]FGT FIRM ZONE 3 MOBILE BAY-DES'!V783-40-25-60-100</f>
        <v>53.48399999999998</v>
      </c>
      <c r="G772" s="86">
        <v>40</v>
      </c>
      <c r="H772" s="83">
        <f t="shared" si="126"/>
        <v>185</v>
      </c>
      <c r="I772" s="83">
        <f t="shared" si="124"/>
        <v>0</v>
      </c>
      <c r="J772" s="86">
        <v>100</v>
      </c>
      <c r="K772" s="86">
        <v>300</v>
      </c>
      <c r="L772" s="83">
        <f t="shared" si="117"/>
        <v>1274</v>
      </c>
      <c r="M772" s="94">
        <v>600</v>
      </c>
      <c r="N772" s="83">
        <f>'[2]FGT NON-FIRM'!P783</f>
        <v>75</v>
      </c>
      <c r="O772" s="86">
        <v>240</v>
      </c>
      <c r="P772" s="86">
        <v>40</v>
      </c>
      <c r="Q772" s="86">
        <f t="shared" si="118"/>
        <v>315</v>
      </c>
      <c r="R772" s="86">
        <f t="shared" si="119"/>
        <v>100</v>
      </c>
      <c r="S772" s="83">
        <f t="shared" si="120"/>
        <v>695</v>
      </c>
      <c r="T772" s="83">
        <f>'[2]GULFSTREAM NON-FIRM'!H783</f>
        <v>50</v>
      </c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</row>
    <row r="773" spans="1:30" ht="15.75" hidden="1" x14ac:dyDescent="0.25">
      <c r="A773" s="32">
        <v>64466</v>
      </c>
      <c r="B773" s="95">
        <f t="shared" si="121"/>
        <v>30</v>
      </c>
      <c r="C773" s="83">
        <f>'[2]FGT PRIMARY FIRM ZONE 1'!V784</f>
        <v>194.20499999999998</v>
      </c>
      <c r="D773" s="83">
        <f>'[2]FGT PRIMARY FIRM ZONE 2'!V784</f>
        <v>267.46600000000001</v>
      </c>
      <c r="E773" s="92">
        <f>'[2]FGT PRIMARY FIRM ZONE 3'!V784</f>
        <v>133.845</v>
      </c>
      <c r="F773" s="83">
        <f>'[2]FGT FIRM ZONE 3 MOBILE BAY-DES'!V784-40-25-60-100</f>
        <v>53.48399999999998</v>
      </c>
      <c r="G773" s="86">
        <v>40</v>
      </c>
      <c r="H773" s="83">
        <f t="shared" si="126"/>
        <v>185</v>
      </c>
      <c r="I773" s="83">
        <f t="shared" si="124"/>
        <v>0</v>
      </c>
      <c r="J773" s="86">
        <v>100</v>
      </c>
      <c r="K773" s="86">
        <v>300</v>
      </c>
      <c r="L773" s="83">
        <f t="shared" si="117"/>
        <v>1274</v>
      </c>
      <c r="M773" s="94">
        <v>600</v>
      </c>
      <c r="N773" s="83">
        <f>'[2]FGT NON-FIRM'!P784</f>
        <v>30</v>
      </c>
      <c r="O773" s="86">
        <v>240</v>
      </c>
      <c r="P773" s="86">
        <v>40</v>
      </c>
      <c r="Q773" s="86">
        <f t="shared" si="118"/>
        <v>315</v>
      </c>
      <c r="R773" s="86">
        <f t="shared" si="119"/>
        <v>100</v>
      </c>
      <c r="S773" s="83">
        <f t="shared" si="120"/>
        <v>695</v>
      </c>
      <c r="T773" s="83">
        <f>'[2]GULFSTREAM NON-FIRM'!H784</f>
        <v>50</v>
      </c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</row>
    <row r="774" spans="1:30" ht="15.75" hidden="1" x14ac:dyDescent="0.25">
      <c r="A774" s="32">
        <v>64497</v>
      </c>
      <c r="B774" s="95">
        <f t="shared" si="121"/>
        <v>31</v>
      </c>
      <c r="C774" s="83">
        <f>'[2]FGT PRIMARY FIRM ZONE 1'!V785</f>
        <v>194.20499999999998</v>
      </c>
      <c r="D774" s="83">
        <f>'[2]FGT PRIMARY FIRM ZONE 2'!V785</f>
        <v>267.46600000000001</v>
      </c>
      <c r="E774" s="92">
        <f>'[2]FGT PRIMARY FIRM ZONE 3'!V785</f>
        <v>133.845</v>
      </c>
      <c r="F774" s="83">
        <f>'[2]FGT FIRM ZONE 3 MOBILE BAY-DES'!V785-40-25-60-100</f>
        <v>53.48399999999998</v>
      </c>
      <c r="G774" s="86">
        <v>40</v>
      </c>
      <c r="H774" s="83">
        <f t="shared" si="126"/>
        <v>185</v>
      </c>
      <c r="I774" s="83">
        <f t="shared" si="124"/>
        <v>0</v>
      </c>
      <c r="J774" s="86">
        <v>100</v>
      </c>
      <c r="K774" s="86">
        <v>300</v>
      </c>
      <c r="L774" s="83">
        <f t="shared" si="117"/>
        <v>1274</v>
      </c>
      <c r="M774" s="94">
        <v>600</v>
      </c>
      <c r="N774" s="83">
        <f>'[2]FGT NON-FIRM'!P785</f>
        <v>30</v>
      </c>
      <c r="O774" s="86">
        <v>240</v>
      </c>
      <c r="P774" s="86">
        <v>40</v>
      </c>
      <c r="Q774" s="86">
        <f t="shared" si="118"/>
        <v>315</v>
      </c>
      <c r="R774" s="86">
        <f t="shared" si="119"/>
        <v>100</v>
      </c>
      <c r="S774" s="83">
        <f t="shared" si="120"/>
        <v>695</v>
      </c>
      <c r="T774" s="83">
        <f>'[2]GULFSTREAM NON-FIRM'!H785</f>
        <v>0</v>
      </c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</row>
    <row r="775" spans="1:30" ht="15.75" hidden="1" x14ac:dyDescent="0.25">
      <c r="A775" s="32">
        <v>64528</v>
      </c>
      <c r="B775" s="95">
        <f t="shared" si="121"/>
        <v>31</v>
      </c>
      <c r="C775" s="83">
        <f>'[2]FGT PRIMARY FIRM ZONE 1'!V786</f>
        <v>194.20499999999998</v>
      </c>
      <c r="D775" s="83">
        <f>'[2]FGT PRIMARY FIRM ZONE 2'!V786</f>
        <v>267.46600000000001</v>
      </c>
      <c r="E775" s="92">
        <f>'[2]FGT PRIMARY FIRM ZONE 3'!V786</f>
        <v>133.845</v>
      </c>
      <c r="F775" s="83">
        <f>'[2]FGT FIRM ZONE 3 MOBILE BAY-DES'!V786-40-25-60-100</f>
        <v>53.48399999999998</v>
      </c>
      <c r="G775" s="86">
        <v>40</v>
      </c>
      <c r="H775" s="83">
        <f t="shared" si="126"/>
        <v>185</v>
      </c>
      <c r="I775" s="83">
        <f t="shared" si="124"/>
        <v>0</v>
      </c>
      <c r="J775" s="86">
        <v>100</v>
      </c>
      <c r="K775" s="86">
        <v>300</v>
      </c>
      <c r="L775" s="83">
        <f t="shared" si="117"/>
        <v>1274</v>
      </c>
      <c r="M775" s="94">
        <v>600</v>
      </c>
      <c r="N775" s="83">
        <f>'[2]FGT NON-FIRM'!P786</f>
        <v>30</v>
      </c>
      <c r="O775" s="86">
        <v>240</v>
      </c>
      <c r="P775" s="86">
        <v>40</v>
      </c>
      <c r="Q775" s="86">
        <f t="shared" si="118"/>
        <v>315</v>
      </c>
      <c r="R775" s="86">
        <f t="shared" si="119"/>
        <v>100</v>
      </c>
      <c r="S775" s="83">
        <f t="shared" si="120"/>
        <v>695</v>
      </c>
      <c r="T775" s="83">
        <f>'[2]GULFSTREAM NON-FIRM'!H786</f>
        <v>0</v>
      </c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</row>
    <row r="776" spans="1:30" ht="15.75" hidden="1" x14ac:dyDescent="0.25">
      <c r="A776" s="32">
        <v>64558</v>
      </c>
      <c r="B776" s="95">
        <f t="shared" si="121"/>
        <v>30</v>
      </c>
      <c r="C776" s="83">
        <f>'[2]FGT PRIMARY FIRM ZONE 1'!V787</f>
        <v>194.20499999999998</v>
      </c>
      <c r="D776" s="83">
        <f>'[2]FGT PRIMARY FIRM ZONE 2'!V787</f>
        <v>267.46600000000001</v>
      </c>
      <c r="E776" s="92">
        <f>'[2]FGT PRIMARY FIRM ZONE 3'!V787</f>
        <v>133.845</v>
      </c>
      <c r="F776" s="83">
        <f>'[2]FGT FIRM ZONE 3 MOBILE BAY-DES'!V787-40-25-60-100</f>
        <v>53.48399999999998</v>
      </c>
      <c r="G776" s="86">
        <v>40</v>
      </c>
      <c r="H776" s="83">
        <f t="shared" si="126"/>
        <v>185</v>
      </c>
      <c r="I776" s="83">
        <f t="shared" si="124"/>
        <v>0</v>
      </c>
      <c r="J776" s="86">
        <v>100</v>
      </c>
      <c r="K776" s="86">
        <v>300</v>
      </c>
      <c r="L776" s="83">
        <f t="shared" si="117"/>
        <v>1274</v>
      </c>
      <c r="M776" s="94">
        <v>600</v>
      </c>
      <c r="N776" s="83">
        <f>'[2]FGT NON-FIRM'!P787</f>
        <v>30</v>
      </c>
      <c r="O776" s="86">
        <v>240</v>
      </c>
      <c r="P776" s="86">
        <v>40</v>
      </c>
      <c r="Q776" s="86">
        <f t="shared" si="118"/>
        <v>315</v>
      </c>
      <c r="R776" s="86">
        <f t="shared" si="119"/>
        <v>100</v>
      </c>
      <c r="S776" s="83">
        <f t="shared" si="120"/>
        <v>695</v>
      </c>
      <c r="T776" s="83">
        <f>'[2]GULFSTREAM NON-FIRM'!H787</f>
        <v>0</v>
      </c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</row>
    <row r="777" spans="1:30" ht="15.75" hidden="1" x14ac:dyDescent="0.25">
      <c r="A777" s="32">
        <v>64589</v>
      </c>
      <c r="B777" s="95">
        <f t="shared" si="121"/>
        <v>31</v>
      </c>
      <c r="C777" s="83">
        <f>'[2]FGT PRIMARY FIRM ZONE 1'!V788</f>
        <v>131.881</v>
      </c>
      <c r="D777" s="83">
        <f>'[2]FGT PRIMARY FIRM ZONE 2'!V788</f>
        <v>277.16699999999997</v>
      </c>
      <c r="E777" s="92">
        <f>'[2]FGT PRIMARY FIRM ZONE 3'!V788</f>
        <v>79.08</v>
      </c>
      <c r="F777" s="83">
        <f>'[2]FGT FIRM ZONE 3 MOBILE BAY-DES'!V788-40-25-60-100</f>
        <v>125.87199999999996</v>
      </c>
      <c r="G777" s="86">
        <v>40</v>
      </c>
      <c r="H777" s="83">
        <f t="shared" si="126"/>
        <v>185</v>
      </c>
      <c r="I777" s="83">
        <f t="shared" si="124"/>
        <v>0</v>
      </c>
      <c r="J777" s="86">
        <v>100</v>
      </c>
      <c r="K777" s="86">
        <v>300</v>
      </c>
      <c r="L777" s="83">
        <f t="shared" si="117"/>
        <v>1239</v>
      </c>
      <c r="M777" s="94">
        <v>600</v>
      </c>
      <c r="N777" s="83">
        <f>'[2]FGT NON-FIRM'!P788</f>
        <v>75</v>
      </c>
      <c r="O777" s="86">
        <v>240</v>
      </c>
      <c r="P777" s="86">
        <v>40</v>
      </c>
      <c r="Q777" s="86">
        <f t="shared" si="118"/>
        <v>315</v>
      </c>
      <c r="R777" s="86">
        <f t="shared" si="119"/>
        <v>100</v>
      </c>
      <c r="S777" s="83">
        <f t="shared" si="120"/>
        <v>695</v>
      </c>
      <c r="T777" s="83">
        <f>'[2]GULFSTREAM NON-FIRM'!H788</f>
        <v>0</v>
      </c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</row>
    <row r="778" spans="1:30" ht="15.75" hidden="1" x14ac:dyDescent="0.25">
      <c r="A778" s="32">
        <v>64619</v>
      </c>
      <c r="B778" s="95">
        <f t="shared" si="121"/>
        <v>30</v>
      </c>
      <c r="C778" s="83">
        <f>'[2]FGT PRIMARY FIRM ZONE 1'!V789</f>
        <v>122.58</v>
      </c>
      <c r="D778" s="83">
        <f>'[2]FGT PRIMARY FIRM ZONE 2'!V789</f>
        <v>297.94100000000003</v>
      </c>
      <c r="E778" s="92">
        <f>'[2]FGT PRIMARY FIRM ZONE 3'!V789</f>
        <v>89.177000000000007</v>
      </c>
      <c r="F778" s="83">
        <f>'[2]FGT FIRM ZONE 3 MOBILE BAY-DES'!V789-40-60-100</f>
        <v>40.301999999999992</v>
      </c>
      <c r="G778" s="86">
        <v>40</v>
      </c>
      <c r="H778" s="83">
        <f>60+100</f>
        <v>160</v>
      </c>
      <c r="I778" s="83">
        <f t="shared" si="124"/>
        <v>0</v>
      </c>
      <c r="J778" s="86">
        <v>100</v>
      </c>
      <c r="K778" s="86">
        <v>300</v>
      </c>
      <c r="L778" s="83">
        <f t="shared" si="117"/>
        <v>1150</v>
      </c>
      <c r="M778" s="94">
        <v>600</v>
      </c>
      <c r="N778" s="83">
        <f>'[2]FGT NON-FIRM'!P789</f>
        <v>100</v>
      </c>
      <c r="O778" s="86">
        <v>240</v>
      </c>
      <c r="P778" s="86">
        <v>40</v>
      </c>
      <c r="Q778" s="86">
        <f t="shared" si="118"/>
        <v>315</v>
      </c>
      <c r="R778" s="86">
        <f t="shared" si="119"/>
        <v>100</v>
      </c>
      <c r="S778" s="83">
        <f t="shared" si="120"/>
        <v>695</v>
      </c>
      <c r="T778" s="83">
        <f>'[2]GULFSTREAM NON-FIRM'!H789</f>
        <v>50</v>
      </c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</row>
    <row r="779" spans="1:30" ht="15.75" hidden="1" x14ac:dyDescent="0.25">
      <c r="A779" s="32">
        <v>64650</v>
      </c>
      <c r="B779" s="95">
        <f t="shared" si="121"/>
        <v>31</v>
      </c>
      <c r="C779" s="83">
        <f>'[2]FGT PRIMARY FIRM ZONE 1'!V790</f>
        <v>122.58</v>
      </c>
      <c r="D779" s="83">
        <f>'[2]FGT PRIMARY FIRM ZONE 2'!V790</f>
        <v>297.94100000000003</v>
      </c>
      <c r="E779" s="92">
        <f>'[2]FGT PRIMARY FIRM ZONE 3'!V790</f>
        <v>89.177000000000007</v>
      </c>
      <c r="F779" s="83">
        <f>'[2]FGT FIRM ZONE 3 MOBILE BAY-DES'!V790-40-60-100</f>
        <v>40.301999999999992</v>
      </c>
      <c r="G779" s="86">
        <v>40</v>
      </c>
      <c r="H779" s="83">
        <f>60+100</f>
        <v>160</v>
      </c>
      <c r="I779" s="83">
        <f t="shared" si="124"/>
        <v>0</v>
      </c>
      <c r="J779" s="86">
        <v>100</v>
      </c>
      <c r="K779" s="86">
        <v>300</v>
      </c>
      <c r="L779" s="83">
        <f t="shared" si="117"/>
        <v>1150</v>
      </c>
      <c r="M779" s="94">
        <v>600</v>
      </c>
      <c r="N779" s="83">
        <f>'[2]FGT NON-FIRM'!P790</f>
        <v>100</v>
      </c>
      <c r="O779" s="86">
        <v>240</v>
      </c>
      <c r="P779" s="86">
        <v>40</v>
      </c>
      <c r="Q779" s="86">
        <f t="shared" si="118"/>
        <v>315</v>
      </c>
      <c r="R779" s="86">
        <f t="shared" si="119"/>
        <v>100</v>
      </c>
      <c r="S779" s="83">
        <f t="shared" si="120"/>
        <v>695</v>
      </c>
      <c r="T779" s="83">
        <f>'[2]GULFSTREAM NON-FIRM'!H790</f>
        <v>50</v>
      </c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</row>
    <row r="780" spans="1:30" ht="15.75" hidden="1" x14ac:dyDescent="0.25">
      <c r="A780" s="32">
        <v>64681</v>
      </c>
      <c r="B780" s="95">
        <f t="shared" si="121"/>
        <v>31</v>
      </c>
      <c r="C780" s="83">
        <f>'[2]FGT PRIMARY FIRM ZONE 1'!V791</f>
        <v>122.58</v>
      </c>
      <c r="D780" s="83">
        <f>'[2]FGT PRIMARY FIRM ZONE 2'!V791</f>
        <v>297.94100000000003</v>
      </c>
      <c r="E780" s="92">
        <f>'[2]FGT PRIMARY FIRM ZONE 3'!V791</f>
        <v>89.177000000000007</v>
      </c>
      <c r="F780" s="83">
        <f>'[2]FGT FIRM ZONE 3 MOBILE BAY-DES'!V791-40-60-100</f>
        <v>40.301999999999992</v>
      </c>
      <c r="G780" s="86">
        <v>40</v>
      </c>
      <c r="H780" s="83">
        <f>60+100</f>
        <v>160</v>
      </c>
      <c r="I780" s="83">
        <f t="shared" si="124"/>
        <v>0</v>
      </c>
      <c r="J780" s="86">
        <v>100</v>
      </c>
      <c r="K780" s="86">
        <v>300</v>
      </c>
      <c r="L780" s="83">
        <f t="shared" si="117"/>
        <v>1150</v>
      </c>
      <c r="M780" s="94">
        <v>600</v>
      </c>
      <c r="N780" s="83">
        <f>'[2]FGT NON-FIRM'!P791</f>
        <v>100</v>
      </c>
      <c r="O780" s="86">
        <v>240</v>
      </c>
      <c r="P780" s="86">
        <v>40</v>
      </c>
      <c r="Q780" s="86">
        <f t="shared" si="118"/>
        <v>315</v>
      </c>
      <c r="R780" s="86">
        <f t="shared" si="119"/>
        <v>100</v>
      </c>
      <c r="S780" s="83">
        <f t="shared" si="120"/>
        <v>695</v>
      </c>
      <c r="T780" s="83">
        <f>'[2]GULFSTREAM NON-FIRM'!H791</f>
        <v>50</v>
      </c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</row>
    <row r="781" spans="1:30" ht="15.75" hidden="1" x14ac:dyDescent="0.25">
      <c r="A781" s="32">
        <v>64709</v>
      </c>
      <c r="B781" s="95">
        <f t="shared" si="121"/>
        <v>28</v>
      </c>
      <c r="C781" s="83">
        <f>'[2]FGT PRIMARY FIRM ZONE 1'!V792</f>
        <v>122.58</v>
      </c>
      <c r="D781" s="83">
        <f>'[2]FGT PRIMARY FIRM ZONE 2'!V792</f>
        <v>297.94100000000003</v>
      </c>
      <c r="E781" s="92">
        <f>'[2]FGT PRIMARY FIRM ZONE 3'!V792</f>
        <v>89.177000000000007</v>
      </c>
      <c r="F781" s="83">
        <f>'[2]FGT FIRM ZONE 3 MOBILE BAY-DES'!V792-40-60-100</f>
        <v>40.301999999999992</v>
      </c>
      <c r="G781" s="86">
        <v>40</v>
      </c>
      <c r="H781" s="83">
        <f>60+100</f>
        <v>160</v>
      </c>
      <c r="I781" s="83">
        <f t="shared" si="124"/>
        <v>0</v>
      </c>
      <c r="J781" s="86">
        <v>100</v>
      </c>
      <c r="K781" s="86">
        <v>300</v>
      </c>
      <c r="L781" s="83">
        <f t="shared" si="117"/>
        <v>1150</v>
      </c>
      <c r="M781" s="94">
        <v>600</v>
      </c>
      <c r="N781" s="83">
        <f>'[2]FGT NON-FIRM'!P792</f>
        <v>100</v>
      </c>
      <c r="O781" s="86">
        <v>240</v>
      </c>
      <c r="P781" s="86">
        <v>40</v>
      </c>
      <c r="Q781" s="86">
        <f t="shared" si="118"/>
        <v>315</v>
      </c>
      <c r="R781" s="86">
        <f t="shared" si="119"/>
        <v>100</v>
      </c>
      <c r="S781" s="83">
        <f t="shared" si="120"/>
        <v>695</v>
      </c>
      <c r="T781" s="83">
        <f>'[2]GULFSTREAM NON-FIRM'!H792</f>
        <v>50</v>
      </c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</row>
    <row r="782" spans="1:30" ht="15.75" hidden="1" x14ac:dyDescent="0.25">
      <c r="A782" s="32">
        <v>64740</v>
      </c>
      <c r="B782" s="95">
        <f t="shared" si="121"/>
        <v>31</v>
      </c>
      <c r="C782" s="83">
        <f>'[2]FGT PRIMARY FIRM ZONE 1'!V793</f>
        <v>122.58</v>
      </c>
      <c r="D782" s="83">
        <f>'[2]FGT PRIMARY FIRM ZONE 2'!V793</f>
        <v>297.94100000000003</v>
      </c>
      <c r="E782" s="92">
        <f>'[2]FGT PRIMARY FIRM ZONE 3'!V793</f>
        <v>89.177000000000007</v>
      </c>
      <c r="F782" s="83">
        <f>'[2]FGT FIRM ZONE 3 MOBILE BAY-DES'!V793-40-60-100</f>
        <v>40.301999999999992</v>
      </c>
      <c r="G782" s="86">
        <v>40</v>
      </c>
      <c r="H782" s="83">
        <f>60+100</f>
        <v>160</v>
      </c>
      <c r="I782" s="83">
        <f t="shared" si="124"/>
        <v>0</v>
      </c>
      <c r="J782" s="86">
        <v>100</v>
      </c>
      <c r="K782" s="86">
        <v>300</v>
      </c>
      <c r="L782" s="83">
        <f t="shared" si="117"/>
        <v>1150</v>
      </c>
      <c r="M782" s="94">
        <v>600</v>
      </c>
      <c r="N782" s="83">
        <f>'[2]FGT NON-FIRM'!P793</f>
        <v>100</v>
      </c>
      <c r="O782" s="86">
        <v>240</v>
      </c>
      <c r="P782" s="86">
        <v>40</v>
      </c>
      <c r="Q782" s="86">
        <f t="shared" si="118"/>
        <v>315</v>
      </c>
      <c r="R782" s="86">
        <f t="shared" si="119"/>
        <v>100</v>
      </c>
      <c r="S782" s="83">
        <f t="shared" si="120"/>
        <v>695</v>
      </c>
      <c r="T782" s="83">
        <f>'[2]GULFSTREAM NON-FIRM'!H793</f>
        <v>50</v>
      </c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</row>
    <row r="783" spans="1:30" ht="15.75" hidden="1" x14ac:dyDescent="0.25">
      <c r="A783" s="32">
        <v>64770</v>
      </c>
      <c r="B783" s="95">
        <f t="shared" si="121"/>
        <v>30</v>
      </c>
      <c r="C783" s="83">
        <f>'[2]FGT PRIMARY FIRM ZONE 1'!V794</f>
        <v>141.29300000000001</v>
      </c>
      <c r="D783" s="83">
        <f>'[2]FGT PRIMARY FIRM ZONE 2'!V794</f>
        <v>267.99299999999999</v>
      </c>
      <c r="E783" s="92">
        <f>'[2]FGT PRIMARY FIRM ZONE 3'!V794</f>
        <v>115.01600000000001</v>
      </c>
      <c r="F783" s="83">
        <f>'[2]FGT FIRM ZONE 3 MOBILE BAY-DES'!V794-40-25-60-100</f>
        <v>89.698000000000036</v>
      </c>
      <c r="G783" s="86">
        <v>40</v>
      </c>
      <c r="H783" s="83">
        <f t="shared" ref="H783:H789" si="127">25+60+100</f>
        <v>185</v>
      </c>
      <c r="I783" s="83">
        <f t="shared" si="124"/>
        <v>0</v>
      </c>
      <c r="J783" s="86">
        <v>100</v>
      </c>
      <c r="K783" s="86">
        <v>300</v>
      </c>
      <c r="L783" s="83">
        <f t="shared" si="117"/>
        <v>1239</v>
      </c>
      <c r="M783" s="94">
        <v>600</v>
      </c>
      <c r="N783" s="83">
        <f>'[2]FGT NON-FIRM'!P794</f>
        <v>100</v>
      </c>
      <c r="O783" s="86">
        <v>240</v>
      </c>
      <c r="P783" s="86">
        <v>40</v>
      </c>
      <c r="Q783" s="86">
        <f t="shared" si="118"/>
        <v>315</v>
      </c>
      <c r="R783" s="86">
        <f t="shared" si="119"/>
        <v>100</v>
      </c>
      <c r="S783" s="83">
        <f t="shared" si="120"/>
        <v>695</v>
      </c>
      <c r="T783" s="83">
        <f>'[2]GULFSTREAM NON-FIRM'!H794</f>
        <v>50</v>
      </c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</row>
    <row r="784" spans="1:30" ht="15.75" hidden="1" x14ac:dyDescent="0.25">
      <c r="A784" s="32">
        <v>64801</v>
      </c>
      <c r="B784" s="95">
        <f t="shared" si="121"/>
        <v>31</v>
      </c>
      <c r="C784" s="83">
        <f>'[2]FGT PRIMARY FIRM ZONE 1'!V795</f>
        <v>194.20499999999998</v>
      </c>
      <c r="D784" s="83">
        <f>'[2]FGT PRIMARY FIRM ZONE 2'!V795</f>
        <v>267.46600000000001</v>
      </c>
      <c r="E784" s="92">
        <f>'[2]FGT PRIMARY FIRM ZONE 3'!V795</f>
        <v>133.845</v>
      </c>
      <c r="F784" s="83">
        <f>'[2]FGT FIRM ZONE 3 MOBILE BAY-DES'!V795-40-25-60-100</f>
        <v>53.48399999999998</v>
      </c>
      <c r="G784" s="86">
        <v>40</v>
      </c>
      <c r="H784" s="83">
        <f t="shared" si="127"/>
        <v>185</v>
      </c>
      <c r="I784" s="83">
        <f t="shared" si="124"/>
        <v>0</v>
      </c>
      <c r="J784" s="86">
        <v>100</v>
      </c>
      <c r="K784" s="86">
        <v>300</v>
      </c>
      <c r="L784" s="83">
        <f t="shared" si="117"/>
        <v>1274</v>
      </c>
      <c r="M784" s="94">
        <v>600</v>
      </c>
      <c r="N784" s="83">
        <f>'[2]FGT NON-FIRM'!P795</f>
        <v>75</v>
      </c>
      <c r="O784" s="86">
        <v>240</v>
      </c>
      <c r="P784" s="86">
        <v>40</v>
      </c>
      <c r="Q784" s="86">
        <f t="shared" si="118"/>
        <v>315</v>
      </c>
      <c r="R784" s="86">
        <f t="shared" si="119"/>
        <v>100</v>
      </c>
      <c r="S784" s="83">
        <f t="shared" si="120"/>
        <v>695</v>
      </c>
      <c r="T784" s="83">
        <f>'[2]GULFSTREAM NON-FIRM'!H795</f>
        <v>50</v>
      </c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</row>
    <row r="785" spans="1:30" ht="15.75" hidden="1" x14ac:dyDescent="0.25">
      <c r="A785" s="32">
        <v>64831</v>
      </c>
      <c r="B785" s="95">
        <f t="shared" si="121"/>
        <v>30</v>
      </c>
      <c r="C785" s="83">
        <f>'[2]FGT PRIMARY FIRM ZONE 1'!V796</f>
        <v>194.20499999999998</v>
      </c>
      <c r="D785" s="83">
        <f>'[2]FGT PRIMARY FIRM ZONE 2'!V796</f>
        <v>267.46600000000001</v>
      </c>
      <c r="E785" s="92">
        <f>'[2]FGT PRIMARY FIRM ZONE 3'!V796</f>
        <v>133.845</v>
      </c>
      <c r="F785" s="83">
        <f>'[2]FGT FIRM ZONE 3 MOBILE BAY-DES'!V796-40-25-60-100</f>
        <v>53.48399999999998</v>
      </c>
      <c r="G785" s="86">
        <v>40</v>
      </c>
      <c r="H785" s="83">
        <f t="shared" si="127"/>
        <v>185</v>
      </c>
      <c r="I785" s="83">
        <f t="shared" si="124"/>
        <v>0</v>
      </c>
      <c r="J785" s="86">
        <v>100</v>
      </c>
      <c r="K785" s="86">
        <v>300</v>
      </c>
      <c r="L785" s="83">
        <f t="shared" si="117"/>
        <v>1274</v>
      </c>
      <c r="M785" s="94">
        <v>600</v>
      </c>
      <c r="N785" s="83">
        <f>'[2]FGT NON-FIRM'!P796</f>
        <v>30</v>
      </c>
      <c r="O785" s="86">
        <v>240</v>
      </c>
      <c r="P785" s="86">
        <v>40</v>
      </c>
      <c r="Q785" s="86">
        <f t="shared" si="118"/>
        <v>315</v>
      </c>
      <c r="R785" s="86">
        <f t="shared" si="119"/>
        <v>100</v>
      </c>
      <c r="S785" s="83">
        <f t="shared" si="120"/>
        <v>695</v>
      </c>
      <c r="T785" s="83">
        <f>'[2]GULFSTREAM NON-FIRM'!H796</f>
        <v>50</v>
      </c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</row>
    <row r="786" spans="1:30" ht="15.75" hidden="1" x14ac:dyDescent="0.25">
      <c r="A786" s="32">
        <v>64862</v>
      </c>
      <c r="B786" s="95">
        <f t="shared" si="121"/>
        <v>31</v>
      </c>
      <c r="C786" s="83">
        <f>'[2]FGT PRIMARY FIRM ZONE 1'!V797</f>
        <v>194.20499999999998</v>
      </c>
      <c r="D786" s="83">
        <f>'[2]FGT PRIMARY FIRM ZONE 2'!V797</f>
        <v>267.46600000000001</v>
      </c>
      <c r="E786" s="92">
        <f>'[2]FGT PRIMARY FIRM ZONE 3'!V797</f>
        <v>133.845</v>
      </c>
      <c r="F786" s="83">
        <f>'[2]FGT FIRM ZONE 3 MOBILE BAY-DES'!V797-40-25-60-100</f>
        <v>53.48399999999998</v>
      </c>
      <c r="G786" s="86">
        <v>40</v>
      </c>
      <c r="H786" s="83">
        <f t="shared" si="127"/>
        <v>185</v>
      </c>
      <c r="I786" s="83">
        <f t="shared" si="124"/>
        <v>0</v>
      </c>
      <c r="J786" s="86">
        <v>100</v>
      </c>
      <c r="K786" s="86">
        <v>300</v>
      </c>
      <c r="L786" s="83">
        <f t="shared" si="117"/>
        <v>1274</v>
      </c>
      <c r="M786" s="94">
        <v>600</v>
      </c>
      <c r="N786" s="83">
        <f>'[2]FGT NON-FIRM'!P797</f>
        <v>30</v>
      </c>
      <c r="O786" s="86">
        <v>240</v>
      </c>
      <c r="P786" s="86">
        <v>40</v>
      </c>
      <c r="Q786" s="86">
        <f t="shared" si="118"/>
        <v>315</v>
      </c>
      <c r="R786" s="86">
        <f t="shared" si="119"/>
        <v>100</v>
      </c>
      <c r="S786" s="83">
        <f t="shared" si="120"/>
        <v>695</v>
      </c>
      <c r="T786" s="83">
        <f>'[2]GULFSTREAM NON-FIRM'!H797</f>
        <v>0</v>
      </c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</row>
    <row r="787" spans="1:30" ht="15.75" hidden="1" x14ac:dyDescent="0.25">
      <c r="A787" s="32">
        <v>64893</v>
      </c>
      <c r="B787" s="95">
        <f t="shared" si="121"/>
        <v>31</v>
      </c>
      <c r="C787" s="83">
        <f>'[2]FGT PRIMARY FIRM ZONE 1'!V798</f>
        <v>194.20499999999998</v>
      </c>
      <c r="D787" s="83">
        <f>'[2]FGT PRIMARY FIRM ZONE 2'!V798</f>
        <v>267.46600000000001</v>
      </c>
      <c r="E787" s="92">
        <f>'[2]FGT PRIMARY FIRM ZONE 3'!V798</f>
        <v>133.845</v>
      </c>
      <c r="F787" s="83">
        <f>'[2]FGT FIRM ZONE 3 MOBILE BAY-DES'!V798-40-25-60-100</f>
        <v>53.48399999999998</v>
      </c>
      <c r="G787" s="86">
        <v>40</v>
      </c>
      <c r="H787" s="83">
        <f t="shared" si="127"/>
        <v>185</v>
      </c>
      <c r="I787" s="83">
        <f t="shared" si="124"/>
        <v>0</v>
      </c>
      <c r="J787" s="86">
        <v>100</v>
      </c>
      <c r="K787" s="86">
        <v>300</v>
      </c>
      <c r="L787" s="83">
        <f t="shared" si="117"/>
        <v>1274</v>
      </c>
      <c r="M787" s="94">
        <v>600</v>
      </c>
      <c r="N787" s="83">
        <f>'[2]FGT NON-FIRM'!P798</f>
        <v>30</v>
      </c>
      <c r="O787" s="86">
        <v>240</v>
      </c>
      <c r="P787" s="86">
        <v>40</v>
      </c>
      <c r="Q787" s="86">
        <f t="shared" si="118"/>
        <v>315</v>
      </c>
      <c r="R787" s="86">
        <f t="shared" si="119"/>
        <v>100</v>
      </c>
      <c r="S787" s="83">
        <f t="shared" si="120"/>
        <v>695</v>
      </c>
      <c r="T787" s="83">
        <f>'[2]GULFSTREAM NON-FIRM'!H798</f>
        <v>0</v>
      </c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</row>
    <row r="788" spans="1:30" ht="15.75" hidden="1" x14ac:dyDescent="0.25">
      <c r="A788" s="32">
        <v>64923</v>
      </c>
      <c r="B788" s="95">
        <f t="shared" si="121"/>
        <v>30</v>
      </c>
      <c r="C788" s="83">
        <f>'[2]FGT PRIMARY FIRM ZONE 1'!V799</f>
        <v>194.20499999999998</v>
      </c>
      <c r="D788" s="83">
        <f>'[2]FGT PRIMARY FIRM ZONE 2'!V799</f>
        <v>267.46600000000001</v>
      </c>
      <c r="E788" s="92">
        <f>'[2]FGT PRIMARY FIRM ZONE 3'!V799</f>
        <v>133.845</v>
      </c>
      <c r="F788" s="83">
        <f>'[2]FGT FIRM ZONE 3 MOBILE BAY-DES'!V799-40-25-60-100</f>
        <v>53.48399999999998</v>
      </c>
      <c r="G788" s="86">
        <v>40</v>
      </c>
      <c r="H788" s="83">
        <f t="shared" si="127"/>
        <v>185</v>
      </c>
      <c r="I788" s="83">
        <f t="shared" si="124"/>
        <v>0</v>
      </c>
      <c r="J788" s="86">
        <v>100</v>
      </c>
      <c r="K788" s="86">
        <v>300</v>
      </c>
      <c r="L788" s="83">
        <f t="shared" ref="L788:L851" si="128">SUM(C788:K788)</f>
        <v>1274</v>
      </c>
      <c r="M788" s="94">
        <v>600</v>
      </c>
      <c r="N788" s="83">
        <f>'[2]FGT NON-FIRM'!P799</f>
        <v>30</v>
      </c>
      <c r="O788" s="86">
        <v>240</v>
      </c>
      <c r="P788" s="86">
        <v>40</v>
      </c>
      <c r="Q788" s="86">
        <f t="shared" ref="Q788:Q851" si="129">695-R788-O788-P788</f>
        <v>315</v>
      </c>
      <c r="R788" s="86">
        <f t="shared" ref="R788:R851" si="130">200-J788</f>
        <v>100</v>
      </c>
      <c r="S788" s="83">
        <f t="shared" ref="S788:S851" si="131">SUM(O788:R788)</f>
        <v>695</v>
      </c>
      <c r="T788" s="83">
        <f>'[2]GULFSTREAM NON-FIRM'!H799</f>
        <v>0</v>
      </c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</row>
    <row r="789" spans="1:30" ht="15.75" hidden="1" x14ac:dyDescent="0.25">
      <c r="A789" s="32">
        <v>64954</v>
      </c>
      <c r="B789" s="95">
        <f t="shared" si="121"/>
        <v>31</v>
      </c>
      <c r="C789" s="83">
        <f>'[2]FGT PRIMARY FIRM ZONE 1'!V800</f>
        <v>131.881</v>
      </c>
      <c r="D789" s="83">
        <f>'[2]FGT PRIMARY FIRM ZONE 2'!V800</f>
        <v>277.16699999999997</v>
      </c>
      <c r="E789" s="92">
        <f>'[2]FGT PRIMARY FIRM ZONE 3'!V800</f>
        <v>79.08</v>
      </c>
      <c r="F789" s="83">
        <f>'[2]FGT FIRM ZONE 3 MOBILE BAY-DES'!V800-40-25-60-100</f>
        <v>125.87199999999996</v>
      </c>
      <c r="G789" s="86">
        <v>40</v>
      </c>
      <c r="H789" s="83">
        <f t="shared" si="127"/>
        <v>185</v>
      </c>
      <c r="I789" s="83">
        <f t="shared" si="124"/>
        <v>0</v>
      </c>
      <c r="J789" s="86">
        <v>100</v>
      </c>
      <c r="K789" s="86">
        <v>300</v>
      </c>
      <c r="L789" s="83">
        <f t="shared" si="128"/>
        <v>1239</v>
      </c>
      <c r="M789" s="94">
        <v>600</v>
      </c>
      <c r="N789" s="83">
        <f>'[2]FGT NON-FIRM'!P800</f>
        <v>75</v>
      </c>
      <c r="O789" s="86">
        <v>240</v>
      </c>
      <c r="P789" s="86">
        <v>40</v>
      </c>
      <c r="Q789" s="86">
        <f t="shared" si="129"/>
        <v>315</v>
      </c>
      <c r="R789" s="86">
        <f t="shared" si="130"/>
        <v>100</v>
      </c>
      <c r="S789" s="83">
        <f t="shared" si="131"/>
        <v>695</v>
      </c>
      <c r="T789" s="83">
        <f>'[2]GULFSTREAM NON-FIRM'!H800</f>
        <v>0</v>
      </c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</row>
    <row r="790" spans="1:30" ht="15.75" hidden="1" x14ac:dyDescent="0.25">
      <c r="A790" s="32">
        <v>64984</v>
      </c>
      <c r="B790" s="95">
        <f t="shared" si="121"/>
        <v>30</v>
      </c>
      <c r="C790" s="83">
        <f>'[2]FGT PRIMARY FIRM ZONE 1'!V801</f>
        <v>122.58</v>
      </c>
      <c r="D790" s="83">
        <f>'[2]FGT PRIMARY FIRM ZONE 2'!V801</f>
        <v>297.94100000000003</v>
      </c>
      <c r="E790" s="92">
        <f>'[2]FGT PRIMARY FIRM ZONE 3'!V801</f>
        <v>89.177000000000007</v>
      </c>
      <c r="F790" s="83">
        <f>'[2]FGT FIRM ZONE 3 MOBILE BAY-DES'!V801-40-60-100</f>
        <v>40.301999999999992</v>
      </c>
      <c r="G790" s="86">
        <v>40</v>
      </c>
      <c r="H790" s="83">
        <f>60+100</f>
        <v>160</v>
      </c>
      <c r="I790" s="83">
        <f t="shared" si="124"/>
        <v>0</v>
      </c>
      <c r="J790" s="86">
        <v>100</v>
      </c>
      <c r="K790" s="86">
        <v>300</v>
      </c>
      <c r="L790" s="83">
        <f t="shared" si="128"/>
        <v>1150</v>
      </c>
      <c r="M790" s="94">
        <v>600</v>
      </c>
      <c r="N790" s="83">
        <f>'[2]FGT NON-FIRM'!P801</f>
        <v>100</v>
      </c>
      <c r="O790" s="86">
        <v>240</v>
      </c>
      <c r="P790" s="86">
        <v>40</v>
      </c>
      <c r="Q790" s="86">
        <f t="shared" si="129"/>
        <v>315</v>
      </c>
      <c r="R790" s="86">
        <f t="shared" si="130"/>
        <v>100</v>
      </c>
      <c r="S790" s="83">
        <f t="shared" si="131"/>
        <v>695</v>
      </c>
      <c r="T790" s="83">
        <f>'[2]GULFSTREAM NON-FIRM'!H801</f>
        <v>50</v>
      </c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</row>
    <row r="791" spans="1:30" ht="15.75" hidden="1" x14ac:dyDescent="0.25">
      <c r="A791" s="32">
        <v>65015</v>
      </c>
      <c r="B791" s="95">
        <f t="shared" si="121"/>
        <v>31</v>
      </c>
      <c r="C791" s="83">
        <f>'[2]FGT PRIMARY FIRM ZONE 1'!V802</f>
        <v>122.58</v>
      </c>
      <c r="D791" s="83">
        <f>'[2]FGT PRIMARY FIRM ZONE 2'!V802</f>
        <v>297.94100000000003</v>
      </c>
      <c r="E791" s="92">
        <f>'[2]FGT PRIMARY FIRM ZONE 3'!V802</f>
        <v>89.177000000000007</v>
      </c>
      <c r="F791" s="83">
        <f>'[2]FGT FIRM ZONE 3 MOBILE BAY-DES'!V802-40-60-100</f>
        <v>40.301999999999992</v>
      </c>
      <c r="G791" s="86">
        <v>40</v>
      </c>
      <c r="H791" s="83">
        <f>60+100</f>
        <v>160</v>
      </c>
      <c r="I791" s="83">
        <f t="shared" si="124"/>
        <v>0</v>
      </c>
      <c r="J791" s="86">
        <v>100</v>
      </c>
      <c r="K791" s="86">
        <v>300</v>
      </c>
      <c r="L791" s="83">
        <f t="shared" si="128"/>
        <v>1150</v>
      </c>
      <c r="M791" s="94">
        <v>600</v>
      </c>
      <c r="N791" s="83">
        <f>'[2]FGT NON-FIRM'!P802</f>
        <v>100</v>
      </c>
      <c r="O791" s="86">
        <v>240</v>
      </c>
      <c r="P791" s="86">
        <v>40</v>
      </c>
      <c r="Q791" s="86">
        <f t="shared" si="129"/>
        <v>315</v>
      </c>
      <c r="R791" s="86">
        <f t="shared" si="130"/>
        <v>100</v>
      </c>
      <c r="S791" s="83">
        <f t="shared" si="131"/>
        <v>695</v>
      </c>
      <c r="T791" s="83">
        <f>'[2]GULFSTREAM NON-FIRM'!H802</f>
        <v>50</v>
      </c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</row>
    <row r="792" spans="1:30" ht="15.75" hidden="1" x14ac:dyDescent="0.25">
      <c r="A792" s="32">
        <v>65046</v>
      </c>
      <c r="B792" s="95">
        <f t="shared" ref="B792:B855" si="132">EOMONTH(A792,0)-EOMONTH(A792,-1)</f>
        <v>31</v>
      </c>
      <c r="C792" s="83">
        <f>'[2]FGT PRIMARY FIRM ZONE 1'!V803</f>
        <v>122.58</v>
      </c>
      <c r="D792" s="83">
        <f>'[2]FGT PRIMARY FIRM ZONE 2'!V803</f>
        <v>297.94100000000003</v>
      </c>
      <c r="E792" s="92">
        <f>'[2]FGT PRIMARY FIRM ZONE 3'!V803</f>
        <v>89.177000000000007</v>
      </c>
      <c r="F792" s="83">
        <f>'[2]FGT FIRM ZONE 3 MOBILE BAY-DES'!V803-40-60-100</f>
        <v>40.301999999999992</v>
      </c>
      <c r="G792" s="86">
        <v>40</v>
      </c>
      <c r="H792" s="83">
        <f>60+100</f>
        <v>160</v>
      </c>
      <c r="I792" s="83">
        <f t="shared" si="124"/>
        <v>0</v>
      </c>
      <c r="J792" s="86">
        <v>100</v>
      </c>
      <c r="K792" s="86">
        <v>300</v>
      </c>
      <c r="L792" s="83">
        <f t="shared" si="128"/>
        <v>1150</v>
      </c>
      <c r="M792" s="94">
        <v>600</v>
      </c>
      <c r="N792" s="83">
        <f>'[2]FGT NON-FIRM'!P803</f>
        <v>100</v>
      </c>
      <c r="O792" s="86">
        <v>240</v>
      </c>
      <c r="P792" s="86">
        <v>40</v>
      </c>
      <c r="Q792" s="86">
        <f t="shared" si="129"/>
        <v>315</v>
      </c>
      <c r="R792" s="86">
        <f t="shared" si="130"/>
        <v>100</v>
      </c>
      <c r="S792" s="83">
        <f t="shared" si="131"/>
        <v>695</v>
      </c>
      <c r="T792" s="83">
        <f>'[2]GULFSTREAM NON-FIRM'!H803</f>
        <v>50</v>
      </c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</row>
    <row r="793" spans="1:30" ht="15.75" hidden="1" x14ac:dyDescent="0.25">
      <c r="A793" s="32">
        <v>65074</v>
      </c>
      <c r="B793" s="95">
        <f t="shared" si="132"/>
        <v>28</v>
      </c>
      <c r="C793" s="83">
        <f>'[2]FGT PRIMARY FIRM ZONE 1'!V804</f>
        <v>122.58</v>
      </c>
      <c r="D793" s="83">
        <f>'[2]FGT PRIMARY FIRM ZONE 2'!V804</f>
        <v>297.94100000000003</v>
      </c>
      <c r="E793" s="92">
        <f>'[2]FGT PRIMARY FIRM ZONE 3'!V804</f>
        <v>89.177000000000007</v>
      </c>
      <c r="F793" s="83">
        <f>'[2]FGT FIRM ZONE 3 MOBILE BAY-DES'!V804-40-60-100</f>
        <v>40.301999999999992</v>
      </c>
      <c r="G793" s="86">
        <v>40</v>
      </c>
      <c r="H793" s="83">
        <f>60+100</f>
        <v>160</v>
      </c>
      <c r="I793" s="83">
        <f t="shared" si="124"/>
        <v>0</v>
      </c>
      <c r="J793" s="86">
        <v>100</v>
      </c>
      <c r="K793" s="86">
        <v>300</v>
      </c>
      <c r="L793" s="83">
        <f t="shared" si="128"/>
        <v>1150</v>
      </c>
      <c r="M793" s="94">
        <v>600</v>
      </c>
      <c r="N793" s="83">
        <f>'[2]FGT NON-FIRM'!P804</f>
        <v>100</v>
      </c>
      <c r="O793" s="86">
        <v>240</v>
      </c>
      <c r="P793" s="86">
        <v>40</v>
      </c>
      <c r="Q793" s="86">
        <f t="shared" si="129"/>
        <v>315</v>
      </c>
      <c r="R793" s="86">
        <f t="shared" si="130"/>
        <v>100</v>
      </c>
      <c r="S793" s="83">
        <f t="shared" si="131"/>
        <v>695</v>
      </c>
      <c r="T793" s="83">
        <f>'[2]GULFSTREAM NON-FIRM'!H804</f>
        <v>50</v>
      </c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</row>
    <row r="794" spans="1:30" ht="15.75" hidden="1" x14ac:dyDescent="0.25">
      <c r="A794" s="32">
        <v>65105</v>
      </c>
      <c r="B794" s="95">
        <f t="shared" si="132"/>
        <v>31</v>
      </c>
      <c r="C794" s="83">
        <f>'[2]FGT PRIMARY FIRM ZONE 1'!V805</f>
        <v>122.58</v>
      </c>
      <c r="D794" s="83">
        <f>'[2]FGT PRIMARY FIRM ZONE 2'!V805</f>
        <v>297.94100000000003</v>
      </c>
      <c r="E794" s="92">
        <f>'[2]FGT PRIMARY FIRM ZONE 3'!V805</f>
        <v>89.177000000000007</v>
      </c>
      <c r="F794" s="83">
        <f>'[2]FGT FIRM ZONE 3 MOBILE BAY-DES'!V805-40-60-100</f>
        <v>40.301999999999992</v>
      </c>
      <c r="G794" s="86">
        <v>40</v>
      </c>
      <c r="H794" s="83">
        <f>60+100</f>
        <v>160</v>
      </c>
      <c r="I794" s="83">
        <f t="shared" si="124"/>
        <v>0</v>
      </c>
      <c r="J794" s="86">
        <v>100</v>
      </c>
      <c r="K794" s="86">
        <v>300</v>
      </c>
      <c r="L794" s="83">
        <f t="shared" si="128"/>
        <v>1150</v>
      </c>
      <c r="M794" s="94">
        <v>600</v>
      </c>
      <c r="N794" s="83">
        <f>'[2]FGT NON-FIRM'!P805</f>
        <v>100</v>
      </c>
      <c r="O794" s="86">
        <v>240</v>
      </c>
      <c r="P794" s="86">
        <v>40</v>
      </c>
      <c r="Q794" s="86">
        <f t="shared" si="129"/>
        <v>315</v>
      </c>
      <c r="R794" s="86">
        <f t="shared" si="130"/>
        <v>100</v>
      </c>
      <c r="S794" s="83">
        <f t="shared" si="131"/>
        <v>695</v>
      </c>
      <c r="T794" s="83">
        <f>'[2]GULFSTREAM NON-FIRM'!H805</f>
        <v>50</v>
      </c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</row>
    <row r="795" spans="1:30" ht="15.75" hidden="1" x14ac:dyDescent="0.25">
      <c r="A795" s="32">
        <v>65135</v>
      </c>
      <c r="B795" s="95">
        <f t="shared" si="132"/>
        <v>30</v>
      </c>
      <c r="C795" s="83">
        <f>'[2]FGT PRIMARY FIRM ZONE 1'!V806</f>
        <v>141.29300000000001</v>
      </c>
      <c r="D795" s="83">
        <f>'[2]FGT PRIMARY FIRM ZONE 2'!V806</f>
        <v>267.99299999999999</v>
      </c>
      <c r="E795" s="92">
        <f>'[2]FGT PRIMARY FIRM ZONE 3'!V806</f>
        <v>115.01600000000001</v>
      </c>
      <c r="F795" s="83">
        <f>'[2]FGT FIRM ZONE 3 MOBILE BAY-DES'!V806-40-25-60-100</f>
        <v>89.698000000000036</v>
      </c>
      <c r="G795" s="86">
        <v>40</v>
      </c>
      <c r="H795" s="83">
        <f t="shared" ref="H795:H801" si="133">25+60+100</f>
        <v>185</v>
      </c>
      <c r="I795" s="83">
        <f t="shared" si="124"/>
        <v>0</v>
      </c>
      <c r="J795" s="86">
        <v>100</v>
      </c>
      <c r="K795" s="86">
        <v>300</v>
      </c>
      <c r="L795" s="83">
        <f t="shared" si="128"/>
        <v>1239</v>
      </c>
      <c r="M795" s="94">
        <v>600</v>
      </c>
      <c r="N795" s="83">
        <f>'[2]FGT NON-FIRM'!P806</f>
        <v>100</v>
      </c>
      <c r="O795" s="86">
        <v>240</v>
      </c>
      <c r="P795" s="86">
        <v>40</v>
      </c>
      <c r="Q795" s="86">
        <f t="shared" si="129"/>
        <v>315</v>
      </c>
      <c r="R795" s="86">
        <f t="shared" si="130"/>
        <v>100</v>
      </c>
      <c r="S795" s="83">
        <f t="shared" si="131"/>
        <v>695</v>
      </c>
      <c r="T795" s="83">
        <f>'[2]GULFSTREAM NON-FIRM'!H806</f>
        <v>50</v>
      </c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</row>
    <row r="796" spans="1:30" ht="15.75" hidden="1" x14ac:dyDescent="0.25">
      <c r="A796" s="32">
        <v>65166</v>
      </c>
      <c r="B796" s="95">
        <f t="shared" si="132"/>
        <v>31</v>
      </c>
      <c r="C796" s="83">
        <f>'[2]FGT PRIMARY FIRM ZONE 1'!V807</f>
        <v>194.20499999999998</v>
      </c>
      <c r="D796" s="83">
        <f>'[2]FGT PRIMARY FIRM ZONE 2'!V807</f>
        <v>267.46600000000001</v>
      </c>
      <c r="E796" s="92">
        <f>'[2]FGT PRIMARY FIRM ZONE 3'!V807</f>
        <v>133.845</v>
      </c>
      <c r="F796" s="83">
        <f>'[2]FGT FIRM ZONE 3 MOBILE BAY-DES'!V807-40-25-60-100</f>
        <v>53.48399999999998</v>
      </c>
      <c r="G796" s="86">
        <v>40</v>
      </c>
      <c r="H796" s="83">
        <f t="shared" si="133"/>
        <v>185</v>
      </c>
      <c r="I796" s="83">
        <f t="shared" si="124"/>
        <v>0</v>
      </c>
      <c r="J796" s="86">
        <v>100</v>
      </c>
      <c r="K796" s="86">
        <v>300</v>
      </c>
      <c r="L796" s="83">
        <f t="shared" si="128"/>
        <v>1274</v>
      </c>
      <c r="M796" s="94">
        <v>600</v>
      </c>
      <c r="N796" s="83">
        <f>'[2]FGT NON-FIRM'!P807</f>
        <v>75</v>
      </c>
      <c r="O796" s="86">
        <v>240</v>
      </c>
      <c r="P796" s="86">
        <v>40</v>
      </c>
      <c r="Q796" s="86">
        <f t="shared" si="129"/>
        <v>315</v>
      </c>
      <c r="R796" s="86">
        <f t="shared" si="130"/>
        <v>100</v>
      </c>
      <c r="S796" s="83">
        <f t="shared" si="131"/>
        <v>695</v>
      </c>
      <c r="T796" s="83">
        <f>'[2]GULFSTREAM NON-FIRM'!H807</f>
        <v>50</v>
      </c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</row>
    <row r="797" spans="1:30" ht="15.75" hidden="1" x14ac:dyDescent="0.25">
      <c r="A797" s="32">
        <v>65196</v>
      </c>
      <c r="B797" s="95">
        <f t="shared" si="132"/>
        <v>30</v>
      </c>
      <c r="C797" s="83">
        <f>'[2]FGT PRIMARY FIRM ZONE 1'!V808</f>
        <v>194.20499999999998</v>
      </c>
      <c r="D797" s="83">
        <f>'[2]FGT PRIMARY FIRM ZONE 2'!V808</f>
        <v>267.46600000000001</v>
      </c>
      <c r="E797" s="92">
        <f>'[2]FGT PRIMARY FIRM ZONE 3'!V808</f>
        <v>133.845</v>
      </c>
      <c r="F797" s="83">
        <f>'[2]FGT FIRM ZONE 3 MOBILE BAY-DES'!V808-40-25-60-100</f>
        <v>53.48399999999998</v>
      </c>
      <c r="G797" s="86">
        <v>40</v>
      </c>
      <c r="H797" s="83">
        <f t="shared" si="133"/>
        <v>185</v>
      </c>
      <c r="I797" s="83">
        <f t="shared" si="124"/>
        <v>0</v>
      </c>
      <c r="J797" s="86">
        <v>100</v>
      </c>
      <c r="K797" s="86">
        <v>300</v>
      </c>
      <c r="L797" s="83">
        <f t="shared" si="128"/>
        <v>1274</v>
      </c>
      <c r="M797" s="94">
        <v>600</v>
      </c>
      <c r="N797" s="83">
        <f>'[2]FGT NON-FIRM'!P808</f>
        <v>30</v>
      </c>
      <c r="O797" s="86">
        <v>240</v>
      </c>
      <c r="P797" s="86">
        <v>40</v>
      </c>
      <c r="Q797" s="86">
        <f t="shared" si="129"/>
        <v>315</v>
      </c>
      <c r="R797" s="86">
        <f t="shared" si="130"/>
        <v>100</v>
      </c>
      <c r="S797" s="83">
        <f t="shared" si="131"/>
        <v>695</v>
      </c>
      <c r="T797" s="83">
        <f>'[2]GULFSTREAM NON-FIRM'!H808</f>
        <v>50</v>
      </c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</row>
    <row r="798" spans="1:30" ht="15.75" hidden="1" x14ac:dyDescent="0.25">
      <c r="A798" s="32">
        <v>65227</v>
      </c>
      <c r="B798" s="95">
        <f t="shared" si="132"/>
        <v>31</v>
      </c>
      <c r="C798" s="83">
        <f>'[2]FGT PRIMARY FIRM ZONE 1'!V809</f>
        <v>194.20499999999998</v>
      </c>
      <c r="D798" s="83">
        <f>'[2]FGT PRIMARY FIRM ZONE 2'!V809</f>
        <v>267.46600000000001</v>
      </c>
      <c r="E798" s="92">
        <f>'[2]FGT PRIMARY FIRM ZONE 3'!V809</f>
        <v>133.845</v>
      </c>
      <c r="F798" s="83">
        <f>'[2]FGT FIRM ZONE 3 MOBILE BAY-DES'!V809-40-25-60-100</f>
        <v>53.48399999999998</v>
      </c>
      <c r="G798" s="86">
        <v>40</v>
      </c>
      <c r="H798" s="83">
        <f t="shared" si="133"/>
        <v>185</v>
      </c>
      <c r="I798" s="83">
        <f t="shared" si="124"/>
        <v>0</v>
      </c>
      <c r="J798" s="86">
        <v>100</v>
      </c>
      <c r="K798" s="86">
        <v>300</v>
      </c>
      <c r="L798" s="83">
        <f t="shared" si="128"/>
        <v>1274</v>
      </c>
      <c r="M798" s="94">
        <v>600</v>
      </c>
      <c r="N798" s="83">
        <f>'[2]FGT NON-FIRM'!P809</f>
        <v>30</v>
      </c>
      <c r="O798" s="86">
        <v>240</v>
      </c>
      <c r="P798" s="86">
        <v>40</v>
      </c>
      <c r="Q798" s="86">
        <f t="shared" si="129"/>
        <v>315</v>
      </c>
      <c r="R798" s="86">
        <f t="shared" si="130"/>
        <v>100</v>
      </c>
      <c r="S798" s="83">
        <f t="shared" si="131"/>
        <v>695</v>
      </c>
      <c r="T798" s="83">
        <f>'[2]GULFSTREAM NON-FIRM'!H809</f>
        <v>0</v>
      </c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</row>
    <row r="799" spans="1:30" ht="15.75" hidden="1" x14ac:dyDescent="0.25">
      <c r="A799" s="32">
        <v>65258</v>
      </c>
      <c r="B799" s="95">
        <f t="shared" si="132"/>
        <v>31</v>
      </c>
      <c r="C799" s="83">
        <f>'[2]FGT PRIMARY FIRM ZONE 1'!V810</f>
        <v>194.20499999999998</v>
      </c>
      <c r="D799" s="83">
        <f>'[2]FGT PRIMARY FIRM ZONE 2'!V810</f>
        <v>267.46600000000001</v>
      </c>
      <c r="E799" s="92">
        <f>'[2]FGT PRIMARY FIRM ZONE 3'!V810</f>
        <v>133.845</v>
      </c>
      <c r="F799" s="83">
        <f>'[2]FGT FIRM ZONE 3 MOBILE BAY-DES'!V810-40-25-60-100</f>
        <v>53.48399999999998</v>
      </c>
      <c r="G799" s="86">
        <v>40</v>
      </c>
      <c r="H799" s="83">
        <f t="shared" si="133"/>
        <v>185</v>
      </c>
      <c r="I799" s="83">
        <f t="shared" si="124"/>
        <v>0</v>
      </c>
      <c r="J799" s="86">
        <v>100</v>
      </c>
      <c r="K799" s="86">
        <v>300</v>
      </c>
      <c r="L799" s="83">
        <f t="shared" si="128"/>
        <v>1274</v>
      </c>
      <c r="M799" s="94">
        <v>600</v>
      </c>
      <c r="N799" s="83">
        <f>'[2]FGT NON-FIRM'!P810</f>
        <v>30</v>
      </c>
      <c r="O799" s="86">
        <v>240</v>
      </c>
      <c r="P799" s="86">
        <v>40</v>
      </c>
      <c r="Q799" s="86">
        <f t="shared" si="129"/>
        <v>315</v>
      </c>
      <c r="R799" s="86">
        <f t="shared" si="130"/>
        <v>100</v>
      </c>
      <c r="S799" s="83">
        <f t="shared" si="131"/>
        <v>695</v>
      </c>
      <c r="T799" s="83">
        <f>'[2]GULFSTREAM NON-FIRM'!H810</f>
        <v>0</v>
      </c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</row>
    <row r="800" spans="1:30" ht="15.75" hidden="1" x14ac:dyDescent="0.25">
      <c r="A800" s="32">
        <v>65288</v>
      </c>
      <c r="B800" s="95">
        <f t="shared" si="132"/>
        <v>30</v>
      </c>
      <c r="C800" s="83">
        <f>'[2]FGT PRIMARY FIRM ZONE 1'!V811</f>
        <v>194.20499999999998</v>
      </c>
      <c r="D800" s="83">
        <f>'[2]FGT PRIMARY FIRM ZONE 2'!V811</f>
        <v>267.46600000000001</v>
      </c>
      <c r="E800" s="92">
        <f>'[2]FGT PRIMARY FIRM ZONE 3'!V811</f>
        <v>133.845</v>
      </c>
      <c r="F800" s="83">
        <f>'[2]FGT FIRM ZONE 3 MOBILE BAY-DES'!V811-40-25-60-100</f>
        <v>53.48399999999998</v>
      </c>
      <c r="G800" s="86">
        <v>40</v>
      </c>
      <c r="H800" s="83">
        <f t="shared" si="133"/>
        <v>185</v>
      </c>
      <c r="I800" s="83">
        <f t="shared" si="124"/>
        <v>0</v>
      </c>
      <c r="J800" s="86">
        <v>100</v>
      </c>
      <c r="K800" s="86">
        <v>300</v>
      </c>
      <c r="L800" s="83">
        <f t="shared" si="128"/>
        <v>1274</v>
      </c>
      <c r="M800" s="94">
        <v>600</v>
      </c>
      <c r="N800" s="83">
        <f>'[2]FGT NON-FIRM'!P811</f>
        <v>30</v>
      </c>
      <c r="O800" s="86">
        <v>240</v>
      </c>
      <c r="P800" s="86">
        <v>40</v>
      </c>
      <c r="Q800" s="86">
        <f t="shared" si="129"/>
        <v>315</v>
      </c>
      <c r="R800" s="86">
        <f t="shared" si="130"/>
        <v>100</v>
      </c>
      <c r="S800" s="83">
        <f t="shared" si="131"/>
        <v>695</v>
      </c>
      <c r="T800" s="83">
        <f>'[2]GULFSTREAM NON-FIRM'!H811</f>
        <v>0</v>
      </c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</row>
    <row r="801" spans="1:30" ht="15.75" hidden="1" x14ac:dyDescent="0.25">
      <c r="A801" s="32">
        <v>65319</v>
      </c>
      <c r="B801" s="95">
        <f t="shared" si="132"/>
        <v>31</v>
      </c>
      <c r="C801" s="83">
        <f>'[2]FGT PRIMARY FIRM ZONE 1'!V812</f>
        <v>131.881</v>
      </c>
      <c r="D801" s="83">
        <f>'[2]FGT PRIMARY FIRM ZONE 2'!V812</f>
        <v>277.16699999999997</v>
      </c>
      <c r="E801" s="92">
        <f>'[2]FGT PRIMARY FIRM ZONE 3'!V812</f>
        <v>79.08</v>
      </c>
      <c r="F801" s="83">
        <f>'[2]FGT FIRM ZONE 3 MOBILE BAY-DES'!V812-40-25-60-100</f>
        <v>125.87199999999996</v>
      </c>
      <c r="G801" s="86">
        <v>40</v>
      </c>
      <c r="H801" s="83">
        <f t="shared" si="133"/>
        <v>185</v>
      </c>
      <c r="I801" s="83">
        <f t="shared" si="124"/>
        <v>0</v>
      </c>
      <c r="J801" s="86">
        <v>100</v>
      </c>
      <c r="K801" s="86">
        <v>300</v>
      </c>
      <c r="L801" s="83">
        <f t="shared" si="128"/>
        <v>1239</v>
      </c>
      <c r="M801" s="94">
        <v>600</v>
      </c>
      <c r="N801" s="83">
        <f>'[2]FGT NON-FIRM'!P812</f>
        <v>75</v>
      </c>
      <c r="O801" s="86">
        <v>240</v>
      </c>
      <c r="P801" s="86">
        <v>40</v>
      </c>
      <c r="Q801" s="86">
        <f t="shared" si="129"/>
        <v>315</v>
      </c>
      <c r="R801" s="86">
        <f t="shared" si="130"/>
        <v>100</v>
      </c>
      <c r="S801" s="83">
        <f t="shared" si="131"/>
        <v>695</v>
      </c>
      <c r="T801" s="83">
        <f>'[2]GULFSTREAM NON-FIRM'!H812</f>
        <v>0</v>
      </c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</row>
    <row r="802" spans="1:30" ht="15.75" hidden="1" x14ac:dyDescent="0.25">
      <c r="A802" s="32">
        <v>65349</v>
      </c>
      <c r="B802" s="95">
        <f t="shared" si="132"/>
        <v>30</v>
      </c>
      <c r="C802" s="83">
        <f>'[2]FGT PRIMARY FIRM ZONE 1'!V813</f>
        <v>122.58</v>
      </c>
      <c r="D802" s="83">
        <f>'[2]FGT PRIMARY FIRM ZONE 2'!V813</f>
        <v>297.94100000000003</v>
      </c>
      <c r="E802" s="92">
        <f>'[2]FGT PRIMARY FIRM ZONE 3'!V813</f>
        <v>89.177000000000007</v>
      </c>
      <c r="F802" s="83">
        <f>'[2]FGT FIRM ZONE 3 MOBILE BAY-DES'!V813-40-60-100</f>
        <v>40.301999999999992</v>
      </c>
      <c r="G802" s="86">
        <v>40</v>
      </c>
      <c r="H802" s="83">
        <f>60+100</f>
        <v>160</v>
      </c>
      <c r="I802" s="83">
        <f t="shared" si="124"/>
        <v>0</v>
      </c>
      <c r="J802" s="86">
        <v>100</v>
      </c>
      <c r="K802" s="86">
        <v>300</v>
      </c>
      <c r="L802" s="83">
        <f t="shared" si="128"/>
        <v>1150</v>
      </c>
      <c r="M802" s="94">
        <v>600</v>
      </c>
      <c r="N802" s="83">
        <f>'[2]FGT NON-FIRM'!P813</f>
        <v>100</v>
      </c>
      <c r="O802" s="86">
        <v>240</v>
      </c>
      <c r="P802" s="86">
        <v>40</v>
      </c>
      <c r="Q802" s="86">
        <f t="shared" si="129"/>
        <v>315</v>
      </c>
      <c r="R802" s="86">
        <f t="shared" si="130"/>
        <v>100</v>
      </c>
      <c r="S802" s="83">
        <f t="shared" si="131"/>
        <v>695</v>
      </c>
      <c r="T802" s="83">
        <f>'[2]GULFSTREAM NON-FIRM'!H813</f>
        <v>50</v>
      </c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</row>
    <row r="803" spans="1:30" ht="15.75" hidden="1" x14ac:dyDescent="0.25">
      <c r="A803" s="32">
        <v>65380</v>
      </c>
      <c r="B803" s="95">
        <f t="shared" si="132"/>
        <v>31</v>
      </c>
      <c r="C803" s="83">
        <f>'[2]FGT PRIMARY FIRM ZONE 1'!V814</f>
        <v>122.58</v>
      </c>
      <c r="D803" s="83">
        <f>'[2]FGT PRIMARY FIRM ZONE 2'!V814</f>
        <v>297.94100000000003</v>
      </c>
      <c r="E803" s="92">
        <f>'[2]FGT PRIMARY FIRM ZONE 3'!V814</f>
        <v>89.177000000000007</v>
      </c>
      <c r="F803" s="83">
        <f>'[2]FGT FIRM ZONE 3 MOBILE BAY-DES'!V814-40-60-100</f>
        <v>40.301999999999992</v>
      </c>
      <c r="G803" s="86">
        <v>40</v>
      </c>
      <c r="H803" s="83">
        <f>60+100</f>
        <v>160</v>
      </c>
      <c r="I803" s="83">
        <f t="shared" si="124"/>
        <v>0</v>
      </c>
      <c r="J803" s="86">
        <v>100</v>
      </c>
      <c r="K803" s="86">
        <v>300</v>
      </c>
      <c r="L803" s="83">
        <f t="shared" si="128"/>
        <v>1150</v>
      </c>
      <c r="M803" s="94">
        <v>600</v>
      </c>
      <c r="N803" s="83">
        <f>'[2]FGT NON-FIRM'!P814</f>
        <v>100</v>
      </c>
      <c r="O803" s="86">
        <v>240</v>
      </c>
      <c r="P803" s="86">
        <v>40</v>
      </c>
      <c r="Q803" s="86">
        <f t="shared" si="129"/>
        <v>315</v>
      </c>
      <c r="R803" s="86">
        <f t="shared" si="130"/>
        <v>100</v>
      </c>
      <c r="S803" s="83">
        <f t="shared" si="131"/>
        <v>695</v>
      </c>
      <c r="T803" s="83">
        <f>'[2]GULFSTREAM NON-FIRM'!H814</f>
        <v>50</v>
      </c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</row>
    <row r="804" spans="1:30" ht="15.75" hidden="1" x14ac:dyDescent="0.25">
      <c r="A804" s="32">
        <v>65411</v>
      </c>
      <c r="B804" s="95">
        <f t="shared" si="132"/>
        <v>31</v>
      </c>
      <c r="C804" s="83">
        <f>'[2]FGT PRIMARY FIRM ZONE 1'!V815</f>
        <v>122.58</v>
      </c>
      <c r="D804" s="83">
        <f>'[2]FGT PRIMARY FIRM ZONE 2'!V815</f>
        <v>297.94100000000003</v>
      </c>
      <c r="E804" s="92">
        <f>'[2]FGT PRIMARY FIRM ZONE 3'!V815</f>
        <v>89.177000000000007</v>
      </c>
      <c r="F804" s="83">
        <f>'[2]FGT FIRM ZONE 3 MOBILE BAY-DES'!V815-40-60-100</f>
        <v>40.301999999999992</v>
      </c>
      <c r="G804" s="86">
        <v>40</v>
      </c>
      <c r="H804" s="83">
        <f>60+100</f>
        <v>160</v>
      </c>
      <c r="I804" s="83">
        <f t="shared" si="124"/>
        <v>0</v>
      </c>
      <c r="J804" s="86">
        <v>100</v>
      </c>
      <c r="K804" s="86">
        <v>300</v>
      </c>
      <c r="L804" s="83">
        <f t="shared" si="128"/>
        <v>1150</v>
      </c>
      <c r="M804" s="94">
        <v>600</v>
      </c>
      <c r="N804" s="83">
        <f>'[2]FGT NON-FIRM'!P815</f>
        <v>100</v>
      </c>
      <c r="O804" s="86">
        <v>240</v>
      </c>
      <c r="P804" s="86">
        <v>40</v>
      </c>
      <c r="Q804" s="86">
        <f t="shared" si="129"/>
        <v>315</v>
      </c>
      <c r="R804" s="86">
        <f t="shared" si="130"/>
        <v>100</v>
      </c>
      <c r="S804" s="83">
        <f t="shared" si="131"/>
        <v>695</v>
      </c>
      <c r="T804" s="83">
        <f>'[2]GULFSTREAM NON-FIRM'!H815</f>
        <v>50</v>
      </c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</row>
    <row r="805" spans="1:30" ht="15.75" hidden="1" x14ac:dyDescent="0.25">
      <c r="A805" s="32">
        <v>65439</v>
      </c>
      <c r="B805" s="95">
        <f t="shared" si="132"/>
        <v>28</v>
      </c>
      <c r="C805" s="83">
        <f>'[2]FGT PRIMARY FIRM ZONE 1'!V816</f>
        <v>122.58</v>
      </c>
      <c r="D805" s="83">
        <f>'[2]FGT PRIMARY FIRM ZONE 2'!V816</f>
        <v>297.94100000000003</v>
      </c>
      <c r="E805" s="92">
        <f>'[2]FGT PRIMARY FIRM ZONE 3'!V816</f>
        <v>89.177000000000007</v>
      </c>
      <c r="F805" s="83">
        <f>'[2]FGT FIRM ZONE 3 MOBILE BAY-DES'!V816-40-60-100</f>
        <v>40.301999999999992</v>
      </c>
      <c r="G805" s="86">
        <v>40</v>
      </c>
      <c r="H805" s="83">
        <f>60+100</f>
        <v>160</v>
      </c>
      <c r="I805" s="83">
        <f t="shared" si="124"/>
        <v>0</v>
      </c>
      <c r="J805" s="86">
        <v>100</v>
      </c>
      <c r="K805" s="86">
        <v>300</v>
      </c>
      <c r="L805" s="83">
        <f t="shared" si="128"/>
        <v>1150</v>
      </c>
      <c r="M805" s="94">
        <v>600</v>
      </c>
      <c r="N805" s="83">
        <f>'[2]FGT NON-FIRM'!P816</f>
        <v>100</v>
      </c>
      <c r="O805" s="86">
        <v>240</v>
      </c>
      <c r="P805" s="86">
        <v>40</v>
      </c>
      <c r="Q805" s="86">
        <f t="shared" si="129"/>
        <v>315</v>
      </c>
      <c r="R805" s="86">
        <f t="shared" si="130"/>
        <v>100</v>
      </c>
      <c r="S805" s="83">
        <f t="shared" si="131"/>
        <v>695</v>
      </c>
      <c r="T805" s="83">
        <f>'[2]GULFSTREAM NON-FIRM'!H816</f>
        <v>50</v>
      </c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</row>
    <row r="806" spans="1:30" ht="15.75" hidden="1" x14ac:dyDescent="0.25">
      <c r="A806" s="32">
        <v>65470</v>
      </c>
      <c r="B806" s="95">
        <f t="shared" si="132"/>
        <v>31</v>
      </c>
      <c r="C806" s="83">
        <f>'[2]FGT PRIMARY FIRM ZONE 1'!V817</f>
        <v>122.58</v>
      </c>
      <c r="D806" s="83">
        <f>'[2]FGT PRIMARY FIRM ZONE 2'!V817</f>
        <v>297.94100000000003</v>
      </c>
      <c r="E806" s="92">
        <f>'[2]FGT PRIMARY FIRM ZONE 3'!V817</f>
        <v>89.177000000000007</v>
      </c>
      <c r="F806" s="83">
        <f>'[2]FGT FIRM ZONE 3 MOBILE BAY-DES'!V817-40-60-100</f>
        <v>40.301999999999992</v>
      </c>
      <c r="G806" s="86">
        <v>40</v>
      </c>
      <c r="H806" s="83">
        <f>60+100</f>
        <v>160</v>
      </c>
      <c r="I806" s="83">
        <f t="shared" si="124"/>
        <v>0</v>
      </c>
      <c r="J806" s="86">
        <v>100</v>
      </c>
      <c r="K806" s="86">
        <v>300</v>
      </c>
      <c r="L806" s="83">
        <f t="shared" si="128"/>
        <v>1150</v>
      </c>
      <c r="M806" s="94">
        <v>600</v>
      </c>
      <c r="N806" s="83">
        <f>'[2]FGT NON-FIRM'!P817</f>
        <v>100</v>
      </c>
      <c r="O806" s="86">
        <v>240</v>
      </c>
      <c r="P806" s="86">
        <v>40</v>
      </c>
      <c r="Q806" s="86">
        <f t="shared" si="129"/>
        <v>315</v>
      </c>
      <c r="R806" s="86">
        <f t="shared" si="130"/>
        <v>100</v>
      </c>
      <c r="S806" s="83">
        <f t="shared" si="131"/>
        <v>695</v>
      </c>
      <c r="T806" s="83">
        <f>'[2]GULFSTREAM NON-FIRM'!H817</f>
        <v>50</v>
      </c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</row>
    <row r="807" spans="1:30" ht="15.75" hidden="1" x14ac:dyDescent="0.25">
      <c r="A807" s="32">
        <v>65500</v>
      </c>
      <c r="B807" s="95">
        <f t="shared" si="132"/>
        <v>30</v>
      </c>
      <c r="C807" s="83">
        <f>'[2]FGT PRIMARY FIRM ZONE 1'!V818</f>
        <v>141.29300000000001</v>
      </c>
      <c r="D807" s="83">
        <f>'[2]FGT PRIMARY FIRM ZONE 2'!V818</f>
        <v>267.99299999999999</v>
      </c>
      <c r="E807" s="92">
        <f>'[2]FGT PRIMARY FIRM ZONE 3'!V818</f>
        <v>115.01600000000001</v>
      </c>
      <c r="F807" s="83">
        <f>'[2]FGT FIRM ZONE 3 MOBILE BAY-DES'!V818-40-25-60-100</f>
        <v>89.698000000000036</v>
      </c>
      <c r="G807" s="86">
        <v>40</v>
      </c>
      <c r="H807" s="83">
        <f t="shared" ref="H807:H813" si="134">25+60+100</f>
        <v>185</v>
      </c>
      <c r="I807" s="83">
        <f t="shared" si="124"/>
        <v>0</v>
      </c>
      <c r="J807" s="86">
        <v>100</v>
      </c>
      <c r="K807" s="86">
        <v>300</v>
      </c>
      <c r="L807" s="83">
        <f t="shared" si="128"/>
        <v>1239</v>
      </c>
      <c r="M807" s="94">
        <v>600</v>
      </c>
      <c r="N807" s="83">
        <f>'[2]FGT NON-FIRM'!P818</f>
        <v>100</v>
      </c>
      <c r="O807" s="86">
        <v>240</v>
      </c>
      <c r="P807" s="86">
        <v>40</v>
      </c>
      <c r="Q807" s="86">
        <f t="shared" si="129"/>
        <v>315</v>
      </c>
      <c r="R807" s="86">
        <f t="shared" si="130"/>
        <v>100</v>
      </c>
      <c r="S807" s="83">
        <f t="shared" si="131"/>
        <v>695</v>
      </c>
      <c r="T807" s="83">
        <f>'[2]GULFSTREAM NON-FIRM'!H818</f>
        <v>50</v>
      </c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</row>
    <row r="808" spans="1:30" ht="15.75" hidden="1" x14ac:dyDescent="0.25">
      <c r="A808" s="32">
        <v>65531</v>
      </c>
      <c r="B808" s="95">
        <f t="shared" si="132"/>
        <v>31</v>
      </c>
      <c r="C808" s="83">
        <f>'[2]FGT PRIMARY FIRM ZONE 1'!V819</f>
        <v>194.20499999999998</v>
      </c>
      <c r="D808" s="83">
        <f>'[2]FGT PRIMARY FIRM ZONE 2'!V819</f>
        <v>267.46600000000001</v>
      </c>
      <c r="E808" s="92">
        <f>'[2]FGT PRIMARY FIRM ZONE 3'!V819</f>
        <v>133.845</v>
      </c>
      <c r="F808" s="83">
        <f>'[2]FGT FIRM ZONE 3 MOBILE BAY-DES'!V819-40-25-60-100</f>
        <v>53.48399999999998</v>
      </c>
      <c r="G808" s="86">
        <v>40</v>
      </c>
      <c r="H808" s="83">
        <f t="shared" si="134"/>
        <v>185</v>
      </c>
      <c r="I808" s="83">
        <f t="shared" si="124"/>
        <v>0</v>
      </c>
      <c r="J808" s="86">
        <v>100</v>
      </c>
      <c r="K808" s="86">
        <v>300</v>
      </c>
      <c r="L808" s="83">
        <f t="shared" si="128"/>
        <v>1274</v>
      </c>
      <c r="M808" s="94">
        <v>600</v>
      </c>
      <c r="N808" s="83">
        <f>'[2]FGT NON-FIRM'!P819</f>
        <v>75</v>
      </c>
      <c r="O808" s="86">
        <v>240</v>
      </c>
      <c r="P808" s="86">
        <v>40</v>
      </c>
      <c r="Q808" s="86">
        <f t="shared" si="129"/>
        <v>315</v>
      </c>
      <c r="R808" s="86">
        <f t="shared" si="130"/>
        <v>100</v>
      </c>
      <c r="S808" s="83">
        <f t="shared" si="131"/>
        <v>695</v>
      </c>
      <c r="T808" s="83">
        <f>'[2]GULFSTREAM NON-FIRM'!H819</f>
        <v>50</v>
      </c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</row>
    <row r="809" spans="1:30" ht="15.75" hidden="1" x14ac:dyDescent="0.25">
      <c r="A809" s="32">
        <v>65561</v>
      </c>
      <c r="B809" s="95">
        <f t="shared" si="132"/>
        <v>30</v>
      </c>
      <c r="C809" s="83">
        <f>'[2]FGT PRIMARY FIRM ZONE 1'!V820</f>
        <v>194.20499999999998</v>
      </c>
      <c r="D809" s="83">
        <f>'[2]FGT PRIMARY FIRM ZONE 2'!V820</f>
        <v>267.46600000000001</v>
      </c>
      <c r="E809" s="92">
        <f>'[2]FGT PRIMARY FIRM ZONE 3'!V820</f>
        <v>133.845</v>
      </c>
      <c r="F809" s="83">
        <f>'[2]FGT FIRM ZONE 3 MOBILE BAY-DES'!V820-40-25-60-100</f>
        <v>53.48399999999998</v>
      </c>
      <c r="G809" s="86">
        <v>40</v>
      </c>
      <c r="H809" s="83">
        <f t="shared" si="134"/>
        <v>185</v>
      </c>
      <c r="I809" s="83">
        <f t="shared" si="124"/>
        <v>0</v>
      </c>
      <c r="J809" s="86">
        <v>100</v>
      </c>
      <c r="K809" s="86">
        <v>300</v>
      </c>
      <c r="L809" s="83">
        <f t="shared" si="128"/>
        <v>1274</v>
      </c>
      <c r="M809" s="94">
        <v>600</v>
      </c>
      <c r="N809" s="83">
        <f>'[2]FGT NON-FIRM'!P820</f>
        <v>30</v>
      </c>
      <c r="O809" s="86">
        <v>240</v>
      </c>
      <c r="P809" s="86">
        <v>40</v>
      </c>
      <c r="Q809" s="86">
        <f t="shared" si="129"/>
        <v>315</v>
      </c>
      <c r="R809" s="86">
        <f t="shared" si="130"/>
        <v>100</v>
      </c>
      <c r="S809" s="83">
        <f t="shared" si="131"/>
        <v>695</v>
      </c>
      <c r="T809" s="83">
        <f>'[2]GULFSTREAM NON-FIRM'!H820</f>
        <v>50</v>
      </c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</row>
    <row r="810" spans="1:30" ht="15.75" hidden="1" x14ac:dyDescent="0.25">
      <c r="A810" s="32">
        <v>65592</v>
      </c>
      <c r="B810" s="95">
        <f t="shared" si="132"/>
        <v>31</v>
      </c>
      <c r="C810" s="83">
        <f>'[2]FGT PRIMARY FIRM ZONE 1'!V821</f>
        <v>194.20499999999998</v>
      </c>
      <c r="D810" s="83">
        <f>'[2]FGT PRIMARY FIRM ZONE 2'!V821</f>
        <v>267.46600000000001</v>
      </c>
      <c r="E810" s="92">
        <f>'[2]FGT PRIMARY FIRM ZONE 3'!V821</f>
        <v>133.845</v>
      </c>
      <c r="F810" s="83">
        <f>'[2]FGT FIRM ZONE 3 MOBILE BAY-DES'!V821-40-25-60-100</f>
        <v>53.48399999999998</v>
      </c>
      <c r="G810" s="86">
        <v>40</v>
      </c>
      <c r="H810" s="83">
        <f t="shared" si="134"/>
        <v>185</v>
      </c>
      <c r="I810" s="83">
        <f t="shared" si="124"/>
        <v>0</v>
      </c>
      <c r="J810" s="86">
        <v>100</v>
      </c>
      <c r="K810" s="86">
        <v>300</v>
      </c>
      <c r="L810" s="83">
        <f t="shared" si="128"/>
        <v>1274</v>
      </c>
      <c r="M810" s="94">
        <v>600</v>
      </c>
      <c r="N810" s="83">
        <f>'[2]FGT NON-FIRM'!P821</f>
        <v>30</v>
      </c>
      <c r="O810" s="86">
        <v>240</v>
      </c>
      <c r="P810" s="86">
        <v>40</v>
      </c>
      <c r="Q810" s="86">
        <f t="shared" si="129"/>
        <v>315</v>
      </c>
      <c r="R810" s="86">
        <f t="shared" si="130"/>
        <v>100</v>
      </c>
      <c r="S810" s="83">
        <f t="shared" si="131"/>
        <v>695</v>
      </c>
      <c r="T810" s="83">
        <f>'[2]GULFSTREAM NON-FIRM'!H821</f>
        <v>0</v>
      </c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</row>
    <row r="811" spans="1:30" ht="15.75" hidden="1" x14ac:dyDescent="0.25">
      <c r="A811" s="32">
        <v>65623</v>
      </c>
      <c r="B811" s="95">
        <f t="shared" si="132"/>
        <v>31</v>
      </c>
      <c r="C811" s="83">
        <f>'[2]FGT PRIMARY FIRM ZONE 1'!V822</f>
        <v>194.20499999999998</v>
      </c>
      <c r="D811" s="83">
        <f>'[2]FGT PRIMARY FIRM ZONE 2'!V822</f>
        <v>267.46600000000001</v>
      </c>
      <c r="E811" s="92">
        <f>'[2]FGT PRIMARY FIRM ZONE 3'!V822</f>
        <v>133.845</v>
      </c>
      <c r="F811" s="83">
        <f>'[2]FGT FIRM ZONE 3 MOBILE BAY-DES'!V822-40-25-60-100</f>
        <v>53.48399999999998</v>
      </c>
      <c r="G811" s="86">
        <v>40</v>
      </c>
      <c r="H811" s="83">
        <f t="shared" si="134"/>
        <v>185</v>
      </c>
      <c r="I811" s="83">
        <f t="shared" si="124"/>
        <v>0</v>
      </c>
      <c r="J811" s="86">
        <v>100</v>
      </c>
      <c r="K811" s="86">
        <v>300</v>
      </c>
      <c r="L811" s="83">
        <f t="shared" si="128"/>
        <v>1274</v>
      </c>
      <c r="M811" s="94">
        <v>600</v>
      </c>
      <c r="N811" s="83">
        <f>'[2]FGT NON-FIRM'!P822</f>
        <v>30</v>
      </c>
      <c r="O811" s="86">
        <v>240</v>
      </c>
      <c r="P811" s="86">
        <v>40</v>
      </c>
      <c r="Q811" s="86">
        <f t="shared" si="129"/>
        <v>315</v>
      </c>
      <c r="R811" s="86">
        <f t="shared" si="130"/>
        <v>100</v>
      </c>
      <c r="S811" s="83">
        <f t="shared" si="131"/>
        <v>695</v>
      </c>
      <c r="T811" s="83">
        <f>'[2]GULFSTREAM NON-FIRM'!H822</f>
        <v>0</v>
      </c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</row>
    <row r="812" spans="1:30" ht="15.75" hidden="1" x14ac:dyDescent="0.25">
      <c r="A812" s="32">
        <v>65653</v>
      </c>
      <c r="B812" s="95">
        <f t="shared" si="132"/>
        <v>30</v>
      </c>
      <c r="C812" s="83">
        <f>'[2]FGT PRIMARY FIRM ZONE 1'!V823</f>
        <v>194.20499999999998</v>
      </c>
      <c r="D812" s="83">
        <f>'[2]FGT PRIMARY FIRM ZONE 2'!V823</f>
        <v>267.46600000000001</v>
      </c>
      <c r="E812" s="92">
        <f>'[2]FGT PRIMARY FIRM ZONE 3'!V823</f>
        <v>133.845</v>
      </c>
      <c r="F812" s="83">
        <f>'[2]FGT FIRM ZONE 3 MOBILE BAY-DES'!V823-40-25-60-100</f>
        <v>53.48399999999998</v>
      </c>
      <c r="G812" s="86">
        <v>40</v>
      </c>
      <c r="H812" s="83">
        <f t="shared" si="134"/>
        <v>185</v>
      </c>
      <c r="I812" s="83">
        <f t="shared" si="124"/>
        <v>0</v>
      </c>
      <c r="J812" s="86">
        <v>100</v>
      </c>
      <c r="K812" s="86">
        <v>300</v>
      </c>
      <c r="L812" s="83">
        <f t="shared" si="128"/>
        <v>1274</v>
      </c>
      <c r="M812" s="94">
        <v>600</v>
      </c>
      <c r="N812" s="83">
        <f>'[2]FGT NON-FIRM'!P823</f>
        <v>30</v>
      </c>
      <c r="O812" s="86">
        <v>240</v>
      </c>
      <c r="P812" s="86">
        <v>40</v>
      </c>
      <c r="Q812" s="86">
        <f t="shared" si="129"/>
        <v>315</v>
      </c>
      <c r="R812" s="86">
        <f t="shared" si="130"/>
        <v>100</v>
      </c>
      <c r="S812" s="83">
        <f t="shared" si="131"/>
        <v>695</v>
      </c>
      <c r="T812" s="83">
        <f>'[2]GULFSTREAM NON-FIRM'!H823</f>
        <v>0</v>
      </c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</row>
    <row r="813" spans="1:30" ht="15.75" hidden="1" x14ac:dyDescent="0.25">
      <c r="A813" s="32">
        <v>65684</v>
      </c>
      <c r="B813" s="95">
        <f t="shared" si="132"/>
        <v>31</v>
      </c>
      <c r="C813" s="83">
        <f>'[2]FGT PRIMARY FIRM ZONE 1'!V824</f>
        <v>131.881</v>
      </c>
      <c r="D813" s="83">
        <f>'[2]FGT PRIMARY FIRM ZONE 2'!V824</f>
        <v>277.16699999999997</v>
      </c>
      <c r="E813" s="92">
        <f>'[2]FGT PRIMARY FIRM ZONE 3'!V824</f>
        <v>79.08</v>
      </c>
      <c r="F813" s="83">
        <f>'[2]FGT FIRM ZONE 3 MOBILE BAY-DES'!V824-40-25-60-100</f>
        <v>125.87199999999996</v>
      </c>
      <c r="G813" s="86">
        <v>40</v>
      </c>
      <c r="H813" s="83">
        <f t="shared" si="134"/>
        <v>185</v>
      </c>
      <c r="I813" s="83">
        <f t="shared" si="124"/>
        <v>0</v>
      </c>
      <c r="J813" s="86">
        <v>100</v>
      </c>
      <c r="K813" s="86">
        <v>300</v>
      </c>
      <c r="L813" s="83">
        <f t="shared" si="128"/>
        <v>1239</v>
      </c>
      <c r="M813" s="94">
        <v>600</v>
      </c>
      <c r="N813" s="83">
        <f>'[2]FGT NON-FIRM'!P824</f>
        <v>75</v>
      </c>
      <c r="O813" s="86">
        <v>240</v>
      </c>
      <c r="P813" s="86">
        <v>40</v>
      </c>
      <c r="Q813" s="86">
        <f t="shared" si="129"/>
        <v>315</v>
      </c>
      <c r="R813" s="86">
        <f t="shared" si="130"/>
        <v>100</v>
      </c>
      <c r="S813" s="83">
        <f t="shared" si="131"/>
        <v>695</v>
      </c>
      <c r="T813" s="83">
        <f>'[2]GULFSTREAM NON-FIRM'!H824</f>
        <v>0</v>
      </c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</row>
    <row r="814" spans="1:30" ht="15.75" hidden="1" x14ac:dyDescent="0.25">
      <c r="A814" s="32">
        <v>65714</v>
      </c>
      <c r="B814" s="95">
        <f t="shared" si="132"/>
        <v>30</v>
      </c>
      <c r="C814" s="83">
        <f>'[2]FGT PRIMARY FIRM ZONE 1'!V825</f>
        <v>122.58</v>
      </c>
      <c r="D814" s="83">
        <f>'[2]FGT PRIMARY FIRM ZONE 2'!V825</f>
        <v>297.94100000000003</v>
      </c>
      <c r="E814" s="92">
        <f>'[2]FGT PRIMARY FIRM ZONE 3'!V825</f>
        <v>89.177000000000007</v>
      </c>
      <c r="F814" s="83">
        <f>'[2]FGT FIRM ZONE 3 MOBILE BAY-DES'!V825-40-60-100</f>
        <v>40.301999999999992</v>
      </c>
      <c r="G814" s="86">
        <v>40</v>
      </c>
      <c r="H814" s="83">
        <f>60+100</f>
        <v>160</v>
      </c>
      <c r="I814" s="83">
        <f t="shared" si="124"/>
        <v>0</v>
      </c>
      <c r="J814" s="86">
        <v>100</v>
      </c>
      <c r="K814" s="86">
        <v>300</v>
      </c>
      <c r="L814" s="83">
        <f t="shared" si="128"/>
        <v>1150</v>
      </c>
      <c r="M814" s="94">
        <v>600</v>
      </c>
      <c r="N814" s="83">
        <f>'[2]FGT NON-FIRM'!P825</f>
        <v>100</v>
      </c>
      <c r="O814" s="86">
        <v>240</v>
      </c>
      <c r="P814" s="86">
        <v>40</v>
      </c>
      <c r="Q814" s="86">
        <f t="shared" si="129"/>
        <v>315</v>
      </c>
      <c r="R814" s="86">
        <f t="shared" si="130"/>
        <v>100</v>
      </c>
      <c r="S814" s="83">
        <f t="shared" si="131"/>
        <v>695</v>
      </c>
      <c r="T814" s="83">
        <f>'[2]GULFSTREAM NON-FIRM'!H825</f>
        <v>50</v>
      </c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</row>
    <row r="815" spans="1:30" ht="15.75" hidden="1" x14ac:dyDescent="0.25">
      <c r="A815" s="32">
        <v>65745</v>
      </c>
      <c r="B815" s="95">
        <f t="shared" si="132"/>
        <v>31</v>
      </c>
      <c r="C815" s="83">
        <f>'[2]FGT PRIMARY FIRM ZONE 1'!V826</f>
        <v>122.58</v>
      </c>
      <c r="D815" s="83">
        <f>'[2]FGT PRIMARY FIRM ZONE 2'!V826</f>
        <v>297.94100000000003</v>
      </c>
      <c r="E815" s="92">
        <f>'[2]FGT PRIMARY FIRM ZONE 3'!V826</f>
        <v>89.177000000000007</v>
      </c>
      <c r="F815" s="83">
        <f>'[2]FGT FIRM ZONE 3 MOBILE BAY-DES'!V826-40-60-100</f>
        <v>40.301999999999992</v>
      </c>
      <c r="G815" s="86">
        <v>40</v>
      </c>
      <c r="H815" s="83">
        <f>60+100</f>
        <v>160</v>
      </c>
      <c r="I815" s="83">
        <f t="shared" si="124"/>
        <v>0</v>
      </c>
      <c r="J815" s="86">
        <v>100</v>
      </c>
      <c r="K815" s="86">
        <v>300</v>
      </c>
      <c r="L815" s="83">
        <f t="shared" si="128"/>
        <v>1150</v>
      </c>
      <c r="M815" s="94">
        <v>600</v>
      </c>
      <c r="N815" s="83">
        <f>'[2]FGT NON-FIRM'!P826</f>
        <v>100</v>
      </c>
      <c r="O815" s="86">
        <v>240</v>
      </c>
      <c r="P815" s="86">
        <v>40</v>
      </c>
      <c r="Q815" s="86">
        <f t="shared" si="129"/>
        <v>315</v>
      </c>
      <c r="R815" s="86">
        <f t="shared" si="130"/>
        <v>100</v>
      </c>
      <c r="S815" s="83">
        <f t="shared" si="131"/>
        <v>695</v>
      </c>
      <c r="T815" s="83">
        <f>'[2]GULFSTREAM NON-FIRM'!H826</f>
        <v>50</v>
      </c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</row>
    <row r="816" spans="1:30" ht="15.75" hidden="1" x14ac:dyDescent="0.25">
      <c r="A816" s="32">
        <v>65776</v>
      </c>
      <c r="B816" s="95">
        <f t="shared" si="132"/>
        <v>31</v>
      </c>
      <c r="C816" s="83">
        <f>'[2]FGT PRIMARY FIRM ZONE 1'!V827</f>
        <v>122.58</v>
      </c>
      <c r="D816" s="83">
        <f>'[2]FGT PRIMARY FIRM ZONE 2'!V827</f>
        <v>297.94100000000003</v>
      </c>
      <c r="E816" s="92">
        <f>'[2]FGT PRIMARY FIRM ZONE 3'!V827</f>
        <v>89.177000000000007</v>
      </c>
      <c r="F816" s="83">
        <f>'[2]FGT FIRM ZONE 3 MOBILE BAY-DES'!V827-40-60-100</f>
        <v>40.301999999999992</v>
      </c>
      <c r="G816" s="86">
        <v>40</v>
      </c>
      <c r="H816" s="83">
        <f>60+100</f>
        <v>160</v>
      </c>
      <c r="I816" s="83">
        <f t="shared" si="124"/>
        <v>0</v>
      </c>
      <c r="J816" s="86">
        <v>100</v>
      </c>
      <c r="K816" s="86">
        <v>300</v>
      </c>
      <c r="L816" s="83">
        <f t="shared" si="128"/>
        <v>1150</v>
      </c>
      <c r="M816" s="94">
        <v>600</v>
      </c>
      <c r="N816" s="83">
        <f>'[2]FGT NON-FIRM'!P827</f>
        <v>100</v>
      </c>
      <c r="O816" s="86">
        <v>240</v>
      </c>
      <c r="P816" s="86">
        <v>40</v>
      </c>
      <c r="Q816" s="86">
        <f t="shared" si="129"/>
        <v>315</v>
      </c>
      <c r="R816" s="86">
        <f t="shared" si="130"/>
        <v>100</v>
      </c>
      <c r="S816" s="83">
        <f t="shared" si="131"/>
        <v>695</v>
      </c>
      <c r="T816" s="83">
        <f>'[2]GULFSTREAM NON-FIRM'!H827</f>
        <v>50</v>
      </c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</row>
    <row r="817" spans="1:30" ht="15.75" hidden="1" x14ac:dyDescent="0.25">
      <c r="A817" s="32">
        <v>65805</v>
      </c>
      <c r="B817" s="95">
        <f t="shared" si="132"/>
        <v>29</v>
      </c>
      <c r="C817" s="83">
        <f>'[2]FGT PRIMARY FIRM ZONE 1'!V828</f>
        <v>122.58</v>
      </c>
      <c r="D817" s="83">
        <f>'[2]FGT PRIMARY FIRM ZONE 2'!V828</f>
        <v>297.94100000000003</v>
      </c>
      <c r="E817" s="92">
        <f>'[2]FGT PRIMARY FIRM ZONE 3'!V828</f>
        <v>89.177000000000007</v>
      </c>
      <c r="F817" s="83">
        <f>'[2]FGT FIRM ZONE 3 MOBILE BAY-DES'!V828-40-60-100</f>
        <v>40.301999999999992</v>
      </c>
      <c r="G817" s="86">
        <v>40</v>
      </c>
      <c r="H817" s="83">
        <f>60+100</f>
        <v>160</v>
      </c>
      <c r="I817" s="83">
        <f t="shared" si="124"/>
        <v>0</v>
      </c>
      <c r="J817" s="86">
        <v>100</v>
      </c>
      <c r="K817" s="86">
        <v>300</v>
      </c>
      <c r="L817" s="83">
        <f t="shared" si="128"/>
        <v>1150</v>
      </c>
      <c r="M817" s="94">
        <v>600</v>
      </c>
      <c r="N817" s="83">
        <f>'[2]FGT NON-FIRM'!P828</f>
        <v>100</v>
      </c>
      <c r="O817" s="86">
        <v>240</v>
      </c>
      <c r="P817" s="86">
        <v>40</v>
      </c>
      <c r="Q817" s="86">
        <f t="shared" si="129"/>
        <v>315</v>
      </c>
      <c r="R817" s="86">
        <f t="shared" si="130"/>
        <v>100</v>
      </c>
      <c r="S817" s="83">
        <f t="shared" si="131"/>
        <v>695</v>
      </c>
      <c r="T817" s="83">
        <f>'[2]GULFSTREAM NON-FIRM'!H828</f>
        <v>50</v>
      </c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</row>
    <row r="818" spans="1:30" ht="15.75" hidden="1" x14ac:dyDescent="0.25">
      <c r="A818" s="32">
        <v>65836</v>
      </c>
      <c r="B818" s="95">
        <f t="shared" si="132"/>
        <v>31</v>
      </c>
      <c r="C818" s="83">
        <f>'[2]FGT PRIMARY FIRM ZONE 1'!V829</f>
        <v>122.58</v>
      </c>
      <c r="D818" s="83">
        <f>'[2]FGT PRIMARY FIRM ZONE 2'!V829</f>
        <v>297.94100000000003</v>
      </c>
      <c r="E818" s="92">
        <f>'[2]FGT PRIMARY FIRM ZONE 3'!V829</f>
        <v>89.177000000000007</v>
      </c>
      <c r="F818" s="83">
        <f>'[2]FGT FIRM ZONE 3 MOBILE BAY-DES'!V829-40-60-100</f>
        <v>40.301999999999992</v>
      </c>
      <c r="G818" s="86">
        <v>40</v>
      </c>
      <c r="H818" s="83">
        <f>60+100</f>
        <v>160</v>
      </c>
      <c r="I818" s="83">
        <f t="shared" si="124"/>
        <v>0</v>
      </c>
      <c r="J818" s="86">
        <v>100</v>
      </c>
      <c r="K818" s="86">
        <v>300</v>
      </c>
      <c r="L818" s="83">
        <f t="shared" si="128"/>
        <v>1150</v>
      </c>
      <c r="M818" s="94">
        <v>600</v>
      </c>
      <c r="N818" s="83">
        <f>'[2]FGT NON-FIRM'!P829</f>
        <v>100</v>
      </c>
      <c r="O818" s="86">
        <v>240</v>
      </c>
      <c r="P818" s="86">
        <v>40</v>
      </c>
      <c r="Q818" s="86">
        <f t="shared" si="129"/>
        <v>315</v>
      </c>
      <c r="R818" s="86">
        <f t="shared" si="130"/>
        <v>100</v>
      </c>
      <c r="S818" s="83">
        <f t="shared" si="131"/>
        <v>695</v>
      </c>
      <c r="T818" s="83">
        <f>'[2]GULFSTREAM NON-FIRM'!H829</f>
        <v>50</v>
      </c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</row>
    <row r="819" spans="1:30" ht="15.75" hidden="1" x14ac:dyDescent="0.25">
      <c r="A819" s="32">
        <v>65866</v>
      </c>
      <c r="B819" s="95">
        <f t="shared" si="132"/>
        <v>30</v>
      </c>
      <c r="C819" s="83">
        <f>'[2]FGT PRIMARY FIRM ZONE 1'!V830</f>
        <v>141.29300000000001</v>
      </c>
      <c r="D819" s="83">
        <f>'[2]FGT PRIMARY FIRM ZONE 2'!V830</f>
        <v>267.99299999999999</v>
      </c>
      <c r="E819" s="92">
        <f>'[2]FGT PRIMARY FIRM ZONE 3'!V830</f>
        <v>115.01600000000001</v>
      </c>
      <c r="F819" s="83">
        <f>'[2]FGT FIRM ZONE 3 MOBILE BAY-DES'!V830-40-25-60-100</f>
        <v>89.698000000000036</v>
      </c>
      <c r="G819" s="86">
        <v>40</v>
      </c>
      <c r="H819" s="83">
        <f t="shared" ref="H819:H825" si="135">25+60+100</f>
        <v>185</v>
      </c>
      <c r="I819" s="83">
        <f t="shared" si="124"/>
        <v>0</v>
      </c>
      <c r="J819" s="86">
        <v>100</v>
      </c>
      <c r="K819" s="86">
        <v>300</v>
      </c>
      <c r="L819" s="83">
        <f t="shared" si="128"/>
        <v>1239</v>
      </c>
      <c r="M819" s="94">
        <v>600</v>
      </c>
      <c r="N819" s="83">
        <f>'[2]FGT NON-FIRM'!P830</f>
        <v>100</v>
      </c>
      <c r="O819" s="86">
        <v>240</v>
      </c>
      <c r="P819" s="86">
        <v>40</v>
      </c>
      <c r="Q819" s="86">
        <f t="shared" si="129"/>
        <v>315</v>
      </c>
      <c r="R819" s="86">
        <f t="shared" si="130"/>
        <v>100</v>
      </c>
      <c r="S819" s="83">
        <f t="shared" si="131"/>
        <v>695</v>
      </c>
      <c r="T819" s="83">
        <f>'[2]GULFSTREAM NON-FIRM'!H830</f>
        <v>50</v>
      </c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</row>
    <row r="820" spans="1:30" ht="15.75" hidden="1" x14ac:dyDescent="0.25">
      <c r="A820" s="32">
        <v>65897</v>
      </c>
      <c r="B820" s="95">
        <f t="shared" si="132"/>
        <v>31</v>
      </c>
      <c r="C820" s="83">
        <f>'[2]FGT PRIMARY FIRM ZONE 1'!V831</f>
        <v>194.20499999999998</v>
      </c>
      <c r="D820" s="83">
        <f>'[2]FGT PRIMARY FIRM ZONE 2'!V831</f>
        <v>267.46600000000001</v>
      </c>
      <c r="E820" s="92">
        <f>'[2]FGT PRIMARY FIRM ZONE 3'!V831</f>
        <v>133.845</v>
      </c>
      <c r="F820" s="83">
        <f>'[2]FGT FIRM ZONE 3 MOBILE BAY-DES'!V831-40-25-60-100</f>
        <v>53.48399999999998</v>
      </c>
      <c r="G820" s="86">
        <v>40</v>
      </c>
      <c r="H820" s="83">
        <f t="shared" si="135"/>
        <v>185</v>
      </c>
      <c r="I820" s="83">
        <f t="shared" ref="I820:I883" si="136">400-J820-K820</f>
        <v>0</v>
      </c>
      <c r="J820" s="86">
        <v>100</v>
      </c>
      <c r="K820" s="86">
        <v>300</v>
      </c>
      <c r="L820" s="83">
        <f t="shared" si="128"/>
        <v>1274</v>
      </c>
      <c r="M820" s="94">
        <v>600</v>
      </c>
      <c r="N820" s="83">
        <f>'[2]FGT NON-FIRM'!P831</f>
        <v>75</v>
      </c>
      <c r="O820" s="86">
        <v>240</v>
      </c>
      <c r="P820" s="86">
        <v>40</v>
      </c>
      <c r="Q820" s="86">
        <f t="shared" si="129"/>
        <v>315</v>
      </c>
      <c r="R820" s="86">
        <f t="shared" si="130"/>
        <v>100</v>
      </c>
      <c r="S820" s="83">
        <f t="shared" si="131"/>
        <v>695</v>
      </c>
      <c r="T820" s="83">
        <f>'[2]GULFSTREAM NON-FIRM'!H831</f>
        <v>50</v>
      </c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</row>
    <row r="821" spans="1:30" ht="15.75" hidden="1" x14ac:dyDescent="0.25">
      <c r="A821" s="32">
        <v>65927</v>
      </c>
      <c r="B821" s="95">
        <f t="shared" si="132"/>
        <v>30</v>
      </c>
      <c r="C821" s="83">
        <f>'[2]FGT PRIMARY FIRM ZONE 1'!V832</f>
        <v>194.20499999999998</v>
      </c>
      <c r="D821" s="83">
        <f>'[2]FGT PRIMARY FIRM ZONE 2'!V832</f>
        <v>267.46600000000001</v>
      </c>
      <c r="E821" s="92">
        <f>'[2]FGT PRIMARY FIRM ZONE 3'!V832</f>
        <v>133.845</v>
      </c>
      <c r="F821" s="83">
        <f>'[2]FGT FIRM ZONE 3 MOBILE BAY-DES'!V832-40-25-60-100</f>
        <v>53.48399999999998</v>
      </c>
      <c r="G821" s="86">
        <v>40</v>
      </c>
      <c r="H821" s="83">
        <f t="shared" si="135"/>
        <v>185</v>
      </c>
      <c r="I821" s="83">
        <f t="shared" si="136"/>
        <v>0</v>
      </c>
      <c r="J821" s="86">
        <v>100</v>
      </c>
      <c r="K821" s="86">
        <v>300</v>
      </c>
      <c r="L821" s="83">
        <f t="shared" si="128"/>
        <v>1274</v>
      </c>
      <c r="M821" s="94">
        <v>600</v>
      </c>
      <c r="N821" s="83">
        <f>'[2]FGT NON-FIRM'!P832</f>
        <v>30</v>
      </c>
      <c r="O821" s="86">
        <v>240</v>
      </c>
      <c r="P821" s="86">
        <v>40</v>
      </c>
      <c r="Q821" s="86">
        <f t="shared" si="129"/>
        <v>315</v>
      </c>
      <c r="R821" s="86">
        <f t="shared" si="130"/>
        <v>100</v>
      </c>
      <c r="S821" s="83">
        <f t="shared" si="131"/>
        <v>695</v>
      </c>
      <c r="T821" s="83">
        <f>'[2]GULFSTREAM NON-FIRM'!H832</f>
        <v>50</v>
      </c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</row>
    <row r="822" spans="1:30" ht="15.75" hidden="1" x14ac:dyDescent="0.25">
      <c r="A822" s="32">
        <v>65958</v>
      </c>
      <c r="B822" s="95">
        <f t="shared" si="132"/>
        <v>31</v>
      </c>
      <c r="C822" s="83">
        <f>'[2]FGT PRIMARY FIRM ZONE 1'!V833</f>
        <v>194.20499999999998</v>
      </c>
      <c r="D822" s="83">
        <f>'[2]FGT PRIMARY FIRM ZONE 2'!V833</f>
        <v>267.46600000000001</v>
      </c>
      <c r="E822" s="92">
        <f>'[2]FGT PRIMARY FIRM ZONE 3'!V833</f>
        <v>133.845</v>
      </c>
      <c r="F822" s="83">
        <f>'[2]FGT FIRM ZONE 3 MOBILE BAY-DES'!V833-40-25-60-100</f>
        <v>53.48399999999998</v>
      </c>
      <c r="G822" s="86">
        <v>40</v>
      </c>
      <c r="H822" s="83">
        <f t="shared" si="135"/>
        <v>185</v>
      </c>
      <c r="I822" s="83">
        <f t="shared" si="136"/>
        <v>0</v>
      </c>
      <c r="J822" s="86">
        <v>100</v>
      </c>
      <c r="K822" s="86">
        <v>300</v>
      </c>
      <c r="L822" s="83">
        <f t="shared" si="128"/>
        <v>1274</v>
      </c>
      <c r="M822" s="94">
        <v>600</v>
      </c>
      <c r="N822" s="83">
        <f>'[2]FGT NON-FIRM'!P833</f>
        <v>30</v>
      </c>
      <c r="O822" s="86">
        <v>240</v>
      </c>
      <c r="P822" s="86">
        <v>40</v>
      </c>
      <c r="Q822" s="86">
        <f t="shared" si="129"/>
        <v>315</v>
      </c>
      <c r="R822" s="86">
        <f t="shared" si="130"/>
        <v>100</v>
      </c>
      <c r="S822" s="83">
        <f t="shared" si="131"/>
        <v>695</v>
      </c>
      <c r="T822" s="83">
        <f>'[2]GULFSTREAM NON-FIRM'!H833</f>
        <v>0</v>
      </c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</row>
    <row r="823" spans="1:30" ht="15.75" hidden="1" x14ac:dyDescent="0.25">
      <c r="A823" s="32">
        <v>65989</v>
      </c>
      <c r="B823" s="95">
        <f t="shared" si="132"/>
        <v>31</v>
      </c>
      <c r="C823" s="83">
        <f>'[2]FGT PRIMARY FIRM ZONE 1'!V834</f>
        <v>194.20499999999998</v>
      </c>
      <c r="D823" s="83">
        <f>'[2]FGT PRIMARY FIRM ZONE 2'!V834</f>
        <v>267.46600000000001</v>
      </c>
      <c r="E823" s="92">
        <f>'[2]FGT PRIMARY FIRM ZONE 3'!V834</f>
        <v>133.845</v>
      </c>
      <c r="F823" s="83">
        <f>'[2]FGT FIRM ZONE 3 MOBILE BAY-DES'!V834-40-25-60-100</f>
        <v>53.48399999999998</v>
      </c>
      <c r="G823" s="86">
        <v>40</v>
      </c>
      <c r="H823" s="83">
        <f t="shared" si="135"/>
        <v>185</v>
      </c>
      <c r="I823" s="83">
        <f t="shared" si="136"/>
        <v>0</v>
      </c>
      <c r="J823" s="86">
        <v>100</v>
      </c>
      <c r="K823" s="86">
        <v>300</v>
      </c>
      <c r="L823" s="83">
        <f t="shared" si="128"/>
        <v>1274</v>
      </c>
      <c r="M823" s="94">
        <v>600</v>
      </c>
      <c r="N823" s="83">
        <f>'[2]FGT NON-FIRM'!P834</f>
        <v>30</v>
      </c>
      <c r="O823" s="86">
        <v>240</v>
      </c>
      <c r="P823" s="86">
        <v>40</v>
      </c>
      <c r="Q823" s="86">
        <f t="shared" si="129"/>
        <v>315</v>
      </c>
      <c r="R823" s="86">
        <f t="shared" si="130"/>
        <v>100</v>
      </c>
      <c r="S823" s="83">
        <f t="shared" si="131"/>
        <v>695</v>
      </c>
      <c r="T823" s="83">
        <f>'[2]GULFSTREAM NON-FIRM'!H834</f>
        <v>0</v>
      </c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</row>
    <row r="824" spans="1:30" ht="15.75" hidden="1" x14ac:dyDescent="0.25">
      <c r="A824" s="32">
        <v>66019</v>
      </c>
      <c r="B824" s="95">
        <f t="shared" si="132"/>
        <v>30</v>
      </c>
      <c r="C824" s="83">
        <f>'[2]FGT PRIMARY FIRM ZONE 1'!V835</f>
        <v>194.20499999999998</v>
      </c>
      <c r="D824" s="83">
        <f>'[2]FGT PRIMARY FIRM ZONE 2'!V835</f>
        <v>267.46600000000001</v>
      </c>
      <c r="E824" s="92">
        <f>'[2]FGT PRIMARY FIRM ZONE 3'!V835</f>
        <v>133.845</v>
      </c>
      <c r="F824" s="83">
        <f>'[2]FGT FIRM ZONE 3 MOBILE BAY-DES'!V835-40-25-60-100</f>
        <v>53.48399999999998</v>
      </c>
      <c r="G824" s="86">
        <v>40</v>
      </c>
      <c r="H824" s="83">
        <f t="shared" si="135"/>
        <v>185</v>
      </c>
      <c r="I824" s="83">
        <f t="shared" si="136"/>
        <v>0</v>
      </c>
      <c r="J824" s="86">
        <v>100</v>
      </c>
      <c r="K824" s="86">
        <v>300</v>
      </c>
      <c r="L824" s="83">
        <f t="shared" si="128"/>
        <v>1274</v>
      </c>
      <c r="M824" s="94">
        <v>600</v>
      </c>
      <c r="N824" s="83">
        <f>'[2]FGT NON-FIRM'!P835</f>
        <v>30</v>
      </c>
      <c r="O824" s="86">
        <v>240</v>
      </c>
      <c r="P824" s="86">
        <v>40</v>
      </c>
      <c r="Q824" s="86">
        <f t="shared" si="129"/>
        <v>315</v>
      </c>
      <c r="R824" s="86">
        <f t="shared" si="130"/>
        <v>100</v>
      </c>
      <c r="S824" s="83">
        <f t="shared" si="131"/>
        <v>695</v>
      </c>
      <c r="T824" s="83">
        <f>'[2]GULFSTREAM NON-FIRM'!H835</f>
        <v>0</v>
      </c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</row>
    <row r="825" spans="1:30" ht="15.75" hidden="1" x14ac:dyDescent="0.25">
      <c r="A825" s="32">
        <v>66050</v>
      </c>
      <c r="B825" s="95">
        <f t="shared" si="132"/>
        <v>31</v>
      </c>
      <c r="C825" s="83">
        <f>'[2]FGT PRIMARY FIRM ZONE 1'!V836</f>
        <v>131.881</v>
      </c>
      <c r="D825" s="83">
        <f>'[2]FGT PRIMARY FIRM ZONE 2'!V836</f>
        <v>277.16699999999997</v>
      </c>
      <c r="E825" s="92">
        <f>'[2]FGT PRIMARY FIRM ZONE 3'!V836</f>
        <v>79.08</v>
      </c>
      <c r="F825" s="83">
        <f>'[2]FGT FIRM ZONE 3 MOBILE BAY-DES'!V836-40-25-60-100</f>
        <v>125.87199999999996</v>
      </c>
      <c r="G825" s="86">
        <v>40</v>
      </c>
      <c r="H825" s="83">
        <f t="shared" si="135"/>
        <v>185</v>
      </c>
      <c r="I825" s="83">
        <f t="shared" si="136"/>
        <v>0</v>
      </c>
      <c r="J825" s="86">
        <v>100</v>
      </c>
      <c r="K825" s="86">
        <v>300</v>
      </c>
      <c r="L825" s="83">
        <f t="shared" si="128"/>
        <v>1239</v>
      </c>
      <c r="M825" s="94">
        <v>600</v>
      </c>
      <c r="N825" s="83">
        <f>'[2]FGT NON-FIRM'!P836</f>
        <v>75</v>
      </c>
      <c r="O825" s="86">
        <v>240</v>
      </c>
      <c r="P825" s="86">
        <v>40</v>
      </c>
      <c r="Q825" s="86">
        <f t="shared" si="129"/>
        <v>315</v>
      </c>
      <c r="R825" s="86">
        <f t="shared" si="130"/>
        <v>100</v>
      </c>
      <c r="S825" s="83">
        <f t="shared" si="131"/>
        <v>695</v>
      </c>
      <c r="T825" s="83">
        <f>'[2]GULFSTREAM NON-FIRM'!H836</f>
        <v>0</v>
      </c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</row>
    <row r="826" spans="1:30" ht="15.75" hidden="1" x14ac:dyDescent="0.25">
      <c r="A826" s="32">
        <v>66080</v>
      </c>
      <c r="B826" s="95">
        <f t="shared" si="132"/>
        <v>30</v>
      </c>
      <c r="C826" s="83">
        <f>'[2]FGT PRIMARY FIRM ZONE 1'!V837</f>
        <v>122.58</v>
      </c>
      <c r="D826" s="83">
        <f>'[2]FGT PRIMARY FIRM ZONE 2'!V837</f>
        <v>297.94100000000003</v>
      </c>
      <c r="E826" s="92">
        <f>'[2]FGT PRIMARY FIRM ZONE 3'!V837</f>
        <v>89.177000000000007</v>
      </c>
      <c r="F826" s="83">
        <f>'[2]FGT FIRM ZONE 3 MOBILE BAY-DES'!V837-40-60-100</f>
        <v>40.301999999999992</v>
      </c>
      <c r="G826" s="86">
        <v>40</v>
      </c>
      <c r="H826" s="83">
        <f>60+100</f>
        <v>160</v>
      </c>
      <c r="I826" s="83">
        <f t="shared" si="136"/>
        <v>0</v>
      </c>
      <c r="J826" s="86">
        <v>100</v>
      </c>
      <c r="K826" s="86">
        <v>300</v>
      </c>
      <c r="L826" s="83">
        <f t="shared" si="128"/>
        <v>1150</v>
      </c>
      <c r="M826" s="94">
        <v>600</v>
      </c>
      <c r="N826" s="83">
        <f>'[2]FGT NON-FIRM'!P837</f>
        <v>100</v>
      </c>
      <c r="O826" s="86">
        <v>240</v>
      </c>
      <c r="P826" s="86">
        <v>40</v>
      </c>
      <c r="Q826" s="86">
        <f t="shared" si="129"/>
        <v>315</v>
      </c>
      <c r="R826" s="86">
        <f t="shared" si="130"/>
        <v>100</v>
      </c>
      <c r="S826" s="83">
        <f t="shared" si="131"/>
        <v>695</v>
      </c>
      <c r="T826" s="83">
        <f>'[2]GULFSTREAM NON-FIRM'!H837</f>
        <v>50</v>
      </c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</row>
    <row r="827" spans="1:30" ht="15.75" hidden="1" x14ac:dyDescent="0.25">
      <c r="A827" s="32">
        <v>66111</v>
      </c>
      <c r="B827" s="95">
        <f t="shared" si="132"/>
        <v>31</v>
      </c>
      <c r="C827" s="83">
        <f>'[2]FGT PRIMARY FIRM ZONE 1'!V838</f>
        <v>122.58</v>
      </c>
      <c r="D827" s="83">
        <f>'[2]FGT PRIMARY FIRM ZONE 2'!V838</f>
        <v>297.94100000000003</v>
      </c>
      <c r="E827" s="92">
        <f>'[2]FGT PRIMARY FIRM ZONE 3'!V838</f>
        <v>89.177000000000007</v>
      </c>
      <c r="F827" s="83">
        <f>'[2]FGT FIRM ZONE 3 MOBILE BAY-DES'!V838-40-60-100</f>
        <v>40.301999999999992</v>
      </c>
      <c r="G827" s="86">
        <v>40</v>
      </c>
      <c r="H827" s="83">
        <f>60+100</f>
        <v>160</v>
      </c>
      <c r="I827" s="83">
        <f t="shared" si="136"/>
        <v>0</v>
      </c>
      <c r="J827" s="86">
        <v>100</v>
      </c>
      <c r="K827" s="86">
        <v>300</v>
      </c>
      <c r="L827" s="83">
        <f t="shared" si="128"/>
        <v>1150</v>
      </c>
      <c r="M827" s="94">
        <v>600</v>
      </c>
      <c r="N827" s="83">
        <f>'[2]FGT NON-FIRM'!P838</f>
        <v>100</v>
      </c>
      <c r="O827" s="86">
        <v>240</v>
      </c>
      <c r="P827" s="86">
        <v>40</v>
      </c>
      <c r="Q827" s="86">
        <f t="shared" si="129"/>
        <v>315</v>
      </c>
      <c r="R827" s="86">
        <f t="shared" si="130"/>
        <v>100</v>
      </c>
      <c r="S827" s="83">
        <f t="shared" si="131"/>
        <v>695</v>
      </c>
      <c r="T827" s="83">
        <f>'[2]GULFSTREAM NON-FIRM'!H838</f>
        <v>50</v>
      </c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</row>
    <row r="828" spans="1:30" ht="15.75" hidden="1" x14ac:dyDescent="0.25">
      <c r="A828" s="32">
        <v>66142</v>
      </c>
      <c r="B828" s="95">
        <f t="shared" si="132"/>
        <v>31</v>
      </c>
      <c r="C828" s="83">
        <f>'[2]FGT PRIMARY FIRM ZONE 1'!V839</f>
        <v>122.58</v>
      </c>
      <c r="D828" s="83">
        <f>'[2]FGT PRIMARY FIRM ZONE 2'!V839</f>
        <v>297.94100000000003</v>
      </c>
      <c r="E828" s="92">
        <f>'[2]FGT PRIMARY FIRM ZONE 3'!V839</f>
        <v>89.177000000000007</v>
      </c>
      <c r="F828" s="83">
        <f>'[2]FGT FIRM ZONE 3 MOBILE BAY-DES'!V839-40-60-100</f>
        <v>40.301999999999992</v>
      </c>
      <c r="G828" s="86">
        <v>40</v>
      </c>
      <c r="H828" s="83">
        <f>60+100</f>
        <v>160</v>
      </c>
      <c r="I828" s="83">
        <f t="shared" si="136"/>
        <v>0</v>
      </c>
      <c r="J828" s="86">
        <v>100</v>
      </c>
      <c r="K828" s="86">
        <v>300</v>
      </c>
      <c r="L828" s="83">
        <f t="shared" si="128"/>
        <v>1150</v>
      </c>
      <c r="M828" s="94">
        <v>600</v>
      </c>
      <c r="N828" s="83">
        <f>'[2]FGT NON-FIRM'!P839</f>
        <v>100</v>
      </c>
      <c r="O828" s="86">
        <v>240</v>
      </c>
      <c r="P828" s="86">
        <v>40</v>
      </c>
      <c r="Q828" s="86">
        <f t="shared" si="129"/>
        <v>315</v>
      </c>
      <c r="R828" s="86">
        <f t="shared" si="130"/>
        <v>100</v>
      </c>
      <c r="S828" s="83">
        <f t="shared" si="131"/>
        <v>695</v>
      </c>
      <c r="T828" s="83">
        <f>'[2]GULFSTREAM NON-FIRM'!H839</f>
        <v>50</v>
      </c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</row>
    <row r="829" spans="1:30" ht="15.75" hidden="1" x14ac:dyDescent="0.25">
      <c r="A829" s="32">
        <v>66170</v>
      </c>
      <c r="B829" s="95">
        <f t="shared" si="132"/>
        <v>28</v>
      </c>
      <c r="C829" s="83">
        <f>'[2]FGT PRIMARY FIRM ZONE 1'!V840</f>
        <v>122.58</v>
      </c>
      <c r="D829" s="83">
        <f>'[2]FGT PRIMARY FIRM ZONE 2'!V840</f>
        <v>297.94100000000003</v>
      </c>
      <c r="E829" s="92">
        <f>'[2]FGT PRIMARY FIRM ZONE 3'!V840</f>
        <v>89.177000000000007</v>
      </c>
      <c r="F829" s="83">
        <f>'[2]FGT FIRM ZONE 3 MOBILE BAY-DES'!V840-40-60-100</f>
        <v>40.301999999999992</v>
      </c>
      <c r="G829" s="86">
        <v>40</v>
      </c>
      <c r="H829" s="83">
        <f>60+100</f>
        <v>160</v>
      </c>
      <c r="I829" s="83">
        <f t="shared" si="136"/>
        <v>0</v>
      </c>
      <c r="J829" s="86">
        <v>100</v>
      </c>
      <c r="K829" s="86">
        <v>300</v>
      </c>
      <c r="L829" s="83">
        <f t="shared" si="128"/>
        <v>1150</v>
      </c>
      <c r="M829" s="94">
        <v>600</v>
      </c>
      <c r="N829" s="83">
        <f>'[2]FGT NON-FIRM'!P840</f>
        <v>100</v>
      </c>
      <c r="O829" s="86">
        <v>240</v>
      </c>
      <c r="P829" s="86">
        <v>40</v>
      </c>
      <c r="Q829" s="86">
        <f t="shared" si="129"/>
        <v>315</v>
      </c>
      <c r="R829" s="86">
        <f t="shared" si="130"/>
        <v>100</v>
      </c>
      <c r="S829" s="83">
        <f t="shared" si="131"/>
        <v>695</v>
      </c>
      <c r="T829" s="83">
        <f>'[2]GULFSTREAM NON-FIRM'!H840</f>
        <v>50</v>
      </c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</row>
    <row r="830" spans="1:30" ht="15.75" hidden="1" x14ac:dyDescent="0.25">
      <c r="A830" s="32">
        <v>66201</v>
      </c>
      <c r="B830" s="95">
        <f t="shared" si="132"/>
        <v>31</v>
      </c>
      <c r="C830" s="83">
        <f>'[2]FGT PRIMARY FIRM ZONE 1'!V841</f>
        <v>122.58</v>
      </c>
      <c r="D830" s="83">
        <f>'[2]FGT PRIMARY FIRM ZONE 2'!V841</f>
        <v>297.94100000000003</v>
      </c>
      <c r="E830" s="92">
        <f>'[2]FGT PRIMARY FIRM ZONE 3'!V841</f>
        <v>89.177000000000007</v>
      </c>
      <c r="F830" s="83">
        <f>'[2]FGT FIRM ZONE 3 MOBILE BAY-DES'!V841-40-60-100</f>
        <v>40.301999999999992</v>
      </c>
      <c r="G830" s="86">
        <v>40</v>
      </c>
      <c r="H830" s="83">
        <f>60+100</f>
        <v>160</v>
      </c>
      <c r="I830" s="83">
        <f t="shared" si="136"/>
        <v>0</v>
      </c>
      <c r="J830" s="86">
        <v>100</v>
      </c>
      <c r="K830" s="86">
        <v>300</v>
      </c>
      <c r="L830" s="83">
        <f t="shared" si="128"/>
        <v>1150</v>
      </c>
      <c r="M830" s="94">
        <v>600</v>
      </c>
      <c r="N830" s="83">
        <f>'[2]FGT NON-FIRM'!P841</f>
        <v>100</v>
      </c>
      <c r="O830" s="86">
        <v>240</v>
      </c>
      <c r="P830" s="86">
        <v>40</v>
      </c>
      <c r="Q830" s="86">
        <f t="shared" si="129"/>
        <v>315</v>
      </c>
      <c r="R830" s="86">
        <f t="shared" si="130"/>
        <v>100</v>
      </c>
      <c r="S830" s="83">
        <f t="shared" si="131"/>
        <v>695</v>
      </c>
      <c r="T830" s="83">
        <f>'[2]GULFSTREAM NON-FIRM'!H841</f>
        <v>50</v>
      </c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</row>
    <row r="831" spans="1:30" ht="15.75" hidden="1" x14ac:dyDescent="0.25">
      <c r="A831" s="32">
        <v>66231</v>
      </c>
      <c r="B831" s="95">
        <f t="shared" si="132"/>
        <v>30</v>
      </c>
      <c r="C831" s="83">
        <f>'[2]FGT PRIMARY FIRM ZONE 1'!V842</f>
        <v>141.29300000000001</v>
      </c>
      <c r="D831" s="83">
        <f>'[2]FGT PRIMARY FIRM ZONE 2'!V842</f>
        <v>267.99299999999999</v>
      </c>
      <c r="E831" s="92">
        <f>'[2]FGT PRIMARY FIRM ZONE 3'!V842</f>
        <v>115.01600000000001</v>
      </c>
      <c r="F831" s="83">
        <f>'[2]FGT FIRM ZONE 3 MOBILE BAY-DES'!V842-40-25-60-100</f>
        <v>89.698000000000036</v>
      </c>
      <c r="G831" s="86">
        <v>40</v>
      </c>
      <c r="H831" s="83">
        <f t="shared" ref="H831:H837" si="137">25+60+100</f>
        <v>185</v>
      </c>
      <c r="I831" s="83">
        <f t="shared" si="136"/>
        <v>0</v>
      </c>
      <c r="J831" s="86">
        <v>100</v>
      </c>
      <c r="K831" s="86">
        <v>300</v>
      </c>
      <c r="L831" s="83">
        <f t="shared" si="128"/>
        <v>1239</v>
      </c>
      <c r="M831" s="94">
        <v>600</v>
      </c>
      <c r="N831" s="83">
        <f>'[2]FGT NON-FIRM'!P842</f>
        <v>100</v>
      </c>
      <c r="O831" s="86">
        <v>240</v>
      </c>
      <c r="P831" s="86">
        <v>40</v>
      </c>
      <c r="Q831" s="86">
        <f t="shared" si="129"/>
        <v>315</v>
      </c>
      <c r="R831" s="86">
        <f t="shared" si="130"/>
        <v>100</v>
      </c>
      <c r="S831" s="83">
        <f t="shared" si="131"/>
        <v>695</v>
      </c>
      <c r="T831" s="83">
        <f>'[2]GULFSTREAM NON-FIRM'!H842</f>
        <v>50</v>
      </c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</row>
    <row r="832" spans="1:30" ht="15.75" hidden="1" x14ac:dyDescent="0.25">
      <c r="A832" s="32">
        <v>66262</v>
      </c>
      <c r="B832" s="95">
        <f t="shared" si="132"/>
        <v>31</v>
      </c>
      <c r="C832" s="83">
        <f>'[2]FGT PRIMARY FIRM ZONE 1'!V843</f>
        <v>194.20499999999998</v>
      </c>
      <c r="D832" s="83">
        <f>'[2]FGT PRIMARY FIRM ZONE 2'!V843</f>
        <v>267.46600000000001</v>
      </c>
      <c r="E832" s="92">
        <f>'[2]FGT PRIMARY FIRM ZONE 3'!V843</f>
        <v>133.845</v>
      </c>
      <c r="F832" s="83">
        <f>'[2]FGT FIRM ZONE 3 MOBILE BAY-DES'!V843-40-25-60-100</f>
        <v>53.48399999999998</v>
      </c>
      <c r="G832" s="86">
        <v>40</v>
      </c>
      <c r="H832" s="83">
        <f t="shared" si="137"/>
        <v>185</v>
      </c>
      <c r="I832" s="83">
        <f t="shared" si="136"/>
        <v>0</v>
      </c>
      <c r="J832" s="86">
        <v>100</v>
      </c>
      <c r="K832" s="86">
        <v>300</v>
      </c>
      <c r="L832" s="83">
        <f t="shared" si="128"/>
        <v>1274</v>
      </c>
      <c r="M832" s="94">
        <v>600</v>
      </c>
      <c r="N832" s="83">
        <f>'[2]FGT NON-FIRM'!P843</f>
        <v>75</v>
      </c>
      <c r="O832" s="86">
        <v>240</v>
      </c>
      <c r="P832" s="86">
        <v>40</v>
      </c>
      <c r="Q832" s="86">
        <f t="shared" si="129"/>
        <v>315</v>
      </c>
      <c r="R832" s="86">
        <f t="shared" si="130"/>
        <v>100</v>
      </c>
      <c r="S832" s="83">
        <f t="shared" si="131"/>
        <v>695</v>
      </c>
      <c r="T832" s="83">
        <f>'[2]GULFSTREAM NON-FIRM'!H843</f>
        <v>50</v>
      </c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</row>
    <row r="833" spans="1:30" ht="15.75" hidden="1" x14ac:dyDescent="0.25">
      <c r="A833" s="32">
        <v>66292</v>
      </c>
      <c r="B833" s="95">
        <f t="shared" si="132"/>
        <v>30</v>
      </c>
      <c r="C833" s="83">
        <f>'[2]FGT PRIMARY FIRM ZONE 1'!V844</f>
        <v>194.20499999999998</v>
      </c>
      <c r="D833" s="83">
        <f>'[2]FGT PRIMARY FIRM ZONE 2'!V844</f>
        <v>267.46600000000001</v>
      </c>
      <c r="E833" s="92">
        <f>'[2]FGT PRIMARY FIRM ZONE 3'!V844</f>
        <v>133.845</v>
      </c>
      <c r="F833" s="83">
        <f>'[2]FGT FIRM ZONE 3 MOBILE BAY-DES'!V844-40-25-60-100</f>
        <v>53.48399999999998</v>
      </c>
      <c r="G833" s="86">
        <v>40</v>
      </c>
      <c r="H833" s="83">
        <f t="shared" si="137"/>
        <v>185</v>
      </c>
      <c r="I833" s="83">
        <f t="shared" si="136"/>
        <v>0</v>
      </c>
      <c r="J833" s="86">
        <v>100</v>
      </c>
      <c r="K833" s="86">
        <v>300</v>
      </c>
      <c r="L833" s="83">
        <f t="shared" si="128"/>
        <v>1274</v>
      </c>
      <c r="M833" s="94">
        <v>600</v>
      </c>
      <c r="N833" s="83">
        <f>'[2]FGT NON-FIRM'!P844</f>
        <v>30</v>
      </c>
      <c r="O833" s="86">
        <v>240</v>
      </c>
      <c r="P833" s="86">
        <v>40</v>
      </c>
      <c r="Q833" s="86">
        <f t="shared" si="129"/>
        <v>315</v>
      </c>
      <c r="R833" s="86">
        <f t="shared" si="130"/>
        <v>100</v>
      </c>
      <c r="S833" s="83">
        <f t="shared" si="131"/>
        <v>695</v>
      </c>
      <c r="T833" s="83">
        <f>'[2]GULFSTREAM NON-FIRM'!H844</f>
        <v>50</v>
      </c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</row>
    <row r="834" spans="1:30" ht="15.75" hidden="1" x14ac:dyDescent="0.25">
      <c r="A834" s="32">
        <v>66323</v>
      </c>
      <c r="B834" s="95">
        <f t="shared" si="132"/>
        <v>31</v>
      </c>
      <c r="C834" s="83">
        <f>'[2]FGT PRIMARY FIRM ZONE 1'!V845</f>
        <v>194.20499999999998</v>
      </c>
      <c r="D834" s="83">
        <f>'[2]FGT PRIMARY FIRM ZONE 2'!V845</f>
        <v>267.46600000000001</v>
      </c>
      <c r="E834" s="92">
        <f>'[2]FGT PRIMARY FIRM ZONE 3'!V845</f>
        <v>133.845</v>
      </c>
      <c r="F834" s="83">
        <f>'[2]FGT FIRM ZONE 3 MOBILE BAY-DES'!V845-40-25-60-100</f>
        <v>53.48399999999998</v>
      </c>
      <c r="G834" s="86">
        <v>40</v>
      </c>
      <c r="H834" s="83">
        <f t="shared" si="137"/>
        <v>185</v>
      </c>
      <c r="I834" s="83">
        <f t="shared" si="136"/>
        <v>0</v>
      </c>
      <c r="J834" s="86">
        <v>100</v>
      </c>
      <c r="K834" s="86">
        <v>300</v>
      </c>
      <c r="L834" s="83">
        <f t="shared" si="128"/>
        <v>1274</v>
      </c>
      <c r="M834" s="94">
        <v>600</v>
      </c>
      <c r="N834" s="83">
        <f>'[2]FGT NON-FIRM'!P845</f>
        <v>30</v>
      </c>
      <c r="O834" s="86">
        <v>240</v>
      </c>
      <c r="P834" s="86">
        <v>40</v>
      </c>
      <c r="Q834" s="86">
        <f t="shared" si="129"/>
        <v>315</v>
      </c>
      <c r="R834" s="86">
        <f t="shared" si="130"/>
        <v>100</v>
      </c>
      <c r="S834" s="83">
        <f t="shared" si="131"/>
        <v>695</v>
      </c>
      <c r="T834" s="83">
        <f>'[2]GULFSTREAM NON-FIRM'!H845</f>
        <v>0</v>
      </c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</row>
    <row r="835" spans="1:30" ht="15.75" hidden="1" x14ac:dyDescent="0.25">
      <c r="A835" s="32">
        <v>66354</v>
      </c>
      <c r="B835" s="95">
        <f t="shared" si="132"/>
        <v>31</v>
      </c>
      <c r="C835" s="83">
        <f>'[2]FGT PRIMARY FIRM ZONE 1'!V846</f>
        <v>194.20499999999998</v>
      </c>
      <c r="D835" s="83">
        <f>'[2]FGT PRIMARY FIRM ZONE 2'!V846</f>
        <v>267.46600000000001</v>
      </c>
      <c r="E835" s="92">
        <f>'[2]FGT PRIMARY FIRM ZONE 3'!V846</f>
        <v>133.845</v>
      </c>
      <c r="F835" s="83">
        <f>'[2]FGT FIRM ZONE 3 MOBILE BAY-DES'!V846-40-25-60-100</f>
        <v>53.48399999999998</v>
      </c>
      <c r="G835" s="86">
        <v>40</v>
      </c>
      <c r="H835" s="83">
        <f t="shared" si="137"/>
        <v>185</v>
      </c>
      <c r="I835" s="83">
        <f t="shared" si="136"/>
        <v>0</v>
      </c>
      <c r="J835" s="86">
        <v>100</v>
      </c>
      <c r="K835" s="86">
        <v>300</v>
      </c>
      <c r="L835" s="83">
        <f t="shared" si="128"/>
        <v>1274</v>
      </c>
      <c r="M835" s="94">
        <v>600</v>
      </c>
      <c r="N835" s="83">
        <f>'[2]FGT NON-FIRM'!P846</f>
        <v>30</v>
      </c>
      <c r="O835" s="86">
        <v>240</v>
      </c>
      <c r="P835" s="86">
        <v>40</v>
      </c>
      <c r="Q835" s="86">
        <f t="shared" si="129"/>
        <v>315</v>
      </c>
      <c r="R835" s="86">
        <f t="shared" si="130"/>
        <v>100</v>
      </c>
      <c r="S835" s="83">
        <f t="shared" si="131"/>
        <v>695</v>
      </c>
      <c r="T835" s="83">
        <f>'[2]GULFSTREAM NON-FIRM'!H846</f>
        <v>0</v>
      </c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</row>
    <row r="836" spans="1:30" ht="15.75" hidden="1" x14ac:dyDescent="0.25">
      <c r="A836" s="32">
        <v>66384</v>
      </c>
      <c r="B836" s="95">
        <f t="shared" si="132"/>
        <v>30</v>
      </c>
      <c r="C836" s="83">
        <f>'[2]FGT PRIMARY FIRM ZONE 1'!V847</f>
        <v>194.20499999999998</v>
      </c>
      <c r="D836" s="83">
        <f>'[2]FGT PRIMARY FIRM ZONE 2'!V847</f>
        <v>267.46600000000001</v>
      </c>
      <c r="E836" s="92">
        <f>'[2]FGT PRIMARY FIRM ZONE 3'!V847</f>
        <v>133.845</v>
      </c>
      <c r="F836" s="83">
        <f>'[2]FGT FIRM ZONE 3 MOBILE BAY-DES'!V847-40-25-60-100</f>
        <v>53.48399999999998</v>
      </c>
      <c r="G836" s="86">
        <v>40</v>
      </c>
      <c r="H836" s="83">
        <f t="shared" si="137"/>
        <v>185</v>
      </c>
      <c r="I836" s="83">
        <f t="shared" si="136"/>
        <v>0</v>
      </c>
      <c r="J836" s="86">
        <v>100</v>
      </c>
      <c r="K836" s="86">
        <v>300</v>
      </c>
      <c r="L836" s="83">
        <f t="shared" si="128"/>
        <v>1274</v>
      </c>
      <c r="M836" s="94">
        <v>600</v>
      </c>
      <c r="N836" s="83">
        <f>'[2]FGT NON-FIRM'!P847</f>
        <v>30</v>
      </c>
      <c r="O836" s="86">
        <v>240</v>
      </c>
      <c r="P836" s="86">
        <v>40</v>
      </c>
      <c r="Q836" s="86">
        <f t="shared" si="129"/>
        <v>315</v>
      </c>
      <c r="R836" s="86">
        <f t="shared" si="130"/>
        <v>100</v>
      </c>
      <c r="S836" s="83">
        <f t="shared" si="131"/>
        <v>695</v>
      </c>
      <c r="T836" s="83">
        <f>'[2]GULFSTREAM NON-FIRM'!H847</f>
        <v>0</v>
      </c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</row>
    <row r="837" spans="1:30" ht="15.75" hidden="1" x14ac:dyDescent="0.25">
      <c r="A837" s="32">
        <v>66415</v>
      </c>
      <c r="B837" s="95">
        <f t="shared" si="132"/>
        <v>31</v>
      </c>
      <c r="C837" s="83">
        <f>'[2]FGT PRIMARY FIRM ZONE 1'!V848</f>
        <v>131.881</v>
      </c>
      <c r="D837" s="83">
        <f>'[2]FGT PRIMARY FIRM ZONE 2'!V848</f>
        <v>277.16699999999997</v>
      </c>
      <c r="E837" s="92">
        <f>'[2]FGT PRIMARY FIRM ZONE 3'!V848</f>
        <v>79.08</v>
      </c>
      <c r="F837" s="83">
        <f>'[2]FGT FIRM ZONE 3 MOBILE BAY-DES'!V848-40-25-60-100</f>
        <v>125.87199999999996</v>
      </c>
      <c r="G837" s="86">
        <v>40</v>
      </c>
      <c r="H837" s="83">
        <f t="shared" si="137"/>
        <v>185</v>
      </c>
      <c r="I837" s="83">
        <f t="shared" si="136"/>
        <v>0</v>
      </c>
      <c r="J837" s="86">
        <v>100</v>
      </c>
      <c r="K837" s="86">
        <v>300</v>
      </c>
      <c r="L837" s="83">
        <f t="shared" si="128"/>
        <v>1239</v>
      </c>
      <c r="M837" s="94">
        <v>600</v>
      </c>
      <c r="N837" s="83">
        <f>'[2]FGT NON-FIRM'!P848</f>
        <v>75</v>
      </c>
      <c r="O837" s="86">
        <v>240</v>
      </c>
      <c r="P837" s="86">
        <v>40</v>
      </c>
      <c r="Q837" s="86">
        <f t="shared" si="129"/>
        <v>315</v>
      </c>
      <c r="R837" s="86">
        <f t="shared" si="130"/>
        <v>100</v>
      </c>
      <c r="S837" s="83">
        <f t="shared" si="131"/>
        <v>695</v>
      </c>
      <c r="T837" s="83">
        <f>'[2]GULFSTREAM NON-FIRM'!H848</f>
        <v>0</v>
      </c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</row>
    <row r="838" spans="1:30" ht="15.75" hidden="1" x14ac:dyDescent="0.25">
      <c r="A838" s="32">
        <v>66445</v>
      </c>
      <c r="B838" s="95">
        <f t="shared" si="132"/>
        <v>30</v>
      </c>
      <c r="C838" s="83">
        <f>'[2]FGT PRIMARY FIRM ZONE 1'!V849</f>
        <v>122.58</v>
      </c>
      <c r="D838" s="83">
        <f>'[2]FGT PRIMARY FIRM ZONE 2'!V849</f>
        <v>297.94100000000003</v>
      </c>
      <c r="E838" s="92">
        <f>'[2]FGT PRIMARY FIRM ZONE 3'!V849</f>
        <v>89.177000000000007</v>
      </c>
      <c r="F838" s="83">
        <f>'[2]FGT FIRM ZONE 3 MOBILE BAY-DES'!V849-40-60-100</f>
        <v>40.301999999999992</v>
      </c>
      <c r="G838" s="86">
        <v>40</v>
      </c>
      <c r="H838" s="83">
        <f>60+100</f>
        <v>160</v>
      </c>
      <c r="I838" s="83">
        <f t="shared" si="136"/>
        <v>0</v>
      </c>
      <c r="J838" s="86">
        <v>100</v>
      </c>
      <c r="K838" s="86">
        <v>300</v>
      </c>
      <c r="L838" s="83">
        <f t="shared" si="128"/>
        <v>1150</v>
      </c>
      <c r="M838" s="94">
        <v>600</v>
      </c>
      <c r="N838" s="83">
        <f>'[2]FGT NON-FIRM'!P849</f>
        <v>100</v>
      </c>
      <c r="O838" s="86">
        <v>240</v>
      </c>
      <c r="P838" s="86">
        <v>40</v>
      </c>
      <c r="Q838" s="86">
        <f t="shared" si="129"/>
        <v>315</v>
      </c>
      <c r="R838" s="86">
        <f t="shared" si="130"/>
        <v>100</v>
      </c>
      <c r="S838" s="83">
        <f t="shared" si="131"/>
        <v>695</v>
      </c>
      <c r="T838" s="83">
        <f>'[2]GULFSTREAM NON-FIRM'!H849</f>
        <v>50</v>
      </c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</row>
    <row r="839" spans="1:30" ht="15.75" hidden="1" x14ac:dyDescent="0.25">
      <c r="A839" s="32">
        <v>66476</v>
      </c>
      <c r="B839" s="95">
        <f t="shared" si="132"/>
        <v>31</v>
      </c>
      <c r="C839" s="83">
        <f>'[2]FGT PRIMARY FIRM ZONE 1'!V850</f>
        <v>122.58</v>
      </c>
      <c r="D839" s="83">
        <f>'[2]FGT PRIMARY FIRM ZONE 2'!V850</f>
        <v>297.94100000000003</v>
      </c>
      <c r="E839" s="92">
        <f>'[2]FGT PRIMARY FIRM ZONE 3'!V850</f>
        <v>89.177000000000007</v>
      </c>
      <c r="F839" s="83">
        <f>'[2]FGT FIRM ZONE 3 MOBILE BAY-DES'!V850-40-60-100</f>
        <v>40.301999999999992</v>
      </c>
      <c r="G839" s="86">
        <v>40</v>
      </c>
      <c r="H839" s="83">
        <f>60+100</f>
        <v>160</v>
      </c>
      <c r="I839" s="83">
        <f t="shared" si="136"/>
        <v>0</v>
      </c>
      <c r="J839" s="86">
        <v>100</v>
      </c>
      <c r="K839" s="86">
        <v>300</v>
      </c>
      <c r="L839" s="83">
        <f t="shared" si="128"/>
        <v>1150</v>
      </c>
      <c r="M839" s="94">
        <v>600</v>
      </c>
      <c r="N839" s="83">
        <f>'[2]FGT NON-FIRM'!P850</f>
        <v>100</v>
      </c>
      <c r="O839" s="86">
        <v>240</v>
      </c>
      <c r="P839" s="86">
        <v>40</v>
      </c>
      <c r="Q839" s="86">
        <f t="shared" si="129"/>
        <v>315</v>
      </c>
      <c r="R839" s="86">
        <f t="shared" si="130"/>
        <v>100</v>
      </c>
      <c r="S839" s="83">
        <f t="shared" si="131"/>
        <v>695</v>
      </c>
      <c r="T839" s="83">
        <f>'[2]GULFSTREAM NON-FIRM'!H850</f>
        <v>50</v>
      </c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</row>
    <row r="840" spans="1:30" ht="15.75" hidden="1" x14ac:dyDescent="0.25">
      <c r="A840" s="32">
        <v>66507</v>
      </c>
      <c r="B840" s="95">
        <f t="shared" si="132"/>
        <v>31</v>
      </c>
      <c r="C840" s="83">
        <f>'[2]FGT PRIMARY FIRM ZONE 1'!V851</f>
        <v>122.58</v>
      </c>
      <c r="D840" s="83">
        <f>'[2]FGT PRIMARY FIRM ZONE 2'!V851</f>
        <v>297.94100000000003</v>
      </c>
      <c r="E840" s="92">
        <f>'[2]FGT PRIMARY FIRM ZONE 3'!V851</f>
        <v>89.177000000000007</v>
      </c>
      <c r="F840" s="83">
        <f>'[2]FGT FIRM ZONE 3 MOBILE BAY-DES'!V851-40-60-100</f>
        <v>40.301999999999992</v>
      </c>
      <c r="G840" s="86">
        <v>40</v>
      </c>
      <c r="H840" s="83">
        <f>60+100</f>
        <v>160</v>
      </c>
      <c r="I840" s="83">
        <f t="shared" si="136"/>
        <v>0</v>
      </c>
      <c r="J840" s="86">
        <v>100</v>
      </c>
      <c r="K840" s="86">
        <v>300</v>
      </c>
      <c r="L840" s="83">
        <f t="shared" si="128"/>
        <v>1150</v>
      </c>
      <c r="M840" s="94">
        <v>600</v>
      </c>
      <c r="N840" s="83">
        <f>'[2]FGT NON-FIRM'!P851</f>
        <v>100</v>
      </c>
      <c r="O840" s="86">
        <v>240</v>
      </c>
      <c r="P840" s="86">
        <v>40</v>
      </c>
      <c r="Q840" s="86">
        <f t="shared" si="129"/>
        <v>315</v>
      </c>
      <c r="R840" s="86">
        <f t="shared" si="130"/>
        <v>100</v>
      </c>
      <c r="S840" s="83">
        <f t="shared" si="131"/>
        <v>695</v>
      </c>
      <c r="T840" s="83">
        <f>'[2]GULFSTREAM NON-FIRM'!H851</f>
        <v>50</v>
      </c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</row>
    <row r="841" spans="1:30" ht="15.75" hidden="1" x14ac:dyDescent="0.25">
      <c r="A841" s="32">
        <v>66535</v>
      </c>
      <c r="B841" s="95">
        <f t="shared" si="132"/>
        <v>28</v>
      </c>
      <c r="C841" s="83">
        <f>'[2]FGT PRIMARY FIRM ZONE 1'!V852</f>
        <v>122.58</v>
      </c>
      <c r="D841" s="83">
        <f>'[2]FGT PRIMARY FIRM ZONE 2'!V852</f>
        <v>297.94100000000003</v>
      </c>
      <c r="E841" s="92">
        <f>'[2]FGT PRIMARY FIRM ZONE 3'!V852</f>
        <v>89.177000000000007</v>
      </c>
      <c r="F841" s="83">
        <f>'[2]FGT FIRM ZONE 3 MOBILE BAY-DES'!V852-40-60-100</f>
        <v>40.301999999999992</v>
      </c>
      <c r="G841" s="86">
        <v>40</v>
      </c>
      <c r="H841" s="83">
        <f>60+100</f>
        <v>160</v>
      </c>
      <c r="I841" s="83">
        <f t="shared" si="136"/>
        <v>0</v>
      </c>
      <c r="J841" s="86">
        <v>100</v>
      </c>
      <c r="K841" s="86">
        <v>300</v>
      </c>
      <c r="L841" s="83">
        <f t="shared" si="128"/>
        <v>1150</v>
      </c>
      <c r="M841" s="94">
        <v>600</v>
      </c>
      <c r="N841" s="83">
        <f>'[2]FGT NON-FIRM'!P852</f>
        <v>100</v>
      </c>
      <c r="O841" s="86">
        <v>240</v>
      </c>
      <c r="P841" s="86">
        <v>40</v>
      </c>
      <c r="Q841" s="86">
        <f t="shared" si="129"/>
        <v>315</v>
      </c>
      <c r="R841" s="86">
        <f t="shared" si="130"/>
        <v>100</v>
      </c>
      <c r="S841" s="83">
        <f t="shared" si="131"/>
        <v>695</v>
      </c>
      <c r="T841" s="83">
        <f>'[2]GULFSTREAM NON-FIRM'!H852</f>
        <v>50</v>
      </c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</row>
    <row r="842" spans="1:30" ht="15.75" hidden="1" x14ac:dyDescent="0.25">
      <c r="A842" s="32">
        <v>66566</v>
      </c>
      <c r="B842" s="95">
        <f t="shared" si="132"/>
        <v>31</v>
      </c>
      <c r="C842" s="83">
        <f>'[2]FGT PRIMARY FIRM ZONE 1'!V853</f>
        <v>122.58</v>
      </c>
      <c r="D842" s="83">
        <f>'[2]FGT PRIMARY FIRM ZONE 2'!V853</f>
        <v>297.94100000000003</v>
      </c>
      <c r="E842" s="92">
        <f>'[2]FGT PRIMARY FIRM ZONE 3'!V853</f>
        <v>89.177000000000007</v>
      </c>
      <c r="F842" s="83">
        <f>'[2]FGT FIRM ZONE 3 MOBILE BAY-DES'!V853-40-60-100</f>
        <v>40.301999999999992</v>
      </c>
      <c r="G842" s="86">
        <v>40</v>
      </c>
      <c r="H842" s="83">
        <f>60+100</f>
        <v>160</v>
      </c>
      <c r="I842" s="83">
        <f t="shared" si="136"/>
        <v>0</v>
      </c>
      <c r="J842" s="86">
        <v>100</v>
      </c>
      <c r="K842" s="86">
        <v>300</v>
      </c>
      <c r="L842" s="83">
        <f t="shared" si="128"/>
        <v>1150</v>
      </c>
      <c r="M842" s="94">
        <v>600</v>
      </c>
      <c r="N842" s="83">
        <f>'[2]FGT NON-FIRM'!P853</f>
        <v>100</v>
      </c>
      <c r="O842" s="86">
        <v>240</v>
      </c>
      <c r="P842" s="86">
        <v>40</v>
      </c>
      <c r="Q842" s="86">
        <f t="shared" si="129"/>
        <v>315</v>
      </c>
      <c r="R842" s="86">
        <f t="shared" si="130"/>
        <v>100</v>
      </c>
      <c r="S842" s="83">
        <f t="shared" si="131"/>
        <v>695</v>
      </c>
      <c r="T842" s="83">
        <f>'[2]GULFSTREAM NON-FIRM'!H853</f>
        <v>50</v>
      </c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</row>
    <row r="843" spans="1:30" ht="15.75" hidden="1" x14ac:dyDescent="0.25">
      <c r="A843" s="32">
        <v>66596</v>
      </c>
      <c r="B843" s="95">
        <f t="shared" si="132"/>
        <v>30</v>
      </c>
      <c r="C843" s="83">
        <f>'[2]FGT PRIMARY FIRM ZONE 1'!V854</f>
        <v>141.29300000000001</v>
      </c>
      <c r="D843" s="83">
        <f>'[2]FGT PRIMARY FIRM ZONE 2'!V854</f>
        <v>267.99299999999999</v>
      </c>
      <c r="E843" s="92">
        <f>'[2]FGT PRIMARY FIRM ZONE 3'!V854</f>
        <v>115.01600000000001</v>
      </c>
      <c r="F843" s="83">
        <f>'[2]FGT FIRM ZONE 3 MOBILE BAY-DES'!V854-40-25-60-100</f>
        <v>89.698000000000036</v>
      </c>
      <c r="G843" s="86">
        <v>40</v>
      </c>
      <c r="H843" s="83">
        <f t="shared" ref="H843:H849" si="138">25+60+100</f>
        <v>185</v>
      </c>
      <c r="I843" s="83">
        <f t="shared" si="136"/>
        <v>0</v>
      </c>
      <c r="J843" s="86">
        <v>100</v>
      </c>
      <c r="K843" s="86">
        <v>300</v>
      </c>
      <c r="L843" s="83">
        <f t="shared" si="128"/>
        <v>1239</v>
      </c>
      <c r="M843" s="94">
        <v>600</v>
      </c>
      <c r="N843" s="83">
        <f>'[2]FGT NON-FIRM'!P854</f>
        <v>100</v>
      </c>
      <c r="O843" s="86">
        <v>240</v>
      </c>
      <c r="P843" s="86">
        <v>40</v>
      </c>
      <c r="Q843" s="86">
        <f t="shared" si="129"/>
        <v>315</v>
      </c>
      <c r="R843" s="86">
        <f t="shared" si="130"/>
        <v>100</v>
      </c>
      <c r="S843" s="83">
        <f t="shared" si="131"/>
        <v>695</v>
      </c>
      <c r="T843" s="83">
        <f>'[2]GULFSTREAM NON-FIRM'!H854</f>
        <v>50</v>
      </c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</row>
    <row r="844" spans="1:30" ht="15.75" hidden="1" x14ac:dyDescent="0.25">
      <c r="A844" s="32">
        <v>66627</v>
      </c>
      <c r="B844" s="95">
        <f t="shared" si="132"/>
        <v>31</v>
      </c>
      <c r="C844" s="83">
        <f>'[2]FGT PRIMARY FIRM ZONE 1'!V855</f>
        <v>194.20499999999998</v>
      </c>
      <c r="D844" s="83">
        <f>'[2]FGT PRIMARY FIRM ZONE 2'!V855</f>
        <v>267.46600000000001</v>
      </c>
      <c r="E844" s="92">
        <f>'[2]FGT PRIMARY FIRM ZONE 3'!V855</f>
        <v>133.845</v>
      </c>
      <c r="F844" s="83">
        <f>'[2]FGT FIRM ZONE 3 MOBILE BAY-DES'!V855-40-25-60-100</f>
        <v>53.48399999999998</v>
      </c>
      <c r="G844" s="86">
        <v>40</v>
      </c>
      <c r="H844" s="83">
        <f t="shared" si="138"/>
        <v>185</v>
      </c>
      <c r="I844" s="83">
        <f t="shared" si="136"/>
        <v>0</v>
      </c>
      <c r="J844" s="86">
        <v>100</v>
      </c>
      <c r="K844" s="86">
        <v>300</v>
      </c>
      <c r="L844" s="83">
        <f t="shared" si="128"/>
        <v>1274</v>
      </c>
      <c r="M844" s="94">
        <v>600</v>
      </c>
      <c r="N844" s="83">
        <f>'[2]FGT NON-FIRM'!P855</f>
        <v>75</v>
      </c>
      <c r="O844" s="86">
        <v>240</v>
      </c>
      <c r="P844" s="86">
        <v>40</v>
      </c>
      <c r="Q844" s="86">
        <f t="shared" si="129"/>
        <v>315</v>
      </c>
      <c r="R844" s="86">
        <f t="shared" si="130"/>
        <v>100</v>
      </c>
      <c r="S844" s="83">
        <f t="shared" si="131"/>
        <v>695</v>
      </c>
      <c r="T844" s="83">
        <f>'[2]GULFSTREAM NON-FIRM'!H855</f>
        <v>50</v>
      </c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</row>
    <row r="845" spans="1:30" ht="15.75" hidden="1" x14ac:dyDescent="0.25">
      <c r="A845" s="32">
        <v>66657</v>
      </c>
      <c r="B845" s="95">
        <f t="shared" si="132"/>
        <v>30</v>
      </c>
      <c r="C845" s="83">
        <f>'[2]FGT PRIMARY FIRM ZONE 1'!V856</f>
        <v>194.20499999999998</v>
      </c>
      <c r="D845" s="83">
        <f>'[2]FGT PRIMARY FIRM ZONE 2'!V856</f>
        <v>267.46600000000001</v>
      </c>
      <c r="E845" s="92">
        <f>'[2]FGT PRIMARY FIRM ZONE 3'!V856</f>
        <v>133.845</v>
      </c>
      <c r="F845" s="83">
        <f>'[2]FGT FIRM ZONE 3 MOBILE BAY-DES'!V856-40-25-60-100</f>
        <v>53.48399999999998</v>
      </c>
      <c r="G845" s="86">
        <v>40</v>
      </c>
      <c r="H845" s="83">
        <f t="shared" si="138"/>
        <v>185</v>
      </c>
      <c r="I845" s="83">
        <f t="shared" si="136"/>
        <v>0</v>
      </c>
      <c r="J845" s="86">
        <v>100</v>
      </c>
      <c r="K845" s="86">
        <v>300</v>
      </c>
      <c r="L845" s="83">
        <f t="shared" si="128"/>
        <v>1274</v>
      </c>
      <c r="M845" s="94">
        <v>600</v>
      </c>
      <c r="N845" s="83">
        <f>'[2]FGT NON-FIRM'!P856</f>
        <v>30</v>
      </c>
      <c r="O845" s="86">
        <v>240</v>
      </c>
      <c r="P845" s="86">
        <v>40</v>
      </c>
      <c r="Q845" s="86">
        <f t="shared" si="129"/>
        <v>315</v>
      </c>
      <c r="R845" s="86">
        <f t="shared" si="130"/>
        <v>100</v>
      </c>
      <c r="S845" s="83">
        <f t="shared" si="131"/>
        <v>695</v>
      </c>
      <c r="T845" s="83">
        <f>'[2]GULFSTREAM NON-FIRM'!H856</f>
        <v>50</v>
      </c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</row>
    <row r="846" spans="1:30" ht="15.75" hidden="1" x14ac:dyDescent="0.25">
      <c r="A846" s="32">
        <v>66688</v>
      </c>
      <c r="B846" s="95">
        <f t="shared" si="132"/>
        <v>31</v>
      </c>
      <c r="C846" s="83">
        <f>'[2]FGT PRIMARY FIRM ZONE 1'!V857</f>
        <v>194.20499999999998</v>
      </c>
      <c r="D846" s="83">
        <f>'[2]FGT PRIMARY FIRM ZONE 2'!V857</f>
        <v>267.46600000000001</v>
      </c>
      <c r="E846" s="92">
        <f>'[2]FGT PRIMARY FIRM ZONE 3'!V857</f>
        <v>133.845</v>
      </c>
      <c r="F846" s="83">
        <f>'[2]FGT FIRM ZONE 3 MOBILE BAY-DES'!V857-40-25-60-100</f>
        <v>53.48399999999998</v>
      </c>
      <c r="G846" s="86">
        <v>40</v>
      </c>
      <c r="H846" s="83">
        <f t="shared" si="138"/>
        <v>185</v>
      </c>
      <c r="I846" s="83">
        <f t="shared" si="136"/>
        <v>0</v>
      </c>
      <c r="J846" s="86">
        <v>100</v>
      </c>
      <c r="K846" s="86">
        <v>300</v>
      </c>
      <c r="L846" s="83">
        <f t="shared" si="128"/>
        <v>1274</v>
      </c>
      <c r="M846" s="94">
        <v>600</v>
      </c>
      <c r="N846" s="83">
        <f>'[2]FGT NON-FIRM'!P857</f>
        <v>30</v>
      </c>
      <c r="O846" s="86">
        <v>240</v>
      </c>
      <c r="P846" s="86">
        <v>40</v>
      </c>
      <c r="Q846" s="86">
        <f t="shared" si="129"/>
        <v>315</v>
      </c>
      <c r="R846" s="86">
        <f t="shared" si="130"/>
        <v>100</v>
      </c>
      <c r="S846" s="83">
        <f t="shared" si="131"/>
        <v>695</v>
      </c>
      <c r="T846" s="83">
        <f>'[2]GULFSTREAM NON-FIRM'!H857</f>
        <v>0</v>
      </c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</row>
    <row r="847" spans="1:30" ht="15.75" hidden="1" x14ac:dyDescent="0.25">
      <c r="A847" s="32">
        <v>66719</v>
      </c>
      <c r="B847" s="95">
        <f t="shared" si="132"/>
        <v>31</v>
      </c>
      <c r="C847" s="83">
        <f>'[2]FGT PRIMARY FIRM ZONE 1'!V858</f>
        <v>194.20499999999998</v>
      </c>
      <c r="D847" s="83">
        <f>'[2]FGT PRIMARY FIRM ZONE 2'!V858</f>
        <v>267.46600000000001</v>
      </c>
      <c r="E847" s="92">
        <f>'[2]FGT PRIMARY FIRM ZONE 3'!V858</f>
        <v>133.845</v>
      </c>
      <c r="F847" s="83">
        <f>'[2]FGT FIRM ZONE 3 MOBILE BAY-DES'!V858-40-25-60-100</f>
        <v>53.48399999999998</v>
      </c>
      <c r="G847" s="86">
        <v>40</v>
      </c>
      <c r="H847" s="83">
        <f t="shared" si="138"/>
        <v>185</v>
      </c>
      <c r="I847" s="83">
        <f t="shared" si="136"/>
        <v>0</v>
      </c>
      <c r="J847" s="86">
        <v>100</v>
      </c>
      <c r="K847" s="86">
        <v>300</v>
      </c>
      <c r="L847" s="83">
        <f t="shared" si="128"/>
        <v>1274</v>
      </c>
      <c r="M847" s="94">
        <v>600</v>
      </c>
      <c r="N847" s="83">
        <f>'[2]FGT NON-FIRM'!P858</f>
        <v>30</v>
      </c>
      <c r="O847" s="86">
        <v>240</v>
      </c>
      <c r="P847" s="86">
        <v>40</v>
      </c>
      <c r="Q847" s="86">
        <f t="shared" si="129"/>
        <v>315</v>
      </c>
      <c r="R847" s="86">
        <f t="shared" si="130"/>
        <v>100</v>
      </c>
      <c r="S847" s="83">
        <f t="shared" si="131"/>
        <v>695</v>
      </c>
      <c r="T847" s="83">
        <f>'[2]GULFSTREAM NON-FIRM'!H858</f>
        <v>0</v>
      </c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</row>
    <row r="848" spans="1:30" ht="15.75" hidden="1" x14ac:dyDescent="0.25">
      <c r="A848" s="32">
        <v>66749</v>
      </c>
      <c r="B848" s="95">
        <f t="shared" si="132"/>
        <v>30</v>
      </c>
      <c r="C848" s="83">
        <f>'[2]FGT PRIMARY FIRM ZONE 1'!V859</f>
        <v>194.20499999999998</v>
      </c>
      <c r="D848" s="83">
        <f>'[2]FGT PRIMARY FIRM ZONE 2'!V859</f>
        <v>267.46600000000001</v>
      </c>
      <c r="E848" s="92">
        <f>'[2]FGT PRIMARY FIRM ZONE 3'!V859</f>
        <v>133.845</v>
      </c>
      <c r="F848" s="83">
        <f>'[2]FGT FIRM ZONE 3 MOBILE BAY-DES'!V859-40-25-60-100</f>
        <v>53.48399999999998</v>
      </c>
      <c r="G848" s="86">
        <v>40</v>
      </c>
      <c r="H848" s="83">
        <f t="shared" si="138"/>
        <v>185</v>
      </c>
      <c r="I848" s="83">
        <f t="shared" si="136"/>
        <v>0</v>
      </c>
      <c r="J848" s="86">
        <v>100</v>
      </c>
      <c r="K848" s="86">
        <v>300</v>
      </c>
      <c r="L848" s="83">
        <f t="shared" si="128"/>
        <v>1274</v>
      </c>
      <c r="M848" s="94">
        <v>600</v>
      </c>
      <c r="N848" s="83">
        <f>'[2]FGT NON-FIRM'!P859</f>
        <v>30</v>
      </c>
      <c r="O848" s="86">
        <v>240</v>
      </c>
      <c r="P848" s="86">
        <v>40</v>
      </c>
      <c r="Q848" s="86">
        <f t="shared" si="129"/>
        <v>315</v>
      </c>
      <c r="R848" s="86">
        <f t="shared" si="130"/>
        <v>100</v>
      </c>
      <c r="S848" s="83">
        <f t="shared" si="131"/>
        <v>695</v>
      </c>
      <c r="T848" s="83">
        <f>'[2]GULFSTREAM NON-FIRM'!H859</f>
        <v>0</v>
      </c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</row>
    <row r="849" spans="1:30" ht="15.75" hidden="1" x14ac:dyDescent="0.25">
      <c r="A849" s="32">
        <v>66780</v>
      </c>
      <c r="B849" s="95">
        <f t="shared" si="132"/>
        <v>31</v>
      </c>
      <c r="C849" s="83">
        <f>'[2]FGT PRIMARY FIRM ZONE 1'!V860</f>
        <v>131.881</v>
      </c>
      <c r="D849" s="83">
        <f>'[2]FGT PRIMARY FIRM ZONE 2'!V860</f>
        <v>277.16699999999997</v>
      </c>
      <c r="E849" s="92">
        <f>'[2]FGT PRIMARY FIRM ZONE 3'!V860</f>
        <v>79.08</v>
      </c>
      <c r="F849" s="83">
        <f>'[2]FGT FIRM ZONE 3 MOBILE BAY-DES'!V860-40-25-60-100</f>
        <v>125.87199999999996</v>
      </c>
      <c r="G849" s="86">
        <v>40</v>
      </c>
      <c r="H849" s="83">
        <f t="shared" si="138"/>
        <v>185</v>
      </c>
      <c r="I849" s="83">
        <f t="shared" si="136"/>
        <v>0</v>
      </c>
      <c r="J849" s="86">
        <v>100</v>
      </c>
      <c r="K849" s="86">
        <v>300</v>
      </c>
      <c r="L849" s="83">
        <f t="shared" si="128"/>
        <v>1239</v>
      </c>
      <c r="M849" s="94">
        <v>600</v>
      </c>
      <c r="N849" s="83">
        <f>'[2]FGT NON-FIRM'!P860</f>
        <v>75</v>
      </c>
      <c r="O849" s="86">
        <v>240</v>
      </c>
      <c r="P849" s="86">
        <v>40</v>
      </c>
      <c r="Q849" s="86">
        <f t="shared" si="129"/>
        <v>315</v>
      </c>
      <c r="R849" s="86">
        <f t="shared" si="130"/>
        <v>100</v>
      </c>
      <c r="S849" s="83">
        <f t="shared" si="131"/>
        <v>695</v>
      </c>
      <c r="T849" s="83">
        <f>'[2]GULFSTREAM NON-FIRM'!H860</f>
        <v>0</v>
      </c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</row>
    <row r="850" spans="1:30" ht="15.75" hidden="1" x14ac:dyDescent="0.25">
      <c r="A850" s="32">
        <v>66810</v>
      </c>
      <c r="B850" s="95">
        <f t="shared" si="132"/>
        <v>30</v>
      </c>
      <c r="C850" s="83">
        <f>'[2]FGT PRIMARY FIRM ZONE 1'!V861</f>
        <v>122.58</v>
      </c>
      <c r="D850" s="83">
        <f>'[2]FGT PRIMARY FIRM ZONE 2'!V861</f>
        <v>297.94100000000003</v>
      </c>
      <c r="E850" s="92">
        <f>'[2]FGT PRIMARY FIRM ZONE 3'!V861</f>
        <v>89.177000000000007</v>
      </c>
      <c r="F850" s="83">
        <f>'[2]FGT FIRM ZONE 3 MOBILE BAY-DES'!V861-40-60-100</f>
        <v>40.301999999999992</v>
      </c>
      <c r="G850" s="86">
        <v>40</v>
      </c>
      <c r="H850" s="83">
        <f>60+100</f>
        <v>160</v>
      </c>
      <c r="I850" s="83">
        <f t="shared" si="136"/>
        <v>0</v>
      </c>
      <c r="J850" s="86">
        <v>100</v>
      </c>
      <c r="K850" s="86">
        <v>300</v>
      </c>
      <c r="L850" s="83">
        <f t="shared" si="128"/>
        <v>1150</v>
      </c>
      <c r="M850" s="94">
        <v>600</v>
      </c>
      <c r="N850" s="83">
        <f>'[2]FGT NON-FIRM'!P861</f>
        <v>100</v>
      </c>
      <c r="O850" s="86">
        <v>240</v>
      </c>
      <c r="P850" s="86">
        <v>40</v>
      </c>
      <c r="Q850" s="86">
        <f t="shared" si="129"/>
        <v>315</v>
      </c>
      <c r="R850" s="86">
        <f t="shared" si="130"/>
        <v>100</v>
      </c>
      <c r="S850" s="83">
        <f t="shared" si="131"/>
        <v>695</v>
      </c>
      <c r="T850" s="83">
        <f>'[2]GULFSTREAM NON-FIRM'!H861</f>
        <v>50</v>
      </c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</row>
    <row r="851" spans="1:30" ht="15.75" hidden="1" x14ac:dyDescent="0.25">
      <c r="A851" s="32">
        <v>66841</v>
      </c>
      <c r="B851" s="95">
        <f t="shared" si="132"/>
        <v>31</v>
      </c>
      <c r="C851" s="83">
        <f>'[2]FGT PRIMARY FIRM ZONE 1'!V862</f>
        <v>122.58</v>
      </c>
      <c r="D851" s="83">
        <f>'[2]FGT PRIMARY FIRM ZONE 2'!V862</f>
        <v>297.94100000000003</v>
      </c>
      <c r="E851" s="92">
        <f>'[2]FGT PRIMARY FIRM ZONE 3'!V862</f>
        <v>89.177000000000007</v>
      </c>
      <c r="F851" s="83">
        <f>'[2]FGT FIRM ZONE 3 MOBILE BAY-DES'!V862-40-60-100</f>
        <v>40.301999999999992</v>
      </c>
      <c r="G851" s="86">
        <v>40</v>
      </c>
      <c r="H851" s="83">
        <f>60+100</f>
        <v>160</v>
      </c>
      <c r="I851" s="83">
        <f t="shared" si="136"/>
        <v>0</v>
      </c>
      <c r="J851" s="86">
        <v>100</v>
      </c>
      <c r="K851" s="86">
        <v>300</v>
      </c>
      <c r="L851" s="83">
        <f t="shared" si="128"/>
        <v>1150</v>
      </c>
      <c r="M851" s="94">
        <v>600</v>
      </c>
      <c r="N851" s="83">
        <f>'[2]FGT NON-FIRM'!P862</f>
        <v>100</v>
      </c>
      <c r="O851" s="86">
        <v>240</v>
      </c>
      <c r="P851" s="86">
        <v>40</v>
      </c>
      <c r="Q851" s="86">
        <f t="shared" si="129"/>
        <v>315</v>
      </c>
      <c r="R851" s="86">
        <f t="shared" si="130"/>
        <v>100</v>
      </c>
      <c r="S851" s="83">
        <f t="shared" si="131"/>
        <v>695</v>
      </c>
      <c r="T851" s="83">
        <f>'[2]GULFSTREAM NON-FIRM'!H862</f>
        <v>50</v>
      </c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</row>
    <row r="852" spans="1:30" ht="15.75" hidden="1" x14ac:dyDescent="0.25">
      <c r="A852" s="32">
        <v>66872</v>
      </c>
      <c r="B852" s="95">
        <f t="shared" si="132"/>
        <v>31</v>
      </c>
      <c r="C852" s="83">
        <f>'[2]FGT PRIMARY FIRM ZONE 1'!V863</f>
        <v>122.58</v>
      </c>
      <c r="D852" s="83">
        <f>'[2]FGT PRIMARY FIRM ZONE 2'!V863</f>
        <v>297.94100000000003</v>
      </c>
      <c r="E852" s="92">
        <f>'[2]FGT PRIMARY FIRM ZONE 3'!V863</f>
        <v>89.177000000000007</v>
      </c>
      <c r="F852" s="83">
        <f>'[2]FGT FIRM ZONE 3 MOBILE BAY-DES'!V863-40-60-100</f>
        <v>40.301999999999992</v>
      </c>
      <c r="G852" s="86">
        <v>40</v>
      </c>
      <c r="H852" s="83">
        <f>60+100</f>
        <v>160</v>
      </c>
      <c r="I852" s="83">
        <f t="shared" si="136"/>
        <v>0</v>
      </c>
      <c r="J852" s="86">
        <v>100</v>
      </c>
      <c r="K852" s="86">
        <v>300</v>
      </c>
      <c r="L852" s="83">
        <f t="shared" ref="L852:L915" si="139">SUM(C852:K852)</f>
        <v>1150</v>
      </c>
      <c r="M852" s="94">
        <v>600</v>
      </c>
      <c r="N852" s="83">
        <f>'[2]FGT NON-FIRM'!P863</f>
        <v>100</v>
      </c>
      <c r="O852" s="86">
        <v>240</v>
      </c>
      <c r="P852" s="86">
        <v>40</v>
      </c>
      <c r="Q852" s="86">
        <f t="shared" ref="Q852:Q915" si="140">695-R852-O852-P852</f>
        <v>315</v>
      </c>
      <c r="R852" s="86">
        <f t="shared" ref="R852:R915" si="141">200-J852</f>
        <v>100</v>
      </c>
      <c r="S852" s="83">
        <f t="shared" ref="S852:S915" si="142">SUM(O852:R852)</f>
        <v>695</v>
      </c>
      <c r="T852" s="83">
        <f>'[2]GULFSTREAM NON-FIRM'!H863</f>
        <v>50</v>
      </c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</row>
    <row r="853" spans="1:30" ht="15.75" hidden="1" x14ac:dyDescent="0.25">
      <c r="A853" s="32">
        <v>66900</v>
      </c>
      <c r="B853" s="95">
        <f t="shared" si="132"/>
        <v>28</v>
      </c>
      <c r="C853" s="83">
        <f>'[2]FGT PRIMARY FIRM ZONE 1'!V864</f>
        <v>122.58</v>
      </c>
      <c r="D853" s="83">
        <f>'[2]FGT PRIMARY FIRM ZONE 2'!V864</f>
        <v>297.94100000000003</v>
      </c>
      <c r="E853" s="92">
        <f>'[2]FGT PRIMARY FIRM ZONE 3'!V864</f>
        <v>89.177000000000007</v>
      </c>
      <c r="F853" s="83">
        <f>'[2]FGT FIRM ZONE 3 MOBILE BAY-DES'!V864-40-60-100</f>
        <v>40.301999999999992</v>
      </c>
      <c r="G853" s="86">
        <v>40</v>
      </c>
      <c r="H853" s="83">
        <f>60+100</f>
        <v>160</v>
      </c>
      <c r="I853" s="83">
        <f t="shared" si="136"/>
        <v>0</v>
      </c>
      <c r="J853" s="86">
        <v>100</v>
      </c>
      <c r="K853" s="86">
        <v>300</v>
      </c>
      <c r="L853" s="83">
        <f t="shared" si="139"/>
        <v>1150</v>
      </c>
      <c r="M853" s="94">
        <v>600</v>
      </c>
      <c r="N853" s="83">
        <f>'[2]FGT NON-FIRM'!P864</f>
        <v>100</v>
      </c>
      <c r="O853" s="86">
        <v>240</v>
      </c>
      <c r="P853" s="86">
        <v>40</v>
      </c>
      <c r="Q853" s="86">
        <f t="shared" si="140"/>
        <v>315</v>
      </c>
      <c r="R853" s="86">
        <f t="shared" si="141"/>
        <v>100</v>
      </c>
      <c r="S853" s="83">
        <f t="shared" si="142"/>
        <v>695</v>
      </c>
      <c r="T853" s="83">
        <f>'[2]GULFSTREAM NON-FIRM'!H864</f>
        <v>50</v>
      </c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</row>
    <row r="854" spans="1:30" ht="15.75" hidden="1" x14ac:dyDescent="0.25">
      <c r="A854" s="32">
        <v>66931</v>
      </c>
      <c r="B854" s="95">
        <f t="shared" si="132"/>
        <v>31</v>
      </c>
      <c r="C854" s="83">
        <f>'[2]FGT PRIMARY FIRM ZONE 1'!V865</f>
        <v>122.58</v>
      </c>
      <c r="D854" s="83">
        <f>'[2]FGT PRIMARY FIRM ZONE 2'!V865</f>
        <v>297.94100000000003</v>
      </c>
      <c r="E854" s="92">
        <f>'[2]FGT PRIMARY FIRM ZONE 3'!V865</f>
        <v>89.177000000000007</v>
      </c>
      <c r="F854" s="83">
        <f>'[2]FGT FIRM ZONE 3 MOBILE BAY-DES'!V865-40-60-100</f>
        <v>40.301999999999992</v>
      </c>
      <c r="G854" s="86">
        <v>40</v>
      </c>
      <c r="H854" s="83">
        <f>60+100</f>
        <v>160</v>
      </c>
      <c r="I854" s="83">
        <f t="shared" si="136"/>
        <v>0</v>
      </c>
      <c r="J854" s="86">
        <v>100</v>
      </c>
      <c r="K854" s="86">
        <v>300</v>
      </c>
      <c r="L854" s="83">
        <f t="shared" si="139"/>
        <v>1150</v>
      </c>
      <c r="M854" s="94">
        <v>600</v>
      </c>
      <c r="N854" s="83">
        <f>'[2]FGT NON-FIRM'!P865</f>
        <v>100</v>
      </c>
      <c r="O854" s="86">
        <v>240</v>
      </c>
      <c r="P854" s="86">
        <v>40</v>
      </c>
      <c r="Q854" s="86">
        <f t="shared" si="140"/>
        <v>315</v>
      </c>
      <c r="R854" s="86">
        <f t="shared" si="141"/>
        <v>100</v>
      </c>
      <c r="S854" s="83">
        <f t="shared" si="142"/>
        <v>695</v>
      </c>
      <c r="T854" s="83">
        <f>'[2]GULFSTREAM NON-FIRM'!H865</f>
        <v>50</v>
      </c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</row>
    <row r="855" spans="1:30" ht="15.75" hidden="1" x14ac:dyDescent="0.25">
      <c r="A855" s="32">
        <v>66961</v>
      </c>
      <c r="B855" s="95">
        <f t="shared" si="132"/>
        <v>30</v>
      </c>
      <c r="C855" s="83">
        <f>'[2]FGT PRIMARY FIRM ZONE 1'!V866</f>
        <v>141.29300000000001</v>
      </c>
      <c r="D855" s="83">
        <f>'[2]FGT PRIMARY FIRM ZONE 2'!V866</f>
        <v>267.99299999999999</v>
      </c>
      <c r="E855" s="92">
        <f>'[2]FGT PRIMARY FIRM ZONE 3'!V866</f>
        <v>115.01600000000001</v>
      </c>
      <c r="F855" s="83">
        <f>'[2]FGT FIRM ZONE 3 MOBILE BAY-DES'!V866-40-25-60-100</f>
        <v>89.698000000000036</v>
      </c>
      <c r="G855" s="86">
        <v>40</v>
      </c>
      <c r="H855" s="83">
        <f t="shared" ref="H855:H861" si="143">25+60+100</f>
        <v>185</v>
      </c>
      <c r="I855" s="83">
        <f t="shared" si="136"/>
        <v>0</v>
      </c>
      <c r="J855" s="86">
        <v>100</v>
      </c>
      <c r="K855" s="86">
        <v>300</v>
      </c>
      <c r="L855" s="83">
        <f t="shared" si="139"/>
        <v>1239</v>
      </c>
      <c r="M855" s="94">
        <v>600</v>
      </c>
      <c r="N855" s="83">
        <f>'[2]FGT NON-FIRM'!P866</f>
        <v>100</v>
      </c>
      <c r="O855" s="86">
        <v>240</v>
      </c>
      <c r="P855" s="86">
        <v>40</v>
      </c>
      <c r="Q855" s="86">
        <f t="shared" si="140"/>
        <v>315</v>
      </c>
      <c r="R855" s="86">
        <f t="shared" si="141"/>
        <v>100</v>
      </c>
      <c r="S855" s="83">
        <f t="shared" si="142"/>
        <v>695</v>
      </c>
      <c r="T855" s="83">
        <f>'[2]GULFSTREAM NON-FIRM'!H866</f>
        <v>50</v>
      </c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</row>
    <row r="856" spans="1:30" ht="15.75" hidden="1" x14ac:dyDescent="0.25">
      <c r="A856" s="32">
        <v>66992</v>
      </c>
      <c r="B856" s="95">
        <f t="shared" ref="B856:B919" si="144">EOMONTH(A856,0)-EOMONTH(A856,-1)</f>
        <v>31</v>
      </c>
      <c r="C856" s="83">
        <f>'[2]FGT PRIMARY FIRM ZONE 1'!V867</f>
        <v>194.20499999999998</v>
      </c>
      <c r="D856" s="83">
        <f>'[2]FGT PRIMARY FIRM ZONE 2'!V867</f>
        <v>267.46600000000001</v>
      </c>
      <c r="E856" s="92">
        <f>'[2]FGT PRIMARY FIRM ZONE 3'!V867</f>
        <v>133.845</v>
      </c>
      <c r="F856" s="83">
        <f>'[2]FGT FIRM ZONE 3 MOBILE BAY-DES'!V867-40-25-60-100</f>
        <v>53.48399999999998</v>
      </c>
      <c r="G856" s="86">
        <v>40</v>
      </c>
      <c r="H856" s="83">
        <f t="shared" si="143"/>
        <v>185</v>
      </c>
      <c r="I856" s="83">
        <f t="shared" si="136"/>
        <v>0</v>
      </c>
      <c r="J856" s="86">
        <v>100</v>
      </c>
      <c r="K856" s="86">
        <v>300</v>
      </c>
      <c r="L856" s="83">
        <f t="shared" si="139"/>
        <v>1274</v>
      </c>
      <c r="M856" s="94">
        <v>600</v>
      </c>
      <c r="N856" s="83">
        <f>'[2]FGT NON-FIRM'!P867</f>
        <v>75</v>
      </c>
      <c r="O856" s="86">
        <v>240</v>
      </c>
      <c r="P856" s="86">
        <v>40</v>
      </c>
      <c r="Q856" s="86">
        <f t="shared" si="140"/>
        <v>315</v>
      </c>
      <c r="R856" s="86">
        <f t="shared" si="141"/>
        <v>100</v>
      </c>
      <c r="S856" s="83">
        <f t="shared" si="142"/>
        <v>695</v>
      </c>
      <c r="T856" s="83">
        <f>'[2]GULFSTREAM NON-FIRM'!H867</f>
        <v>50</v>
      </c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</row>
    <row r="857" spans="1:30" ht="15.75" hidden="1" x14ac:dyDescent="0.25">
      <c r="A857" s="32">
        <v>67022</v>
      </c>
      <c r="B857" s="95">
        <f t="shared" si="144"/>
        <v>30</v>
      </c>
      <c r="C857" s="83">
        <f>'[2]FGT PRIMARY FIRM ZONE 1'!V868</f>
        <v>194.20499999999998</v>
      </c>
      <c r="D857" s="83">
        <f>'[2]FGT PRIMARY FIRM ZONE 2'!V868</f>
        <v>267.46600000000001</v>
      </c>
      <c r="E857" s="92">
        <f>'[2]FGT PRIMARY FIRM ZONE 3'!V868</f>
        <v>133.845</v>
      </c>
      <c r="F857" s="83">
        <f>'[2]FGT FIRM ZONE 3 MOBILE BAY-DES'!V868-40-25-60-100</f>
        <v>53.48399999999998</v>
      </c>
      <c r="G857" s="86">
        <v>40</v>
      </c>
      <c r="H857" s="83">
        <f t="shared" si="143"/>
        <v>185</v>
      </c>
      <c r="I857" s="83">
        <f t="shared" si="136"/>
        <v>0</v>
      </c>
      <c r="J857" s="86">
        <v>100</v>
      </c>
      <c r="K857" s="86">
        <v>300</v>
      </c>
      <c r="L857" s="83">
        <f t="shared" si="139"/>
        <v>1274</v>
      </c>
      <c r="M857" s="94">
        <v>600</v>
      </c>
      <c r="N857" s="83">
        <f>'[2]FGT NON-FIRM'!P868</f>
        <v>30</v>
      </c>
      <c r="O857" s="86">
        <v>240</v>
      </c>
      <c r="P857" s="86">
        <v>40</v>
      </c>
      <c r="Q857" s="86">
        <f t="shared" si="140"/>
        <v>315</v>
      </c>
      <c r="R857" s="86">
        <f t="shared" si="141"/>
        <v>100</v>
      </c>
      <c r="S857" s="83">
        <f t="shared" si="142"/>
        <v>695</v>
      </c>
      <c r="T857" s="83">
        <f>'[2]GULFSTREAM NON-FIRM'!H868</f>
        <v>50</v>
      </c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</row>
    <row r="858" spans="1:30" ht="15.75" hidden="1" x14ac:dyDescent="0.25">
      <c r="A858" s="32">
        <v>67053</v>
      </c>
      <c r="B858" s="95">
        <f t="shared" si="144"/>
        <v>31</v>
      </c>
      <c r="C858" s="83">
        <f>'[2]FGT PRIMARY FIRM ZONE 1'!V869</f>
        <v>194.20499999999998</v>
      </c>
      <c r="D858" s="83">
        <f>'[2]FGT PRIMARY FIRM ZONE 2'!V869</f>
        <v>267.46600000000001</v>
      </c>
      <c r="E858" s="92">
        <f>'[2]FGT PRIMARY FIRM ZONE 3'!V869</f>
        <v>133.845</v>
      </c>
      <c r="F858" s="83">
        <f>'[2]FGT FIRM ZONE 3 MOBILE BAY-DES'!V869-40-25-60-100</f>
        <v>53.48399999999998</v>
      </c>
      <c r="G858" s="86">
        <v>40</v>
      </c>
      <c r="H858" s="83">
        <f t="shared" si="143"/>
        <v>185</v>
      </c>
      <c r="I858" s="83">
        <f t="shared" si="136"/>
        <v>0</v>
      </c>
      <c r="J858" s="86">
        <v>100</v>
      </c>
      <c r="K858" s="86">
        <v>300</v>
      </c>
      <c r="L858" s="83">
        <f t="shared" si="139"/>
        <v>1274</v>
      </c>
      <c r="M858" s="94">
        <v>600</v>
      </c>
      <c r="N858" s="83">
        <f>'[2]FGT NON-FIRM'!P869</f>
        <v>30</v>
      </c>
      <c r="O858" s="86">
        <v>240</v>
      </c>
      <c r="P858" s="86">
        <v>40</v>
      </c>
      <c r="Q858" s="86">
        <f t="shared" si="140"/>
        <v>315</v>
      </c>
      <c r="R858" s="86">
        <f t="shared" si="141"/>
        <v>100</v>
      </c>
      <c r="S858" s="83">
        <f t="shared" si="142"/>
        <v>695</v>
      </c>
      <c r="T858" s="83">
        <f>'[2]GULFSTREAM NON-FIRM'!H869</f>
        <v>0</v>
      </c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</row>
    <row r="859" spans="1:30" ht="15.75" hidden="1" x14ac:dyDescent="0.25">
      <c r="A859" s="32">
        <v>67084</v>
      </c>
      <c r="B859" s="95">
        <f t="shared" si="144"/>
        <v>31</v>
      </c>
      <c r="C859" s="83">
        <f>'[2]FGT PRIMARY FIRM ZONE 1'!V870</f>
        <v>194.20499999999998</v>
      </c>
      <c r="D859" s="83">
        <f>'[2]FGT PRIMARY FIRM ZONE 2'!V870</f>
        <v>267.46600000000001</v>
      </c>
      <c r="E859" s="92">
        <f>'[2]FGT PRIMARY FIRM ZONE 3'!V870</f>
        <v>133.845</v>
      </c>
      <c r="F859" s="83">
        <f>'[2]FGT FIRM ZONE 3 MOBILE BAY-DES'!V870-40-25-60-100</f>
        <v>53.48399999999998</v>
      </c>
      <c r="G859" s="86">
        <v>40</v>
      </c>
      <c r="H859" s="83">
        <f t="shared" si="143"/>
        <v>185</v>
      </c>
      <c r="I859" s="83">
        <f t="shared" si="136"/>
        <v>0</v>
      </c>
      <c r="J859" s="86">
        <v>100</v>
      </c>
      <c r="K859" s="86">
        <v>300</v>
      </c>
      <c r="L859" s="83">
        <f t="shared" si="139"/>
        <v>1274</v>
      </c>
      <c r="M859" s="94">
        <v>600</v>
      </c>
      <c r="N859" s="83">
        <f>'[2]FGT NON-FIRM'!P870</f>
        <v>30</v>
      </c>
      <c r="O859" s="86">
        <v>240</v>
      </c>
      <c r="P859" s="86">
        <v>40</v>
      </c>
      <c r="Q859" s="86">
        <f t="shared" si="140"/>
        <v>315</v>
      </c>
      <c r="R859" s="86">
        <f t="shared" si="141"/>
        <v>100</v>
      </c>
      <c r="S859" s="83">
        <f t="shared" si="142"/>
        <v>695</v>
      </c>
      <c r="T859" s="83">
        <f>'[2]GULFSTREAM NON-FIRM'!H870</f>
        <v>0</v>
      </c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</row>
    <row r="860" spans="1:30" ht="15.75" hidden="1" x14ac:dyDescent="0.25">
      <c r="A860" s="32">
        <v>67114</v>
      </c>
      <c r="B860" s="95">
        <f t="shared" si="144"/>
        <v>30</v>
      </c>
      <c r="C860" s="83">
        <f>'[2]FGT PRIMARY FIRM ZONE 1'!V871</f>
        <v>194.20499999999998</v>
      </c>
      <c r="D860" s="83">
        <f>'[2]FGT PRIMARY FIRM ZONE 2'!V871</f>
        <v>267.46600000000001</v>
      </c>
      <c r="E860" s="92">
        <f>'[2]FGT PRIMARY FIRM ZONE 3'!V871</f>
        <v>133.845</v>
      </c>
      <c r="F860" s="83">
        <f>'[2]FGT FIRM ZONE 3 MOBILE BAY-DES'!V871-40-25-60-100</f>
        <v>53.48399999999998</v>
      </c>
      <c r="G860" s="86">
        <v>40</v>
      </c>
      <c r="H860" s="83">
        <f t="shared" si="143"/>
        <v>185</v>
      </c>
      <c r="I860" s="83">
        <f t="shared" si="136"/>
        <v>0</v>
      </c>
      <c r="J860" s="86">
        <v>100</v>
      </c>
      <c r="K860" s="86">
        <v>300</v>
      </c>
      <c r="L860" s="83">
        <f t="shared" si="139"/>
        <v>1274</v>
      </c>
      <c r="M860" s="94">
        <v>600</v>
      </c>
      <c r="N860" s="83">
        <f>'[2]FGT NON-FIRM'!P871</f>
        <v>30</v>
      </c>
      <c r="O860" s="86">
        <v>240</v>
      </c>
      <c r="P860" s="86">
        <v>40</v>
      </c>
      <c r="Q860" s="86">
        <f t="shared" si="140"/>
        <v>315</v>
      </c>
      <c r="R860" s="86">
        <f t="shared" si="141"/>
        <v>100</v>
      </c>
      <c r="S860" s="83">
        <f t="shared" si="142"/>
        <v>695</v>
      </c>
      <c r="T860" s="83">
        <f>'[2]GULFSTREAM NON-FIRM'!H871</f>
        <v>0</v>
      </c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</row>
    <row r="861" spans="1:30" ht="15.75" hidden="1" x14ac:dyDescent="0.25">
      <c r="A861" s="32">
        <v>67145</v>
      </c>
      <c r="B861" s="95">
        <f t="shared" si="144"/>
        <v>31</v>
      </c>
      <c r="C861" s="83">
        <f>'[2]FGT PRIMARY FIRM ZONE 1'!V872</f>
        <v>131.881</v>
      </c>
      <c r="D861" s="83">
        <f>'[2]FGT PRIMARY FIRM ZONE 2'!V872</f>
        <v>277.16699999999997</v>
      </c>
      <c r="E861" s="92">
        <f>'[2]FGT PRIMARY FIRM ZONE 3'!V872</f>
        <v>79.08</v>
      </c>
      <c r="F861" s="83">
        <f>'[2]FGT FIRM ZONE 3 MOBILE BAY-DES'!V872-40-25-60-100</f>
        <v>125.87199999999996</v>
      </c>
      <c r="G861" s="86">
        <v>40</v>
      </c>
      <c r="H861" s="83">
        <f t="shared" si="143"/>
        <v>185</v>
      </c>
      <c r="I861" s="83">
        <f t="shared" si="136"/>
        <v>0</v>
      </c>
      <c r="J861" s="86">
        <v>100</v>
      </c>
      <c r="K861" s="86">
        <v>300</v>
      </c>
      <c r="L861" s="83">
        <f t="shared" si="139"/>
        <v>1239</v>
      </c>
      <c r="M861" s="94">
        <v>600</v>
      </c>
      <c r="N861" s="83">
        <f>'[2]FGT NON-FIRM'!P872</f>
        <v>75</v>
      </c>
      <c r="O861" s="86">
        <v>240</v>
      </c>
      <c r="P861" s="86">
        <v>40</v>
      </c>
      <c r="Q861" s="86">
        <f t="shared" si="140"/>
        <v>315</v>
      </c>
      <c r="R861" s="86">
        <f t="shared" si="141"/>
        <v>100</v>
      </c>
      <c r="S861" s="83">
        <f t="shared" si="142"/>
        <v>695</v>
      </c>
      <c r="T861" s="83">
        <f>'[2]GULFSTREAM NON-FIRM'!H872</f>
        <v>0</v>
      </c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</row>
    <row r="862" spans="1:30" ht="15.75" hidden="1" x14ac:dyDescent="0.25">
      <c r="A862" s="32">
        <v>67175</v>
      </c>
      <c r="B862" s="95">
        <f t="shared" si="144"/>
        <v>30</v>
      </c>
      <c r="C862" s="83">
        <f>'[2]FGT PRIMARY FIRM ZONE 1'!V873</f>
        <v>122.58</v>
      </c>
      <c r="D862" s="83">
        <f>'[2]FGT PRIMARY FIRM ZONE 2'!V873</f>
        <v>297.94100000000003</v>
      </c>
      <c r="E862" s="92">
        <f>'[2]FGT PRIMARY FIRM ZONE 3'!V873</f>
        <v>89.177000000000007</v>
      </c>
      <c r="F862" s="83">
        <f>'[2]FGT FIRM ZONE 3 MOBILE BAY-DES'!V873-40-60-100</f>
        <v>40.301999999999992</v>
      </c>
      <c r="G862" s="86">
        <v>40</v>
      </c>
      <c r="H862" s="83">
        <f>60+100</f>
        <v>160</v>
      </c>
      <c r="I862" s="83">
        <f t="shared" si="136"/>
        <v>0</v>
      </c>
      <c r="J862" s="86">
        <v>100</v>
      </c>
      <c r="K862" s="86">
        <v>300</v>
      </c>
      <c r="L862" s="83">
        <f t="shared" si="139"/>
        <v>1150</v>
      </c>
      <c r="M862" s="94">
        <v>600</v>
      </c>
      <c r="N862" s="83">
        <f>'[2]FGT NON-FIRM'!P873</f>
        <v>100</v>
      </c>
      <c r="O862" s="86">
        <v>240</v>
      </c>
      <c r="P862" s="86">
        <v>40</v>
      </c>
      <c r="Q862" s="86">
        <f t="shared" si="140"/>
        <v>315</v>
      </c>
      <c r="R862" s="86">
        <f t="shared" si="141"/>
        <v>100</v>
      </c>
      <c r="S862" s="83">
        <f t="shared" si="142"/>
        <v>695</v>
      </c>
      <c r="T862" s="83">
        <f>'[2]GULFSTREAM NON-FIRM'!H873</f>
        <v>50</v>
      </c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</row>
    <row r="863" spans="1:30" ht="15.75" hidden="1" x14ac:dyDescent="0.25">
      <c r="A863" s="32">
        <v>67206</v>
      </c>
      <c r="B863" s="95">
        <f t="shared" si="144"/>
        <v>31</v>
      </c>
      <c r="C863" s="83">
        <f>'[2]FGT PRIMARY FIRM ZONE 1'!V874</f>
        <v>122.58</v>
      </c>
      <c r="D863" s="83">
        <f>'[2]FGT PRIMARY FIRM ZONE 2'!V874</f>
        <v>297.94100000000003</v>
      </c>
      <c r="E863" s="92">
        <f>'[2]FGT PRIMARY FIRM ZONE 3'!V874</f>
        <v>89.177000000000007</v>
      </c>
      <c r="F863" s="83">
        <f>'[2]FGT FIRM ZONE 3 MOBILE BAY-DES'!V874-40-60-100</f>
        <v>40.301999999999992</v>
      </c>
      <c r="G863" s="86">
        <v>40</v>
      </c>
      <c r="H863" s="83">
        <f>60+100</f>
        <v>160</v>
      </c>
      <c r="I863" s="83">
        <f t="shared" si="136"/>
        <v>0</v>
      </c>
      <c r="J863" s="86">
        <v>100</v>
      </c>
      <c r="K863" s="86">
        <v>300</v>
      </c>
      <c r="L863" s="83">
        <f t="shared" si="139"/>
        <v>1150</v>
      </c>
      <c r="M863" s="94">
        <v>600</v>
      </c>
      <c r="N863" s="83">
        <f>'[2]FGT NON-FIRM'!P874</f>
        <v>100</v>
      </c>
      <c r="O863" s="86">
        <v>240</v>
      </c>
      <c r="P863" s="86">
        <v>40</v>
      </c>
      <c r="Q863" s="86">
        <f t="shared" si="140"/>
        <v>315</v>
      </c>
      <c r="R863" s="86">
        <f t="shared" si="141"/>
        <v>100</v>
      </c>
      <c r="S863" s="83">
        <f t="shared" si="142"/>
        <v>695</v>
      </c>
      <c r="T863" s="83">
        <f>'[2]GULFSTREAM NON-FIRM'!H874</f>
        <v>50</v>
      </c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</row>
    <row r="864" spans="1:30" ht="15.75" hidden="1" x14ac:dyDescent="0.25">
      <c r="A864" s="32">
        <v>67237</v>
      </c>
      <c r="B864" s="95">
        <f t="shared" si="144"/>
        <v>31</v>
      </c>
      <c r="C864" s="83">
        <f>'[2]FGT PRIMARY FIRM ZONE 1'!V875</f>
        <v>122.58</v>
      </c>
      <c r="D864" s="83">
        <f>'[2]FGT PRIMARY FIRM ZONE 2'!V875</f>
        <v>297.94100000000003</v>
      </c>
      <c r="E864" s="92">
        <f>'[2]FGT PRIMARY FIRM ZONE 3'!V875</f>
        <v>89.177000000000007</v>
      </c>
      <c r="F864" s="83">
        <f>'[2]FGT FIRM ZONE 3 MOBILE BAY-DES'!V875-40-60-100</f>
        <v>40.301999999999992</v>
      </c>
      <c r="G864" s="86">
        <v>40</v>
      </c>
      <c r="H864" s="83">
        <f>60+100</f>
        <v>160</v>
      </c>
      <c r="I864" s="83">
        <f t="shared" si="136"/>
        <v>0</v>
      </c>
      <c r="J864" s="86">
        <v>100</v>
      </c>
      <c r="K864" s="86">
        <v>300</v>
      </c>
      <c r="L864" s="83">
        <f t="shared" si="139"/>
        <v>1150</v>
      </c>
      <c r="M864" s="94">
        <v>600</v>
      </c>
      <c r="N864" s="83">
        <f>'[2]FGT NON-FIRM'!P875</f>
        <v>100</v>
      </c>
      <c r="O864" s="86">
        <v>240</v>
      </c>
      <c r="P864" s="86">
        <v>40</v>
      </c>
      <c r="Q864" s="86">
        <f t="shared" si="140"/>
        <v>315</v>
      </c>
      <c r="R864" s="86">
        <f t="shared" si="141"/>
        <v>100</v>
      </c>
      <c r="S864" s="83">
        <f t="shared" si="142"/>
        <v>695</v>
      </c>
      <c r="T864" s="83">
        <f>'[2]GULFSTREAM NON-FIRM'!H875</f>
        <v>50</v>
      </c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</row>
    <row r="865" spans="1:30" ht="15.75" hidden="1" x14ac:dyDescent="0.25">
      <c r="A865" s="32">
        <v>67266</v>
      </c>
      <c r="B865" s="95">
        <f t="shared" si="144"/>
        <v>29</v>
      </c>
      <c r="C865" s="83">
        <f>'[2]FGT PRIMARY FIRM ZONE 1'!V876</f>
        <v>122.58</v>
      </c>
      <c r="D865" s="83">
        <f>'[2]FGT PRIMARY FIRM ZONE 2'!V876</f>
        <v>297.94100000000003</v>
      </c>
      <c r="E865" s="92">
        <f>'[2]FGT PRIMARY FIRM ZONE 3'!V876</f>
        <v>89.177000000000007</v>
      </c>
      <c r="F865" s="83">
        <f>'[2]FGT FIRM ZONE 3 MOBILE BAY-DES'!V876-40-60-100</f>
        <v>40.301999999999992</v>
      </c>
      <c r="G865" s="86">
        <v>40</v>
      </c>
      <c r="H865" s="83">
        <f>60+100</f>
        <v>160</v>
      </c>
      <c r="I865" s="83">
        <f t="shared" si="136"/>
        <v>0</v>
      </c>
      <c r="J865" s="86">
        <v>100</v>
      </c>
      <c r="K865" s="86">
        <v>300</v>
      </c>
      <c r="L865" s="83">
        <f t="shared" si="139"/>
        <v>1150</v>
      </c>
      <c r="M865" s="94">
        <v>600</v>
      </c>
      <c r="N865" s="83">
        <f>'[2]FGT NON-FIRM'!P876</f>
        <v>100</v>
      </c>
      <c r="O865" s="86">
        <v>240</v>
      </c>
      <c r="P865" s="86">
        <v>40</v>
      </c>
      <c r="Q865" s="86">
        <f t="shared" si="140"/>
        <v>315</v>
      </c>
      <c r="R865" s="86">
        <f t="shared" si="141"/>
        <v>100</v>
      </c>
      <c r="S865" s="83">
        <f t="shared" si="142"/>
        <v>695</v>
      </c>
      <c r="T865" s="83">
        <f>'[2]GULFSTREAM NON-FIRM'!H876</f>
        <v>50</v>
      </c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</row>
    <row r="866" spans="1:30" ht="15.75" hidden="1" x14ac:dyDescent="0.25">
      <c r="A866" s="32">
        <v>67297</v>
      </c>
      <c r="B866" s="95">
        <f t="shared" si="144"/>
        <v>31</v>
      </c>
      <c r="C866" s="83">
        <f>'[2]FGT PRIMARY FIRM ZONE 1'!V877</f>
        <v>122.58</v>
      </c>
      <c r="D866" s="83">
        <f>'[2]FGT PRIMARY FIRM ZONE 2'!V877</f>
        <v>297.94100000000003</v>
      </c>
      <c r="E866" s="92">
        <f>'[2]FGT PRIMARY FIRM ZONE 3'!V877</f>
        <v>89.177000000000007</v>
      </c>
      <c r="F866" s="83">
        <f>'[2]FGT FIRM ZONE 3 MOBILE BAY-DES'!V877-40-60-100</f>
        <v>40.301999999999992</v>
      </c>
      <c r="G866" s="86">
        <v>40</v>
      </c>
      <c r="H866" s="83">
        <f>60+100</f>
        <v>160</v>
      </c>
      <c r="I866" s="83">
        <f t="shared" si="136"/>
        <v>0</v>
      </c>
      <c r="J866" s="86">
        <v>100</v>
      </c>
      <c r="K866" s="86">
        <v>300</v>
      </c>
      <c r="L866" s="83">
        <f t="shared" si="139"/>
        <v>1150</v>
      </c>
      <c r="M866" s="94">
        <v>600</v>
      </c>
      <c r="N866" s="83">
        <f>'[2]FGT NON-FIRM'!P877</f>
        <v>100</v>
      </c>
      <c r="O866" s="86">
        <v>240</v>
      </c>
      <c r="P866" s="86">
        <v>40</v>
      </c>
      <c r="Q866" s="86">
        <f t="shared" si="140"/>
        <v>315</v>
      </c>
      <c r="R866" s="86">
        <f t="shared" si="141"/>
        <v>100</v>
      </c>
      <c r="S866" s="83">
        <f t="shared" si="142"/>
        <v>695</v>
      </c>
      <c r="T866" s="83">
        <f>'[2]GULFSTREAM NON-FIRM'!H877</f>
        <v>50</v>
      </c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</row>
    <row r="867" spans="1:30" ht="15.75" hidden="1" x14ac:dyDescent="0.25">
      <c r="A867" s="32">
        <v>67327</v>
      </c>
      <c r="B867" s="95">
        <f t="shared" si="144"/>
        <v>30</v>
      </c>
      <c r="C867" s="83">
        <f>'[2]FGT PRIMARY FIRM ZONE 1'!V878</f>
        <v>141.29300000000001</v>
      </c>
      <c r="D867" s="83">
        <f>'[2]FGT PRIMARY FIRM ZONE 2'!V878</f>
        <v>267.99299999999999</v>
      </c>
      <c r="E867" s="92">
        <f>'[2]FGT PRIMARY FIRM ZONE 3'!V878</f>
        <v>115.01600000000001</v>
      </c>
      <c r="F867" s="83">
        <f>'[2]FGT FIRM ZONE 3 MOBILE BAY-DES'!V878-40-25-60-100</f>
        <v>89.698000000000036</v>
      </c>
      <c r="G867" s="86">
        <v>40</v>
      </c>
      <c r="H867" s="83">
        <f t="shared" ref="H867:H873" si="145">25+60+100</f>
        <v>185</v>
      </c>
      <c r="I867" s="83">
        <f t="shared" si="136"/>
        <v>0</v>
      </c>
      <c r="J867" s="86">
        <v>100</v>
      </c>
      <c r="K867" s="86">
        <v>300</v>
      </c>
      <c r="L867" s="83">
        <f t="shared" si="139"/>
        <v>1239</v>
      </c>
      <c r="M867" s="94">
        <v>600</v>
      </c>
      <c r="N867" s="83">
        <f>'[2]FGT NON-FIRM'!P878</f>
        <v>100</v>
      </c>
      <c r="O867" s="86">
        <v>240</v>
      </c>
      <c r="P867" s="86">
        <v>40</v>
      </c>
      <c r="Q867" s="86">
        <f t="shared" si="140"/>
        <v>315</v>
      </c>
      <c r="R867" s="86">
        <f t="shared" si="141"/>
        <v>100</v>
      </c>
      <c r="S867" s="83">
        <f t="shared" si="142"/>
        <v>695</v>
      </c>
      <c r="T867" s="83">
        <f>'[2]GULFSTREAM NON-FIRM'!H878</f>
        <v>50</v>
      </c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</row>
    <row r="868" spans="1:30" ht="15.75" hidden="1" x14ac:dyDescent="0.25">
      <c r="A868" s="32">
        <v>67358</v>
      </c>
      <c r="B868" s="95">
        <f t="shared" si="144"/>
        <v>31</v>
      </c>
      <c r="C868" s="83">
        <f>'[2]FGT PRIMARY FIRM ZONE 1'!V879</f>
        <v>194.20499999999998</v>
      </c>
      <c r="D868" s="83">
        <f>'[2]FGT PRIMARY FIRM ZONE 2'!V879</f>
        <v>267.46600000000001</v>
      </c>
      <c r="E868" s="92">
        <f>'[2]FGT PRIMARY FIRM ZONE 3'!V879</f>
        <v>133.845</v>
      </c>
      <c r="F868" s="83">
        <f>'[2]FGT FIRM ZONE 3 MOBILE BAY-DES'!V879-40-25-60-100</f>
        <v>53.48399999999998</v>
      </c>
      <c r="G868" s="86">
        <v>40</v>
      </c>
      <c r="H868" s="83">
        <f t="shared" si="145"/>
        <v>185</v>
      </c>
      <c r="I868" s="83">
        <f t="shared" si="136"/>
        <v>0</v>
      </c>
      <c r="J868" s="86">
        <v>100</v>
      </c>
      <c r="K868" s="86">
        <v>300</v>
      </c>
      <c r="L868" s="83">
        <f t="shared" si="139"/>
        <v>1274</v>
      </c>
      <c r="M868" s="94">
        <v>600</v>
      </c>
      <c r="N868" s="83">
        <f>'[2]FGT NON-FIRM'!P879</f>
        <v>75</v>
      </c>
      <c r="O868" s="86">
        <v>240</v>
      </c>
      <c r="P868" s="86">
        <v>40</v>
      </c>
      <c r="Q868" s="86">
        <f t="shared" si="140"/>
        <v>315</v>
      </c>
      <c r="R868" s="86">
        <f t="shared" si="141"/>
        <v>100</v>
      </c>
      <c r="S868" s="83">
        <f t="shared" si="142"/>
        <v>695</v>
      </c>
      <c r="T868" s="83">
        <f>'[2]GULFSTREAM NON-FIRM'!H879</f>
        <v>50</v>
      </c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</row>
    <row r="869" spans="1:30" ht="15.75" hidden="1" x14ac:dyDescent="0.25">
      <c r="A869" s="32">
        <v>67388</v>
      </c>
      <c r="B869" s="95">
        <f t="shared" si="144"/>
        <v>30</v>
      </c>
      <c r="C869" s="83">
        <f>'[2]FGT PRIMARY FIRM ZONE 1'!V880</f>
        <v>194.20499999999998</v>
      </c>
      <c r="D869" s="83">
        <f>'[2]FGT PRIMARY FIRM ZONE 2'!V880</f>
        <v>267.46600000000001</v>
      </c>
      <c r="E869" s="92">
        <f>'[2]FGT PRIMARY FIRM ZONE 3'!V880</f>
        <v>133.845</v>
      </c>
      <c r="F869" s="83">
        <f>'[2]FGT FIRM ZONE 3 MOBILE BAY-DES'!V880-40-25-60-100</f>
        <v>53.48399999999998</v>
      </c>
      <c r="G869" s="86">
        <v>40</v>
      </c>
      <c r="H869" s="83">
        <f t="shared" si="145"/>
        <v>185</v>
      </c>
      <c r="I869" s="83">
        <f t="shared" si="136"/>
        <v>0</v>
      </c>
      <c r="J869" s="86">
        <v>100</v>
      </c>
      <c r="K869" s="86">
        <v>300</v>
      </c>
      <c r="L869" s="83">
        <f t="shared" si="139"/>
        <v>1274</v>
      </c>
      <c r="M869" s="94">
        <v>600</v>
      </c>
      <c r="N869" s="83">
        <f>'[2]FGT NON-FIRM'!P880</f>
        <v>30</v>
      </c>
      <c r="O869" s="86">
        <v>240</v>
      </c>
      <c r="P869" s="86">
        <v>40</v>
      </c>
      <c r="Q869" s="86">
        <f t="shared" si="140"/>
        <v>315</v>
      </c>
      <c r="R869" s="86">
        <f t="shared" si="141"/>
        <v>100</v>
      </c>
      <c r="S869" s="83">
        <f t="shared" si="142"/>
        <v>695</v>
      </c>
      <c r="T869" s="83">
        <f>'[2]GULFSTREAM NON-FIRM'!H880</f>
        <v>50</v>
      </c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</row>
    <row r="870" spans="1:30" ht="15.75" hidden="1" x14ac:dyDescent="0.25">
      <c r="A870" s="32">
        <v>67419</v>
      </c>
      <c r="B870" s="95">
        <f t="shared" si="144"/>
        <v>31</v>
      </c>
      <c r="C870" s="83">
        <f>'[2]FGT PRIMARY FIRM ZONE 1'!V881</f>
        <v>194.20499999999998</v>
      </c>
      <c r="D870" s="83">
        <f>'[2]FGT PRIMARY FIRM ZONE 2'!V881</f>
        <v>267.46600000000001</v>
      </c>
      <c r="E870" s="92">
        <f>'[2]FGT PRIMARY FIRM ZONE 3'!V881</f>
        <v>133.845</v>
      </c>
      <c r="F870" s="83">
        <f>'[2]FGT FIRM ZONE 3 MOBILE BAY-DES'!V881-40-25-60-100</f>
        <v>53.48399999999998</v>
      </c>
      <c r="G870" s="86">
        <v>40</v>
      </c>
      <c r="H870" s="83">
        <f t="shared" si="145"/>
        <v>185</v>
      </c>
      <c r="I870" s="83">
        <f t="shared" si="136"/>
        <v>0</v>
      </c>
      <c r="J870" s="86">
        <v>100</v>
      </c>
      <c r="K870" s="86">
        <v>300</v>
      </c>
      <c r="L870" s="83">
        <f t="shared" si="139"/>
        <v>1274</v>
      </c>
      <c r="M870" s="94">
        <v>600</v>
      </c>
      <c r="N870" s="83">
        <f>'[2]FGT NON-FIRM'!P881</f>
        <v>30</v>
      </c>
      <c r="O870" s="86">
        <v>240</v>
      </c>
      <c r="P870" s="86">
        <v>40</v>
      </c>
      <c r="Q870" s="86">
        <f t="shared" si="140"/>
        <v>315</v>
      </c>
      <c r="R870" s="86">
        <f t="shared" si="141"/>
        <v>100</v>
      </c>
      <c r="S870" s="83">
        <f t="shared" si="142"/>
        <v>695</v>
      </c>
      <c r="T870" s="83">
        <f>'[2]GULFSTREAM NON-FIRM'!H881</f>
        <v>0</v>
      </c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</row>
    <row r="871" spans="1:30" ht="15.75" hidden="1" x14ac:dyDescent="0.25">
      <c r="A871" s="32">
        <v>67450</v>
      </c>
      <c r="B871" s="95">
        <f t="shared" si="144"/>
        <v>31</v>
      </c>
      <c r="C871" s="83">
        <f>'[2]FGT PRIMARY FIRM ZONE 1'!V882</f>
        <v>194.20499999999998</v>
      </c>
      <c r="D871" s="83">
        <f>'[2]FGT PRIMARY FIRM ZONE 2'!V882</f>
        <v>267.46600000000001</v>
      </c>
      <c r="E871" s="92">
        <f>'[2]FGT PRIMARY FIRM ZONE 3'!V882</f>
        <v>133.845</v>
      </c>
      <c r="F871" s="83">
        <f>'[2]FGT FIRM ZONE 3 MOBILE BAY-DES'!V882-40-25-60-100</f>
        <v>53.48399999999998</v>
      </c>
      <c r="G871" s="86">
        <v>40</v>
      </c>
      <c r="H871" s="83">
        <f t="shared" si="145"/>
        <v>185</v>
      </c>
      <c r="I871" s="83">
        <f t="shared" si="136"/>
        <v>0</v>
      </c>
      <c r="J871" s="86">
        <v>100</v>
      </c>
      <c r="K871" s="86">
        <v>300</v>
      </c>
      <c r="L871" s="83">
        <f t="shared" si="139"/>
        <v>1274</v>
      </c>
      <c r="M871" s="94">
        <v>600</v>
      </c>
      <c r="N871" s="83">
        <f>'[2]FGT NON-FIRM'!P882</f>
        <v>30</v>
      </c>
      <c r="O871" s="86">
        <v>240</v>
      </c>
      <c r="P871" s="86">
        <v>40</v>
      </c>
      <c r="Q871" s="86">
        <f t="shared" si="140"/>
        <v>315</v>
      </c>
      <c r="R871" s="86">
        <f t="shared" si="141"/>
        <v>100</v>
      </c>
      <c r="S871" s="83">
        <f t="shared" si="142"/>
        <v>695</v>
      </c>
      <c r="T871" s="83">
        <f>'[2]GULFSTREAM NON-FIRM'!H882</f>
        <v>0</v>
      </c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</row>
    <row r="872" spans="1:30" ht="15.75" hidden="1" x14ac:dyDescent="0.25">
      <c r="A872" s="32">
        <v>67480</v>
      </c>
      <c r="B872" s="95">
        <f t="shared" si="144"/>
        <v>30</v>
      </c>
      <c r="C872" s="83">
        <f>'[2]FGT PRIMARY FIRM ZONE 1'!V883</f>
        <v>194.20499999999998</v>
      </c>
      <c r="D872" s="83">
        <f>'[2]FGT PRIMARY FIRM ZONE 2'!V883</f>
        <v>267.46600000000001</v>
      </c>
      <c r="E872" s="92">
        <f>'[2]FGT PRIMARY FIRM ZONE 3'!V883</f>
        <v>133.845</v>
      </c>
      <c r="F872" s="83">
        <f>'[2]FGT FIRM ZONE 3 MOBILE BAY-DES'!V883-40-25-60-100</f>
        <v>53.48399999999998</v>
      </c>
      <c r="G872" s="86">
        <v>40</v>
      </c>
      <c r="H872" s="83">
        <f t="shared" si="145"/>
        <v>185</v>
      </c>
      <c r="I872" s="83">
        <f t="shared" si="136"/>
        <v>0</v>
      </c>
      <c r="J872" s="86">
        <v>100</v>
      </c>
      <c r="K872" s="86">
        <v>300</v>
      </c>
      <c r="L872" s="83">
        <f t="shared" si="139"/>
        <v>1274</v>
      </c>
      <c r="M872" s="94">
        <v>600</v>
      </c>
      <c r="N872" s="83">
        <f>'[2]FGT NON-FIRM'!P883</f>
        <v>30</v>
      </c>
      <c r="O872" s="86">
        <v>240</v>
      </c>
      <c r="P872" s="86">
        <v>40</v>
      </c>
      <c r="Q872" s="86">
        <f t="shared" si="140"/>
        <v>315</v>
      </c>
      <c r="R872" s="86">
        <f t="shared" si="141"/>
        <v>100</v>
      </c>
      <c r="S872" s="83">
        <f t="shared" si="142"/>
        <v>695</v>
      </c>
      <c r="T872" s="83">
        <f>'[2]GULFSTREAM NON-FIRM'!H883</f>
        <v>0</v>
      </c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</row>
    <row r="873" spans="1:30" ht="15.75" hidden="1" x14ac:dyDescent="0.25">
      <c r="A873" s="32">
        <v>67511</v>
      </c>
      <c r="B873" s="95">
        <f t="shared" si="144"/>
        <v>31</v>
      </c>
      <c r="C873" s="83">
        <f>'[2]FGT PRIMARY FIRM ZONE 1'!V884</f>
        <v>131.881</v>
      </c>
      <c r="D873" s="83">
        <f>'[2]FGT PRIMARY FIRM ZONE 2'!V884</f>
        <v>277.16699999999997</v>
      </c>
      <c r="E873" s="92">
        <f>'[2]FGT PRIMARY FIRM ZONE 3'!V884</f>
        <v>79.08</v>
      </c>
      <c r="F873" s="83">
        <f>'[2]FGT FIRM ZONE 3 MOBILE BAY-DES'!V884-40-25-60-100</f>
        <v>125.87199999999996</v>
      </c>
      <c r="G873" s="86">
        <v>40</v>
      </c>
      <c r="H873" s="83">
        <f t="shared" si="145"/>
        <v>185</v>
      </c>
      <c r="I873" s="83">
        <f t="shared" si="136"/>
        <v>0</v>
      </c>
      <c r="J873" s="86">
        <v>100</v>
      </c>
      <c r="K873" s="86">
        <v>300</v>
      </c>
      <c r="L873" s="83">
        <f t="shared" si="139"/>
        <v>1239</v>
      </c>
      <c r="M873" s="94">
        <v>600</v>
      </c>
      <c r="N873" s="83">
        <f>'[2]FGT NON-FIRM'!P884</f>
        <v>75</v>
      </c>
      <c r="O873" s="86">
        <v>240</v>
      </c>
      <c r="P873" s="86">
        <v>40</v>
      </c>
      <c r="Q873" s="86">
        <f t="shared" si="140"/>
        <v>315</v>
      </c>
      <c r="R873" s="86">
        <f t="shared" si="141"/>
        <v>100</v>
      </c>
      <c r="S873" s="83">
        <f t="shared" si="142"/>
        <v>695</v>
      </c>
      <c r="T873" s="83">
        <f>'[2]GULFSTREAM NON-FIRM'!H884</f>
        <v>0</v>
      </c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</row>
    <row r="874" spans="1:30" ht="15.75" hidden="1" x14ac:dyDescent="0.25">
      <c r="A874" s="32">
        <v>67541</v>
      </c>
      <c r="B874" s="95">
        <f t="shared" si="144"/>
        <v>30</v>
      </c>
      <c r="C874" s="83">
        <f>'[2]FGT PRIMARY FIRM ZONE 1'!V885</f>
        <v>122.58</v>
      </c>
      <c r="D874" s="83">
        <f>'[2]FGT PRIMARY FIRM ZONE 2'!V885</f>
        <v>297.94100000000003</v>
      </c>
      <c r="E874" s="92">
        <f>'[2]FGT PRIMARY FIRM ZONE 3'!V885</f>
        <v>89.177000000000007</v>
      </c>
      <c r="F874" s="83">
        <f>'[2]FGT FIRM ZONE 3 MOBILE BAY-DES'!V885-40-60-100</f>
        <v>40.301999999999992</v>
      </c>
      <c r="G874" s="86">
        <v>40</v>
      </c>
      <c r="H874" s="83">
        <f>60+100</f>
        <v>160</v>
      </c>
      <c r="I874" s="83">
        <f t="shared" si="136"/>
        <v>0</v>
      </c>
      <c r="J874" s="86">
        <v>100</v>
      </c>
      <c r="K874" s="86">
        <v>300</v>
      </c>
      <c r="L874" s="83">
        <f t="shared" si="139"/>
        <v>1150</v>
      </c>
      <c r="M874" s="94">
        <v>600</v>
      </c>
      <c r="N874" s="83">
        <f>'[2]FGT NON-FIRM'!P885</f>
        <v>100</v>
      </c>
      <c r="O874" s="86">
        <v>240</v>
      </c>
      <c r="P874" s="86">
        <v>40</v>
      </c>
      <c r="Q874" s="86">
        <f t="shared" si="140"/>
        <v>315</v>
      </c>
      <c r="R874" s="86">
        <f t="shared" si="141"/>
        <v>100</v>
      </c>
      <c r="S874" s="83">
        <f t="shared" si="142"/>
        <v>695</v>
      </c>
      <c r="T874" s="83">
        <f>'[2]GULFSTREAM NON-FIRM'!H885</f>
        <v>50</v>
      </c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</row>
    <row r="875" spans="1:30" ht="15.75" hidden="1" x14ac:dyDescent="0.25">
      <c r="A875" s="32">
        <v>67572</v>
      </c>
      <c r="B875" s="95">
        <f t="shared" si="144"/>
        <v>31</v>
      </c>
      <c r="C875" s="83">
        <f>'[2]FGT PRIMARY FIRM ZONE 1'!V886</f>
        <v>122.58</v>
      </c>
      <c r="D875" s="83">
        <f>'[2]FGT PRIMARY FIRM ZONE 2'!V886</f>
        <v>297.94100000000003</v>
      </c>
      <c r="E875" s="92">
        <f>'[2]FGT PRIMARY FIRM ZONE 3'!V886</f>
        <v>89.177000000000007</v>
      </c>
      <c r="F875" s="83">
        <f>'[2]FGT FIRM ZONE 3 MOBILE BAY-DES'!V886-40-60-100</f>
        <v>40.301999999999992</v>
      </c>
      <c r="G875" s="86">
        <v>40</v>
      </c>
      <c r="H875" s="83">
        <f>60+100</f>
        <v>160</v>
      </c>
      <c r="I875" s="83">
        <f t="shared" si="136"/>
        <v>0</v>
      </c>
      <c r="J875" s="86">
        <v>100</v>
      </c>
      <c r="K875" s="86">
        <v>300</v>
      </c>
      <c r="L875" s="83">
        <f t="shared" si="139"/>
        <v>1150</v>
      </c>
      <c r="M875" s="94">
        <v>600</v>
      </c>
      <c r="N875" s="83">
        <f>'[2]FGT NON-FIRM'!P886</f>
        <v>100</v>
      </c>
      <c r="O875" s="86">
        <v>240</v>
      </c>
      <c r="P875" s="86">
        <v>40</v>
      </c>
      <c r="Q875" s="86">
        <f t="shared" si="140"/>
        <v>315</v>
      </c>
      <c r="R875" s="86">
        <f t="shared" si="141"/>
        <v>100</v>
      </c>
      <c r="S875" s="83">
        <f t="shared" si="142"/>
        <v>695</v>
      </c>
      <c r="T875" s="83">
        <f>'[2]GULFSTREAM NON-FIRM'!H886</f>
        <v>50</v>
      </c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</row>
    <row r="876" spans="1:30" ht="15.75" hidden="1" x14ac:dyDescent="0.25">
      <c r="A876" s="32">
        <v>67603</v>
      </c>
      <c r="B876" s="95">
        <f t="shared" si="144"/>
        <v>31</v>
      </c>
      <c r="C876" s="83">
        <f>'[2]FGT PRIMARY FIRM ZONE 1'!V887</f>
        <v>122.58</v>
      </c>
      <c r="D876" s="83">
        <f>'[2]FGT PRIMARY FIRM ZONE 2'!V887</f>
        <v>297.94100000000003</v>
      </c>
      <c r="E876" s="92">
        <f>'[2]FGT PRIMARY FIRM ZONE 3'!V887</f>
        <v>89.177000000000007</v>
      </c>
      <c r="F876" s="83">
        <f>'[2]FGT FIRM ZONE 3 MOBILE BAY-DES'!V887-40-60-100</f>
        <v>40.301999999999992</v>
      </c>
      <c r="G876" s="86">
        <v>40</v>
      </c>
      <c r="H876" s="83">
        <f>60+100</f>
        <v>160</v>
      </c>
      <c r="I876" s="83">
        <f t="shared" si="136"/>
        <v>0</v>
      </c>
      <c r="J876" s="86">
        <v>100</v>
      </c>
      <c r="K876" s="86">
        <v>300</v>
      </c>
      <c r="L876" s="83">
        <f t="shared" si="139"/>
        <v>1150</v>
      </c>
      <c r="M876" s="94">
        <v>600</v>
      </c>
      <c r="N876" s="83">
        <f>'[2]FGT NON-FIRM'!P887</f>
        <v>100</v>
      </c>
      <c r="O876" s="86">
        <v>240</v>
      </c>
      <c r="P876" s="86">
        <v>40</v>
      </c>
      <c r="Q876" s="86">
        <f t="shared" si="140"/>
        <v>315</v>
      </c>
      <c r="R876" s="86">
        <f t="shared" si="141"/>
        <v>100</v>
      </c>
      <c r="S876" s="83">
        <f t="shared" si="142"/>
        <v>695</v>
      </c>
      <c r="T876" s="83">
        <f>'[2]GULFSTREAM NON-FIRM'!H887</f>
        <v>50</v>
      </c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</row>
    <row r="877" spans="1:30" ht="15.75" hidden="1" x14ac:dyDescent="0.25">
      <c r="A877" s="32">
        <v>67631</v>
      </c>
      <c r="B877" s="95">
        <f t="shared" si="144"/>
        <v>28</v>
      </c>
      <c r="C877" s="83">
        <f>'[2]FGT PRIMARY FIRM ZONE 1'!V888</f>
        <v>122.58</v>
      </c>
      <c r="D877" s="83">
        <f>'[2]FGT PRIMARY FIRM ZONE 2'!V888</f>
        <v>297.94100000000003</v>
      </c>
      <c r="E877" s="92">
        <f>'[2]FGT PRIMARY FIRM ZONE 3'!V888</f>
        <v>89.177000000000007</v>
      </c>
      <c r="F877" s="83">
        <f>'[2]FGT FIRM ZONE 3 MOBILE BAY-DES'!V888-40-60-100</f>
        <v>40.301999999999992</v>
      </c>
      <c r="G877" s="86">
        <v>40</v>
      </c>
      <c r="H877" s="83">
        <f>60+100</f>
        <v>160</v>
      </c>
      <c r="I877" s="83">
        <f t="shared" si="136"/>
        <v>0</v>
      </c>
      <c r="J877" s="86">
        <v>100</v>
      </c>
      <c r="K877" s="86">
        <v>300</v>
      </c>
      <c r="L877" s="83">
        <f t="shared" si="139"/>
        <v>1150</v>
      </c>
      <c r="M877" s="94">
        <v>600</v>
      </c>
      <c r="N877" s="83">
        <f>'[2]FGT NON-FIRM'!P888</f>
        <v>100</v>
      </c>
      <c r="O877" s="86">
        <v>240</v>
      </c>
      <c r="P877" s="86">
        <v>40</v>
      </c>
      <c r="Q877" s="86">
        <f t="shared" si="140"/>
        <v>315</v>
      </c>
      <c r="R877" s="86">
        <f t="shared" si="141"/>
        <v>100</v>
      </c>
      <c r="S877" s="83">
        <f t="shared" si="142"/>
        <v>695</v>
      </c>
      <c r="T877" s="83">
        <f>'[2]GULFSTREAM NON-FIRM'!H888</f>
        <v>50</v>
      </c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</row>
    <row r="878" spans="1:30" ht="15.75" hidden="1" x14ac:dyDescent="0.25">
      <c r="A878" s="32">
        <v>67662</v>
      </c>
      <c r="B878" s="95">
        <f t="shared" si="144"/>
        <v>31</v>
      </c>
      <c r="C878" s="83">
        <f>'[2]FGT PRIMARY FIRM ZONE 1'!V889</f>
        <v>122.58</v>
      </c>
      <c r="D878" s="83">
        <f>'[2]FGT PRIMARY FIRM ZONE 2'!V889</f>
        <v>297.94100000000003</v>
      </c>
      <c r="E878" s="92">
        <f>'[2]FGT PRIMARY FIRM ZONE 3'!V889</f>
        <v>89.177000000000007</v>
      </c>
      <c r="F878" s="83">
        <f>'[2]FGT FIRM ZONE 3 MOBILE BAY-DES'!V889-40-60-100</f>
        <v>40.301999999999992</v>
      </c>
      <c r="G878" s="86">
        <v>40</v>
      </c>
      <c r="H878" s="83">
        <f>60+100</f>
        <v>160</v>
      </c>
      <c r="I878" s="83">
        <f t="shared" si="136"/>
        <v>0</v>
      </c>
      <c r="J878" s="86">
        <v>100</v>
      </c>
      <c r="K878" s="86">
        <v>300</v>
      </c>
      <c r="L878" s="83">
        <f t="shared" si="139"/>
        <v>1150</v>
      </c>
      <c r="M878" s="94">
        <v>600</v>
      </c>
      <c r="N878" s="83">
        <f>'[2]FGT NON-FIRM'!P889</f>
        <v>100</v>
      </c>
      <c r="O878" s="86">
        <v>240</v>
      </c>
      <c r="P878" s="86">
        <v>40</v>
      </c>
      <c r="Q878" s="86">
        <f t="shared" si="140"/>
        <v>315</v>
      </c>
      <c r="R878" s="86">
        <f t="shared" si="141"/>
        <v>100</v>
      </c>
      <c r="S878" s="83">
        <f t="shared" si="142"/>
        <v>695</v>
      </c>
      <c r="T878" s="83">
        <f>'[2]GULFSTREAM NON-FIRM'!H889</f>
        <v>50</v>
      </c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</row>
    <row r="879" spans="1:30" ht="15.75" hidden="1" x14ac:dyDescent="0.25">
      <c r="A879" s="32">
        <v>67692</v>
      </c>
      <c r="B879" s="95">
        <f t="shared" si="144"/>
        <v>30</v>
      </c>
      <c r="C879" s="83">
        <f>'[2]FGT PRIMARY FIRM ZONE 1'!V890</f>
        <v>141.29300000000001</v>
      </c>
      <c r="D879" s="83">
        <f>'[2]FGT PRIMARY FIRM ZONE 2'!V890</f>
        <v>267.99299999999999</v>
      </c>
      <c r="E879" s="92">
        <f>'[2]FGT PRIMARY FIRM ZONE 3'!V890</f>
        <v>115.01600000000001</v>
      </c>
      <c r="F879" s="83">
        <f>'[2]FGT FIRM ZONE 3 MOBILE BAY-DES'!V890-40-25-60-100</f>
        <v>89.698000000000036</v>
      </c>
      <c r="G879" s="86">
        <v>40</v>
      </c>
      <c r="H879" s="83">
        <f t="shared" ref="H879:H885" si="146">25+60+100</f>
        <v>185</v>
      </c>
      <c r="I879" s="83">
        <f t="shared" si="136"/>
        <v>0</v>
      </c>
      <c r="J879" s="86">
        <v>100</v>
      </c>
      <c r="K879" s="86">
        <v>300</v>
      </c>
      <c r="L879" s="83">
        <f t="shared" si="139"/>
        <v>1239</v>
      </c>
      <c r="M879" s="94">
        <v>600</v>
      </c>
      <c r="N879" s="83">
        <f>'[2]FGT NON-FIRM'!P890</f>
        <v>100</v>
      </c>
      <c r="O879" s="86">
        <v>240</v>
      </c>
      <c r="P879" s="86">
        <v>40</v>
      </c>
      <c r="Q879" s="86">
        <f t="shared" si="140"/>
        <v>315</v>
      </c>
      <c r="R879" s="86">
        <f t="shared" si="141"/>
        <v>100</v>
      </c>
      <c r="S879" s="83">
        <f t="shared" si="142"/>
        <v>695</v>
      </c>
      <c r="T879" s="83">
        <f>'[2]GULFSTREAM NON-FIRM'!H890</f>
        <v>50</v>
      </c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</row>
    <row r="880" spans="1:30" ht="15.75" hidden="1" x14ac:dyDescent="0.25">
      <c r="A880" s="32">
        <v>67723</v>
      </c>
      <c r="B880" s="95">
        <f t="shared" si="144"/>
        <v>31</v>
      </c>
      <c r="C880" s="83">
        <f>'[2]FGT PRIMARY FIRM ZONE 1'!V891</f>
        <v>194.20499999999998</v>
      </c>
      <c r="D880" s="83">
        <f>'[2]FGT PRIMARY FIRM ZONE 2'!V891</f>
        <v>267.46600000000001</v>
      </c>
      <c r="E880" s="92">
        <f>'[2]FGT PRIMARY FIRM ZONE 3'!V891</f>
        <v>133.845</v>
      </c>
      <c r="F880" s="83">
        <f>'[2]FGT FIRM ZONE 3 MOBILE BAY-DES'!V891-40-25-60-100</f>
        <v>53.48399999999998</v>
      </c>
      <c r="G880" s="86">
        <v>40</v>
      </c>
      <c r="H880" s="83">
        <f t="shared" si="146"/>
        <v>185</v>
      </c>
      <c r="I880" s="83">
        <f t="shared" si="136"/>
        <v>0</v>
      </c>
      <c r="J880" s="86">
        <v>100</v>
      </c>
      <c r="K880" s="86">
        <v>300</v>
      </c>
      <c r="L880" s="83">
        <f t="shared" si="139"/>
        <v>1274</v>
      </c>
      <c r="M880" s="94">
        <v>600</v>
      </c>
      <c r="N880" s="83">
        <f>'[2]FGT NON-FIRM'!P891</f>
        <v>75</v>
      </c>
      <c r="O880" s="86">
        <v>240</v>
      </c>
      <c r="P880" s="86">
        <v>40</v>
      </c>
      <c r="Q880" s="86">
        <f t="shared" si="140"/>
        <v>315</v>
      </c>
      <c r="R880" s="86">
        <f t="shared" si="141"/>
        <v>100</v>
      </c>
      <c r="S880" s="83">
        <f t="shared" si="142"/>
        <v>695</v>
      </c>
      <c r="T880" s="83">
        <f>'[2]GULFSTREAM NON-FIRM'!H891</f>
        <v>50</v>
      </c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</row>
    <row r="881" spans="1:30" ht="15.75" hidden="1" x14ac:dyDescent="0.25">
      <c r="A881" s="32">
        <v>67753</v>
      </c>
      <c r="B881" s="95">
        <f t="shared" si="144"/>
        <v>30</v>
      </c>
      <c r="C881" s="83">
        <f>'[2]FGT PRIMARY FIRM ZONE 1'!V892</f>
        <v>194.20499999999998</v>
      </c>
      <c r="D881" s="83">
        <f>'[2]FGT PRIMARY FIRM ZONE 2'!V892</f>
        <v>267.46600000000001</v>
      </c>
      <c r="E881" s="92">
        <f>'[2]FGT PRIMARY FIRM ZONE 3'!V892</f>
        <v>133.845</v>
      </c>
      <c r="F881" s="83">
        <f>'[2]FGT FIRM ZONE 3 MOBILE BAY-DES'!V892-40-25-60-100</f>
        <v>53.48399999999998</v>
      </c>
      <c r="G881" s="86">
        <v>40</v>
      </c>
      <c r="H881" s="83">
        <f t="shared" si="146"/>
        <v>185</v>
      </c>
      <c r="I881" s="83">
        <f t="shared" si="136"/>
        <v>0</v>
      </c>
      <c r="J881" s="86">
        <v>100</v>
      </c>
      <c r="K881" s="86">
        <v>300</v>
      </c>
      <c r="L881" s="83">
        <f t="shared" si="139"/>
        <v>1274</v>
      </c>
      <c r="M881" s="94">
        <v>600</v>
      </c>
      <c r="N881" s="83">
        <f>'[2]FGT NON-FIRM'!P892</f>
        <v>30</v>
      </c>
      <c r="O881" s="86">
        <v>240</v>
      </c>
      <c r="P881" s="86">
        <v>40</v>
      </c>
      <c r="Q881" s="86">
        <f t="shared" si="140"/>
        <v>315</v>
      </c>
      <c r="R881" s="86">
        <f t="shared" si="141"/>
        <v>100</v>
      </c>
      <c r="S881" s="83">
        <f t="shared" si="142"/>
        <v>695</v>
      </c>
      <c r="T881" s="83">
        <f>'[2]GULFSTREAM NON-FIRM'!H892</f>
        <v>50</v>
      </c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</row>
    <row r="882" spans="1:30" ht="15.75" hidden="1" x14ac:dyDescent="0.25">
      <c r="A882" s="32">
        <v>67784</v>
      </c>
      <c r="B882" s="95">
        <f t="shared" si="144"/>
        <v>31</v>
      </c>
      <c r="C882" s="83">
        <f>'[2]FGT PRIMARY FIRM ZONE 1'!V893</f>
        <v>194.20499999999998</v>
      </c>
      <c r="D882" s="83">
        <f>'[2]FGT PRIMARY FIRM ZONE 2'!V893</f>
        <v>267.46600000000001</v>
      </c>
      <c r="E882" s="92">
        <f>'[2]FGT PRIMARY FIRM ZONE 3'!V893</f>
        <v>133.845</v>
      </c>
      <c r="F882" s="83">
        <f>'[2]FGT FIRM ZONE 3 MOBILE BAY-DES'!V893-40-25-60-100</f>
        <v>53.48399999999998</v>
      </c>
      <c r="G882" s="86">
        <v>40</v>
      </c>
      <c r="H882" s="83">
        <f t="shared" si="146"/>
        <v>185</v>
      </c>
      <c r="I882" s="83">
        <f t="shared" si="136"/>
        <v>0</v>
      </c>
      <c r="J882" s="86">
        <v>100</v>
      </c>
      <c r="K882" s="86">
        <v>300</v>
      </c>
      <c r="L882" s="83">
        <f t="shared" si="139"/>
        <v>1274</v>
      </c>
      <c r="M882" s="94">
        <v>600</v>
      </c>
      <c r="N882" s="83">
        <f>'[2]FGT NON-FIRM'!P893</f>
        <v>30</v>
      </c>
      <c r="O882" s="86">
        <v>240</v>
      </c>
      <c r="P882" s="86">
        <v>40</v>
      </c>
      <c r="Q882" s="86">
        <f t="shared" si="140"/>
        <v>315</v>
      </c>
      <c r="R882" s="86">
        <f t="shared" si="141"/>
        <v>100</v>
      </c>
      <c r="S882" s="83">
        <f t="shared" si="142"/>
        <v>695</v>
      </c>
      <c r="T882" s="83">
        <f>'[2]GULFSTREAM NON-FIRM'!H893</f>
        <v>0</v>
      </c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</row>
    <row r="883" spans="1:30" ht="15.75" hidden="1" x14ac:dyDescent="0.25">
      <c r="A883" s="32">
        <v>67815</v>
      </c>
      <c r="B883" s="95">
        <f t="shared" si="144"/>
        <v>31</v>
      </c>
      <c r="C883" s="83">
        <f>'[2]FGT PRIMARY FIRM ZONE 1'!V894</f>
        <v>194.20499999999998</v>
      </c>
      <c r="D883" s="83">
        <f>'[2]FGT PRIMARY FIRM ZONE 2'!V894</f>
        <v>267.46600000000001</v>
      </c>
      <c r="E883" s="92">
        <f>'[2]FGT PRIMARY FIRM ZONE 3'!V894</f>
        <v>133.845</v>
      </c>
      <c r="F883" s="83">
        <f>'[2]FGT FIRM ZONE 3 MOBILE BAY-DES'!V894-40-25-60-100</f>
        <v>53.48399999999998</v>
      </c>
      <c r="G883" s="86">
        <v>40</v>
      </c>
      <c r="H883" s="83">
        <f t="shared" si="146"/>
        <v>185</v>
      </c>
      <c r="I883" s="83">
        <f t="shared" si="136"/>
        <v>0</v>
      </c>
      <c r="J883" s="86">
        <v>100</v>
      </c>
      <c r="K883" s="86">
        <v>300</v>
      </c>
      <c r="L883" s="83">
        <f t="shared" si="139"/>
        <v>1274</v>
      </c>
      <c r="M883" s="94">
        <v>600</v>
      </c>
      <c r="N883" s="83">
        <f>'[2]FGT NON-FIRM'!P894</f>
        <v>30</v>
      </c>
      <c r="O883" s="86">
        <v>240</v>
      </c>
      <c r="P883" s="86">
        <v>40</v>
      </c>
      <c r="Q883" s="86">
        <f t="shared" si="140"/>
        <v>315</v>
      </c>
      <c r="R883" s="86">
        <f t="shared" si="141"/>
        <v>100</v>
      </c>
      <c r="S883" s="83">
        <f t="shared" si="142"/>
        <v>695</v>
      </c>
      <c r="T883" s="83">
        <f>'[2]GULFSTREAM NON-FIRM'!H894</f>
        <v>0</v>
      </c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</row>
    <row r="884" spans="1:30" ht="15.75" hidden="1" x14ac:dyDescent="0.25">
      <c r="A884" s="32">
        <v>67845</v>
      </c>
      <c r="B884" s="95">
        <f t="shared" si="144"/>
        <v>30</v>
      </c>
      <c r="C884" s="83">
        <f>'[2]FGT PRIMARY FIRM ZONE 1'!V895</f>
        <v>194.20499999999998</v>
      </c>
      <c r="D884" s="83">
        <f>'[2]FGT PRIMARY FIRM ZONE 2'!V895</f>
        <v>267.46600000000001</v>
      </c>
      <c r="E884" s="92">
        <f>'[2]FGT PRIMARY FIRM ZONE 3'!V895</f>
        <v>133.845</v>
      </c>
      <c r="F884" s="83">
        <f>'[2]FGT FIRM ZONE 3 MOBILE BAY-DES'!V895-40-25-60-100</f>
        <v>53.48399999999998</v>
      </c>
      <c r="G884" s="86">
        <v>40</v>
      </c>
      <c r="H884" s="83">
        <f t="shared" si="146"/>
        <v>185</v>
      </c>
      <c r="I884" s="83">
        <f t="shared" ref="I884:I947" si="147">400-J884-K884</f>
        <v>0</v>
      </c>
      <c r="J884" s="86">
        <v>100</v>
      </c>
      <c r="K884" s="86">
        <v>300</v>
      </c>
      <c r="L884" s="83">
        <f t="shared" si="139"/>
        <v>1274</v>
      </c>
      <c r="M884" s="94">
        <v>600</v>
      </c>
      <c r="N884" s="83">
        <f>'[2]FGT NON-FIRM'!P895</f>
        <v>30</v>
      </c>
      <c r="O884" s="86">
        <v>240</v>
      </c>
      <c r="P884" s="86">
        <v>40</v>
      </c>
      <c r="Q884" s="86">
        <f t="shared" si="140"/>
        <v>315</v>
      </c>
      <c r="R884" s="86">
        <f t="shared" si="141"/>
        <v>100</v>
      </c>
      <c r="S884" s="83">
        <f t="shared" si="142"/>
        <v>695</v>
      </c>
      <c r="T884" s="83">
        <f>'[2]GULFSTREAM NON-FIRM'!H895</f>
        <v>0</v>
      </c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</row>
    <row r="885" spans="1:30" ht="15.75" hidden="1" x14ac:dyDescent="0.25">
      <c r="A885" s="32">
        <v>67876</v>
      </c>
      <c r="B885" s="95">
        <f t="shared" si="144"/>
        <v>31</v>
      </c>
      <c r="C885" s="83">
        <f>'[2]FGT PRIMARY FIRM ZONE 1'!V896</f>
        <v>131.881</v>
      </c>
      <c r="D885" s="83">
        <f>'[2]FGT PRIMARY FIRM ZONE 2'!V896</f>
        <v>277.16699999999997</v>
      </c>
      <c r="E885" s="92">
        <f>'[2]FGT PRIMARY FIRM ZONE 3'!V896</f>
        <v>79.08</v>
      </c>
      <c r="F885" s="83">
        <f>'[2]FGT FIRM ZONE 3 MOBILE BAY-DES'!V896-40-25-60-100</f>
        <v>125.87199999999996</v>
      </c>
      <c r="G885" s="86">
        <v>40</v>
      </c>
      <c r="H885" s="83">
        <f t="shared" si="146"/>
        <v>185</v>
      </c>
      <c r="I885" s="83">
        <f t="shared" si="147"/>
        <v>0</v>
      </c>
      <c r="J885" s="86">
        <v>100</v>
      </c>
      <c r="K885" s="86">
        <v>300</v>
      </c>
      <c r="L885" s="83">
        <f t="shared" si="139"/>
        <v>1239</v>
      </c>
      <c r="M885" s="94">
        <v>600</v>
      </c>
      <c r="N885" s="83">
        <f>'[2]FGT NON-FIRM'!P896</f>
        <v>75</v>
      </c>
      <c r="O885" s="86">
        <v>240</v>
      </c>
      <c r="P885" s="86">
        <v>40</v>
      </c>
      <c r="Q885" s="86">
        <f t="shared" si="140"/>
        <v>315</v>
      </c>
      <c r="R885" s="86">
        <f t="shared" si="141"/>
        <v>100</v>
      </c>
      <c r="S885" s="83">
        <f t="shared" si="142"/>
        <v>695</v>
      </c>
      <c r="T885" s="83">
        <f>'[2]GULFSTREAM NON-FIRM'!H896</f>
        <v>0</v>
      </c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</row>
    <row r="886" spans="1:30" ht="15.75" hidden="1" x14ac:dyDescent="0.25">
      <c r="A886" s="32">
        <v>67906</v>
      </c>
      <c r="B886" s="95">
        <f t="shared" si="144"/>
        <v>30</v>
      </c>
      <c r="C886" s="83">
        <f>'[2]FGT PRIMARY FIRM ZONE 1'!V897</f>
        <v>122.58</v>
      </c>
      <c r="D886" s="83">
        <f>'[2]FGT PRIMARY FIRM ZONE 2'!V897</f>
        <v>297.94100000000003</v>
      </c>
      <c r="E886" s="92">
        <f>'[2]FGT PRIMARY FIRM ZONE 3'!V897</f>
        <v>89.177000000000007</v>
      </c>
      <c r="F886" s="83">
        <f>'[2]FGT FIRM ZONE 3 MOBILE BAY-DES'!V897-40-60-100</f>
        <v>40.301999999999992</v>
      </c>
      <c r="G886" s="86">
        <v>40</v>
      </c>
      <c r="H886" s="83">
        <f>60+100</f>
        <v>160</v>
      </c>
      <c r="I886" s="83">
        <f t="shared" si="147"/>
        <v>0</v>
      </c>
      <c r="J886" s="86">
        <v>100</v>
      </c>
      <c r="K886" s="86">
        <v>300</v>
      </c>
      <c r="L886" s="83">
        <f t="shared" si="139"/>
        <v>1150</v>
      </c>
      <c r="M886" s="94">
        <v>600</v>
      </c>
      <c r="N886" s="83">
        <f>'[2]FGT NON-FIRM'!P897</f>
        <v>100</v>
      </c>
      <c r="O886" s="86">
        <v>240</v>
      </c>
      <c r="P886" s="86">
        <v>40</v>
      </c>
      <c r="Q886" s="86">
        <f t="shared" si="140"/>
        <v>315</v>
      </c>
      <c r="R886" s="86">
        <f t="shared" si="141"/>
        <v>100</v>
      </c>
      <c r="S886" s="83">
        <f t="shared" si="142"/>
        <v>695</v>
      </c>
      <c r="T886" s="83">
        <f>'[2]GULFSTREAM NON-FIRM'!H897</f>
        <v>50</v>
      </c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</row>
    <row r="887" spans="1:30" ht="15.75" hidden="1" x14ac:dyDescent="0.25">
      <c r="A887" s="32">
        <v>67937</v>
      </c>
      <c r="B887" s="95">
        <f t="shared" si="144"/>
        <v>31</v>
      </c>
      <c r="C887" s="83">
        <f>'[2]FGT PRIMARY FIRM ZONE 1'!V898</f>
        <v>122.58</v>
      </c>
      <c r="D887" s="83">
        <f>'[2]FGT PRIMARY FIRM ZONE 2'!V898</f>
        <v>297.94100000000003</v>
      </c>
      <c r="E887" s="92">
        <f>'[2]FGT PRIMARY FIRM ZONE 3'!V898</f>
        <v>89.177000000000007</v>
      </c>
      <c r="F887" s="83">
        <f>'[2]FGT FIRM ZONE 3 MOBILE BAY-DES'!V898-40-60-100</f>
        <v>40.301999999999992</v>
      </c>
      <c r="G887" s="86">
        <v>40</v>
      </c>
      <c r="H887" s="83">
        <f>60+100</f>
        <v>160</v>
      </c>
      <c r="I887" s="83">
        <f t="shared" si="147"/>
        <v>0</v>
      </c>
      <c r="J887" s="86">
        <v>100</v>
      </c>
      <c r="K887" s="86">
        <v>300</v>
      </c>
      <c r="L887" s="83">
        <f t="shared" si="139"/>
        <v>1150</v>
      </c>
      <c r="M887" s="94">
        <v>600</v>
      </c>
      <c r="N887" s="83">
        <f>'[2]FGT NON-FIRM'!P898</f>
        <v>100</v>
      </c>
      <c r="O887" s="86">
        <v>240</v>
      </c>
      <c r="P887" s="86">
        <v>40</v>
      </c>
      <c r="Q887" s="86">
        <f t="shared" si="140"/>
        <v>315</v>
      </c>
      <c r="R887" s="86">
        <f t="shared" si="141"/>
        <v>100</v>
      </c>
      <c r="S887" s="83">
        <f t="shared" si="142"/>
        <v>695</v>
      </c>
      <c r="T887" s="83">
        <f>'[2]GULFSTREAM NON-FIRM'!H898</f>
        <v>50</v>
      </c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</row>
    <row r="888" spans="1:30" ht="15.75" hidden="1" x14ac:dyDescent="0.25">
      <c r="A888" s="32">
        <v>67968</v>
      </c>
      <c r="B888" s="95">
        <f t="shared" si="144"/>
        <v>31</v>
      </c>
      <c r="C888" s="83">
        <f>'[2]FGT PRIMARY FIRM ZONE 1'!V899</f>
        <v>122.58</v>
      </c>
      <c r="D888" s="83">
        <f>'[2]FGT PRIMARY FIRM ZONE 2'!V899</f>
        <v>297.94100000000003</v>
      </c>
      <c r="E888" s="92">
        <f>'[2]FGT PRIMARY FIRM ZONE 3'!V899</f>
        <v>89.177000000000007</v>
      </c>
      <c r="F888" s="83">
        <f>'[2]FGT FIRM ZONE 3 MOBILE BAY-DES'!V899-40-60-100</f>
        <v>40.301999999999992</v>
      </c>
      <c r="G888" s="86">
        <v>40</v>
      </c>
      <c r="H888" s="83">
        <f>60+100</f>
        <v>160</v>
      </c>
      <c r="I888" s="83">
        <f t="shared" si="147"/>
        <v>0</v>
      </c>
      <c r="J888" s="86">
        <v>100</v>
      </c>
      <c r="K888" s="86">
        <v>300</v>
      </c>
      <c r="L888" s="83">
        <f t="shared" si="139"/>
        <v>1150</v>
      </c>
      <c r="M888" s="94">
        <v>600</v>
      </c>
      <c r="N888" s="83">
        <f>'[2]FGT NON-FIRM'!P899</f>
        <v>100</v>
      </c>
      <c r="O888" s="86">
        <v>240</v>
      </c>
      <c r="P888" s="86">
        <v>40</v>
      </c>
      <c r="Q888" s="86">
        <f t="shared" si="140"/>
        <v>315</v>
      </c>
      <c r="R888" s="86">
        <f t="shared" si="141"/>
        <v>100</v>
      </c>
      <c r="S888" s="83">
        <f t="shared" si="142"/>
        <v>695</v>
      </c>
      <c r="T888" s="83">
        <f>'[2]GULFSTREAM NON-FIRM'!H899</f>
        <v>50</v>
      </c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</row>
    <row r="889" spans="1:30" ht="15.75" hidden="1" x14ac:dyDescent="0.25">
      <c r="A889" s="32">
        <v>67996</v>
      </c>
      <c r="B889" s="95">
        <f t="shared" si="144"/>
        <v>28</v>
      </c>
      <c r="C889" s="83">
        <f>'[2]FGT PRIMARY FIRM ZONE 1'!V900</f>
        <v>122.58</v>
      </c>
      <c r="D889" s="83">
        <f>'[2]FGT PRIMARY FIRM ZONE 2'!V900</f>
        <v>297.94100000000003</v>
      </c>
      <c r="E889" s="92">
        <f>'[2]FGT PRIMARY FIRM ZONE 3'!V900</f>
        <v>89.177000000000007</v>
      </c>
      <c r="F889" s="83">
        <f>'[2]FGT FIRM ZONE 3 MOBILE BAY-DES'!V900-40-60-100</f>
        <v>40.301999999999992</v>
      </c>
      <c r="G889" s="86">
        <v>40</v>
      </c>
      <c r="H889" s="83">
        <f>60+100</f>
        <v>160</v>
      </c>
      <c r="I889" s="83">
        <f t="shared" si="147"/>
        <v>0</v>
      </c>
      <c r="J889" s="86">
        <v>100</v>
      </c>
      <c r="K889" s="86">
        <v>300</v>
      </c>
      <c r="L889" s="83">
        <f t="shared" si="139"/>
        <v>1150</v>
      </c>
      <c r="M889" s="94">
        <v>600</v>
      </c>
      <c r="N889" s="83">
        <f>'[2]FGT NON-FIRM'!P900</f>
        <v>100</v>
      </c>
      <c r="O889" s="86">
        <v>240</v>
      </c>
      <c r="P889" s="86">
        <v>40</v>
      </c>
      <c r="Q889" s="86">
        <f t="shared" si="140"/>
        <v>315</v>
      </c>
      <c r="R889" s="86">
        <f t="shared" si="141"/>
        <v>100</v>
      </c>
      <c r="S889" s="83">
        <f t="shared" si="142"/>
        <v>695</v>
      </c>
      <c r="T889" s="83">
        <f>'[2]GULFSTREAM NON-FIRM'!H900</f>
        <v>50</v>
      </c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</row>
    <row r="890" spans="1:30" ht="15.75" hidden="1" x14ac:dyDescent="0.25">
      <c r="A890" s="32">
        <v>68027</v>
      </c>
      <c r="B890" s="95">
        <f t="shared" si="144"/>
        <v>31</v>
      </c>
      <c r="C890" s="83">
        <f>'[2]FGT PRIMARY FIRM ZONE 1'!V901</f>
        <v>122.58</v>
      </c>
      <c r="D890" s="83">
        <f>'[2]FGT PRIMARY FIRM ZONE 2'!V901</f>
        <v>297.94100000000003</v>
      </c>
      <c r="E890" s="92">
        <f>'[2]FGT PRIMARY FIRM ZONE 3'!V901</f>
        <v>89.177000000000007</v>
      </c>
      <c r="F890" s="83">
        <f>'[2]FGT FIRM ZONE 3 MOBILE BAY-DES'!V901-40-60-100</f>
        <v>40.301999999999992</v>
      </c>
      <c r="G890" s="86">
        <v>40</v>
      </c>
      <c r="H890" s="83">
        <f>60+100</f>
        <v>160</v>
      </c>
      <c r="I890" s="83">
        <f t="shared" si="147"/>
        <v>0</v>
      </c>
      <c r="J890" s="86">
        <v>100</v>
      </c>
      <c r="K890" s="86">
        <v>300</v>
      </c>
      <c r="L890" s="83">
        <f t="shared" si="139"/>
        <v>1150</v>
      </c>
      <c r="M890" s="94">
        <v>600</v>
      </c>
      <c r="N890" s="83">
        <f>'[2]FGT NON-FIRM'!P901</f>
        <v>100</v>
      </c>
      <c r="O890" s="86">
        <v>240</v>
      </c>
      <c r="P890" s="86">
        <v>40</v>
      </c>
      <c r="Q890" s="86">
        <f t="shared" si="140"/>
        <v>315</v>
      </c>
      <c r="R890" s="86">
        <f t="shared" si="141"/>
        <v>100</v>
      </c>
      <c r="S890" s="83">
        <f t="shared" si="142"/>
        <v>695</v>
      </c>
      <c r="T890" s="83">
        <f>'[2]GULFSTREAM NON-FIRM'!H901</f>
        <v>50</v>
      </c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</row>
    <row r="891" spans="1:30" ht="15.75" hidden="1" x14ac:dyDescent="0.25">
      <c r="A891" s="32">
        <v>68057</v>
      </c>
      <c r="B891" s="95">
        <f t="shared" si="144"/>
        <v>30</v>
      </c>
      <c r="C891" s="83">
        <f>'[2]FGT PRIMARY FIRM ZONE 1'!V902</f>
        <v>141.29300000000001</v>
      </c>
      <c r="D891" s="83">
        <f>'[2]FGT PRIMARY FIRM ZONE 2'!V902</f>
        <v>267.99299999999999</v>
      </c>
      <c r="E891" s="92">
        <f>'[2]FGT PRIMARY FIRM ZONE 3'!V902</f>
        <v>115.01600000000001</v>
      </c>
      <c r="F891" s="83">
        <f>'[2]FGT FIRM ZONE 3 MOBILE BAY-DES'!V902-40-25-60-100</f>
        <v>89.698000000000036</v>
      </c>
      <c r="G891" s="86">
        <v>40</v>
      </c>
      <c r="H891" s="83">
        <f t="shared" ref="H891:H897" si="148">25+60+100</f>
        <v>185</v>
      </c>
      <c r="I891" s="83">
        <f t="shared" si="147"/>
        <v>0</v>
      </c>
      <c r="J891" s="86">
        <v>100</v>
      </c>
      <c r="K891" s="86">
        <v>300</v>
      </c>
      <c r="L891" s="83">
        <f t="shared" si="139"/>
        <v>1239</v>
      </c>
      <c r="M891" s="94">
        <v>600</v>
      </c>
      <c r="N891" s="83">
        <f>'[2]FGT NON-FIRM'!P902</f>
        <v>100</v>
      </c>
      <c r="O891" s="86">
        <v>240</v>
      </c>
      <c r="P891" s="86">
        <v>40</v>
      </c>
      <c r="Q891" s="86">
        <f t="shared" si="140"/>
        <v>315</v>
      </c>
      <c r="R891" s="86">
        <f t="shared" si="141"/>
        <v>100</v>
      </c>
      <c r="S891" s="83">
        <f t="shared" si="142"/>
        <v>695</v>
      </c>
      <c r="T891" s="83">
        <f>'[2]GULFSTREAM NON-FIRM'!H902</f>
        <v>50</v>
      </c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</row>
    <row r="892" spans="1:30" ht="15.75" hidden="1" x14ac:dyDescent="0.25">
      <c r="A892" s="32">
        <v>68088</v>
      </c>
      <c r="B892" s="95">
        <f t="shared" si="144"/>
        <v>31</v>
      </c>
      <c r="C892" s="83">
        <f>'[2]FGT PRIMARY FIRM ZONE 1'!V903</f>
        <v>194.20499999999998</v>
      </c>
      <c r="D892" s="83">
        <f>'[2]FGT PRIMARY FIRM ZONE 2'!V903</f>
        <v>267.46600000000001</v>
      </c>
      <c r="E892" s="92">
        <f>'[2]FGT PRIMARY FIRM ZONE 3'!V903</f>
        <v>133.845</v>
      </c>
      <c r="F892" s="83">
        <f>'[2]FGT FIRM ZONE 3 MOBILE BAY-DES'!V903-40-25-60-100</f>
        <v>53.48399999999998</v>
      </c>
      <c r="G892" s="86">
        <v>40</v>
      </c>
      <c r="H892" s="83">
        <f t="shared" si="148"/>
        <v>185</v>
      </c>
      <c r="I892" s="83">
        <f t="shared" si="147"/>
        <v>0</v>
      </c>
      <c r="J892" s="86">
        <v>100</v>
      </c>
      <c r="K892" s="86">
        <v>300</v>
      </c>
      <c r="L892" s="83">
        <f t="shared" si="139"/>
        <v>1274</v>
      </c>
      <c r="M892" s="94">
        <v>600</v>
      </c>
      <c r="N892" s="83">
        <f>'[2]FGT NON-FIRM'!P903</f>
        <v>75</v>
      </c>
      <c r="O892" s="86">
        <v>240</v>
      </c>
      <c r="P892" s="86">
        <v>40</v>
      </c>
      <c r="Q892" s="86">
        <f t="shared" si="140"/>
        <v>315</v>
      </c>
      <c r="R892" s="86">
        <f t="shared" si="141"/>
        <v>100</v>
      </c>
      <c r="S892" s="83">
        <f t="shared" si="142"/>
        <v>695</v>
      </c>
      <c r="T892" s="83">
        <f>'[2]GULFSTREAM NON-FIRM'!H903</f>
        <v>50</v>
      </c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</row>
    <row r="893" spans="1:30" ht="15.75" hidden="1" x14ac:dyDescent="0.25">
      <c r="A893" s="32">
        <v>68118</v>
      </c>
      <c r="B893" s="95">
        <f t="shared" si="144"/>
        <v>30</v>
      </c>
      <c r="C893" s="83">
        <f>'[2]FGT PRIMARY FIRM ZONE 1'!V904</f>
        <v>194.20499999999998</v>
      </c>
      <c r="D893" s="83">
        <f>'[2]FGT PRIMARY FIRM ZONE 2'!V904</f>
        <v>267.46600000000001</v>
      </c>
      <c r="E893" s="92">
        <f>'[2]FGT PRIMARY FIRM ZONE 3'!V904</f>
        <v>133.845</v>
      </c>
      <c r="F893" s="83">
        <f>'[2]FGT FIRM ZONE 3 MOBILE BAY-DES'!V904-40-25-60-100</f>
        <v>53.48399999999998</v>
      </c>
      <c r="G893" s="86">
        <v>40</v>
      </c>
      <c r="H893" s="83">
        <f t="shared" si="148"/>
        <v>185</v>
      </c>
      <c r="I893" s="83">
        <f t="shared" si="147"/>
        <v>0</v>
      </c>
      <c r="J893" s="86">
        <v>100</v>
      </c>
      <c r="K893" s="86">
        <v>300</v>
      </c>
      <c r="L893" s="83">
        <f t="shared" si="139"/>
        <v>1274</v>
      </c>
      <c r="M893" s="94">
        <v>600</v>
      </c>
      <c r="N893" s="83">
        <f>'[2]FGT NON-FIRM'!P904</f>
        <v>30</v>
      </c>
      <c r="O893" s="86">
        <v>240</v>
      </c>
      <c r="P893" s="86">
        <v>40</v>
      </c>
      <c r="Q893" s="86">
        <f t="shared" si="140"/>
        <v>315</v>
      </c>
      <c r="R893" s="86">
        <f t="shared" si="141"/>
        <v>100</v>
      </c>
      <c r="S893" s="83">
        <f t="shared" si="142"/>
        <v>695</v>
      </c>
      <c r="T893" s="83">
        <f>'[2]GULFSTREAM NON-FIRM'!H904</f>
        <v>50</v>
      </c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</row>
    <row r="894" spans="1:30" ht="15.75" hidden="1" x14ac:dyDescent="0.25">
      <c r="A894" s="32">
        <v>68149</v>
      </c>
      <c r="B894" s="95">
        <f t="shared" si="144"/>
        <v>31</v>
      </c>
      <c r="C894" s="83">
        <f>'[2]FGT PRIMARY FIRM ZONE 1'!V905</f>
        <v>194.20499999999998</v>
      </c>
      <c r="D894" s="83">
        <f>'[2]FGT PRIMARY FIRM ZONE 2'!V905</f>
        <v>267.46600000000001</v>
      </c>
      <c r="E894" s="92">
        <f>'[2]FGT PRIMARY FIRM ZONE 3'!V905</f>
        <v>133.845</v>
      </c>
      <c r="F894" s="83">
        <f>'[2]FGT FIRM ZONE 3 MOBILE BAY-DES'!V905-40-25-60-100</f>
        <v>53.48399999999998</v>
      </c>
      <c r="G894" s="86">
        <v>40</v>
      </c>
      <c r="H894" s="83">
        <f t="shared" si="148"/>
        <v>185</v>
      </c>
      <c r="I894" s="83">
        <f t="shared" si="147"/>
        <v>0</v>
      </c>
      <c r="J894" s="86">
        <v>100</v>
      </c>
      <c r="K894" s="86">
        <v>300</v>
      </c>
      <c r="L894" s="83">
        <f t="shared" si="139"/>
        <v>1274</v>
      </c>
      <c r="M894" s="94">
        <v>600</v>
      </c>
      <c r="N894" s="83">
        <f>'[2]FGT NON-FIRM'!P905</f>
        <v>30</v>
      </c>
      <c r="O894" s="86">
        <v>240</v>
      </c>
      <c r="P894" s="86">
        <v>40</v>
      </c>
      <c r="Q894" s="86">
        <f t="shared" si="140"/>
        <v>315</v>
      </c>
      <c r="R894" s="86">
        <f t="shared" si="141"/>
        <v>100</v>
      </c>
      <c r="S894" s="83">
        <f t="shared" si="142"/>
        <v>695</v>
      </c>
      <c r="T894" s="83">
        <f>'[2]GULFSTREAM NON-FIRM'!H905</f>
        <v>0</v>
      </c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</row>
    <row r="895" spans="1:30" ht="15.75" hidden="1" x14ac:dyDescent="0.25">
      <c r="A895" s="32">
        <v>68180</v>
      </c>
      <c r="B895" s="95">
        <f t="shared" si="144"/>
        <v>31</v>
      </c>
      <c r="C895" s="83">
        <f>'[2]FGT PRIMARY FIRM ZONE 1'!V906</f>
        <v>194.20499999999998</v>
      </c>
      <c r="D895" s="83">
        <f>'[2]FGT PRIMARY FIRM ZONE 2'!V906</f>
        <v>267.46600000000001</v>
      </c>
      <c r="E895" s="92">
        <f>'[2]FGT PRIMARY FIRM ZONE 3'!V906</f>
        <v>133.845</v>
      </c>
      <c r="F895" s="83">
        <f>'[2]FGT FIRM ZONE 3 MOBILE BAY-DES'!V906-40-25-60-100</f>
        <v>53.48399999999998</v>
      </c>
      <c r="G895" s="86">
        <v>40</v>
      </c>
      <c r="H895" s="83">
        <f t="shared" si="148"/>
        <v>185</v>
      </c>
      <c r="I895" s="83">
        <f t="shared" si="147"/>
        <v>0</v>
      </c>
      <c r="J895" s="86">
        <v>100</v>
      </c>
      <c r="K895" s="86">
        <v>300</v>
      </c>
      <c r="L895" s="83">
        <f t="shared" si="139"/>
        <v>1274</v>
      </c>
      <c r="M895" s="94">
        <v>600</v>
      </c>
      <c r="N895" s="83">
        <f>'[2]FGT NON-FIRM'!P906</f>
        <v>30</v>
      </c>
      <c r="O895" s="86">
        <v>240</v>
      </c>
      <c r="P895" s="86">
        <v>40</v>
      </c>
      <c r="Q895" s="86">
        <f t="shared" si="140"/>
        <v>315</v>
      </c>
      <c r="R895" s="86">
        <f t="shared" si="141"/>
        <v>100</v>
      </c>
      <c r="S895" s="83">
        <f t="shared" si="142"/>
        <v>695</v>
      </c>
      <c r="T895" s="83">
        <f>'[2]GULFSTREAM NON-FIRM'!H906</f>
        <v>0</v>
      </c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</row>
    <row r="896" spans="1:30" ht="15.75" hidden="1" x14ac:dyDescent="0.25">
      <c r="A896" s="32">
        <v>68210</v>
      </c>
      <c r="B896" s="95">
        <f t="shared" si="144"/>
        <v>30</v>
      </c>
      <c r="C896" s="83">
        <f>'[2]FGT PRIMARY FIRM ZONE 1'!V907</f>
        <v>194.20499999999998</v>
      </c>
      <c r="D896" s="83">
        <f>'[2]FGT PRIMARY FIRM ZONE 2'!V907</f>
        <v>267.46600000000001</v>
      </c>
      <c r="E896" s="92">
        <f>'[2]FGT PRIMARY FIRM ZONE 3'!V907</f>
        <v>133.845</v>
      </c>
      <c r="F896" s="83">
        <f>'[2]FGT FIRM ZONE 3 MOBILE BAY-DES'!V907-40-25-60-100</f>
        <v>53.48399999999998</v>
      </c>
      <c r="G896" s="86">
        <v>40</v>
      </c>
      <c r="H896" s="83">
        <f t="shared" si="148"/>
        <v>185</v>
      </c>
      <c r="I896" s="83">
        <f t="shared" si="147"/>
        <v>0</v>
      </c>
      <c r="J896" s="86">
        <v>100</v>
      </c>
      <c r="K896" s="86">
        <v>300</v>
      </c>
      <c r="L896" s="83">
        <f t="shared" si="139"/>
        <v>1274</v>
      </c>
      <c r="M896" s="94">
        <v>600</v>
      </c>
      <c r="N896" s="83">
        <f>'[2]FGT NON-FIRM'!P907</f>
        <v>30</v>
      </c>
      <c r="O896" s="86">
        <v>240</v>
      </c>
      <c r="P896" s="86">
        <v>40</v>
      </c>
      <c r="Q896" s="86">
        <f t="shared" si="140"/>
        <v>315</v>
      </c>
      <c r="R896" s="86">
        <f t="shared" si="141"/>
        <v>100</v>
      </c>
      <c r="S896" s="83">
        <f t="shared" si="142"/>
        <v>695</v>
      </c>
      <c r="T896" s="83">
        <f>'[2]GULFSTREAM NON-FIRM'!H907</f>
        <v>0</v>
      </c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</row>
    <row r="897" spans="1:30" ht="15.75" hidden="1" x14ac:dyDescent="0.25">
      <c r="A897" s="32">
        <v>68241</v>
      </c>
      <c r="B897" s="95">
        <f t="shared" si="144"/>
        <v>31</v>
      </c>
      <c r="C897" s="83">
        <f>'[2]FGT PRIMARY FIRM ZONE 1'!V908</f>
        <v>131.881</v>
      </c>
      <c r="D897" s="83">
        <f>'[2]FGT PRIMARY FIRM ZONE 2'!V908</f>
        <v>277.16699999999997</v>
      </c>
      <c r="E897" s="92">
        <f>'[2]FGT PRIMARY FIRM ZONE 3'!V908</f>
        <v>79.08</v>
      </c>
      <c r="F897" s="83">
        <f>'[2]FGT FIRM ZONE 3 MOBILE BAY-DES'!V908-40-25-60-100</f>
        <v>125.87199999999996</v>
      </c>
      <c r="G897" s="86">
        <v>40</v>
      </c>
      <c r="H897" s="83">
        <f t="shared" si="148"/>
        <v>185</v>
      </c>
      <c r="I897" s="83">
        <f t="shared" si="147"/>
        <v>0</v>
      </c>
      <c r="J897" s="86">
        <v>100</v>
      </c>
      <c r="K897" s="86">
        <v>300</v>
      </c>
      <c r="L897" s="83">
        <f t="shared" si="139"/>
        <v>1239</v>
      </c>
      <c r="M897" s="94">
        <v>600</v>
      </c>
      <c r="N897" s="83">
        <f>'[2]FGT NON-FIRM'!P908</f>
        <v>75</v>
      </c>
      <c r="O897" s="86">
        <v>240</v>
      </c>
      <c r="P897" s="86">
        <v>40</v>
      </c>
      <c r="Q897" s="86">
        <f t="shared" si="140"/>
        <v>315</v>
      </c>
      <c r="R897" s="86">
        <f t="shared" si="141"/>
        <v>100</v>
      </c>
      <c r="S897" s="83">
        <f t="shared" si="142"/>
        <v>695</v>
      </c>
      <c r="T897" s="83">
        <f>'[2]GULFSTREAM NON-FIRM'!H908</f>
        <v>0</v>
      </c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</row>
    <row r="898" spans="1:30" ht="15.75" hidden="1" x14ac:dyDescent="0.25">
      <c r="A898" s="32">
        <v>68271</v>
      </c>
      <c r="B898" s="95">
        <f t="shared" si="144"/>
        <v>30</v>
      </c>
      <c r="C898" s="83">
        <f>'[2]FGT PRIMARY FIRM ZONE 1'!V909</f>
        <v>122.58</v>
      </c>
      <c r="D898" s="83">
        <f>'[2]FGT PRIMARY FIRM ZONE 2'!V909</f>
        <v>297.94100000000003</v>
      </c>
      <c r="E898" s="92">
        <f>'[2]FGT PRIMARY FIRM ZONE 3'!V909</f>
        <v>89.177000000000007</v>
      </c>
      <c r="F898" s="83">
        <f>'[2]FGT FIRM ZONE 3 MOBILE BAY-DES'!V909-40-60-100</f>
        <v>40.301999999999992</v>
      </c>
      <c r="G898" s="86">
        <v>40</v>
      </c>
      <c r="H898" s="83">
        <f>60+100</f>
        <v>160</v>
      </c>
      <c r="I898" s="83">
        <f t="shared" si="147"/>
        <v>0</v>
      </c>
      <c r="J898" s="86">
        <v>100</v>
      </c>
      <c r="K898" s="86">
        <v>300</v>
      </c>
      <c r="L898" s="83">
        <f t="shared" si="139"/>
        <v>1150</v>
      </c>
      <c r="M898" s="94">
        <v>600</v>
      </c>
      <c r="N898" s="83">
        <f>'[2]FGT NON-FIRM'!P909</f>
        <v>100</v>
      </c>
      <c r="O898" s="86">
        <v>240</v>
      </c>
      <c r="P898" s="86">
        <v>40</v>
      </c>
      <c r="Q898" s="86">
        <f t="shared" si="140"/>
        <v>315</v>
      </c>
      <c r="R898" s="86">
        <f t="shared" si="141"/>
        <v>100</v>
      </c>
      <c r="S898" s="83">
        <f t="shared" si="142"/>
        <v>695</v>
      </c>
      <c r="T898" s="83">
        <f>'[2]GULFSTREAM NON-FIRM'!H909</f>
        <v>50</v>
      </c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</row>
    <row r="899" spans="1:30" ht="15.75" hidden="1" x14ac:dyDescent="0.25">
      <c r="A899" s="32">
        <v>68302</v>
      </c>
      <c r="B899" s="95">
        <f t="shared" si="144"/>
        <v>31</v>
      </c>
      <c r="C899" s="83">
        <f>'[2]FGT PRIMARY FIRM ZONE 1'!V910</f>
        <v>122.58</v>
      </c>
      <c r="D899" s="83">
        <f>'[2]FGT PRIMARY FIRM ZONE 2'!V910</f>
        <v>297.94100000000003</v>
      </c>
      <c r="E899" s="92">
        <f>'[2]FGT PRIMARY FIRM ZONE 3'!V910</f>
        <v>89.177000000000007</v>
      </c>
      <c r="F899" s="83">
        <f>'[2]FGT FIRM ZONE 3 MOBILE BAY-DES'!V910-40-60-100</f>
        <v>40.301999999999992</v>
      </c>
      <c r="G899" s="86">
        <v>40</v>
      </c>
      <c r="H899" s="83">
        <f>60+100</f>
        <v>160</v>
      </c>
      <c r="I899" s="83">
        <f t="shared" si="147"/>
        <v>0</v>
      </c>
      <c r="J899" s="86">
        <v>100</v>
      </c>
      <c r="K899" s="86">
        <v>300</v>
      </c>
      <c r="L899" s="83">
        <f t="shared" si="139"/>
        <v>1150</v>
      </c>
      <c r="M899" s="94">
        <v>600</v>
      </c>
      <c r="N899" s="83">
        <f>'[2]FGT NON-FIRM'!P910</f>
        <v>100</v>
      </c>
      <c r="O899" s="86">
        <v>240</v>
      </c>
      <c r="P899" s="86">
        <v>40</v>
      </c>
      <c r="Q899" s="86">
        <f t="shared" si="140"/>
        <v>315</v>
      </c>
      <c r="R899" s="86">
        <f t="shared" si="141"/>
        <v>100</v>
      </c>
      <c r="S899" s="83">
        <f t="shared" si="142"/>
        <v>695</v>
      </c>
      <c r="T899" s="83">
        <f>'[2]GULFSTREAM NON-FIRM'!H910</f>
        <v>50</v>
      </c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</row>
    <row r="900" spans="1:30" ht="15.75" hidden="1" x14ac:dyDescent="0.25">
      <c r="A900" s="32">
        <v>68333</v>
      </c>
      <c r="B900" s="95">
        <f t="shared" si="144"/>
        <v>31</v>
      </c>
      <c r="C900" s="83">
        <f>'[2]FGT PRIMARY FIRM ZONE 1'!V911</f>
        <v>122.58</v>
      </c>
      <c r="D900" s="83">
        <f>'[2]FGT PRIMARY FIRM ZONE 2'!V911</f>
        <v>297.94100000000003</v>
      </c>
      <c r="E900" s="92">
        <f>'[2]FGT PRIMARY FIRM ZONE 3'!V911</f>
        <v>89.177000000000007</v>
      </c>
      <c r="F900" s="83">
        <f>'[2]FGT FIRM ZONE 3 MOBILE BAY-DES'!V911-40-60-100</f>
        <v>40.301999999999992</v>
      </c>
      <c r="G900" s="86">
        <v>40</v>
      </c>
      <c r="H900" s="83">
        <f>60+100</f>
        <v>160</v>
      </c>
      <c r="I900" s="83">
        <f t="shared" si="147"/>
        <v>0</v>
      </c>
      <c r="J900" s="86">
        <v>100</v>
      </c>
      <c r="K900" s="86">
        <v>300</v>
      </c>
      <c r="L900" s="83">
        <f t="shared" si="139"/>
        <v>1150</v>
      </c>
      <c r="M900" s="94">
        <v>600</v>
      </c>
      <c r="N900" s="83">
        <f>'[2]FGT NON-FIRM'!P911</f>
        <v>100</v>
      </c>
      <c r="O900" s="86">
        <v>240</v>
      </c>
      <c r="P900" s="86">
        <v>40</v>
      </c>
      <c r="Q900" s="86">
        <f t="shared" si="140"/>
        <v>315</v>
      </c>
      <c r="R900" s="86">
        <f t="shared" si="141"/>
        <v>100</v>
      </c>
      <c r="S900" s="83">
        <f t="shared" si="142"/>
        <v>695</v>
      </c>
      <c r="T900" s="83">
        <f>'[2]GULFSTREAM NON-FIRM'!H911</f>
        <v>50</v>
      </c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</row>
    <row r="901" spans="1:30" ht="15.75" hidden="1" x14ac:dyDescent="0.25">
      <c r="A901" s="32">
        <v>68361</v>
      </c>
      <c r="B901" s="95">
        <f t="shared" si="144"/>
        <v>28</v>
      </c>
      <c r="C901" s="83">
        <f>'[2]FGT PRIMARY FIRM ZONE 1'!V912</f>
        <v>122.58</v>
      </c>
      <c r="D901" s="83">
        <f>'[2]FGT PRIMARY FIRM ZONE 2'!V912</f>
        <v>297.94100000000003</v>
      </c>
      <c r="E901" s="92">
        <f>'[2]FGT PRIMARY FIRM ZONE 3'!V912</f>
        <v>89.177000000000007</v>
      </c>
      <c r="F901" s="83">
        <f>'[2]FGT FIRM ZONE 3 MOBILE BAY-DES'!V912-40-60-100</f>
        <v>40.301999999999992</v>
      </c>
      <c r="G901" s="86">
        <v>40</v>
      </c>
      <c r="H901" s="83">
        <f>60+100</f>
        <v>160</v>
      </c>
      <c r="I901" s="83">
        <f t="shared" si="147"/>
        <v>0</v>
      </c>
      <c r="J901" s="86">
        <v>100</v>
      </c>
      <c r="K901" s="86">
        <v>300</v>
      </c>
      <c r="L901" s="83">
        <f t="shared" si="139"/>
        <v>1150</v>
      </c>
      <c r="M901" s="94">
        <v>600</v>
      </c>
      <c r="N901" s="83">
        <f>'[2]FGT NON-FIRM'!P912</f>
        <v>100</v>
      </c>
      <c r="O901" s="86">
        <v>240</v>
      </c>
      <c r="P901" s="86">
        <v>40</v>
      </c>
      <c r="Q901" s="86">
        <f t="shared" si="140"/>
        <v>315</v>
      </c>
      <c r="R901" s="86">
        <f t="shared" si="141"/>
        <v>100</v>
      </c>
      <c r="S901" s="83">
        <f t="shared" si="142"/>
        <v>695</v>
      </c>
      <c r="T901" s="83">
        <f>'[2]GULFSTREAM NON-FIRM'!H912</f>
        <v>50</v>
      </c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</row>
    <row r="902" spans="1:30" ht="15.75" hidden="1" x14ac:dyDescent="0.25">
      <c r="A902" s="32">
        <v>68392</v>
      </c>
      <c r="B902" s="95">
        <f t="shared" si="144"/>
        <v>31</v>
      </c>
      <c r="C902" s="83">
        <f>'[2]FGT PRIMARY FIRM ZONE 1'!V913</f>
        <v>122.58</v>
      </c>
      <c r="D902" s="83">
        <f>'[2]FGT PRIMARY FIRM ZONE 2'!V913</f>
        <v>297.94100000000003</v>
      </c>
      <c r="E902" s="92">
        <f>'[2]FGT PRIMARY FIRM ZONE 3'!V913</f>
        <v>89.177000000000007</v>
      </c>
      <c r="F902" s="83">
        <f>'[2]FGT FIRM ZONE 3 MOBILE BAY-DES'!V913-40-60-100</f>
        <v>40.301999999999992</v>
      </c>
      <c r="G902" s="86">
        <v>40</v>
      </c>
      <c r="H902" s="83">
        <f>60+100</f>
        <v>160</v>
      </c>
      <c r="I902" s="83">
        <f t="shared" si="147"/>
        <v>0</v>
      </c>
      <c r="J902" s="86">
        <v>100</v>
      </c>
      <c r="K902" s="86">
        <v>300</v>
      </c>
      <c r="L902" s="83">
        <f t="shared" si="139"/>
        <v>1150</v>
      </c>
      <c r="M902" s="94">
        <v>600</v>
      </c>
      <c r="N902" s="83">
        <f>'[2]FGT NON-FIRM'!P913</f>
        <v>100</v>
      </c>
      <c r="O902" s="86">
        <v>240</v>
      </c>
      <c r="P902" s="86">
        <v>40</v>
      </c>
      <c r="Q902" s="86">
        <f t="shared" si="140"/>
        <v>315</v>
      </c>
      <c r="R902" s="86">
        <f t="shared" si="141"/>
        <v>100</v>
      </c>
      <c r="S902" s="83">
        <f t="shared" si="142"/>
        <v>695</v>
      </c>
      <c r="T902" s="83">
        <f>'[2]GULFSTREAM NON-FIRM'!H913</f>
        <v>50</v>
      </c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</row>
    <row r="903" spans="1:30" ht="15.75" hidden="1" x14ac:dyDescent="0.25">
      <c r="A903" s="32">
        <v>68422</v>
      </c>
      <c r="B903" s="95">
        <f t="shared" si="144"/>
        <v>30</v>
      </c>
      <c r="C903" s="83">
        <f>'[2]FGT PRIMARY FIRM ZONE 1'!V914</f>
        <v>141.29300000000001</v>
      </c>
      <c r="D903" s="83">
        <f>'[2]FGT PRIMARY FIRM ZONE 2'!V914</f>
        <v>267.99299999999999</v>
      </c>
      <c r="E903" s="92">
        <f>'[2]FGT PRIMARY FIRM ZONE 3'!V914</f>
        <v>115.01600000000001</v>
      </c>
      <c r="F903" s="83">
        <f>'[2]FGT FIRM ZONE 3 MOBILE BAY-DES'!V914-40-25-60-100</f>
        <v>89.698000000000036</v>
      </c>
      <c r="G903" s="86">
        <v>40</v>
      </c>
      <c r="H903" s="83">
        <f t="shared" ref="H903:H909" si="149">25+60+100</f>
        <v>185</v>
      </c>
      <c r="I903" s="83">
        <f t="shared" si="147"/>
        <v>0</v>
      </c>
      <c r="J903" s="86">
        <v>100</v>
      </c>
      <c r="K903" s="86">
        <v>300</v>
      </c>
      <c r="L903" s="83">
        <f t="shared" si="139"/>
        <v>1239</v>
      </c>
      <c r="M903" s="94">
        <v>600</v>
      </c>
      <c r="N903" s="83">
        <f>'[2]FGT NON-FIRM'!P914</f>
        <v>100</v>
      </c>
      <c r="O903" s="86">
        <v>240</v>
      </c>
      <c r="P903" s="86">
        <v>40</v>
      </c>
      <c r="Q903" s="86">
        <f t="shared" si="140"/>
        <v>315</v>
      </c>
      <c r="R903" s="86">
        <f t="shared" si="141"/>
        <v>100</v>
      </c>
      <c r="S903" s="83">
        <f t="shared" si="142"/>
        <v>695</v>
      </c>
      <c r="T903" s="83">
        <f>'[2]GULFSTREAM NON-FIRM'!H914</f>
        <v>50</v>
      </c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</row>
    <row r="904" spans="1:30" ht="15.75" hidden="1" x14ac:dyDescent="0.25">
      <c r="A904" s="32">
        <v>68453</v>
      </c>
      <c r="B904" s="95">
        <f t="shared" si="144"/>
        <v>31</v>
      </c>
      <c r="C904" s="83">
        <f>'[2]FGT PRIMARY FIRM ZONE 1'!V915</f>
        <v>194.20499999999998</v>
      </c>
      <c r="D904" s="83">
        <f>'[2]FGT PRIMARY FIRM ZONE 2'!V915</f>
        <v>267.46600000000001</v>
      </c>
      <c r="E904" s="92">
        <f>'[2]FGT PRIMARY FIRM ZONE 3'!V915</f>
        <v>133.845</v>
      </c>
      <c r="F904" s="83">
        <f>'[2]FGT FIRM ZONE 3 MOBILE BAY-DES'!V915-40-25-60-100</f>
        <v>53.48399999999998</v>
      </c>
      <c r="G904" s="86">
        <v>40</v>
      </c>
      <c r="H904" s="83">
        <f t="shared" si="149"/>
        <v>185</v>
      </c>
      <c r="I904" s="83">
        <f t="shared" si="147"/>
        <v>0</v>
      </c>
      <c r="J904" s="86">
        <v>100</v>
      </c>
      <c r="K904" s="86">
        <v>300</v>
      </c>
      <c r="L904" s="83">
        <f t="shared" si="139"/>
        <v>1274</v>
      </c>
      <c r="M904" s="94">
        <v>600</v>
      </c>
      <c r="N904" s="83">
        <f>'[2]FGT NON-FIRM'!P915</f>
        <v>75</v>
      </c>
      <c r="O904" s="86">
        <v>240</v>
      </c>
      <c r="P904" s="86">
        <v>40</v>
      </c>
      <c r="Q904" s="86">
        <f t="shared" si="140"/>
        <v>315</v>
      </c>
      <c r="R904" s="86">
        <f t="shared" si="141"/>
        <v>100</v>
      </c>
      <c r="S904" s="83">
        <f t="shared" si="142"/>
        <v>695</v>
      </c>
      <c r="T904" s="83">
        <f>'[2]GULFSTREAM NON-FIRM'!H915</f>
        <v>50</v>
      </c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</row>
    <row r="905" spans="1:30" ht="15.75" hidden="1" x14ac:dyDescent="0.25">
      <c r="A905" s="32">
        <v>68483</v>
      </c>
      <c r="B905" s="95">
        <f t="shared" si="144"/>
        <v>30</v>
      </c>
      <c r="C905" s="83">
        <f>'[2]FGT PRIMARY FIRM ZONE 1'!V916</f>
        <v>194.20499999999998</v>
      </c>
      <c r="D905" s="83">
        <f>'[2]FGT PRIMARY FIRM ZONE 2'!V916</f>
        <v>267.46600000000001</v>
      </c>
      <c r="E905" s="92">
        <f>'[2]FGT PRIMARY FIRM ZONE 3'!V916</f>
        <v>133.845</v>
      </c>
      <c r="F905" s="83">
        <f>'[2]FGT FIRM ZONE 3 MOBILE BAY-DES'!V916-40-25-60-100</f>
        <v>53.48399999999998</v>
      </c>
      <c r="G905" s="86">
        <v>40</v>
      </c>
      <c r="H905" s="83">
        <f t="shared" si="149"/>
        <v>185</v>
      </c>
      <c r="I905" s="83">
        <f t="shared" si="147"/>
        <v>0</v>
      </c>
      <c r="J905" s="86">
        <v>100</v>
      </c>
      <c r="K905" s="86">
        <v>300</v>
      </c>
      <c r="L905" s="83">
        <f t="shared" si="139"/>
        <v>1274</v>
      </c>
      <c r="M905" s="94">
        <v>600</v>
      </c>
      <c r="N905" s="83">
        <f>'[2]FGT NON-FIRM'!P916</f>
        <v>30</v>
      </c>
      <c r="O905" s="86">
        <v>240</v>
      </c>
      <c r="P905" s="86">
        <v>40</v>
      </c>
      <c r="Q905" s="86">
        <f t="shared" si="140"/>
        <v>315</v>
      </c>
      <c r="R905" s="86">
        <f t="shared" si="141"/>
        <v>100</v>
      </c>
      <c r="S905" s="83">
        <f t="shared" si="142"/>
        <v>695</v>
      </c>
      <c r="T905" s="83">
        <f>'[2]GULFSTREAM NON-FIRM'!H916</f>
        <v>50</v>
      </c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</row>
    <row r="906" spans="1:30" ht="15.75" hidden="1" x14ac:dyDescent="0.25">
      <c r="A906" s="32">
        <v>68514</v>
      </c>
      <c r="B906" s="95">
        <f t="shared" si="144"/>
        <v>31</v>
      </c>
      <c r="C906" s="83">
        <f>'[2]FGT PRIMARY FIRM ZONE 1'!V917</f>
        <v>194.20499999999998</v>
      </c>
      <c r="D906" s="83">
        <f>'[2]FGT PRIMARY FIRM ZONE 2'!V917</f>
        <v>267.46600000000001</v>
      </c>
      <c r="E906" s="92">
        <f>'[2]FGT PRIMARY FIRM ZONE 3'!V917</f>
        <v>133.845</v>
      </c>
      <c r="F906" s="83">
        <f>'[2]FGT FIRM ZONE 3 MOBILE BAY-DES'!V917-40-25-60-100</f>
        <v>53.48399999999998</v>
      </c>
      <c r="G906" s="86">
        <v>40</v>
      </c>
      <c r="H906" s="83">
        <f t="shared" si="149"/>
        <v>185</v>
      </c>
      <c r="I906" s="83">
        <f t="shared" si="147"/>
        <v>0</v>
      </c>
      <c r="J906" s="86">
        <v>100</v>
      </c>
      <c r="K906" s="86">
        <v>300</v>
      </c>
      <c r="L906" s="83">
        <f t="shared" si="139"/>
        <v>1274</v>
      </c>
      <c r="M906" s="94">
        <v>600</v>
      </c>
      <c r="N906" s="83">
        <f>'[2]FGT NON-FIRM'!P917</f>
        <v>30</v>
      </c>
      <c r="O906" s="86">
        <v>240</v>
      </c>
      <c r="P906" s="86">
        <v>40</v>
      </c>
      <c r="Q906" s="86">
        <f t="shared" si="140"/>
        <v>315</v>
      </c>
      <c r="R906" s="86">
        <f t="shared" si="141"/>
        <v>100</v>
      </c>
      <c r="S906" s="83">
        <f t="shared" si="142"/>
        <v>695</v>
      </c>
      <c r="T906" s="83">
        <f>'[2]GULFSTREAM NON-FIRM'!H917</f>
        <v>0</v>
      </c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</row>
    <row r="907" spans="1:30" ht="15.75" hidden="1" x14ac:dyDescent="0.25">
      <c r="A907" s="32">
        <v>68545</v>
      </c>
      <c r="B907" s="95">
        <f t="shared" si="144"/>
        <v>31</v>
      </c>
      <c r="C907" s="83">
        <f>'[2]FGT PRIMARY FIRM ZONE 1'!V918</f>
        <v>194.20499999999998</v>
      </c>
      <c r="D907" s="83">
        <f>'[2]FGT PRIMARY FIRM ZONE 2'!V918</f>
        <v>267.46600000000001</v>
      </c>
      <c r="E907" s="92">
        <f>'[2]FGT PRIMARY FIRM ZONE 3'!V918</f>
        <v>133.845</v>
      </c>
      <c r="F907" s="83">
        <f>'[2]FGT FIRM ZONE 3 MOBILE BAY-DES'!V918-40-25-60-100</f>
        <v>53.48399999999998</v>
      </c>
      <c r="G907" s="86">
        <v>40</v>
      </c>
      <c r="H907" s="83">
        <f t="shared" si="149"/>
        <v>185</v>
      </c>
      <c r="I907" s="83">
        <f t="shared" si="147"/>
        <v>0</v>
      </c>
      <c r="J907" s="86">
        <v>100</v>
      </c>
      <c r="K907" s="86">
        <v>300</v>
      </c>
      <c r="L907" s="83">
        <f t="shared" si="139"/>
        <v>1274</v>
      </c>
      <c r="M907" s="94">
        <v>600</v>
      </c>
      <c r="N907" s="83">
        <f>'[2]FGT NON-FIRM'!P918</f>
        <v>30</v>
      </c>
      <c r="O907" s="86">
        <v>240</v>
      </c>
      <c r="P907" s="86">
        <v>40</v>
      </c>
      <c r="Q907" s="86">
        <f t="shared" si="140"/>
        <v>315</v>
      </c>
      <c r="R907" s="86">
        <f t="shared" si="141"/>
        <v>100</v>
      </c>
      <c r="S907" s="83">
        <f t="shared" si="142"/>
        <v>695</v>
      </c>
      <c r="T907" s="83">
        <f>'[2]GULFSTREAM NON-FIRM'!H918</f>
        <v>0</v>
      </c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</row>
    <row r="908" spans="1:30" ht="15.75" hidden="1" x14ac:dyDescent="0.25">
      <c r="A908" s="32">
        <v>68575</v>
      </c>
      <c r="B908" s="95">
        <f t="shared" si="144"/>
        <v>30</v>
      </c>
      <c r="C908" s="83">
        <f>'[2]FGT PRIMARY FIRM ZONE 1'!V919</f>
        <v>194.20499999999998</v>
      </c>
      <c r="D908" s="83">
        <f>'[2]FGT PRIMARY FIRM ZONE 2'!V919</f>
        <v>267.46600000000001</v>
      </c>
      <c r="E908" s="92">
        <f>'[2]FGT PRIMARY FIRM ZONE 3'!V919</f>
        <v>133.845</v>
      </c>
      <c r="F908" s="83">
        <f>'[2]FGT FIRM ZONE 3 MOBILE BAY-DES'!V919-40-25-60-100</f>
        <v>53.48399999999998</v>
      </c>
      <c r="G908" s="86">
        <v>40</v>
      </c>
      <c r="H908" s="83">
        <f t="shared" si="149"/>
        <v>185</v>
      </c>
      <c r="I908" s="83">
        <f t="shared" si="147"/>
        <v>0</v>
      </c>
      <c r="J908" s="86">
        <v>100</v>
      </c>
      <c r="K908" s="86">
        <v>300</v>
      </c>
      <c r="L908" s="83">
        <f t="shared" si="139"/>
        <v>1274</v>
      </c>
      <c r="M908" s="94">
        <v>600</v>
      </c>
      <c r="N908" s="83">
        <f>'[2]FGT NON-FIRM'!P919</f>
        <v>30</v>
      </c>
      <c r="O908" s="86">
        <v>240</v>
      </c>
      <c r="P908" s="86">
        <v>40</v>
      </c>
      <c r="Q908" s="86">
        <f t="shared" si="140"/>
        <v>315</v>
      </c>
      <c r="R908" s="86">
        <f t="shared" si="141"/>
        <v>100</v>
      </c>
      <c r="S908" s="83">
        <f t="shared" si="142"/>
        <v>695</v>
      </c>
      <c r="T908" s="83">
        <f>'[2]GULFSTREAM NON-FIRM'!H919</f>
        <v>0</v>
      </c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</row>
    <row r="909" spans="1:30" ht="15.75" hidden="1" x14ac:dyDescent="0.25">
      <c r="A909" s="32">
        <v>68606</v>
      </c>
      <c r="B909" s="95">
        <f t="shared" si="144"/>
        <v>31</v>
      </c>
      <c r="C909" s="83">
        <f>'[2]FGT PRIMARY FIRM ZONE 1'!V920</f>
        <v>131.881</v>
      </c>
      <c r="D909" s="83">
        <f>'[2]FGT PRIMARY FIRM ZONE 2'!V920</f>
        <v>277.16699999999997</v>
      </c>
      <c r="E909" s="92">
        <f>'[2]FGT PRIMARY FIRM ZONE 3'!V920</f>
        <v>79.08</v>
      </c>
      <c r="F909" s="83">
        <f>'[2]FGT FIRM ZONE 3 MOBILE BAY-DES'!V920-40-25-60-100</f>
        <v>125.87199999999996</v>
      </c>
      <c r="G909" s="86">
        <v>40</v>
      </c>
      <c r="H909" s="83">
        <f t="shared" si="149"/>
        <v>185</v>
      </c>
      <c r="I909" s="83">
        <f t="shared" si="147"/>
        <v>0</v>
      </c>
      <c r="J909" s="86">
        <v>100</v>
      </c>
      <c r="K909" s="86">
        <v>300</v>
      </c>
      <c r="L909" s="83">
        <f t="shared" si="139"/>
        <v>1239</v>
      </c>
      <c r="M909" s="94">
        <v>600</v>
      </c>
      <c r="N909" s="83">
        <f>'[2]FGT NON-FIRM'!P920</f>
        <v>75</v>
      </c>
      <c r="O909" s="86">
        <v>240</v>
      </c>
      <c r="P909" s="86">
        <v>40</v>
      </c>
      <c r="Q909" s="86">
        <f t="shared" si="140"/>
        <v>315</v>
      </c>
      <c r="R909" s="86">
        <f t="shared" si="141"/>
        <v>100</v>
      </c>
      <c r="S909" s="83">
        <f t="shared" si="142"/>
        <v>695</v>
      </c>
      <c r="T909" s="83">
        <f>'[2]GULFSTREAM NON-FIRM'!H920</f>
        <v>0</v>
      </c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</row>
    <row r="910" spans="1:30" ht="15.75" hidden="1" x14ac:dyDescent="0.25">
      <c r="A910" s="32">
        <v>68636</v>
      </c>
      <c r="B910" s="95">
        <f t="shared" si="144"/>
        <v>30</v>
      </c>
      <c r="C910" s="83">
        <f>'[2]FGT PRIMARY FIRM ZONE 1'!V921</f>
        <v>122.58</v>
      </c>
      <c r="D910" s="83">
        <f>'[2]FGT PRIMARY FIRM ZONE 2'!V921</f>
        <v>297.94100000000003</v>
      </c>
      <c r="E910" s="92">
        <f>'[2]FGT PRIMARY FIRM ZONE 3'!V921</f>
        <v>89.177000000000007</v>
      </c>
      <c r="F910" s="83">
        <f>'[2]FGT FIRM ZONE 3 MOBILE BAY-DES'!V921-40-60-100</f>
        <v>40.301999999999992</v>
      </c>
      <c r="G910" s="86">
        <v>40</v>
      </c>
      <c r="H910" s="83">
        <f>60+100</f>
        <v>160</v>
      </c>
      <c r="I910" s="83">
        <f t="shared" si="147"/>
        <v>0</v>
      </c>
      <c r="J910" s="86">
        <v>100</v>
      </c>
      <c r="K910" s="86">
        <v>300</v>
      </c>
      <c r="L910" s="83">
        <f t="shared" si="139"/>
        <v>1150</v>
      </c>
      <c r="M910" s="94">
        <v>600</v>
      </c>
      <c r="N910" s="83">
        <f>'[2]FGT NON-FIRM'!P921</f>
        <v>100</v>
      </c>
      <c r="O910" s="86">
        <v>240</v>
      </c>
      <c r="P910" s="86">
        <v>40</v>
      </c>
      <c r="Q910" s="86">
        <f t="shared" si="140"/>
        <v>315</v>
      </c>
      <c r="R910" s="86">
        <f t="shared" si="141"/>
        <v>100</v>
      </c>
      <c r="S910" s="83">
        <f t="shared" si="142"/>
        <v>695</v>
      </c>
      <c r="T910" s="83">
        <f>'[2]GULFSTREAM NON-FIRM'!H921</f>
        <v>50</v>
      </c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</row>
    <row r="911" spans="1:30" ht="15.75" hidden="1" x14ac:dyDescent="0.25">
      <c r="A911" s="32">
        <v>68667</v>
      </c>
      <c r="B911" s="95">
        <f t="shared" si="144"/>
        <v>31</v>
      </c>
      <c r="C911" s="83">
        <f>'[2]FGT PRIMARY FIRM ZONE 1'!V922</f>
        <v>122.58</v>
      </c>
      <c r="D911" s="83">
        <f>'[2]FGT PRIMARY FIRM ZONE 2'!V922</f>
        <v>297.94100000000003</v>
      </c>
      <c r="E911" s="92">
        <f>'[2]FGT PRIMARY FIRM ZONE 3'!V922</f>
        <v>89.177000000000007</v>
      </c>
      <c r="F911" s="83">
        <f>'[2]FGT FIRM ZONE 3 MOBILE BAY-DES'!V922-40-60-100</f>
        <v>40.301999999999992</v>
      </c>
      <c r="G911" s="86">
        <v>40</v>
      </c>
      <c r="H911" s="83">
        <f>60+100</f>
        <v>160</v>
      </c>
      <c r="I911" s="83">
        <f t="shared" si="147"/>
        <v>0</v>
      </c>
      <c r="J911" s="86">
        <v>100</v>
      </c>
      <c r="K911" s="86">
        <v>300</v>
      </c>
      <c r="L911" s="83">
        <f t="shared" si="139"/>
        <v>1150</v>
      </c>
      <c r="M911" s="94">
        <v>600</v>
      </c>
      <c r="N911" s="83">
        <f>'[2]FGT NON-FIRM'!P922</f>
        <v>100</v>
      </c>
      <c r="O911" s="86">
        <v>240</v>
      </c>
      <c r="P911" s="86">
        <v>40</v>
      </c>
      <c r="Q911" s="86">
        <f t="shared" si="140"/>
        <v>315</v>
      </c>
      <c r="R911" s="86">
        <f t="shared" si="141"/>
        <v>100</v>
      </c>
      <c r="S911" s="83">
        <f t="shared" si="142"/>
        <v>695</v>
      </c>
      <c r="T911" s="83">
        <f>'[2]GULFSTREAM NON-FIRM'!H922</f>
        <v>50</v>
      </c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</row>
    <row r="912" spans="1:30" ht="15.75" hidden="1" x14ac:dyDescent="0.25">
      <c r="A912" s="32">
        <v>68698</v>
      </c>
      <c r="B912" s="95">
        <f t="shared" si="144"/>
        <v>31</v>
      </c>
      <c r="C912" s="83">
        <f>'[2]FGT PRIMARY FIRM ZONE 1'!V923</f>
        <v>122.58</v>
      </c>
      <c r="D912" s="83">
        <f>'[2]FGT PRIMARY FIRM ZONE 2'!V923</f>
        <v>297.94100000000003</v>
      </c>
      <c r="E912" s="92">
        <f>'[2]FGT PRIMARY FIRM ZONE 3'!V923</f>
        <v>89.177000000000007</v>
      </c>
      <c r="F912" s="83">
        <f>'[2]FGT FIRM ZONE 3 MOBILE BAY-DES'!V923-40-60-100</f>
        <v>40.301999999999992</v>
      </c>
      <c r="G912" s="86">
        <v>40</v>
      </c>
      <c r="H912" s="83">
        <f>60+100</f>
        <v>160</v>
      </c>
      <c r="I912" s="83">
        <f t="shared" si="147"/>
        <v>0</v>
      </c>
      <c r="J912" s="86">
        <v>100</v>
      </c>
      <c r="K912" s="86">
        <v>300</v>
      </c>
      <c r="L912" s="83">
        <f t="shared" si="139"/>
        <v>1150</v>
      </c>
      <c r="M912" s="94">
        <v>600</v>
      </c>
      <c r="N912" s="83">
        <f>'[2]FGT NON-FIRM'!P923</f>
        <v>100</v>
      </c>
      <c r="O912" s="86">
        <v>240</v>
      </c>
      <c r="P912" s="86">
        <v>40</v>
      </c>
      <c r="Q912" s="86">
        <f t="shared" si="140"/>
        <v>315</v>
      </c>
      <c r="R912" s="86">
        <f t="shared" si="141"/>
        <v>100</v>
      </c>
      <c r="S912" s="83">
        <f t="shared" si="142"/>
        <v>695</v>
      </c>
      <c r="T912" s="83">
        <f>'[2]GULFSTREAM NON-FIRM'!H923</f>
        <v>50</v>
      </c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</row>
    <row r="913" spans="1:30" ht="15.75" hidden="1" x14ac:dyDescent="0.25">
      <c r="A913" s="32">
        <v>68727</v>
      </c>
      <c r="B913" s="95">
        <f t="shared" si="144"/>
        <v>29</v>
      </c>
      <c r="C913" s="83">
        <f>'[2]FGT PRIMARY FIRM ZONE 1'!V924</f>
        <v>122.58</v>
      </c>
      <c r="D913" s="83">
        <f>'[2]FGT PRIMARY FIRM ZONE 2'!V924</f>
        <v>297.94100000000003</v>
      </c>
      <c r="E913" s="92">
        <f>'[2]FGT PRIMARY FIRM ZONE 3'!V924</f>
        <v>89.177000000000007</v>
      </c>
      <c r="F913" s="83">
        <f>'[2]FGT FIRM ZONE 3 MOBILE BAY-DES'!V924-40-60-100</f>
        <v>40.301999999999992</v>
      </c>
      <c r="G913" s="86">
        <v>40</v>
      </c>
      <c r="H913" s="83">
        <f>60+100</f>
        <v>160</v>
      </c>
      <c r="I913" s="83">
        <f t="shared" si="147"/>
        <v>0</v>
      </c>
      <c r="J913" s="86">
        <v>100</v>
      </c>
      <c r="K913" s="86">
        <v>300</v>
      </c>
      <c r="L913" s="83">
        <f t="shared" si="139"/>
        <v>1150</v>
      </c>
      <c r="M913" s="94">
        <v>600</v>
      </c>
      <c r="N913" s="83">
        <f>'[2]FGT NON-FIRM'!P924</f>
        <v>100</v>
      </c>
      <c r="O913" s="86">
        <v>240</v>
      </c>
      <c r="P913" s="86">
        <v>40</v>
      </c>
      <c r="Q913" s="86">
        <f t="shared" si="140"/>
        <v>315</v>
      </c>
      <c r="R913" s="86">
        <f t="shared" si="141"/>
        <v>100</v>
      </c>
      <c r="S913" s="83">
        <f t="shared" si="142"/>
        <v>695</v>
      </c>
      <c r="T913" s="83">
        <f>'[2]GULFSTREAM NON-FIRM'!H924</f>
        <v>50</v>
      </c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</row>
    <row r="914" spans="1:30" ht="15.75" hidden="1" x14ac:dyDescent="0.25">
      <c r="A914" s="32">
        <v>68758</v>
      </c>
      <c r="B914" s="95">
        <f t="shared" si="144"/>
        <v>31</v>
      </c>
      <c r="C914" s="83">
        <f>'[2]FGT PRIMARY FIRM ZONE 1'!V925</f>
        <v>122.58</v>
      </c>
      <c r="D914" s="83">
        <f>'[2]FGT PRIMARY FIRM ZONE 2'!V925</f>
        <v>297.94100000000003</v>
      </c>
      <c r="E914" s="92">
        <f>'[2]FGT PRIMARY FIRM ZONE 3'!V925</f>
        <v>89.177000000000007</v>
      </c>
      <c r="F914" s="83">
        <f>'[2]FGT FIRM ZONE 3 MOBILE BAY-DES'!V925-40-60-100</f>
        <v>40.301999999999992</v>
      </c>
      <c r="G914" s="86">
        <v>40</v>
      </c>
      <c r="H914" s="83">
        <f>60+100</f>
        <v>160</v>
      </c>
      <c r="I914" s="83">
        <f t="shared" si="147"/>
        <v>0</v>
      </c>
      <c r="J914" s="86">
        <v>100</v>
      </c>
      <c r="K914" s="86">
        <v>300</v>
      </c>
      <c r="L914" s="83">
        <f t="shared" si="139"/>
        <v>1150</v>
      </c>
      <c r="M914" s="94">
        <v>600</v>
      </c>
      <c r="N914" s="83">
        <f>'[2]FGT NON-FIRM'!P925</f>
        <v>100</v>
      </c>
      <c r="O914" s="86">
        <v>240</v>
      </c>
      <c r="P914" s="86">
        <v>40</v>
      </c>
      <c r="Q914" s="86">
        <f t="shared" si="140"/>
        <v>315</v>
      </c>
      <c r="R914" s="86">
        <f t="shared" si="141"/>
        <v>100</v>
      </c>
      <c r="S914" s="83">
        <f t="shared" si="142"/>
        <v>695</v>
      </c>
      <c r="T914" s="83">
        <f>'[2]GULFSTREAM NON-FIRM'!H925</f>
        <v>50</v>
      </c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</row>
    <row r="915" spans="1:30" ht="15.75" hidden="1" x14ac:dyDescent="0.25">
      <c r="A915" s="32">
        <v>68788</v>
      </c>
      <c r="B915" s="95">
        <f t="shared" si="144"/>
        <v>30</v>
      </c>
      <c r="C915" s="83">
        <f>'[2]FGT PRIMARY FIRM ZONE 1'!V926</f>
        <v>141.29300000000001</v>
      </c>
      <c r="D915" s="83">
        <f>'[2]FGT PRIMARY FIRM ZONE 2'!V926</f>
        <v>267.99299999999999</v>
      </c>
      <c r="E915" s="92">
        <f>'[2]FGT PRIMARY FIRM ZONE 3'!V926</f>
        <v>115.01600000000001</v>
      </c>
      <c r="F915" s="83">
        <f>'[2]FGT FIRM ZONE 3 MOBILE BAY-DES'!V926-40-25-60-100</f>
        <v>89.698000000000036</v>
      </c>
      <c r="G915" s="86">
        <v>40</v>
      </c>
      <c r="H915" s="83">
        <f t="shared" ref="H915:H921" si="150">25+60+100</f>
        <v>185</v>
      </c>
      <c r="I915" s="83">
        <f t="shared" si="147"/>
        <v>0</v>
      </c>
      <c r="J915" s="86">
        <v>100</v>
      </c>
      <c r="K915" s="86">
        <v>300</v>
      </c>
      <c r="L915" s="83">
        <f t="shared" si="139"/>
        <v>1239</v>
      </c>
      <c r="M915" s="94">
        <v>600</v>
      </c>
      <c r="N915" s="83">
        <f>'[2]FGT NON-FIRM'!P926</f>
        <v>100</v>
      </c>
      <c r="O915" s="86">
        <v>240</v>
      </c>
      <c r="P915" s="86">
        <v>40</v>
      </c>
      <c r="Q915" s="86">
        <f t="shared" si="140"/>
        <v>315</v>
      </c>
      <c r="R915" s="86">
        <f t="shared" si="141"/>
        <v>100</v>
      </c>
      <c r="S915" s="83">
        <f t="shared" si="142"/>
        <v>695</v>
      </c>
      <c r="T915" s="83">
        <f>'[2]GULFSTREAM NON-FIRM'!H926</f>
        <v>50</v>
      </c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</row>
    <row r="916" spans="1:30" ht="15.75" hidden="1" x14ac:dyDescent="0.25">
      <c r="A916" s="32">
        <v>68819</v>
      </c>
      <c r="B916" s="95">
        <f t="shared" si="144"/>
        <v>31</v>
      </c>
      <c r="C916" s="83">
        <f>'[2]FGT PRIMARY FIRM ZONE 1'!V927</f>
        <v>194.20499999999998</v>
      </c>
      <c r="D916" s="83">
        <f>'[2]FGT PRIMARY FIRM ZONE 2'!V927</f>
        <v>267.46600000000001</v>
      </c>
      <c r="E916" s="92">
        <f>'[2]FGT PRIMARY FIRM ZONE 3'!V927</f>
        <v>133.845</v>
      </c>
      <c r="F916" s="83">
        <f>'[2]FGT FIRM ZONE 3 MOBILE BAY-DES'!V927-40-25-60-100</f>
        <v>53.48399999999998</v>
      </c>
      <c r="G916" s="86">
        <v>40</v>
      </c>
      <c r="H916" s="83">
        <f t="shared" si="150"/>
        <v>185</v>
      </c>
      <c r="I916" s="83">
        <f t="shared" si="147"/>
        <v>0</v>
      </c>
      <c r="J916" s="86">
        <v>100</v>
      </c>
      <c r="K916" s="86">
        <v>300</v>
      </c>
      <c r="L916" s="83">
        <f t="shared" ref="L916:L979" si="151">SUM(C916:K916)</f>
        <v>1274</v>
      </c>
      <c r="M916" s="94">
        <v>600</v>
      </c>
      <c r="N916" s="83">
        <f>'[2]FGT NON-FIRM'!P927</f>
        <v>75</v>
      </c>
      <c r="O916" s="86">
        <v>240</v>
      </c>
      <c r="P916" s="86">
        <v>40</v>
      </c>
      <c r="Q916" s="86">
        <f t="shared" ref="Q916:Q979" si="152">695-R916-O916-P916</f>
        <v>315</v>
      </c>
      <c r="R916" s="86">
        <f t="shared" ref="R916:R979" si="153">200-J916</f>
        <v>100</v>
      </c>
      <c r="S916" s="83">
        <f t="shared" ref="S916:S979" si="154">SUM(O916:R916)</f>
        <v>695</v>
      </c>
      <c r="T916" s="83">
        <f>'[2]GULFSTREAM NON-FIRM'!H927</f>
        <v>50</v>
      </c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</row>
    <row r="917" spans="1:30" ht="15.75" hidden="1" x14ac:dyDescent="0.25">
      <c r="A917" s="32">
        <v>68849</v>
      </c>
      <c r="B917" s="95">
        <f t="shared" si="144"/>
        <v>30</v>
      </c>
      <c r="C917" s="83">
        <f>'[2]FGT PRIMARY FIRM ZONE 1'!V928</f>
        <v>194.20499999999998</v>
      </c>
      <c r="D917" s="83">
        <f>'[2]FGT PRIMARY FIRM ZONE 2'!V928</f>
        <v>267.46600000000001</v>
      </c>
      <c r="E917" s="92">
        <f>'[2]FGT PRIMARY FIRM ZONE 3'!V928</f>
        <v>133.845</v>
      </c>
      <c r="F917" s="83">
        <f>'[2]FGT FIRM ZONE 3 MOBILE BAY-DES'!V928-40-25-60-100</f>
        <v>53.48399999999998</v>
      </c>
      <c r="G917" s="86">
        <v>40</v>
      </c>
      <c r="H917" s="83">
        <f t="shared" si="150"/>
        <v>185</v>
      </c>
      <c r="I917" s="83">
        <f t="shared" si="147"/>
        <v>0</v>
      </c>
      <c r="J917" s="86">
        <v>100</v>
      </c>
      <c r="K917" s="86">
        <v>300</v>
      </c>
      <c r="L917" s="83">
        <f t="shared" si="151"/>
        <v>1274</v>
      </c>
      <c r="M917" s="94">
        <v>600</v>
      </c>
      <c r="N917" s="83">
        <f>'[2]FGT NON-FIRM'!P928</f>
        <v>30</v>
      </c>
      <c r="O917" s="86">
        <v>240</v>
      </c>
      <c r="P917" s="86">
        <v>40</v>
      </c>
      <c r="Q917" s="86">
        <f t="shared" si="152"/>
        <v>315</v>
      </c>
      <c r="R917" s="86">
        <f t="shared" si="153"/>
        <v>100</v>
      </c>
      <c r="S917" s="83">
        <f t="shared" si="154"/>
        <v>695</v>
      </c>
      <c r="T917" s="83">
        <f>'[2]GULFSTREAM NON-FIRM'!H928</f>
        <v>50</v>
      </c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</row>
    <row r="918" spans="1:30" ht="15.75" hidden="1" x14ac:dyDescent="0.25">
      <c r="A918" s="32">
        <v>68880</v>
      </c>
      <c r="B918" s="95">
        <f t="shared" si="144"/>
        <v>31</v>
      </c>
      <c r="C918" s="83">
        <f>'[2]FGT PRIMARY FIRM ZONE 1'!V929</f>
        <v>194.20499999999998</v>
      </c>
      <c r="D918" s="83">
        <f>'[2]FGT PRIMARY FIRM ZONE 2'!V929</f>
        <v>267.46600000000001</v>
      </c>
      <c r="E918" s="92">
        <f>'[2]FGT PRIMARY FIRM ZONE 3'!V929</f>
        <v>133.845</v>
      </c>
      <c r="F918" s="83">
        <f>'[2]FGT FIRM ZONE 3 MOBILE BAY-DES'!V929-40-25-60-100</f>
        <v>53.48399999999998</v>
      </c>
      <c r="G918" s="86">
        <v>40</v>
      </c>
      <c r="H918" s="83">
        <f t="shared" si="150"/>
        <v>185</v>
      </c>
      <c r="I918" s="83">
        <f t="shared" si="147"/>
        <v>0</v>
      </c>
      <c r="J918" s="86">
        <v>100</v>
      </c>
      <c r="K918" s="86">
        <v>300</v>
      </c>
      <c r="L918" s="83">
        <f t="shared" si="151"/>
        <v>1274</v>
      </c>
      <c r="M918" s="94">
        <v>600</v>
      </c>
      <c r="N918" s="83">
        <f>'[2]FGT NON-FIRM'!P929</f>
        <v>30</v>
      </c>
      <c r="O918" s="86">
        <v>240</v>
      </c>
      <c r="P918" s="86">
        <v>40</v>
      </c>
      <c r="Q918" s="86">
        <f t="shared" si="152"/>
        <v>315</v>
      </c>
      <c r="R918" s="86">
        <f t="shared" si="153"/>
        <v>100</v>
      </c>
      <c r="S918" s="83">
        <f t="shared" si="154"/>
        <v>695</v>
      </c>
      <c r="T918" s="83">
        <f>'[2]GULFSTREAM NON-FIRM'!H929</f>
        <v>0</v>
      </c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</row>
    <row r="919" spans="1:30" ht="15.75" hidden="1" x14ac:dyDescent="0.25">
      <c r="A919" s="32">
        <v>68911</v>
      </c>
      <c r="B919" s="95">
        <f t="shared" si="144"/>
        <v>31</v>
      </c>
      <c r="C919" s="83">
        <f>'[2]FGT PRIMARY FIRM ZONE 1'!V930</f>
        <v>194.20499999999998</v>
      </c>
      <c r="D919" s="83">
        <f>'[2]FGT PRIMARY FIRM ZONE 2'!V930</f>
        <v>267.46600000000001</v>
      </c>
      <c r="E919" s="92">
        <f>'[2]FGT PRIMARY FIRM ZONE 3'!V930</f>
        <v>133.845</v>
      </c>
      <c r="F919" s="83">
        <f>'[2]FGT FIRM ZONE 3 MOBILE BAY-DES'!V930-40-25-60-100</f>
        <v>53.48399999999998</v>
      </c>
      <c r="G919" s="86">
        <v>40</v>
      </c>
      <c r="H919" s="83">
        <f t="shared" si="150"/>
        <v>185</v>
      </c>
      <c r="I919" s="83">
        <f t="shared" si="147"/>
        <v>0</v>
      </c>
      <c r="J919" s="86">
        <v>100</v>
      </c>
      <c r="K919" s="86">
        <v>300</v>
      </c>
      <c r="L919" s="83">
        <f t="shared" si="151"/>
        <v>1274</v>
      </c>
      <c r="M919" s="94">
        <v>600</v>
      </c>
      <c r="N919" s="83">
        <f>'[2]FGT NON-FIRM'!P930</f>
        <v>30</v>
      </c>
      <c r="O919" s="86">
        <v>240</v>
      </c>
      <c r="P919" s="86">
        <v>40</v>
      </c>
      <c r="Q919" s="86">
        <f t="shared" si="152"/>
        <v>315</v>
      </c>
      <c r="R919" s="86">
        <f t="shared" si="153"/>
        <v>100</v>
      </c>
      <c r="S919" s="83">
        <f t="shared" si="154"/>
        <v>695</v>
      </c>
      <c r="T919" s="83">
        <f>'[2]GULFSTREAM NON-FIRM'!H930</f>
        <v>0</v>
      </c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</row>
    <row r="920" spans="1:30" ht="15.75" hidden="1" x14ac:dyDescent="0.25">
      <c r="A920" s="32">
        <v>68941</v>
      </c>
      <c r="B920" s="95">
        <f t="shared" ref="B920:B983" si="155">EOMONTH(A920,0)-EOMONTH(A920,-1)</f>
        <v>30</v>
      </c>
      <c r="C920" s="83">
        <f>'[2]FGT PRIMARY FIRM ZONE 1'!V931</f>
        <v>194.20499999999998</v>
      </c>
      <c r="D920" s="83">
        <f>'[2]FGT PRIMARY FIRM ZONE 2'!V931</f>
        <v>267.46600000000001</v>
      </c>
      <c r="E920" s="92">
        <f>'[2]FGT PRIMARY FIRM ZONE 3'!V931</f>
        <v>133.845</v>
      </c>
      <c r="F920" s="83">
        <f>'[2]FGT FIRM ZONE 3 MOBILE BAY-DES'!V931-40-25-60-100</f>
        <v>53.48399999999998</v>
      </c>
      <c r="G920" s="86">
        <v>40</v>
      </c>
      <c r="H920" s="83">
        <f t="shared" si="150"/>
        <v>185</v>
      </c>
      <c r="I920" s="83">
        <f t="shared" si="147"/>
        <v>0</v>
      </c>
      <c r="J920" s="86">
        <v>100</v>
      </c>
      <c r="K920" s="86">
        <v>300</v>
      </c>
      <c r="L920" s="83">
        <f t="shared" si="151"/>
        <v>1274</v>
      </c>
      <c r="M920" s="94">
        <v>600</v>
      </c>
      <c r="N920" s="83">
        <f>'[2]FGT NON-FIRM'!P931</f>
        <v>30</v>
      </c>
      <c r="O920" s="86">
        <v>240</v>
      </c>
      <c r="P920" s="86">
        <v>40</v>
      </c>
      <c r="Q920" s="86">
        <f t="shared" si="152"/>
        <v>315</v>
      </c>
      <c r="R920" s="86">
        <f t="shared" si="153"/>
        <v>100</v>
      </c>
      <c r="S920" s="83">
        <f t="shared" si="154"/>
        <v>695</v>
      </c>
      <c r="T920" s="83">
        <f>'[2]GULFSTREAM NON-FIRM'!H931</f>
        <v>0</v>
      </c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</row>
    <row r="921" spans="1:30" ht="15.75" hidden="1" x14ac:dyDescent="0.25">
      <c r="A921" s="32">
        <v>68972</v>
      </c>
      <c r="B921" s="95">
        <f t="shared" si="155"/>
        <v>31</v>
      </c>
      <c r="C921" s="83">
        <f>'[2]FGT PRIMARY FIRM ZONE 1'!V932</f>
        <v>131.881</v>
      </c>
      <c r="D921" s="83">
        <f>'[2]FGT PRIMARY FIRM ZONE 2'!V932</f>
        <v>277.16699999999997</v>
      </c>
      <c r="E921" s="92">
        <f>'[2]FGT PRIMARY FIRM ZONE 3'!V932</f>
        <v>79.08</v>
      </c>
      <c r="F921" s="83">
        <f>'[2]FGT FIRM ZONE 3 MOBILE BAY-DES'!V932-40-25-60-100</f>
        <v>125.87199999999996</v>
      </c>
      <c r="G921" s="86">
        <v>40</v>
      </c>
      <c r="H921" s="83">
        <f t="shared" si="150"/>
        <v>185</v>
      </c>
      <c r="I921" s="83">
        <f t="shared" si="147"/>
        <v>0</v>
      </c>
      <c r="J921" s="86">
        <v>100</v>
      </c>
      <c r="K921" s="86">
        <v>300</v>
      </c>
      <c r="L921" s="83">
        <f t="shared" si="151"/>
        <v>1239</v>
      </c>
      <c r="M921" s="94">
        <v>600</v>
      </c>
      <c r="N921" s="83">
        <f>'[2]FGT NON-FIRM'!P932</f>
        <v>75</v>
      </c>
      <c r="O921" s="86">
        <v>240</v>
      </c>
      <c r="P921" s="86">
        <v>40</v>
      </c>
      <c r="Q921" s="86">
        <f t="shared" si="152"/>
        <v>315</v>
      </c>
      <c r="R921" s="86">
        <f t="shared" si="153"/>
        <v>100</v>
      </c>
      <c r="S921" s="83">
        <f t="shared" si="154"/>
        <v>695</v>
      </c>
      <c r="T921" s="83">
        <f>'[2]GULFSTREAM NON-FIRM'!H932</f>
        <v>0</v>
      </c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</row>
    <row r="922" spans="1:30" ht="15.75" hidden="1" x14ac:dyDescent="0.25">
      <c r="A922" s="32">
        <v>69002</v>
      </c>
      <c r="B922" s="95">
        <f t="shared" si="155"/>
        <v>30</v>
      </c>
      <c r="C922" s="83">
        <f>'[2]FGT PRIMARY FIRM ZONE 1'!V933</f>
        <v>122.58</v>
      </c>
      <c r="D922" s="83">
        <f>'[2]FGT PRIMARY FIRM ZONE 2'!V933</f>
        <v>297.94100000000003</v>
      </c>
      <c r="E922" s="92">
        <f>'[2]FGT PRIMARY FIRM ZONE 3'!V933</f>
        <v>89.177000000000007</v>
      </c>
      <c r="F922" s="83">
        <f>'[2]FGT FIRM ZONE 3 MOBILE BAY-DES'!V933-40-60-100</f>
        <v>40.301999999999992</v>
      </c>
      <c r="G922" s="86">
        <v>40</v>
      </c>
      <c r="H922" s="83">
        <f>60+100</f>
        <v>160</v>
      </c>
      <c r="I922" s="83">
        <f t="shared" si="147"/>
        <v>0</v>
      </c>
      <c r="J922" s="86">
        <v>100</v>
      </c>
      <c r="K922" s="86">
        <v>300</v>
      </c>
      <c r="L922" s="83">
        <f t="shared" si="151"/>
        <v>1150</v>
      </c>
      <c r="M922" s="94">
        <v>600</v>
      </c>
      <c r="N922" s="83">
        <f>'[2]FGT NON-FIRM'!P933</f>
        <v>100</v>
      </c>
      <c r="O922" s="86">
        <v>240</v>
      </c>
      <c r="P922" s="86">
        <v>40</v>
      </c>
      <c r="Q922" s="86">
        <f t="shared" si="152"/>
        <v>315</v>
      </c>
      <c r="R922" s="86">
        <f t="shared" si="153"/>
        <v>100</v>
      </c>
      <c r="S922" s="83">
        <f t="shared" si="154"/>
        <v>695</v>
      </c>
      <c r="T922" s="83">
        <f>'[2]GULFSTREAM NON-FIRM'!H933</f>
        <v>50</v>
      </c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</row>
    <row r="923" spans="1:30" ht="15.75" hidden="1" x14ac:dyDescent="0.25">
      <c r="A923" s="32">
        <v>69033</v>
      </c>
      <c r="B923" s="95">
        <f t="shared" si="155"/>
        <v>31</v>
      </c>
      <c r="C923" s="83">
        <f>'[2]FGT PRIMARY FIRM ZONE 1'!V934</f>
        <v>122.58</v>
      </c>
      <c r="D923" s="83">
        <f>'[2]FGT PRIMARY FIRM ZONE 2'!V934</f>
        <v>297.94100000000003</v>
      </c>
      <c r="E923" s="92">
        <f>'[2]FGT PRIMARY FIRM ZONE 3'!V934</f>
        <v>89.177000000000007</v>
      </c>
      <c r="F923" s="83">
        <f>'[2]FGT FIRM ZONE 3 MOBILE BAY-DES'!V934-40-60-100</f>
        <v>40.301999999999992</v>
      </c>
      <c r="G923" s="86">
        <v>40</v>
      </c>
      <c r="H923" s="83">
        <f>60+100</f>
        <v>160</v>
      </c>
      <c r="I923" s="83">
        <f t="shared" si="147"/>
        <v>0</v>
      </c>
      <c r="J923" s="86">
        <v>100</v>
      </c>
      <c r="K923" s="86">
        <v>300</v>
      </c>
      <c r="L923" s="83">
        <f t="shared" si="151"/>
        <v>1150</v>
      </c>
      <c r="M923" s="94">
        <v>600</v>
      </c>
      <c r="N923" s="83">
        <f>'[2]FGT NON-FIRM'!P934</f>
        <v>100</v>
      </c>
      <c r="O923" s="86">
        <v>240</v>
      </c>
      <c r="P923" s="86">
        <v>40</v>
      </c>
      <c r="Q923" s="86">
        <f t="shared" si="152"/>
        <v>315</v>
      </c>
      <c r="R923" s="86">
        <f t="shared" si="153"/>
        <v>100</v>
      </c>
      <c r="S923" s="83">
        <f t="shared" si="154"/>
        <v>695</v>
      </c>
      <c r="T923" s="83">
        <f>'[2]GULFSTREAM NON-FIRM'!H934</f>
        <v>50</v>
      </c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</row>
    <row r="924" spans="1:30" ht="15.75" hidden="1" x14ac:dyDescent="0.25">
      <c r="A924" s="32">
        <v>69064</v>
      </c>
      <c r="B924" s="95">
        <f t="shared" si="155"/>
        <v>31</v>
      </c>
      <c r="C924" s="83">
        <f>'[2]FGT PRIMARY FIRM ZONE 1'!V935</f>
        <v>122.58</v>
      </c>
      <c r="D924" s="83">
        <f>'[2]FGT PRIMARY FIRM ZONE 2'!V935</f>
        <v>297.94100000000003</v>
      </c>
      <c r="E924" s="92">
        <f>'[2]FGT PRIMARY FIRM ZONE 3'!V935</f>
        <v>89.177000000000007</v>
      </c>
      <c r="F924" s="83">
        <f>'[2]FGT FIRM ZONE 3 MOBILE BAY-DES'!V935-40-60-100</f>
        <v>40.301999999999992</v>
      </c>
      <c r="G924" s="86">
        <v>40</v>
      </c>
      <c r="H924" s="83">
        <f>60+100</f>
        <v>160</v>
      </c>
      <c r="I924" s="83">
        <f t="shared" si="147"/>
        <v>0</v>
      </c>
      <c r="J924" s="86">
        <v>100</v>
      </c>
      <c r="K924" s="86">
        <v>300</v>
      </c>
      <c r="L924" s="83">
        <f t="shared" si="151"/>
        <v>1150</v>
      </c>
      <c r="M924" s="94">
        <v>600</v>
      </c>
      <c r="N924" s="83">
        <f>'[2]FGT NON-FIRM'!P935</f>
        <v>100</v>
      </c>
      <c r="O924" s="86">
        <v>240</v>
      </c>
      <c r="P924" s="86">
        <v>40</v>
      </c>
      <c r="Q924" s="86">
        <f t="shared" si="152"/>
        <v>315</v>
      </c>
      <c r="R924" s="86">
        <f t="shared" si="153"/>
        <v>100</v>
      </c>
      <c r="S924" s="83">
        <f t="shared" si="154"/>
        <v>695</v>
      </c>
      <c r="T924" s="83">
        <f>'[2]GULFSTREAM NON-FIRM'!H935</f>
        <v>50</v>
      </c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</row>
    <row r="925" spans="1:30" ht="15.75" hidden="1" x14ac:dyDescent="0.25">
      <c r="A925" s="32">
        <v>69092</v>
      </c>
      <c r="B925" s="95">
        <f t="shared" si="155"/>
        <v>28</v>
      </c>
      <c r="C925" s="83">
        <f>'[2]FGT PRIMARY FIRM ZONE 1'!V936</f>
        <v>122.58</v>
      </c>
      <c r="D925" s="83">
        <f>'[2]FGT PRIMARY FIRM ZONE 2'!V936</f>
        <v>297.94100000000003</v>
      </c>
      <c r="E925" s="92">
        <f>'[2]FGT PRIMARY FIRM ZONE 3'!V936</f>
        <v>89.177000000000007</v>
      </c>
      <c r="F925" s="83">
        <f>'[2]FGT FIRM ZONE 3 MOBILE BAY-DES'!V936-40-60-100</f>
        <v>40.301999999999992</v>
      </c>
      <c r="G925" s="86">
        <v>40</v>
      </c>
      <c r="H925" s="83">
        <f>60+100</f>
        <v>160</v>
      </c>
      <c r="I925" s="83">
        <f t="shared" si="147"/>
        <v>0</v>
      </c>
      <c r="J925" s="86">
        <v>100</v>
      </c>
      <c r="K925" s="86">
        <v>300</v>
      </c>
      <c r="L925" s="83">
        <f t="shared" si="151"/>
        <v>1150</v>
      </c>
      <c r="M925" s="94">
        <v>600</v>
      </c>
      <c r="N925" s="83">
        <f>'[2]FGT NON-FIRM'!P936</f>
        <v>100</v>
      </c>
      <c r="O925" s="86">
        <v>240</v>
      </c>
      <c r="P925" s="86">
        <v>40</v>
      </c>
      <c r="Q925" s="86">
        <f t="shared" si="152"/>
        <v>315</v>
      </c>
      <c r="R925" s="86">
        <f t="shared" si="153"/>
        <v>100</v>
      </c>
      <c r="S925" s="83">
        <f t="shared" si="154"/>
        <v>695</v>
      </c>
      <c r="T925" s="83">
        <f>'[2]GULFSTREAM NON-FIRM'!H936</f>
        <v>50</v>
      </c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</row>
    <row r="926" spans="1:30" ht="15.75" hidden="1" x14ac:dyDescent="0.25">
      <c r="A926" s="32">
        <v>69123</v>
      </c>
      <c r="B926" s="95">
        <f t="shared" si="155"/>
        <v>31</v>
      </c>
      <c r="C926" s="83">
        <f>'[2]FGT PRIMARY FIRM ZONE 1'!V937</f>
        <v>122.58</v>
      </c>
      <c r="D926" s="83">
        <f>'[2]FGT PRIMARY FIRM ZONE 2'!V937</f>
        <v>297.94100000000003</v>
      </c>
      <c r="E926" s="92">
        <f>'[2]FGT PRIMARY FIRM ZONE 3'!V937</f>
        <v>89.177000000000007</v>
      </c>
      <c r="F926" s="83">
        <f>'[2]FGT FIRM ZONE 3 MOBILE BAY-DES'!V937-40-60-100</f>
        <v>40.301999999999992</v>
      </c>
      <c r="G926" s="86">
        <v>40</v>
      </c>
      <c r="H926" s="83">
        <f>60+100</f>
        <v>160</v>
      </c>
      <c r="I926" s="83">
        <f t="shared" si="147"/>
        <v>0</v>
      </c>
      <c r="J926" s="86">
        <v>100</v>
      </c>
      <c r="K926" s="86">
        <v>300</v>
      </c>
      <c r="L926" s="83">
        <f t="shared" si="151"/>
        <v>1150</v>
      </c>
      <c r="M926" s="94">
        <v>600</v>
      </c>
      <c r="N926" s="83">
        <f>'[2]FGT NON-FIRM'!P937</f>
        <v>100</v>
      </c>
      <c r="O926" s="86">
        <v>240</v>
      </c>
      <c r="P926" s="86">
        <v>40</v>
      </c>
      <c r="Q926" s="86">
        <f t="shared" si="152"/>
        <v>315</v>
      </c>
      <c r="R926" s="86">
        <f t="shared" si="153"/>
        <v>100</v>
      </c>
      <c r="S926" s="83">
        <f t="shared" si="154"/>
        <v>695</v>
      </c>
      <c r="T926" s="83">
        <f>'[2]GULFSTREAM NON-FIRM'!H937</f>
        <v>50</v>
      </c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</row>
    <row r="927" spans="1:30" ht="15.75" hidden="1" x14ac:dyDescent="0.25">
      <c r="A927" s="32">
        <v>69153</v>
      </c>
      <c r="B927" s="95">
        <f t="shared" si="155"/>
        <v>30</v>
      </c>
      <c r="C927" s="83">
        <f>'[2]FGT PRIMARY FIRM ZONE 1'!V938</f>
        <v>141.29300000000001</v>
      </c>
      <c r="D927" s="83">
        <f>'[2]FGT PRIMARY FIRM ZONE 2'!V938</f>
        <v>267.99299999999999</v>
      </c>
      <c r="E927" s="92">
        <f>'[2]FGT PRIMARY FIRM ZONE 3'!V938</f>
        <v>115.01600000000001</v>
      </c>
      <c r="F927" s="83">
        <f>'[2]FGT FIRM ZONE 3 MOBILE BAY-DES'!V938-40-25-60-100</f>
        <v>89.698000000000036</v>
      </c>
      <c r="G927" s="86">
        <v>40</v>
      </c>
      <c r="H927" s="83">
        <f t="shared" ref="H927:H933" si="156">25+60+100</f>
        <v>185</v>
      </c>
      <c r="I927" s="83">
        <f t="shared" si="147"/>
        <v>0</v>
      </c>
      <c r="J927" s="86">
        <v>100</v>
      </c>
      <c r="K927" s="86">
        <v>300</v>
      </c>
      <c r="L927" s="83">
        <f t="shared" si="151"/>
        <v>1239</v>
      </c>
      <c r="M927" s="94">
        <v>600</v>
      </c>
      <c r="N927" s="83">
        <f>'[2]FGT NON-FIRM'!P938</f>
        <v>100</v>
      </c>
      <c r="O927" s="86">
        <v>240</v>
      </c>
      <c r="P927" s="86">
        <v>40</v>
      </c>
      <c r="Q927" s="86">
        <f t="shared" si="152"/>
        <v>315</v>
      </c>
      <c r="R927" s="86">
        <f t="shared" si="153"/>
        <v>100</v>
      </c>
      <c r="S927" s="83">
        <f t="shared" si="154"/>
        <v>695</v>
      </c>
      <c r="T927" s="83">
        <f>'[2]GULFSTREAM NON-FIRM'!H938</f>
        <v>50</v>
      </c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</row>
    <row r="928" spans="1:30" ht="15.75" hidden="1" x14ac:dyDescent="0.25">
      <c r="A928" s="32">
        <v>69184</v>
      </c>
      <c r="B928" s="95">
        <f t="shared" si="155"/>
        <v>31</v>
      </c>
      <c r="C928" s="83">
        <f>'[2]FGT PRIMARY FIRM ZONE 1'!V939</f>
        <v>194.20499999999998</v>
      </c>
      <c r="D928" s="83">
        <f>'[2]FGT PRIMARY FIRM ZONE 2'!V939</f>
        <v>267.46600000000001</v>
      </c>
      <c r="E928" s="92">
        <f>'[2]FGT PRIMARY FIRM ZONE 3'!V939</f>
        <v>133.845</v>
      </c>
      <c r="F928" s="83">
        <f>'[2]FGT FIRM ZONE 3 MOBILE BAY-DES'!V939-40-25-60-100</f>
        <v>53.48399999999998</v>
      </c>
      <c r="G928" s="86">
        <v>40</v>
      </c>
      <c r="H928" s="83">
        <f t="shared" si="156"/>
        <v>185</v>
      </c>
      <c r="I928" s="83">
        <f t="shared" si="147"/>
        <v>0</v>
      </c>
      <c r="J928" s="86">
        <v>100</v>
      </c>
      <c r="K928" s="86">
        <v>300</v>
      </c>
      <c r="L928" s="83">
        <f t="shared" si="151"/>
        <v>1274</v>
      </c>
      <c r="M928" s="94">
        <v>600</v>
      </c>
      <c r="N928" s="83">
        <f>'[2]FGT NON-FIRM'!P939</f>
        <v>75</v>
      </c>
      <c r="O928" s="86">
        <v>240</v>
      </c>
      <c r="P928" s="86">
        <v>40</v>
      </c>
      <c r="Q928" s="86">
        <f t="shared" si="152"/>
        <v>315</v>
      </c>
      <c r="R928" s="86">
        <f t="shared" si="153"/>
        <v>100</v>
      </c>
      <c r="S928" s="83">
        <f t="shared" si="154"/>
        <v>695</v>
      </c>
      <c r="T928" s="83">
        <f>'[2]GULFSTREAM NON-FIRM'!H939</f>
        <v>50</v>
      </c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</row>
    <row r="929" spans="1:30" ht="15.75" hidden="1" x14ac:dyDescent="0.25">
      <c r="A929" s="32">
        <v>69214</v>
      </c>
      <c r="B929" s="95">
        <f t="shared" si="155"/>
        <v>30</v>
      </c>
      <c r="C929" s="83">
        <f>'[2]FGT PRIMARY FIRM ZONE 1'!V940</f>
        <v>194.20499999999998</v>
      </c>
      <c r="D929" s="83">
        <f>'[2]FGT PRIMARY FIRM ZONE 2'!V940</f>
        <v>267.46600000000001</v>
      </c>
      <c r="E929" s="92">
        <f>'[2]FGT PRIMARY FIRM ZONE 3'!V940</f>
        <v>133.845</v>
      </c>
      <c r="F929" s="83">
        <f>'[2]FGT FIRM ZONE 3 MOBILE BAY-DES'!V940-40-25-60-100</f>
        <v>53.48399999999998</v>
      </c>
      <c r="G929" s="86">
        <v>40</v>
      </c>
      <c r="H929" s="83">
        <f t="shared" si="156"/>
        <v>185</v>
      </c>
      <c r="I929" s="83">
        <f t="shared" si="147"/>
        <v>0</v>
      </c>
      <c r="J929" s="86">
        <v>100</v>
      </c>
      <c r="K929" s="86">
        <v>300</v>
      </c>
      <c r="L929" s="83">
        <f t="shared" si="151"/>
        <v>1274</v>
      </c>
      <c r="M929" s="94">
        <v>600</v>
      </c>
      <c r="N929" s="83">
        <f>'[2]FGT NON-FIRM'!P940</f>
        <v>30</v>
      </c>
      <c r="O929" s="86">
        <v>240</v>
      </c>
      <c r="P929" s="86">
        <v>40</v>
      </c>
      <c r="Q929" s="86">
        <f t="shared" si="152"/>
        <v>315</v>
      </c>
      <c r="R929" s="86">
        <f t="shared" si="153"/>
        <v>100</v>
      </c>
      <c r="S929" s="83">
        <f t="shared" si="154"/>
        <v>695</v>
      </c>
      <c r="T929" s="83">
        <f>'[2]GULFSTREAM NON-FIRM'!H940</f>
        <v>50</v>
      </c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</row>
    <row r="930" spans="1:30" ht="15.75" hidden="1" x14ac:dyDescent="0.25">
      <c r="A930" s="32">
        <v>69245</v>
      </c>
      <c r="B930" s="95">
        <f t="shared" si="155"/>
        <v>31</v>
      </c>
      <c r="C930" s="83">
        <f>'[2]FGT PRIMARY FIRM ZONE 1'!V941</f>
        <v>194.20499999999998</v>
      </c>
      <c r="D930" s="83">
        <f>'[2]FGT PRIMARY FIRM ZONE 2'!V941</f>
        <v>267.46600000000001</v>
      </c>
      <c r="E930" s="92">
        <f>'[2]FGT PRIMARY FIRM ZONE 3'!V941</f>
        <v>133.845</v>
      </c>
      <c r="F930" s="83">
        <f>'[2]FGT FIRM ZONE 3 MOBILE BAY-DES'!V941-40-25-60-100</f>
        <v>53.48399999999998</v>
      </c>
      <c r="G930" s="86">
        <v>40</v>
      </c>
      <c r="H930" s="83">
        <f t="shared" si="156"/>
        <v>185</v>
      </c>
      <c r="I930" s="83">
        <f t="shared" si="147"/>
        <v>0</v>
      </c>
      <c r="J930" s="86">
        <v>100</v>
      </c>
      <c r="K930" s="86">
        <v>300</v>
      </c>
      <c r="L930" s="83">
        <f t="shared" si="151"/>
        <v>1274</v>
      </c>
      <c r="M930" s="94">
        <v>600</v>
      </c>
      <c r="N930" s="83">
        <f>'[2]FGT NON-FIRM'!P941</f>
        <v>30</v>
      </c>
      <c r="O930" s="86">
        <v>240</v>
      </c>
      <c r="P930" s="86">
        <v>40</v>
      </c>
      <c r="Q930" s="86">
        <f t="shared" si="152"/>
        <v>315</v>
      </c>
      <c r="R930" s="86">
        <f t="shared" si="153"/>
        <v>100</v>
      </c>
      <c r="S930" s="83">
        <f t="shared" si="154"/>
        <v>695</v>
      </c>
      <c r="T930" s="83">
        <f>'[2]GULFSTREAM NON-FIRM'!H941</f>
        <v>0</v>
      </c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</row>
    <row r="931" spans="1:30" ht="15.75" hidden="1" x14ac:dyDescent="0.25">
      <c r="A931" s="32">
        <v>69276</v>
      </c>
      <c r="B931" s="95">
        <f t="shared" si="155"/>
        <v>31</v>
      </c>
      <c r="C931" s="83">
        <f>'[2]FGT PRIMARY FIRM ZONE 1'!V942</f>
        <v>194.20499999999998</v>
      </c>
      <c r="D931" s="83">
        <f>'[2]FGT PRIMARY FIRM ZONE 2'!V942</f>
        <v>267.46600000000001</v>
      </c>
      <c r="E931" s="92">
        <f>'[2]FGT PRIMARY FIRM ZONE 3'!V942</f>
        <v>133.845</v>
      </c>
      <c r="F931" s="83">
        <f>'[2]FGT FIRM ZONE 3 MOBILE BAY-DES'!V942-40-25-60-100</f>
        <v>53.48399999999998</v>
      </c>
      <c r="G931" s="86">
        <v>40</v>
      </c>
      <c r="H931" s="83">
        <f t="shared" si="156"/>
        <v>185</v>
      </c>
      <c r="I931" s="83">
        <f t="shared" si="147"/>
        <v>0</v>
      </c>
      <c r="J931" s="86">
        <v>100</v>
      </c>
      <c r="K931" s="86">
        <v>300</v>
      </c>
      <c r="L931" s="83">
        <f t="shared" si="151"/>
        <v>1274</v>
      </c>
      <c r="M931" s="94">
        <v>600</v>
      </c>
      <c r="N931" s="83">
        <f>'[2]FGT NON-FIRM'!P942</f>
        <v>30</v>
      </c>
      <c r="O931" s="86">
        <v>240</v>
      </c>
      <c r="P931" s="86">
        <v>40</v>
      </c>
      <c r="Q931" s="86">
        <f t="shared" si="152"/>
        <v>315</v>
      </c>
      <c r="R931" s="86">
        <f t="shared" si="153"/>
        <v>100</v>
      </c>
      <c r="S931" s="83">
        <f t="shared" si="154"/>
        <v>695</v>
      </c>
      <c r="T931" s="83">
        <f>'[2]GULFSTREAM NON-FIRM'!H942</f>
        <v>0</v>
      </c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</row>
    <row r="932" spans="1:30" ht="15.75" hidden="1" x14ac:dyDescent="0.25">
      <c r="A932" s="32">
        <v>69306</v>
      </c>
      <c r="B932" s="95">
        <f t="shared" si="155"/>
        <v>30</v>
      </c>
      <c r="C932" s="83">
        <f>'[2]FGT PRIMARY FIRM ZONE 1'!V943</f>
        <v>194.20499999999998</v>
      </c>
      <c r="D932" s="83">
        <f>'[2]FGT PRIMARY FIRM ZONE 2'!V943</f>
        <v>267.46600000000001</v>
      </c>
      <c r="E932" s="92">
        <f>'[2]FGT PRIMARY FIRM ZONE 3'!V943</f>
        <v>133.845</v>
      </c>
      <c r="F932" s="83">
        <f>'[2]FGT FIRM ZONE 3 MOBILE BAY-DES'!V943-40-25-60-100</f>
        <v>53.48399999999998</v>
      </c>
      <c r="G932" s="86">
        <v>40</v>
      </c>
      <c r="H932" s="83">
        <f t="shared" si="156"/>
        <v>185</v>
      </c>
      <c r="I932" s="83">
        <f t="shared" si="147"/>
        <v>0</v>
      </c>
      <c r="J932" s="86">
        <v>100</v>
      </c>
      <c r="K932" s="86">
        <v>300</v>
      </c>
      <c r="L932" s="83">
        <f t="shared" si="151"/>
        <v>1274</v>
      </c>
      <c r="M932" s="94">
        <v>600</v>
      </c>
      <c r="N932" s="83">
        <f>'[2]FGT NON-FIRM'!P943</f>
        <v>30</v>
      </c>
      <c r="O932" s="86">
        <v>240</v>
      </c>
      <c r="P932" s="86">
        <v>40</v>
      </c>
      <c r="Q932" s="86">
        <f t="shared" si="152"/>
        <v>315</v>
      </c>
      <c r="R932" s="86">
        <f t="shared" si="153"/>
        <v>100</v>
      </c>
      <c r="S932" s="83">
        <f t="shared" si="154"/>
        <v>695</v>
      </c>
      <c r="T932" s="83">
        <f>'[2]GULFSTREAM NON-FIRM'!H943</f>
        <v>0</v>
      </c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</row>
    <row r="933" spans="1:30" ht="15.75" hidden="1" x14ac:dyDescent="0.25">
      <c r="A933" s="32">
        <v>69337</v>
      </c>
      <c r="B933" s="95">
        <f t="shared" si="155"/>
        <v>31</v>
      </c>
      <c r="C933" s="83">
        <f>'[2]FGT PRIMARY FIRM ZONE 1'!V944</f>
        <v>131.881</v>
      </c>
      <c r="D933" s="83">
        <f>'[2]FGT PRIMARY FIRM ZONE 2'!V944</f>
        <v>277.16699999999997</v>
      </c>
      <c r="E933" s="92">
        <f>'[2]FGT PRIMARY FIRM ZONE 3'!V944</f>
        <v>79.08</v>
      </c>
      <c r="F933" s="83">
        <f>'[2]FGT FIRM ZONE 3 MOBILE BAY-DES'!V944-40-25-60-100</f>
        <v>125.87199999999996</v>
      </c>
      <c r="G933" s="86">
        <v>40</v>
      </c>
      <c r="H933" s="83">
        <f t="shared" si="156"/>
        <v>185</v>
      </c>
      <c r="I933" s="83">
        <f t="shared" si="147"/>
        <v>0</v>
      </c>
      <c r="J933" s="86">
        <v>100</v>
      </c>
      <c r="K933" s="86">
        <v>300</v>
      </c>
      <c r="L933" s="83">
        <f t="shared" si="151"/>
        <v>1239</v>
      </c>
      <c r="M933" s="94">
        <v>600</v>
      </c>
      <c r="N933" s="83">
        <f>'[2]FGT NON-FIRM'!P944</f>
        <v>75</v>
      </c>
      <c r="O933" s="86">
        <v>240</v>
      </c>
      <c r="P933" s="86">
        <v>40</v>
      </c>
      <c r="Q933" s="86">
        <f t="shared" si="152"/>
        <v>315</v>
      </c>
      <c r="R933" s="86">
        <f t="shared" si="153"/>
        <v>100</v>
      </c>
      <c r="S933" s="83">
        <f t="shared" si="154"/>
        <v>695</v>
      </c>
      <c r="T933" s="83">
        <f>'[2]GULFSTREAM NON-FIRM'!H944</f>
        <v>0</v>
      </c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</row>
    <row r="934" spans="1:30" ht="15.75" hidden="1" x14ac:dyDescent="0.25">
      <c r="A934" s="32">
        <v>69367</v>
      </c>
      <c r="B934" s="95">
        <f t="shared" si="155"/>
        <v>30</v>
      </c>
      <c r="C934" s="83">
        <f>'[2]FGT PRIMARY FIRM ZONE 1'!V945</f>
        <v>122.58</v>
      </c>
      <c r="D934" s="83">
        <f>'[2]FGT PRIMARY FIRM ZONE 2'!V945</f>
        <v>297.94100000000003</v>
      </c>
      <c r="E934" s="92">
        <f>'[2]FGT PRIMARY FIRM ZONE 3'!V945</f>
        <v>89.177000000000007</v>
      </c>
      <c r="F934" s="83">
        <f>'[2]FGT FIRM ZONE 3 MOBILE BAY-DES'!V945-40-60-100</f>
        <v>40.301999999999992</v>
      </c>
      <c r="G934" s="86">
        <v>40</v>
      </c>
      <c r="H934" s="83">
        <f>60+100</f>
        <v>160</v>
      </c>
      <c r="I934" s="83">
        <f t="shared" si="147"/>
        <v>0</v>
      </c>
      <c r="J934" s="86">
        <v>100</v>
      </c>
      <c r="K934" s="86">
        <v>300</v>
      </c>
      <c r="L934" s="83">
        <f t="shared" si="151"/>
        <v>1150</v>
      </c>
      <c r="M934" s="94">
        <v>600</v>
      </c>
      <c r="N934" s="83">
        <f>'[2]FGT NON-FIRM'!P945</f>
        <v>100</v>
      </c>
      <c r="O934" s="86">
        <v>240</v>
      </c>
      <c r="P934" s="86">
        <v>40</v>
      </c>
      <c r="Q934" s="86">
        <f t="shared" si="152"/>
        <v>315</v>
      </c>
      <c r="R934" s="86">
        <f t="shared" si="153"/>
        <v>100</v>
      </c>
      <c r="S934" s="83">
        <f t="shared" si="154"/>
        <v>695</v>
      </c>
      <c r="T934" s="83">
        <f>'[2]GULFSTREAM NON-FIRM'!H945</f>
        <v>50</v>
      </c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</row>
    <row r="935" spans="1:30" ht="15.75" hidden="1" x14ac:dyDescent="0.25">
      <c r="A935" s="32">
        <v>69398</v>
      </c>
      <c r="B935" s="95">
        <f t="shared" si="155"/>
        <v>31</v>
      </c>
      <c r="C935" s="83">
        <f>'[2]FGT PRIMARY FIRM ZONE 1'!V946</f>
        <v>122.58</v>
      </c>
      <c r="D935" s="83">
        <f>'[2]FGT PRIMARY FIRM ZONE 2'!V946</f>
        <v>297.94100000000003</v>
      </c>
      <c r="E935" s="92">
        <f>'[2]FGT PRIMARY FIRM ZONE 3'!V946</f>
        <v>89.177000000000007</v>
      </c>
      <c r="F935" s="83">
        <f>'[2]FGT FIRM ZONE 3 MOBILE BAY-DES'!V946-40-60-100</f>
        <v>40.301999999999992</v>
      </c>
      <c r="G935" s="86">
        <v>40</v>
      </c>
      <c r="H935" s="83">
        <f>60+100</f>
        <v>160</v>
      </c>
      <c r="I935" s="83">
        <f t="shared" si="147"/>
        <v>0</v>
      </c>
      <c r="J935" s="86">
        <v>100</v>
      </c>
      <c r="K935" s="86">
        <v>300</v>
      </c>
      <c r="L935" s="83">
        <f t="shared" si="151"/>
        <v>1150</v>
      </c>
      <c r="M935" s="94">
        <v>600</v>
      </c>
      <c r="N935" s="83">
        <f>'[2]FGT NON-FIRM'!P946</f>
        <v>100</v>
      </c>
      <c r="O935" s="86">
        <v>240</v>
      </c>
      <c r="P935" s="86">
        <v>40</v>
      </c>
      <c r="Q935" s="86">
        <f t="shared" si="152"/>
        <v>315</v>
      </c>
      <c r="R935" s="86">
        <f t="shared" si="153"/>
        <v>100</v>
      </c>
      <c r="S935" s="83">
        <f t="shared" si="154"/>
        <v>695</v>
      </c>
      <c r="T935" s="83">
        <f>'[2]GULFSTREAM NON-FIRM'!H946</f>
        <v>50</v>
      </c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</row>
    <row r="936" spans="1:30" ht="15.75" hidden="1" x14ac:dyDescent="0.25">
      <c r="A936" s="32">
        <v>69429</v>
      </c>
      <c r="B936" s="95">
        <f t="shared" si="155"/>
        <v>31</v>
      </c>
      <c r="C936" s="83">
        <f>'[2]FGT PRIMARY FIRM ZONE 1'!V947</f>
        <v>122.58</v>
      </c>
      <c r="D936" s="83">
        <f>'[2]FGT PRIMARY FIRM ZONE 2'!V947</f>
        <v>297.94100000000003</v>
      </c>
      <c r="E936" s="92">
        <f>'[2]FGT PRIMARY FIRM ZONE 3'!V947</f>
        <v>89.177000000000007</v>
      </c>
      <c r="F936" s="83">
        <f>'[2]FGT FIRM ZONE 3 MOBILE BAY-DES'!V947-40-60-100</f>
        <v>40.301999999999992</v>
      </c>
      <c r="G936" s="86">
        <v>40</v>
      </c>
      <c r="H936" s="83">
        <f>60+100</f>
        <v>160</v>
      </c>
      <c r="I936" s="83">
        <f t="shared" si="147"/>
        <v>0</v>
      </c>
      <c r="J936" s="86">
        <v>100</v>
      </c>
      <c r="K936" s="86">
        <v>300</v>
      </c>
      <c r="L936" s="83">
        <f t="shared" si="151"/>
        <v>1150</v>
      </c>
      <c r="M936" s="94">
        <v>600</v>
      </c>
      <c r="N936" s="83">
        <f>'[2]FGT NON-FIRM'!P947</f>
        <v>100</v>
      </c>
      <c r="O936" s="86">
        <v>240</v>
      </c>
      <c r="P936" s="86">
        <v>40</v>
      </c>
      <c r="Q936" s="86">
        <f t="shared" si="152"/>
        <v>315</v>
      </c>
      <c r="R936" s="86">
        <f t="shared" si="153"/>
        <v>100</v>
      </c>
      <c r="S936" s="83">
        <f t="shared" si="154"/>
        <v>695</v>
      </c>
      <c r="T936" s="83">
        <f>'[2]GULFSTREAM NON-FIRM'!H947</f>
        <v>50</v>
      </c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</row>
    <row r="937" spans="1:30" ht="15.75" hidden="1" x14ac:dyDescent="0.25">
      <c r="A937" s="32">
        <v>69457</v>
      </c>
      <c r="B937" s="95">
        <f t="shared" si="155"/>
        <v>28</v>
      </c>
      <c r="C937" s="83">
        <f>'[2]FGT PRIMARY FIRM ZONE 1'!V948</f>
        <v>122.58</v>
      </c>
      <c r="D937" s="83">
        <f>'[2]FGT PRIMARY FIRM ZONE 2'!V948</f>
        <v>297.94100000000003</v>
      </c>
      <c r="E937" s="92">
        <f>'[2]FGT PRIMARY FIRM ZONE 3'!V948</f>
        <v>89.177000000000007</v>
      </c>
      <c r="F937" s="83">
        <f>'[2]FGT FIRM ZONE 3 MOBILE BAY-DES'!V948-40-60-100</f>
        <v>40.301999999999992</v>
      </c>
      <c r="G937" s="86">
        <v>40</v>
      </c>
      <c r="H937" s="83">
        <f>60+100</f>
        <v>160</v>
      </c>
      <c r="I937" s="83">
        <f t="shared" si="147"/>
        <v>0</v>
      </c>
      <c r="J937" s="86">
        <v>100</v>
      </c>
      <c r="K937" s="86">
        <v>300</v>
      </c>
      <c r="L937" s="83">
        <f t="shared" si="151"/>
        <v>1150</v>
      </c>
      <c r="M937" s="94">
        <v>600</v>
      </c>
      <c r="N937" s="83">
        <f>'[2]FGT NON-FIRM'!P948</f>
        <v>100</v>
      </c>
      <c r="O937" s="86">
        <v>240</v>
      </c>
      <c r="P937" s="86">
        <v>40</v>
      </c>
      <c r="Q937" s="86">
        <f t="shared" si="152"/>
        <v>315</v>
      </c>
      <c r="R937" s="86">
        <f t="shared" si="153"/>
        <v>100</v>
      </c>
      <c r="S937" s="83">
        <f t="shared" si="154"/>
        <v>695</v>
      </c>
      <c r="T937" s="83">
        <f>'[2]GULFSTREAM NON-FIRM'!H948</f>
        <v>50</v>
      </c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</row>
    <row r="938" spans="1:30" ht="15.75" hidden="1" x14ac:dyDescent="0.25">
      <c r="A938" s="32">
        <v>69488</v>
      </c>
      <c r="B938" s="95">
        <f t="shared" si="155"/>
        <v>31</v>
      </c>
      <c r="C938" s="83">
        <f>'[2]FGT PRIMARY FIRM ZONE 1'!V949</f>
        <v>122.58</v>
      </c>
      <c r="D938" s="83">
        <f>'[2]FGT PRIMARY FIRM ZONE 2'!V949</f>
        <v>297.94100000000003</v>
      </c>
      <c r="E938" s="92">
        <f>'[2]FGT PRIMARY FIRM ZONE 3'!V949</f>
        <v>89.177000000000007</v>
      </c>
      <c r="F938" s="83">
        <f>'[2]FGT FIRM ZONE 3 MOBILE BAY-DES'!V949-40-60-100</f>
        <v>40.301999999999992</v>
      </c>
      <c r="G938" s="86">
        <v>40</v>
      </c>
      <c r="H938" s="83">
        <f>60+100</f>
        <v>160</v>
      </c>
      <c r="I938" s="83">
        <f t="shared" si="147"/>
        <v>0</v>
      </c>
      <c r="J938" s="86">
        <v>100</v>
      </c>
      <c r="K938" s="86">
        <v>300</v>
      </c>
      <c r="L938" s="83">
        <f t="shared" si="151"/>
        <v>1150</v>
      </c>
      <c r="M938" s="94">
        <v>600</v>
      </c>
      <c r="N938" s="83">
        <f>'[2]FGT NON-FIRM'!P949</f>
        <v>100</v>
      </c>
      <c r="O938" s="86">
        <v>240</v>
      </c>
      <c r="P938" s="86">
        <v>40</v>
      </c>
      <c r="Q938" s="86">
        <f t="shared" si="152"/>
        <v>315</v>
      </c>
      <c r="R938" s="86">
        <f t="shared" si="153"/>
        <v>100</v>
      </c>
      <c r="S938" s="83">
        <f t="shared" si="154"/>
        <v>695</v>
      </c>
      <c r="T938" s="83">
        <f>'[2]GULFSTREAM NON-FIRM'!H949</f>
        <v>50</v>
      </c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</row>
    <row r="939" spans="1:30" ht="15.75" hidden="1" x14ac:dyDescent="0.25">
      <c r="A939" s="32">
        <v>69518</v>
      </c>
      <c r="B939" s="95">
        <f t="shared" si="155"/>
        <v>30</v>
      </c>
      <c r="C939" s="83">
        <f>'[2]FGT PRIMARY FIRM ZONE 1'!V950</f>
        <v>141.29300000000001</v>
      </c>
      <c r="D939" s="83">
        <f>'[2]FGT PRIMARY FIRM ZONE 2'!V950</f>
        <v>267.99299999999999</v>
      </c>
      <c r="E939" s="92">
        <f>'[2]FGT PRIMARY FIRM ZONE 3'!V950</f>
        <v>115.01600000000001</v>
      </c>
      <c r="F939" s="83">
        <f>'[2]FGT FIRM ZONE 3 MOBILE BAY-DES'!V950-40-25-60-100</f>
        <v>89.698000000000036</v>
      </c>
      <c r="G939" s="86">
        <v>40</v>
      </c>
      <c r="H939" s="83">
        <f t="shared" ref="H939:H945" si="157">25+60+100</f>
        <v>185</v>
      </c>
      <c r="I939" s="83">
        <f t="shared" si="147"/>
        <v>0</v>
      </c>
      <c r="J939" s="86">
        <v>100</v>
      </c>
      <c r="K939" s="86">
        <v>300</v>
      </c>
      <c r="L939" s="83">
        <f t="shared" si="151"/>
        <v>1239</v>
      </c>
      <c r="M939" s="94">
        <v>600</v>
      </c>
      <c r="N939" s="83">
        <f>'[2]FGT NON-FIRM'!P950</f>
        <v>100</v>
      </c>
      <c r="O939" s="86">
        <v>240</v>
      </c>
      <c r="P939" s="86">
        <v>40</v>
      </c>
      <c r="Q939" s="86">
        <f t="shared" si="152"/>
        <v>315</v>
      </c>
      <c r="R939" s="86">
        <f t="shared" si="153"/>
        <v>100</v>
      </c>
      <c r="S939" s="83">
        <f t="shared" si="154"/>
        <v>695</v>
      </c>
      <c r="T939" s="83">
        <f>'[2]GULFSTREAM NON-FIRM'!H950</f>
        <v>50</v>
      </c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</row>
    <row r="940" spans="1:30" ht="15.75" hidden="1" x14ac:dyDescent="0.25">
      <c r="A940" s="32">
        <v>69549</v>
      </c>
      <c r="B940" s="95">
        <f t="shared" si="155"/>
        <v>31</v>
      </c>
      <c r="C940" s="83">
        <f>'[2]FGT PRIMARY FIRM ZONE 1'!V951</f>
        <v>194.20499999999998</v>
      </c>
      <c r="D940" s="83">
        <f>'[2]FGT PRIMARY FIRM ZONE 2'!V951</f>
        <v>267.46600000000001</v>
      </c>
      <c r="E940" s="92">
        <f>'[2]FGT PRIMARY FIRM ZONE 3'!V951</f>
        <v>133.845</v>
      </c>
      <c r="F940" s="83">
        <f>'[2]FGT FIRM ZONE 3 MOBILE BAY-DES'!V951-40-25-60-100</f>
        <v>53.48399999999998</v>
      </c>
      <c r="G940" s="86">
        <v>40</v>
      </c>
      <c r="H940" s="83">
        <f t="shared" si="157"/>
        <v>185</v>
      </c>
      <c r="I940" s="83">
        <f t="shared" si="147"/>
        <v>0</v>
      </c>
      <c r="J940" s="86">
        <v>100</v>
      </c>
      <c r="K940" s="86">
        <v>300</v>
      </c>
      <c r="L940" s="83">
        <f t="shared" si="151"/>
        <v>1274</v>
      </c>
      <c r="M940" s="94">
        <v>600</v>
      </c>
      <c r="N940" s="83">
        <f>'[2]FGT NON-FIRM'!P951</f>
        <v>75</v>
      </c>
      <c r="O940" s="86">
        <v>240</v>
      </c>
      <c r="P940" s="86">
        <v>40</v>
      </c>
      <c r="Q940" s="86">
        <f t="shared" si="152"/>
        <v>315</v>
      </c>
      <c r="R940" s="86">
        <f t="shared" si="153"/>
        <v>100</v>
      </c>
      <c r="S940" s="83">
        <f t="shared" si="154"/>
        <v>695</v>
      </c>
      <c r="T940" s="83">
        <f>'[2]GULFSTREAM NON-FIRM'!H951</f>
        <v>50</v>
      </c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</row>
    <row r="941" spans="1:30" ht="15.75" hidden="1" x14ac:dyDescent="0.25">
      <c r="A941" s="32">
        <v>69579</v>
      </c>
      <c r="B941" s="95">
        <f t="shared" si="155"/>
        <v>30</v>
      </c>
      <c r="C941" s="83">
        <f>'[2]FGT PRIMARY FIRM ZONE 1'!V952</f>
        <v>194.20499999999998</v>
      </c>
      <c r="D941" s="83">
        <f>'[2]FGT PRIMARY FIRM ZONE 2'!V952</f>
        <v>267.46600000000001</v>
      </c>
      <c r="E941" s="92">
        <f>'[2]FGT PRIMARY FIRM ZONE 3'!V952</f>
        <v>133.845</v>
      </c>
      <c r="F941" s="83">
        <f>'[2]FGT FIRM ZONE 3 MOBILE BAY-DES'!V952-40-25-60-100</f>
        <v>53.48399999999998</v>
      </c>
      <c r="G941" s="86">
        <v>40</v>
      </c>
      <c r="H941" s="83">
        <f t="shared" si="157"/>
        <v>185</v>
      </c>
      <c r="I941" s="83">
        <f t="shared" si="147"/>
        <v>0</v>
      </c>
      <c r="J941" s="86">
        <v>100</v>
      </c>
      <c r="K941" s="86">
        <v>300</v>
      </c>
      <c r="L941" s="83">
        <f t="shared" si="151"/>
        <v>1274</v>
      </c>
      <c r="M941" s="94">
        <v>600</v>
      </c>
      <c r="N941" s="83">
        <f>'[2]FGT NON-FIRM'!P952</f>
        <v>30</v>
      </c>
      <c r="O941" s="86">
        <v>240</v>
      </c>
      <c r="P941" s="86">
        <v>40</v>
      </c>
      <c r="Q941" s="86">
        <f t="shared" si="152"/>
        <v>315</v>
      </c>
      <c r="R941" s="86">
        <f t="shared" si="153"/>
        <v>100</v>
      </c>
      <c r="S941" s="83">
        <f t="shared" si="154"/>
        <v>695</v>
      </c>
      <c r="T941" s="83">
        <f>'[2]GULFSTREAM NON-FIRM'!H952</f>
        <v>50</v>
      </c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</row>
    <row r="942" spans="1:30" ht="15.75" hidden="1" x14ac:dyDescent="0.25">
      <c r="A942" s="32">
        <v>69610</v>
      </c>
      <c r="B942" s="95">
        <f t="shared" si="155"/>
        <v>31</v>
      </c>
      <c r="C942" s="83">
        <f>'[2]FGT PRIMARY FIRM ZONE 1'!V953</f>
        <v>194.20499999999998</v>
      </c>
      <c r="D942" s="83">
        <f>'[2]FGT PRIMARY FIRM ZONE 2'!V953</f>
        <v>267.46600000000001</v>
      </c>
      <c r="E942" s="92">
        <f>'[2]FGT PRIMARY FIRM ZONE 3'!V953</f>
        <v>133.845</v>
      </c>
      <c r="F942" s="83">
        <f>'[2]FGT FIRM ZONE 3 MOBILE BAY-DES'!V953-40-25-60-100</f>
        <v>53.48399999999998</v>
      </c>
      <c r="G942" s="86">
        <v>40</v>
      </c>
      <c r="H942" s="83">
        <f t="shared" si="157"/>
        <v>185</v>
      </c>
      <c r="I942" s="83">
        <f t="shared" si="147"/>
        <v>0</v>
      </c>
      <c r="J942" s="86">
        <v>100</v>
      </c>
      <c r="K942" s="86">
        <v>300</v>
      </c>
      <c r="L942" s="83">
        <f t="shared" si="151"/>
        <v>1274</v>
      </c>
      <c r="M942" s="94">
        <v>600</v>
      </c>
      <c r="N942" s="83">
        <f>'[2]FGT NON-FIRM'!P953</f>
        <v>30</v>
      </c>
      <c r="O942" s="86">
        <v>240</v>
      </c>
      <c r="P942" s="86">
        <v>40</v>
      </c>
      <c r="Q942" s="86">
        <f t="shared" si="152"/>
        <v>315</v>
      </c>
      <c r="R942" s="86">
        <f t="shared" si="153"/>
        <v>100</v>
      </c>
      <c r="S942" s="83">
        <f t="shared" si="154"/>
        <v>695</v>
      </c>
      <c r="T942" s="83">
        <f>'[2]GULFSTREAM NON-FIRM'!H953</f>
        <v>0</v>
      </c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</row>
    <row r="943" spans="1:30" ht="15.75" hidden="1" x14ac:dyDescent="0.25">
      <c r="A943" s="32">
        <v>69641</v>
      </c>
      <c r="B943" s="95">
        <f t="shared" si="155"/>
        <v>31</v>
      </c>
      <c r="C943" s="83">
        <f>'[2]FGT PRIMARY FIRM ZONE 1'!V954</f>
        <v>194.20499999999998</v>
      </c>
      <c r="D943" s="83">
        <f>'[2]FGT PRIMARY FIRM ZONE 2'!V954</f>
        <v>267.46600000000001</v>
      </c>
      <c r="E943" s="92">
        <f>'[2]FGT PRIMARY FIRM ZONE 3'!V954</f>
        <v>133.845</v>
      </c>
      <c r="F943" s="83">
        <f>'[2]FGT FIRM ZONE 3 MOBILE BAY-DES'!V954-40-25-60-100</f>
        <v>53.48399999999998</v>
      </c>
      <c r="G943" s="86">
        <v>40</v>
      </c>
      <c r="H943" s="83">
        <f t="shared" si="157"/>
        <v>185</v>
      </c>
      <c r="I943" s="83">
        <f t="shared" si="147"/>
        <v>0</v>
      </c>
      <c r="J943" s="86">
        <v>100</v>
      </c>
      <c r="K943" s="86">
        <v>300</v>
      </c>
      <c r="L943" s="83">
        <f t="shared" si="151"/>
        <v>1274</v>
      </c>
      <c r="M943" s="94">
        <v>600</v>
      </c>
      <c r="N943" s="83">
        <f>'[2]FGT NON-FIRM'!P954</f>
        <v>30</v>
      </c>
      <c r="O943" s="86">
        <v>240</v>
      </c>
      <c r="P943" s="86">
        <v>40</v>
      </c>
      <c r="Q943" s="86">
        <f t="shared" si="152"/>
        <v>315</v>
      </c>
      <c r="R943" s="86">
        <f t="shared" si="153"/>
        <v>100</v>
      </c>
      <c r="S943" s="83">
        <f t="shared" si="154"/>
        <v>695</v>
      </c>
      <c r="T943" s="83">
        <f>'[2]GULFSTREAM NON-FIRM'!H954</f>
        <v>0</v>
      </c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</row>
    <row r="944" spans="1:30" ht="15.75" hidden="1" x14ac:dyDescent="0.25">
      <c r="A944" s="32">
        <v>69671</v>
      </c>
      <c r="B944" s="95">
        <f t="shared" si="155"/>
        <v>30</v>
      </c>
      <c r="C944" s="83">
        <f>'[2]FGT PRIMARY FIRM ZONE 1'!V955</f>
        <v>194.20499999999998</v>
      </c>
      <c r="D944" s="83">
        <f>'[2]FGT PRIMARY FIRM ZONE 2'!V955</f>
        <v>267.46600000000001</v>
      </c>
      <c r="E944" s="92">
        <f>'[2]FGT PRIMARY FIRM ZONE 3'!V955</f>
        <v>133.845</v>
      </c>
      <c r="F944" s="83">
        <f>'[2]FGT FIRM ZONE 3 MOBILE BAY-DES'!V955-40-25-60-100</f>
        <v>53.48399999999998</v>
      </c>
      <c r="G944" s="86">
        <v>40</v>
      </c>
      <c r="H944" s="83">
        <f t="shared" si="157"/>
        <v>185</v>
      </c>
      <c r="I944" s="83">
        <f t="shared" si="147"/>
        <v>0</v>
      </c>
      <c r="J944" s="86">
        <v>100</v>
      </c>
      <c r="K944" s="86">
        <v>300</v>
      </c>
      <c r="L944" s="83">
        <f t="shared" si="151"/>
        <v>1274</v>
      </c>
      <c r="M944" s="94">
        <v>600</v>
      </c>
      <c r="N944" s="83">
        <f>'[2]FGT NON-FIRM'!P955</f>
        <v>30</v>
      </c>
      <c r="O944" s="86">
        <v>240</v>
      </c>
      <c r="P944" s="86">
        <v>40</v>
      </c>
      <c r="Q944" s="86">
        <f t="shared" si="152"/>
        <v>315</v>
      </c>
      <c r="R944" s="86">
        <f t="shared" si="153"/>
        <v>100</v>
      </c>
      <c r="S944" s="83">
        <f t="shared" si="154"/>
        <v>695</v>
      </c>
      <c r="T944" s="83">
        <f>'[2]GULFSTREAM NON-FIRM'!H955</f>
        <v>0</v>
      </c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</row>
    <row r="945" spans="1:30" ht="15.75" hidden="1" x14ac:dyDescent="0.25">
      <c r="A945" s="32">
        <v>69702</v>
      </c>
      <c r="B945" s="95">
        <f t="shared" si="155"/>
        <v>31</v>
      </c>
      <c r="C945" s="83">
        <f>'[2]FGT PRIMARY FIRM ZONE 1'!V956</f>
        <v>131.881</v>
      </c>
      <c r="D945" s="83">
        <f>'[2]FGT PRIMARY FIRM ZONE 2'!V956</f>
        <v>277.16699999999997</v>
      </c>
      <c r="E945" s="92">
        <f>'[2]FGT PRIMARY FIRM ZONE 3'!V956</f>
        <v>79.08</v>
      </c>
      <c r="F945" s="83">
        <f>'[2]FGT FIRM ZONE 3 MOBILE BAY-DES'!V956-40-25-60-100</f>
        <v>125.87199999999996</v>
      </c>
      <c r="G945" s="86">
        <v>40</v>
      </c>
      <c r="H945" s="83">
        <f t="shared" si="157"/>
        <v>185</v>
      </c>
      <c r="I945" s="83">
        <f t="shared" si="147"/>
        <v>0</v>
      </c>
      <c r="J945" s="86">
        <v>100</v>
      </c>
      <c r="K945" s="86">
        <v>300</v>
      </c>
      <c r="L945" s="83">
        <f t="shared" si="151"/>
        <v>1239</v>
      </c>
      <c r="M945" s="94">
        <v>600</v>
      </c>
      <c r="N945" s="83">
        <f>'[2]FGT NON-FIRM'!P956</f>
        <v>75</v>
      </c>
      <c r="O945" s="86">
        <v>240</v>
      </c>
      <c r="P945" s="86">
        <v>40</v>
      </c>
      <c r="Q945" s="86">
        <f t="shared" si="152"/>
        <v>315</v>
      </c>
      <c r="R945" s="86">
        <f t="shared" si="153"/>
        <v>100</v>
      </c>
      <c r="S945" s="83">
        <f t="shared" si="154"/>
        <v>695</v>
      </c>
      <c r="T945" s="83">
        <f>'[2]GULFSTREAM NON-FIRM'!H956</f>
        <v>0</v>
      </c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</row>
    <row r="946" spans="1:30" ht="15.75" hidden="1" x14ac:dyDescent="0.25">
      <c r="A946" s="32">
        <v>69732</v>
      </c>
      <c r="B946" s="95">
        <f t="shared" si="155"/>
        <v>30</v>
      </c>
      <c r="C946" s="83">
        <f>'[2]FGT PRIMARY FIRM ZONE 1'!V957</f>
        <v>122.58</v>
      </c>
      <c r="D946" s="83">
        <f>'[2]FGT PRIMARY FIRM ZONE 2'!V957</f>
        <v>297.94100000000003</v>
      </c>
      <c r="E946" s="92">
        <f>'[2]FGT PRIMARY FIRM ZONE 3'!V957</f>
        <v>89.177000000000007</v>
      </c>
      <c r="F946" s="83">
        <f>'[2]FGT FIRM ZONE 3 MOBILE BAY-DES'!V957-40-60-100</f>
        <v>40.301999999999992</v>
      </c>
      <c r="G946" s="86">
        <v>40</v>
      </c>
      <c r="H946" s="83">
        <f>60+100</f>
        <v>160</v>
      </c>
      <c r="I946" s="83">
        <f t="shared" si="147"/>
        <v>0</v>
      </c>
      <c r="J946" s="86">
        <v>100</v>
      </c>
      <c r="K946" s="86">
        <v>300</v>
      </c>
      <c r="L946" s="83">
        <f t="shared" si="151"/>
        <v>1150</v>
      </c>
      <c r="M946" s="94">
        <v>600</v>
      </c>
      <c r="N946" s="83">
        <f>'[2]FGT NON-FIRM'!P957</f>
        <v>100</v>
      </c>
      <c r="O946" s="86">
        <v>240</v>
      </c>
      <c r="P946" s="86">
        <v>40</v>
      </c>
      <c r="Q946" s="86">
        <f t="shared" si="152"/>
        <v>315</v>
      </c>
      <c r="R946" s="86">
        <f t="shared" si="153"/>
        <v>100</v>
      </c>
      <c r="S946" s="83">
        <f t="shared" si="154"/>
        <v>695</v>
      </c>
      <c r="T946" s="83">
        <f>'[2]GULFSTREAM NON-FIRM'!H957</f>
        <v>50</v>
      </c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</row>
    <row r="947" spans="1:30" ht="15.75" hidden="1" x14ac:dyDescent="0.25">
      <c r="A947" s="32">
        <v>69763</v>
      </c>
      <c r="B947" s="95">
        <f t="shared" si="155"/>
        <v>31</v>
      </c>
      <c r="C947" s="83">
        <f>'[2]FGT PRIMARY FIRM ZONE 1'!V958</f>
        <v>122.58</v>
      </c>
      <c r="D947" s="83">
        <f>'[2]FGT PRIMARY FIRM ZONE 2'!V958</f>
        <v>297.94100000000003</v>
      </c>
      <c r="E947" s="92">
        <f>'[2]FGT PRIMARY FIRM ZONE 3'!V958</f>
        <v>89.177000000000007</v>
      </c>
      <c r="F947" s="83">
        <f>'[2]FGT FIRM ZONE 3 MOBILE BAY-DES'!V958-40-60-100</f>
        <v>40.301999999999992</v>
      </c>
      <c r="G947" s="86">
        <v>40</v>
      </c>
      <c r="H947" s="83">
        <f>60+100</f>
        <v>160</v>
      </c>
      <c r="I947" s="83">
        <f t="shared" si="147"/>
        <v>0</v>
      </c>
      <c r="J947" s="86">
        <v>100</v>
      </c>
      <c r="K947" s="86">
        <v>300</v>
      </c>
      <c r="L947" s="83">
        <f t="shared" si="151"/>
        <v>1150</v>
      </c>
      <c r="M947" s="94">
        <v>600</v>
      </c>
      <c r="N947" s="83">
        <f>'[2]FGT NON-FIRM'!P958</f>
        <v>100</v>
      </c>
      <c r="O947" s="86">
        <v>240</v>
      </c>
      <c r="P947" s="86">
        <v>40</v>
      </c>
      <c r="Q947" s="86">
        <f t="shared" si="152"/>
        <v>315</v>
      </c>
      <c r="R947" s="86">
        <f t="shared" si="153"/>
        <v>100</v>
      </c>
      <c r="S947" s="83">
        <f t="shared" si="154"/>
        <v>695</v>
      </c>
      <c r="T947" s="83">
        <f>'[2]GULFSTREAM NON-FIRM'!H958</f>
        <v>50</v>
      </c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</row>
    <row r="948" spans="1:30" ht="15.75" hidden="1" x14ac:dyDescent="0.25">
      <c r="A948" s="32">
        <v>69794</v>
      </c>
      <c r="B948" s="95">
        <f t="shared" si="155"/>
        <v>31</v>
      </c>
      <c r="C948" s="83">
        <f>'[2]FGT PRIMARY FIRM ZONE 1'!V959</f>
        <v>122.58</v>
      </c>
      <c r="D948" s="83">
        <f>'[2]FGT PRIMARY FIRM ZONE 2'!V959</f>
        <v>297.94100000000003</v>
      </c>
      <c r="E948" s="92">
        <f>'[2]FGT PRIMARY FIRM ZONE 3'!V959</f>
        <v>89.177000000000007</v>
      </c>
      <c r="F948" s="83">
        <f>'[2]FGT FIRM ZONE 3 MOBILE BAY-DES'!V959-40-60-100</f>
        <v>40.301999999999992</v>
      </c>
      <c r="G948" s="86">
        <v>40</v>
      </c>
      <c r="H948" s="83">
        <f>60+100</f>
        <v>160</v>
      </c>
      <c r="I948" s="83">
        <f t="shared" ref="I948:I1011" si="158">400-J948-K948</f>
        <v>0</v>
      </c>
      <c r="J948" s="86">
        <v>100</v>
      </c>
      <c r="K948" s="86">
        <v>300</v>
      </c>
      <c r="L948" s="83">
        <f t="shared" si="151"/>
        <v>1150</v>
      </c>
      <c r="M948" s="94">
        <v>600</v>
      </c>
      <c r="N948" s="83">
        <f>'[2]FGT NON-FIRM'!P959</f>
        <v>100</v>
      </c>
      <c r="O948" s="86">
        <v>240</v>
      </c>
      <c r="P948" s="86">
        <v>40</v>
      </c>
      <c r="Q948" s="86">
        <f t="shared" si="152"/>
        <v>315</v>
      </c>
      <c r="R948" s="86">
        <f t="shared" si="153"/>
        <v>100</v>
      </c>
      <c r="S948" s="83">
        <f t="shared" si="154"/>
        <v>695</v>
      </c>
      <c r="T948" s="83">
        <f>'[2]GULFSTREAM NON-FIRM'!H959</f>
        <v>50</v>
      </c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</row>
    <row r="949" spans="1:30" ht="15.75" hidden="1" x14ac:dyDescent="0.25">
      <c r="A949" s="32">
        <v>69822</v>
      </c>
      <c r="B949" s="95">
        <f t="shared" si="155"/>
        <v>28</v>
      </c>
      <c r="C949" s="83">
        <f>'[2]FGT PRIMARY FIRM ZONE 1'!V960</f>
        <v>122.58</v>
      </c>
      <c r="D949" s="83">
        <f>'[2]FGT PRIMARY FIRM ZONE 2'!V960</f>
        <v>297.94100000000003</v>
      </c>
      <c r="E949" s="92">
        <f>'[2]FGT PRIMARY FIRM ZONE 3'!V960</f>
        <v>89.177000000000007</v>
      </c>
      <c r="F949" s="83">
        <f>'[2]FGT FIRM ZONE 3 MOBILE BAY-DES'!V960-40-60-100</f>
        <v>40.301999999999992</v>
      </c>
      <c r="G949" s="86">
        <v>40</v>
      </c>
      <c r="H949" s="83">
        <f>60+100</f>
        <v>160</v>
      </c>
      <c r="I949" s="83">
        <f t="shared" si="158"/>
        <v>0</v>
      </c>
      <c r="J949" s="86">
        <v>100</v>
      </c>
      <c r="K949" s="86">
        <v>300</v>
      </c>
      <c r="L949" s="83">
        <f t="shared" si="151"/>
        <v>1150</v>
      </c>
      <c r="M949" s="94">
        <v>600</v>
      </c>
      <c r="N949" s="83">
        <f>'[2]FGT NON-FIRM'!P960</f>
        <v>100</v>
      </c>
      <c r="O949" s="86">
        <v>240</v>
      </c>
      <c r="P949" s="86">
        <v>40</v>
      </c>
      <c r="Q949" s="86">
        <f t="shared" si="152"/>
        <v>315</v>
      </c>
      <c r="R949" s="86">
        <f t="shared" si="153"/>
        <v>100</v>
      </c>
      <c r="S949" s="83">
        <f t="shared" si="154"/>
        <v>695</v>
      </c>
      <c r="T949" s="83">
        <f>'[2]GULFSTREAM NON-FIRM'!H960</f>
        <v>50</v>
      </c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</row>
    <row r="950" spans="1:30" ht="15.75" hidden="1" x14ac:dyDescent="0.25">
      <c r="A950" s="32">
        <v>69853</v>
      </c>
      <c r="B950" s="95">
        <f t="shared" si="155"/>
        <v>31</v>
      </c>
      <c r="C950" s="83">
        <f>'[2]FGT PRIMARY FIRM ZONE 1'!V961</f>
        <v>122.58</v>
      </c>
      <c r="D950" s="83">
        <f>'[2]FGT PRIMARY FIRM ZONE 2'!V961</f>
        <v>297.94100000000003</v>
      </c>
      <c r="E950" s="92">
        <f>'[2]FGT PRIMARY FIRM ZONE 3'!V961</f>
        <v>89.177000000000007</v>
      </c>
      <c r="F950" s="83">
        <f>'[2]FGT FIRM ZONE 3 MOBILE BAY-DES'!V961-40-60-100</f>
        <v>40.301999999999992</v>
      </c>
      <c r="G950" s="86">
        <v>40</v>
      </c>
      <c r="H950" s="83">
        <f>60+100</f>
        <v>160</v>
      </c>
      <c r="I950" s="83">
        <f t="shared" si="158"/>
        <v>0</v>
      </c>
      <c r="J950" s="86">
        <v>100</v>
      </c>
      <c r="K950" s="86">
        <v>300</v>
      </c>
      <c r="L950" s="83">
        <f t="shared" si="151"/>
        <v>1150</v>
      </c>
      <c r="M950" s="94">
        <v>600</v>
      </c>
      <c r="N950" s="83">
        <f>'[2]FGT NON-FIRM'!P961</f>
        <v>100</v>
      </c>
      <c r="O950" s="86">
        <v>240</v>
      </c>
      <c r="P950" s="86">
        <v>40</v>
      </c>
      <c r="Q950" s="86">
        <f t="shared" si="152"/>
        <v>315</v>
      </c>
      <c r="R950" s="86">
        <f t="shared" si="153"/>
        <v>100</v>
      </c>
      <c r="S950" s="83">
        <f t="shared" si="154"/>
        <v>695</v>
      </c>
      <c r="T950" s="83">
        <f>'[2]GULFSTREAM NON-FIRM'!H961</f>
        <v>50</v>
      </c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</row>
    <row r="951" spans="1:30" ht="15.75" hidden="1" x14ac:dyDescent="0.25">
      <c r="A951" s="32">
        <v>69883</v>
      </c>
      <c r="B951" s="95">
        <f t="shared" si="155"/>
        <v>30</v>
      </c>
      <c r="C951" s="83">
        <f>'[2]FGT PRIMARY FIRM ZONE 1'!V962</f>
        <v>141.29300000000001</v>
      </c>
      <c r="D951" s="83">
        <f>'[2]FGT PRIMARY FIRM ZONE 2'!V962</f>
        <v>267.99299999999999</v>
      </c>
      <c r="E951" s="92">
        <f>'[2]FGT PRIMARY FIRM ZONE 3'!V962</f>
        <v>115.01600000000001</v>
      </c>
      <c r="F951" s="83">
        <f>'[2]FGT FIRM ZONE 3 MOBILE BAY-DES'!V962-40-25-60-100</f>
        <v>89.698000000000036</v>
      </c>
      <c r="G951" s="86">
        <v>40</v>
      </c>
      <c r="H951" s="83">
        <f t="shared" ref="H951:H957" si="159">25+60+100</f>
        <v>185</v>
      </c>
      <c r="I951" s="83">
        <f t="shared" si="158"/>
        <v>0</v>
      </c>
      <c r="J951" s="86">
        <v>100</v>
      </c>
      <c r="K951" s="86">
        <v>300</v>
      </c>
      <c r="L951" s="83">
        <f t="shared" si="151"/>
        <v>1239</v>
      </c>
      <c r="M951" s="94">
        <v>600</v>
      </c>
      <c r="N951" s="83">
        <f>'[2]FGT NON-FIRM'!P962</f>
        <v>100</v>
      </c>
      <c r="O951" s="86">
        <v>240</v>
      </c>
      <c r="P951" s="86">
        <v>40</v>
      </c>
      <c r="Q951" s="86">
        <f t="shared" si="152"/>
        <v>315</v>
      </c>
      <c r="R951" s="86">
        <f t="shared" si="153"/>
        <v>100</v>
      </c>
      <c r="S951" s="83">
        <f t="shared" si="154"/>
        <v>695</v>
      </c>
      <c r="T951" s="83">
        <f>'[2]GULFSTREAM NON-FIRM'!H962</f>
        <v>50</v>
      </c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</row>
    <row r="952" spans="1:30" ht="15.75" hidden="1" x14ac:dyDescent="0.25">
      <c r="A952" s="32">
        <v>69914</v>
      </c>
      <c r="B952" s="95">
        <f t="shared" si="155"/>
        <v>31</v>
      </c>
      <c r="C952" s="83">
        <f>'[2]FGT PRIMARY FIRM ZONE 1'!V963</f>
        <v>194.20499999999998</v>
      </c>
      <c r="D952" s="83">
        <f>'[2]FGT PRIMARY FIRM ZONE 2'!V963</f>
        <v>267.46600000000001</v>
      </c>
      <c r="E952" s="92">
        <f>'[2]FGT PRIMARY FIRM ZONE 3'!V963</f>
        <v>133.845</v>
      </c>
      <c r="F952" s="83">
        <f>'[2]FGT FIRM ZONE 3 MOBILE BAY-DES'!V963-40-25-60-100</f>
        <v>53.48399999999998</v>
      </c>
      <c r="G952" s="86">
        <v>40</v>
      </c>
      <c r="H952" s="83">
        <f t="shared" si="159"/>
        <v>185</v>
      </c>
      <c r="I952" s="83">
        <f t="shared" si="158"/>
        <v>0</v>
      </c>
      <c r="J952" s="86">
        <v>100</v>
      </c>
      <c r="K952" s="86">
        <v>300</v>
      </c>
      <c r="L952" s="83">
        <f t="shared" si="151"/>
        <v>1274</v>
      </c>
      <c r="M952" s="94">
        <v>600</v>
      </c>
      <c r="N952" s="83">
        <f>'[2]FGT NON-FIRM'!P963</f>
        <v>75</v>
      </c>
      <c r="O952" s="86">
        <v>240</v>
      </c>
      <c r="P952" s="86">
        <v>40</v>
      </c>
      <c r="Q952" s="86">
        <f t="shared" si="152"/>
        <v>315</v>
      </c>
      <c r="R952" s="86">
        <f t="shared" si="153"/>
        <v>100</v>
      </c>
      <c r="S952" s="83">
        <f t="shared" si="154"/>
        <v>695</v>
      </c>
      <c r="T952" s="83">
        <f>'[2]GULFSTREAM NON-FIRM'!H963</f>
        <v>50</v>
      </c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</row>
    <row r="953" spans="1:30" ht="15.75" hidden="1" x14ac:dyDescent="0.25">
      <c r="A953" s="32">
        <v>69944</v>
      </c>
      <c r="B953" s="95">
        <f t="shared" si="155"/>
        <v>30</v>
      </c>
      <c r="C953" s="83">
        <f>'[2]FGT PRIMARY FIRM ZONE 1'!V964</f>
        <v>194.20499999999998</v>
      </c>
      <c r="D953" s="83">
        <f>'[2]FGT PRIMARY FIRM ZONE 2'!V964</f>
        <v>267.46600000000001</v>
      </c>
      <c r="E953" s="92">
        <f>'[2]FGT PRIMARY FIRM ZONE 3'!V964</f>
        <v>133.845</v>
      </c>
      <c r="F953" s="83">
        <f>'[2]FGT FIRM ZONE 3 MOBILE BAY-DES'!V964-40-25-60-100</f>
        <v>53.48399999999998</v>
      </c>
      <c r="G953" s="86">
        <v>40</v>
      </c>
      <c r="H953" s="83">
        <f t="shared" si="159"/>
        <v>185</v>
      </c>
      <c r="I953" s="83">
        <f t="shared" si="158"/>
        <v>0</v>
      </c>
      <c r="J953" s="86">
        <v>100</v>
      </c>
      <c r="K953" s="86">
        <v>300</v>
      </c>
      <c r="L953" s="83">
        <f t="shared" si="151"/>
        <v>1274</v>
      </c>
      <c r="M953" s="94">
        <v>600</v>
      </c>
      <c r="N953" s="83">
        <f>'[2]FGT NON-FIRM'!P964</f>
        <v>30</v>
      </c>
      <c r="O953" s="86">
        <v>240</v>
      </c>
      <c r="P953" s="86">
        <v>40</v>
      </c>
      <c r="Q953" s="86">
        <f t="shared" si="152"/>
        <v>315</v>
      </c>
      <c r="R953" s="86">
        <f t="shared" si="153"/>
        <v>100</v>
      </c>
      <c r="S953" s="83">
        <f t="shared" si="154"/>
        <v>695</v>
      </c>
      <c r="T953" s="83">
        <f>'[2]GULFSTREAM NON-FIRM'!H964</f>
        <v>50</v>
      </c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</row>
    <row r="954" spans="1:30" ht="15.75" hidden="1" x14ac:dyDescent="0.25">
      <c r="A954" s="32">
        <v>69975</v>
      </c>
      <c r="B954" s="95">
        <f t="shared" si="155"/>
        <v>31</v>
      </c>
      <c r="C954" s="83">
        <f>'[2]FGT PRIMARY FIRM ZONE 1'!V965</f>
        <v>194.20499999999998</v>
      </c>
      <c r="D954" s="83">
        <f>'[2]FGT PRIMARY FIRM ZONE 2'!V965</f>
        <v>267.46600000000001</v>
      </c>
      <c r="E954" s="92">
        <f>'[2]FGT PRIMARY FIRM ZONE 3'!V965</f>
        <v>133.845</v>
      </c>
      <c r="F954" s="83">
        <f>'[2]FGT FIRM ZONE 3 MOBILE BAY-DES'!V965-40-25-60-100</f>
        <v>53.48399999999998</v>
      </c>
      <c r="G954" s="86">
        <v>40</v>
      </c>
      <c r="H954" s="83">
        <f t="shared" si="159"/>
        <v>185</v>
      </c>
      <c r="I954" s="83">
        <f t="shared" si="158"/>
        <v>0</v>
      </c>
      <c r="J954" s="86">
        <v>100</v>
      </c>
      <c r="K954" s="86">
        <v>300</v>
      </c>
      <c r="L954" s="83">
        <f t="shared" si="151"/>
        <v>1274</v>
      </c>
      <c r="M954" s="94">
        <v>600</v>
      </c>
      <c r="N954" s="83">
        <f>'[2]FGT NON-FIRM'!P965</f>
        <v>30</v>
      </c>
      <c r="O954" s="86">
        <v>240</v>
      </c>
      <c r="P954" s="86">
        <v>40</v>
      </c>
      <c r="Q954" s="86">
        <f t="shared" si="152"/>
        <v>315</v>
      </c>
      <c r="R954" s="86">
        <f t="shared" si="153"/>
        <v>100</v>
      </c>
      <c r="S954" s="83">
        <f t="shared" si="154"/>
        <v>695</v>
      </c>
      <c r="T954" s="83">
        <f>'[2]GULFSTREAM NON-FIRM'!H965</f>
        <v>0</v>
      </c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</row>
    <row r="955" spans="1:30" ht="15.75" hidden="1" x14ac:dyDescent="0.25">
      <c r="A955" s="32">
        <v>70006</v>
      </c>
      <c r="B955" s="95">
        <f t="shared" si="155"/>
        <v>31</v>
      </c>
      <c r="C955" s="83">
        <f>'[2]FGT PRIMARY FIRM ZONE 1'!V966</f>
        <v>194.20499999999998</v>
      </c>
      <c r="D955" s="83">
        <f>'[2]FGT PRIMARY FIRM ZONE 2'!V966</f>
        <v>267.46600000000001</v>
      </c>
      <c r="E955" s="92">
        <f>'[2]FGT PRIMARY FIRM ZONE 3'!V966</f>
        <v>133.845</v>
      </c>
      <c r="F955" s="83">
        <f>'[2]FGT FIRM ZONE 3 MOBILE BAY-DES'!V966-40-25-60-100</f>
        <v>53.48399999999998</v>
      </c>
      <c r="G955" s="86">
        <v>40</v>
      </c>
      <c r="H955" s="83">
        <f t="shared" si="159"/>
        <v>185</v>
      </c>
      <c r="I955" s="83">
        <f t="shared" si="158"/>
        <v>0</v>
      </c>
      <c r="J955" s="86">
        <v>100</v>
      </c>
      <c r="K955" s="86">
        <v>300</v>
      </c>
      <c r="L955" s="83">
        <f t="shared" si="151"/>
        <v>1274</v>
      </c>
      <c r="M955" s="94">
        <v>600</v>
      </c>
      <c r="N955" s="83">
        <f>'[2]FGT NON-FIRM'!P966</f>
        <v>30</v>
      </c>
      <c r="O955" s="86">
        <v>240</v>
      </c>
      <c r="P955" s="86">
        <v>40</v>
      </c>
      <c r="Q955" s="86">
        <f t="shared" si="152"/>
        <v>315</v>
      </c>
      <c r="R955" s="86">
        <f t="shared" si="153"/>
        <v>100</v>
      </c>
      <c r="S955" s="83">
        <f t="shared" si="154"/>
        <v>695</v>
      </c>
      <c r="T955" s="83">
        <f>'[2]GULFSTREAM NON-FIRM'!H966</f>
        <v>0</v>
      </c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</row>
    <row r="956" spans="1:30" ht="15.75" hidden="1" x14ac:dyDescent="0.25">
      <c r="A956" s="32">
        <v>70036</v>
      </c>
      <c r="B956" s="95">
        <f t="shared" si="155"/>
        <v>30</v>
      </c>
      <c r="C956" s="83">
        <f>'[2]FGT PRIMARY FIRM ZONE 1'!V967</f>
        <v>194.20499999999998</v>
      </c>
      <c r="D956" s="83">
        <f>'[2]FGT PRIMARY FIRM ZONE 2'!V967</f>
        <v>267.46600000000001</v>
      </c>
      <c r="E956" s="92">
        <f>'[2]FGT PRIMARY FIRM ZONE 3'!V967</f>
        <v>133.845</v>
      </c>
      <c r="F956" s="83">
        <f>'[2]FGT FIRM ZONE 3 MOBILE BAY-DES'!V967-40-25-60-100</f>
        <v>53.48399999999998</v>
      </c>
      <c r="G956" s="86">
        <v>40</v>
      </c>
      <c r="H956" s="83">
        <f t="shared" si="159"/>
        <v>185</v>
      </c>
      <c r="I956" s="83">
        <f t="shared" si="158"/>
        <v>0</v>
      </c>
      <c r="J956" s="86">
        <v>100</v>
      </c>
      <c r="K956" s="86">
        <v>300</v>
      </c>
      <c r="L956" s="83">
        <f t="shared" si="151"/>
        <v>1274</v>
      </c>
      <c r="M956" s="94">
        <v>600</v>
      </c>
      <c r="N956" s="83">
        <f>'[2]FGT NON-FIRM'!P967</f>
        <v>30</v>
      </c>
      <c r="O956" s="86">
        <v>240</v>
      </c>
      <c r="P956" s="86">
        <v>40</v>
      </c>
      <c r="Q956" s="86">
        <f t="shared" si="152"/>
        <v>315</v>
      </c>
      <c r="R956" s="86">
        <f t="shared" si="153"/>
        <v>100</v>
      </c>
      <c r="S956" s="83">
        <f t="shared" si="154"/>
        <v>695</v>
      </c>
      <c r="T956" s="83">
        <f>'[2]GULFSTREAM NON-FIRM'!H967</f>
        <v>0</v>
      </c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</row>
    <row r="957" spans="1:30" ht="15.75" hidden="1" x14ac:dyDescent="0.25">
      <c r="A957" s="32">
        <v>70067</v>
      </c>
      <c r="B957" s="95">
        <f t="shared" si="155"/>
        <v>31</v>
      </c>
      <c r="C957" s="83">
        <f>'[2]FGT PRIMARY FIRM ZONE 1'!V968</f>
        <v>131.881</v>
      </c>
      <c r="D957" s="83">
        <f>'[2]FGT PRIMARY FIRM ZONE 2'!V968</f>
        <v>277.16699999999997</v>
      </c>
      <c r="E957" s="92">
        <f>'[2]FGT PRIMARY FIRM ZONE 3'!V968</f>
        <v>79.08</v>
      </c>
      <c r="F957" s="83">
        <f>'[2]FGT FIRM ZONE 3 MOBILE BAY-DES'!V968-40-25-60-100</f>
        <v>125.87199999999996</v>
      </c>
      <c r="G957" s="86">
        <v>40</v>
      </c>
      <c r="H957" s="83">
        <f t="shared" si="159"/>
        <v>185</v>
      </c>
      <c r="I957" s="83">
        <f t="shared" si="158"/>
        <v>0</v>
      </c>
      <c r="J957" s="86">
        <v>100</v>
      </c>
      <c r="K957" s="86">
        <v>300</v>
      </c>
      <c r="L957" s="83">
        <f t="shared" si="151"/>
        <v>1239</v>
      </c>
      <c r="M957" s="94">
        <v>600</v>
      </c>
      <c r="N957" s="83">
        <f>'[2]FGT NON-FIRM'!P968</f>
        <v>75</v>
      </c>
      <c r="O957" s="86">
        <v>240</v>
      </c>
      <c r="P957" s="86">
        <v>40</v>
      </c>
      <c r="Q957" s="86">
        <f t="shared" si="152"/>
        <v>315</v>
      </c>
      <c r="R957" s="86">
        <f t="shared" si="153"/>
        <v>100</v>
      </c>
      <c r="S957" s="83">
        <f t="shared" si="154"/>
        <v>695</v>
      </c>
      <c r="T957" s="83">
        <f>'[2]GULFSTREAM NON-FIRM'!H968</f>
        <v>0</v>
      </c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</row>
    <row r="958" spans="1:30" ht="15.75" hidden="1" x14ac:dyDescent="0.25">
      <c r="A958" s="32">
        <v>70097</v>
      </c>
      <c r="B958" s="95">
        <f t="shared" si="155"/>
        <v>30</v>
      </c>
      <c r="C958" s="83">
        <f>'[2]FGT PRIMARY FIRM ZONE 1'!V969</f>
        <v>122.58</v>
      </c>
      <c r="D958" s="83">
        <f>'[2]FGT PRIMARY FIRM ZONE 2'!V969</f>
        <v>297.94100000000003</v>
      </c>
      <c r="E958" s="92">
        <f>'[2]FGT PRIMARY FIRM ZONE 3'!V969</f>
        <v>89.177000000000007</v>
      </c>
      <c r="F958" s="83">
        <f>'[2]FGT FIRM ZONE 3 MOBILE BAY-DES'!V969-40-60-100</f>
        <v>40.301999999999992</v>
      </c>
      <c r="G958" s="86">
        <v>40</v>
      </c>
      <c r="H958" s="83">
        <f>60+100</f>
        <v>160</v>
      </c>
      <c r="I958" s="83">
        <f t="shared" si="158"/>
        <v>0</v>
      </c>
      <c r="J958" s="86">
        <v>100</v>
      </c>
      <c r="K958" s="86">
        <v>300</v>
      </c>
      <c r="L958" s="83">
        <f t="shared" si="151"/>
        <v>1150</v>
      </c>
      <c r="M958" s="94">
        <v>600</v>
      </c>
      <c r="N958" s="83">
        <f>'[2]FGT NON-FIRM'!P969</f>
        <v>100</v>
      </c>
      <c r="O958" s="86">
        <v>240</v>
      </c>
      <c r="P958" s="86">
        <v>40</v>
      </c>
      <c r="Q958" s="86">
        <f t="shared" si="152"/>
        <v>315</v>
      </c>
      <c r="R958" s="86">
        <f t="shared" si="153"/>
        <v>100</v>
      </c>
      <c r="S958" s="83">
        <f t="shared" si="154"/>
        <v>695</v>
      </c>
      <c r="T958" s="83">
        <f>'[2]GULFSTREAM NON-FIRM'!H969</f>
        <v>50</v>
      </c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</row>
    <row r="959" spans="1:30" ht="15.75" hidden="1" x14ac:dyDescent="0.25">
      <c r="A959" s="32">
        <v>70128</v>
      </c>
      <c r="B959" s="95">
        <f t="shared" si="155"/>
        <v>31</v>
      </c>
      <c r="C959" s="83">
        <f>'[2]FGT PRIMARY FIRM ZONE 1'!V970</f>
        <v>122.58</v>
      </c>
      <c r="D959" s="83">
        <f>'[2]FGT PRIMARY FIRM ZONE 2'!V970</f>
        <v>297.94100000000003</v>
      </c>
      <c r="E959" s="92">
        <f>'[2]FGT PRIMARY FIRM ZONE 3'!V970</f>
        <v>89.177000000000007</v>
      </c>
      <c r="F959" s="83">
        <f>'[2]FGT FIRM ZONE 3 MOBILE BAY-DES'!V970-40-60-100</f>
        <v>40.301999999999992</v>
      </c>
      <c r="G959" s="86">
        <v>40</v>
      </c>
      <c r="H959" s="83">
        <f>60+100</f>
        <v>160</v>
      </c>
      <c r="I959" s="83">
        <f t="shared" si="158"/>
        <v>0</v>
      </c>
      <c r="J959" s="86">
        <v>100</v>
      </c>
      <c r="K959" s="86">
        <v>300</v>
      </c>
      <c r="L959" s="83">
        <f t="shared" si="151"/>
        <v>1150</v>
      </c>
      <c r="M959" s="94">
        <v>600</v>
      </c>
      <c r="N959" s="83">
        <f>'[2]FGT NON-FIRM'!P970</f>
        <v>100</v>
      </c>
      <c r="O959" s="86">
        <v>240</v>
      </c>
      <c r="P959" s="86">
        <v>40</v>
      </c>
      <c r="Q959" s="86">
        <f t="shared" si="152"/>
        <v>315</v>
      </c>
      <c r="R959" s="86">
        <f t="shared" si="153"/>
        <v>100</v>
      </c>
      <c r="S959" s="83">
        <f t="shared" si="154"/>
        <v>695</v>
      </c>
      <c r="T959" s="83">
        <f>'[2]GULFSTREAM NON-FIRM'!H970</f>
        <v>50</v>
      </c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</row>
    <row r="960" spans="1:30" ht="15.75" hidden="1" x14ac:dyDescent="0.25">
      <c r="A960" s="32">
        <v>70159</v>
      </c>
      <c r="B960" s="95">
        <f t="shared" si="155"/>
        <v>31</v>
      </c>
      <c r="C960" s="83">
        <f>'[2]FGT PRIMARY FIRM ZONE 1'!V971</f>
        <v>122.58</v>
      </c>
      <c r="D960" s="83">
        <f>'[2]FGT PRIMARY FIRM ZONE 2'!V971</f>
        <v>297.94100000000003</v>
      </c>
      <c r="E960" s="92">
        <f>'[2]FGT PRIMARY FIRM ZONE 3'!V971</f>
        <v>89.177000000000007</v>
      </c>
      <c r="F960" s="83">
        <f>'[2]FGT FIRM ZONE 3 MOBILE BAY-DES'!V971-40-60-100</f>
        <v>40.301999999999992</v>
      </c>
      <c r="G960" s="86">
        <v>40</v>
      </c>
      <c r="H960" s="83">
        <f>60+100</f>
        <v>160</v>
      </c>
      <c r="I960" s="83">
        <f t="shared" si="158"/>
        <v>0</v>
      </c>
      <c r="J960" s="86">
        <v>100</v>
      </c>
      <c r="K960" s="86">
        <v>300</v>
      </c>
      <c r="L960" s="83">
        <f t="shared" si="151"/>
        <v>1150</v>
      </c>
      <c r="M960" s="94">
        <v>600</v>
      </c>
      <c r="N960" s="83">
        <f>'[2]FGT NON-FIRM'!P971</f>
        <v>100</v>
      </c>
      <c r="O960" s="86">
        <v>240</v>
      </c>
      <c r="P960" s="86">
        <v>40</v>
      </c>
      <c r="Q960" s="86">
        <f t="shared" si="152"/>
        <v>315</v>
      </c>
      <c r="R960" s="86">
        <f t="shared" si="153"/>
        <v>100</v>
      </c>
      <c r="S960" s="83">
        <f t="shared" si="154"/>
        <v>695</v>
      </c>
      <c r="T960" s="83">
        <f>'[2]GULFSTREAM NON-FIRM'!H971</f>
        <v>50</v>
      </c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</row>
    <row r="961" spans="1:30" ht="15.75" hidden="1" x14ac:dyDescent="0.25">
      <c r="A961" s="32">
        <v>70188</v>
      </c>
      <c r="B961" s="95">
        <f t="shared" si="155"/>
        <v>29</v>
      </c>
      <c r="C961" s="83">
        <f>'[2]FGT PRIMARY FIRM ZONE 1'!V972</f>
        <v>122.58</v>
      </c>
      <c r="D961" s="83">
        <f>'[2]FGT PRIMARY FIRM ZONE 2'!V972</f>
        <v>297.94100000000003</v>
      </c>
      <c r="E961" s="92">
        <f>'[2]FGT PRIMARY FIRM ZONE 3'!V972</f>
        <v>89.177000000000007</v>
      </c>
      <c r="F961" s="83">
        <f>'[2]FGT FIRM ZONE 3 MOBILE BAY-DES'!V972-40-60-100</f>
        <v>40.301999999999992</v>
      </c>
      <c r="G961" s="86">
        <v>40</v>
      </c>
      <c r="H961" s="83">
        <f>60+100</f>
        <v>160</v>
      </c>
      <c r="I961" s="83">
        <f t="shared" si="158"/>
        <v>0</v>
      </c>
      <c r="J961" s="86">
        <v>100</v>
      </c>
      <c r="K961" s="86">
        <v>300</v>
      </c>
      <c r="L961" s="83">
        <f t="shared" si="151"/>
        <v>1150</v>
      </c>
      <c r="M961" s="94">
        <v>600</v>
      </c>
      <c r="N961" s="83">
        <f>'[2]FGT NON-FIRM'!P972</f>
        <v>100</v>
      </c>
      <c r="O961" s="86">
        <v>240</v>
      </c>
      <c r="P961" s="86">
        <v>40</v>
      </c>
      <c r="Q961" s="86">
        <f t="shared" si="152"/>
        <v>315</v>
      </c>
      <c r="R961" s="86">
        <f t="shared" si="153"/>
        <v>100</v>
      </c>
      <c r="S961" s="83">
        <f t="shared" si="154"/>
        <v>695</v>
      </c>
      <c r="T961" s="83">
        <f>'[2]GULFSTREAM NON-FIRM'!H972</f>
        <v>50</v>
      </c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</row>
    <row r="962" spans="1:30" ht="15.75" hidden="1" x14ac:dyDescent="0.25">
      <c r="A962" s="32">
        <v>70219</v>
      </c>
      <c r="B962" s="95">
        <f t="shared" si="155"/>
        <v>31</v>
      </c>
      <c r="C962" s="83">
        <f>'[2]FGT PRIMARY FIRM ZONE 1'!V973</f>
        <v>122.58</v>
      </c>
      <c r="D962" s="83">
        <f>'[2]FGT PRIMARY FIRM ZONE 2'!V973</f>
        <v>297.94100000000003</v>
      </c>
      <c r="E962" s="92">
        <f>'[2]FGT PRIMARY FIRM ZONE 3'!V973</f>
        <v>89.177000000000007</v>
      </c>
      <c r="F962" s="83">
        <f>'[2]FGT FIRM ZONE 3 MOBILE BAY-DES'!V973-40-60-100</f>
        <v>40.301999999999992</v>
      </c>
      <c r="G962" s="86">
        <v>40</v>
      </c>
      <c r="H962" s="83">
        <f>60+100</f>
        <v>160</v>
      </c>
      <c r="I962" s="83">
        <f t="shared" si="158"/>
        <v>0</v>
      </c>
      <c r="J962" s="86">
        <v>100</v>
      </c>
      <c r="K962" s="86">
        <v>300</v>
      </c>
      <c r="L962" s="83">
        <f t="shared" si="151"/>
        <v>1150</v>
      </c>
      <c r="M962" s="94">
        <v>600</v>
      </c>
      <c r="N962" s="83">
        <f>'[2]FGT NON-FIRM'!P973</f>
        <v>100</v>
      </c>
      <c r="O962" s="86">
        <v>240</v>
      </c>
      <c r="P962" s="86">
        <v>40</v>
      </c>
      <c r="Q962" s="86">
        <f t="shared" si="152"/>
        <v>315</v>
      </c>
      <c r="R962" s="86">
        <f t="shared" si="153"/>
        <v>100</v>
      </c>
      <c r="S962" s="83">
        <f t="shared" si="154"/>
        <v>695</v>
      </c>
      <c r="T962" s="83">
        <f>'[2]GULFSTREAM NON-FIRM'!H973</f>
        <v>50</v>
      </c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</row>
    <row r="963" spans="1:30" ht="15.75" hidden="1" x14ac:dyDescent="0.25">
      <c r="A963" s="32">
        <v>70249</v>
      </c>
      <c r="B963" s="95">
        <f t="shared" si="155"/>
        <v>30</v>
      </c>
      <c r="C963" s="83">
        <f>'[2]FGT PRIMARY FIRM ZONE 1'!V974</f>
        <v>141.29300000000001</v>
      </c>
      <c r="D963" s="83">
        <f>'[2]FGT PRIMARY FIRM ZONE 2'!V974</f>
        <v>267.99299999999999</v>
      </c>
      <c r="E963" s="92">
        <f>'[2]FGT PRIMARY FIRM ZONE 3'!V974</f>
        <v>115.01600000000001</v>
      </c>
      <c r="F963" s="83">
        <f>'[2]FGT FIRM ZONE 3 MOBILE BAY-DES'!V974-40-25-60-100</f>
        <v>89.698000000000036</v>
      </c>
      <c r="G963" s="86">
        <v>40</v>
      </c>
      <c r="H963" s="83">
        <f t="shared" ref="H963:H969" si="160">25+60+100</f>
        <v>185</v>
      </c>
      <c r="I963" s="83">
        <f t="shared" si="158"/>
        <v>0</v>
      </c>
      <c r="J963" s="86">
        <v>100</v>
      </c>
      <c r="K963" s="86">
        <v>300</v>
      </c>
      <c r="L963" s="83">
        <f t="shared" si="151"/>
        <v>1239</v>
      </c>
      <c r="M963" s="94">
        <v>600</v>
      </c>
      <c r="N963" s="83">
        <f>'[2]FGT NON-FIRM'!P974</f>
        <v>100</v>
      </c>
      <c r="O963" s="86">
        <v>240</v>
      </c>
      <c r="P963" s="86">
        <v>40</v>
      </c>
      <c r="Q963" s="86">
        <f t="shared" si="152"/>
        <v>315</v>
      </c>
      <c r="R963" s="86">
        <f t="shared" si="153"/>
        <v>100</v>
      </c>
      <c r="S963" s="83">
        <f t="shared" si="154"/>
        <v>695</v>
      </c>
      <c r="T963" s="83">
        <f>'[2]GULFSTREAM NON-FIRM'!H974</f>
        <v>50</v>
      </c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</row>
    <row r="964" spans="1:30" ht="15.75" hidden="1" x14ac:dyDescent="0.25">
      <c r="A964" s="32">
        <v>70280</v>
      </c>
      <c r="B964" s="95">
        <f t="shared" si="155"/>
        <v>31</v>
      </c>
      <c r="C964" s="83">
        <f>'[2]FGT PRIMARY FIRM ZONE 1'!V975</f>
        <v>194.20499999999998</v>
      </c>
      <c r="D964" s="83">
        <f>'[2]FGT PRIMARY FIRM ZONE 2'!V975</f>
        <v>267.46600000000001</v>
      </c>
      <c r="E964" s="92">
        <f>'[2]FGT PRIMARY FIRM ZONE 3'!V975</f>
        <v>133.845</v>
      </c>
      <c r="F964" s="83">
        <f>'[2]FGT FIRM ZONE 3 MOBILE BAY-DES'!V975-40-25-60-100</f>
        <v>53.48399999999998</v>
      </c>
      <c r="G964" s="86">
        <v>40</v>
      </c>
      <c r="H964" s="83">
        <f t="shared" si="160"/>
        <v>185</v>
      </c>
      <c r="I964" s="83">
        <f t="shared" si="158"/>
        <v>0</v>
      </c>
      <c r="J964" s="86">
        <v>100</v>
      </c>
      <c r="K964" s="86">
        <v>300</v>
      </c>
      <c r="L964" s="83">
        <f t="shared" si="151"/>
        <v>1274</v>
      </c>
      <c r="M964" s="94">
        <v>600</v>
      </c>
      <c r="N964" s="83">
        <f>'[2]FGT NON-FIRM'!P975</f>
        <v>75</v>
      </c>
      <c r="O964" s="86">
        <v>240</v>
      </c>
      <c r="P964" s="86">
        <v>40</v>
      </c>
      <c r="Q964" s="86">
        <f t="shared" si="152"/>
        <v>315</v>
      </c>
      <c r="R964" s="86">
        <f t="shared" si="153"/>
        <v>100</v>
      </c>
      <c r="S964" s="83">
        <f t="shared" si="154"/>
        <v>695</v>
      </c>
      <c r="T964" s="83">
        <f>'[2]GULFSTREAM NON-FIRM'!H975</f>
        <v>50</v>
      </c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</row>
    <row r="965" spans="1:30" ht="15.75" hidden="1" x14ac:dyDescent="0.25">
      <c r="A965" s="32">
        <v>70310</v>
      </c>
      <c r="B965" s="95">
        <f t="shared" si="155"/>
        <v>30</v>
      </c>
      <c r="C965" s="83">
        <f>'[2]FGT PRIMARY FIRM ZONE 1'!V976</f>
        <v>194.20499999999998</v>
      </c>
      <c r="D965" s="83">
        <f>'[2]FGT PRIMARY FIRM ZONE 2'!V976</f>
        <v>267.46600000000001</v>
      </c>
      <c r="E965" s="92">
        <f>'[2]FGT PRIMARY FIRM ZONE 3'!V976</f>
        <v>133.845</v>
      </c>
      <c r="F965" s="83">
        <f>'[2]FGT FIRM ZONE 3 MOBILE BAY-DES'!V976-40-25-60-100</f>
        <v>53.48399999999998</v>
      </c>
      <c r="G965" s="86">
        <v>40</v>
      </c>
      <c r="H965" s="83">
        <f t="shared" si="160"/>
        <v>185</v>
      </c>
      <c r="I965" s="83">
        <f t="shared" si="158"/>
        <v>0</v>
      </c>
      <c r="J965" s="86">
        <v>100</v>
      </c>
      <c r="K965" s="86">
        <v>300</v>
      </c>
      <c r="L965" s="83">
        <f t="shared" si="151"/>
        <v>1274</v>
      </c>
      <c r="M965" s="94">
        <v>600</v>
      </c>
      <c r="N965" s="83">
        <f>'[2]FGT NON-FIRM'!P976</f>
        <v>30</v>
      </c>
      <c r="O965" s="86">
        <v>240</v>
      </c>
      <c r="P965" s="86">
        <v>40</v>
      </c>
      <c r="Q965" s="86">
        <f t="shared" si="152"/>
        <v>315</v>
      </c>
      <c r="R965" s="86">
        <f t="shared" si="153"/>
        <v>100</v>
      </c>
      <c r="S965" s="83">
        <f t="shared" si="154"/>
        <v>695</v>
      </c>
      <c r="T965" s="83">
        <f>'[2]GULFSTREAM NON-FIRM'!H976</f>
        <v>50</v>
      </c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</row>
    <row r="966" spans="1:30" ht="15.75" hidden="1" x14ac:dyDescent="0.25">
      <c r="A966" s="32">
        <v>70341</v>
      </c>
      <c r="B966" s="95">
        <f t="shared" si="155"/>
        <v>31</v>
      </c>
      <c r="C966" s="83">
        <f>'[2]FGT PRIMARY FIRM ZONE 1'!V977</f>
        <v>194.20499999999998</v>
      </c>
      <c r="D966" s="83">
        <f>'[2]FGT PRIMARY FIRM ZONE 2'!V977</f>
        <v>267.46600000000001</v>
      </c>
      <c r="E966" s="92">
        <f>'[2]FGT PRIMARY FIRM ZONE 3'!V977</f>
        <v>133.845</v>
      </c>
      <c r="F966" s="83">
        <f>'[2]FGT FIRM ZONE 3 MOBILE BAY-DES'!V977-40-25-60-100</f>
        <v>53.48399999999998</v>
      </c>
      <c r="G966" s="86">
        <v>40</v>
      </c>
      <c r="H966" s="83">
        <f t="shared" si="160"/>
        <v>185</v>
      </c>
      <c r="I966" s="83">
        <f t="shared" si="158"/>
        <v>0</v>
      </c>
      <c r="J966" s="86">
        <v>100</v>
      </c>
      <c r="K966" s="86">
        <v>300</v>
      </c>
      <c r="L966" s="83">
        <f t="shared" si="151"/>
        <v>1274</v>
      </c>
      <c r="M966" s="94">
        <v>600</v>
      </c>
      <c r="N966" s="83">
        <f>'[2]FGT NON-FIRM'!P977</f>
        <v>30</v>
      </c>
      <c r="O966" s="86">
        <v>240</v>
      </c>
      <c r="P966" s="86">
        <v>40</v>
      </c>
      <c r="Q966" s="86">
        <f t="shared" si="152"/>
        <v>315</v>
      </c>
      <c r="R966" s="86">
        <f t="shared" si="153"/>
        <v>100</v>
      </c>
      <c r="S966" s="83">
        <f t="shared" si="154"/>
        <v>695</v>
      </c>
      <c r="T966" s="83">
        <f>'[2]GULFSTREAM NON-FIRM'!H977</f>
        <v>0</v>
      </c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</row>
    <row r="967" spans="1:30" ht="15.75" hidden="1" x14ac:dyDescent="0.25">
      <c r="A967" s="32">
        <v>70372</v>
      </c>
      <c r="B967" s="95">
        <f t="shared" si="155"/>
        <v>31</v>
      </c>
      <c r="C967" s="83">
        <f>'[2]FGT PRIMARY FIRM ZONE 1'!V978</f>
        <v>194.20499999999998</v>
      </c>
      <c r="D967" s="83">
        <f>'[2]FGT PRIMARY FIRM ZONE 2'!V978</f>
        <v>267.46600000000001</v>
      </c>
      <c r="E967" s="92">
        <f>'[2]FGT PRIMARY FIRM ZONE 3'!V978</f>
        <v>133.845</v>
      </c>
      <c r="F967" s="83">
        <f>'[2]FGT FIRM ZONE 3 MOBILE BAY-DES'!V978-40-25-60-100</f>
        <v>53.48399999999998</v>
      </c>
      <c r="G967" s="86">
        <v>40</v>
      </c>
      <c r="H967" s="83">
        <f t="shared" si="160"/>
        <v>185</v>
      </c>
      <c r="I967" s="83">
        <f t="shared" si="158"/>
        <v>0</v>
      </c>
      <c r="J967" s="86">
        <v>100</v>
      </c>
      <c r="K967" s="86">
        <v>300</v>
      </c>
      <c r="L967" s="83">
        <f t="shared" si="151"/>
        <v>1274</v>
      </c>
      <c r="M967" s="94">
        <v>600</v>
      </c>
      <c r="N967" s="83">
        <f>'[2]FGT NON-FIRM'!P978</f>
        <v>30</v>
      </c>
      <c r="O967" s="86">
        <v>240</v>
      </c>
      <c r="P967" s="86">
        <v>40</v>
      </c>
      <c r="Q967" s="86">
        <f t="shared" si="152"/>
        <v>315</v>
      </c>
      <c r="R967" s="86">
        <f t="shared" si="153"/>
        <v>100</v>
      </c>
      <c r="S967" s="83">
        <f t="shared" si="154"/>
        <v>695</v>
      </c>
      <c r="T967" s="83">
        <f>'[2]GULFSTREAM NON-FIRM'!H978</f>
        <v>0</v>
      </c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</row>
    <row r="968" spans="1:30" ht="15.75" hidden="1" x14ac:dyDescent="0.25">
      <c r="A968" s="32">
        <v>70402</v>
      </c>
      <c r="B968" s="95">
        <f t="shared" si="155"/>
        <v>30</v>
      </c>
      <c r="C968" s="83">
        <f>'[2]FGT PRIMARY FIRM ZONE 1'!V979</f>
        <v>194.20499999999998</v>
      </c>
      <c r="D968" s="83">
        <f>'[2]FGT PRIMARY FIRM ZONE 2'!V979</f>
        <v>267.46600000000001</v>
      </c>
      <c r="E968" s="92">
        <f>'[2]FGT PRIMARY FIRM ZONE 3'!V979</f>
        <v>133.845</v>
      </c>
      <c r="F968" s="83">
        <f>'[2]FGT FIRM ZONE 3 MOBILE BAY-DES'!V979-40-25-60-100</f>
        <v>53.48399999999998</v>
      </c>
      <c r="G968" s="86">
        <v>40</v>
      </c>
      <c r="H968" s="83">
        <f t="shared" si="160"/>
        <v>185</v>
      </c>
      <c r="I968" s="83">
        <f t="shared" si="158"/>
        <v>0</v>
      </c>
      <c r="J968" s="86">
        <v>100</v>
      </c>
      <c r="K968" s="86">
        <v>300</v>
      </c>
      <c r="L968" s="83">
        <f t="shared" si="151"/>
        <v>1274</v>
      </c>
      <c r="M968" s="94">
        <v>600</v>
      </c>
      <c r="N968" s="83">
        <f>'[2]FGT NON-FIRM'!P979</f>
        <v>30</v>
      </c>
      <c r="O968" s="86">
        <v>240</v>
      </c>
      <c r="P968" s="86">
        <v>40</v>
      </c>
      <c r="Q968" s="86">
        <f t="shared" si="152"/>
        <v>315</v>
      </c>
      <c r="R968" s="86">
        <f t="shared" si="153"/>
        <v>100</v>
      </c>
      <c r="S968" s="83">
        <f t="shared" si="154"/>
        <v>695</v>
      </c>
      <c r="T968" s="83">
        <f>'[2]GULFSTREAM NON-FIRM'!H979</f>
        <v>0</v>
      </c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</row>
    <row r="969" spans="1:30" ht="15.75" hidden="1" x14ac:dyDescent="0.25">
      <c r="A969" s="32">
        <v>70433</v>
      </c>
      <c r="B969" s="95">
        <f t="shared" si="155"/>
        <v>31</v>
      </c>
      <c r="C969" s="83">
        <f>'[2]FGT PRIMARY FIRM ZONE 1'!V980</f>
        <v>131.881</v>
      </c>
      <c r="D969" s="83">
        <f>'[2]FGT PRIMARY FIRM ZONE 2'!V980</f>
        <v>277.16699999999997</v>
      </c>
      <c r="E969" s="92">
        <f>'[2]FGT PRIMARY FIRM ZONE 3'!V980</f>
        <v>79.08</v>
      </c>
      <c r="F969" s="83">
        <f>'[2]FGT FIRM ZONE 3 MOBILE BAY-DES'!V980-40-25-60-100</f>
        <v>125.87199999999996</v>
      </c>
      <c r="G969" s="86">
        <v>40</v>
      </c>
      <c r="H969" s="83">
        <f t="shared" si="160"/>
        <v>185</v>
      </c>
      <c r="I969" s="83">
        <f t="shared" si="158"/>
        <v>0</v>
      </c>
      <c r="J969" s="86">
        <v>100</v>
      </c>
      <c r="K969" s="86">
        <v>300</v>
      </c>
      <c r="L969" s="83">
        <f t="shared" si="151"/>
        <v>1239</v>
      </c>
      <c r="M969" s="94">
        <v>600</v>
      </c>
      <c r="N969" s="83">
        <f>'[2]FGT NON-FIRM'!P980</f>
        <v>75</v>
      </c>
      <c r="O969" s="86">
        <v>240</v>
      </c>
      <c r="P969" s="86">
        <v>40</v>
      </c>
      <c r="Q969" s="86">
        <f t="shared" si="152"/>
        <v>315</v>
      </c>
      <c r="R969" s="86">
        <f t="shared" si="153"/>
        <v>100</v>
      </c>
      <c r="S969" s="83">
        <f t="shared" si="154"/>
        <v>695</v>
      </c>
      <c r="T969" s="83">
        <f>'[2]GULFSTREAM NON-FIRM'!H980</f>
        <v>0</v>
      </c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</row>
    <row r="970" spans="1:30" ht="15.75" hidden="1" x14ac:dyDescent="0.25">
      <c r="A970" s="32">
        <v>70463</v>
      </c>
      <c r="B970" s="95">
        <f t="shared" si="155"/>
        <v>30</v>
      </c>
      <c r="C970" s="83">
        <f>'[2]FGT PRIMARY FIRM ZONE 1'!V981</f>
        <v>122.58</v>
      </c>
      <c r="D970" s="83">
        <f>'[2]FGT PRIMARY FIRM ZONE 2'!V981</f>
        <v>297.94100000000003</v>
      </c>
      <c r="E970" s="92">
        <f>'[2]FGT PRIMARY FIRM ZONE 3'!V981</f>
        <v>89.177000000000007</v>
      </c>
      <c r="F970" s="83">
        <f>'[2]FGT FIRM ZONE 3 MOBILE BAY-DES'!V981-40-60-100</f>
        <v>40.301999999999992</v>
      </c>
      <c r="G970" s="86">
        <v>40</v>
      </c>
      <c r="H970" s="83">
        <f>60+100</f>
        <v>160</v>
      </c>
      <c r="I970" s="83">
        <f t="shared" si="158"/>
        <v>0</v>
      </c>
      <c r="J970" s="86">
        <v>100</v>
      </c>
      <c r="K970" s="86">
        <v>300</v>
      </c>
      <c r="L970" s="83">
        <f t="shared" si="151"/>
        <v>1150</v>
      </c>
      <c r="M970" s="94">
        <v>600</v>
      </c>
      <c r="N970" s="83">
        <f>'[2]FGT NON-FIRM'!P981</f>
        <v>100</v>
      </c>
      <c r="O970" s="86">
        <v>240</v>
      </c>
      <c r="P970" s="86">
        <v>40</v>
      </c>
      <c r="Q970" s="86">
        <f t="shared" si="152"/>
        <v>315</v>
      </c>
      <c r="R970" s="86">
        <f t="shared" si="153"/>
        <v>100</v>
      </c>
      <c r="S970" s="83">
        <f t="shared" si="154"/>
        <v>695</v>
      </c>
      <c r="T970" s="83">
        <f>'[2]GULFSTREAM NON-FIRM'!H981</f>
        <v>50</v>
      </c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</row>
    <row r="971" spans="1:30" ht="15.75" hidden="1" x14ac:dyDescent="0.25">
      <c r="A971" s="32">
        <v>70494</v>
      </c>
      <c r="B971" s="95">
        <f t="shared" si="155"/>
        <v>31</v>
      </c>
      <c r="C971" s="83">
        <f>'[2]FGT PRIMARY FIRM ZONE 1'!V982</f>
        <v>122.58</v>
      </c>
      <c r="D971" s="83">
        <f>'[2]FGT PRIMARY FIRM ZONE 2'!V982</f>
        <v>297.94100000000003</v>
      </c>
      <c r="E971" s="92">
        <f>'[2]FGT PRIMARY FIRM ZONE 3'!V982</f>
        <v>89.177000000000007</v>
      </c>
      <c r="F971" s="83">
        <f>'[2]FGT FIRM ZONE 3 MOBILE BAY-DES'!V982-40-60-100</f>
        <v>40.301999999999992</v>
      </c>
      <c r="G971" s="86">
        <v>40</v>
      </c>
      <c r="H971" s="83">
        <f>60+100</f>
        <v>160</v>
      </c>
      <c r="I971" s="83">
        <f t="shared" si="158"/>
        <v>0</v>
      </c>
      <c r="J971" s="86">
        <v>100</v>
      </c>
      <c r="K971" s="86">
        <v>300</v>
      </c>
      <c r="L971" s="83">
        <f t="shared" si="151"/>
        <v>1150</v>
      </c>
      <c r="M971" s="94">
        <v>600</v>
      </c>
      <c r="N971" s="83">
        <f>'[2]FGT NON-FIRM'!P982</f>
        <v>100</v>
      </c>
      <c r="O971" s="86">
        <v>240</v>
      </c>
      <c r="P971" s="86">
        <v>40</v>
      </c>
      <c r="Q971" s="86">
        <f t="shared" si="152"/>
        <v>315</v>
      </c>
      <c r="R971" s="86">
        <f t="shared" si="153"/>
        <v>100</v>
      </c>
      <c r="S971" s="83">
        <f t="shared" si="154"/>
        <v>695</v>
      </c>
      <c r="T971" s="83">
        <f>'[2]GULFSTREAM NON-FIRM'!H982</f>
        <v>50</v>
      </c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</row>
    <row r="972" spans="1:30" ht="15.75" hidden="1" x14ac:dyDescent="0.25">
      <c r="A972" s="32">
        <v>70525</v>
      </c>
      <c r="B972" s="95">
        <f t="shared" si="155"/>
        <v>31</v>
      </c>
      <c r="C972" s="83">
        <f>'[2]FGT PRIMARY FIRM ZONE 1'!V983</f>
        <v>122.58</v>
      </c>
      <c r="D972" s="83">
        <f>'[2]FGT PRIMARY FIRM ZONE 2'!V983</f>
        <v>297.94100000000003</v>
      </c>
      <c r="E972" s="92">
        <f>'[2]FGT PRIMARY FIRM ZONE 3'!V983</f>
        <v>89.177000000000007</v>
      </c>
      <c r="F972" s="83">
        <f>'[2]FGT FIRM ZONE 3 MOBILE BAY-DES'!V983-40-60-100</f>
        <v>40.301999999999992</v>
      </c>
      <c r="G972" s="86">
        <v>40</v>
      </c>
      <c r="H972" s="83">
        <f>60+100</f>
        <v>160</v>
      </c>
      <c r="I972" s="83">
        <f t="shared" si="158"/>
        <v>0</v>
      </c>
      <c r="J972" s="86">
        <v>100</v>
      </c>
      <c r="K972" s="86">
        <v>300</v>
      </c>
      <c r="L972" s="83">
        <f t="shared" si="151"/>
        <v>1150</v>
      </c>
      <c r="M972" s="94">
        <v>600</v>
      </c>
      <c r="N972" s="83">
        <f>'[2]FGT NON-FIRM'!P983</f>
        <v>100</v>
      </c>
      <c r="O972" s="86">
        <v>240</v>
      </c>
      <c r="P972" s="86">
        <v>40</v>
      </c>
      <c r="Q972" s="86">
        <f t="shared" si="152"/>
        <v>315</v>
      </c>
      <c r="R972" s="86">
        <f t="shared" si="153"/>
        <v>100</v>
      </c>
      <c r="S972" s="83">
        <f t="shared" si="154"/>
        <v>695</v>
      </c>
      <c r="T972" s="83">
        <f>'[2]GULFSTREAM NON-FIRM'!H983</f>
        <v>50</v>
      </c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</row>
    <row r="973" spans="1:30" ht="15.75" hidden="1" x14ac:dyDescent="0.25">
      <c r="A973" s="32">
        <v>70553</v>
      </c>
      <c r="B973" s="95">
        <f t="shared" si="155"/>
        <v>28</v>
      </c>
      <c r="C973" s="83">
        <f>'[2]FGT PRIMARY FIRM ZONE 1'!V984</f>
        <v>122.58</v>
      </c>
      <c r="D973" s="83">
        <f>'[2]FGT PRIMARY FIRM ZONE 2'!V984</f>
        <v>297.94100000000003</v>
      </c>
      <c r="E973" s="92">
        <f>'[2]FGT PRIMARY FIRM ZONE 3'!V984</f>
        <v>89.177000000000007</v>
      </c>
      <c r="F973" s="83">
        <f>'[2]FGT FIRM ZONE 3 MOBILE BAY-DES'!V984-40-60-100</f>
        <v>40.301999999999992</v>
      </c>
      <c r="G973" s="86">
        <v>40</v>
      </c>
      <c r="H973" s="83">
        <f>60+100</f>
        <v>160</v>
      </c>
      <c r="I973" s="83">
        <f t="shared" si="158"/>
        <v>0</v>
      </c>
      <c r="J973" s="86">
        <v>100</v>
      </c>
      <c r="K973" s="86">
        <v>300</v>
      </c>
      <c r="L973" s="83">
        <f t="shared" si="151"/>
        <v>1150</v>
      </c>
      <c r="M973" s="94">
        <v>600</v>
      </c>
      <c r="N973" s="83">
        <f>'[2]FGT NON-FIRM'!P984</f>
        <v>100</v>
      </c>
      <c r="O973" s="86">
        <v>240</v>
      </c>
      <c r="P973" s="86">
        <v>40</v>
      </c>
      <c r="Q973" s="86">
        <f t="shared" si="152"/>
        <v>315</v>
      </c>
      <c r="R973" s="86">
        <f t="shared" si="153"/>
        <v>100</v>
      </c>
      <c r="S973" s="83">
        <f t="shared" si="154"/>
        <v>695</v>
      </c>
      <c r="T973" s="83">
        <f>'[2]GULFSTREAM NON-FIRM'!H984</f>
        <v>50</v>
      </c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</row>
    <row r="974" spans="1:30" ht="15.75" hidden="1" x14ac:dyDescent="0.25">
      <c r="A974" s="32">
        <v>70584</v>
      </c>
      <c r="B974" s="95">
        <f t="shared" si="155"/>
        <v>31</v>
      </c>
      <c r="C974" s="83">
        <f>'[2]FGT PRIMARY FIRM ZONE 1'!V985</f>
        <v>122.58</v>
      </c>
      <c r="D974" s="83">
        <f>'[2]FGT PRIMARY FIRM ZONE 2'!V985</f>
        <v>297.94100000000003</v>
      </c>
      <c r="E974" s="92">
        <f>'[2]FGT PRIMARY FIRM ZONE 3'!V985</f>
        <v>89.177000000000007</v>
      </c>
      <c r="F974" s="83">
        <f>'[2]FGT FIRM ZONE 3 MOBILE BAY-DES'!V985-40-60-100</f>
        <v>40.301999999999992</v>
      </c>
      <c r="G974" s="86">
        <v>40</v>
      </c>
      <c r="H974" s="83">
        <f>60+100</f>
        <v>160</v>
      </c>
      <c r="I974" s="83">
        <f t="shared" si="158"/>
        <v>0</v>
      </c>
      <c r="J974" s="86">
        <v>100</v>
      </c>
      <c r="K974" s="86">
        <v>300</v>
      </c>
      <c r="L974" s="83">
        <f t="shared" si="151"/>
        <v>1150</v>
      </c>
      <c r="M974" s="94">
        <v>600</v>
      </c>
      <c r="N974" s="83">
        <f>'[2]FGT NON-FIRM'!P985</f>
        <v>100</v>
      </c>
      <c r="O974" s="86">
        <v>240</v>
      </c>
      <c r="P974" s="86">
        <v>40</v>
      </c>
      <c r="Q974" s="86">
        <f t="shared" si="152"/>
        <v>315</v>
      </c>
      <c r="R974" s="86">
        <f t="shared" si="153"/>
        <v>100</v>
      </c>
      <c r="S974" s="83">
        <f t="shared" si="154"/>
        <v>695</v>
      </c>
      <c r="T974" s="83">
        <f>'[2]GULFSTREAM NON-FIRM'!H985</f>
        <v>50</v>
      </c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</row>
    <row r="975" spans="1:30" ht="15.75" hidden="1" x14ac:dyDescent="0.25">
      <c r="A975" s="32">
        <v>70614</v>
      </c>
      <c r="B975" s="95">
        <f t="shared" si="155"/>
        <v>30</v>
      </c>
      <c r="C975" s="83">
        <f>'[2]FGT PRIMARY FIRM ZONE 1'!V986</f>
        <v>141.29300000000001</v>
      </c>
      <c r="D975" s="83">
        <f>'[2]FGT PRIMARY FIRM ZONE 2'!V986</f>
        <v>267.99299999999999</v>
      </c>
      <c r="E975" s="92">
        <f>'[2]FGT PRIMARY FIRM ZONE 3'!V986</f>
        <v>115.01600000000001</v>
      </c>
      <c r="F975" s="83">
        <f>'[2]FGT FIRM ZONE 3 MOBILE BAY-DES'!V986-40-25-60-100</f>
        <v>89.698000000000036</v>
      </c>
      <c r="G975" s="86">
        <v>40</v>
      </c>
      <c r="H975" s="83">
        <f t="shared" ref="H975:H981" si="161">25+60+100</f>
        <v>185</v>
      </c>
      <c r="I975" s="83">
        <f t="shared" si="158"/>
        <v>0</v>
      </c>
      <c r="J975" s="86">
        <v>100</v>
      </c>
      <c r="K975" s="86">
        <v>300</v>
      </c>
      <c r="L975" s="83">
        <f t="shared" si="151"/>
        <v>1239</v>
      </c>
      <c r="M975" s="94">
        <v>600</v>
      </c>
      <c r="N975" s="83">
        <f>'[2]FGT NON-FIRM'!P986</f>
        <v>100</v>
      </c>
      <c r="O975" s="86">
        <v>240</v>
      </c>
      <c r="P975" s="86">
        <v>40</v>
      </c>
      <c r="Q975" s="86">
        <f t="shared" si="152"/>
        <v>315</v>
      </c>
      <c r="R975" s="86">
        <f t="shared" si="153"/>
        <v>100</v>
      </c>
      <c r="S975" s="83">
        <f t="shared" si="154"/>
        <v>695</v>
      </c>
      <c r="T975" s="83">
        <f>'[2]GULFSTREAM NON-FIRM'!H986</f>
        <v>50</v>
      </c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</row>
    <row r="976" spans="1:30" ht="15.75" hidden="1" x14ac:dyDescent="0.25">
      <c r="A976" s="32">
        <v>70645</v>
      </c>
      <c r="B976" s="95">
        <f t="shared" si="155"/>
        <v>31</v>
      </c>
      <c r="C976" s="83">
        <f>'[2]FGT PRIMARY FIRM ZONE 1'!V987</f>
        <v>194.20499999999998</v>
      </c>
      <c r="D976" s="83">
        <f>'[2]FGT PRIMARY FIRM ZONE 2'!V987</f>
        <v>267.46600000000001</v>
      </c>
      <c r="E976" s="92">
        <f>'[2]FGT PRIMARY FIRM ZONE 3'!V987</f>
        <v>133.845</v>
      </c>
      <c r="F976" s="83">
        <f>'[2]FGT FIRM ZONE 3 MOBILE BAY-DES'!V987-40-25-60-100</f>
        <v>53.48399999999998</v>
      </c>
      <c r="G976" s="86">
        <v>40</v>
      </c>
      <c r="H976" s="83">
        <f t="shared" si="161"/>
        <v>185</v>
      </c>
      <c r="I976" s="83">
        <f t="shared" si="158"/>
        <v>0</v>
      </c>
      <c r="J976" s="86">
        <v>100</v>
      </c>
      <c r="K976" s="86">
        <v>300</v>
      </c>
      <c r="L976" s="83">
        <f t="shared" si="151"/>
        <v>1274</v>
      </c>
      <c r="M976" s="94">
        <v>600</v>
      </c>
      <c r="N976" s="83">
        <f>'[2]FGT NON-FIRM'!P987</f>
        <v>75</v>
      </c>
      <c r="O976" s="86">
        <v>240</v>
      </c>
      <c r="P976" s="86">
        <v>40</v>
      </c>
      <c r="Q976" s="86">
        <f t="shared" si="152"/>
        <v>315</v>
      </c>
      <c r="R976" s="86">
        <f t="shared" si="153"/>
        <v>100</v>
      </c>
      <c r="S976" s="83">
        <f t="shared" si="154"/>
        <v>695</v>
      </c>
      <c r="T976" s="83">
        <f>'[2]GULFSTREAM NON-FIRM'!H987</f>
        <v>50</v>
      </c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</row>
    <row r="977" spans="1:30" ht="15.75" hidden="1" x14ac:dyDescent="0.25">
      <c r="A977" s="32">
        <v>70675</v>
      </c>
      <c r="B977" s="95">
        <f t="shared" si="155"/>
        <v>30</v>
      </c>
      <c r="C977" s="83">
        <f>'[2]FGT PRIMARY FIRM ZONE 1'!V988</f>
        <v>194.20499999999998</v>
      </c>
      <c r="D977" s="83">
        <f>'[2]FGT PRIMARY FIRM ZONE 2'!V988</f>
        <v>267.46600000000001</v>
      </c>
      <c r="E977" s="92">
        <f>'[2]FGT PRIMARY FIRM ZONE 3'!V988</f>
        <v>133.845</v>
      </c>
      <c r="F977" s="83">
        <f>'[2]FGT FIRM ZONE 3 MOBILE BAY-DES'!V988-40-25-60-100</f>
        <v>53.48399999999998</v>
      </c>
      <c r="G977" s="86">
        <v>40</v>
      </c>
      <c r="H977" s="83">
        <f t="shared" si="161"/>
        <v>185</v>
      </c>
      <c r="I977" s="83">
        <f t="shared" si="158"/>
        <v>0</v>
      </c>
      <c r="J977" s="86">
        <v>100</v>
      </c>
      <c r="K977" s="86">
        <v>300</v>
      </c>
      <c r="L977" s="83">
        <f t="shared" si="151"/>
        <v>1274</v>
      </c>
      <c r="M977" s="94">
        <v>600</v>
      </c>
      <c r="N977" s="83">
        <f>'[2]FGT NON-FIRM'!P988</f>
        <v>30</v>
      </c>
      <c r="O977" s="86">
        <v>240</v>
      </c>
      <c r="P977" s="86">
        <v>40</v>
      </c>
      <c r="Q977" s="86">
        <f t="shared" si="152"/>
        <v>315</v>
      </c>
      <c r="R977" s="86">
        <f t="shared" si="153"/>
        <v>100</v>
      </c>
      <c r="S977" s="83">
        <f t="shared" si="154"/>
        <v>695</v>
      </c>
      <c r="T977" s="83">
        <f>'[2]GULFSTREAM NON-FIRM'!H988</f>
        <v>50</v>
      </c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</row>
    <row r="978" spans="1:30" ht="15.75" hidden="1" x14ac:dyDescent="0.25">
      <c r="A978" s="32">
        <v>70706</v>
      </c>
      <c r="B978" s="95">
        <f t="shared" si="155"/>
        <v>31</v>
      </c>
      <c r="C978" s="83">
        <f>'[2]FGT PRIMARY FIRM ZONE 1'!V989</f>
        <v>194.20499999999998</v>
      </c>
      <c r="D978" s="83">
        <f>'[2]FGT PRIMARY FIRM ZONE 2'!V989</f>
        <v>267.46600000000001</v>
      </c>
      <c r="E978" s="92">
        <f>'[2]FGT PRIMARY FIRM ZONE 3'!V989</f>
        <v>133.845</v>
      </c>
      <c r="F978" s="83">
        <f>'[2]FGT FIRM ZONE 3 MOBILE BAY-DES'!V989-40-25-60-100</f>
        <v>53.48399999999998</v>
      </c>
      <c r="G978" s="86">
        <v>40</v>
      </c>
      <c r="H978" s="83">
        <f t="shared" si="161"/>
        <v>185</v>
      </c>
      <c r="I978" s="83">
        <f t="shared" si="158"/>
        <v>0</v>
      </c>
      <c r="J978" s="86">
        <v>100</v>
      </c>
      <c r="K978" s="86">
        <v>300</v>
      </c>
      <c r="L978" s="83">
        <f t="shared" si="151"/>
        <v>1274</v>
      </c>
      <c r="M978" s="94">
        <v>600</v>
      </c>
      <c r="N978" s="83">
        <f>'[2]FGT NON-FIRM'!P989</f>
        <v>30</v>
      </c>
      <c r="O978" s="86">
        <v>240</v>
      </c>
      <c r="P978" s="86">
        <v>40</v>
      </c>
      <c r="Q978" s="86">
        <f t="shared" si="152"/>
        <v>315</v>
      </c>
      <c r="R978" s="86">
        <f t="shared" si="153"/>
        <v>100</v>
      </c>
      <c r="S978" s="83">
        <f t="shared" si="154"/>
        <v>695</v>
      </c>
      <c r="T978" s="83">
        <f>'[2]GULFSTREAM NON-FIRM'!H989</f>
        <v>0</v>
      </c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</row>
    <row r="979" spans="1:30" ht="15.75" hidden="1" x14ac:dyDescent="0.25">
      <c r="A979" s="32">
        <v>70737</v>
      </c>
      <c r="B979" s="95">
        <f t="shared" si="155"/>
        <v>31</v>
      </c>
      <c r="C979" s="83">
        <f>'[2]FGT PRIMARY FIRM ZONE 1'!V990</f>
        <v>194.20499999999998</v>
      </c>
      <c r="D979" s="83">
        <f>'[2]FGT PRIMARY FIRM ZONE 2'!V990</f>
        <v>267.46600000000001</v>
      </c>
      <c r="E979" s="92">
        <f>'[2]FGT PRIMARY FIRM ZONE 3'!V990</f>
        <v>133.845</v>
      </c>
      <c r="F979" s="83">
        <f>'[2]FGT FIRM ZONE 3 MOBILE BAY-DES'!V990-40-25-60-100</f>
        <v>53.48399999999998</v>
      </c>
      <c r="G979" s="86">
        <v>40</v>
      </c>
      <c r="H979" s="83">
        <f t="shared" si="161"/>
        <v>185</v>
      </c>
      <c r="I979" s="83">
        <f t="shared" si="158"/>
        <v>0</v>
      </c>
      <c r="J979" s="86">
        <v>100</v>
      </c>
      <c r="K979" s="86">
        <v>300</v>
      </c>
      <c r="L979" s="83">
        <f t="shared" si="151"/>
        <v>1274</v>
      </c>
      <c r="M979" s="94">
        <v>600</v>
      </c>
      <c r="N979" s="83">
        <f>'[2]FGT NON-FIRM'!P990</f>
        <v>30</v>
      </c>
      <c r="O979" s="86">
        <v>240</v>
      </c>
      <c r="P979" s="86">
        <v>40</v>
      </c>
      <c r="Q979" s="86">
        <f t="shared" si="152"/>
        <v>315</v>
      </c>
      <c r="R979" s="86">
        <f t="shared" si="153"/>
        <v>100</v>
      </c>
      <c r="S979" s="83">
        <f t="shared" si="154"/>
        <v>695</v>
      </c>
      <c r="T979" s="83">
        <f>'[2]GULFSTREAM NON-FIRM'!H990</f>
        <v>0</v>
      </c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</row>
    <row r="980" spans="1:30" ht="15.75" hidden="1" x14ac:dyDescent="0.25">
      <c r="A980" s="32">
        <v>70767</v>
      </c>
      <c r="B980" s="95">
        <f t="shared" si="155"/>
        <v>30</v>
      </c>
      <c r="C980" s="83">
        <f>'[2]FGT PRIMARY FIRM ZONE 1'!V991</f>
        <v>194.20499999999998</v>
      </c>
      <c r="D980" s="83">
        <f>'[2]FGT PRIMARY FIRM ZONE 2'!V991</f>
        <v>267.46600000000001</v>
      </c>
      <c r="E980" s="92">
        <f>'[2]FGT PRIMARY FIRM ZONE 3'!V991</f>
        <v>133.845</v>
      </c>
      <c r="F980" s="83">
        <f>'[2]FGT FIRM ZONE 3 MOBILE BAY-DES'!V991-40-25-60-100</f>
        <v>53.48399999999998</v>
      </c>
      <c r="G980" s="86">
        <v>40</v>
      </c>
      <c r="H980" s="83">
        <f t="shared" si="161"/>
        <v>185</v>
      </c>
      <c r="I980" s="83">
        <f t="shared" si="158"/>
        <v>0</v>
      </c>
      <c r="J980" s="86">
        <v>100</v>
      </c>
      <c r="K980" s="86">
        <v>300</v>
      </c>
      <c r="L980" s="83">
        <f t="shared" ref="L980:L1043" si="162">SUM(C980:K980)</f>
        <v>1274</v>
      </c>
      <c r="M980" s="94">
        <v>600</v>
      </c>
      <c r="N980" s="83">
        <f>'[2]FGT NON-FIRM'!P991</f>
        <v>30</v>
      </c>
      <c r="O980" s="86">
        <v>240</v>
      </c>
      <c r="P980" s="86">
        <v>40</v>
      </c>
      <c r="Q980" s="86">
        <f t="shared" ref="Q980:Q1043" si="163">695-R980-O980-P980</f>
        <v>315</v>
      </c>
      <c r="R980" s="86">
        <f t="shared" ref="R980:R1043" si="164">200-J980</f>
        <v>100</v>
      </c>
      <c r="S980" s="83">
        <f t="shared" ref="S980:S1043" si="165">SUM(O980:R980)</f>
        <v>695</v>
      </c>
      <c r="T980" s="83">
        <f>'[2]GULFSTREAM NON-FIRM'!H991</f>
        <v>0</v>
      </c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</row>
    <row r="981" spans="1:30" ht="15.75" hidden="1" x14ac:dyDescent="0.25">
      <c r="A981" s="32">
        <v>70798</v>
      </c>
      <c r="B981" s="95">
        <f t="shared" si="155"/>
        <v>31</v>
      </c>
      <c r="C981" s="83">
        <f>'[2]FGT PRIMARY FIRM ZONE 1'!V992</f>
        <v>131.881</v>
      </c>
      <c r="D981" s="83">
        <f>'[2]FGT PRIMARY FIRM ZONE 2'!V992</f>
        <v>277.16699999999997</v>
      </c>
      <c r="E981" s="92">
        <f>'[2]FGT PRIMARY FIRM ZONE 3'!V992</f>
        <v>79.08</v>
      </c>
      <c r="F981" s="83">
        <f>'[2]FGT FIRM ZONE 3 MOBILE BAY-DES'!V992-40-25-60-100</f>
        <v>125.87199999999996</v>
      </c>
      <c r="G981" s="86">
        <v>40</v>
      </c>
      <c r="H981" s="83">
        <f t="shared" si="161"/>
        <v>185</v>
      </c>
      <c r="I981" s="83">
        <f t="shared" si="158"/>
        <v>0</v>
      </c>
      <c r="J981" s="86">
        <v>100</v>
      </c>
      <c r="K981" s="86">
        <v>300</v>
      </c>
      <c r="L981" s="83">
        <f t="shared" si="162"/>
        <v>1239</v>
      </c>
      <c r="M981" s="94">
        <v>600</v>
      </c>
      <c r="N981" s="83">
        <f>'[2]FGT NON-FIRM'!P992</f>
        <v>75</v>
      </c>
      <c r="O981" s="86">
        <v>240</v>
      </c>
      <c r="P981" s="86">
        <v>40</v>
      </c>
      <c r="Q981" s="86">
        <f t="shared" si="163"/>
        <v>315</v>
      </c>
      <c r="R981" s="86">
        <f t="shared" si="164"/>
        <v>100</v>
      </c>
      <c r="S981" s="83">
        <f t="shared" si="165"/>
        <v>695</v>
      </c>
      <c r="T981" s="83">
        <f>'[2]GULFSTREAM NON-FIRM'!H992</f>
        <v>0</v>
      </c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</row>
    <row r="982" spans="1:30" ht="15.75" hidden="1" x14ac:dyDescent="0.25">
      <c r="A982" s="32">
        <v>70828</v>
      </c>
      <c r="B982" s="95">
        <f t="shared" si="155"/>
        <v>30</v>
      </c>
      <c r="C982" s="83">
        <f>'[2]FGT PRIMARY FIRM ZONE 1'!V993</f>
        <v>122.58</v>
      </c>
      <c r="D982" s="83">
        <f>'[2]FGT PRIMARY FIRM ZONE 2'!V993</f>
        <v>297.94100000000003</v>
      </c>
      <c r="E982" s="92">
        <f>'[2]FGT PRIMARY FIRM ZONE 3'!V993</f>
        <v>89.177000000000007</v>
      </c>
      <c r="F982" s="83">
        <f>'[2]FGT FIRM ZONE 3 MOBILE BAY-DES'!V993-40-60-100</f>
        <v>40.301999999999992</v>
      </c>
      <c r="G982" s="86">
        <v>40</v>
      </c>
      <c r="H982" s="83">
        <f>60+100</f>
        <v>160</v>
      </c>
      <c r="I982" s="83">
        <f t="shared" si="158"/>
        <v>0</v>
      </c>
      <c r="J982" s="86">
        <v>100</v>
      </c>
      <c r="K982" s="86">
        <v>300</v>
      </c>
      <c r="L982" s="83">
        <f t="shared" si="162"/>
        <v>1150</v>
      </c>
      <c r="M982" s="94">
        <v>600</v>
      </c>
      <c r="N982" s="83">
        <f>'[2]FGT NON-FIRM'!P993</f>
        <v>100</v>
      </c>
      <c r="O982" s="86">
        <v>240</v>
      </c>
      <c r="P982" s="86">
        <v>40</v>
      </c>
      <c r="Q982" s="86">
        <f t="shared" si="163"/>
        <v>315</v>
      </c>
      <c r="R982" s="86">
        <f t="shared" si="164"/>
        <v>100</v>
      </c>
      <c r="S982" s="83">
        <f t="shared" si="165"/>
        <v>695</v>
      </c>
      <c r="T982" s="83">
        <f>'[2]GULFSTREAM NON-FIRM'!H993</f>
        <v>50</v>
      </c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</row>
    <row r="983" spans="1:30" ht="15.75" hidden="1" x14ac:dyDescent="0.25">
      <c r="A983" s="32">
        <v>70859</v>
      </c>
      <c r="B983" s="95">
        <f t="shared" si="155"/>
        <v>31</v>
      </c>
      <c r="C983" s="83">
        <f>'[2]FGT PRIMARY FIRM ZONE 1'!V994</f>
        <v>122.58</v>
      </c>
      <c r="D983" s="83">
        <f>'[2]FGT PRIMARY FIRM ZONE 2'!V994</f>
        <v>297.94100000000003</v>
      </c>
      <c r="E983" s="92">
        <f>'[2]FGT PRIMARY FIRM ZONE 3'!V994</f>
        <v>89.177000000000007</v>
      </c>
      <c r="F983" s="83">
        <f>'[2]FGT FIRM ZONE 3 MOBILE BAY-DES'!V994-40-60-100</f>
        <v>40.301999999999992</v>
      </c>
      <c r="G983" s="86">
        <v>40</v>
      </c>
      <c r="H983" s="83">
        <f>60+100</f>
        <v>160</v>
      </c>
      <c r="I983" s="83">
        <f t="shared" si="158"/>
        <v>0</v>
      </c>
      <c r="J983" s="86">
        <v>100</v>
      </c>
      <c r="K983" s="86">
        <v>300</v>
      </c>
      <c r="L983" s="83">
        <f t="shared" si="162"/>
        <v>1150</v>
      </c>
      <c r="M983" s="94">
        <v>600</v>
      </c>
      <c r="N983" s="83">
        <f>'[2]FGT NON-FIRM'!P994</f>
        <v>100</v>
      </c>
      <c r="O983" s="86">
        <v>240</v>
      </c>
      <c r="P983" s="86">
        <v>40</v>
      </c>
      <c r="Q983" s="86">
        <f t="shared" si="163"/>
        <v>315</v>
      </c>
      <c r="R983" s="86">
        <f t="shared" si="164"/>
        <v>100</v>
      </c>
      <c r="S983" s="83">
        <f t="shared" si="165"/>
        <v>695</v>
      </c>
      <c r="T983" s="83">
        <f>'[2]GULFSTREAM NON-FIRM'!H994</f>
        <v>50</v>
      </c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</row>
    <row r="984" spans="1:30" ht="15.75" hidden="1" x14ac:dyDescent="0.25">
      <c r="A984" s="32">
        <v>70890</v>
      </c>
      <c r="B984" s="95">
        <f t="shared" ref="B984:B1047" si="166">EOMONTH(A984,0)-EOMONTH(A984,-1)</f>
        <v>31</v>
      </c>
      <c r="C984" s="83">
        <f>'[2]FGT PRIMARY FIRM ZONE 1'!V995</f>
        <v>122.58</v>
      </c>
      <c r="D984" s="83">
        <f>'[2]FGT PRIMARY FIRM ZONE 2'!V995</f>
        <v>297.94100000000003</v>
      </c>
      <c r="E984" s="92">
        <f>'[2]FGT PRIMARY FIRM ZONE 3'!V995</f>
        <v>89.177000000000007</v>
      </c>
      <c r="F984" s="83">
        <f>'[2]FGT FIRM ZONE 3 MOBILE BAY-DES'!V995-40-60-100</f>
        <v>40.301999999999992</v>
      </c>
      <c r="G984" s="86">
        <v>40</v>
      </c>
      <c r="H984" s="83">
        <f>60+100</f>
        <v>160</v>
      </c>
      <c r="I984" s="83">
        <f t="shared" si="158"/>
        <v>0</v>
      </c>
      <c r="J984" s="86">
        <v>100</v>
      </c>
      <c r="K984" s="86">
        <v>300</v>
      </c>
      <c r="L984" s="83">
        <f t="shared" si="162"/>
        <v>1150</v>
      </c>
      <c r="M984" s="94">
        <v>600</v>
      </c>
      <c r="N984" s="83">
        <f>'[2]FGT NON-FIRM'!P995</f>
        <v>100</v>
      </c>
      <c r="O984" s="86">
        <v>240</v>
      </c>
      <c r="P984" s="86">
        <v>40</v>
      </c>
      <c r="Q984" s="86">
        <f t="shared" si="163"/>
        <v>315</v>
      </c>
      <c r="R984" s="86">
        <f t="shared" si="164"/>
        <v>100</v>
      </c>
      <c r="S984" s="83">
        <f t="shared" si="165"/>
        <v>695</v>
      </c>
      <c r="T984" s="83">
        <f>'[2]GULFSTREAM NON-FIRM'!H995</f>
        <v>50</v>
      </c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</row>
    <row r="985" spans="1:30" ht="15.75" hidden="1" x14ac:dyDescent="0.25">
      <c r="A985" s="32">
        <v>70918</v>
      </c>
      <c r="B985" s="95">
        <f t="shared" si="166"/>
        <v>28</v>
      </c>
      <c r="C985" s="83">
        <f>'[2]FGT PRIMARY FIRM ZONE 1'!V996</f>
        <v>122.58</v>
      </c>
      <c r="D985" s="83">
        <f>'[2]FGT PRIMARY FIRM ZONE 2'!V996</f>
        <v>297.94100000000003</v>
      </c>
      <c r="E985" s="92">
        <f>'[2]FGT PRIMARY FIRM ZONE 3'!V996</f>
        <v>89.177000000000007</v>
      </c>
      <c r="F985" s="83">
        <f>'[2]FGT FIRM ZONE 3 MOBILE BAY-DES'!V996-40-60-100</f>
        <v>40.301999999999992</v>
      </c>
      <c r="G985" s="86">
        <v>40</v>
      </c>
      <c r="H985" s="83">
        <f>60+100</f>
        <v>160</v>
      </c>
      <c r="I985" s="83">
        <f t="shared" si="158"/>
        <v>0</v>
      </c>
      <c r="J985" s="86">
        <v>100</v>
      </c>
      <c r="K985" s="86">
        <v>300</v>
      </c>
      <c r="L985" s="83">
        <f t="shared" si="162"/>
        <v>1150</v>
      </c>
      <c r="M985" s="94">
        <v>600</v>
      </c>
      <c r="N985" s="83">
        <f>'[2]FGT NON-FIRM'!P996</f>
        <v>100</v>
      </c>
      <c r="O985" s="86">
        <v>240</v>
      </c>
      <c r="P985" s="86">
        <v>40</v>
      </c>
      <c r="Q985" s="86">
        <f t="shared" si="163"/>
        <v>315</v>
      </c>
      <c r="R985" s="86">
        <f t="shared" si="164"/>
        <v>100</v>
      </c>
      <c r="S985" s="83">
        <f t="shared" si="165"/>
        <v>695</v>
      </c>
      <c r="T985" s="83">
        <f>'[2]GULFSTREAM NON-FIRM'!H996</f>
        <v>50</v>
      </c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</row>
    <row r="986" spans="1:30" ht="15.75" hidden="1" x14ac:dyDescent="0.25">
      <c r="A986" s="32">
        <v>70949</v>
      </c>
      <c r="B986" s="95">
        <f t="shared" si="166"/>
        <v>31</v>
      </c>
      <c r="C986" s="83">
        <f>'[2]FGT PRIMARY FIRM ZONE 1'!V997</f>
        <v>122.58</v>
      </c>
      <c r="D986" s="83">
        <f>'[2]FGT PRIMARY FIRM ZONE 2'!V997</f>
        <v>297.94100000000003</v>
      </c>
      <c r="E986" s="92">
        <f>'[2]FGT PRIMARY FIRM ZONE 3'!V997</f>
        <v>89.177000000000007</v>
      </c>
      <c r="F986" s="83">
        <f>'[2]FGT FIRM ZONE 3 MOBILE BAY-DES'!V997-40-60-100</f>
        <v>40.301999999999992</v>
      </c>
      <c r="G986" s="86">
        <v>40</v>
      </c>
      <c r="H986" s="83">
        <f>60+100</f>
        <v>160</v>
      </c>
      <c r="I986" s="83">
        <f t="shared" si="158"/>
        <v>0</v>
      </c>
      <c r="J986" s="86">
        <v>100</v>
      </c>
      <c r="K986" s="86">
        <v>300</v>
      </c>
      <c r="L986" s="83">
        <f t="shared" si="162"/>
        <v>1150</v>
      </c>
      <c r="M986" s="94">
        <v>600</v>
      </c>
      <c r="N986" s="83">
        <f>'[2]FGT NON-FIRM'!P997</f>
        <v>100</v>
      </c>
      <c r="O986" s="86">
        <v>240</v>
      </c>
      <c r="P986" s="86">
        <v>40</v>
      </c>
      <c r="Q986" s="86">
        <f t="shared" si="163"/>
        <v>315</v>
      </c>
      <c r="R986" s="86">
        <f t="shared" si="164"/>
        <v>100</v>
      </c>
      <c r="S986" s="83">
        <f t="shared" si="165"/>
        <v>695</v>
      </c>
      <c r="T986" s="83">
        <f>'[2]GULFSTREAM NON-FIRM'!H997</f>
        <v>50</v>
      </c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</row>
    <row r="987" spans="1:30" ht="15.75" hidden="1" x14ac:dyDescent="0.25">
      <c r="A987" s="32">
        <v>70979</v>
      </c>
      <c r="B987" s="95">
        <f t="shared" si="166"/>
        <v>30</v>
      </c>
      <c r="C987" s="83">
        <f>'[2]FGT PRIMARY FIRM ZONE 1'!V998</f>
        <v>141.29300000000001</v>
      </c>
      <c r="D987" s="83">
        <f>'[2]FGT PRIMARY FIRM ZONE 2'!V998</f>
        <v>267.99299999999999</v>
      </c>
      <c r="E987" s="92">
        <f>'[2]FGT PRIMARY FIRM ZONE 3'!V998</f>
        <v>115.01600000000001</v>
      </c>
      <c r="F987" s="83">
        <f>'[2]FGT FIRM ZONE 3 MOBILE BAY-DES'!V998-40-25-60-100</f>
        <v>89.698000000000036</v>
      </c>
      <c r="G987" s="86">
        <v>40</v>
      </c>
      <c r="H987" s="83">
        <f t="shared" ref="H987:H993" si="167">25+60+100</f>
        <v>185</v>
      </c>
      <c r="I987" s="83">
        <f t="shared" si="158"/>
        <v>0</v>
      </c>
      <c r="J987" s="86">
        <v>100</v>
      </c>
      <c r="K987" s="86">
        <v>300</v>
      </c>
      <c r="L987" s="83">
        <f t="shared" si="162"/>
        <v>1239</v>
      </c>
      <c r="M987" s="94">
        <v>600</v>
      </c>
      <c r="N987" s="83">
        <f>'[2]FGT NON-FIRM'!P998</f>
        <v>100</v>
      </c>
      <c r="O987" s="86">
        <v>240</v>
      </c>
      <c r="P987" s="86">
        <v>40</v>
      </c>
      <c r="Q987" s="86">
        <f t="shared" si="163"/>
        <v>315</v>
      </c>
      <c r="R987" s="86">
        <f t="shared" si="164"/>
        <v>100</v>
      </c>
      <c r="S987" s="83">
        <f t="shared" si="165"/>
        <v>695</v>
      </c>
      <c r="T987" s="83">
        <f>'[2]GULFSTREAM NON-FIRM'!H998</f>
        <v>50</v>
      </c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</row>
    <row r="988" spans="1:30" ht="15.75" hidden="1" x14ac:dyDescent="0.25">
      <c r="A988" s="32">
        <v>71010</v>
      </c>
      <c r="B988" s="95">
        <f t="shared" si="166"/>
        <v>31</v>
      </c>
      <c r="C988" s="83">
        <f>'[2]FGT PRIMARY FIRM ZONE 1'!V999</f>
        <v>194.20499999999998</v>
      </c>
      <c r="D988" s="83">
        <f>'[2]FGT PRIMARY FIRM ZONE 2'!V999</f>
        <v>267.46600000000001</v>
      </c>
      <c r="E988" s="92">
        <f>'[2]FGT PRIMARY FIRM ZONE 3'!V999</f>
        <v>133.845</v>
      </c>
      <c r="F988" s="83">
        <f>'[2]FGT FIRM ZONE 3 MOBILE BAY-DES'!V999-40-25-60-100</f>
        <v>53.48399999999998</v>
      </c>
      <c r="G988" s="86">
        <v>40</v>
      </c>
      <c r="H988" s="83">
        <f t="shared" si="167"/>
        <v>185</v>
      </c>
      <c r="I988" s="83">
        <f t="shared" si="158"/>
        <v>0</v>
      </c>
      <c r="J988" s="86">
        <v>100</v>
      </c>
      <c r="K988" s="86">
        <v>300</v>
      </c>
      <c r="L988" s="83">
        <f t="shared" si="162"/>
        <v>1274</v>
      </c>
      <c r="M988" s="94">
        <v>600</v>
      </c>
      <c r="N988" s="83">
        <f>'[2]FGT NON-FIRM'!P999</f>
        <v>75</v>
      </c>
      <c r="O988" s="86">
        <v>240</v>
      </c>
      <c r="P988" s="86">
        <v>40</v>
      </c>
      <c r="Q988" s="86">
        <f t="shared" si="163"/>
        <v>315</v>
      </c>
      <c r="R988" s="86">
        <f t="shared" si="164"/>
        <v>100</v>
      </c>
      <c r="S988" s="83">
        <f t="shared" si="165"/>
        <v>695</v>
      </c>
      <c r="T988" s="83">
        <f>'[2]GULFSTREAM NON-FIRM'!H999</f>
        <v>50</v>
      </c>
      <c r="U988" s="84"/>
      <c r="V988" s="84"/>
      <c r="W988" s="84"/>
      <c r="X988" s="84"/>
      <c r="Y988" s="84"/>
      <c r="Z988" s="84"/>
      <c r="AA988" s="84"/>
      <c r="AB988" s="84"/>
      <c r="AC988" s="84"/>
      <c r="AD988" s="84"/>
    </row>
    <row r="989" spans="1:30" ht="15.75" hidden="1" x14ac:dyDescent="0.25">
      <c r="A989" s="32">
        <v>71040</v>
      </c>
      <c r="B989" s="95">
        <f t="shared" si="166"/>
        <v>30</v>
      </c>
      <c r="C989" s="83">
        <f>'[2]FGT PRIMARY FIRM ZONE 1'!V1000</f>
        <v>194.20499999999998</v>
      </c>
      <c r="D989" s="83">
        <f>'[2]FGT PRIMARY FIRM ZONE 2'!V1000</f>
        <v>267.46600000000001</v>
      </c>
      <c r="E989" s="92">
        <f>'[2]FGT PRIMARY FIRM ZONE 3'!V1000</f>
        <v>133.845</v>
      </c>
      <c r="F989" s="83">
        <f>'[2]FGT FIRM ZONE 3 MOBILE BAY-DES'!V1000-40-25-60-100</f>
        <v>53.48399999999998</v>
      </c>
      <c r="G989" s="86">
        <v>40</v>
      </c>
      <c r="H989" s="83">
        <f t="shared" si="167"/>
        <v>185</v>
      </c>
      <c r="I989" s="83">
        <f t="shared" si="158"/>
        <v>0</v>
      </c>
      <c r="J989" s="86">
        <v>100</v>
      </c>
      <c r="K989" s="86">
        <v>300</v>
      </c>
      <c r="L989" s="83">
        <f t="shared" si="162"/>
        <v>1274</v>
      </c>
      <c r="M989" s="94">
        <v>600</v>
      </c>
      <c r="N989" s="83">
        <f>'[2]FGT NON-FIRM'!P1000</f>
        <v>30</v>
      </c>
      <c r="O989" s="86">
        <v>240</v>
      </c>
      <c r="P989" s="86">
        <v>40</v>
      </c>
      <c r="Q989" s="86">
        <f t="shared" si="163"/>
        <v>315</v>
      </c>
      <c r="R989" s="86">
        <f t="shared" si="164"/>
        <v>100</v>
      </c>
      <c r="S989" s="83">
        <f t="shared" si="165"/>
        <v>695</v>
      </c>
      <c r="T989" s="83">
        <f>'[2]GULFSTREAM NON-FIRM'!H1000</f>
        <v>50</v>
      </c>
      <c r="U989" s="84"/>
      <c r="V989" s="84"/>
      <c r="W989" s="84"/>
      <c r="X989" s="84"/>
      <c r="Y989" s="84"/>
      <c r="Z989" s="84"/>
      <c r="AA989" s="84"/>
      <c r="AB989" s="84"/>
      <c r="AC989" s="84"/>
      <c r="AD989" s="84"/>
    </row>
    <row r="990" spans="1:30" ht="15.75" hidden="1" x14ac:dyDescent="0.25">
      <c r="A990" s="32">
        <v>71071</v>
      </c>
      <c r="B990" s="95">
        <f t="shared" si="166"/>
        <v>31</v>
      </c>
      <c r="C990" s="83">
        <f>'[2]FGT PRIMARY FIRM ZONE 1'!V1001</f>
        <v>194.20499999999998</v>
      </c>
      <c r="D990" s="83">
        <f>'[2]FGT PRIMARY FIRM ZONE 2'!V1001</f>
        <v>267.46600000000001</v>
      </c>
      <c r="E990" s="92">
        <f>'[2]FGT PRIMARY FIRM ZONE 3'!V1001</f>
        <v>133.845</v>
      </c>
      <c r="F990" s="83">
        <f>'[2]FGT FIRM ZONE 3 MOBILE BAY-DES'!V1001-40-25-60-100</f>
        <v>53.48399999999998</v>
      </c>
      <c r="G990" s="86">
        <v>40</v>
      </c>
      <c r="H990" s="83">
        <f t="shared" si="167"/>
        <v>185</v>
      </c>
      <c r="I990" s="83">
        <f t="shared" si="158"/>
        <v>0</v>
      </c>
      <c r="J990" s="86">
        <v>100</v>
      </c>
      <c r="K990" s="86">
        <v>300</v>
      </c>
      <c r="L990" s="83">
        <f t="shared" si="162"/>
        <v>1274</v>
      </c>
      <c r="M990" s="94">
        <v>600</v>
      </c>
      <c r="N990" s="83">
        <f>'[2]FGT NON-FIRM'!P1001</f>
        <v>30</v>
      </c>
      <c r="O990" s="86">
        <v>240</v>
      </c>
      <c r="P990" s="86">
        <v>40</v>
      </c>
      <c r="Q990" s="86">
        <f t="shared" si="163"/>
        <v>315</v>
      </c>
      <c r="R990" s="86">
        <f t="shared" si="164"/>
        <v>100</v>
      </c>
      <c r="S990" s="83">
        <f t="shared" si="165"/>
        <v>695</v>
      </c>
      <c r="T990" s="83">
        <f>'[2]GULFSTREAM NON-FIRM'!H1001</f>
        <v>0</v>
      </c>
      <c r="U990" s="84"/>
      <c r="V990" s="84"/>
      <c r="W990" s="84"/>
      <c r="X990" s="84"/>
      <c r="Y990" s="84"/>
      <c r="Z990" s="84"/>
      <c r="AA990" s="84"/>
      <c r="AB990" s="84"/>
      <c r="AC990" s="84"/>
      <c r="AD990" s="84"/>
    </row>
    <row r="991" spans="1:30" ht="15.75" hidden="1" x14ac:dyDescent="0.25">
      <c r="A991" s="32">
        <v>71102</v>
      </c>
      <c r="B991" s="95">
        <f t="shared" si="166"/>
        <v>31</v>
      </c>
      <c r="C991" s="83">
        <f>'[2]FGT PRIMARY FIRM ZONE 1'!V1002</f>
        <v>194.20499999999998</v>
      </c>
      <c r="D991" s="83">
        <f>'[2]FGT PRIMARY FIRM ZONE 2'!V1002</f>
        <v>267.46600000000001</v>
      </c>
      <c r="E991" s="92">
        <f>'[2]FGT PRIMARY FIRM ZONE 3'!V1002</f>
        <v>133.845</v>
      </c>
      <c r="F991" s="83">
        <f>'[2]FGT FIRM ZONE 3 MOBILE BAY-DES'!V1002-40-25-60-100</f>
        <v>53.48399999999998</v>
      </c>
      <c r="G991" s="86">
        <v>40</v>
      </c>
      <c r="H991" s="83">
        <f t="shared" si="167"/>
        <v>185</v>
      </c>
      <c r="I991" s="83">
        <f t="shared" si="158"/>
        <v>0</v>
      </c>
      <c r="J991" s="86">
        <v>100</v>
      </c>
      <c r="K991" s="86">
        <v>300</v>
      </c>
      <c r="L991" s="83">
        <f t="shared" si="162"/>
        <v>1274</v>
      </c>
      <c r="M991" s="94">
        <v>600</v>
      </c>
      <c r="N991" s="83">
        <f>'[2]FGT NON-FIRM'!P1002</f>
        <v>30</v>
      </c>
      <c r="O991" s="86">
        <v>240</v>
      </c>
      <c r="P991" s="86">
        <v>40</v>
      </c>
      <c r="Q991" s="86">
        <f t="shared" si="163"/>
        <v>315</v>
      </c>
      <c r="R991" s="86">
        <f t="shared" si="164"/>
        <v>100</v>
      </c>
      <c r="S991" s="83">
        <f t="shared" si="165"/>
        <v>695</v>
      </c>
      <c r="T991" s="83">
        <f>'[2]GULFSTREAM NON-FIRM'!H1002</f>
        <v>0</v>
      </c>
      <c r="U991" s="84"/>
      <c r="V991" s="84"/>
      <c r="W991" s="84"/>
      <c r="X991" s="84"/>
      <c r="Y991" s="84"/>
      <c r="Z991" s="84"/>
      <c r="AA991" s="84"/>
      <c r="AB991" s="84"/>
      <c r="AC991" s="84"/>
      <c r="AD991" s="84"/>
    </row>
    <row r="992" spans="1:30" ht="15.75" hidden="1" x14ac:dyDescent="0.25">
      <c r="A992" s="32">
        <v>71132</v>
      </c>
      <c r="B992" s="95">
        <f t="shared" si="166"/>
        <v>30</v>
      </c>
      <c r="C992" s="83">
        <f>'[2]FGT PRIMARY FIRM ZONE 1'!V1003</f>
        <v>194.20499999999998</v>
      </c>
      <c r="D992" s="83">
        <f>'[2]FGT PRIMARY FIRM ZONE 2'!V1003</f>
        <v>267.46600000000001</v>
      </c>
      <c r="E992" s="92">
        <f>'[2]FGT PRIMARY FIRM ZONE 3'!V1003</f>
        <v>133.845</v>
      </c>
      <c r="F992" s="83">
        <f>'[2]FGT FIRM ZONE 3 MOBILE BAY-DES'!V1003-40-25-60-100</f>
        <v>53.48399999999998</v>
      </c>
      <c r="G992" s="86">
        <v>40</v>
      </c>
      <c r="H992" s="83">
        <f t="shared" si="167"/>
        <v>185</v>
      </c>
      <c r="I992" s="83">
        <f t="shared" si="158"/>
        <v>0</v>
      </c>
      <c r="J992" s="86">
        <v>100</v>
      </c>
      <c r="K992" s="86">
        <v>300</v>
      </c>
      <c r="L992" s="83">
        <f t="shared" si="162"/>
        <v>1274</v>
      </c>
      <c r="M992" s="94">
        <v>600</v>
      </c>
      <c r="N992" s="83">
        <f>'[2]FGT NON-FIRM'!P1003</f>
        <v>30</v>
      </c>
      <c r="O992" s="86">
        <v>240</v>
      </c>
      <c r="P992" s="86">
        <v>40</v>
      </c>
      <c r="Q992" s="86">
        <f t="shared" si="163"/>
        <v>315</v>
      </c>
      <c r="R992" s="86">
        <f t="shared" si="164"/>
        <v>100</v>
      </c>
      <c r="S992" s="83">
        <f t="shared" si="165"/>
        <v>695</v>
      </c>
      <c r="T992" s="83">
        <f>'[2]GULFSTREAM NON-FIRM'!H1003</f>
        <v>0</v>
      </c>
      <c r="U992" s="84"/>
      <c r="V992" s="84"/>
      <c r="W992" s="84"/>
      <c r="X992" s="84"/>
      <c r="Y992" s="84"/>
      <c r="Z992" s="84"/>
      <c r="AA992" s="84"/>
      <c r="AB992" s="84"/>
      <c r="AC992" s="84"/>
      <c r="AD992" s="84"/>
    </row>
    <row r="993" spans="1:30" ht="15.75" hidden="1" x14ac:dyDescent="0.25">
      <c r="A993" s="32">
        <v>71163</v>
      </c>
      <c r="B993" s="95">
        <f t="shared" si="166"/>
        <v>31</v>
      </c>
      <c r="C993" s="83">
        <f>'[2]FGT PRIMARY FIRM ZONE 1'!V1004</f>
        <v>131.881</v>
      </c>
      <c r="D993" s="83">
        <f>'[2]FGT PRIMARY FIRM ZONE 2'!V1004</f>
        <v>277.16699999999997</v>
      </c>
      <c r="E993" s="92">
        <f>'[2]FGT PRIMARY FIRM ZONE 3'!V1004</f>
        <v>79.08</v>
      </c>
      <c r="F993" s="83">
        <f>'[2]FGT FIRM ZONE 3 MOBILE BAY-DES'!V1004-40-25-60-100</f>
        <v>125.87199999999996</v>
      </c>
      <c r="G993" s="86">
        <v>40</v>
      </c>
      <c r="H993" s="83">
        <f t="shared" si="167"/>
        <v>185</v>
      </c>
      <c r="I993" s="83">
        <f t="shared" si="158"/>
        <v>0</v>
      </c>
      <c r="J993" s="86">
        <v>100</v>
      </c>
      <c r="K993" s="86">
        <v>300</v>
      </c>
      <c r="L993" s="83">
        <f t="shared" si="162"/>
        <v>1239</v>
      </c>
      <c r="M993" s="94">
        <v>600</v>
      </c>
      <c r="N993" s="83">
        <f>'[2]FGT NON-FIRM'!P1004</f>
        <v>75</v>
      </c>
      <c r="O993" s="86">
        <v>240</v>
      </c>
      <c r="P993" s="86">
        <v>40</v>
      </c>
      <c r="Q993" s="86">
        <f t="shared" si="163"/>
        <v>315</v>
      </c>
      <c r="R993" s="86">
        <f t="shared" si="164"/>
        <v>100</v>
      </c>
      <c r="S993" s="83">
        <f t="shared" si="165"/>
        <v>695</v>
      </c>
      <c r="T993" s="83">
        <f>'[2]GULFSTREAM NON-FIRM'!H1004</f>
        <v>0</v>
      </c>
      <c r="U993" s="84"/>
      <c r="V993" s="84"/>
      <c r="W993" s="84"/>
      <c r="X993" s="84"/>
      <c r="Y993" s="84"/>
      <c r="Z993" s="84"/>
      <c r="AA993" s="84"/>
      <c r="AB993" s="84"/>
      <c r="AC993" s="84"/>
      <c r="AD993" s="84"/>
    </row>
    <row r="994" spans="1:30" ht="15.75" hidden="1" x14ac:dyDescent="0.25">
      <c r="A994" s="32">
        <v>71193</v>
      </c>
      <c r="B994" s="95">
        <f t="shared" si="166"/>
        <v>30</v>
      </c>
      <c r="C994" s="83">
        <f>'[2]FGT PRIMARY FIRM ZONE 1'!V1005</f>
        <v>122.58</v>
      </c>
      <c r="D994" s="83">
        <f>'[2]FGT PRIMARY FIRM ZONE 2'!V1005</f>
        <v>297.94100000000003</v>
      </c>
      <c r="E994" s="92">
        <f>'[2]FGT PRIMARY FIRM ZONE 3'!V1005</f>
        <v>89.177000000000007</v>
      </c>
      <c r="F994" s="83">
        <f>'[2]FGT FIRM ZONE 3 MOBILE BAY-DES'!V1005-40-60-100</f>
        <v>40.301999999999992</v>
      </c>
      <c r="G994" s="86">
        <v>40</v>
      </c>
      <c r="H994" s="83">
        <f>60+100</f>
        <v>160</v>
      </c>
      <c r="I994" s="83">
        <f t="shared" si="158"/>
        <v>0</v>
      </c>
      <c r="J994" s="86">
        <v>100</v>
      </c>
      <c r="K994" s="86">
        <v>300</v>
      </c>
      <c r="L994" s="83">
        <f t="shared" si="162"/>
        <v>1150</v>
      </c>
      <c r="M994" s="94">
        <v>600</v>
      </c>
      <c r="N994" s="83">
        <f>'[2]FGT NON-FIRM'!P1005</f>
        <v>100</v>
      </c>
      <c r="O994" s="86">
        <v>240</v>
      </c>
      <c r="P994" s="86">
        <v>40</v>
      </c>
      <c r="Q994" s="86">
        <f t="shared" si="163"/>
        <v>315</v>
      </c>
      <c r="R994" s="86">
        <f t="shared" si="164"/>
        <v>100</v>
      </c>
      <c r="S994" s="83">
        <f t="shared" si="165"/>
        <v>695</v>
      </c>
      <c r="T994" s="83">
        <f>'[2]GULFSTREAM NON-FIRM'!H1005</f>
        <v>50</v>
      </c>
      <c r="U994" s="84"/>
      <c r="V994" s="84"/>
      <c r="W994" s="84"/>
      <c r="X994" s="84"/>
      <c r="Y994" s="84"/>
      <c r="Z994" s="84"/>
      <c r="AA994" s="84"/>
      <c r="AB994" s="84"/>
      <c r="AC994" s="84"/>
      <c r="AD994" s="84"/>
    </row>
    <row r="995" spans="1:30" ht="15.75" hidden="1" x14ac:dyDescent="0.25">
      <c r="A995" s="32">
        <v>71224</v>
      </c>
      <c r="B995" s="95">
        <f t="shared" si="166"/>
        <v>31</v>
      </c>
      <c r="C995" s="83">
        <f>'[2]FGT PRIMARY FIRM ZONE 1'!V1006</f>
        <v>122.58</v>
      </c>
      <c r="D995" s="83">
        <f>'[2]FGT PRIMARY FIRM ZONE 2'!V1006</f>
        <v>297.94100000000003</v>
      </c>
      <c r="E995" s="92">
        <f>'[2]FGT PRIMARY FIRM ZONE 3'!V1006</f>
        <v>89.177000000000007</v>
      </c>
      <c r="F995" s="83">
        <f>'[2]FGT FIRM ZONE 3 MOBILE BAY-DES'!V1006-40-60-100</f>
        <v>40.301999999999992</v>
      </c>
      <c r="G995" s="86">
        <v>40</v>
      </c>
      <c r="H995" s="83">
        <f>60+100</f>
        <v>160</v>
      </c>
      <c r="I995" s="83">
        <f t="shared" si="158"/>
        <v>0</v>
      </c>
      <c r="J995" s="86">
        <v>100</v>
      </c>
      <c r="K995" s="86">
        <v>300</v>
      </c>
      <c r="L995" s="83">
        <f t="shared" si="162"/>
        <v>1150</v>
      </c>
      <c r="M995" s="94">
        <v>600</v>
      </c>
      <c r="N995" s="83">
        <f>'[2]FGT NON-FIRM'!P1006</f>
        <v>100</v>
      </c>
      <c r="O995" s="86">
        <v>240</v>
      </c>
      <c r="P995" s="86">
        <v>40</v>
      </c>
      <c r="Q995" s="86">
        <f t="shared" si="163"/>
        <v>315</v>
      </c>
      <c r="R995" s="86">
        <f t="shared" si="164"/>
        <v>100</v>
      </c>
      <c r="S995" s="83">
        <f t="shared" si="165"/>
        <v>695</v>
      </c>
      <c r="T995" s="83">
        <f>'[2]GULFSTREAM NON-FIRM'!H1006</f>
        <v>50</v>
      </c>
      <c r="U995" s="84"/>
      <c r="V995" s="84"/>
      <c r="W995" s="84"/>
      <c r="X995" s="84"/>
      <c r="Y995" s="84"/>
      <c r="Z995" s="84"/>
      <c r="AA995" s="84"/>
      <c r="AB995" s="84"/>
      <c r="AC995" s="84"/>
      <c r="AD995" s="84"/>
    </row>
    <row r="996" spans="1:30" ht="15.75" hidden="1" x14ac:dyDescent="0.25">
      <c r="A996" s="32">
        <v>71255</v>
      </c>
      <c r="B996" s="95">
        <f t="shared" si="166"/>
        <v>31</v>
      </c>
      <c r="C996" s="83">
        <f>'[2]FGT PRIMARY FIRM ZONE 1'!V1007</f>
        <v>122.58</v>
      </c>
      <c r="D996" s="83">
        <f>'[2]FGT PRIMARY FIRM ZONE 2'!V1007</f>
        <v>297.94100000000003</v>
      </c>
      <c r="E996" s="92">
        <f>'[2]FGT PRIMARY FIRM ZONE 3'!V1007</f>
        <v>89.177000000000007</v>
      </c>
      <c r="F996" s="83">
        <f>'[2]FGT FIRM ZONE 3 MOBILE BAY-DES'!V1007-40-60-100</f>
        <v>40.301999999999992</v>
      </c>
      <c r="G996" s="86">
        <v>40</v>
      </c>
      <c r="H996" s="83">
        <f>60+100</f>
        <v>160</v>
      </c>
      <c r="I996" s="83">
        <f t="shared" si="158"/>
        <v>0</v>
      </c>
      <c r="J996" s="86">
        <v>100</v>
      </c>
      <c r="K996" s="86">
        <v>300</v>
      </c>
      <c r="L996" s="83">
        <f t="shared" si="162"/>
        <v>1150</v>
      </c>
      <c r="M996" s="94">
        <v>600</v>
      </c>
      <c r="N996" s="83">
        <f>'[2]FGT NON-FIRM'!P1007</f>
        <v>100</v>
      </c>
      <c r="O996" s="86">
        <v>240</v>
      </c>
      <c r="P996" s="86">
        <v>40</v>
      </c>
      <c r="Q996" s="86">
        <f t="shared" si="163"/>
        <v>315</v>
      </c>
      <c r="R996" s="86">
        <f t="shared" si="164"/>
        <v>100</v>
      </c>
      <c r="S996" s="83">
        <f t="shared" si="165"/>
        <v>695</v>
      </c>
      <c r="T996" s="83">
        <f>'[2]GULFSTREAM NON-FIRM'!H1007</f>
        <v>50</v>
      </c>
      <c r="U996" s="84"/>
      <c r="V996" s="84"/>
      <c r="W996" s="84"/>
      <c r="X996" s="84"/>
      <c r="Y996" s="84"/>
      <c r="Z996" s="84"/>
      <c r="AA996" s="84"/>
      <c r="AB996" s="84"/>
      <c r="AC996" s="84"/>
      <c r="AD996" s="84"/>
    </row>
    <row r="997" spans="1:30" ht="15.75" hidden="1" x14ac:dyDescent="0.25">
      <c r="A997" s="32">
        <v>71283</v>
      </c>
      <c r="B997" s="95">
        <f t="shared" si="166"/>
        <v>28</v>
      </c>
      <c r="C997" s="83">
        <f>'[2]FGT PRIMARY FIRM ZONE 1'!V1008</f>
        <v>122.58</v>
      </c>
      <c r="D997" s="83">
        <f>'[2]FGT PRIMARY FIRM ZONE 2'!V1008</f>
        <v>297.94100000000003</v>
      </c>
      <c r="E997" s="92">
        <f>'[2]FGT PRIMARY FIRM ZONE 3'!V1008</f>
        <v>89.177000000000007</v>
      </c>
      <c r="F997" s="83">
        <f>'[2]FGT FIRM ZONE 3 MOBILE BAY-DES'!V1008-40-60-100</f>
        <v>40.301999999999992</v>
      </c>
      <c r="G997" s="86">
        <v>40</v>
      </c>
      <c r="H997" s="83">
        <f>60+100</f>
        <v>160</v>
      </c>
      <c r="I997" s="83">
        <f t="shared" si="158"/>
        <v>0</v>
      </c>
      <c r="J997" s="86">
        <v>100</v>
      </c>
      <c r="K997" s="86">
        <v>300</v>
      </c>
      <c r="L997" s="83">
        <f t="shared" si="162"/>
        <v>1150</v>
      </c>
      <c r="M997" s="94">
        <v>600</v>
      </c>
      <c r="N997" s="83">
        <f>'[2]FGT NON-FIRM'!P1008</f>
        <v>100</v>
      </c>
      <c r="O997" s="86">
        <v>240</v>
      </c>
      <c r="P997" s="86">
        <v>40</v>
      </c>
      <c r="Q997" s="86">
        <f t="shared" si="163"/>
        <v>315</v>
      </c>
      <c r="R997" s="86">
        <f t="shared" si="164"/>
        <v>100</v>
      </c>
      <c r="S997" s="83">
        <f t="shared" si="165"/>
        <v>695</v>
      </c>
      <c r="T997" s="83">
        <f>'[2]GULFSTREAM NON-FIRM'!H1008</f>
        <v>50</v>
      </c>
      <c r="U997" s="84"/>
      <c r="V997" s="84"/>
      <c r="W997" s="84"/>
      <c r="X997" s="84"/>
      <c r="Y997" s="84"/>
      <c r="Z997" s="84"/>
      <c r="AA997" s="84"/>
      <c r="AB997" s="84"/>
      <c r="AC997" s="84"/>
      <c r="AD997" s="84"/>
    </row>
    <row r="998" spans="1:30" ht="15.75" hidden="1" x14ac:dyDescent="0.25">
      <c r="A998" s="32">
        <v>71314</v>
      </c>
      <c r="B998" s="95">
        <f t="shared" si="166"/>
        <v>31</v>
      </c>
      <c r="C998" s="83">
        <f>'[2]FGT PRIMARY FIRM ZONE 1'!V1009</f>
        <v>122.58</v>
      </c>
      <c r="D998" s="83">
        <f>'[2]FGT PRIMARY FIRM ZONE 2'!V1009</f>
        <v>297.94100000000003</v>
      </c>
      <c r="E998" s="92">
        <f>'[2]FGT PRIMARY FIRM ZONE 3'!V1009</f>
        <v>89.177000000000007</v>
      </c>
      <c r="F998" s="83">
        <f>'[2]FGT FIRM ZONE 3 MOBILE BAY-DES'!V1009-40-60-100</f>
        <v>40.301999999999992</v>
      </c>
      <c r="G998" s="86">
        <v>40</v>
      </c>
      <c r="H998" s="83">
        <f>60+100</f>
        <v>160</v>
      </c>
      <c r="I998" s="83">
        <f t="shared" si="158"/>
        <v>0</v>
      </c>
      <c r="J998" s="86">
        <v>100</v>
      </c>
      <c r="K998" s="86">
        <v>300</v>
      </c>
      <c r="L998" s="83">
        <f t="shared" si="162"/>
        <v>1150</v>
      </c>
      <c r="M998" s="94">
        <v>600</v>
      </c>
      <c r="N998" s="83">
        <f>'[2]FGT NON-FIRM'!P1009</f>
        <v>100</v>
      </c>
      <c r="O998" s="86">
        <v>240</v>
      </c>
      <c r="P998" s="86">
        <v>40</v>
      </c>
      <c r="Q998" s="86">
        <f t="shared" si="163"/>
        <v>315</v>
      </c>
      <c r="R998" s="86">
        <f t="shared" si="164"/>
        <v>100</v>
      </c>
      <c r="S998" s="83">
        <f t="shared" si="165"/>
        <v>695</v>
      </c>
      <c r="T998" s="83">
        <f>'[2]GULFSTREAM NON-FIRM'!H1009</f>
        <v>50</v>
      </c>
      <c r="U998" s="84"/>
      <c r="V998" s="84"/>
      <c r="W998" s="84"/>
      <c r="X998" s="84"/>
      <c r="Y998" s="84"/>
      <c r="Z998" s="84"/>
      <c r="AA998" s="84"/>
      <c r="AB998" s="84"/>
      <c r="AC998" s="84"/>
      <c r="AD998" s="84"/>
    </row>
    <row r="999" spans="1:30" ht="15.75" hidden="1" x14ac:dyDescent="0.25">
      <c r="A999" s="32">
        <v>71344</v>
      </c>
      <c r="B999" s="95">
        <f t="shared" si="166"/>
        <v>30</v>
      </c>
      <c r="C999" s="83">
        <f>'[2]FGT PRIMARY FIRM ZONE 1'!V1010</f>
        <v>141.29300000000001</v>
      </c>
      <c r="D999" s="83">
        <f>'[2]FGT PRIMARY FIRM ZONE 2'!V1010</f>
        <v>267.99299999999999</v>
      </c>
      <c r="E999" s="92">
        <f>'[2]FGT PRIMARY FIRM ZONE 3'!V1010</f>
        <v>115.01600000000001</v>
      </c>
      <c r="F999" s="83">
        <f>'[2]FGT FIRM ZONE 3 MOBILE BAY-DES'!V1010-40-25-60-100</f>
        <v>89.698000000000036</v>
      </c>
      <c r="G999" s="86">
        <v>40</v>
      </c>
      <c r="H999" s="83">
        <f t="shared" ref="H999:H1005" si="168">25+60+100</f>
        <v>185</v>
      </c>
      <c r="I999" s="83">
        <f t="shared" si="158"/>
        <v>0</v>
      </c>
      <c r="J999" s="86">
        <v>100</v>
      </c>
      <c r="K999" s="86">
        <v>300</v>
      </c>
      <c r="L999" s="83">
        <f t="shared" si="162"/>
        <v>1239</v>
      </c>
      <c r="M999" s="94">
        <v>600</v>
      </c>
      <c r="N999" s="83">
        <f>'[2]FGT NON-FIRM'!P1010</f>
        <v>100</v>
      </c>
      <c r="O999" s="86">
        <v>240</v>
      </c>
      <c r="P999" s="86">
        <v>40</v>
      </c>
      <c r="Q999" s="86">
        <f t="shared" si="163"/>
        <v>315</v>
      </c>
      <c r="R999" s="86">
        <f t="shared" si="164"/>
        <v>100</v>
      </c>
      <c r="S999" s="83">
        <f t="shared" si="165"/>
        <v>695</v>
      </c>
      <c r="T999" s="83">
        <f>'[2]GULFSTREAM NON-FIRM'!H1010</f>
        <v>50</v>
      </c>
      <c r="U999" s="84"/>
      <c r="V999" s="84"/>
      <c r="W999" s="84"/>
      <c r="X999" s="84"/>
      <c r="Y999" s="84"/>
      <c r="Z999" s="84"/>
      <c r="AA999" s="84"/>
      <c r="AB999" s="84"/>
      <c r="AC999" s="84"/>
      <c r="AD999" s="84"/>
    </row>
    <row r="1000" spans="1:30" ht="15.75" hidden="1" x14ac:dyDescent="0.25">
      <c r="A1000" s="32">
        <v>71375</v>
      </c>
      <c r="B1000" s="95">
        <f t="shared" si="166"/>
        <v>31</v>
      </c>
      <c r="C1000" s="83">
        <f>'[2]FGT PRIMARY FIRM ZONE 1'!V1011</f>
        <v>194.20499999999998</v>
      </c>
      <c r="D1000" s="83">
        <f>'[2]FGT PRIMARY FIRM ZONE 2'!V1011</f>
        <v>267.46600000000001</v>
      </c>
      <c r="E1000" s="92">
        <f>'[2]FGT PRIMARY FIRM ZONE 3'!V1011</f>
        <v>133.845</v>
      </c>
      <c r="F1000" s="83">
        <f>'[2]FGT FIRM ZONE 3 MOBILE BAY-DES'!V1011-40-25-60-100</f>
        <v>53.48399999999998</v>
      </c>
      <c r="G1000" s="86">
        <v>40</v>
      </c>
      <c r="H1000" s="83">
        <f t="shared" si="168"/>
        <v>185</v>
      </c>
      <c r="I1000" s="83">
        <f t="shared" si="158"/>
        <v>0</v>
      </c>
      <c r="J1000" s="86">
        <v>100</v>
      </c>
      <c r="K1000" s="86">
        <v>300</v>
      </c>
      <c r="L1000" s="83">
        <f t="shared" si="162"/>
        <v>1274</v>
      </c>
      <c r="M1000" s="94">
        <v>600</v>
      </c>
      <c r="N1000" s="83">
        <f>'[2]FGT NON-FIRM'!P1011</f>
        <v>75</v>
      </c>
      <c r="O1000" s="86">
        <v>240</v>
      </c>
      <c r="P1000" s="86">
        <v>40</v>
      </c>
      <c r="Q1000" s="86">
        <f t="shared" si="163"/>
        <v>315</v>
      </c>
      <c r="R1000" s="86">
        <f t="shared" si="164"/>
        <v>100</v>
      </c>
      <c r="S1000" s="83">
        <f t="shared" si="165"/>
        <v>695</v>
      </c>
      <c r="T1000" s="83">
        <f>'[2]GULFSTREAM NON-FIRM'!H1011</f>
        <v>50</v>
      </c>
      <c r="U1000" s="84"/>
      <c r="V1000" s="84"/>
      <c r="W1000" s="84"/>
      <c r="X1000" s="84"/>
      <c r="Y1000" s="84"/>
      <c r="Z1000" s="84"/>
      <c r="AA1000" s="84"/>
      <c r="AB1000" s="84"/>
      <c r="AC1000" s="84"/>
      <c r="AD1000" s="84"/>
    </row>
    <row r="1001" spans="1:30" ht="15.75" hidden="1" x14ac:dyDescent="0.25">
      <c r="A1001" s="32">
        <v>71405</v>
      </c>
      <c r="B1001" s="95">
        <f t="shared" si="166"/>
        <v>30</v>
      </c>
      <c r="C1001" s="83">
        <f>'[2]FGT PRIMARY FIRM ZONE 1'!V1012</f>
        <v>194.20499999999998</v>
      </c>
      <c r="D1001" s="83">
        <f>'[2]FGT PRIMARY FIRM ZONE 2'!V1012</f>
        <v>267.46600000000001</v>
      </c>
      <c r="E1001" s="92">
        <f>'[2]FGT PRIMARY FIRM ZONE 3'!V1012</f>
        <v>133.845</v>
      </c>
      <c r="F1001" s="83">
        <f>'[2]FGT FIRM ZONE 3 MOBILE BAY-DES'!V1012-40-25-60-100</f>
        <v>53.48399999999998</v>
      </c>
      <c r="G1001" s="86">
        <v>40</v>
      </c>
      <c r="H1001" s="83">
        <f t="shared" si="168"/>
        <v>185</v>
      </c>
      <c r="I1001" s="83">
        <f t="shared" si="158"/>
        <v>0</v>
      </c>
      <c r="J1001" s="86">
        <v>100</v>
      </c>
      <c r="K1001" s="86">
        <v>300</v>
      </c>
      <c r="L1001" s="83">
        <f t="shared" si="162"/>
        <v>1274</v>
      </c>
      <c r="M1001" s="94">
        <v>600</v>
      </c>
      <c r="N1001" s="83">
        <f>'[2]FGT NON-FIRM'!P1012</f>
        <v>30</v>
      </c>
      <c r="O1001" s="86">
        <v>240</v>
      </c>
      <c r="P1001" s="86">
        <v>40</v>
      </c>
      <c r="Q1001" s="86">
        <f t="shared" si="163"/>
        <v>315</v>
      </c>
      <c r="R1001" s="86">
        <f t="shared" si="164"/>
        <v>100</v>
      </c>
      <c r="S1001" s="83">
        <f t="shared" si="165"/>
        <v>695</v>
      </c>
      <c r="T1001" s="83">
        <f>'[2]GULFSTREAM NON-FIRM'!H1012</f>
        <v>50</v>
      </c>
      <c r="U1001" s="84"/>
      <c r="V1001" s="84"/>
      <c r="W1001" s="84"/>
      <c r="X1001" s="84"/>
      <c r="Y1001" s="84"/>
      <c r="Z1001" s="84"/>
      <c r="AA1001" s="84"/>
      <c r="AB1001" s="84"/>
      <c r="AC1001" s="84"/>
      <c r="AD1001" s="84"/>
    </row>
    <row r="1002" spans="1:30" ht="15.75" hidden="1" x14ac:dyDescent="0.25">
      <c r="A1002" s="32">
        <v>71436</v>
      </c>
      <c r="B1002" s="95">
        <f t="shared" si="166"/>
        <v>31</v>
      </c>
      <c r="C1002" s="83">
        <f>'[2]FGT PRIMARY FIRM ZONE 1'!V1013</f>
        <v>194.20499999999998</v>
      </c>
      <c r="D1002" s="83">
        <f>'[2]FGT PRIMARY FIRM ZONE 2'!V1013</f>
        <v>267.46600000000001</v>
      </c>
      <c r="E1002" s="92">
        <f>'[2]FGT PRIMARY FIRM ZONE 3'!V1013</f>
        <v>133.845</v>
      </c>
      <c r="F1002" s="83">
        <f>'[2]FGT FIRM ZONE 3 MOBILE BAY-DES'!V1013-40-25-60-100</f>
        <v>53.48399999999998</v>
      </c>
      <c r="G1002" s="86">
        <v>40</v>
      </c>
      <c r="H1002" s="83">
        <f t="shared" si="168"/>
        <v>185</v>
      </c>
      <c r="I1002" s="83">
        <f t="shared" si="158"/>
        <v>0</v>
      </c>
      <c r="J1002" s="86">
        <v>100</v>
      </c>
      <c r="K1002" s="86">
        <v>300</v>
      </c>
      <c r="L1002" s="83">
        <f t="shared" si="162"/>
        <v>1274</v>
      </c>
      <c r="M1002" s="94">
        <v>600</v>
      </c>
      <c r="N1002" s="83">
        <f>'[2]FGT NON-FIRM'!P1013</f>
        <v>30</v>
      </c>
      <c r="O1002" s="86">
        <v>240</v>
      </c>
      <c r="P1002" s="86">
        <v>40</v>
      </c>
      <c r="Q1002" s="86">
        <f t="shared" si="163"/>
        <v>315</v>
      </c>
      <c r="R1002" s="86">
        <f t="shared" si="164"/>
        <v>100</v>
      </c>
      <c r="S1002" s="83">
        <f t="shared" si="165"/>
        <v>695</v>
      </c>
      <c r="T1002" s="83">
        <f>'[2]GULFSTREAM NON-FIRM'!H1013</f>
        <v>0</v>
      </c>
      <c r="U1002" s="84"/>
      <c r="V1002" s="84"/>
      <c r="W1002" s="84"/>
      <c r="X1002" s="84"/>
      <c r="Y1002" s="84"/>
      <c r="Z1002" s="84"/>
      <c r="AA1002" s="84"/>
      <c r="AB1002" s="84"/>
      <c r="AC1002" s="84"/>
      <c r="AD1002" s="84"/>
    </row>
    <row r="1003" spans="1:30" ht="15.75" hidden="1" x14ac:dyDescent="0.25">
      <c r="A1003" s="32">
        <v>71467</v>
      </c>
      <c r="B1003" s="95">
        <f t="shared" si="166"/>
        <v>31</v>
      </c>
      <c r="C1003" s="83">
        <f>'[2]FGT PRIMARY FIRM ZONE 1'!V1014</f>
        <v>194.20499999999998</v>
      </c>
      <c r="D1003" s="83">
        <f>'[2]FGT PRIMARY FIRM ZONE 2'!V1014</f>
        <v>267.46600000000001</v>
      </c>
      <c r="E1003" s="92">
        <f>'[2]FGT PRIMARY FIRM ZONE 3'!V1014</f>
        <v>133.845</v>
      </c>
      <c r="F1003" s="83">
        <f>'[2]FGT FIRM ZONE 3 MOBILE BAY-DES'!V1014-40-25-60-100</f>
        <v>53.48399999999998</v>
      </c>
      <c r="G1003" s="86">
        <v>40</v>
      </c>
      <c r="H1003" s="83">
        <f t="shared" si="168"/>
        <v>185</v>
      </c>
      <c r="I1003" s="83">
        <f t="shared" si="158"/>
        <v>0</v>
      </c>
      <c r="J1003" s="86">
        <v>100</v>
      </c>
      <c r="K1003" s="86">
        <v>300</v>
      </c>
      <c r="L1003" s="83">
        <f t="shared" si="162"/>
        <v>1274</v>
      </c>
      <c r="M1003" s="94">
        <v>600</v>
      </c>
      <c r="N1003" s="83">
        <f>'[2]FGT NON-FIRM'!P1014</f>
        <v>30</v>
      </c>
      <c r="O1003" s="86">
        <v>240</v>
      </c>
      <c r="P1003" s="86">
        <v>40</v>
      </c>
      <c r="Q1003" s="86">
        <f t="shared" si="163"/>
        <v>315</v>
      </c>
      <c r="R1003" s="86">
        <f t="shared" si="164"/>
        <v>100</v>
      </c>
      <c r="S1003" s="83">
        <f t="shared" si="165"/>
        <v>695</v>
      </c>
      <c r="T1003" s="83">
        <f>'[2]GULFSTREAM NON-FIRM'!H1014</f>
        <v>0</v>
      </c>
      <c r="U1003" s="84"/>
      <c r="V1003" s="84"/>
      <c r="W1003" s="84"/>
      <c r="X1003" s="84"/>
      <c r="Y1003" s="84"/>
      <c r="Z1003" s="84"/>
      <c r="AA1003" s="84"/>
      <c r="AB1003" s="84"/>
      <c r="AC1003" s="84"/>
      <c r="AD1003" s="84"/>
    </row>
    <row r="1004" spans="1:30" ht="15.75" hidden="1" x14ac:dyDescent="0.25">
      <c r="A1004" s="32">
        <v>71497</v>
      </c>
      <c r="B1004" s="95">
        <f t="shared" si="166"/>
        <v>30</v>
      </c>
      <c r="C1004" s="83">
        <f>'[2]FGT PRIMARY FIRM ZONE 1'!V1015</f>
        <v>194.20499999999998</v>
      </c>
      <c r="D1004" s="83">
        <f>'[2]FGT PRIMARY FIRM ZONE 2'!V1015</f>
        <v>267.46600000000001</v>
      </c>
      <c r="E1004" s="92">
        <f>'[2]FGT PRIMARY FIRM ZONE 3'!V1015</f>
        <v>133.845</v>
      </c>
      <c r="F1004" s="83">
        <f>'[2]FGT FIRM ZONE 3 MOBILE BAY-DES'!V1015-40-25-60-100</f>
        <v>53.48399999999998</v>
      </c>
      <c r="G1004" s="86">
        <v>40</v>
      </c>
      <c r="H1004" s="83">
        <f t="shared" si="168"/>
        <v>185</v>
      </c>
      <c r="I1004" s="83">
        <f t="shared" si="158"/>
        <v>0</v>
      </c>
      <c r="J1004" s="86">
        <v>100</v>
      </c>
      <c r="K1004" s="86">
        <v>300</v>
      </c>
      <c r="L1004" s="83">
        <f t="shared" si="162"/>
        <v>1274</v>
      </c>
      <c r="M1004" s="94">
        <v>600</v>
      </c>
      <c r="N1004" s="83">
        <f>'[2]FGT NON-FIRM'!P1015</f>
        <v>30</v>
      </c>
      <c r="O1004" s="86">
        <v>240</v>
      </c>
      <c r="P1004" s="86">
        <v>40</v>
      </c>
      <c r="Q1004" s="86">
        <f t="shared" si="163"/>
        <v>315</v>
      </c>
      <c r="R1004" s="86">
        <f t="shared" si="164"/>
        <v>100</v>
      </c>
      <c r="S1004" s="83">
        <f t="shared" si="165"/>
        <v>695</v>
      </c>
      <c r="T1004" s="83">
        <f>'[2]GULFSTREAM NON-FIRM'!H1015</f>
        <v>0</v>
      </c>
      <c r="U1004" s="84"/>
      <c r="V1004" s="84"/>
      <c r="W1004" s="84"/>
      <c r="X1004" s="84"/>
      <c r="Y1004" s="84"/>
      <c r="Z1004" s="84"/>
      <c r="AA1004" s="84"/>
      <c r="AB1004" s="84"/>
      <c r="AC1004" s="84"/>
      <c r="AD1004" s="84"/>
    </row>
    <row r="1005" spans="1:30" ht="15.75" hidden="1" x14ac:dyDescent="0.25">
      <c r="A1005" s="32">
        <v>71528</v>
      </c>
      <c r="B1005" s="95">
        <f t="shared" si="166"/>
        <v>31</v>
      </c>
      <c r="C1005" s="83">
        <f>'[2]FGT PRIMARY FIRM ZONE 1'!V1016</f>
        <v>131.881</v>
      </c>
      <c r="D1005" s="83">
        <f>'[2]FGT PRIMARY FIRM ZONE 2'!V1016</f>
        <v>277.16699999999997</v>
      </c>
      <c r="E1005" s="92">
        <f>'[2]FGT PRIMARY FIRM ZONE 3'!V1016</f>
        <v>79.08</v>
      </c>
      <c r="F1005" s="83">
        <f>'[2]FGT FIRM ZONE 3 MOBILE BAY-DES'!V1016-40-25-60-100</f>
        <v>125.87199999999996</v>
      </c>
      <c r="G1005" s="86">
        <v>40</v>
      </c>
      <c r="H1005" s="83">
        <f t="shared" si="168"/>
        <v>185</v>
      </c>
      <c r="I1005" s="83">
        <f t="shared" si="158"/>
        <v>0</v>
      </c>
      <c r="J1005" s="86">
        <v>100</v>
      </c>
      <c r="K1005" s="86">
        <v>300</v>
      </c>
      <c r="L1005" s="83">
        <f t="shared" si="162"/>
        <v>1239</v>
      </c>
      <c r="M1005" s="94">
        <v>600</v>
      </c>
      <c r="N1005" s="83">
        <f>'[2]FGT NON-FIRM'!P1016</f>
        <v>75</v>
      </c>
      <c r="O1005" s="86">
        <v>240</v>
      </c>
      <c r="P1005" s="86">
        <v>40</v>
      </c>
      <c r="Q1005" s="86">
        <f t="shared" si="163"/>
        <v>315</v>
      </c>
      <c r="R1005" s="86">
        <f t="shared" si="164"/>
        <v>100</v>
      </c>
      <c r="S1005" s="83">
        <f t="shared" si="165"/>
        <v>695</v>
      </c>
      <c r="T1005" s="83">
        <f>'[2]GULFSTREAM NON-FIRM'!H1016</f>
        <v>0</v>
      </c>
      <c r="U1005" s="84"/>
      <c r="V1005" s="84"/>
      <c r="W1005" s="84"/>
      <c r="X1005" s="84"/>
      <c r="Y1005" s="84"/>
      <c r="Z1005" s="84"/>
      <c r="AA1005" s="84"/>
      <c r="AB1005" s="84"/>
      <c r="AC1005" s="84"/>
      <c r="AD1005" s="84"/>
    </row>
    <row r="1006" spans="1:30" ht="15.75" hidden="1" x14ac:dyDescent="0.25">
      <c r="A1006" s="32">
        <v>71558</v>
      </c>
      <c r="B1006" s="95">
        <f t="shared" si="166"/>
        <v>30</v>
      </c>
      <c r="C1006" s="83">
        <f>'[2]FGT PRIMARY FIRM ZONE 1'!V1017</f>
        <v>122.58</v>
      </c>
      <c r="D1006" s="83">
        <f>'[2]FGT PRIMARY FIRM ZONE 2'!V1017</f>
        <v>297.94100000000003</v>
      </c>
      <c r="E1006" s="92">
        <f>'[2]FGT PRIMARY FIRM ZONE 3'!V1017</f>
        <v>89.177000000000007</v>
      </c>
      <c r="F1006" s="83">
        <f>'[2]FGT FIRM ZONE 3 MOBILE BAY-DES'!V1017-40-60-100</f>
        <v>40.301999999999992</v>
      </c>
      <c r="G1006" s="86">
        <v>40</v>
      </c>
      <c r="H1006" s="83">
        <f>60+100</f>
        <v>160</v>
      </c>
      <c r="I1006" s="83">
        <f t="shared" si="158"/>
        <v>0</v>
      </c>
      <c r="J1006" s="86">
        <v>100</v>
      </c>
      <c r="K1006" s="86">
        <v>300</v>
      </c>
      <c r="L1006" s="83">
        <f t="shared" si="162"/>
        <v>1150</v>
      </c>
      <c r="M1006" s="94">
        <v>600</v>
      </c>
      <c r="N1006" s="83">
        <f>'[2]FGT NON-FIRM'!P1017</f>
        <v>100</v>
      </c>
      <c r="O1006" s="86">
        <v>240</v>
      </c>
      <c r="P1006" s="86">
        <v>40</v>
      </c>
      <c r="Q1006" s="86">
        <f t="shared" si="163"/>
        <v>315</v>
      </c>
      <c r="R1006" s="86">
        <f t="shared" si="164"/>
        <v>100</v>
      </c>
      <c r="S1006" s="83">
        <f t="shared" si="165"/>
        <v>695</v>
      </c>
      <c r="T1006" s="83">
        <f>'[2]GULFSTREAM NON-FIRM'!H1017</f>
        <v>50</v>
      </c>
      <c r="U1006" s="84"/>
      <c r="V1006" s="84"/>
      <c r="W1006" s="84"/>
      <c r="X1006" s="84"/>
      <c r="Y1006" s="84"/>
      <c r="Z1006" s="84"/>
      <c r="AA1006" s="84"/>
      <c r="AB1006" s="84"/>
      <c r="AC1006" s="84"/>
      <c r="AD1006" s="84"/>
    </row>
    <row r="1007" spans="1:30" ht="15.75" hidden="1" x14ac:dyDescent="0.25">
      <c r="A1007" s="32">
        <v>71589</v>
      </c>
      <c r="B1007" s="95">
        <f t="shared" si="166"/>
        <v>31</v>
      </c>
      <c r="C1007" s="83">
        <f>'[2]FGT PRIMARY FIRM ZONE 1'!V1018</f>
        <v>122.58</v>
      </c>
      <c r="D1007" s="83">
        <f>'[2]FGT PRIMARY FIRM ZONE 2'!V1018</f>
        <v>297.94100000000003</v>
      </c>
      <c r="E1007" s="92">
        <f>'[2]FGT PRIMARY FIRM ZONE 3'!V1018</f>
        <v>89.177000000000007</v>
      </c>
      <c r="F1007" s="83">
        <f>'[2]FGT FIRM ZONE 3 MOBILE BAY-DES'!V1018-40-60-100</f>
        <v>40.301999999999992</v>
      </c>
      <c r="G1007" s="86">
        <v>40</v>
      </c>
      <c r="H1007" s="83">
        <f>60+100</f>
        <v>160</v>
      </c>
      <c r="I1007" s="83">
        <f t="shared" si="158"/>
        <v>0</v>
      </c>
      <c r="J1007" s="86">
        <v>100</v>
      </c>
      <c r="K1007" s="86">
        <v>300</v>
      </c>
      <c r="L1007" s="83">
        <f t="shared" si="162"/>
        <v>1150</v>
      </c>
      <c r="M1007" s="94">
        <v>600</v>
      </c>
      <c r="N1007" s="83">
        <f>'[2]FGT NON-FIRM'!P1018</f>
        <v>100</v>
      </c>
      <c r="O1007" s="86">
        <v>240</v>
      </c>
      <c r="P1007" s="86">
        <v>40</v>
      </c>
      <c r="Q1007" s="86">
        <f t="shared" si="163"/>
        <v>315</v>
      </c>
      <c r="R1007" s="86">
        <f t="shared" si="164"/>
        <v>100</v>
      </c>
      <c r="S1007" s="83">
        <f t="shared" si="165"/>
        <v>695</v>
      </c>
      <c r="T1007" s="83">
        <f>'[2]GULFSTREAM NON-FIRM'!H1018</f>
        <v>50</v>
      </c>
      <c r="U1007" s="84"/>
      <c r="V1007" s="84"/>
      <c r="W1007" s="84"/>
      <c r="X1007" s="84"/>
      <c r="Y1007" s="84"/>
      <c r="Z1007" s="84"/>
      <c r="AA1007" s="84"/>
      <c r="AB1007" s="84"/>
      <c r="AC1007" s="84"/>
      <c r="AD1007" s="84"/>
    </row>
    <row r="1008" spans="1:30" ht="15.75" hidden="1" x14ac:dyDescent="0.25">
      <c r="A1008" s="32">
        <v>71620</v>
      </c>
      <c r="B1008" s="95">
        <f t="shared" si="166"/>
        <v>31</v>
      </c>
      <c r="C1008" s="83">
        <f>'[2]FGT PRIMARY FIRM ZONE 1'!V1019</f>
        <v>122.58</v>
      </c>
      <c r="D1008" s="83">
        <f>'[2]FGT PRIMARY FIRM ZONE 2'!V1019</f>
        <v>297.94100000000003</v>
      </c>
      <c r="E1008" s="92">
        <f>'[2]FGT PRIMARY FIRM ZONE 3'!V1019</f>
        <v>89.177000000000007</v>
      </c>
      <c r="F1008" s="83">
        <f>'[2]FGT FIRM ZONE 3 MOBILE BAY-DES'!V1019-40-60-100</f>
        <v>40.301999999999992</v>
      </c>
      <c r="G1008" s="86">
        <v>40</v>
      </c>
      <c r="H1008" s="83">
        <f>60+100</f>
        <v>160</v>
      </c>
      <c r="I1008" s="83">
        <f t="shared" si="158"/>
        <v>0</v>
      </c>
      <c r="J1008" s="86">
        <v>100</v>
      </c>
      <c r="K1008" s="86">
        <v>300</v>
      </c>
      <c r="L1008" s="83">
        <f t="shared" si="162"/>
        <v>1150</v>
      </c>
      <c r="M1008" s="94">
        <v>600</v>
      </c>
      <c r="N1008" s="83">
        <f>'[2]FGT NON-FIRM'!P1019</f>
        <v>100</v>
      </c>
      <c r="O1008" s="86">
        <v>240</v>
      </c>
      <c r="P1008" s="86">
        <v>40</v>
      </c>
      <c r="Q1008" s="86">
        <f t="shared" si="163"/>
        <v>315</v>
      </c>
      <c r="R1008" s="86">
        <f t="shared" si="164"/>
        <v>100</v>
      </c>
      <c r="S1008" s="83">
        <f t="shared" si="165"/>
        <v>695</v>
      </c>
      <c r="T1008" s="83">
        <f>'[2]GULFSTREAM NON-FIRM'!H1019</f>
        <v>50</v>
      </c>
      <c r="U1008" s="84"/>
      <c r="V1008" s="84"/>
      <c r="W1008" s="84"/>
      <c r="X1008" s="84"/>
      <c r="Y1008" s="84"/>
      <c r="Z1008" s="84"/>
      <c r="AA1008" s="84"/>
      <c r="AB1008" s="84"/>
      <c r="AC1008" s="84"/>
      <c r="AD1008" s="84"/>
    </row>
    <row r="1009" spans="1:30" ht="15.75" hidden="1" x14ac:dyDescent="0.25">
      <c r="A1009" s="32">
        <v>71649</v>
      </c>
      <c r="B1009" s="95">
        <f t="shared" si="166"/>
        <v>29</v>
      </c>
      <c r="C1009" s="83">
        <f>'[2]FGT PRIMARY FIRM ZONE 1'!V1020</f>
        <v>122.58</v>
      </c>
      <c r="D1009" s="83">
        <f>'[2]FGT PRIMARY FIRM ZONE 2'!V1020</f>
        <v>297.94100000000003</v>
      </c>
      <c r="E1009" s="92">
        <f>'[2]FGT PRIMARY FIRM ZONE 3'!V1020</f>
        <v>89.177000000000007</v>
      </c>
      <c r="F1009" s="83">
        <f>'[2]FGT FIRM ZONE 3 MOBILE BAY-DES'!V1020-40-60-100</f>
        <v>40.301999999999992</v>
      </c>
      <c r="G1009" s="86">
        <v>40</v>
      </c>
      <c r="H1009" s="83">
        <f>60+100</f>
        <v>160</v>
      </c>
      <c r="I1009" s="83">
        <f t="shared" si="158"/>
        <v>0</v>
      </c>
      <c r="J1009" s="86">
        <v>100</v>
      </c>
      <c r="K1009" s="86">
        <v>300</v>
      </c>
      <c r="L1009" s="83">
        <f t="shared" si="162"/>
        <v>1150</v>
      </c>
      <c r="M1009" s="94">
        <v>600</v>
      </c>
      <c r="N1009" s="83">
        <f>'[2]FGT NON-FIRM'!P1020</f>
        <v>100</v>
      </c>
      <c r="O1009" s="86">
        <v>240</v>
      </c>
      <c r="P1009" s="86">
        <v>40</v>
      </c>
      <c r="Q1009" s="86">
        <f t="shared" si="163"/>
        <v>315</v>
      </c>
      <c r="R1009" s="86">
        <f t="shared" si="164"/>
        <v>100</v>
      </c>
      <c r="S1009" s="83">
        <f t="shared" si="165"/>
        <v>695</v>
      </c>
      <c r="T1009" s="83">
        <f>'[2]GULFSTREAM NON-FIRM'!H1020</f>
        <v>50</v>
      </c>
      <c r="U1009" s="84"/>
      <c r="V1009" s="84"/>
      <c r="W1009" s="84"/>
      <c r="X1009" s="84"/>
      <c r="Y1009" s="84"/>
      <c r="Z1009" s="84"/>
      <c r="AA1009" s="84"/>
      <c r="AB1009" s="84"/>
      <c r="AC1009" s="84"/>
      <c r="AD1009" s="84"/>
    </row>
    <row r="1010" spans="1:30" ht="15.75" hidden="1" x14ac:dyDescent="0.25">
      <c r="A1010" s="32">
        <v>71680</v>
      </c>
      <c r="B1010" s="95">
        <f t="shared" si="166"/>
        <v>31</v>
      </c>
      <c r="C1010" s="83">
        <f>'[2]FGT PRIMARY FIRM ZONE 1'!V1021</f>
        <v>122.58</v>
      </c>
      <c r="D1010" s="83">
        <f>'[2]FGT PRIMARY FIRM ZONE 2'!V1021</f>
        <v>297.94100000000003</v>
      </c>
      <c r="E1010" s="92">
        <f>'[2]FGT PRIMARY FIRM ZONE 3'!V1021</f>
        <v>89.177000000000007</v>
      </c>
      <c r="F1010" s="83">
        <f>'[2]FGT FIRM ZONE 3 MOBILE BAY-DES'!V1021-40-60-100</f>
        <v>40.301999999999992</v>
      </c>
      <c r="G1010" s="86">
        <v>40</v>
      </c>
      <c r="H1010" s="83">
        <f>60+100</f>
        <v>160</v>
      </c>
      <c r="I1010" s="83">
        <f t="shared" si="158"/>
        <v>0</v>
      </c>
      <c r="J1010" s="86">
        <v>100</v>
      </c>
      <c r="K1010" s="86">
        <v>300</v>
      </c>
      <c r="L1010" s="83">
        <f t="shared" si="162"/>
        <v>1150</v>
      </c>
      <c r="M1010" s="94">
        <v>600</v>
      </c>
      <c r="N1010" s="83">
        <f>'[2]FGT NON-FIRM'!P1021</f>
        <v>100</v>
      </c>
      <c r="O1010" s="86">
        <v>240</v>
      </c>
      <c r="P1010" s="86">
        <v>40</v>
      </c>
      <c r="Q1010" s="86">
        <f t="shared" si="163"/>
        <v>315</v>
      </c>
      <c r="R1010" s="86">
        <f t="shared" si="164"/>
        <v>100</v>
      </c>
      <c r="S1010" s="83">
        <f t="shared" si="165"/>
        <v>695</v>
      </c>
      <c r="T1010" s="83">
        <f>'[2]GULFSTREAM NON-FIRM'!H1021</f>
        <v>50</v>
      </c>
      <c r="U1010" s="84"/>
      <c r="V1010" s="84"/>
      <c r="W1010" s="84"/>
      <c r="X1010" s="84"/>
      <c r="Y1010" s="84"/>
      <c r="Z1010" s="84"/>
      <c r="AA1010" s="84"/>
      <c r="AB1010" s="84"/>
      <c r="AC1010" s="84"/>
      <c r="AD1010" s="84"/>
    </row>
    <row r="1011" spans="1:30" ht="15.75" hidden="1" x14ac:dyDescent="0.25">
      <c r="A1011" s="32">
        <v>71710</v>
      </c>
      <c r="B1011" s="95">
        <f t="shared" si="166"/>
        <v>30</v>
      </c>
      <c r="C1011" s="83">
        <f>'[2]FGT PRIMARY FIRM ZONE 1'!V1022</f>
        <v>141.29300000000001</v>
      </c>
      <c r="D1011" s="83">
        <f>'[2]FGT PRIMARY FIRM ZONE 2'!V1022</f>
        <v>267.99299999999999</v>
      </c>
      <c r="E1011" s="92">
        <f>'[2]FGT PRIMARY FIRM ZONE 3'!V1022</f>
        <v>115.01600000000001</v>
      </c>
      <c r="F1011" s="83">
        <f>'[2]FGT FIRM ZONE 3 MOBILE BAY-DES'!V1022-40-25-60-100</f>
        <v>89.698000000000036</v>
      </c>
      <c r="G1011" s="86">
        <v>40</v>
      </c>
      <c r="H1011" s="83">
        <f t="shared" ref="H1011:H1017" si="169">25+60+100</f>
        <v>185</v>
      </c>
      <c r="I1011" s="83">
        <f t="shared" si="158"/>
        <v>0</v>
      </c>
      <c r="J1011" s="86">
        <v>100</v>
      </c>
      <c r="K1011" s="86">
        <v>300</v>
      </c>
      <c r="L1011" s="83">
        <f t="shared" si="162"/>
        <v>1239</v>
      </c>
      <c r="M1011" s="94">
        <v>600</v>
      </c>
      <c r="N1011" s="83">
        <f>'[2]FGT NON-FIRM'!P1022</f>
        <v>100</v>
      </c>
      <c r="O1011" s="86">
        <v>240</v>
      </c>
      <c r="P1011" s="86">
        <v>40</v>
      </c>
      <c r="Q1011" s="86">
        <f t="shared" si="163"/>
        <v>315</v>
      </c>
      <c r="R1011" s="86">
        <f t="shared" si="164"/>
        <v>100</v>
      </c>
      <c r="S1011" s="83">
        <f t="shared" si="165"/>
        <v>695</v>
      </c>
      <c r="T1011" s="83">
        <f>'[2]GULFSTREAM NON-FIRM'!H1022</f>
        <v>50</v>
      </c>
      <c r="U1011" s="84"/>
      <c r="V1011" s="84"/>
      <c r="W1011" s="84"/>
      <c r="X1011" s="84"/>
      <c r="Y1011" s="84"/>
      <c r="Z1011" s="84"/>
      <c r="AA1011" s="84"/>
      <c r="AB1011" s="84"/>
      <c r="AC1011" s="84"/>
      <c r="AD1011" s="84"/>
    </row>
    <row r="1012" spans="1:30" ht="15.75" hidden="1" x14ac:dyDescent="0.25">
      <c r="A1012" s="32">
        <v>71741</v>
      </c>
      <c r="B1012" s="95">
        <f t="shared" si="166"/>
        <v>31</v>
      </c>
      <c r="C1012" s="83">
        <f>'[2]FGT PRIMARY FIRM ZONE 1'!V1023</f>
        <v>194.20499999999998</v>
      </c>
      <c r="D1012" s="83">
        <f>'[2]FGT PRIMARY FIRM ZONE 2'!V1023</f>
        <v>267.46600000000001</v>
      </c>
      <c r="E1012" s="92">
        <f>'[2]FGT PRIMARY FIRM ZONE 3'!V1023</f>
        <v>133.845</v>
      </c>
      <c r="F1012" s="83">
        <f>'[2]FGT FIRM ZONE 3 MOBILE BAY-DES'!V1023-40-25-60-100</f>
        <v>53.48399999999998</v>
      </c>
      <c r="G1012" s="86">
        <v>40</v>
      </c>
      <c r="H1012" s="83">
        <f t="shared" si="169"/>
        <v>185</v>
      </c>
      <c r="I1012" s="83">
        <f t="shared" ref="I1012:I1067" si="170">400-J1012-K1012</f>
        <v>0</v>
      </c>
      <c r="J1012" s="86">
        <v>100</v>
      </c>
      <c r="K1012" s="86">
        <v>300</v>
      </c>
      <c r="L1012" s="83">
        <f t="shared" si="162"/>
        <v>1274</v>
      </c>
      <c r="M1012" s="94">
        <v>600</v>
      </c>
      <c r="N1012" s="83">
        <f>'[2]FGT NON-FIRM'!P1023</f>
        <v>75</v>
      </c>
      <c r="O1012" s="86">
        <v>240</v>
      </c>
      <c r="P1012" s="86">
        <v>40</v>
      </c>
      <c r="Q1012" s="86">
        <f t="shared" si="163"/>
        <v>315</v>
      </c>
      <c r="R1012" s="86">
        <f t="shared" si="164"/>
        <v>100</v>
      </c>
      <c r="S1012" s="83">
        <f t="shared" si="165"/>
        <v>695</v>
      </c>
      <c r="T1012" s="83">
        <f>'[2]GULFSTREAM NON-FIRM'!H1023</f>
        <v>50</v>
      </c>
      <c r="U1012" s="84"/>
      <c r="V1012" s="84"/>
      <c r="W1012" s="84"/>
      <c r="X1012" s="84"/>
      <c r="Y1012" s="84"/>
      <c r="Z1012" s="84"/>
      <c r="AA1012" s="84"/>
      <c r="AB1012" s="84"/>
      <c r="AC1012" s="84"/>
      <c r="AD1012" s="84"/>
    </row>
    <row r="1013" spans="1:30" ht="15.75" hidden="1" x14ac:dyDescent="0.25">
      <c r="A1013" s="32">
        <v>71771</v>
      </c>
      <c r="B1013" s="95">
        <f t="shared" si="166"/>
        <v>30</v>
      </c>
      <c r="C1013" s="83">
        <f>'[2]FGT PRIMARY FIRM ZONE 1'!V1024</f>
        <v>194.20499999999998</v>
      </c>
      <c r="D1013" s="83">
        <f>'[2]FGT PRIMARY FIRM ZONE 2'!V1024</f>
        <v>267.46600000000001</v>
      </c>
      <c r="E1013" s="92">
        <f>'[2]FGT PRIMARY FIRM ZONE 3'!V1024</f>
        <v>133.845</v>
      </c>
      <c r="F1013" s="83">
        <f>'[2]FGT FIRM ZONE 3 MOBILE BAY-DES'!V1024-40-25-60-100</f>
        <v>53.48399999999998</v>
      </c>
      <c r="G1013" s="86">
        <v>40</v>
      </c>
      <c r="H1013" s="83">
        <f t="shared" si="169"/>
        <v>185</v>
      </c>
      <c r="I1013" s="83">
        <f t="shared" si="170"/>
        <v>0</v>
      </c>
      <c r="J1013" s="86">
        <v>100</v>
      </c>
      <c r="K1013" s="86">
        <v>300</v>
      </c>
      <c r="L1013" s="83">
        <f t="shared" si="162"/>
        <v>1274</v>
      </c>
      <c r="M1013" s="94">
        <v>600</v>
      </c>
      <c r="N1013" s="83">
        <f>'[2]FGT NON-FIRM'!P1024</f>
        <v>30</v>
      </c>
      <c r="O1013" s="86">
        <v>240</v>
      </c>
      <c r="P1013" s="86">
        <v>40</v>
      </c>
      <c r="Q1013" s="86">
        <f t="shared" si="163"/>
        <v>315</v>
      </c>
      <c r="R1013" s="86">
        <f t="shared" si="164"/>
        <v>100</v>
      </c>
      <c r="S1013" s="83">
        <f t="shared" si="165"/>
        <v>695</v>
      </c>
      <c r="T1013" s="83">
        <f>'[2]GULFSTREAM NON-FIRM'!H1024</f>
        <v>50</v>
      </c>
      <c r="U1013" s="84"/>
      <c r="V1013" s="84"/>
      <c r="W1013" s="84"/>
      <c r="X1013" s="84"/>
      <c r="Y1013" s="84"/>
      <c r="Z1013" s="84"/>
      <c r="AA1013" s="84"/>
      <c r="AB1013" s="84"/>
      <c r="AC1013" s="84"/>
      <c r="AD1013" s="84"/>
    </row>
    <row r="1014" spans="1:30" ht="15.75" hidden="1" x14ac:dyDescent="0.25">
      <c r="A1014" s="32">
        <v>71802</v>
      </c>
      <c r="B1014" s="95">
        <f t="shared" si="166"/>
        <v>31</v>
      </c>
      <c r="C1014" s="83">
        <f>'[2]FGT PRIMARY FIRM ZONE 1'!V1025</f>
        <v>194.20499999999998</v>
      </c>
      <c r="D1014" s="83">
        <f>'[2]FGT PRIMARY FIRM ZONE 2'!V1025</f>
        <v>267.46600000000001</v>
      </c>
      <c r="E1014" s="92">
        <f>'[2]FGT PRIMARY FIRM ZONE 3'!V1025</f>
        <v>133.845</v>
      </c>
      <c r="F1014" s="83">
        <f>'[2]FGT FIRM ZONE 3 MOBILE BAY-DES'!V1025-40-25-60-100</f>
        <v>53.48399999999998</v>
      </c>
      <c r="G1014" s="86">
        <v>40</v>
      </c>
      <c r="H1014" s="83">
        <f t="shared" si="169"/>
        <v>185</v>
      </c>
      <c r="I1014" s="83">
        <f t="shared" si="170"/>
        <v>0</v>
      </c>
      <c r="J1014" s="86">
        <v>100</v>
      </c>
      <c r="K1014" s="86">
        <v>300</v>
      </c>
      <c r="L1014" s="83">
        <f t="shared" si="162"/>
        <v>1274</v>
      </c>
      <c r="M1014" s="94">
        <v>600</v>
      </c>
      <c r="N1014" s="83">
        <f>'[2]FGT NON-FIRM'!P1025</f>
        <v>30</v>
      </c>
      <c r="O1014" s="86">
        <v>240</v>
      </c>
      <c r="P1014" s="86">
        <v>40</v>
      </c>
      <c r="Q1014" s="86">
        <f t="shared" si="163"/>
        <v>315</v>
      </c>
      <c r="R1014" s="86">
        <f t="shared" si="164"/>
        <v>100</v>
      </c>
      <c r="S1014" s="83">
        <f t="shared" si="165"/>
        <v>695</v>
      </c>
      <c r="T1014" s="83">
        <f>'[2]GULFSTREAM NON-FIRM'!H1025</f>
        <v>0</v>
      </c>
      <c r="U1014" s="84"/>
      <c r="V1014" s="84"/>
      <c r="W1014" s="84"/>
      <c r="X1014" s="84"/>
      <c r="Y1014" s="84"/>
      <c r="Z1014" s="84"/>
      <c r="AA1014" s="84"/>
      <c r="AB1014" s="84"/>
      <c r="AC1014" s="84"/>
      <c r="AD1014" s="84"/>
    </row>
    <row r="1015" spans="1:30" ht="15.75" hidden="1" x14ac:dyDescent="0.25">
      <c r="A1015" s="32">
        <v>71833</v>
      </c>
      <c r="B1015" s="95">
        <f t="shared" si="166"/>
        <v>31</v>
      </c>
      <c r="C1015" s="83">
        <f>'[2]FGT PRIMARY FIRM ZONE 1'!V1026</f>
        <v>194.20499999999998</v>
      </c>
      <c r="D1015" s="83">
        <f>'[2]FGT PRIMARY FIRM ZONE 2'!V1026</f>
        <v>267.46600000000001</v>
      </c>
      <c r="E1015" s="92">
        <f>'[2]FGT PRIMARY FIRM ZONE 3'!V1026</f>
        <v>133.845</v>
      </c>
      <c r="F1015" s="83">
        <f>'[2]FGT FIRM ZONE 3 MOBILE BAY-DES'!V1026-40-25-60-100</f>
        <v>53.48399999999998</v>
      </c>
      <c r="G1015" s="86">
        <v>40</v>
      </c>
      <c r="H1015" s="83">
        <f t="shared" si="169"/>
        <v>185</v>
      </c>
      <c r="I1015" s="83">
        <f t="shared" si="170"/>
        <v>0</v>
      </c>
      <c r="J1015" s="86">
        <v>100</v>
      </c>
      <c r="K1015" s="86">
        <v>300</v>
      </c>
      <c r="L1015" s="83">
        <f t="shared" si="162"/>
        <v>1274</v>
      </c>
      <c r="M1015" s="94">
        <v>600</v>
      </c>
      <c r="N1015" s="83">
        <f>'[2]FGT NON-FIRM'!P1026</f>
        <v>30</v>
      </c>
      <c r="O1015" s="86">
        <v>240</v>
      </c>
      <c r="P1015" s="86">
        <v>40</v>
      </c>
      <c r="Q1015" s="86">
        <f t="shared" si="163"/>
        <v>315</v>
      </c>
      <c r="R1015" s="86">
        <f t="shared" si="164"/>
        <v>100</v>
      </c>
      <c r="S1015" s="83">
        <f t="shared" si="165"/>
        <v>695</v>
      </c>
      <c r="T1015" s="83">
        <f>'[2]GULFSTREAM NON-FIRM'!H1026</f>
        <v>0</v>
      </c>
      <c r="U1015" s="84"/>
      <c r="V1015" s="84"/>
      <c r="W1015" s="84"/>
      <c r="X1015" s="84"/>
      <c r="Y1015" s="84"/>
      <c r="Z1015" s="84"/>
      <c r="AA1015" s="84"/>
      <c r="AB1015" s="84"/>
      <c r="AC1015" s="84"/>
      <c r="AD1015" s="84"/>
    </row>
    <row r="1016" spans="1:30" ht="15.75" hidden="1" x14ac:dyDescent="0.25">
      <c r="A1016" s="32">
        <v>71863</v>
      </c>
      <c r="B1016" s="95">
        <f t="shared" si="166"/>
        <v>30</v>
      </c>
      <c r="C1016" s="83">
        <f>'[2]FGT PRIMARY FIRM ZONE 1'!V1027</f>
        <v>194.20499999999998</v>
      </c>
      <c r="D1016" s="83">
        <f>'[2]FGT PRIMARY FIRM ZONE 2'!V1027</f>
        <v>267.46600000000001</v>
      </c>
      <c r="E1016" s="92">
        <f>'[2]FGT PRIMARY FIRM ZONE 3'!V1027</f>
        <v>133.845</v>
      </c>
      <c r="F1016" s="83">
        <f>'[2]FGT FIRM ZONE 3 MOBILE BAY-DES'!V1027-40-25-60-100</f>
        <v>53.48399999999998</v>
      </c>
      <c r="G1016" s="86">
        <v>40</v>
      </c>
      <c r="H1016" s="83">
        <f t="shared" si="169"/>
        <v>185</v>
      </c>
      <c r="I1016" s="83">
        <f t="shared" si="170"/>
        <v>0</v>
      </c>
      <c r="J1016" s="86">
        <v>100</v>
      </c>
      <c r="K1016" s="86">
        <v>300</v>
      </c>
      <c r="L1016" s="83">
        <f t="shared" si="162"/>
        <v>1274</v>
      </c>
      <c r="M1016" s="94">
        <v>600</v>
      </c>
      <c r="N1016" s="83">
        <f>'[2]FGT NON-FIRM'!P1027</f>
        <v>30</v>
      </c>
      <c r="O1016" s="86">
        <v>240</v>
      </c>
      <c r="P1016" s="86">
        <v>40</v>
      </c>
      <c r="Q1016" s="86">
        <f t="shared" si="163"/>
        <v>315</v>
      </c>
      <c r="R1016" s="86">
        <f t="shared" si="164"/>
        <v>100</v>
      </c>
      <c r="S1016" s="83">
        <f t="shared" si="165"/>
        <v>695</v>
      </c>
      <c r="T1016" s="83">
        <f>'[2]GULFSTREAM NON-FIRM'!H1027</f>
        <v>0</v>
      </c>
      <c r="U1016" s="84"/>
      <c r="V1016" s="84"/>
      <c r="W1016" s="84"/>
      <c r="X1016" s="84"/>
      <c r="Y1016" s="84"/>
      <c r="Z1016" s="84"/>
      <c r="AA1016" s="84"/>
      <c r="AB1016" s="84"/>
      <c r="AC1016" s="84"/>
      <c r="AD1016" s="84"/>
    </row>
    <row r="1017" spans="1:30" ht="15.75" hidden="1" x14ac:dyDescent="0.25">
      <c r="A1017" s="32">
        <v>71894</v>
      </c>
      <c r="B1017" s="95">
        <f t="shared" si="166"/>
        <v>31</v>
      </c>
      <c r="C1017" s="83">
        <f>'[2]FGT PRIMARY FIRM ZONE 1'!V1028</f>
        <v>131.881</v>
      </c>
      <c r="D1017" s="83">
        <f>'[2]FGT PRIMARY FIRM ZONE 2'!V1028</f>
        <v>277.16699999999997</v>
      </c>
      <c r="E1017" s="92">
        <f>'[2]FGT PRIMARY FIRM ZONE 3'!V1028</f>
        <v>79.08</v>
      </c>
      <c r="F1017" s="83">
        <f>'[2]FGT FIRM ZONE 3 MOBILE BAY-DES'!V1028-40-25-60-100</f>
        <v>125.87199999999996</v>
      </c>
      <c r="G1017" s="86">
        <v>40</v>
      </c>
      <c r="H1017" s="83">
        <f t="shared" si="169"/>
        <v>185</v>
      </c>
      <c r="I1017" s="83">
        <f t="shared" si="170"/>
        <v>0</v>
      </c>
      <c r="J1017" s="86">
        <v>100</v>
      </c>
      <c r="K1017" s="86">
        <v>300</v>
      </c>
      <c r="L1017" s="83">
        <f t="shared" si="162"/>
        <v>1239</v>
      </c>
      <c r="M1017" s="94">
        <v>600</v>
      </c>
      <c r="N1017" s="83">
        <f>'[2]FGT NON-FIRM'!P1028</f>
        <v>75</v>
      </c>
      <c r="O1017" s="86">
        <v>240</v>
      </c>
      <c r="P1017" s="86">
        <v>40</v>
      </c>
      <c r="Q1017" s="86">
        <f t="shared" si="163"/>
        <v>315</v>
      </c>
      <c r="R1017" s="86">
        <f t="shared" si="164"/>
        <v>100</v>
      </c>
      <c r="S1017" s="83">
        <f t="shared" si="165"/>
        <v>695</v>
      </c>
      <c r="T1017" s="83">
        <f>'[2]GULFSTREAM NON-FIRM'!H1028</f>
        <v>0</v>
      </c>
      <c r="U1017" s="84"/>
      <c r="V1017" s="84"/>
      <c r="W1017" s="84"/>
      <c r="X1017" s="84"/>
      <c r="Y1017" s="84"/>
      <c r="Z1017" s="84"/>
      <c r="AA1017" s="84"/>
      <c r="AB1017" s="84"/>
      <c r="AC1017" s="84"/>
      <c r="AD1017" s="84"/>
    </row>
    <row r="1018" spans="1:30" ht="15.75" hidden="1" x14ac:dyDescent="0.25">
      <c r="A1018" s="32">
        <v>71924</v>
      </c>
      <c r="B1018" s="95">
        <f t="shared" si="166"/>
        <v>30</v>
      </c>
      <c r="C1018" s="83">
        <f>'[2]FGT PRIMARY FIRM ZONE 1'!V1029</f>
        <v>122.58</v>
      </c>
      <c r="D1018" s="83">
        <f>'[2]FGT PRIMARY FIRM ZONE 2'!V1029</f>
        <v>297.94100000000003</v>
      </c>
      <c r="E1018" s="92">
        <f>'[2]FGT PRIMARY FIRM ZONE 3'!V1029</f>
        <v>89.177000000000007</v>
      </c>
      <c r="F1018" s="83">
        <f>'[2]FGT FIRM ZONE 3 MOBILE BAY-DES'!V1029-40-60-100</f>
        <v>40.301999999999992</v>
      </c>
      <c r="G1018" s="86">
        <v>40</v>
      </c>
      <c r="H1018" s="83">
        <f>60+100</f>
        <v>160</v>
      </c>
      <c r="I1018" s="83">
        <f t="shared" si="170"/>
        <v>0</v>
      </c>
      <c r="J1018" s="86">
        <v>100</v>
      </c>
      <c r="K1018" s="86">
        <v>300</v>
      </c>
      <c r="L1018" s="83">
        <f t="shared" si="162"/>
        <v>1150</v>
      </c>
      <c r="M1018" s="94">
        <v>600</v>
      </c>
      <c r="N1018" s="83">
        <f>'[2]FGT NON-FIRM'!P1029</f>
        <v>100</v>
      </c>
      <c r="O1018" s="86">
        <v>240</v>
      </c>
      <c r="P1018" s="86">
        <v>40</v>
      </c>
      <c r="Q1018" s="86">
        <f t="shared" si="163"/>
        <v>315</v>
      </c>
      <c r="R1018" s="86">
        <f t="shared" si="164"/>
        <v>100</v>
      </c>
      <c r="S1018" s="83">
        <f t="shared" si="165"/>
        <v>695</v>
      </c>
      <c r="T1018" s="83">
        <f>'[2]GULFSTREAM NON-FIRM'!H1029</f>
        <v>50</v>
      </c>
      <c r="U1018" s="84"/>
      <c r="V1018" s="84"/>
      <c r="W1018" s="84"/>
      <c r="X1018" s="84"/>
      <c r="Y1018" s="84"/>
      <c r="Z1018" s="84"/>
      <c r="AA1018" s="84"/>
      <c r="AB1018" s="84"/>
      <c r="AC1018" s="84"/>
      <c r="AD1018" s="84"/>
    </row>
    <row r="1019" spans="1:30" ht="15.75" hidden="1" x14ac:dyDescent="0.25">
      <c r="A1019" s="32">
        <v>71955</v>
      </c>
      <c r="B1019" s="95">
        <f t="shared" si="166"/>
        <v>31</v>
      </c>
      <c r="C1019" s="83">
        <f>'[2]FGT PRIMARY FIRM ZONE 1'!V1030</f>
        <v>122.58</v>
      </c>
      <c r="D1019" s="83">
        <f>'[2]FGT PRIMARY FIRM ZONE 2'!V1030</f>
        <v>297.94100000000003</v>
      </c>
      <c r="E1019" s="92">
        <f>'[2]FGT PRIMARY FIRM ZONE 3'!V1030</f>
        <v>89.177000000000007</v>
      </c>
      <c r="F1019" s="83">
        <f>'[2]FGT FIRM ZONE 3 MOBILE BAY-DES'!V1030-40-60-100</f>
        <v>40.301999999999992</v>
      </c>
      <c r="G1019" s="86">
        <v>40</v>
      </c>
      <c r="H1019" s="83">
        <f>60+100</f>
        <v>160</v>
      </c>
      <c r="I1019" s="83">
        <f t="shared" si="170"/>
        <v>0</v>
      </c>
      <c r="J1019" s="86">
        <v>100</v>
      </c>
      <c r="K1019" s="86">
        <v>300</v>
      </c>
      <c r="L1019" s="83">
        <f t="shared" si="162"/>
        <v>1150</v>
      </c>
      <c r="M1019" s="94">
        <v>600</v>
      </c>
      <c r="N1019" s="83">
        <f>'[2]FGT NON-FIRM'!P1030</f>
        <v>100</v>
      </c>
      <c r="O1019" s="86">
        <v>240</v>
      </c>
      <c r="P1019" s="86">
        <v>40</v>
      </c>
      <c r="Q1019" s="86">
        <f t="shared" si="163"/>
        <v>315</v>
      </c>
      <c r="R1019" s="86">
        <f t="shared" si="164"/>
        <v>100</v>
      </c>
      <c r="S1019" s="83">
        <f t="shared" si="165"/>
        <v>695</v>
      </c>
      <c r="T1019" s="83">
        <f>'[2]GULFSTREAM NON-FIRM'!H1030</f>
        <v>50</v>
      </c>
      <c r="U1019" s="84"/>
      <c r="V1019" s="84"/>
      <c r="W1019" s="84"/>
      <c r="X1019" s="84"/>
      <c r="Y1019" s="84"/>
      <c r="Z1019" s="84"/>
      <c r="AA1019" s="84"/>
      <c r="AB1019" s="84"/>
      <c r="AC1019" s="84"/>
      <c r="AD1019" s="84"/>
    </row>
    <row r="1020" spans="1:30" ht="15.75" hidden="1" x14ac:dyDescent="0.25">
      <c r="A1020" s="32">
        <v>71986</v>
      </c>
      <c r="B1020" s="95">
        <f t="shared" si="166"/>
        <v>31</v>
      </c>
      <c r="C1020" s="83">
        <f>'[2]FGT PRIMARY FIRM ZONE 1'!V1031</f>
        <v>122.58</v>
      </c>
      <c r="D1020" s="83">
        <f>'[2]FGT PRIMARY FIRM ZONE 2'!V1031</f>
        <v>297.94100000000003</v>
      </c>
      <c r="E1020" s="92">
        <f>'[2]FGT PRIMARY FIRM ZONE 3'!V1031</f>
        <v>89.177000000000007</v>
      </c>
      <c r="F1020" s="83">
        <f>'[2]FGT FIRM ZONE 3 MOBILE BAY-DES'!V1031-40-60-100</f>
        <v>40.301999999999992</v>
      </c>
      <c r="G1020" s="86">
        <v>40</v>
      </c>
      <c r="H1020" s="83">
        <f>60+100</f>
        <v>160</v>
      </c>
      <c r="I1020" s="83">
        <f t="shared" si="170"/>
        <v>0</v>
      </c>
      <c r="J1020" s="86">
        <v>100</v>
      </c>
      <c r="K1020" s="86">
        <v>300</v>
      </c>
      <c r="L1020" s="83">
        <f t="shared" si="162"/>
        <v>1150</v>
      </c>
      <c r="M1020" s="94">
        <v>600</v>
      </c>
      <c r="N1020" s="83">
        <f>'[2]FGT NON-FIRM'!P1031</f>
        <v>100</v>
      </c>
      <c r="O1020" s="86">
        <v>240</v>
      </c>
      <c r="P1020" s="86">
        <v>40</v>
      </c>
      <c r="Q1020" s="86">
        <f t="shared" si="163"/>
        <v>315</v>
      </c>
      <c r="R1020" s="86">
        <f t="shared" si="164"/>
        <v>100</v>
      </c>
      <c r="S1020" s="83">
        <f t="shared" si="165"/>
        <v>695</v>
      </c>
      <c r="T1020" s="83">
        <f>'[2]GULFSTREAM NON-FIRM'!H1031</f>
        <v>50</v>
      </c>
      <c r="U1020" s="84"/>
      <c r="V1020" s="84"/>
      <c r="W1020" s="84"/>
      <c r="X1020" s="84"/>
      <c r="Y1020" s="84"/>
      <c r="Z1020" s="84"/>
      <c r="AA1020" s="84"/>
      <c r="AB1020" s="84"/>
      <c r="AC1020" s="84"/>
      <c r="AD1020" s="84"/>
    </row>
    <row r="1021" spans="1:30" ht="15.75" hidden="1" x14ac:dyDescent="0.25">
      <c r="A1021" s="32">
        <v>72014</v>
      </c>
      <c r="B1021" s="95">
        <f t="shared" si="166"/>
        <v>28</v>
      </c>
      <c r="C1021" s="83">
        <f>'[2]FGT PRIMARY FIRM ZONE 1'!V1032</f>
        <v>122.58</v>
      </c>
      <c r="D1021" s="83">
        <f>'[2]FGT PRIMARY FIRM ZONE 2'!V1032</f>
        <v>297.94100000000003</v>
      </c>
      <c r="E1021" s="92">
        <f>'[2]FGT PRIMARY FIRM ZONE 3'!V1032</f>
        <v>89.177000000000007</v>
      </c>
      <c r="F1021" s="83">
        <f>'[2]FGT FIRM ZONE 3 MOBILE BAY-DES'!V1032-40-60-100</f>
        <v>40.301999999999992</v>
      </c>
      <c r="G1021" s="86">
        <v>40</v>
      </c>
      <c r="H1021" s="83">
        <f>60+100</f>
        <v>160</v>
      </c>
      <c r="I1021" s="83">
        <f t="shared" si="170"/>
        <v>0</v>
      </c>
      <c r="J1021" s="86">
        <v>100</v>
      </c>
      <c r="K1021" s="86">
        <v>300</v>
      </c>
      <c r="L1021" s="83">
        <f t="shared" si="162"/>
        <v>1150</v>
      </c>
      <c r="M1021" s="94">
        <v>600</v>
      </c>
      <c r="N1021" s="83">
        <f>'[2]FGT NON-FIRM'!P1032</f>
        <v>100</v>
      </c>
      <c r="O1021" s="86">
        <v>240</v>
      </c>
      <c r="P1021" s="86">
        <v>40</v>
      </c>
      <c r="Q1021" s="86">
        <f t="shared" si="163"/>
        <v>315</v>
      </c>
      <c r="R1021" s="86">
        <f t="shared" si="164"/>
        <v>100</v>
      </c>
      <c r="S1021" s="83">
        <f t="shared" si="165"/>
        <v>695</v>
      </c>
      <c r="T1021" s="83">
        <f>'[2]GULFSTREAM NON-FIRM'!H1032</f>
        <v>50</v>
      </c>
      <c r="U1021" s="84"/>
      <c r="V1021" s="84"/>
      <c r="W1021" s="84"/>
      <c r="X1021" s="84"/>
      <c r="Y1021" s="84"/>
      <c r="Z1021" s="84"/>
      <c r="AA1021" s="84"/>
      <c r="AB1021" s="84"/>
      <c r="AC1021" s="84"/>
      <c r="AD1021" s="84"/>
    </row>
    <row r="1022" spans="1:30" ht="15.75" hidden="1" x14ac:dyDescent="0.25">
      <c r="A1022" s="32">
        <v>72045</v>
      </c>
      <c r="B1022" s="95">
        <f t="shared" si="166"/>
        <v>31</v>
      </c>
      <c r="C1022" s="83">
        <f>'[2]FGT PRIMARY FIRM ZONE 1'!V1033</f>
        <v>122.58</v>
      </c>
      <c r="D1022" s="83">
        <f>'[2]FGT PRIMARY FIRM ZONE 2'!V1033</f>
        <v>297.94100000000003</v>
      </c>
      <c r="E1022" s="92">
        <f>'[2]FGT PRIMARY FIRM ZONE 3'!V1033</f>
        <v>89.177000000000007</v>
      </c>
      <c r="F1022" s="83">
        <f>'[2]FGT FIRM ZONE 3 MOBILE BAY-DES'!V1033-40-60-100</f>
        <v>40.301999999999992</v>
      </c>
      <c r="G1022" s="86">
        <v>40</v>
      </c>
      <c r="H1022" s="83">
        <f>60+100</f>
        <v>160</v>
      </c>
      <c r="I1022" s="83">
        <f t="shared" si="170"/>
        <v>0</v>
      </c>
      <c r="J1022" s="86">
        <v>100</v>
      </c>
      <c r="K1022" s="86">
        <v>300</v>
      </c>
      <c r="L1022" s="83">
        <f t="shared" si="162"/>
        <v>1150</v>
      </c>
      <c r="M1022" s="94">
        <v>600</v>
      </c>
      <c r="N1022" s="83">
        <f>'[2]FGT NON-FIRM'!P1033</f>
        <v>100</v>
      </c>
      <c r="O1022" s="86">
        <v>240</v>
      </c>
      <c r="P1022" s="86">
        <v>40</v>
      </c>
      <c r="Q1022" s="86">
        <f t="shared" si="163"/>
        <v>315</v>
      </c>
      <c r="R1022" s="86">
        <f t="shared" si="164"/>
        <v>100</v>
      </c>
      <c r="S1022" s="83">
        <f t="shared" si="165"/>
        <v>695</v>
      </c>
      <c r="T1022" s="83">
        <f>'[2]GULFSTREAM NON-FIRM'!H1033</f>
        <v>50</v>
      </c>
      <c r="U1022" s="84"/>
      <c r="V1022" s="84"/>
      <c r="W1022" s="84"/>
      <c r="X1022" s="84"/>
      <c r="Y1022" s="84"/>
      <c r="Z1022" s="84"/>
      <c r="AA1022" s="84"/>
      <c r="AB1022" s="84"/>
      <c r="AC1022" s="84"/>
      <c r="AD1022" s="84"/>
    </row>
    <row r="1023" spans="1:30" ht="15.75" hidden="1" x14ac:dyDescent="0.25">
      <c r="A1023" s="32">
        <v>72075</v>
      </c>
      <c r="B1023" s="95">
        <f t="shared" si="166"/>
        <v>30</v>
      </c>
      <c r="C1023" s="83">
        <f>'[2]FGT PRIMARY FIRM ZONE 1'!V1034</f>
        <v>141.29300000000001</v>
      </c>
      <c r="D1023" s="83">
        <f>'[2]FGT PRIMARY FIRM ZONE 2'!V1034</f>
        <v>267.99299999999999</v>
      </c>
      <c r="E1023" s="92">
        <f>'[2]FGT PRIMARY FIRM ZONE 3'!V1034</f>
        <v>115.01600000000001</v>
      </c>
      <c r="F1023" s="83">
        <f>'[2]FGT FIRM ZONE 3 MOBILE BAY-DES'!V1034-40-25-60-100</f>
        <v>89.698000000000036</v>
      </c>
      <c r="G1023" s="86">
        <v>40</v>
      </c>
      <c r="H1023" s="83">
        <f t="shared" ref="H1023:H1029" si="171">25+60+100</f>
        <v>185</v>
      </c>
      <c r="I1023" s="83">
        <f t="shared" si="170"/>
        <v>0</v>
      </c>
      <c r="J1023" s="86">
        <v>100</v>
      </c>
      <c r="K1023" s="86">
        <v>300</v>
      </c>
      <c r="L1023" s="83">
        <f t="shared" si="162"/>
        <v>1239</v>
      </c>
      <c r="M1023" s="94">
        <v>600</v>
      </c>
      <c r="N1023" s="83">
        <f>'[2]FGT NON-FIRM'!P1034</f>
        <v>100</v>
      </c>
      <c r="O1023" s="86">
        <v>240</v>
      </c>
      <c r="P1023" s="86">
        <v>40</v>
      </c>
      <c r="Q1023" s="86">
        <f t="shared" si="163"/>
        <v>315</v>
      </c>
      <c r="R1023" s="86">
        <f t="shared" si="164"/>
        <v>100</v>
      </c>
      <c r="S1023" s="83">
        <f t="shared" si="165"/>
        <v>695</v>
      </c>
      <c r="T1023" s="83">
        <f>'[2]GULFSTREAM NON-FIRM'!H1034</f>
        <v>50</v>
      </c>
      <c r="U1023" s="84"/>
      <c r="V1023" s="84"/>
      <c r="W1023" s="84"/>
      <c r="X1023" s="84"/>
      <c r="Y1023" s="84"/>
      <c r="Z1023" s="84"/>
      <c r="AA1023" s="84"/>
      <c r="AB1023" s="84"/>
      <c r="AC1023" s="84"/>
      <c r="AD1023" s="84"/>
    </row>
    <row r="1024" spans="1:30" ht="15.75" hidden="1" x14ac:dyDescent="0.25">
      <c r="A1024" s="32">
        <v>72106</v>
      </c>
      <c r="B1024" s="95">
        <f t="shared" si="166"/>
        <v>31</v>
      </c>
      <c r="C1024" s="83">
        <f>'[2]FGT PRIMARY FIRM ZONE 1'!V1035</f>
        <v>194.20499999999998</v>
      </c>
      <c r="D1024" s="83">
        <f>'[2]FGT PRIMARY FIRM ZONE 2'!V1035</f>
        <v>267.46600000000001</v>
      </c>
      <c r="E1024" s="92">
        <f>'[2]FGT PRIMARY FIRM ZONE 3'!V1035</f>
        <v>133.845</v>
      </c>
      <c r="F1024" s="83">
        <f>'[2]FGT FIRM ZONE 3 MOBILE BAY-DES'!V1035-40-25-60-100</f>
        <v>53.48399999999998</v>
      </c>
      <c r="G1024" s="86">
        <v>40</v>
      </c>
      <c r="H1024" s="83">
        <f t="shared" si="171"/>
        <v>185</v>
      </c>
      <c r="I1024" s="83">
        <f t="shared" si="170"/>
        <v>0</v>
      </c>
      <c r="J1024" s="86">
        <v>100</v>
      </c>
      <c r="K1024" s="86">
        <v>300</v>
      </c>
      <c r="L1024" s="83">
        <f t="shared" si="162"/>
        <v>1274</v>
      </c>
      <c r="M1024" s="94">
        <v>600</v>
      </c>
      <c r="N1024" s="83">
        <f>'[2]FGT NON-FIRM'!P1035</f>
        <v>75</v>
      </c>
      <c r="O1024" s="86">
        <v>240</v>
      </c>
      <c r="P1024" s="86">
        <v>40</v>
      </c>
      <c r="Q1024" s="86">
        <f t="shared" si="163"/>
        <v>315</v>
      </c>
      <c r="R1024" s="86">
        <f t="shared" si="164"/>
        <v>100</v>
      </c>
      <c r="S1024" s="83">
        <f t="shared" si="165"/>
        <v>695</v>
      </c>
      <c r="T1024" s="83">
        <f>'[2]GULFSTREAM NON-FIRM'!H1035</f>
        <v>50</v>
      </c>
      <c r="U1024" s="84"/>
      <c r="V1024" s="84"/>
      <c r="W1024" s="84"/>
      <c r="X1024" s="84"/>
      <c r="Y1024" s="84"/>
      <c r="Z1024" s="84"/>
      <c r="AA1024" s="84"/>
      <c r="AB1024" s="84"/>
      <c r="AC1024" s="84"/>
      <c r="AD1024" s="84"/>
    </row>
    <row r="1025" spans="1:30" ht="15.75" hidden="1" x14ac:dyDescent="0.25">
      <c r="A1025" s="32">
        <v>72136</v>
      </c>
      <c r="B1025" s="95">
        <f t="shared" si="166"/>
        <v>30</v>
      </c>
      <c r="C1025" s="83">
        <f>'[2]FGT PRIMARY FIRM ZONE 1'!V1036</f>
        <v>194.20499999999998</v>
      </c>
      <c r="D1025" s="83">
        <f>'[2]FGT PRIMARY FIRM ZONE 2'!V1036</f>
        <v>267.46600000000001</v>
      </c>
      <c r="E1025" s="92">
        <f>'[2]FGT PRIMARY FIRM ZONE 3'!V1036</f>
        <v>133.845</v>
      </c>
      <c r="F1025" s="83">
        <f>'[2]FGT FIRM ZONE 3 MOBILE BAY-DES'!V1036-40-25-60-100</f>
        <v>53.48399999999998</v>
      </c>
      <c r="G1025" s="86">
        <v>40</v>
      </c>
      <c r="H1025" s="83">
        <f t="shared" si="171"/>
        <v>185</v>
      </c>
      <c r="I1025" s="83">
        <f t="shared" si="170"/>
        <v>0</v>
      </c>
      <c r="J1025" s="86">
        <v>100</v>
      </c>
      <c r="K1025" s="86">
        <v>300</v>
      </c>
      <c r="L1025" s="83">
        <f t="shared" si="162"/>
        <v>1274</v>
      </c>
      <c r="M1025" s="94">
        <v>600</v>
      </c>
      <c r="N1025" s="83">
        <f>'[2]FGT NON-FIRM'!P1036</f>
        <v>30</v>
      </c>
      <c r="O1025" s="86">
        <v>240</v>
      </c>
      <c r="P1025" s="86">
        <v>40</v>
      </c>
      <c r="Q1025" s="86">
        <f t="shared" si="163"/>
        <v>315</v>
      </c>
      <c r="R1025" s="86">
        <f t="shared" si="164"/>
        <v>100</v>
      </c>
      <c r="S1025" s="83">
        <f t="shared" si="165"/>
        <v>695</v>
      </c>
      <c r="T1025" s="83">
        <f>'[2]GULFSTREAM NON-FIRM'!H1036</f>
        <v>50</v>
      </c>
      <c r="U1025" s="84"/>
      <c r="V1025" s="84"/>
      <c r="W1025" s="84"/>
      <c r="X1025" s="84"/>
      <c r="Y1025" s="84"/>
      <c r="Z1025" s="84"/>
      <c r="AA1025" s="84"/>
      <c r="AB1025" s="84"/>
      <c r="AC1025" s="84"/>
      <c r="AD1025" s="84"/>
    </row>
    <row r="1026" spans="1:30" ht="15.75" hidden="1" x14ac:dyDescent="0.25">
      <c r="A1026" s="32">
        <v>72167</v>
      </c>
      <c r="B1026" s="95">
        <f t="shared" si="166"/>
        <v>31</v>
      </c>
      <c r="C1026" s="83">
        <f>'[2]FGT PRIMARY FIRM ZONE 1'!V1037</f>
        <v>194.20499999999998</v>
      </c>
      <c r="D1026" s="83">
        <f>'[2]FGT PRIMARY FIRM ZONE 2'!V1037</f>
        <v>267.46600000000001</v>
      </c>
      <c r="E1026" s="92">
        <f>'[2]FGT PRIMARY FIRM ZONE 3'!V1037</f>
        <v>133.845</v>
      </c>
      <c r="F1026" s="83">
        <f>'[2]FGT FIRM ZONE 3 MOBILE BAY-DES'!V1037-40-25-60-100</f>
        <v>53.48399999999998</v>
      </c>
      <c r="G1026" s="86">
        <v>40</v>
      </c>
      <c r="H1026" s="83">
        <f t="shared" si="171"/>
        <v>185</v>
      </c>
      <c r="I1026" s="83">
        <f t="shared" si="170"/>
        <v>0</v>
      </c>
      <c r="J1026" s="86">
        <v>100</v>
      </c>
      <c r="K1026" s="86">
        <v>300</v>
      </c>
      <c r="L1026" s="83">
        <f t="shared" si="162"/>
        <v>1274</v>
      </c>
      <c r="M1026" s="94">
        <v>600</v>
      </c>
      <c r="N1026" s="83">
        <f>'[2]FGT NON-FIRM'!P1037</f>
        <v>30</v>
      </c>
      <c r="O1026" s="86">
        <v>240</v>
      </c>
      <c r="P1026" s="86">
        <v>40</v>
      </c>
      <c r="Q1026" s="86">
        <f t="shared" si="163"/>
        <v>315</v>
      </c>
      <c r="R1026" s="86">
        <f t="shared" si="164"/>
        <v>100</v>
      </c>
      <c r="S1026" s="83">
        <f t="shared" si="165"/>
        <v>695</v>
      </c>
      <c r="T1026" s="83">
        <f>'[2]GULFSTREAM NON-FIRM'!H1037</f>
        <v>0</v>
      </c>
      <c r="U1026" s="84"/>
      <c r="V1026" s="84"/>
      <c r="W1026" s="84"/>
      <c r="X1026" s="84"/>
      <c r="Y1026" s="84"/>
      <c r="Z1026" s="84"/>
      <c r="AA1026" s="84"/>
      <c r="AB1026" s="84"/>
      <c r="AC1026" s="84"/>
      <c r="AD1026" s="84"/>
    </row>
    <row r="1027" spans="1:30" ht="15.75" hidden="1" x14ac:dyDescent="0.25">
      <c r="A1027" s="32">
        <v>72198</v>
      </c>
      <c r="B1027" s="95">
        <f t="shared" si="166"/>
        <v>31</v>
      </c>
      <c r="C1027" s="83">
        <f>'[2]FGT PRIMARY FIRM ZONE 1'!V1038</f>
        <v>194.20499999999998</v>
      </c>
      <c r="D1027" s="83">
        <f>'[2]FGT PRIMARY FIRM ZONE 2'!V1038</f>
        <v>267.46600000000001</v>
      </c>
      <c r="E1027" s="92">
        <f>'[2]FGT PRIMARY FIRM ZONE 3'!V1038</f>
        <v>133.845</v>
      </c>
      <c r="F1027" s="83">
        <f>'[2]FGT FIRM ZONE 3 MOBILE BAY-DES'!V1038-40-25-60-100</f>
        <v>53.48399999999998</v>
      </c>
      <c r="G1027" s="86">
        <v>40</v>
      </c>
      <c r="H1027" s="83">
        <f t="shared" si="171"/>
        <v>185</v>
      </c>
      <c r="I1027" s="83">
        <f t="shared" si="170"/>
        <v>0</v>
      </c>
      <c r="J1027" s="86">
        <v>100</v>
      </c>
      <c r="K1027" s="86">
        <v>300</v>
      </c>
      <c r="L1027" s="83">
        <f t="shared" si="162"/>
        <v>1274</v>
      </c>
      <c r="M1027" s="94">
        <v>600</v>
      </c>
      <c r="N1027" s="83">
        <f>'[2]FGT NON-FIRM'!P1038</f>
        <v>30</v>
      </c>
      <c r="O1027" s="86">
        <v>240</v>
      </c>
      <c r="P1027" s="86">
        <v>40</v>
      </c>
      <c r="Q1027" s="86">
        <f t="shared" si="163"/>
        <v>315</v>
      </c>
      <c r="R1027" s="86">
        <f t="shared" si="164"/>
        <v>100</v>
      </c>
      <c r="S1027" s="83">
        <f t="shared" si="165"/>
        <v>695</v>
      </c>
      <c r="T1027" s="83">
        <f>'[2]GULFSTREAM NON-FIRM'!H1038</f>
        <v>0</v>
      </c>
      <c r="U1027" s="84"/>
      <c r="V1027" s="84"/>
      <c r="W1027" s="84"/>
      <c r="X1027" s="84"/>
      <c r="Y1027" s="84"/>
      <c r="Z1027" s="84"/>
      <c r="AA1027" s="84"/>
      <c r="AB1027" s="84"/>
      <c r="AC1027" s="84"/>
      <c r="AD1027" s="84"/>
    </row>
    <row r="1028" spans="1:30" ht="15.75" hidden="1" x14ac:dyDescent="0.25">
      <c r="A1028" s="32">
        <v>72228</v>
      </c>
      <c r="B1028" s="95">
        <f t="shared" si="166"/>
        <v>30</v>
      </c>
      <c r="C1028" s="83">
        <f>'[2]FGT PRIMARY FIRM ZONE 1'!V1039</f>
        <v>194.20499999999998</v>
      </c>
      <c r="D1028" s="83">
        <f>'[2]FGT PRIMARY FIRM ZONE 2'!V1039</f>
        <v>267.46600000000001</v>
      </c>
      <c r="E1028" s="92">
        <f>'[2]FGT PRIMARY FIRM ZONE 3'!V1039</f>
        <v>133.845</v>
      </c>
      <c r="F1028" s="83">
        <f>'[2]FGT FIRM ZONE 3 MOBILE BAY-DES'!V1039-40-25-60-100</f>
        <v>53.48399999999998</v>
      </c>
      <c r="G1028" s="86">
        <v>40</v>
      </c>
      <c r="H1028" s="83">
        <f t="shared" si="171"/>
        <v>185</v>
      </c>
      <c r="I1028" s="83">
        <f t="shared" si="170"/>
        <v>0</v>
      </c>
      <c r="J1028" s="86">
        <v>100</v>
      </c>
      <c r="K1028" s="86">
        <v>300</v>
      </c>
      <c r="L1028" s="83">
        <f t="shared" si="162"/>
        <v>1274</v>
      </c>
      <c r="M1028" s="94">
        <v>600</v>
      </c>
      <c r="N1028" s="83">
        <f>'[2]FGT NON-FIRM'!P1039</f>
        <v>30</v>
      </c>
      <c r="O1028" s="86">
        <v>240</v>
      </c>
      <c r="P1028" s="86">
        <v>40</v>
      </c>
      <c r="Q1028" s="86">
        <f t="shared" si="163"/>
        <v>315</v>
      </c>
      <c r="R1028" s="86">
        <f t="shared" si="164"/>
        <v>100</v>
      </c>
      <c r="S1028" s="83">
        <f t="shared" si="165"/>
        <v>695</v>
      </c>
      <c r="T1028" s="83">
        <f>'[2]GULFSTREAM NON-FIRM'!H1039</f>
        <v>0</v>
      </c>
      <c r="U1028" s="84"/>
      <c r="V1028" s="84"/>
      <c r="W1028" s="84"/>
      <c r="X1028" s="84"/>
      <c r="Y1028" s="84"/>
      <c r="Z1028" s="84"/>
      <c r="AA1028" s="84"/>
      <c r="AB1028" s="84"/>
      <c r="AC1028" s="84"/>
      <c r="AD1028" s="84"/>
    </row>
    <row r="1029" spans="1:30" ht="15.75" hidden="1" x14ac:dyDescent="0.25">
      <c r="A1029" s="32">
        <v>72259</v>
      </c>
      <c r="B1029" s="95">
        <f t="shared" si="166"/>
        <v>31</v>
      </c>
      <c r="C1029" s="83">
        <f>'[2]FGT PRIMARY FIRM ZONE 1'!V1040</f>
        <v>131.881</v>
      </c>
      <c r="D1029" s="83">
        <f>'[2]FGT PRIMARY FIRM ZONE 2'!V1040</f>
        <v>277.16699999999997</v>
      </c>
      <c r="E1029" s="92">
        <f>'[2]FGT PRIMARY FIRM ZONE 3'!V1040</f>
        <v>79.08</v>
      </c>
      <c r="F1029" s="83">
        <f>'[2]FGT FIRM ZONE 3 MOBILE BAY-DES'!V1040-40-25-60-100</f>
        <v>125.87199999999996</v>
      </c>
      <c r="G1029" s="86">
        <v>40</v>
      </c>
      <c r="H1029" s="83">
        <f t="shared" si="171"/>
        <v>185</v>
      </c>
      <c r="I1029" s="83">
        <f t="shared" si="170"/>
        <v>0</v>
      </c>
      <c r="J1029" s="86">
        <v>100</v>
      </c>
      <c r="K1029" s="86">
        <v>300</v>
      </c>
      <c r="L1029" s="83">
        <f t="shared" si="162"/>
        <v>1239</v>
      </c>
      <c r="M1029" s="94">
        <v>600</v>
      </c>
      <c r="N1029" s="83">
        <f>'[2]FGT NON-FIRM'!P1040</f>
        <v>75</v>
      </c>
      <c r="O1029" s="86">
        <v>240</v>
      </c>
      <c r="P1029" s="86">
        <v>40</v>
      </c>
      <c r="Q1029" s="86">
        <f t="shared" si="163"/>
        <v>315</v>
      </c>
      <c r="R1029" s="86">
        <f t="shared" si="164"/>
        <v>100</v>
      </c>
      <c r="S1029" s="83">
        <f t="shared" si="165"/>
        <v>695</v>
      </c>
      <c r="T1029" s="83">
        <f>'[2]GULFSTREAM NON-FIRM'!H1040</f>
        <v>0</v>
      </c>
      <c r="U1029" s="84"/>
      <c r="V1029" s="84"/>
      <c r="W1029" s="84"/>
      <c r="X1029" s="84"/>
      <c r="Y1029" s="84"/>
      <c r="Z1029" s="84"/>
      <c r="AA1029" s="84"/>
      <c r="AB1029" s="84"/>
      <c r="AC1029" s="84"/>
      <c r="AD1029" s="84"/>
    </row>
    <row r="1030" spans="1:30" ht="15.75" hidden="1" x14ac:dyDescent="0.25">
      <c r="A1030" s="32">
        <v>72289</v>
      </c>
      <c r="B1030" s="95">
        <f t="shared" si="166"/>
        <v>30</v>
      </c>
      <c r="C1030" s="83">
        <f>'[2]FGT PRIMARY FIRM ZONE 1'!V1041</f>
        <v>122.58</v>
      </c>
      <c r="D1030" s="83">
        <f>'[2]FGT PRIMARY FIRM ZONE 2'!V1041</f>
        <v>297.94100000000003</v>
      </c>
      <c r="E1030" s="92">
        <f>'[2]FGT PRIMARY FIRM ZONE 3'!V1041</f>
        <v>89.177000000000007</v>
      </c>
      <c r="F1030" s="83">
        <f>'[2]FGT FIRM ZONE 3 MOBILE BAY-DES'!V1041-40-60-100</f>
        <v>40.301999999999992</v>
      </c>
      <c r="G1030" s="86">
        <v>40</v>
      </c>
      <c r="H1030" s="83">
        <f>60+100</f>
        <v>160</v>
      </c>
      <c r="I1030" s="83">
        <f t="shared" si="170"/>
        <v>0</v>
      </c>
      <c r="J1030" s="86">
        <v>100</v>
      </c>
      <c r="K1030" s="86">
        <v>300</v>
      </c>
      <c r="L1030" s="83">
        <f t="shared" si="162"/>
        <v>1150</v>
      </c>
      <c r="M1030" s="94">
        <v>600</v>
      </c>
      <c r="N1030" s="83">
        <f>'[2]FGT NON-FIRM'!P1041</f>
        <v>100</v>
      </c>
      <c r="O1030" s="86">
        <v>240</v>
      </c>
      <c r="P1030" s="86">
        <v>40</v>
      </c>
      <c r="Q1030" s="86">
        <f t="shared" si="163"/>
        <v>315</v>
      </c>
      <c r="R1030" s="86">
        <f t="shared" si="164"/>
        <v>100</v>
      </c>
      <c r="S1030" s="83">
        <f t="shared" si="165"/>
        <v>695</v>
      </c>
      <c r="T1030" s="83">
        <f>'[2]GULFSTREAM NON-FIRM'!H1041</f>
        <v>50</v>
      </c>
      <c r="U1030" s="84"/>
      <c r="V1030" s="84"/>
      <c r="W1030" s="84"/>
      <c r="X1030" s="84"/>
      <c r="Y1030" s="84"/>
      <c r="Z1030" s="84"/>
      <c r="AA1030" s="84"/>
      <c r="AB1030" s="84"/>
      <c r="AC1030" s="84"/>
      <c r="AD1030" s="84"/>
    </row>
    <row r="1031" spans="1:30" ht="15.75" hidden="1" x14ac:dyDescent="0.25">
      <c r="A1031" s="32">
        <v>72320</v>
      </c>
      <c r="B1031" s="95">
        <f t="shared" si="166"/>
        <v>31</v>
      </c>
      <c r="C1031" s="83">
        <f>'[2]FGT PRIMARY FIRM ZONE 1'!V1042</f>
        <v>122.58</v>
      </c>
      <c r="D1031" s="83">
        <f>'[2]FGT PRIMARY FIRM ZONE 2'!V1042</f>
        <v>297.94100000000003</v>
      </c>
      <c r="E1031" s="92">
        <f>'[2]FGT PRIMARY FIRM ZONE 3'!V1042</f>
        <v>89.177000000000007</v>
      </c>
      <c r="F1031" s="83">
        <f>'[2]FGT FIRM ZONE 3 MOBILE BAY-DES'!V1042-40-60-100</f>
        <v>40.301999999999992</v>
      </c>
      <c r="G1031" s="86">
        <v>40</v>
      </c>
      <c r="H1031" s="83">
        <f>60+100</f>
        <v>160</v>
      </c>
      <c r="I1031" s="83">
        <f t="shared" si="170"/>
        <v>0</v>
      </c>
      <c r="J1031" s="86">
        <v>100</v>
      </c>
      <c r="K1031" s="86">
        <v>300</v>
      </c>
      <c r="L1031" s="83">
        <f t="shared" si="162"/>
        <v>1150</v>
      </c>
      <c r="M1031" s="94">
        <v>600</v>
      </c>
      <c r="N1031" s="83">
        <f>'[2]FGT NON-FIRM'!P1042</f>
        <v>100</v>
      </c>
      <c r="O1031" s="86">
        <v>240</v>
      </c>
      <c r="P1031" s="86">
        <v>40</v>
      </c>
      <c r="Q1031" s="86">
        <f t="shared" si="163"/>
        <v>315</v>
      </c>
      <c r="R1031" s="86">
        <f t="shared" si="164"/>
        <v>100</v>
      </c>
      <c r="S1031" s="83">
        <f t="shared" si="165"/>
        <v>695</v>
      </c>
      <c r="T1031" s="83">
        <f>'[2]GULFSTREAM NON-FIRM'!H1042</f>
        <v>50</v>
      </c>
      <c r="U1031" s="84"/>
      <c r="V1031" s="84"/>
      <c r="W1031" s="84"/>
      <c r="X1031" s="84"/>
      <c r="Y1031" s="84"/>
      <c r="Z1031" s="84"/>
      <c r="AA1031" s="84"/>
      <c r="AB1031" s="84"/>
      <c r="AC1031" s="84"/>
      <c r="AD1031" s="84"/>
    </row>
    <row r="1032" spans="1:30" ht="15.75" hidden="1" x14ac:dyDescent="0.25">
      <c r="A1032" s="32">
        <v>72351</v>
      </c>
      <c r="B1032" s="95">
        <f t="shared" si="166"/>
        <v>31</v>
      </c>
      <c r="C1032" s="83">
        <f>'[2]FGT PRIMARY FIRM ZONE 1'!V1043</f>
        <v>122.58</v>
      </c>
      <c r="D1032" s="83">
        <f>'[2]FGT PRIMARY FIRM ZONE 2'!V1043</f>
        <v>297.94100000000003</v>
      </c>
      <c r="E1032" s="92">
        <f>'[2]FGT PRIMARY FIRM ZONE 3'!V1043</f>
        <v>89.177000000000007</v>
      </c>
      <c r="F1032" s="83">
        <f>'[2]FGT FIRM ZONE 3 MOBILE BAY-DES'!V1043-40-60-100</f>
        <v>40.301999999999992</v>
      </c>
      <c r="G1032" s="86">
        <v>40</v>
      </c>
      <c r="H1032" s="83">
        <f>60+100</f>
        <v>160</v>
      </c>
      <c r="I1032" s="83">
        <f t="shared" si="170"/>
        <v>0</v>
      </c>
      <c r="J1032" s="86">
        <v>100</v>
      </c>
      <c r="K1032" s="86">
        <v>300</v>
      </c>
      <c r="L1032" s="83">
        <f t="shared" si="162"/>
        <v>1150</v>
      </c>
      <c r="M1032" s="94">
        <v>600</v>
      </c>
      <c r="N1032" s="83">
        <f>'[2]FGT NON-FIRM'!P1043</f>
        <v>100</v>
      </c>
      <c r="O1032" s="86">
        <v>240</v>
      </c>
      <c r="P1032" s="86">
        <v>40</v>
      </c>
      <c r="Q1032" s="86">
        <f t="shared" si="163"/>
        <v>315</v>
      </c>
      <c r="R1032" s="86">
        <f t="shared" si="164"/>
        <v>100</v>
      </c>
      <c r="S1032" s="83">
        <f t="shared" si="165"/>
        <v>695</v>
      </c>
      <c r="T1032" s="83">
        <f>'[2]GULFSTREAM NON-FIRM'!H1043</f>
        <v>50</v>
      </c>
      <c r="U1032" s="84"/>
      <c r="V1032" s="84"/>
      <c r="W1032" s="84"/>
      <c r="X1032" s="84"/>
      <c r="Y1032" s="84"/>
      <c r="Z1032" s="84"/>
      <c r="AA1032" s="84"/>
      <c r="AB1032" s="84"/>
      <c r="AC1032" s="84"/>
      <c r="AD1032" s="84"/>
    </row>
    <row r="1033" spans="1:30" ht="15.75" hidden="1" x14ac:dyDescent="0.25">
      <c r="A1033" s="32">
        <v>72379</v>
      </c>
      <c r="B1033" s="95">
        <f t="shared" si="166"/>
        <v>28</v>
      </c>
      <c r="C1033" s="83">
        <f>'[2]FGT PRIMARY FIRM ZONE 1'!V1044</f>
        <v>122.58</v>
      </c>
      <c r="D1033" s="83">
        <f>'[2]FGT PRIMARY FIRM ZONE 2'!V1044</f>
        <v>297.94100000000003</v>
      </c>
      <c r="E1033" s="92">
        <f>'[2]FGT PRIMARY FIRM ZONE 3'!V1044</f>
        <v>89.177000000000007</v>
      </c>
      <c r="F1033" s="83">
        <f>'[2]FGT FIRM ZONE 3 MOBILE BAY-DES'!V1044-40-60-100</f>
        <v>40.301999999999992</v>
      </c>
      <c r="G1033" s="86">
        <v>40</v>
      </c>
      <c r="H1033" s="83">
        <f>60+100</f>
        <v>160</v>
      </c>
      <c r="I1033" s="83">
        <f t="shared" si="170"/>
        <v>0</v>
      </c>
      <c r="J1033" s="86">
        <v>100</v>
      </c>
      <c r="K1033" s="86">
        <v>300</v>
      </c>
      <c r="L1033" s="83">
        <f t="shared" si="162"/>
        <v>1150</v>
      </c>
      <c r="M1033" s="94">
        <v>600</v>
      </c>
      <c r="N1033" s="83">
        <f>'[2]FGT NON-FIRM'!P1044</f>
        <v>100</v>
      </c>
      <c r="O1033" s="86">
        <v>240</v>
      </c>
      <c r="P1033" s="86">
        <v>40</v>
      </c>
      <c r="Q1033" s="86">
        <f t="shared" si="163"/>
        <v>315</v>
      </c>
      <c r="R1033" s="86">
        <f t="shared" si="164"/>
        <v>100</v>
      </c>
      <c r="S1033" s="83">
        <f t="shared" si="165"/>
        <v>695</v>
      </c>
      <c r="T1033" s="83">
        <f>'[2]GULFSTREAM NON-FIRM'!H1044</f>
        <v>50</v>
      </c>
      <c r="U1033" s="84"/>
      <c r="V1033" s="84"/>
      <c r="W1033" s="84"/>
      <c r="X1033" s="84"/>
      <c r="Y1033" s="84"/>
      <c r="Z1033" s="84"/>
      <c r="AA1033" s="84"/>
      <c r="AB1033" s="84"/>
      <c r="AC1033" s="84"/>
      <c r="AD1033" s="84"/>
    </row>
    <row r="1034" spans="1:30" ht="15.75" hidden="1" x14ac:dyDescent="0.25">
      <c r="A1034" s="32">
        <v>72410</v>
      </c>
      <c r="B1034" s="95">
        <f t="shared" si="166"/>
        <v>31</v>
      </c>
      <c r="C1034" s="83">
        <f>'[2]FGT PRIMARY FIRM ZONE 1'!V1045</f>
        <v>122.58</v>
      </c>
      <c r="D1034" s="83">
        <f>'[2]FGT PRIMARY FIRM ZONE 2'!V1045</f>
        <v>297.94100000000003</v>
      </c>
      <c r="E1034" s="92">
        <f>'[2]FGT PRIMARY FIRM ZONE 3'!V1045</f>
        <v>89.177000000000007</v>
      </c>
      <c r="F1034" s="83">
        <f>'[2]FGT FIRM ZONE 3 MOBILE BAY-DES'!V1045-40-60-100</f>
        <v>40.301999999999992</v>
      </c>
      <c r="G1034" s="86">
        <v>40</v>
      </c>
      <c r="H1034" s="83">
        <f>60+100</f>
        <v>160</v>
      </c>
      <c r="I1034" s="83">
        <f t="shared" si="170"/>
        <v>0</v>
      </c>
      <c r="J1034" s="86">
        <v>100</v>
      </c>
      <c r="K1034" s="86">
        <v>300</v>
      </c>
      <c r="L1034" s="83">
        <f t="shared" si="162"/>
        <v>1150</v>
      </c>
      <c r="M1034" s="94">
        <v>600</v>
      </c>
      <c r="N1034" s="83">
        <f>'[2]FGT NON-FIRM'!P1045</f>
        <v>100</v>
      </c>
      <c r="O1034" s="86">
        <v>240</v>
      </c>
      <c r="P1034" s="86">
        <v>40</v>
      </c>
      <c r="Q1034" s="86">
        <f t="shared" si="163"/>
        <v>315</v>
      </c>
      <c r="R1034" s="86">
        <f t="shared" si="164"/>
        <v>100</v>
      </c>
      <c r="S1034" s="83">
        <f t="shared" si="165"/>
        <v>695</v>
      </c>
      <c r="T1034" s="83">
        <f>'[2]GULFSTREAM NON-FIRM'!H1045</f>
        <v>50</v>
      </c>
      <c r="U1034" s="84"/>
      <c r="V1034" s="84"/>
      <c r="W1034" s="84"/>
      <c r="X1034" s="84"/>
      <c r="Y1034" s="84"/>
      <c r="Z1034" s="84"/>
      <c r="AA1034" s="84"/>
      <c r="AB1034" s="84"/>
      <c r="AC1034" s="84"/>
      <c r="AD1034" s="84"/>
    </row>
    <row r="1035" spans="1:30" ht="15.75" hidden="1" x14ac:dyDescent="0.25">
      <c r="A1035" s="32">
        <v>72440</v>
      </c>
      <c r="B1035" s="95">
        <f t="shared" si="166"/>
        <v>30</v>
      </c>
      <c r="C1035" s="83">
        <f>'[2]FGT PRIMARY FIRM ZONE 1'!V1046</f>
        <v>141.29300000000001</v>
      </c>
      <c r="D1035" s="83">
        <f>'[2]FGT PRIMARY FIRM ZONE 2'!V1046</f>
        <v>267.99299999999999</v>
      </c>
      <c r="E1035" s="92">
        <f>'[2]FGT PRIMARY FIRM ZONE 3'!V1046</f>
        <v>115.01600000000001</v>
      </c>
      <c r="F1035" s="83">
        <f>'[2]FGT FIRM ZONE 3 MOBILE BAY-DES'!V1046-40-25-60-100</f>
        <v>89.698000000000036</v>
      </c>
      <c r="G1035" s="86">
        <v>40</v>
      </c>
      <c r="H1035" s="83">
        <f t="shared" ref="H1035:H1041" si="172">25+60+100</f>
        <v>185</v>
      </c>
      <c r="I1035" s="83">
        <f t="shared" si="170"/>
        <v>0</v>
      </c>
      <c r="J1035" s="86">
        <v>100</v>
      </c>
      <c r="K1035" s="86">
        <v>300</v>
      </c>
      <c r="L1035" s="83">
        <f t="shared" si="162"/>
        <v>1239</v>
      </c>
      <c r="M1035" s="94">
        <v>600</v>
      </c>
      <c r="N1035" s="83">
        <f>'[2]FGT NON-FIRM'!P1046</f>
        <v>100</v>
      </c>
      <c r="O1035" s="86">
        <v>240</v>
      </c>
      <c r="P1035" s="86">
        <v>40</v>
      </c>
      <c r="Q1035" s="86">
        <f t="shared" si="163"/>
        <v>315</v>
      </c>
      <c r="R1035" s="86">
        <f t="shared" si="164"/>
        <v>100</v>
      </c>
      <c r="S1035" s="83">
        <f t="shared" si="165"/>
        <v>695</v>
      </c>
      <c r="T1035" s="83">
        <f>'[2]GULFSTREAM NON-FIRM'!H1046</f>
        <v>50</v>
      </c>
      <c r="U1035" s="84"/>
      <c r="V1035" s="84"/>
      <c r="W1035" s="84"/>
      <c r="X1035" s="84"/>
      <c r="Y1035" s="84"/>
      <c r="Z1035" s="84"/>
      <c r="AA1035" s="84"/>
      <c r="AB1035" s="84"/>
      <c r="AC1035" s="84"/>
      <c r="AD1035" s="84"/>
    </row>
    <row r="1036" spans="1:30" ht="15.75" hidden="1" x14ac:dyDescent="0.25">
      <c r="A1036" s="32">
        <v>72471</v>
      </c>
      <c r="B1036" s="95">
        <f t="shared" si="166"/>
        <v>31</v>
      </c>
      <c r="C1036" s="83">
        <f>'[2]FGT PRIMARY FIRM ZONE 1'!V1047</f>
        <v>194.20499999999998</v>
      </c>
      <c r="D1036" s="83">
        <f>'[2]FGT PRIMARY FIRM ZONE 2'!V1047</f>
        <v>267.46600000000001</v>
      </c>
      <c r="E1036" s="92">
        <f>'[2]FGT PRIMARY FIRM ZONE 3'!V1047</f>
        <v>133.845</v>
      </c>
      <c r="F1036" s="83">
        <f>'[2]FGT FIRM ZONE 3 MOBILE BAY-DES'!V1047-40-25-60-100</f>
        <v>53.48399999999998</v>
      </c>
      <c r="G1036" s="86">
        <v>40</v>
      </c>
      <c r="H1036" s="83">
        <f t="shared" si="172"/>
        <v>185</v>
      </c>
      <c r="I1036" s="83">
        <f t="shared" si="170"/>
        <v>0</v>
      </c>
      <c r="J1036" s="86">
        <v>100</v>
      </c>
      <c r="K1036" s="86">
        <v>300</v>
      </c>
      <c r="L1036" s="83">
        <f t="shared" si="162"/>
        <v>1274</v>
      </c>
      <c r="M1036" s="94">
        <v>600</v>
      </c>
      <c r="N1036" s="83">
        <f>'[2]FGT NON-FIRM'!P1047</f>
        <v>75</v>
      </c>
      <c r="O1036" s="86">
        <v>240</v>
      </c>
      <c r="P1036" s="86">
        <v>40</v>
      </c>
      <c r="Q1036" s="86">
        <f t="shared" si="163"/>
        <v>315</v>
      </c>
      <c r="R1036" s="86">
        <f t="shared" si="164"/>
        <v>100</v>
      </c>
      <c r="S1036" s="83">
        <f t="shared" si="165"/>
        <v>695</v>
      </c>
      <c r="T1036" s="83">
        <f>'[2]GULFSTREAM NON-FIRM'!H1047</f>
        <v>50</v>
      </c>
      <c r="U1036" s="84"/>
      <c r="V1036" s="84"/>
      <c r="W1036" s="84"/>
      <c r="X1036" s="84"/>
      <c r="Y1036" s="84"/>
      <c r="Z1036" s="84"/>
      <c r="AA1036" s="84"/>
      <c r="AB1036" s="84"/>
      <c r="AC1036" s="84"/>
      <c r="AD1036" s="84"/>
    </row>
    <row r="1037" spans="1:30" ht="15.75" hidden="1" x14ac:dyDescent="0.25">
      <c r="A1037" s="32">
        <v>72501</v>
      </c>
      <c r="B1037" s="95">
        <f t="shared" si="166"/>
        <v>30</v>
      </c>
      <c r="C1037" s="83">
        <f>'[2]FGT PRIMARY FIRM ZONE 1'!V1048</f>
        <v>194.20499999999998</v>
      </c>
      <c r="D1037" s="83">
        <f>'[2]FGT PRIMARY FIRM ZONE 2'!V1048</f>
        <v>267.46600000000001</v>
      </c>
      <c r="E1037" s="92">
        <f>'[2]FGT PRIMARY FIRM ZONE 3'!V1048</f>
        <v>133.845</v>
      </c>
      <c r="F1037" s="83">
        <f>'[2]FGT FIRM ZONE 3 MOBILE BAY-DES'!V1048-40-25-60-100</f>
        <v>53.48399999999998</v>
      </c>
      <c r="G1037" s="86">
        <v>40</v>
      </c>
      <c r="H1037" s="83">
        <f t="shared" si="172"/>
        <v>185</v>
      </c>
      <c r="I1037" s="83">
        <f t="shared" si="170"/>
        <v>0</v>
      </c>
      <c r="J1037" s="86">
        <v>100</v>
      </c>
      <c r="K1037" s="86">
        <v>300</v>
      </c>
      <c r="L1037" s="83">
        <f t="shared" si="162"/>
        <v>1274</v>
      </c>
      <c r="M1037" s="94">
        <v>600</v>
      </c>
      <c r="N1037" s="83">
        <f>'[2]FGT NON-FIRM'!P1048</f>
        <v>30</v>
      </c>
      <c r="O1037" s="86">
        <v>240</v>
      </c>
      <c r="P1037" s="86">
        <v>40</v>
      </c>
      <c r="Q1037" s="86">
        <f t="shared" si="163"/>
        <v>315</v>
      </c>
      <c r="R1037" s="86">
        <f t="shared" si="164"/>
        <v>100</v>
      </c>
      <c r="S1037" s="83">
        <f t="shared" si="165"/>
        <v>695</v>
      </c>
      <c r="T1037" s="83">
        <f>'[2]GULFSTREAM NON-FIRM'!H1048</f>
        <v>50</v>
      </c>
      <c r="U1037" s="84"/>
      <c r="V1037" s="84"/>
      <c r="W1037" s="84"/>
      <c r="X1037" s="84"/>
      <c r="Y1037" s="84"/>
      <c r="Z1037" s="84"/>
      <c r="AA1037" s="84"/>
      <c r="AB1037" s="84"/>
      <c r="AC1037" s="84"/>
      <c r="AD1037" s="84"/>
    </row>
    <row r="1038" spans="1:30" ht="15.75" hidden="1" x14ac:dyDescent="0.25">
      <c r="A1038" s="32">
        <v>72532</v>
      </c>
      <c r="B1038" s="95">
        <f t="shared" si="166"/>
        <v>31</v>
      </c>
      <c r="C1038" s="83">
        <f>'[2]FGT PRIMARY FIRM ZONE 1'!V1049</f>
        <v>194.20499999999998</v>
      </c>
      <c r="D1038" s="83">
        <f>'[2]FGT PRIMARY FIRM ZONE 2'!V1049</f>
        <v>267.46600000000001</v>
      </c>
      <c r="E1038" s="92">
        <f>'[2]FGT PRIMARY FIRM ZONE 3'!V1049</f>
        <v>133.845</v>
      </c>
      <c r="F1038" s="83">
        <f>'[2]FGT FIRM ZONE 3 MOBILE BAY-DES'!V1049-40-25-60-100</f>
        <v>53.48399999999998</v>
      </c>
      <c r="G1038" s="86">
        <v>40</v>
      </c>
      <c r="H1038" s="83">
        <f t="shared" si="172"/>
        <v>185</v>
      </c>
      <c r="I1038" s="83">
        <f t="shared" si="170"/>
        <v>0</v>
      </c>
      <c r="J1038" s="86">
        <v>100</v>
      </c>
      <c r="K1038" s="86">
        <v>300</v>
      </c>
      <c r="L1038" s="83">
        <f t="shared" si="162"/>
        <v>1274</v>
      </c>
      <c r="M1038" s="94">
        <v>600</v>
      </c>
      <c r="N1038" s="83">
        <f>'[2]FGT NON-FIRM'!P1049</f>
        <v>30</v>
      </c>
      <c r="O1038" s="86">
        <v>240</v>
      </c>
      <c r="P1038" s="86">
        <v>40</v>
      </c>
      <c r="Q1038" s="86">
        <f t="shared" si="163"/>
        <v>315</v>
      </c>
      <c r="R1038" s="86">
        <f t="shared" si="164"/>
        <v>100</v>
      </c>
      <c r="S1038" s="83">
        <f t="shared" si="165"/>
        <v>695</v>
      </c>
      <c r="T1038" s="83">
        <f>'[2]GULFSTREAM NON-FIRM'!H1049</f>
        <v>0</v>
      </c>
      <c r="U1038" s="84"/>
      <c r="V1038" s="84"/>
      <c r="W1038" s="84"/>
      <c r="X1038" s="84"/>
      <c r="Y1038" s="84"/>
      <c r="Z1038" s="84"/>
      <c r="AA1038" s="84"/>
      <c r="AB1038" s="84"/>
      <c r="AC1038" s="84"/>
      <c r="AD1038" s="84"/>
    </row>
    <row r="1039" spans="1:30" ht="15.75" hidden="1" x14ac:dyDescent="0.25">
      <c r="A1039" s="32">
        <v>72563</v>
      </c>
      <c r="B1039" s="95">
        <f t="shared" si="166"/>
        <v>31</v>
      </c>
      <c r="C1039" s="83">
        <f>'[2]FGT PRIMARY FIRM ZONE 1'!V1050</f>
        <v>194.20499999999998</v>
      </c>
      <c r="D1039" s="83">
        <f>'[2]FGT PRIMARY FIRM ZONE 2'!V1050</f>
        <v>267.46600000000001</v>
      </c>
      <c r="E1039" s="92">
        <f>'[2]FGT PRIMARY FIRM ZONE 3'!V1050</f>
        <v>133.845</v>
      </c>
      <c r="F1039" s="83">
        <f>'[2]FGT FIRM ZONE 3 MOBILE BAY-DES'!V1050-40-25-60-100</f>
        <v>53.48399999999998</v>
      </c>
      <c r="G1039" s="86">
        <v>40</v>
      </c>
      <c r="H1039" s="83">
        <f t="shared" si="172"/>
        <v>185</v>
      </c>
      <c r="I1039" s="83">
        <f t="shared" si="170"/>
        <v>0</v>
      </c>
      <c r="J1039" s="86">
        <v>100</v>
      </c>
      <c r="K1039" s="86">
        <v>300</v>
      </c>
      <c r="L1039" s="83">
        <f t="shared" si="162"/>
        <v>1274</v>
      </c>
      <c r="M1039" s="94">
        <v>600</v>
      </c>
      <c r="N1039" s="83">
        <f>'[2]FGT NON-FIRM'!P1050</f>
        <v>30</v>
      </c>
      <c r="O1039" s="86">
        <v>240</v>
      </c>
      <c r="P1039" s="86">
        <v>40</v>
      </c>
      <c r="Q1039" s="86">
        <f t="shared" si="163"/>
        <v>315</v>
      </c>
      <c r="R1039" s="86">
        <f t="shared" si="164"/>
        <v>100</v>
      </c>
      <c r="S1039" s="83">
        <f t="shared" si="165"/>
        <v>695</v>
      </c>
      <c r="T1039" s="83">
        <f>'[2]GULFSTREAM NON-FIRM'!H1050</f>
        <v>0</v>
      </c>
      <c r="U1039" s="84"/>
      <c r="V1039" s="84"/>
      <c r="W1039" s="84"/>
      <c r="X1039" s="84"/>
      <c r="Y1039" s="84"/>
      <c r="Z1039" s="84"/>
      <c r="AA1039" s="84"/>
      <c r="AB1039" s="84"/>
      <c r="AC1039" s="84"/>
      <c r="AD1039" s="84"/>
    </row>
    <row r="1040" spans="1:30" ht="15.75" hidden="1" x14ac:dyDescent="0.25">
      <c r="A1040" s="32">
        <v>72593</v>
      </c>
      <c r="B1040" s="95">
        <f t="shared" si="166"/>
        <v>30</v>
      </c>
      <c r="C1040" s="83">
        <f>'[2]FGT PRIMARY FIRM ZONE 1'!V1051</f>
        <v>194.20499999999998</v>
      </c>
      <c r="D1040" s="83">
        <f>'[2]FGT PRIMARY FIRM ZONE 2'!V1051</f>
        <v>267.46600000000001</v>
      </c>
      <c r="E1040" s="92">
        <f>'[2]FGT PRIMARY FIRM ZONE 3'!V1051</f>
        <v>133.845</v>
      </c>
      <c r="F1040" s="83">
        <f>'[2]FGT FIRM ZONE 3 MOBILE BAY-DES'!V1051-40-25-60-100</f>
        <v>53.48399999999998</v>
      </c>
      <c r="G1040" s="86">
        <v>40</v>
      </c>
      <c r="H1040" s="83">
        <f t="shared" si="172"/>
        <v>185</v>
      </c>
      <c r="I1040" s="83">
        <f t="shared" si="170"/>
        <v>0</v>
      </c>
      <c r="J1040" s="86">
        <v>100</v>
      </c>
      <c r="K1040" s="86">
        <v>300</v>
      </c>
      <c r="L1040" s="83">
        <f t="shared" si="162"/>
        <v>1274</v>
      </c>
      <c r="M1040" s="94">
        <v>600</v>
      </c>
      <c r="N1040" s="83">
        <f>'[2]FGT NON-FIRM'!P1051</f>
        <v>30</v>
      </c>
      <c r="O1040" s="86">
        <v>240</v>
      </c>
      <c r="P1040" s="86">
        <v>40</v>
      </c>
      <c r="Q1040" s="86">
        <f t="shared" si="163"/>
        <v>315</v>
      </c>
      <c r="R1040" s="86">
        <f t="shared" si="164"/>
        <v>100</v>
      </c>
      <c r="S1040" s="83">
        <f t="shared" si="165"/>
        <v>695</v>
      </c>
      <c r="T1040" s="83">
        <f>'[2]GULFSTREAM NON-FIRM'!H1051</f>
        <v>0</v>
      </c>
      <c r="U1040" s="84"/>
      <c r="V1040" s="84"/>
      <c r="W1040" s="84"/>
      <c r="X1040" s="84"/>
      <c r="Y1040" s="84"/>
      <c r="Z1040" s="84"/>
      <c r="AA1040" s="84"/>
      <c r="AB1040" s="84"/>
      <c r="AC1040" s="84"/>
      <c r="AD1040" s="84"/>
    </row>
    <row r="1041" spans="1:30" ht="15.75" hidden="1" x14ac:dyDescent="0.25">
      <c r="A1041" s="32">
        <v>72624</v>
      </c>
      <c r="B1041" s="95">
        <f t="shared" si="166"/>
        <v>31</v>
      </c>
      <c r="C1041" s="83">
        <f>'[2]FGT PRIMARY FIRM ZONE 1'!V1052</f>
        <v>131.881</v>
      </c>
      <c r="D1041" s="83">
        <f>'[2]FGT PRIMARY FIRM ZONE 2'!V1052</f>
        <v>277.16699999999997</v>
      </c>
      <c r="E1041" s="92">
        <f>'[2]FGT PRIMARY FIRM ZONE 3'!V1052</f>
        <v>79.08</v>
      </c>
      <c r="F1041" s="83">
        <f>'[2]FGT FIRM ZONE 3 MOBILE BAY-DES'!V1052-40-25-60-100</f>
        <v>125.87199999999996</v>
      </c>
      <c r="G1041" s="86">
        <v>40</v>
      </c>
      <c r="H1041" s="83">
        <f t="shared" si="172"/>
        <v>185</v>
      </c>
      <c r="I1041" s="83">
        <f t="shared" si="170"/>
        <v>0</v>
      </c>
      <c r="J1041" s="86">
        <v>100</v>
      </c>
      <c r="K1041" s="86">
        <v>300</v>
      </c>
      <c r="L1041" s="83">
        <f t="shared" si="162"/>
        <v>1239</v>
      </c>
      <c r="M1041" s="94">
        <v>600</v>
      </c>
      <c r="N1041" s="83">
        <f>'[2]FGT NON-FIRM'!P1052</f>
        <v>75</v>
      </c>
      <c r="O1041" s="86">
        <v>240</v>
      </c>
      <c r="P1041" s="86">
        <v>40</v>
      </c>
      <c r="Q1041" s="86">
        <f t="shared" si="163"/>
        <v>315</v>
      </c>
      <c r="R1041" s="86">
        <f t="shared" si="164"/>
        <v>100</v>
      </c>
      <c r="S1041" s="83">
        <f t="shared" si="165"/>
        <v>695</v>
      </c>
      <c r="T1041" s="83">
        <f>'[2]GULFSTREAM NON-FIRM'!H1052</f>
        <v>0</v>
      </c>
      <c r="U1041" s="84"/>
      <c r="V1041" s="84"/>
      <c r="W1041" s="84"/>
      <c r="X1041" s="84"/>
      <c r="Y1041" s="84"/>
      <c r="Z1041" s="84"/>
      <c r="AA1041" s="84"/>
      <c r="AB1041" s="84"/>
      <c r="AC1041" s="84"/>
      <c r="AD1041" s="84"/>
    </row>
    <row r="1042" spans="1:30" ht="15.75" hidden="1" x14ac:dyDescent="0.25">
      <c r="A1042" s="32">
        <v>72654</v>
      </c>
      <c r="B1042" s="95">
        <f t="shared" si="166"/>
        <v>30</v>
      </c>
      <c r="C1042" s="83">
        <f>'[2]FGT PRIMARY FIRM ZONE 1'!V1053</f>
        <v>122.58</v>
      </c>
      <c r="D1042" s="83">
        <f>'[2]FGT PRIMARY FIRM ZONE 2'!V1053</f>
        <v>297.94100000000003</v>
      </c>
      <c r="E1042" s="92">
        <f>'[2]FGT PRIMARY FIRM ZONE 3'!V1053</f>
        <v>89.177000000000007</v>
      </c>
      <c r="F1042" s="83">
        <f>'[2]FGT FIRM ZONE 3 MOBILE BAY-DES'!V1053-40-60-100</f>
        <v>40.301999999999992</v>
      </c>
      <c r="G1042" s="86">
        <v>40</v>
      </c>
      <c r="H1042" s="83">
        <f>60+100</f>
        <v>160</v>
      </c>
      <c r="I1042" s="83">
        <f t="shared" si="170"/>
        <v>0</v>
      </c>
      <c r="J1042" s="86">
        <v>100</v>
      </c>
      <c r="K1042" s="86">
        <v>300</v>
      </c>
      <c r="L1042" s="83">
        <f t="shared" si="162"/>
        <v>1150</v>
      </c>
      <c r="M1042" s="94">
        <v>600</v>
      </c>
      <c r="N1042" s="83">
        <f>'[2]FGT NON-FIRM'!P1053</f>
        <v>100</v>
      </c>
      <c r="O1042" s="86">
        <v>240</v>
      </c>
      <c r="P1042" s="86">
        <v>40</v>
      </c>
      <c r="Q1042" s="86">
        <f t="shared" si="163"/>
        <v>315</v>
      </c>
      <c r="R1042" s="86">
        <f t="shared" si="164"/>
        <v>100</v>
      </c>
      <c r="S1042" s="83">
        <f t="shared" si="165"/>
        <v>695</v>
      </c>
      <c r="T1042" s="83">
        <f>'[2]GULFSTREAM NON-FIRM'!H1053</f>
        <v>50</v>
      </c>
      <c r="U1042" s="84"/>
      <c r="V1042" s="84"/>
      <c r="W1042" s="84"/>
      <c r="X1042" s="84"/>
      <c r="Y1042" s="84"/>
      <c r="Z1042" s="84"/>
      <c r="AA1042" s="84"/>
      <c r="AB1042" s="84"/>
      <c r="AC1042" s="84"/>
      <c r="AD1042" s="84"/>
    </row>
    <row r="1043" spans="1:30" ht="15.75" hidden="1" x14ac:dyDescent="0.25">
      <c r="A1043" s="32">
        <v>72685</v>
      </c>
      <c r="B1043" s="95">
        <f t="shared" si="166"/>
        <v>31</v>
      </c>
      <c r="C1043" s="83">
        <f>'[2]FGT PRIMARY FIRM ZONE 1'!V1054</f>
        <v>122.58</v>
      </c>
      <c r="D1043" s="83">
        <f>'[2]FGT PRIMARY FIRM ZONE 2'!V1054</f>
        <v>297.94100000000003</v>
      </c>
      <c r="E1043" s="92">
        <f>'[2]FGT PRIMARY FIRM ZONE 3'!V1054</f>
        <v>89.177000000000007</v>
      </c>
      <c r="F1043" s="83">
        <f>'[2]FGT FIRM ZONE 3 MOBILE BAY-DES'!V1054-40-60-100</f>
        <v>40.301999999999992</v>
      </c>
      <c r="G1043" s="86">
        <v>40</v>
      </c>
      <c r="H1043" s="83">
        <f>60+100</f>
        <v>160</v>
      </c>
      <c r="I1043" s="83">
        <f t="shared" si="170"/>
        <v>0</v>
      </c>
      <c r="J1043" s="86">
        <v>100</v>
      </c>
      <c r="K1043" s="86">
        <v>300</v>
      </c>
      <c r="L1043" s="83">
        <f t="shared" si="162"/>
        <v>1150</v>
      </c>
      <c r="M1043" s="94">
        <v>600</v>
      </c>
      <c r="N1043" s="83">
        <f>'[2]FGT NON-FIRM'!P1054</f>
        <v>100</v>
      </c>
      <c r="O1043" s="86">
        <v>240</v>
      </c>
      <c r="P1043" s="86">
        <v>40</v>
      </c>
      <c r="Q1043" s="86">
        <f t="shared" si="163"/>
        <v>315</v>
      </c>
      <c r="R1043" s="86">
        <f t="shared" si="164"/>
        <v>100</v>
      </c>
      <c r="S1043" s="83">
        <f t="shared" si="165"/>
        <v>695</v>
      </c>
      <c r="T1043" s="83">
        <f>'[2]GULFSTREAM NON-FIRM'!H1054</f>
        <v>50</v>
      </c>
      <c r="U1043" s="84"/>
      <c r="V1043" s="84"/>
      <c r="W1043" s="84"/>
      <c r="X1043" s="84"/>
      <c r="Y1043" s="84"/>
      <c r="Z1043" s="84"/>
      <c r="AA1043" s="84"/>
      <c r="AB1043" s="84"/>
      <c r="AC1043" s="84"/>
      <c r="AD1043" s="84"/>
    </row>
    <row r="1044" spans="1:30" ht="15.75" hidden="1" x14ac:dyDescent="0.25">
      <c r="A1044" s="32">
        <v>72716</v>
      </c>
      <c r="B1044" s="95">
        <f t="shared" si="166"/>
        <v>31</v>
      </c>
      <c r="C1044" s="83">
        <f>'[2]FGT PRIMARY FIRM ZONE 1'!V1055</f>
        <v>122.58</v>
      </c>
      <c r="D1044" s="83">
        <f>'[2]FGT PRIMARY FIRM ZONE 2'!V1055</f>
        <v>297.94100000000003</v>
      </c>
      <c r="E1044" s="92">
        <f>'[2]FGT PRIMARY FIRM ZONE 3'!V1055</f>
        <v>89.177000000000007</v>
      </c>
      <c r="F1044" s="83">
        <f>'[2]FGT FIRM ZONE 3 MOBILE BAY-DES'!V1055-40-60-100</f>
        <v>40.301999999999992</v>
      </c>
      <c r="G1044" s="86">
        <v>40</v>
      </c>
      <c r="H1044" s="83">
        <f>60+100</f>
        <v>160</v>
      </c>
      <c r="I1044" s="83">
        <f t="shared" si="170"/>
        <v>0</v>
      </c>
      <c r="J1044" s="86">
        <v>100</v>
      </c>
      <c r="K1044" s="86">
        <v>300</v>
      </c>
      <c r="L1044" s="83">
        <f t="shared" ref="L1044:L1067" si="173">SUM(C1044:K1044)</f>
        <v>1150</v>
      </c>
      <c r="M1044" s="94">
        <v>600</v>
      </c>
      <c r="N1044" s="83">
        <f>'[2]FGT NON-FIRM'!P1055</f>
        <v>100</v>
      </c>
      <c r="O1044" s="86">
        <v>240</v>
      </c>
      <c r="P1044" s="86">
        <v>40</v>
      </c>
      <c r="Q1044" s="86">
        <f t="shared" ref="Q1044:Q1067" si="174">695-R1044-O1044-P1044</f>
        <v>315</v>
      </c>
      <c r="R1044" s="86">
        <f t="shared" ref="R1044:R1067" si="175">200-J1044</f>
        <v>100</v>
      </c>
      <c r="S1044" s="83">
        <f t="shared" ref="S1044:S1067" si="176">SUM(O1044:R1044)</f>
        <v>695</v>
      </c>
      <c r="T1044" s="83">
        <f>'[2]GULFSTREAM NON-FIRM'!H1055</f>
        <v>50</v>
      </c>
      <c r="U1044" s="84"/>
      <c r="V1044" s="84"/>
      <c r="W1044" s="84"/>
      <c r="X1044" s="84"/>
      <c r="Y1044" s="84"/>
      <c r="Z1044" s="84"/>
      <c r="AA1044" s="84"/>
      <c r="AB1044" s="84"/>
      <c r="AC1044" s="84"/>
      <c r="AD1044" s="84"/>
    </row>
    <row r="1045" spans="1:30" ht="15.75" hidden="1" x14ac:dyDescent="0.25">
      <c r="A1045" s="32">
        <v>72744</v>
      </c>
      <c r="B1045" s="95">
        <f t="shared" si="166"/>
        <v>28</v>
      </c>
      <c r="C1045" s="83">
        <f>'[2]FGT PRIMARY FIRM ZONE 1'!V1056</f>
        <v>122.58</v>
      </c>
      <c r="D1045" s="83">
        <f>'[2]FGT PRIMARY FIRM ZONE 2'!V1056</f>
        <v>297.94100000000003</v>
      </c>
      <c r="E1045" s="92">
        <f>'[2]FGT PRIMARY FIRM ZONE 3'!V1056</f>
        <v>89.177000000000007</v>
      </c>
      <c r="F1045" s="83">
        <f>'[2]FGT FIRM ZONE 3 MOBILE BAY-DES'!V1056-40-60-100</f>
        <v>40.301999999999992</v>
      </c>
      <c r="G1045" s="86">
        <v>40</v>
      </c>
      <c r="H1045" s="83">
        <f>60+100</f>
        <v>160</v>
      </c>
      <c r="I1045" s="83">
        <f t="shared" si="170"/>
        <v>0</v>
      </c>
      <c r="J1045" s="86">
        <v>100</v>
      </c>
      <c r="K1045" s="86">
        <v>300</v>
      </c>
      <c r="L1045" s="83">
        <f t="shared" si="173"/>
        <v>1150</v>
      </c>
      <c r="M1045" s="94">
        <v>600</v>
      </c>
      <c r="N1045" s="83">
        <f>'[2]FGT NON-FIRM'!P1056</f>
        <v>100</v>
      </c>
      <c r="O1045" s="86">
        <v>240</v>
      </c>
      <c r="P1045" s="86">
        <v>40</v>
      </c>
      <c r="Q1045" s="86">
        <f t="shared" si="174"/>
        <v>315</v>
      </c>
      <c r="R1045" s="86">
        <f t="shared" si="175"/>
        <v>100</v>
      </c>
      <c r="S1045" s="83">
        <f t="shared" si="176"/>
        <v>695</v>
      </c>
      <c r="T1045" s="83">
        <f>'[2]GULFSTREAM NON-FIRM'!H1056</f>
        <v>50</v>
      </c>
      <c r="U1045" s="84"/>
      <c r="V1045" s="84"/>
      <c r="W1045" s="84"/>
      <c r="X1045" s="84"/>
      <c r="Y1045" s="84"/>
      <c r="Z1045" s="84"/>
      <c r="AA1045" s="84"/>
      <c r="AB1045" s="84"/>
      <c r="AC1045" s="84"/>
      <c r="AD1045" s="84"/>
    </row>
    <row r="1046" spans="1:30" ht="15.75" hidden="1" x14ac:dyDescent="0.25">
      <c r="A1046" s="32">
        <v>72775</v>
      </c>
      <c r="B1046" s="95">
        <f t="shared" si="166"/>
        <v>31</v>
      </c>
      <c r="C1046" s="83">
        <f>'[2]FGT PRIMARY FIRM ZONE 1'!V1057</f>
        <v>122.58</v>
      </c>
      <c r="D1046" s="83">
        <f>'[2]FGT PRIMARY FIRM ZONE 2'!V1057</f>
        <v>297.94100000000003</v>
      </c>
      <c r="E1046" s="92">
        <f>'[2]FGT PRIMARY FIRM ZONE 3'!V1057</f>
        <v>89.177000000000007</v>
      </c>
      <c r="F1046" s="83">
        <f>'[2]FGT FIRM ZONE 3 MOBILE BAY-DES'!V1057-40-60-100</f>
        <v>40.301999999999992</v>
      </c>
      <c r="G1046" s="86">
        <v>40</v>
      </c>
      <c r="H1046" s="83">
        <f>60+100</f>
        <v>160</v>
      </c>
      <c r="I1046" s="83">
        <f t="shared" si="170"/>
        <v>0</v>
      </c>
      <c r="J1046" s="86">
        <v>100</v>
      </c>
      <c r="K1046" s="86">
        <v>300</v>
      </c>
      <c r="L1046" s="83">
        <f t="shared" si="173"/>
        <v>1150</v>
      </c>
      <c r="M1046" s="94">
        <v>600</v>
      </c>
      <c r="N1046" s="83">
        <f>'[2]FGT NON-FIRM'!P1057</f>
        <v>100</v>
      </c>
      <c r="O1046" s="86">
        <v>240</v>
      </c>
      <c r="P1046" s="86">
        <v>40</v>
      </c>
      <c r="Q1046" s="86">
        <f t="shared" si="174"/>
        <v>315</v>
      </c>
      <c r="R1046" s="86">
        <f t="shared" si="175"/>
        <v>100</v>
      </c>
      <c r="S1046" s="83">
        <f t="shared" si="176"/>
        <v>695</v>
      </c>
      <c r="T1046" s="83">
        <f>'[2]GULFSTREAM NON-FIRM'!H1057</f>
        <v>50</v>
      </c>
      <c r="U1046" s="84"/>
      <c r="V1046" s="84"/>
      <c r="W1046" s="84"/>
      <c r="X1046" s="84"/>
      <c r="Y1046" s="84"/>
      <c r="Z1046" s="84"/>
      <c r="AA1046" s="84"/>
      <c r="AB1046" s="84"/>
      <c r="AC1046" s="84"/>
      <c r="AD1046" s="84"/>
    </row>
    <row r="1047" spans="1:30" ht="15.75" hidden="1" x14ac:dyDescent="0.25">
      <c r="A1047" s="32">
        <v>72805</v>
      </c>
      <c r="B1047" s="95">
        <f t="shared" si="166"/>
        <v>30</v>
      </c>
      <c r="C1047" s="83">
        <f>'[2]FGT PRIMARY FIRM ZONE 1'!V1058</f>
        <v>141.29300000000001</v>
      </c>
      <c r="D1047" s="83">
        <f>'[2]FGT PRIMARY FIRM ZONE 2'!V1058</f>
        <v>267.99299999999999</v>
      </c>
      <c r="E1047" s="92">
        <f>'[2]FGT PRIMARY FIRM ZONE 3'!V1058</f>
        <v>115.01600000000001</v>
      </c>
      <c r="F1047" s="83">
        <f>'[2]FGT FIRM ZONE 3 MOBILE BAY-DES'!V1058-40-25-60-100</f>
        <v>89.698000000000036</v>
      </c>
      <c r="G1047" s="86">
        <v>40</v>
      </c>
      <c r="H1047" s="83">
        <f t="shared" ref="H1047:H1053" si="177">25+60+100</f>
        <v>185</v>
      </c>
      <c r="I1047" s="83">
        <f t="shared" si="170"/>
        <v>0</v>
      </c>
      <c r="J1047" s="86">
        <v>100</v>
      </c>
      <c r="K1047" s="86">
        <v>300</v>
      </c>
      <c r="L1047" s="83">
        <f t="shared" si="173"/>
        <v>1239</v>
      </c>
      <c r="M1047" s="94">
        <v>600</v>
      </c>
      <c r="N1047" s="83">
        <f>'[2]FGT NON-FIRM'!P1058</f>
        <v>100</v>
      </c>
      <c r="O1047" s="86">
        <v>240</v>
      </c>
      <c r="P1047" s="86">
        <v>40</v>
      </c>
      <c r="Q1047" s="86">
        <f t="shared" si="174"/>
        <v>315</v>
      </c>
      <c r="R1047" s="86">
        <f t="shared" si="175"/>
        <v>100</v>
      </c>
      <c r="S1047" s="83">
        <f t="shared" si="176"/>
        <v>695</v>
      </c>
      <c r="T1047" s="83">
        <f>'[2]GULFSTREAM NON-FIRM'!H1058</f>
        <v>50</v>
      </c>
      <c r="U1047" s="84"/>
      <c r="V1047" s="84"/>
      <c r="W1047" s="84"/>
      <c r="X1047" s="84"/>
      <c r="Y1047" s="84"/>
      <c r="Z1047" s="84"/>
      <c r="AA1047" s="84"/>
      <c r="AB1047" s="84"/>
      <c r="AC1047" s="84"/>
      <c r="AD1047" s="84"/>
    </row>
    <row r="1048" spans="1:30" ht="15.75" hidden="1" x14ac:dyDescent="0.25">
      <c r="A1048" s="32">
        <v>72836</v>
      </c>
      <c r="B1048" s="95">
        <f t="shared" ref="B1048:B1067" si="178">EOMONTH(A1048,0)-EOMONTH(A1048,-1)</f>
        <v>31</v>
      </c>
      <c r="C1048" s="83">
        <f>'[2]FGT PRIMARY FIRM ZONE 1'!V1059</f>
        <v>194.20499999999998</v>
      </c>
      <c r="D1048" s="83">
        <f>'[2]FGT PRIMARY FIRM ZONE 2'!V1059</f>
        <v>267.46600000000001</v>
      </c>
      <c r="E1048" s="92">
        <f>'[2]FGT PRIMARY FIRM ZONE 3'!V1059</f>
        <v>133.845</v>
      </c>
      <c r="F1048" s="83">
        <f>'[2]FGT FIRM ZONE 3 MOBILE BAY-DES'!V1059-40-25-60-100</f>
        <v>53.48399999999998</v>
      </c>
      <c r="G1048" s="86">
        <v>40</v>
      </c>
      <c r="H1048" s="83">
        <f t="shared" si="177"/>
        <v>185</v>
      </c>
      <c r="I1048" s="83">
        <f t="shared" si="170"/>
        <v>0</v>
      </c>
      <c r="J1048" s="86">
        <v>100</v>
      </c>
      <c r="K1048" s="86">
        <v>300</v>
      </c>
      <c r="L1048" s="83">
        <f t="shared" si="173"/>
        <v>1274</v>
      </c>
      <c r="M1048" s="94">
        <v>600</v>
      </c>
      <c r="N1048" s="83">
        <f>'[2]FGT NON-FIRM'!P1059</f>
        <v>75</v>
      </c>
      <c r="O1048" s="86">
        <v>240</v>
      </c>
      <c r="P1048" s="86">
        <v>40</v>
      </c>
      <c r="Q1048" s="86">
        <f t="shared" si="174"/>
        <v>315</v>
      </c>
      <c r="R1048" s="86">
        <f t="shared" si="175"/>
        <v>100</v>
      </c>
      <c r="S1048" s="83">
        <f t="shared" si="176"/>
        <v>695</v>
      </c>
      <c r="T1048" s="83">
        <f>'[2]GULFSTREAM NON-FIRM'!H1059</f>
        <v>50</v>
      </c>
      <c r="U1048" s="84"/>
      <c r="V1048" s="84"/>
      <c r="W1048" s="84"/>
      <c r="X1048" s="84"/>
      <c r="Y1048" s="84"/>
      <c r="Z1048" s="84"/>
      <c r="AA1048" s="84"/>
      <c r="AB1048" s="84"/>
      <c r="AC1048" s="84"/>
      <c r="AD1048" s="84"/>
    </row>
    <row r="1049" spans="1:30" ht="15.75" hidden="1" x14ac:dyDescent="0.25">
      <c r="A1049" s="32">
        <v>72866</v>
      </c>
      <c r="B1049" s="95">
        <f t="shared" si="178"/>
        <v>30</v>
      </c>
      <c r="C1049" s="83">
        <f>'[2]FGT PRIMARY FIRM ZONE 1'!V1060</f>
        <v>194.20499999999998</v>
      </c>
      <c r="D1049" s="83">
        <f>'[2]FGT PRIMARY FIRM ZONE 2'!V1060</f>
        <v>267.46600000000001</v>
      </c>
      <c r="E1049" s="92">
        <f>'[2]FGT PRIMARY FIRM ZONE 3'!V1060</f>
        <v>133.845</v>
      </c>
      <c r="F1049" s="83">
        <f>'[2]FGT FIRM ZONE 3 MOBILE BAY-DES'!V1060-40-25-60-100</f>
        <v>53.48399999999998</v>
      </c>
      <c r="G1049" s="86">
        <v>40</v>
      </c>
      <c r="H1049" s="83">
        <f t="shared" si="177"/>
        <v>185</v>
      </c>
      <c r="I1049" s="83">
        <f t="shared" si="170"/>
        <v>0</v>
      </c>
      <c r="J1049" s="86">
        <v>100</v>
      </c>
      <c r="K1049" s="86">
        <v>300</v>
      </c>
      <c r="L1049" s="83">
        <f t="shared" si="173"/>
        <v>1274</v>
      </c>
      <c r="M1049" s="94">
        <v>600</v>
      </c>
      <c r="N1049" s="83">
        <f>'[2]FGT NON-FIRM'!P1060</f>
        <v>30</v>
      </c>
      <c r="O1049" s="86">
        <v>240</v>
      </c>
      <c r="P1049" s="86">
        <v>40</v>
      </c>
      <c r="Q1049" s="86">
        <f t="shared" si="174"/>
        <v>315</v>
      </c>
      <c r="R1049" s="86">
        <f t="shared" si="175"/>
        <v>100</v>
      </c>
      <c r="S1049" s="83">
        <f t="shared" si="176"/>
        <v>695</v>
      </c>
      <c r="T1049" s="83">
        <f>'[2]GULFSTREAM NON-FIRM'!H1060</f>
        <v>50</v>
      </c>
      <c r="U1049" s="84"/>
      <c r="V1049" s="84"/>
      <c r="W1049" s="84"/>
      <c r="X1049" s="84"/>
      <c r="Y1049" s="84"/>
      <c r="Z1049" s="84"/>
      <c r="AA1049" s="84"/>
      <c r="AB1049" s="84"/>
      <c r="AC1049" s="84"/>
      <c r="AD1049" s="84"/>
    </row>
    <row r="1050" spans="1:30" ht="15.75" hidden="1" x14ac:dyDescent="0.25">
      <c r="A1050" s="32">
        <v>72897</v>
      </c>
      <c r="B1050" s="95">
        <f t="shared" si="178"/>
        <v>31</v>
      </c>
      <c r="C1050" s="83">
        <f>'[2]FGT PRIMARY FIRM ZONE 1'!V1061</f>
        <v>194.20499999999998</v>
      </c>
      <c r="D1050" s="83">
        <f>'[2]FGT PRIMARY FIRM ZONE 2'!V1061</f>
        <v>267.46600000000001</v>
      </c>
      <c r="E1050" s="92">
        <f>'[2]FGT PRIMARY FIRM ZONE 3'!V1061</f>
        <v>133.845</v>
      </c>
      <c r="F1050" s="83">
        <f>'[2]FGT FIRM ZONE 3 MOBILE BAY-DES'!V1061-40-25-60-100</f>
        <v>53.48399999999998</v>
      </c>
      <c r="G1050" s="86">
        <v>40</v>
      </c>
      <c r="H1050" s="83">
        <f t="shared" si="177"/>
        <v>185</v>
      </c>
      <c r="I1050" s="83">
        <f t="shared" si="170"/>
        <v>0</v>
      </c>
      <c r="J1050" s="86">
        <v>100</v>
      </c>
      <c r="K1050" s="86">
        <v>300</v>
      </c>
      <c r="L1050" s="83">
        <f t="shared" si="173"/>
        <v>1274</v>
      </c>
      <c r="M1050" s="94">
        <v>600</v>
      </c>
      <c r="N1050" s="83">
        <f>'[2]FGT NON-FIRM'!P1061</f>
        <v>30</v>
      </c>
      <c r="O1050" s="86">
        <v>240</v>
      </c>
      <c r="P1050" s="86">
        <v>40</v>
      </c>
      <c r="Q1050" s="86">
        <f t="shared" si="174"/>
        <v>315</v>
      </c>
      <c r="R1050" s="86">
        <f t="shared" si="175"/>
        <v>100</v>
      </c>
      <c r="S1050" s="83">
        <f t="shared" si="176"/>
        <v>695</v>
      </c>
      <c r="T1050" s="83">
        <f>'[2]GULFSTREAM NON-FIRM'!H1061</f>
        <v>0</v>
      </c>
      <c r="U1050" s="84"/>
      <c r="V1050" s="84"/>
      <c r="W1050" s="84"/>
      <c r="X1050" s="84"/>
      <c r="Y1050" s="84"/>
      <c r="Z1050" s="84"/>
      <c r="AA1050" s="84"/>
      <c r="AB1050" s="84"/>
      <c r="AC1050" s="84"/>
      <c r="AD1050" s="84"/>
    </row>
    <row r="1051" spans="1:30" ht="15.75" hidden="1" x14ac:dyDescent="0.25">
      <c r="A1051" s="32">
        <v>72928</v>
      </c>
      <c r="B1051" s="95">
        <f t="shared" si="178"/>
        <v>31</v>
      </c>
      <c r="C1051" s="83">
        <f>'[2]FGT PRIMARY FIRM ZONE 1'!V1062</f>
        <v>194.20499999999998</v>
      </c>
      <c r="D1051" s="83">
        <f>'[2]FGT PRIMARY FIRM ZONE 2'!V1062</f>
        <v>267.46600000000001</v>
      </c>
      <c r="E1051" s="92">
        <f>'[2]FGT PRIMARY FIRM ZONE 3'!V1062</f>
        <v>133.845</v>
      </c>
      <c r="F1051" s="83">
        <f>'[2]FGT FIRM ZONE 3 MOBILE BAY-DES'!V1062-40-25-60-100</f>
        <v>53.48399999999998</v>
      </c>
      <c r="G1051" s="86">
        <v>40</v>
      </c>
      <c r="H1051" s="83">
        <f t="shared" si="177"/>
        <v>185</v>
      </c>
      <c r="I1051" s="83">
        <f t="shared" si="170"/>
        <v>0</v>
      </c>
      <c r="J1051" s="86">
        <v>100</v>
      </c>
      <c r="K1051" s="86">
        <v>300</v>
      </c>
      <c r="L1051" s="83">
        <f t="shared" si="173"/>
        <v>1274</v>
      </c>
      <c r="M1051" s="94">
        <v>600</v>
      </c>
      <c r="N1051" s="83">
        <f>'[2]FGT NON-FIRM'!P1062</f>
        <v>30</v>
      </c>
      <c r="O1051" s="86">
        <v>240</v>
      </c>
      <c r="P1051" s="86">
        <v>40</v>
      </c>
      <c r="Q1051" s="86">
        <f t="shared" si="174"/>
        <v>315</v>
      </c>
      <c r="R1051" s="86">
        <f t="shared" si="175"/>
        <v>100</v>
      </c>
      <c r="S1051" s="83">
        <f t="shared" si="176"/>
        <v>695</v>
      </c>
      <c r="T1051" s="83">
        <f>'[2]GULFSTREAM NON-FIRM'!H1062</f>
        <v>0</v>
      </c>
      <c r="U1051" s="84"/>
      <c r="V1051" s="84"/>
      <c r="W1051" s="84"/>
      <c r="X1051" s="84"/>
      <c r="Y1051" s="84"/>
      <c r="Z1051" s="84"/>
      <c r="AA1051" s="84"/>
      <c r="AB1051" s="84"/>
      <c r="AC1051" s="84"/>
      <c r="AD1051" s="84"/>
    </row>
    <row r="1052" spans="1:30" ht="15.75" hidden="1" x14ac:dyDescent="0.25">
      <c r="A1052" s="32">
        <v>72958</v>
      </c>
      <c r="B1052" s="95">
        <f t="shared" si="178"/>
        <v>30</v>
      </c>
      <c r="C1052" s="83">
        <f>'[2]FGT PRIMARY FIRM ZONE 1'!V1063</f>
        <v>194.20499999999998</v>
      </c>
      <c r="D1052" s="83">
        <f>'[2]FGT PRIMARY FIRM ZONE 2'!V1063</f>
        <v>267.46600000000001</v>
      </c>
      <c r="E1052" s="92">
        <f>'[2]FGT PRIMARY FIRM ZONE 3'!V1063</f>
        <v>133.845</v>
      </c>
      <c r="F1052" s="83">
        <f>'[2]FGT FIRM ZONE 3 MOBILE BAY-DES'!V1063-40-25-60-100</f>
        <v>53.48399999999998</v>
      </c>
      <c r="G1052" s="86">
        <v>40</v>
      </c>
      <c r="H1052" s="83">
        <f t="shared" si="177"/>
        <v>185</v>
      </c>
      <c r="I1052" s="83">
        <f t="shared" si="170"/>
        <v>0</v>
      </c>
      <c r="J1052" s="86">
        <v>100</v>
      </c>
      <c r="K1052" s="86">
        <v>300</v>
      </c>
      <c r="L1052" s="83">
        <f t="shared" si="173"/>
        <v>1274</v>
      </c>
      <c r="M1052" s="94">
        <v>600</v>
      </c>
      <c r="N1052" s="83">
        <f>'[2]FGT NON-FIRM'!P1063</f>
        <v>30</v>
      </c>
      <c r="O1052" s="86">
        <v>240</v>
      </c>
      <c r="P1052" s="86">
        <v>40</v>
      </c>
      <c r="Q1052" s="86">
        <f t="shared" si="174"/>
        <v>315</v>
      </c>
      <c r="R1052" s="86">
        <f t="shared" si="175"/>
        <v>100</v>
      </c>
      <c r="S1052" s="83">
        <f t="shared" si="176"/>
        <v>695</v>
      </c>
      <c r="T1052" s="83">
        <f>'[2]GULFSTREAM NON-FIRM'!H1063</f>
        <v>0</v>
      </c>
      <c r="U1052" s="84"/>
      <c r="V1052" s="84"/>
      <c r="W1052" s="84"/>
      <c r="X1052" s="84"/>
      <c r="Y1052" s="84"/>
      <c r="Z1052" s="84"/>
      <c r="AA1052" s="84"/>
      <c r="AB1052" s="84"/>
      <c r="AC1052" s="84"/>
      <c r="AD1052" s="84"/>
    </row>
    <row r="1053" spans="1:30" ht="15.75" hidden="1" x14ac:dyDescent="0.25">
      <c r="A1053" s="32">
        <v>72989</v>
      </c>
      <c r="B1053" s="95">
        <f t="shared" si="178"/>
        <v>31</v>
      </c>
      <c r="C1053" s="83">
        <f>'[2]FGT PRIMARY FIRM ZONE 1'!V1064</f>
        <v>131.881</v>
      </c>
      <c r="D1053" s="83">
        <f>'[2]FGT PRIMARY FIRM ZONE 2'!V1064</f>
        <v>277.16699999999997</v>
      </c>
      <c r="E1053" s="92">
        <f>'[2]FGT PRIMARY FIRM ZONE 3'!V1064</f>
        <v>79.08</v>
      </c>
      <c r="F1053" s="83">
        <f>'[2]FGT FIRM ZONE 3 MOBILE BAY-DES'!V1064-40-25-60-100</f>
        <v>125.87199999999996</v>
      </c>
      <c r="G1053" s="86">
        <v>40</v>
      </c>
      <c r="H1053" s="83">
        <f t="shared" si="177"/>
        <v>185</v>
      </c>
      <c r="I1053" s="83">
        <f t="shared" si="170"/>
        <v>0</v>
      </c>
      <c r="J1053" s="86">
        <v>100</v>
      </c>
      <c r="K1053" s="86">
        <v>300</v>
      </c>
      <c r="L1053" s="83">
        <f t="shared" si="173"/>
        <v>1239</v>
      </c>
      <c r="M1053" s="94">
        <v>600</v>
      </c>
      <c r="N1053" s="83">
        <f>'[2]FGT NON-FIRM'!P1064</f>
        <v>75</v>
      </c>
      <c r="O1053" s="86">
        <v>240</v>
      </c>
      <c r="P1053" s="86">
        <v>40</v>
      </c>
      <c r="Q1053" s="86">
        <f t="shared" si="174"/>
        <v>315</v>
      </c>
      <c r="R1053" s="86">
        <f t="shared" si="175"/>
        <v>100</v>
      </c>
      <c r="S1053" s="83">
        <f t="shared" si="176"/>
        <v>695</v>
      </c>
      <c r="T1053" s="83">
        <f>'[2]GULFSTREAM NON-FIRM'!H1064</f>
        <v>0</v>
      </c>
      <c r="U1053" s="84"/>
      <c r="V1053" s="84"/>
      <c r="W1053" s="84"/>
      <c r="X1053" s="84"/>
      <c r="Y1053" s="84"/>
      <c r="Z1053" s="84"/>
      <c r="AA1053" s="84"/>
      <c r="AB1053" s="84"/>
      <c r="AC1053" s="84"/>
      <c r="AD1053" s="84"/>
    </row>
    <row r="1054" spans="1:30" ht="15.75" hidden="1" x14ac:dyDescent="0.25">
      <c r="A1054" s="32">
        <v>73019</v>
      </c>
      <c r="B1054" s="95">
        <f t="shared" si="178"/>
        <v>30</v>
      </c>
      <c r="C1054" s="83">
        <f>'[2]FGT PRIMARY FIRM ZONE 1'!V1065</f>
        <v>122.58</v>
      </c>
      <c r="D1054" s="83">
        <f>'[2]FGT PRIMARY FIRM ZONE 2'!V1065</f>
        <v>297.94100000000003</v>
      </c>
      <c r="E1054" s="92">
        <f>'[2]FGT PRIMARY FIRM ZONE 3'!V1065</f>
        <v>89.177000000000007</v>
      </c>
      <c r="F1054" s="83">
        <f>'[2]FGT FIRM ZONE 3 MOBILE BAY-DES'!V1065-40-60-100</f>
        <v>40.301999999999992</v>
      </c>
      <c r="G1054" s="86">
        <v>40</v>
      </c>
      <c r="H1054" s="83">
        <f>60+100</f>
        <v>160</v>
      </c>
      <c r="I1054" s="83">
        <f t="shared" si="170"/>
        <v>0</v>
      </c>
      <c r="J1054" s="86">
        <v>100</v>
      </c>
      <c r="K1054" s="86">
        <v>300</v>
      </c>
      <c r="L1054" s="83">
        <f t="shared" si="173"/>
        <v>1150</v>
      </c>
      <c r="M1054" s="94">
        <v>600</v>
      </c>
      <c r="N1054" s="83">
        <f>'[2]FGT NON-FIRM'!P1065</f>
        <v>100</v>
      </c>
      <c r="O1054" s="86">
        <v>240</v>
      </c>
      <c r="P1054" s="86">
        <v>40</v>
      </c>
      <c r="Q1054" s="86">
        <f t="shared" si="174"/>
        <v>315</v>
      </c>
      <c r="R1054" s="86">
        <f t="shared" si="175"/>
        <v>100</v>
      </c>
      <c r="S1054" s="83">
        <f t="shared" si="176"/>
        <v>695</v>
      </c>
      <c r="T1054" s="83">
        <f>'[2]GULFSTREAM NON-FIRM'!H1065</f>
        <v>50</v>
      </c>
      <c r="U1054" s="84"/>
      <c r="V1054" s="84"/>
      <c r="W1054" s="84"/>
      <c r="X1054" s="84"/>
      <c r="Y1054" s="84"/>
      <c r="Z1054" s="84"/>
      <c r="AA1054" s="84"/>
      <c r="AB1054" s="84"/>
      <c r="AC1054" s="84"/>
      <c r="AD1054" s="84"/>
    </row>
    <row r="1055" spans="1:30" ht="15.75" hidden="1" x14ac:dyDescent="0.25">
      <c r="A1055" s="32">
        <v>73050</v>
      </c>
      <c r="B1055" s="95">
        <f t="shared" si="178"/>
        <v>31</v>
      </c>
      <c r="C1055" s="83">
        <f>'[2]FGT PRIMARY FIRM ZONE 1'!V1066</f>
        <v>122.58</v>
      </c>
      <c r="D1055" s="83">
        <f>'[2]FGT PRIMARY FIRM ZONE 2'!V1066</f>
        <v>297.94100000000003</v>
      </c>
      <c r="E1055" s="92">
        <f>'[2]FGT PRIMARY FIRM ZONE 3'!V1066</f>
        <v>89.177000000000007</v>
      </c>
      <c r="F1055" s="83">
        <f>'[2]FGT FIRM ZONE 3 MOBILE BAY-DES'!V1066-40-60-100</f>
        <v>40.301999999999992</v>
      </c>
      <c r="G1055" s="86">
        <v>40</v>
      </c>
      <c r="H1055" s="83">
        <f>60+100</f>
        <v>160</v>
      </c>
      <c r="I1055" s="83">
        <f t="shared" si="170"/>
        <v>0</v>
      </c>
      <c r="J1055" s="86">
        <v>100</v>
      </c>
      <c r="K1055" s="86">
        <v>300</v>
      </c>
      <c r="L1055" s="83">
        <f t="shared" si="173"/>
        <v>1150</v>
      </c>
      <c r="M1055" s="94">
        <v>600</v>
      </c>
      <c r="N1055" s="83">
        <f>'[2]FGT NON-FIRM'!P1066</f>
        <v>100</v>
      </c>
      <c r="O1055" s="86">
        <v>240</v>
      </c>
      <c r="P1055" s="86">
        <v>40</v>
      </c>
      <c r="Q1055" s="86">
        <f t="shared" si="174"/>
        <v>315</v>
      </c>
      <c r="R1055" s="86">
        <f t="shared" si="175"/>
        <v>100</v>
      </c>
      <c r="S1055" s="83">
        <f t="shared" si="176"/>
        <v>695</v>
      </c>
      <c r="T1055" s="83">
        <f>'[2]GULFSTREAM NON-FIRM'!H1066</f>
        <v>50</v>
      </c>
      <c r="U1055" s="84"/>
      <c r="V1055" s="84"/>
      <c r="W1055" s="84"/>
      <c r="X1055" s="84"/>
      <c r="Y1055" s="84"/>
      <c r="Z1055" s="84"/>
      <c r="AA1055" s="84"/>
      <c r="AB1055" s="84"/>
      <c r="AC1055" s="84"/>
      <c r="AD1055" s="84"/>
    </row>
    <row r="1056" spans="1:30" ht="15.75" hidden="1" x14ac:dyDescent="0.25">
      <c r="A1056" s="32">
        <v>73081</v>
      </c>
      <c r="B1056" s="95">
        <f t="shared" si="178"/>
        <v>31</v>
      </c>
      <c r="C1056" s="83">
        <f>'[2]FGT PRIMARY FIRM ZONE 1'!V1067</f>
        <v>122.58</v>
      </c>
      <c r="D1056" s="83">
        <f>'[2]FGT PRIMARY FIRM ZONE 2'!V1067</f>
        <v>297.94100000000003</v>
      </c>
      <c r="E1056" s="92">
        <f>'[2]FGT PRIMARY FIRM ZONE 3'!V1067</f>
        <v>89.177000000000007</v>
      </c>
      <c r="F1056" s="83">
        <f>'[2]FGT FIRM ZONE 3 MOBILE BAY-DES'!V1067-40-60-100</f>
        <v>40.301999999999992</v>
      </c>
      <c r="G1056" s="86">
        <v>40</v>
      </c>
      <c r="H1056" s="83">
        <f>60+100</f>
        <v>160</v>
      </c>
      <c r="I1056" s="83">
        <f t="shared" si="170"/>
        <v>0</v>
      </c>
      <c r="J1056" s="86">
        <v>100</v>
      </c>
      <c r="K1056" s="86">
        <v>300</v>
      </c>
      <c r="L1056" s="83">
        <f t="shared" si="173"/>
        <v>1150</v>
      </c>
      <c r="M1056" s="94">
        <v>600</v>
      </c>
      <c r="N1056" s="83">
        <f>'[2]FGT NON-FIRM'!P1067</f>
        <v>100</v>
      </c>
      <c r="O1056" s="86">
        <v>240</v>
      </c>
      <c r="P1056" s="86">
        <v>40</v>
      </c>
      <c r="Q1056" s="86">
        <f t="shared" si="174"/>
        <v>315</v>
      </c>
      <c r="R1056" s="86">
        <f t="shared" si="175"/>
        <v>100</v>
      </c>
      <c r="S1056" s="83">
        <f t="shared" si="176"/>
        <v>695</v>
      </c>
      <c r="T1056" s="83">
        <f>'[2]GULFSTREAM NON-FIRM'!H1067</f>
        <v>50</v>
      </c>
      <c r="U1056" s="84"/>
      <c r="V1056" s="84"/>
      <c r="W1056" s="84"/>
      <c r="X1056" s="84"/>
      <c r="Y1056" s="84"/>
      <c r="Z1056" s="84"/>
      <c r="AA1056" s="84"/>
      <c r="AB1056" s="84"/>
      <c r="AC1056" s="84"/>
      <c r="AD1056" s="84"/>
    </row>
    <row r="1057" spans="1:30" ht="15.75" hidden="1" x14ac:dyDescent="0.25">
      <c r="A1057" s="32">
        <v>73109</v>
      </c>
      <c r="B1057" s="95">
        <f t="shared" si="178"/>
        <v>28</v>
      </c>
      <c r="C1057" s="83">
        <f>'[2]FGT PRIMARY FIRM ZONE 1'!V1068</f>
        <v>122.58</v>
      </c>
      <c r="D1057" s="83">
        <f>'[2]FGT PRIMARY FIRM ZONE 2'!V1068</f>
        <v>297.94100000000003</v>
      </c>
      <c r="E1057" s="92">
        <f>'[2]FGT PRIMARY FIRM ZONE 3'!V1068</f>
        <v>89.177000000000007</v>
      </c>
      <c r="F1057" s="83">
        <f>'[2]FGT FIRM ZONE 3 MOBILE BAY-DES'!V1068-40-60-100</f>
        <v>40.301999999999992</v>
      </c>
      <c r="G1057" s="86">
        <v>40</v>
      </c>
      <c r="H1057" s="83">
        <f>60+100</f>
        <v>160</v>
      </c>
      <c r="I1057" s="83">
        <f t="shared" si="170"/>
        <v>0</v>
      </c>
      <c r="J1057" s="86">
        <v>100</v>
      </c>
      <c r="K1057" s="86">
        <v>300</v>
      </c>
      <c r="L1057" s="83">
        <f t="shared" si="173"/>
        <v>1150</v>
      </c>
      <c r="M1057" s="94">
        <v>600</v>
      </c>
      <c r="N1057" s="83">
        <f>'[2]FGT NON-FIRM'!P1068</f>
        <v>100</v>
      </c>
      <c r="O1057" s="86">
        <v>240</v>
      </c>
      <c r="P1057" s="86">
        <v>40</v>
      </c>
      <c r="Q1057" s="86">
        <f t="shared" si="174"/>
        <v>315</v>
      </c>
      <c r="R1057" s="86">
        <f t="shared" si="175"/>
        <v>100</v>
      </c>
      <c r="S1057" s="83">
        <f t="shared" si="176"/>
        <v>695</v>
      </c>
      <c r="T1057" s="83">
        <f>'[2]GULFSTREAM NON-FIRM'!H1068</f>
        <v>50</v>
      </c>
      <c r="U1057" s="84"/>
      <c r="V1057" s="84"/>
      <c r="W1057" s="84"/>
      <c r="X1057" s="84"/>
      <c r="Y1057" s="84"/>
      <c r="Z1057" s="84"/>
      <c r="AA1057" s="84"/>
      <c r="AB1057" s="84"/>
      <c r="AC1057" s="84"/>
      <c r="AD1057" s="84"/>
    </row>
    <row r="1058" spans="1:30" ht="15.75" hidden="1" x14ac:dyDescent="0.25">
      <c r="A1058" s="32">
        <v>73140</v>
      </c>
      <c r="B1058" s="95">
        <f t="shared" si="178"/>
        <v>31</v>
      </c>
      <c r="C1058" s="83">
        <f>'[2]FGT PRIMARY FIRM ZONE 1'!V1069</f>
        <v>122.58</v>
      </c>
      <c r="D1058" s="83">
        <f>'[2]FGT PRIMARY FIRM ZONE 2'!V1069</f>
        <v>297.94100000000003</v>
      </c>
      <c r="E1058" s="92">
        <f>'[2]FGT PRIMARY FIRM ZONE 3'!V1069</f>
        <v>89.177000000000007</v>
      </c>
      <c r="F1058" s="83">
        <f>'[2]FGT FIRM ZONE 3 MOBILE BAY-DES'!V1069-40-60-100</f>
        <v>40.301999999999992</v>
      </c>
      <c r="G1058" s="86">
        <v>40</v>
      </c>
      <c r="H1058" s="83">
        <f>60+100</f>
        <v>160</v>
      </c>
      <c r="I1058" s="83">
        <f t="shared" si="170"/>
        <v>0</v>
      </c>
      <c r="J1058" s="86">
        <v>100</v>
      </c>
      <c r="K1058" s="86">
        <v>300</v>
      </c>
      <c r="L1058" s="83">
        <f t="shared" si="173"/>
        <v>1150</v>
      </c>
      <c r="M1058" s="94">
        <v>600</v>
      </c>
      <c r="N1058" s="83">
        <f>'[2]FGT NON-FIRM'!P1069</f>
        <v>100</v>
      </c>
      <c r="O1058" s="86">
        <v>240</v>
      </c>
      <c r="P1058" s="86">
        <v>40</v>
      </c>
      <c r="Q1058" s="86">
        <f t="shared" si="174"/>
        <v>315</v>
      </c>
      <c r="R1058" s="86">
        <f t="shared" si="175"/>
        <v>100</v>
      </c>
      <c r="S1058" s="83">
        <f t="shared" si="176"/>
        <v>695</v>
      </c>
      <c r="T1058" s="83">
        <f>'[2]GULFSTREAM NON-FIRM'!H1069</f>
        <v>50</v>
      </c>
      <c r="U1058" s="84"/>
      <c r="V1058" s="84"/>
      <c r="W1058" s="84"/>
      <c r="X1058" s="84"/>
      <c r="Y1058" s="84"/>
      <c r="Z1058" s="84"/>
      <c r="AA1058" s="84"/>
      <c r="AB1058" s="84"/>
      <c r="AC1058" s="84"/>
      <c r="AD1058" s="84"/>
    </row>
    <row r="1059" spans="1:30" ht="15.75" hidden="1" x14ac:dyDescent="0.25">
      <c r="A1059" s="32">
        <v>73170</v>
      </c>
      <c r="B1059" s="95">
        <f t="shared" si="178"/>
        <v>30</v>
      </c>
      <c r="C1059" s="83">
        <f>'[2]FGT PRIMARY FIRM ZONE 1'!V1070</f>
        <v>141.29300000000001</v>
      </c>
      <c r="D1059" s="83">
        <f>'[2]FGT PRIMARY FIRM ZONE 2'!V1070</f>
        <v>267.99299999999999</v>
      </c>
      <c r="E1059" s="92">
        <f>'[2]FGT PRIMARY FIRM ZONE 3'!V1070</f>
        <v>115.01600000000001</v>
      </c>
      <c r="F1059" s="83">
        <f>'[2]FGT FIRM ZONE 3 MOBILE BAY-DES'!V1070-40-25-60-100</f>
        <v>89.698000000000036</v>
      </c>
      <c r="G1059" s="86">
        <v>40</v>
      </c>
      <c r="H1059" s="83">
        <f t="shared" ref="H1059:H1065" si="179">25+60+100</f>
        <v>185</v>
      </c>
      <c r="I1059" s="83">
        <f t="shared" si="170"/>
        <v>0</v>
      </c>
      <c r="J1059" s="86">
        <v>100</v>
      </c>
      <c r="K1059" s="86">
        <v>300</v>
      </c>
      <c r="L1059" s="83">
        <f t="shared" si="173"/>
        <v>1239</v>
      </c>
      <c r="M1059" s="94">
        <v>600</v>
      </c>
      <c r="N1059" s="83">
        <f>'[2]FGT NON-FIRM'!P1070</f>
        <v>100</v>
      </c>
      <c r="O1059" s="86">
        <v>240</v>
      </c>
      <c r="P1059" s="86">
        <v>40</v>
      </c>
      <c r="Q1059" s="86">
        <f t="shared" si="174"/>
        <v>315</v>
      </c>
      <c r="R1059" s="86">
        <f t="shared" si="175"/>
        <v>100</v>
      </c>
      <c r="S1059" s="83">
        <f t="shared" si="176"/>
        <v>695</v>
      </c>
      <c r="T1059" s="83">
        <f>'[2]GULFSTREAM NON-FIRM'!H1070</f>
        <v>50</v>
      </c>
      <c r="U1059" s="84"/>
      <c r="V1059" s="84"/>
      <c r="W1059" s="84"/>
      <c r="X1059" s="84"/>
      <c r="Y1059" s="84"/>
      <c r="Z1059" s="84"/>
      <c r="AA1059" s="84"/>
      <c r="AB1059" s="84"/>
      <c r="AC1059" s="84"/>
      <c r="AD1059" s="84"/>
    </row>
    <row r="1060" spans="1:30" ht="15.75" hidden="1" x14ac:dyDescent="0.25">
      <c r="A1060" s="32">
        <v>73201</v>
      </c>
      <c r="B1060" s="95">
        <f t="shared" si="178"/>
        <v>31</v>
      </c>
      <c r="C1060" s="83">
        <f>'[2]FGT PRIMARY FIRM ZONE 1'!V1071</f>
        <v>194.20499999999998</v>
      </c>
      <c r="D1060" s="83">
        <f>'[2]FGT PRIMARY FIRM ZONE 2'!V1071</f>
        <v>267.46600000000001</v>
      </c>
      <c r="E1060" s="92">
        <f>'[2]FGT PRIMARY FIRM ZONE 3'!V1071</f>
        <v>133.845</v>
      </c>
      <c r="F1060" s="83">
        <f>'[2]FGT FIRM ZONE 3 MOBILE BAY-DES'!V1071-40-25-60-100</f>
        <v>53.48399999999998</v>
      </c>
      <c r="G1060" s="86">
        <v>40</v>
      </c>
      <c r="H1060" s="83">
        <f t="shared" si="179"/>
        <v>185</v>
      </c>
      <c r="I1060" s="83">
        <f t="shared" si="170"/>
        <v>0</v>
      </c>
      <c r="J1060" s="86">
        <v>100</v>
      </c>
      <c r="K1060" s="86">
        <v>300</v>
      </c>
      <c r="L1060" s="83">
        <f t="shared" si="173"/>
        <v>1274</v>
      </c>
      <c r="M1060" s="94">
        <v>600</v>
      </c>
      <c r="N1060" s="83">
        <f>'[2]FGT NON-FIRM'!P1071</f>
        <v>75</v>
      </c>
      <c r="O1060" s="86">
        <v>240</v>
      </c>
      <c r="P1060" s="86">
        <v>40</v>
      </c>
      <c r="Q1060" s="86">
        <f t="shared" si="174"/>
        <v>315</v>
      </c>
      <c r="R1060" s="86">
        <f t="shared" si="175"/>
        <v>100</v>
      </c>
      <c r="S1060" s="83">
        <f t="shared" si="176"/>
        <v>695</v>
      </c>
      <c r="T1060" s="83">
        <f>'[2]GULFSTREAM NON-FIRM'!H1071</f>
        <v>50</v>
      </c>
      <c r="U1060" s="84"/>
      <c r="V1060" s="84"/>
      <c r="W1060" s="84"/>
      <c r="X1060" s="84"/>
      <c r="Y1060" s="84"/>
      <c r="Z1060" s="84"/>
      <c r="AA1060" s="84"/>
      <c r="AB1060" s="84"/>
      <c r="AC1060" s="84"/>
      <c r="AD1060" s="84"/>
    </row>
    <row r="1061" spans="1:30" ht="15.75" hidden="1" x14ac:dyDescent="0.25">
      <c r="A1061" s="32">
        <v>73231</v>
      </c>
      <c r="B1061" s="95">
        <f t="shared" si="178"/>
        <v>30</v>
      </c>
      <c r="C1061" s="83">
        <f>'[2]FGT PRIMARY FIRM ZONE 1'!V1072</f>
        <v>194.20499999999998</v>
      </c>
      <c r="D1061" s="83">
        <f>'[2]FGT PRIMARY FIRM ZONE 2'!V1072</f>
        <v>267.46600000000001</v>
      </c>
      <c r="E1061" s="92">
        <f>'[2]FGT PRIMARY FIRM ZONE 3'!V1072</f>
        <v>133.845</v>
      </c>
      <c r="F1061" s="83">
        <f>'[2]FGT FIRM ZONE 3 MOBILE BAY-DES'!V1072-40-25-60-100</f>
        <v>53.48399999999998</v>
      </c>
      <c r="G1061" s="86">
        <v>40</v>
      </c>
      <c r="H1061" s="83">
        <f t="shared" si="179"/>
        <v>185</v>
      </c>
      <c r="I1061" s="83">
        <f t="shared" si="170"/>
        <v>0</v>
      </c>
      <c r="J1061" s="86">
        <v>100</v>
      </c>
      <c r="K1061" s="86">
        <v>300</v>
      </c>
      <c r="L1061" s="83">
        <f t="shared" si="173"/>
        <v>1274</v>
      </c>
      <c r="M1061" s="94">
        <v>600</v>
      </c>
      <c r="N1061" s="83">
        <f>'[2]FGT NON-FIRM'!P1072</f>
        <v>30</v>
      </c>
      <c r="O1061" s="86">
        <v>240</v>
      </c>
      <c r="P1061" s="86">
        <v>40</v>
      </c>
      <c r="Q1061" s="86">
        <f t="shared" si="174"/>
        <v>315</v>
      </c>
      <c r="R1061" s="86">
        <f t="shared" si="175"/>
        <v>100</v>
      </c>
      <c r="S1061" s="83">
        <f t="shared" si="176"/>
        <v>695</v>
      </c>
      <c r="T1061" s="83">
        <f>'[2]GULFSTREAM NON-FIRM'!H1072</f>
        <v>50</v>
      </c>
      <c r="U1061" s="84"/>
      <c r="V1061" s="84"/>
      <c r="W1061" s="84"/>
      <c r="X1061" s="84"/>
      <c r="Y1061" s="84"/>
      <c r="Z1061" s="84"/>
      <c r="AA1061" s="84"/>
      <c r="AB1061" s="84"/>
      <c r="AC1061" s="84"/>
      <c r="AD1061" s="84"/>
    </row>
    <row r="1062" spans="1:30" ht="15.75" hidden="1" x14ac:dyDescent="0.25">
      <c r="A1062" s="32">
        <v>73262</v>
      </c>
      <c r="B1062" s="95">
        <f t="shared" si="178"/>
        <v>31</v>
      </c>
      <c r="C1062" s="83">
        <f>'[2]FGT PRIMARY FIRM ZONE 1'!V1073</f>
        <v>194.20499999999998</v>
      </c>
      <c r="D1062" s="83">
        <f>'[2]FGT PRIMARY FIRM ZONE 2'!V1073</f>
        <v>267.46600000000001</v>
      </c>
      <c r="E1062" s="92">
        <f>'[2]FGT PRIMARY FIRM ZONE 3'!V1073</f>
        <v>133.845</v>
      </c>
      <c r="F1062" s="83">
        <f>'[2]FGT FIRM ZONE 3 MOBILE BAY-DES'!V1073-40-25-60-100</f>
        <v>53.48399999999998</v>
      </c>
      <c r="G1062" s="86">
        <v>40</v>
      </c>
      <c r="H1062" s="83">
        <f t="shared" si="179"/>
        <v>185</v>
      </c>
      <c r="I1062" s="83">
        <f t="shared" si="170"/>
        <v>0</v>
      </c>
      <c r="J1062" s="86">
        <v>100</v>
      </c>
      <c r="K1062" s="86">
        <v>300</v>
      </c>
      <c r="L1062" s="83">
        <f t="shared" si="173"/>
        <v>1274</v>
      </c>
      <c r="M1062" s="94">
        <v>600</v>
      </c>
      <c r="N1062" s="83">
        <f>'[2]FGT NON-FIRM'!P1073</f>
        <v>30</v>
      </c>
      <c r="O1062" s="86">
        <v>240</v>
      </c>
      <c r="P1062" s="86">
        <v>40</v>
      </c>
      <c r="Q1062" s="86">
        <f t="shared" si="174"/>
        <v>315</v>
      </c>
      <c r="R1062" s="86">
        <f t="shared" si="175"/>
        <v>100</v>
      </c>
      <c r="S1062" s="83">
        <f t="shared" si="176"/>
        <v>695</v>
      </c>
      <c r="T1062" s="83">
        <f>'[2]GULFSTREAM NON-FIRM'!H1073</f>
        <v>0</v>
      </c>
      <c r="U1062" s="84"/>
      <c r="V1062" s="84"/>
      <c r="W1062" s="84"/>
      <c r="X1062" s="84"/>
      <c r="Y1062" s="84"/>
      <c r="Z1062" s="84"/>
      <c r="AA1062" s="84"/>
      <c r="AB1062" s="84"/>
      <c r="AC1062" s="84"/>
      <c r="AD1062" s="84"/>
    </row>
    <row r="1063" spans="1:30" ht="15.75" hidden="1" x14ac:dyDescent="0.25">
      <c r="A1063" s="32">
        <v>73293</v>
      </c>
      <c r="B1063" s="95">
        <f t="shared" si="178"/>
        <v>31</v>
      </c>
      <c r="C1063" s="83">
        <f>'[2]FGT PRIMARY FIRM ZONE 1'!V1074</f>
        <v>194.20499999999998</v>
      </c>
      <c r="D1063" s="83">
        <f>'[2]FGT PRIMARY FIRM ZONE 2'!V1074</f>
        <v>267.46600000000001</v>
      </c>
      <c r="E1063" s="92">
        <f>'[2]FGT PRIMARY FIRM ZONE 3'!V1074</f>
        <v>133.845</v>
      </c>
      <c r="F1063" s="83">
        <f>'[2]FGT FIRM ZONE 3 MOBILE BAY-DES'!V1074-40-25-60-100</f>
        <v>53.48399999999998</v>
      </c>
      <c r="G1063" s="86">
        <v>40</v>
      </c>
      <c r="H1063" s="83">
        <f t="shared" si="179"/>
        <v>185</v>
      </c>
      <c r="I1063" s="83">
        <f t="shared" si="170"/>
        <v>0</v>
      </c>
      <c r="J1063" s="86">
        <v>100</v>
      </c>
      <c r="K1063" s="86">
        <v>300</v>
      </c>
      <c r="L1063" s="83">
        <f t="shared" si="173"/>
        <v>1274</v>
      </c>
      <c r="M1063" s="94">
        <v>600</v>
      </c>
      <c r="N1063" s="83">
        <f>'[2]FGT NON-FIRM'!P1074</f>
        <v>30</v>
      </c>
      <c r="O1063" s="86">
        <v>240</v>
      </c>
      <c r="P1063" s="86">
        <v>40</v>
      </c>
      <c r="Q1063" s="86">
        <f t="shared" si="174"/>
        <v>315</v>
      </c>
      <c r="R1063" s="86">
        <f t="shared" si="175"/>
        <v>100</v>
      </c>
      <c r="S1063" s="83">
        <f t="shared" si="176"/>
        <v>695</v>
      </c>
      <c r="T1063" s="83">
        <f>'[2]GULFSTREAM NON-FIRM'!H1074</f>
        <v>0</v>
      </c>
      <c r="U1063" s="84"/>
      <c r="V1063" s="84"/>
      <c r="W1063" s="84"/>
      <c r="X1063" s="84"/>
      <c r="Y1063" s="84"/>
      <c r="Z1063" s="84"/>
      <c r="AA1063" s="84"/>
      <c r="AB1063" s="84"/>
      <c r="AC1063" s="84"/>
      <c r="AD1063" s="84"/>
    </row>
    <row r="1064" spans="1:30" ht="15.75" hidden="1" x14ac:dyDescent="0.25">
      <c r="A1064" s="32">
        <v>73323</v>
      </c>
      <c r="B1064" s="95">
        <f t="shared" si="178"/>
        <v>30</v>
      </c>
      <c r="C1064" s="83">
        <f>'[2]FGT PRIMARY FIRM ZONE 1'!V1075</f>
        <v>194.20499999999998</v>
      </c>
      <c r="D1064" s="83">
        <f>'[2]FGT PRIMARY FIRM ZONE 2'!V1075</f>
        <v>267.46600000000001</v>
      </c>
      <c r="E1064" s="92">
        <f>'[2]FGT PRIMARY FIRM ZONE 3'!V1075</f>
        <v>133.845</v>
      </c>
      <c r="F1064" s="83">
        <f>'[2]FGT FIRM ZONE 3 MOBILE BAY-DES'!V1075-40-25-60-100</f>
        <v>53.48399999999998</v>
      </c>
      <c r="G1064" s="86">
        <v>40</v>
      </c>
      <c r="H1064" s="83">
        <f t="shared" si="179"/>
        <v>185</v>
      </c>
      <c r="I1064" s="83">
        <f t="shared" si="170"/>
        <v>0</v>
      </c>
      <c r="J1064" s="86">
        <v>100</v>
      </c>
      <c r="K1064" s="86">
        <v>300</v>
      </c>
      <c r="L1064" s="83">
        <f t="shared" si="173"/>
        <v>1274</v>
      </c>
      <c r="M1064" s="94">
        <v>600</v>
      </c>
      <c r="N1064" s="83">
        <f>'[2]FGT NON-FIRM'!P1075</f>
        <v>30</v>
      </c>
      <c r="O1064" s="86">
        <v>240</v>
      </c>
      <c r="P1064" s="86">
        <v>40</v>
      </c>
      <c r="Q1064" s="86">
        <f t="shared" si="174"/>
        <v>315</v>
      </c>
      <c r="R1064" s="86">
        <f t="shared" si="175"/>
        <v>100</v>
      </c>
      <c r="S1064" s="83">
        <f t="shared" si="176"/>
        <v>695</v>
      </c>
      <c r="T1064" s="83">
        <f>'[2]GULFSTREAM NON-FIRM'!H1075</f>
        <v>0</v>
      </c>
      <c r="U1064" s="84"/>
      <c r="V1064" s="84"/>
      <c r="W1064" s="84"/>
      <c r="X1064" s="84"/>
      <c r="Y1064" s="84"/>
      <c r="Z1064" s="84"/>
      <c r="AA1064" s="84"/>
      <c r="AB1064" s="84"/>
      <c r="AC1064" s="84"/>
      <c r="AD1064" s="84"/>
    </row>
    <row r="1065" spans="1:30" ht="15.75" hidden="1" x14ac:dyDescent="0.25">
      <c r="A1065" s="32">
        <v>73354</v>
      </c>
      <c r="B1065" s="95">
        <f t="shared" si="178"/>
        <v>31</v>
      </c>
      <c r="C1065" s="83">
        <f>'[2]FGT PRIMARY FIRM ZONE 1'!V1076</f>
        <v>131.881</v>
      </c>
      <c r="D1065" s="83">
        <f>'[2]FGT PRIMARY FIRM ZONE 2'!V1076</f>
        <v>277.16699999999997</v>
      </c>
      <c r="E1065" s="92">
        <f>'[2]FGT PRIMARY FIRM ZONE 3'!V1076</f>
        <v>79.08</v>
      </c>
      <c r="F1065" s="83">
        <f>'[2]FGT FIRM ZONE 3 MOBILE BAY-DES'!V1076-40-25-60-100</f>
        <v>125.87199999999996</v>
      </c>
      <c r="G1065" s="86">
        <v>40</v>
      </c>
      <c r="H1065" s="83">
        <f t="shared" si="179"/>
        <v>185</v>
      </c>
      <c r="I1065" s="83">
        <f t="shared" si="170"/>
        <v>0</v>
      </c>
      <c r="J1065" s="86">
        <v>100</v>
      </c>
      <c r="K1065" s="86">
        <v>300</v>
      </c>
      <c r="L1065" s="83">
        <f t="shared" si="173"/>
        <v>1239</v>
      </c>
      <c r="M1065" s="94">
        <v>600</v>
      </c>
      <c r="N1065" s="83">
        <f>'[2]FGT NON-FIRM'!P1076</f>
        <v>75</v>
      </c>
      <c r="O1065" s="86">
        <v>240</v>
      </c>
      <c r="P1065" s="86">
        <v>40</v>
      </c>
      <c r="Q1065" s="86">
        <f t="shared" si="174"/>
        <v>315</v>
      </c>
      <c r="R1065" s="86">
        <f t="shared" si="175"/>
        <v>100</v>
      </c>
      <c r="S1065" s="83">
        <f t="shared" si="176"/>
        <v>695</v>
      </c>
      <c r="T1065" s="83">
        <f>'[2]GULFSTREAM NON-FIRM'!H1076</f>
        <v>0</v>
      </c>
      <c r="U1065" s="84"/>
      <c r="V1065" s="84"/>
      <c r="W1065" s="84"/>
      <c r="X1065" s="84"/>
      <c r="Y1065" s="84"/>
      <c r="Z1065" s="84"/>
      <c r="AA1065" s="84"/>
      <c r="AB1065" s="84"/>
      <c r="AC1065" s="84"/>
      <c r="AD1065" s="84"/>
    </row>
    <row r="1066" spans="1:30" ht="15.75" hidden="1" x14ac:dyDescent="0.25">
      <c r="A1066" s="32">
        <v>73384</v>
      </c>
      <c r="B1066" s="95">
        <f t="shared" si="178"/>
        <v>30</v>
      </c>
      <c r="C1066" s="83">
        <f>'[2]FGT PRIMARY FIRM ZONE 1'!V1077</f>
        <v>122.58</v>
      </c>
      <c r="D1066" s="83">
        <f>'[2]FGT PRIMARY FIRM ZONE 2'!V1077</f>
        <v>297.94100000000003</v>
      </c>
      <c r="E1066" s="92">
        <f>'[2]FGT PRIMARY FIRM ZONE 3'!V1077</f>
        <v>89.177000000000007</v>
      </c>
      <c r="F1066" s="83">
        <f>'[2]FGT FIRM ZONE 3 MOBILE BAY-DES'!V1077-40-60-100</f>
        <v>40.301999999999992</v>
      </c>
      <c r="G1066" s="86">
        <v>40</v>
      </c>
      <c r="H1066" s="83">
        <f>60+100</f>
        <v>160</v>
      </c>
      <c r="I1066" s="83">
        <f t="shared" si="170"/>
        <v>0</v>
      </c>
      <c r="J1066" s="86">
        <v>100</v>
      </c>
      <c r="K1066" s="86">
        <v>300</v>
      </c>
      <c r="L1066" s="83">
        <f t="shared" si="173"/>
        <v>1150</v>
      </c>
      <c r="M1066" s="94">
        <v>600</v>
      </c>
      <c r="N1066" s="83">
        <f>'[2]FGT NON-FIRM'!P1077</f>
        <v>100</v>
      </c>
      <c r="O1066" s="86">
        <v>240</v>
      </c>
      <c r="P1066" s="86">
        <v>40</v>
      </c>
      <c r="Q1066" s="86">
        <f t="shared" si="174"/>
        <v>315</v>
      </c>
      <c r="R1066" s="86">
        <f t="shared" si="175"/>
        <v>100</v>
      </c>
      <c r="S1066" s="83">
        <f t="shared" si="176"/>
        <v>695</v>
      </c>
      <c r="T1066" s="83">
        <f>'[2]GULFSTREAM NON-FIRM'!H1077</f>
        <v>50</v>
      </c>
      <c r="U1066" s="84"/>
      <c r="V1066" s="84"/>
      <c r="W1066" s="84"/>
      <c r="X1066" s="84"/>
      <c r="Y1066" s="84"/>
      <c r="Z1066" s="84"/>
      <c r="AA1066" s="84"/>
      <c r="AB1066" s="84"/>
      <c r="AC1066" s="84"/>
      <c r="AD1066" s="84"/>
    </row>
    <row r="1067" spans="1:30" ht="15.75" hidden="1" x14ac:dyDescent="0.25">
      <c r="A1067" s="32">
        <v>73415</v>
      </c>
      <c r="B1067" s="95">
        <f t="shared" si="178"/>
        <v>31</v>
      </c>
      <c r="C1067" s="83">
        <f>'[2]FGT PRIMARY FIRM ZONE 1'!V1078</f>
        <v>122.58</v>
      </c>
      <c r="D1067" s="83">
        <f>'[2]FGT PRIMARY FIRM ZONE 2'!V1078</f>
        <v>297.94100000000003</v>
      </c>
      <c r="E1067" s="92">
        <f>'[2]FGT PRIMARY FIRM ZONE 3'!V1078</f>
        <v>89.177000000000007</v>
      </c>
      <c r="F1067" s="83">
        <f>'[2]FGT FIRM ZONE 3 MOBILE BAY-DES'!V1078-40-60-100</f>
        <v>40.301999999999992</v>
      </c>
      <c r="G1067" s="86">
        <v>40</v>
      </c>
      <c r="H1067" s="83">
        <f>60+100</f>
        <v>160</v>
      </c>
      <c r="I1067" s="83">
        <f t="shared" si="170"/>
        <v>0</v>
      </c>
      <c r="J1067" s="86">
        <v>100</v>
      </c>
      <c r="K1067" s="86">
        <v>300</v>
      </c>
      <c r="L1067" s="83">
        <f t="shared" si="173"/>
        <v>1150</v>
      </c>
      <c r="M1067" s="94">
        <v>600</v>
      </c>
      <c r="N1067" s="83">
        <f>'[2]FGT NON-FIRM'!P1078</f>
        <v>100</v>
      </c>
      <c r="O1067" s="86">
        <v>240</v>
      </c>
      <c r="P1067" s="86">
        <v>40</v>
      </c>
      <c r="Q1067" s="86">
        <f t="shared" si="174"/>
        <v>315</v>
      </c>
      <c r="R1067" s="86">
        <f t="shared" si="175"/>
        <v>100</v>
      </c>
      <c r="S1067" s="83">
        <f t="shared" si="176"/>
        <v>695</v>
      </c>
      <c r="T1067" s="83">
        <f>'[2]GULFSTREAM NON-FIRM'!H1078</f>
        <v>50</v>
      </c>
      <c r="U1067" s="84"/>
      <c r="V1067" s="84"/>
      <c r="W1067" s="84"/>
      <c r="X1067" s="84"/>
      <c r="Y1067" s="84"/>
      <c r="Z1067" s="84"/>
      <c r="AA1067" s="84"/>
      <c r="AB1067" s="84"/>
      <c r="AC1067" s="84"/>
      <c r="AD1067" s="84"/>
    </row>
    <row r="1068" spans="1:30" ht="15" x14ac:dyDescent="0.2">
      <c r="A1068" s="12"/>
      <c r="B1068" s="93"/>
      <c r="C1068" s="83"/>
      <c r="D1068" s="83"/>
      <c r="E1068" s="92"/>
      <c r="F1068" s="83"/>
      <c r="G1068" s="83"/>
      <c r="H1068" s="83"/>
      <c r="I1068" s="83"/>
      <c r="J1068" s="83"/>
      <c r="K1068" s="83"/>
      <c r="L1068" s="83"/>
      <c r="M1068" s="83"/>
      <c r="N1068" s="83"/>
      <c r="O1068" s="86"/>
      <c r="P1068" s="86"/>
      <c r="Q1068" s="86"/>
      <c r="R1068" s="86"/>
      <c r="S1068" s="83"/>
      <c r="T1068" s="83"/>
      <c r="U1068" s="84"/>
      <c r="V1068" s="84"/>
      <c r="W1068" s="84"/>
      <c r="X1068" s="84"/>
      <c r="Y1068" s="84"/>
      <c r="Z1068" s="84"/>
      <c r="AA1068" s="84"/>
      <c r="AB1068" s="84"/>
      <c r="AC1068" s="84"/>
      <c r="AD1068" s="84"/>
    </row>
    <row r="1069" spans="1:30" ht="15" x14ac:dyDescent="0.2">
      <c r="A1069" s="10">
        <v>2013</v>
      </c>
      <c r="B1069" s="10">
        <f t="shared" ref="B1069:B1100" si="180">DATE(A1069+1,1,1)-DATE(A1069,1,1)</f>
        <v>365</v>
      </c>
      <c r="C1069" s="87">
        <f t="shared" ref="C1069:L1069" si="181">AVERAGE(C12:C23)</f>
        <v>154.75825</v>
      </c>
      <c r="D1069" s="87">
        <f t="shared" si="181"/>
        <v>281.0162499999999</v>
      </c>
      <c r="E1069" s="87">
        <f t="shared" si="181"/>
        <v>109.1005</v>
      </c>
      <c r="F1069" s="87">
        <f t="shared" si="181"/>
        <v>217.04166666666666</v>
      </c>
      <c r="G1069" s="87">
        <f t="shared" si="181"/>
        <v>40</v>
      </c>
      <c r="H1069" s="87">
        <f t="shared" si="181"/>
        <v>14.583333333333334</v>
      </c>
      <c r="I1069" s="87">
        <f t="shared" si="181"/>
        <v>12.5</v>
      </c>
      <c r="J1069" s="87">
        <f t="shared" si="181"/>
        <v>100</v>
      </c>
      <c r="K1069" s="87">
        <f t="shared" si="181"/>
        <v>300</v>
      </c>
      <c r="L1069" s="87">
        <f t="shared" si="181"/>
        <v>1229</v>
      </c>
      <c r="M1069" s="91"/>
      <c r="N1069" s="87">
        <f t="shared" ref="N1069:T1069" si="182">AVERAGE(N12:N23)</f>
        <v>97.5</v>
      </c>
      <c r="O1069" s="88">
        <f t="shared" si="182"/>
        <v>240</v>
      </c>
      <c r="P1069" s="88">
        <f t="shared" si="182"/>
        <v>70</v>
      </c>
      <c r="Q1069" s="88">
        <f t="shared" si="182"/>
        <v>285</v>
      </c>
      <c r="R1069" s="88">
        <f t="shared" si="182"/>
        <v>100</v>
      </c>
      <c r="S1069" s="87">
        <f t="shared" si="182"/>
        <v>695</v>
      </c>
      <c r="T1069" s="87">
        <f t="shared" si="182"/>
        <v>33.333333333333336</v>
      </c>
      <c r="U1069" s="84"/>
      <c r="V1069" s="84"/>
      <c r="W1069" s="84"/>
      <c r="X1069" s="84"/>
      <c r="Y1069" s="84"/>
      <c r="Z1069" s="84"/>
      <c r="AA1069" s="84"/>
      <c r="AB1069" s="84"/>
      <c r="AC1069" s="84"/>
      <c r="AD1069" s="84"/>
    </row>
    <row r="1070" spans="1:30" ht="15.75" x14ac:dyDescent="0.25">
      <c r="A1070" s="10">
        <v>2014</v>
      </c>
      <c r="B1070" s="10">
        <f t="shared" si="180"/>
        <v>365</v>
      </c>
      <c r="C1070" s="87">
        <f t="shared" ref="C1070:L1070" si="183">AVERAGE(C24:C35)</f>
        <v>154.75825</v>
      </c>
      <c r="D1070" s="87">
        <f t="shared" si="183"/>
        <v>281.0162499999999</v>
      </c>
      <c r="E1070" s="87">
        <f t="shared" si="183"/>
        <v>109.1005</v>
      </c>
      <c r="F1070" s="87">
        <f t="shared" si="183"/>
        <v>217.04166666666666</v>
      </c>
      <c r="G1070" s="87">
        <f t="shared" si="183"/>
        <v>40</v>
      </c>
      <c r="H1070" s="87">
        <f t="shared" si="183"/>
        <v>14.583333333333334</v>
      </c>
      <c r="I1070" s="87">
        <f t="shared" si="183"/>
        <v>20.833333333333332</v>
      </c>
      <c r="J1070" s="87">
        <f t="shared" si="183"/>
        <v>100</v>
      </c>
      <c r="K1070" s="87">
        <f t="shared" si="183"/>
        <v>300</v>
      </c>
      <c r="L1070" s="87">
        <f t="shared" si="183"/>
        <v>1237.3333333333333</v>
      </c>
      <c r="M1070" s="90"/>
      <c r="N1070" s="87">
        <f t="shared" ref="N1070:T1070" si="184">AVERAGE(N24:N35)</f>
        <v>72.5</v>
      </c>
      <c r="O1070" s="88">
        <f t="shared" si="184"/>
        <v>240</v>
      </c>
      <c r="P1070" s="88">
        <f t="shared" si="184"/>
        <v>70</v>
      </c>
      <c r="Q1070" s="88">
        <f t="shared" si="184"/>
        <v>285</v>
      </c>
      <c r="R1070" s="88">
        <f t="shared" si="184"/>
        <v>100</v>
      </c>
      <c r="S1070" s="87">
        <f t="shared" si="184"/>
        <v>695</v>
      </c>
      <c r="T1070" s="87">
        <f t="shared" si="184"/>
        <v>33.333333333333336</v>
      </c>
      <c r="U1070" s="84"/>
      <c r="V1070" s="84"/>
      <c r="W1070" s="84"/>
      <c r="X1070" s="84"/>
      <c r="Y1070" s="84"/>
      <c r="Z1070" s="84"/>
      <c r="AA1070" s="84"/>
      <c r="AB1070" s="84"/>
      <c r="AC1070" s="84"/>
      <c r="AD1070" s="84"/>
    </row>
    <row r="1071" spans="1:30" ht="15.75" x14ac:dyDescent="0.25">
      <c r="A1071" s="10">
        <v>2015</v>
      </c>
      <c r="B1071" s="10">
        <f t="shared" si="180"/>
        <v>365</v>
      </c>
      <c r="C1071" s="87">
        <f t="shared" ref="C1071:L1071" si="185">AVERAGE(C36:C47)</f>
        <v>154.75825</v>
      </c>
      <c r="D1071" s="87">
        <f t="shared" si="185"/>
        <v>281.0162499999999</v>
      </c>
      <c r="E1071" s="87">
        <f t="shared" si="185"/>
        <v>109.1005</v>
      </c>
      <c r="F1071" s="87">
        <f t="shared" si="185"/>
        <v>97.041666666666629</v>
      </c>
      <c r="G1071" s="87">
        <f t="shared" si="185"/>
        <v>40</v>
      </c>
      <c r="H1071" s="87">
        <f t="shared" si="185"/>
        <v>134.58333333333334</v>
      </c>
      <c r="I1071" s="87">
        <f t="shared" si="185"/>
        <v>20.833333333333332</v>
      </c>
      <c r="J1071" s="87">
        <f t="shared" si="185"/>
        <v>100</v>
      </c>
      <c r="K1071" s="87">
        <f t="shared" si="185"/>
        <v>300</v>
      </c>
      <c r="L1071" s="87">
        <f t="shared" si="185"/>
        <v>1237.3333333333333</v>
      </c>
      <c r="M1071" s="90"/>
      <c r="N1071" s="87">
        <f t="shared" ref="N1071:T1071" si="186">AVERAGE(N36:N47)</f>
        <v>72.5</v>
      </c>
      <c r="O1071" s="88">
        <f t="shared" si="186"/>
        <v>240</v>
      </c>
      <c r="P1071" s="88">
        <f t="shared" si="186"/>
        <v>100</v>
      </c>
      <c r="Q1071" s="88">
        <f t="shared" si="186"/>
        <v>255</v>
      </c>
      <c r="R1071" s="88">
        <f t="shared" si="186"/>
        <v>100</v>
      </c>
      <c r="S1071" s="87">
        <f t="shared" si="186"/>
        <v>695</v>
      </c>
      <c r="T1071" s="87">
        <f t="shared" si="186"/>
        <v>33.333333333333336</v>
      </c>
      <c r="U1071" s="84"/>
      <c r="V1071" s="84"/>
      <c r="W1071" s="84"/>
      <c r="X1071" s="84"/>
      <c r="Y1071" s="84"/>
      <c r="Z1071" s="84"/>
      <c r="AA1071" s="84"/>
      <c r="AB1071" s="84"/>
      <c r="AC1071" s="84"/>
      <c r="AD1071" s="84"/>
    </row>
    <row r="1072" spans="1:30" ht="15.75" x14ac:dyDescent="0.25">
      <c r="A1072" s="10">
        <v>2016</v>
      </c>
      <c r="B1072" s="10">
        <f t="shared" si="180"/>
        <v>366</v>
      </c>
      <c r="C1072" s="87">
        <f t="shared" ref="C1072:L1072" si="187">AVERAGE(C48:C59)</f>
        <v>154.75825</v>
      </c>
      <c r="D1072" s="87">
        <f t="shared" si="187"/>
        <v>281.0162499999999</v>
      </c>
      <c r="E1072" s="87">
        <f t="shared" si="187"/>
        <v>109.1005</v>
      </c>
      <c r="F1072" s="87">
        <f t="shared" si="187"/>
        <v>57.041666666666664</v>
      </c>
      <c r="G1072" s="87">
        <f t="shared" si="187"/>
        <v>40</v>
      </c>
      <c r="H1072" s="87">
        <f t="shared" si="187"/>
        <v>174.58333333333334</v>
      </c>
      <c r="I1072" s="87">
        <f t="shared" si="187"/>
        <v>0</v>
      </c>
      <c r="J1072" s="87">
        <f t="shared" si="187"/>
        <v>100</v>
      </c>
      <c r="K1072" s="87">
        <f t="shared" si="187"/>
        <v>300</v>
      </c>
      <c r="L1072" s="87">
        <f t="shared" si="187"/>
        <v>1216.5</v>
      </c>
      <c r="M1072" s="90"/>
      <c r="N1072" s="87">
        <f t="shared" ref="N1072:T1072" si="188">AVERAGE(N48:N59)</f>
        <v>72.5</v>
      </c>
      <c r="O1072" s="88">
        <f t="shared" si="188"/>
        <v>240</v>
      </c>
      <c r="P1072" s="88">
        <f t="shared" si="188"/>
        <v>110</v>
      </c>
      <c r="Q1072" s="88">
        <f t="shared" si="188"/>
        <v>245</v>
      </c>
      <c r="R1072" s="88">
        <f t="shared" si="188"/>
        <v>100</v>
      </c>
      <c r="S1072" s="87">
        <f t="shared" si="188"/>
        <v>695</v>
      </c>
      <c r="T1072" s="87">
        <f t="shared" si="188"/>
        <v>33.333333333333336</v>
      </c>
      <c r="U1072" s="84"/>
      <c r="V1072" s="84"/>
      <c r="W1072" s="84"/>
      <c r="X1072" s="84"/>
      <c r="Y1072" s="84"/>
      <c r="Z1072" s="84"/>
      <c r="AA1072" s="84"/>
      <c r="AB1072" s="84"/>
      <c r="AC1072" s="84"/>
      <c r="AD1072" s="84"/>
    </row>
    <row r="1073" spans="1:30" ht="15" x14ac:dyDescent="0.2">
      <c r="A1073" s="10">
        <v>2017</v>
      </c>
      <c r="B1073" s="10">
        <f t="shared" si="180"/>
        <v>365</v>
      </c>
      <c r="C1073" s="87">
        <f t="shared" ref="C1073:T1073" si="189">AVERAGE(C60:C71)</f>
        <v>154.75825</v>
      </c>
      <c r="D1073" s="87">
        <f t="shared" si="189"/>
        <v>281.0162499999999</v>
      </c>
      <c r="E1073" s="87">
        <f t="shared" si="189"/>
        <v>109.1005</v>
      </c>
      <c r="F1073" s="87">
        <f t="shared" si="189"/>
        <v>57.041666666666664</v>
      </c>
      <c r="G1073" s="87">
        <f t="shared" si="189"/>
        <v>40</v>
      </c>
      <c r="H1073" s="87">
        <f t="shared" si="189"/>
        <v>174.58333333333334</v>
      </c>
      <c r="I1073" s="87">
        <f t="shared" si="189"/>
        <v>0</v>
      </c>
      <c r="J1073" s="87">
        <f t="shared" si="189"/>
        <v>100</v>
      </c>
      <c r="K1073" s="87">
        <f t="shared" si="189"/>
        <v>300</v>
      </c>
      <c r="L1073" s="87">
        <f t="shared" si="189"/>
        <v>1216.5</v>
      </c>
      <c r="M1073" s="89">
        <f t="shared" si="189"/>
        <v>400</v>
      </c>
      <c r="N1073" s="87">
        <f t="shared" si="189"/>
        <v>72.5</v>
      </c>
      <c r="O1073" s="88">
        <f t="shared" si="189"/>
        <v>240</v>
      </c>
      <c r="P1073" s="88">
        <f t="shared" si="189"/>
        <v>110</v>
      </c>
      <c r="Q1073" s="88">
        <f t="shared" si="189"/>
        <v>245</v>
      </c>
      <c r="R1073" s="88">
        <f t="shared" si="189"/>
        <v>100</v>
      </c>
      <c r="S1073" s="87">
        <f t="shared" si="189"/>
        <v>695</v>
      </c>
      <c r="T1073" s="87">
        <f t="shared" si="189"/>
        <v>33.333333333333336</v>
      </c>
      <c r="U1073" s="84"/>
      <c r="V1073" s="84"/>
      <c r="W1073" s="84"/>
      <c r="X1073" s="84"/>
      <c r="Y1073" s="84"/>
      <c r="Z1073" s="84"/>
      <c r="AA1073" s="84"/>
      <c r="AB1073" s="84"/>
      <c r="AC1073" s="84"/>
      <c r="AD1073" s="84"/>
    </row>
    <row r="1074" spans="1:30" ht="15" x14ac:dyDescent="0.2">
      <c r="A1074" s="10">
        <v>2018</v>
      </c>
      <c r="B1074" s="10">
        <f t="shared" si="180"/>
        <v>365</v>
      </c>
      <c r="C1074" s="87">
        <f t="shared" ref="C1074:T1074" si="190">AVERAGE(C72:C83)</f>
        <v>154.75825</v>
      </c>
      <c r="D1074" s="87">
        <f t="shared" si="190"/>
        <v>281.0162499999999</v>
      </c>
      <c r="E1074" s="87">
        <f t="shared" si="190"/>
        <v>109.1005</v>
      </c>
      <c r="F1074" s="87">
        <f t="shared" si="190"/>
        <v>57.041666666666664</v>
      </c>
      <c r="G1074" s="87">
        <f t="shared" si="190"/>
        <v>40</v>
      </c>
      <c r="H1074" s="87">
        <f t="shared" si="190"/>
        <v>174.58333333333334</v>
      </c>
      <c r="I1074" s="87">
        <f t="shared" si="190"/>
        <v>0</v>
      </c>
      <c r="J1074" s="87">
        <f t="shared" si="190"/>
        <v>100</v>
      </c>
      <c r="K1074" s="87">
        <f t="shared" si="190"/>
        <v>300</v>
      </c>
      <c r="L1074" s="87">
        <f t="shared" si="190"/>
        <v>1216.5</v>
      </c>
      <c r="M1074" s="89">
        <f t="shared" si="190"/>
        <v>400</v>
      </c>
      <c r="N1074" s="87">
        <f t="shared" si="190"/>
        <v>72.5</v>
      </c>
      <c r="O1074" s="88">
        <f t="shared" si="190"/>
        <v>240</v>
      </c>
      <c r="P1074" s="88">
        <f t="shared" si="190"/>
        <v>110</v>
      </c>
      <c r="Q1074" s="88">
        <f t="shared" si="190"/>
        <v>245</v>
      </c>
      <c r="R1074" s="88">
        <f t="shared" si="190"/>
        <v>100</v>
      </c>
      <c r="S1074" s="87">
        <f t="shared" si="190"/>
        <v>695</v>
      </c>
      <c r="T1074" s="87">
        <f t="shared" si="190"/>
        <v>33.333333333333336</v>
      </c>
      <c r="U1074" s="84"/>
      <c r="V1074" s="84"/>
      <c r="W1074" s="84"/>
      <c r="X1074" s="84"/>
      <c r="Y1074" s="84"/>
      <c r="Z1074" s="84"/>
      <c r="AA1074" s="84"/>
      <c r="AB1074" s="84"/>
      <c r="AC1074" s="84"/>
      <c r="AD1074" s="84"/>
    </row>
    <row r="1075" spans="1:30" ht="15" hidden="1" x14ac:dyDescent="0.2">
      <c r="A1075" s="10">
        <v>2019</v>
      </c>
      <c r="B1075" s="10">
        <f t="shared" si="180"/>
        <v>365</v>
      </c>
      <c r="C1075" s="87">
        <f t="shared" ref="C1075:T1075" si="191">AVERAGE(C84:C95)</f>
        <v>154.75824999999998</v>
      </c>
      <c r="D1075" s="87">
        <f t="shared" si="191"/>
        <v>281.01624999999996</v>
      </c>
      <c r="E1075" s="87">
        <f t="shared" si="191"/>
        <v>109.1005</v>
      </c>
      <c r="F1075" s="87">
        <f t="shared" si="191"/>
        <v>57.041666666666657</v>
      </c>
      <c r="G1075" s="87">
        <f t="shared" si="191"/>
        <v>40</v>
      </c>
      <c r="H1075" s="87">
        <f t="shared" si="191"/>
        <v>174.58333333333334</v>
      </c>
      <c r="I1075" s="87">
        <f t="shared" si="191"/>
        <v>0</v>
      </c>
      <c r="J1075" s="87">
        <f t="shared" si="191"/>
        <v>100</v>
      </c>
      <c r="K1075" s="87">
        <f t="shared" si="191"/>
        <v>300</v>
      </c>
      <c r="L1075" s="87">
        <f t="shared" si="191"/>
        <v>1216.5</v>
      </c>
      <c r="M1075" s="89">
        <f t="shared" si="191"/>
        <v>400</v>
      </c>
      <c r="N1075" s="87">
        <f t="shared" si="191"/>
        <v>72.5</v>
      </c>
      <c r="O1075" s="88">
        <f t="shared" si="191"/>
        <v>240</v>
      </c>
      <c r="P1075" s="88">
        <f t="shared" si="191"/>
        <v>110</v>
      </c>
      <c r="Q1075" s="88">
        <f t="shared" si="191"/>
        <v>245</v>
      </c>
      <c r="R1075" s="88">
        <f t="shared" si="191"/>
        <v>100</v>
      </c>
      <c r="S1075" s="87">
        <f t="shared" si="191"/>
        <v>695</v>
      </c>
      <c r="T1075" s="87">
        <f t="shared" si="191"/>
        <v>33.333333333333336</v>
      </c>
      <c r="U1075" s="84"/>
      <c r="V1075" s="84"/>
      <c r="W1075" s="84"/>
      <c r="X1075" s="84"/>
      <c r="Y1075" s="84"/>
      <c r="Z1075" s="84"/>
      <c r="AA1075" s="84"/>
      <c r="AB1075" s="84"/>
      <c r="AC1075" s="84"/>
      <c r="AD1075" s="84"/>
    </row>
    <row r="1076" spans="1:30" ht="15" hidden="1" x14ac:dyDescent="0.2">
      <c r="A1076" s="10">
        <v>2020</v>
      </c>
      <c r="B1076" s="10">
        <f t="shared" si="180"/>
        <v>366</v>
      </c>
      <c r="C1076" s="87">
        <f t="shared" ref="C1076:T1076" si="192">AVERAGE(C96:C107)</f>
        <v>154.75824999999998</v>
      </c>
      <c r="D1076" s="87">
        <f t="shared" si="192"/>
        <v>281.01624999999996</v>
      </c>
      <c r="E1076" s="87">
        <f t="shared" si="192"/>
        <v>109.1005</v>
      </c>
      <c r="F1076" s="87">
        <f t="shared" si="192"/>
        <v>57.041666666666657</v>
      </c>
      <c r="G1076" s="87">
        <f t="shared" si="192"/>
        <v>40</v>
      </c>
      <c r="H1076" s="87">
        <f t="shared" si="192"/>
        <v>174.58333333333334</v>
      </c>
      <c r="I1076" s="87">
        <f t="shared" si="192"/>
        <v>0</v>
      </c>
      <c r="J1076" s="87">
        <f t="shared" si="192"/>
        <v>100</v>
      </c>
      <c r="K1076" s="87">
        <f t="shared" si="192"/>
        <v>300</v>
      </c>
      <c r="L1076" s="87">
        <f t="shared" si="192"/>
        <v>1216.5</v>
      </c>
      <c r="M1076" s="89">
        <f t="shared" si="192"/>
        <v>533.33333333333337</v>
      </c>
      <c r="N1076" s="87">
        <f t="shared" si="192"/>
        <v>72.5</v>
      </c>
      <c r="O1076" s="88">
        <f t="shared" si="192"/>
        <v>240</v>
      </c>
      <c r="P1076" s="88">
        <f t="shared" si="192"/>
        <v>110</v>
      </c>
      <c r="Q1076" s="88">
        <f t="shared" si="192"/>
        <v>245</v>
      </c>
      <c r="R1076" s="88">
        <f t="shared" si="192"/>
        <v>100</v>
      </c>
      <c r="S1076" s="87">
        <f t="shared" si="192"/>
        <v>695</v>
      </c>
      <c r="T1076" s="87">
        <f t="shared" si="192"/>
        <v>33.333333333333336</v>
      </c>
      <c r="U1076" s="84"/>
      <c r="V1076" s="84"/>
      <c r="W1076" s="84"/>
      <c r="X1076" s="84"/>
      <c r="Y1076" s="84"/>
      <c r="Z1076" s="84"/>
      <c r="AA1076" s="84"/>
      <c r="AB1076" s="84"/>
      <c r="AC1076" s="84"/>
      <c r="AD1076" s="84"/>
    </row>
    <row r="1077" spans="1:30" ht="15" hidden="1" x14ac:dyDescent="0.2">
      <c r="A1077" s="10">
        <v>2021</v>
      </c>
      <c r="B1077" s="10">
        <f t="shared" si="180"/>
        <v>365</v>
      </c>
      <c r="C1077" s="87">
        <f t="shared" ref="C1077:T1077" si="193">AVERAGE(C108:C119)</f>
        <v>154.75824999999998</v>
      </c>
      <c r="D1077" s="87">
        <f t="shared" si="193"/>
        <v>281.01624999999996</v>
      </c>
      <c r="E1077" s="87">
        <f t="shared" si="193"/>
        <v>109.1005</v>
      </c>
      <c r="F1077" s="87">
        <f t="shared" si="193"/>
        <v>57.041666666666657</v>
      </c>
      <c r="G1077" s="87">
        <f t="shared" si="193"/>
        <v>40</v>
      </c>
      <c r="H1077" s="87">
        <f t="shared" si="193"/>
        <v>174.58333333333334</v>
      </c>
      <c r="I1077" s="87">
        <f t="shared" si="193"/>
        <v>0</v>
      </c>
      <c r="J1077" s="87">
        <f t="shared" si="193"/>
        <v>100</v>
      </c>
      <c r="K1077" s="87">
        <f t="shared" si="193"/>
        <v>300</v>
      </c>
      <c r="L1077" s="87">
        <f t="shared" si="193"/>
        <v>1216.5</v>
      </c>
      <c r="M1077" s="89">
        <f t="shared" si="193"/>
        <v>600</v>
      </c>
      <c r="N1077" s="87">
        <f t="shared" si="193"/>
        <v>72.5</v>
      </c>
      <c r="O1077" s="88">
        <f t="shared" si="193"/>
        <v>240</v>
      </c>
      <c r="P1077" s="88">
        <f t="shared" si="193"/>
        <v>110</v>
      </c>
      <c r="Q1077" s="88">
        <f t="shared" si="193"/>
        <v>245</v>
      </c>
      <c r="R1077" s="88">
        <f t="shared" si="193"/>
        <v>100</v>
      </c>
      <c r="S1077" s="87">
        <f t="shared" si="193"/>
        <v>695</v>
      </c>
      <c r="T1077" s="87">
        <f t="shared" si="193"/>
        <v>33.333333333333336</v>
      </c>
      <c r="U1077" s="84"/>
      <c r="V1077" s="84"/>
      <c r="W1077" s="84"/>
      <c r="X1077" s="84"/>
      <c r="Y1077" s="84"/>
      <c r="Z1077" s="84"/>
      <c r="AA1077" s="84"/>
      <c r="AB1077" s="84"/>
      <c r="AC1077" s="84"/>
      <c r="AD1077" s="84"/>
    </row>
    <row r="1078" spans="1:30" ht="15" hidden="1" x14ac:dyDescent="0.2">
      <c r="A1078" s="10">
        <v>2022</v>
      </c>
      <c r="B1078" s="10">
        <f t="shared" si="180"/>
        <v>365</v>
      </c>
      <c r="C1078" s="87">
        <f t="shared" ref="C1078:T1078" si="194">AVERAGE(C120:C131)</f>
        <v>154.75824999999998</v>
      </c>
      <c r="D1078" s="87">
        <f t="shared" si="194"/>
        <v>281.01624999999996</v>
      </c>
      <c r="E1078" s="87">
        <f t="shared" si="194"/>
        <v>109.1005</v>
      </c>
      <c r="F1078" s="87">
        <f t="shared" si="194"/>
        <v>57.041666666666657</v>
      </c>
      <c r="G1078" s="87">
        <f t="shared" si="194"/>
        <v>40</v>
      </c>
      <c r="H1078" s="87">
        <f t="shared" si="194"/>
        <v>174.58333333333334</v>
      </c>
      <c r="I1078" s="87">
        <f t="shared" si="194"/>
        <v>0</v>
      </c>
      <c r="J1078" s="87">
        <f t="shared" si="194"/>
        <v>100</v>
      </c>
      <c r="K1078" s="87">
        <f t="shared" si="194"/>
        <v>300</v>
      </c>
      <c r="L1078" s="87">
        <f t="shared" si="194"/>
        <v>1216.5</v>
      </c>
      <c r="M1078" s="89">
        <f t="shared" si="194"/>
        <v>600</v>
      </c>
      <c r="N1078" s="87">
        <f t="shared" si="194"/>
        <v>72.5</v>
      </c>
      <c r="O1078" s="88">
        <f t="shared" si="194"/>
        <v>240</v>
      </c>
      <c r="P1078" s="88">
        <f t="shared" si="194"/>
        <v>110</v>
      </c>
      <c r="Q1078" s="88">
        <f t="shared" si="194"/>
        <v>245</v>
      </c>
      <c r="R1078" s="88">
        <f t="shared" si="194"/>
        <v>100</v>
      </c>
      <c r="S1078" s="87">
        <f t="shared" si="194"/>
        <v>695</v>
      </c>
      <c r="T1078" s="87">
        <f t="shared" si="194"/>
        <v>33.333333333333336</v>
      </c>
      <c r="U1078" s="84"/>
      <c r="V1078" s="84"/>
      <c r="W1078" s="84"/>
      <c r="X1078" s="84"/>
      <c r="Y1078" s="84"/>
      <c r="Z1078" s="84"/>
      <c r="AA1078" s="84"/>
      <c r="AB1078" s="84"/>
      <c r="AC1078" s="84"/>
      <c r="AD1078" s="84"/>
    </row>
    <row r="1079" spans="1:30" ht="15" hidden="1" x14ac:dyDescent="0.2">
      <c r="A1079" s="10">
        <v>2023</v>
      </c>
      <c r="B1079" s="10">
        <f t="shared" si="180"/>
        <v>365</v>
      </c>
      <c r="C1079" s="87">
        <f t="shared" ref="C1079:T1079" si="195">AVERAGE(C132:C143)</f>
        <v>154.75824999999998</v>
      </c>
      <c r="D1079" s="87">
        <f t="shared" si="195"/>
        <v>281.01624999999996</v>
      </c>
      <c r="E1079" s="87">
        <f t="shared" si="195"/>
        <v>109.1005</v>
      </c>
      <c r="F1079" s="87">
        <f t="shared" si="195"/>
        <v>57.041666666666657</v>
      </c>
      <c r="G1079" s="87">
        <f t="shared" si="195"/>
        <v>40</v>
      </c>
      <c r="H1079" s="87">
        <f t="shared" si="195"/>
        <v>174.58333333333334</v>
      </c>
      <c r="I1079" s="87">
        <f t="shared" si="195"/>
        <v>0</v>
      </c>
      <c r="J1079" s="87">
        <f t="shared" si="195"/>
        <v>100</v>
      </c>
      <c r="K1079" s="87">
        <f t="shared" si="195"/>
        <v>300</v>
      </c>
      <c r="L1079" s="87">
        <f t="shared" si="195"/>
        <v>1216.5</v>
      </c>
      <c r="M1079" s="89">
        <f t="shared" si="195"/>
        <v>600</v>
      </c>
      <c r="N1079" s="87">
        <f t="shared" si="195"/>
        <v>72.5</v>
      </c>
      <c r="O1079" s="88">
        <f t="shared" si="195"/>
        <v>240</v>
      </c>
      <c r="P1079" s="88">
        <f t="shared" si="195"/>
        <v>110</v>
      </c>
      <c r="Q1079" s="88">
        <f t="shared" si="195"/>
        <v>245</v>
      </c>
      <c r="R1079" s="88">
        <f t="shared" si="195"/>
        <v>100</v>
      </c>
      <c r="S1079" s="87">
        <f t="shared" si="195"/>
        <v>695</v>
      </c>
      <c r="T1079" s="87">
        <f t="shared" si="195"/>
        <v>33.333333333333336</v>
      </c>
      <c r="U1079" s="84"/>
      <c r="V1079" s="84"/>
      <c r="W1079" s="84"/>
      <c r="X1079" s="84"/>
      <c r="Y1079" s="84"/>
      <c r="Z1079" s="84"/>
      <c r="AA1079" s="84"/>
      <c r="AB1079" s="84"/>
      <c r="AC1079" s="84"/>
      <c r="AD1079" s="84"/>
    </row>
    <row r="1080" spans="1:30" ht="15" hidden="1" x14ac:dyDescent="0.2">
      <c r="A1080" s="10">
        <v>2024</v>
      </c>
      <c r="B1080" s="10">
        <f t="shared" si="180"/>
        <v>366</v>
      </c>
      <c r="C1080" s="87">
        <f t="shared" ref="C1080:T1080" si="196">AVERAGE(C144:C155)</f>
        <v>154.75824999999998</v>
      </c>
      <c r="D1080" s="87">
        <f t="shared" si="196"/>
        <v>281.01624999999996</v>
      </c>
      <c r="E1080" s="87">
        <f t="shared" si="196"/>
        <v>109.1005</v>
      </c>
      <c r="F1080" s="87">
        <f t="shared" si="196"/>
        <v>57.041666666666657</v>
      </c>
      <c r="G1080" s="87">
        <f t="shared" si="196"/>
        <v>40</v>
      </c>
      <c r="H1080" s="87">
        <f t="shared" si="196"/>
        <v>174.58333333333334</v>
      </c>
      <c r="I1080" s="87">
        <f t="shared" si="196"/>
        <v>0</v>
      </c>
      <c r="J1080" s="87">
        <f t="shared" si="196"/>
        <v>100</v>
      </c>
      <c r="K1080" s="87">
        <f t="shared" si="196"/>
        <v>300</v>
      </c>
      <c r="L1080" s="87">
        <f t="shared" si="196"/>
        <v>1216.5</v>
      </c>
      <c r="M1080" s="89">
        <f t="shared" si="196"/>
        <v>600</v>
      </c>
      <c r="N1080" s="87">
        <f t="shared" si="196"/>
        <v>72.5</v>
      </c>
      <c r="O1080" s="88">
        <f t="shared" si="196"/>
        <v>240</v>
      </c>
      <c r="P1080" s="88">
        <f t="shared" si="196"/>
        <v>110</v>
      </c>
      <c r="Q1080" s="88">
        <f t="shared" si="196"/>
        <v>245</v>
      </c>
      <c r="R1080" s="88">
        <f t="shared" si="196"/>
        <v>100</v>
      </c>
      <c r="S1080" s="87">
        <f t="shared" si="196"/>
        <v>695</v>
      </c>
      <c r="T1080" s="87">
        <f t="shared" si="196"/>
        <v>33.333333333333336</v>
      </c>
      <c r="U1080" s="84"/>
      <c r="V1080" s="84"/>
      <c r="W1080" s="84"/>
      <c r="X1080" s="84"/>
      <c r="Y1080" s="84"/>
      <c r="Z1080" s="84"/>
      <c r="AA1080" s="84"/>
      <c r="AB1080" s="84"/>
      <c r="AC1080" s="84"/>
      <c r="AD1080" s="84"/>
    </row>
    <row r="1081" spans="1:30" ht="15" hidden="1" x14ac:dyDescent="0.2">
      <c r="A1081" s="10">
        <v>2025</v>
      </c>
      <c r="B1081" s="10">
        <f t="shared" si="180"/>
        <v>365</v>
      </c>
      <c r="C1081" s="87">
        <f t="shared" ref="C1081:T1081" si="197">AVERAGE(C156:C167)</f>
        <v>154.75824999999998</v>
      </c>
      <c r="D1081" s="87">
        <f t="shared" si="197"/>
        <v>281.01624999999996</v>
      </c>
      <c r="E1081" s="87">
        <f t="shared" si="197"/>
        <v>109.1005</v>
      </c>
      <c r="F1081" s="87">
        <f t="shared" si="197"/>
        <v>57.041666666666657</v>
      </c>
      <c r="G1081" s="87">
        <f t="shared" si="197"/>
        <v>40</v>
      </c>
      <c r="H1081" s="87">
        <f t="shared" si="197"/>
        <v>174.58333333333334</v>
      </c>
      <c r="I1081" s="87">
        <f t="shared" si="197"/>
        <v>0</v>
      </c>
      <c r="J1081" s="87">
        <f t="shared" si="197"/>
        <v>100</v>
      </c>
      <c r="K1081" s="87">
        <f t="shared" si="197"/>
        <v>300</v>
      </c>
      <c r="L1081" s="87">
        <f t="shared" si="197"/>
        <v>1216.5</v>
      </c>
      <c r="M1081" s="89">
        <f t="shared" si="197"/>
        <v>600</v>
      </c>
      <c r="N1081" s="87">
        <f t="shared" si="197"/>
        <v>72.5</v>
      </c>
      <c r="O1081" s="88">
        <f t="shared" si="197"/>
        <v>240</v>
      </c>
      <c r="P1081" s="88">
        <f t="shared" si="197"/>
        <v>110</v>
      </c>
      <c r="Q1081" s="88">
        <f t="shared" si="197"/>
        <v>245</v>
      </c>
      <c r="R1081" s="88">
        <f t="shared" si="197"/>
        <v>100</v>
      </c>
      <c r="S1081" s="87">
        <f t="shared" si="197"/>
        <v>695</v>
      </c>
      <c r="T1081" s="87">
        <f t="shared" si="197"/>
        <v>33.333333333333336</v>
      </c>
      <c r="U1081" s="84"/>
      <c r="V1081" s="84"/>
      <c r="W1081" s="84"/>
      <c r="X1081" s="84"/>
      <c r="Y1081" s="84"/>
      <c r="Z1081" s="84"/>
      <c r="AA1081" s="84"/>
      <c r="AB1081" s="84"/>
      <c r="AC1081" s="84"/>
      <c r="AD1081" s="84"/>
    </row>
    <row r="1082" spans="1:30" ht="15" hidden="1" x14ac:dyDescent="0.2">
      <c r="A1082" s="10">
        <v>2026</v>
      </c>
      <c r="B1082" s="10">
        <f t="shared" si="180"/>
        <v>365</v>
      </c>
      <c r="C1082" s="87">
        <f t="shared" ref="C1082:T1082" si="198">AVERAGE(C168:C179)</f>
        <v>154.75824999999998</v>
      </c>
      <c r="D1082" s="87">
        <f t="shared" si="198"/>
        <v>281.01624999999996</v>
      </c>
      <c r="E1082" s="87">
        <f t="shared" si="198"/>
        <v>109.1005</v>
      </c>
      <c r="F1082" s="87">
        <f t="shared" si="198"/>
        <v>57.041666666666657</v>
      </c>
      <c r="G1082" s="87">
        <f t="shared" si="198"/>
        <v>40</v>
      </c>
      <c r="H1082" s="87">
        <f t="shared" si="198"/>
        <v>174.58333333333334</v>
      </c>
      <c r="I1082" s="87">
        <f t="shared" si="198"/>
        <v>0</v>
      </c>
      <c r="J1082" s="87">
        <f t="shared" si="198"/>
        <v>100</v>
      </c>
      <c r="K1082" s="87">
        <f t="shared" si="198"/>
        <v>300</v>
      </c>
      <c r="L1082" s="87">
        <f t="shared" si="198"/>
        <v>1216.5</v>
      </c>
      <c r="M1082" s="89">
        <f t="shared" si="198"/>
        <v>600</v>
      </c>
      <c r="N1082" s="87">
        <f t="shared" si="198"/>
        <v>72.5</v>
      </c>
      <c r="O1082" s="88">
        <f t="shared" si="198"/>
        <v>240</v>
      </c>
      <c r="P1082" s="88">
        <f t="shared" si="198"/>
        <v>110</v>
      </c>
      <c r="Q1082" s="88">
        <f t="shared" si="198"/>
        <v>245</v>
      </c>
      <c r="R1082" s="88">
        <f t="shared" si="198"/>
        <v>100</v>
      </c>
      <c r="S1082" s="87">
        <f t="shared" si="198"/>
        <v>695</v>
      </c>
      <c r="T1082" s="87">
        <f t="shared" si="198"/>
        <v>33.333333333333336</v>
      </c>
      <c r="U1082" s="84"/>
      <c r="V1082" s="84"/>
      <c r="W1082" s="84"/>
      <c r="X1082" s="84"/>
      <c r="Y1082" s="84"/>
      <c r="Z1082" s="84"/>
      <c r="AA1082" s="84"/>
      <c r="AB1082" s="84"/>
      <c r="AC1082" s="84"/>
      <c r="AD1082" s="84"/>
    </row>
    <row r="1083" spans="1:30" ht="15" hidden="1" x14ac:dyDescent="0.2">
      <c r="A1083" s="10">
        <v>2027</v>
      </c>
      <c r="B1083" s="10">
        <f t="shared" si="180"/>
        <v>365</v>
      </c>
      <c r="C1083" s="87">
        <f t="shared" ref="C1083:T1083" si="199">AVERAGE(C180:C191)</f>
        <v>154.75824999999998</v>
      </c>
      <c r="D1083" s="87">
        <f t="shared" si="199"/>
        <v>281.01624999999996</v>
      </c>
      <c r="E1083" s="87">
        <f t="shared" si="199"/>
        <v>109.1005</v>
      </c>
      <c r="F1083" s="87">
        <f t="shared" si="199"/>
        <v>57.041666666666657</v>
      </c>
      <c r="G1083" s="87">
        <f t="shared" si="199"/>
        <v>40</v>
      </c>
      <c r="H1083" s="87">
        <f t="shared" si="199"/>
        <v>174.58333333333334</v>
      </c>
      <c r="I1083" s="87">
        <f t="shared" si="199"/>
        <v>0</v>
      </c>
      <c r="J1083" s="87">
        <f t="shared" si="199"/>
        <v>100</v>
      </c>
      <c r="K1083" s="87">
        <f t="shared" si="199"/>
        <v>300</v>
      </c>
      <c r="L1083" s="87">
        <f t="shared" si="199"/>
        <v>1216.5</v>
      </c>
      <c r="M1083" s="89">
        <f t="shared" si="199"/>
        <v>600</v>
      </c>
      <c r="N1083" s="87">
        <f t="shared" si="199"/>
        <v>72.5</v>
      </c>
      <c r="O1083" s="88">
        <f t="shared" si="199"/>
        <v>240</v>
      </c>
      <c r="P1083" s="88">
        <f t="shared" si="199"/>
        <v>110</v>
      </c>
      <c r="Q1083" s="88">
        <f t="shared" si="199"/>
        <v>245</v>
      </c>
      <c r="R1083" s="88">
        <f t="shared" si="199"/>
        <v>100</v>
      </c>
      <c r="S1083" s="87">
        <f t="shared" si="199"/>
        <v>695</v>
      </c>
      <c r="T1083" s="87">
        <f t="shared" si="199"/>
        <v>33.333333333333336</v>
      </c>
      <c r="U1083" s="84"/>
      <c r="V1083" s="84"/>
      <c r="W1083" s="84"/>
      <c r="X1083" s="84"/>
      <c r="Y1083" s="84"/>
      <c r="Z1083" s="84"/>
      <c r="AA1083" s="84"/>
      <c r="AB1083" s="84"/>
      <c r="AC1083" s="84"/>
      <c r="AD1083" s="84"/>
    </row>
    <row r="1084" spans="1:30" ht="15" hidden="1" x14ac:dyDescent="0.2">
      <c r="A1084" s="10">
        <v>2028</v>
      </c>
      <c r="B1084" s="10">
        <f t="shared" si="180"/>
        <v>366</v>
      </c>
      <c r="C1084" s="87">
        <f t="shared" ref="C1084:T1084" si="200">AVERAGE(C192:C203)</f>
        <v>154.75824999999998</v>
      </c>
      <c r="D1084" s="87">
        <f t="shared" si="200"/>
        <v>281.01624999999996</v>
      </c>
      <c r="E1084" s="87">
        <f t="shared" si="200"/>
        <v>109.1005</v>
      </c>
      <c r="F1084" s="87">
        <f t="shared" si="200"/>
        <v>57.041666666666657</v>
      </c>
      <c r="G1084" s="87">
        <f t="shared" si="200"/>
        <v>40</v>
      </c>
      <c r="H1084" s="87">
        <f t="shared" si="200"/>
        <v>174.58333333333334</v>
      </c>
      <c r="I1084" s="87">
        <f t="shared" si="200"/>
        <v>0</v>
      </c>
      <c r="J1084" s="87">
        <f t="shared" si="200"/>
        <v>100</v>
      </c>
      <c r="K1084" s="87">
        <f t="shared" si="200"/>
        <v>300</v>
      </c>
      <c r="L1084" s="87">
        <f t="shared" si="200"/>
        <v>1216.5</v>
      </c>
      <c r="M1084" s="89">
        <f t="shared" si="200"/>
        <v>600</v>
      </c>
      <c r="N1084" s="87">
        <f t="shared" si="200"/>
        <v>72.5</v>
      </c>
      <c r="O1084" s="88">
        <f t="shared" si="200"/>
        <v>240</v>
      </c>
      <c r="P1084" s="88">
        <f t="shared" si="200"/>
        <v>110</v>
      </c>
      <c r="Q1084" s="88">
        <f t="shared" si="200"/>
        <v>245</v>
      </c>
      <c r="R1084" s="88">
        <f t="shared" si="200"/>
        <v>100</v>
      </c>
      <c r="S1084" s="87">
        <f t="shared" si="200"/>
        <v>695</v>
      </c>
      <c r="T1084" s="87">
        <f t="shared" si="200"/>
        <v>33.333333333333336</v>
      </c>
      <c r="U1084" s="84"/>
      <c r="V1084" s="84"/>
      <c r="W1084" s="84"/>
      <c r="X1084" s="84"/>
      <c r="Y1084" s="84"/>
      <c r="Z1084" s="84"/>
      <c r="AA1084" s="84"/>
      <c r="AB1084" s="84"/>
      <c r="AC1084" s="84"/>
      <c r="AD1084" s="84"/>
    </row>
    <row r="1085" spans="1:30" ht="15" hidden="1" x14ac:dyDescent="0.2">
      <c r="A1085" s="10">
        <v>2029</v>
      </c>
      <c r="B1085" s="10">
        <f t="shared" si="180"/>
        <v>365</v>
      </c>
      <c r="C1085" s="87">
        <f t="shared" ref="C1085:T1085" si="201">AVERAGE(C204:C215)</f>
        <v>154.75824999999998</v>
      </c>
      <c r="D1085" s="87">
        <f t="shared" si="201"/>
        <v>281.01624999999996</v>
      </c>
      <c r="E1085" s="87">
        <f t="shared" si="201"/>
        <v>109.1005</v>
      </c>
      <c r="F1085" s="87">
        <f t="shared" si="201"/>
        <v>57.041666666666657</v>
      </c>
      <c r="G1085" s="87">
        <f t="shared" si="201"/>
        <v>40</v>
      </c>
      <c r="H1085" s="87">
        <f t="shared" si="201"/>
        <v>174.58333333333334</v>
      </c>
      <c r="I1085" s="87">
        <f t="shared" si="201"/>
        <v>0</v>
      </c>
      <c r="J1085" s="87">
        <f t="shared" si="201"/>
        <v>100</v>
      </c>
      <c r="K1085" s="87">
        <f t="shared" si="201"/>
        <v>300</v>
      </c>
      <c r="L1085" s="87">
        <f t="shared" si="201"/>
        <v>1216.5</v>
      </c>
      <c r="M1085" s="89">
        <f t="shared" si="201"/>
        <v>600</v>
      </c>
      <c r="N1085" s="87">
        <f t="shared" si="201"/>
        <v>72.5</v>
      </c>
      <c r="O1085" s="88">
        <f t="shared" si="201"/>
        <v>240</v>
      </c>
      <c r="P1085" s="88">
        <f t="shared" si="201"/>
        <v>110</v>
      </c>
      <c r="Q1085" s="88">
        <f t="shared" si="201"/>
        <v>245</v>
      </c>
      <c r="R1085" s="88">
        <f t="shared" si="201"/>
        <v>100</v>
      </c>
      <c r="S1085" s="87">
        <f t="shared" si="201"/>
        <v>695</v>
      </c>
      <c r="T1085" s="87">
        <f t="shared" si="201"/>
        <v>33.333333333333336</v>
      </c>
      <c r="U1085" s="84"/>
      <c r="V1085" s="84"/>
      <c r="W1085" s="84"/>
      <c r="X1085" s="84"/>
      <c r="Y1085" s="84"/>
      <c r="Z1085" s="84"/>
      <c r="AA1085" s="84"/>
      <c r="AB1085" s="84"/>
      <c r="AC1085" s="84"/>
      <c r="AD1085" s="84"/>
    </row>
    <row r="1086" spans="1:30" ht="15" hidden="1" x14ac:dyDescent="0.2">
      <c r="A1086" s="10">
        <v>2030</v>
      </c>
      <c r="B1086" s="10">
        <f t="shared" si="180"/>
        <v>365</v>
      </c>
      <c r="C1086" s="87">
        <f t="shared" ref="C1086:T1086" si="202">AVERAGE(C216:C227)</f>
        <v>154.75824999999998</v>
      </c>
      <c r="D1086" s="87">
        <f t="shared" si="202"/>
        <v>281.01624999999996</v>
      </c>
      <c r="E1086" s="87">
        <f t="shared" si="202"/>
        <v>109.1005</v>
      </c>
      <c r="F1086" s="87">
        <f t="shared" si="202"/>
        <v>57.041666666666657</v>
      </c>
      <c r="G1086" s="87">
        <f t="shared" si="202"/>
        <v>40</v>
      </c>
      <c r="H1086" s="87">
        <f t="shared" si="202"/>
        <v>174.58333333333334</v>
      </c>
      <c r="I1086" s="87">
        <f t="shared" si="202"/>
        <v>0</v>
      </c>
      <c r="J1086" s="87">
        <f t="shared" si="202"/>
        <v>100</v>
      </c>
      <c r="K1086" s="87">
        <f t="shared" si="202"/>
        <v>300</v>
      </c>
      <c r="L1086" s="87">
        <f t="shared" si="202"/>
        <v>1216.5</v>
      </c>
      <c r="M1086" s="89">
        <f t="shared" si="202"/>
        <v>600</v>
      </c>
      <c r="N1086" s="87">
        <f t="shared" si="202"/>
        <v>72.5</v>
      </c>
      <c r="O1086" s="88">
        <f t="shared" si="202"/>
        <v>240</v>
      </c>
      <c r="P1086" s="88">
        <f t="shared" si="202"/>
        <v>110</v>
      </c>
      <c r="Q1086" s="88">
        <f t="shared" si="202"/>
        <v>245</v>
      </c>
      <c r="R1086" s="88">
        <f t="shared" si="202"/>
        <v>100</v>
      </c>
      <c r="S1086" s="87">
        <f t="shared" si="202"/>
        <v>695</v>
      </c>
      <c r="T1086" s="87">
        <f t="shared" si="202"/>
        <v>33.333333333333336</v>
      </c>
      <c r="U1086" s="84"/>
      <c r="V1086" s="84"/>
      <c r="W1086" s="84"/>
      <c r="X1086" s="84"/>
      <c r="Y1086" s="84"/>
      <c r="Z1086" s="84"/>
      <c r="AA1086" s="84"/>
      <c r="AB1086" s="84"/>
      <c r="AC1086" s="84"/>
      <c r="AD1086" s="84"/>
    </row>
    <row r="1087" spans="1:30" ht="15" hidden="1" x14ac:dyDescent="0.2">
      <c r="A1087" s="10">
        <v>2031</v>
      </c>
      <c r="B1087" s="10">
        <f t="shared" si="180"/>
        <v>365</v>
      </c>
      <c r="C1087" s="87">
        <f t="shared" ref="C1087:T1087" si="203">AVERAGE(C228:C239)</f>
        <v>154.75824999999998</v>
      </c>
      <c r="D1087" s="87">
        <f t="shared" si="203"/>
        <v>281.01624999999996</v>
      </c>
      <c r="E1087" s="87">
        <f t="shared" si="203"/>
        <v>109.1005</v>
      </c>
      <c r="F1087" s="87">
        <f t="shared" si="203"/>
        <v>57.041666666666657</v>
      </c>
      <c r="G1087" s="87">
        <f t="shared" si="203"/>
        <v>40</v>
      </c>
      <c r="H1087" s="87">
        <f t="shared" si="203"/>
        <v>174.58333333333334</v>
      </c>
      <c r="I1087" s="87">
        <f t="shared" si="203"/>
        <v>0</v>
      </c>
      <c r="J1087" s="87">
        <f t="shared" si="203"/>
        <v>100</v>
      </c>
      <c r="K1087" s="87">
        <f t="shared" si="203"/>
        <v>300</v>
      </c>
      <c r="L1087" s="87">
        <f t="shared" si="203"/>
        <v>1216.5</v>
      </c>
      <c r="M1087" s="89">
        <f t="shared" si="203"/>
        <v>600</v>
      </c>
      <c r="N1087" s="87">
        <f t="shared" si="203"/>
        <v>72.5</v>
      </c>
      <c r="O1087" s="88">
        <f t="shared" si="203"/>
        <v>240</v>
      </c>
      <c r="P1087" s="88">
        <f t="shared" si="203"/>
        <v>110</v>
      </c>
      <c r="Q1087" s="88">
        <f t="shared" si="203"/>
        <v>245</v>
      </c>
      <c r="R1087" s="88">
        <f t="shared" si="203"/>
        <v>100</v>
      </c>
      <c r="S1087" s="87">
        <f t="shared" si="203"/>
        <v>695</v>
      </c>
      <c r="T1087" s="87">
        <f t="shared" si="203"/>
        <v>33.333333333333336</v>
      </c>
      <c r="U1087" s="84"/>
      <c r="V1087" s="84"/>
      <c r="W1087" s="84"/>
      <c r="X1087" s="84"/>
      <c r="Y1087" s="84"/>
      <c r="Z1087" s="84"/>
      <c r="AA1087" s="84"/>
      <c r="AB1087" s="84"/>
      <c r="AC1087" s="84"/>
      <c r="AD1087" s="84"/>
    </row>
    <row r="1088" spans="1:30" ht="15" hidden="1" x14ac:dyDescent="0.2">
      <c r="A1088" s="10">
        <v>2032</v>
      </c>
      <c r="B1088" s="10">
        <f t="shared" si="180"/>
        <v>366</v>
      </c>
      <c r="C1088" s="87">
        <f t="shared" ref="C1088:T1088" si="204">AVERAGE(C240:C251)</f>
        <v>154.75824999999998</v>
      </c>
      <c r="D1088" s="87">
        <f t="shared" si="204"/>
        <v>281.01624999999996</v>
      </c>
      <c r="E1088" s="87">
        <f t="shared" si="204"/>
        <v>109.1005</v>
      </c>
      <c r="F1088" s="87">
        <f t="shared" si="204"/>
        <v>57.041666666666657</v>
      </c>
      <c r="G1088" s="87">
        <f t="shared" si="204"/>
        <v>40</v>
      </c>
      <c r="H1088" s="87">
        <f t="shared" si="204"/>
        <v>174.58333333333334</v>
      </c>
      <c r="I1088" s="87">
        <f t="shared" si="204"/>
        <v>0</v>
      </c>
      <c r="J1088" s="87">
        <f t="shared" si="204"/>
        <v>100</v>
      </c>
      <c r="K1088" s="87">
        <f t="shared" si="204"/>
        <v>300</v>
      </c>
      <c r="L1088" s="87">
        <f t="shared" si="204"/>
        <v>1216.5</v>
      </c>
      <c r="M1088" s="89">
        <f t="shared" si="204"/>
        <v>600</v>
      </c>
      <c r="N1088" s="87">
        <f t="shared" si="204"/>
        <v>72.5</v>
      </c>
      <c r="O1088" s="88">
        <f t="shared" si="204"/>
        <v>240</v>
      </c>
      <c r="P1088" s="88">
        <f t="shared" si="204"/>
        <v>110</v>
      </c>
      <c r="Q1088" s="88">
        <f t="shared" si="204"/>
        <v>245</v>
      </c>
      <c r="R1088" s="88">
        <f t="shared" si="204"/>
        <v>100</v>
      </c>
      <c r="S1088" s="87">
        <f t="shared" si="204"/>
        <v>695</v>
      </c>
      <c r="T1088" s="87">
        <f t="shared" si="204"/>
        <v>33.333333333333336</v>
      </c>
      <c r="U1088" s="84"/>
      <c r="V1088" s="84"/>
      <c r="W1088" s="84"/>
      <c r="X1088" s="84"/>
      <c r="Y1088" s="84"/>
      <c r="Z1088" s="84"/>
      <c r="AA1088" s="84"/>
      <c r="AB1088" s="84"/>
      <c r="AC1088" s="84"/>
      <c r="AD1088" s="84"/>
    </row>
    <row r="1089" spans="1:30" ht="15" hidden="1" x14ac:dyDescent="0.2">
      <c r="A1089" s="10">
        <v>2033</v>
      </c>
      <c r="B1089" s="10">
        <f t="shared" si="180"/>
        <v>365</v>
      </c>
      <c r="C1089" s="87">
        <f t="shared" ref="C1089:T1089" si="205">AVERAGE(C252:C263)</f>
        <v>154.75824999999998</v>
      </c>
      <c r="D1089" s="87">
        <f t="shared" si="205"/>
        <v>281.01624999999996</v>
      </c>
      <c r="E1089" s="87">
        <f t="shared" si="205"/>
        <v>109.1005</v>
      </c>
      <c r="F1089" s="87">
        <f t="shared" si="205"/>
        <v>57.041666666666657</v>
      </c>
      <c r="G1089" s="87">
        <f t="shared" si="205"/>
        <v>40</v>
      </c>
      <c r="H1089" s="87">
        <f t="shared" si="205"/>
        <v>174.58333333333334</v>
      </c>
      <c r="I1089" s="87">
        <f t="shared" si="205"/>
        <v>0</v>
      </c>
      <c r="J1089" s="87">
        <f t="shared" si="205"/>
        <v>100</v>
      </c>
      <c r="K1089" s="87">
        <f t="shared" si="205"/>
        <v>300</v>
      </c>
      <c r="L1089" s="87">
        <f t="shared" si="205"/>
        <v>1216.5</v>
      </c>
      <c r="M1089" s="89">
        <f t="shared" si="205"/>
        <v>600</v>
      </c>
      <c r="N1089" s="87">
        <f t="shared" si="205"/>
        <v>72.5</v>
      </c>
      <c r="O1089" s="88">
        <f t="shared" si="205"/>
        <v>240</v>
      </c>
      <c r="P1089" s="88">
        <f t="shared" si="205"/>
        <v>110</v>
      </c>
      <c r="Q1089" s="88">
        <f t="shared" si="205"/>
        <v>245</v>
      </c>
      <c r="R1089" s="88">
        <f t="shared" si="205"/>
        <v>100</v>
      </c>
      <c r="S1089" s="87">
        <f t="shared" si="205"/>
        <v>695</v>
      </c>
      <c r="T1089" s="87">
        <f t="shared" si="205"/>
        <v>33.333333333333336</v>
      </c>
      <c r="U1089" s="84"/>
      <c r="V1089" s="84"/>
      <c r="W1089" s="84"/>
      <c r="X1089" s="84"/>
      <c r="Y1089" s="84"/>
      <c r="Z1089" s="84"/>
      <c r="AA1089" s="84"/>
      <c r="AB1089" s="84"/>
      <c r="AC1089" s="84"/>
      <c r="AD1089" s="84"/>
    </row>
    <row r="1090" spans="1:30" ht="15" hidden="1" x14ac:dyDescent="0.2">
      <c r="A1090" s="10">
        <v>2034</v>
      </c>
      <c r="B1090" s="10">
        <f t="shared" si="180"/>
        <v>365</v>
      </c>
      <c r="C1090" s="87">
        <f t="shared" ref="C1090:T1090" si="206">AVERAGE(C264:C275)</f>
        <v>154.75824999999998</v>
      </c>
      <c r="D1090" s="87">
        <f t="shared" si="206"/>
        <v>281.01624999999996</v>
      </c>
      <c r="E1090" s="87">
        <f t="shared" si="206"/>
        <v>109.1005</v>
      </c>
      <c r="F1090" s="87">
        <f t="shared" si="206"/>
        <v>57.041666666666657</v>
      </c>
      <c r="G1090" s="87">
        <f t="shared" si="206"/>
        <v>40</v>
      </c>
      <c r="H1090" s="87">
        <f t="shared" si="206"/>
        <v>174.58333333333334</v>
      </c>
      <c r="I1090" s="87">
        <f t="shared" si="206"/>
        <v>0</v>
      </c>
      <c r="J1090" s="87">
        <f t="shared" si="206"/>
        <v>100</v>
      </c>
      <c r="K1090" s="87">
        <f t="shared" si="206"/>
        <v>300</v>
      </c>
      <c r="L1090" s="87">
        <f t="shared" si="206"/>
        <v>1216.5</v>
      </c>
      <c r="M1090" s="89">
        <f t="shared" si="206"/>
        <v>600</v>
      </c>
      <c r="N1090" s="87">
        <f t="shared" si="206"/>
        <v>72.5</v>
      </c>
      <c r="O1090" s="88">
        <f t="shared" si="206"/>
        <v>240</v>
      </c>
      <c r="P1090" s="88">
        <f t="shared" si="206"/>
        <v>110</v>
      </c>
      <c r="Q1090" s="88">
        <f t="shared" si="206"/>
        <v>245</v>
      </c>
      <c r="R1090" s="88">
        <f t="shared" si="206"/>
        <v>100</v>
      </c>
      <c r="S1090" s="87">
        <f t="shared" si="206"/>
        <v>695</v>
      </c>
      <c r="T1090" s="87">
        <f t="shared" si="206"/>
        <v>33.333333333333336</v>
      </c>
      <c r="U1090" s="84"/>
      <c r="V1090" s="84"/>
      <c r="W1090" s="84"/>
      <c r="X1090" s="84"/>
      <c r="Y1090" s="84"/>
      <c r="Z1090" s="84"/>
      <c r="AA1090" s="84"/>
      <c r="AB1090" s="84"/>
      <c r="AC1090" s="84"/>
      <c r="AD1090" s="84"/>
    </row>
    <row r="1091" spans="1:30" ht="15" hidden="1" x14ac:dyDescent="0.2">
      <c r="A1091" s="10">
        <v>2035</v>
      </c>
      <c r="B1091" s="10">
        <f t="shared" si="180"/>
        <v>365</v>
      </c>
      <c r="C1091" s="87">
        <f t="shared" ref="C1091:T1091" si="207">AVERAGE(C276:C287)</f>
        <v>154.75824999999998</v>
      </c>
      <c r="D1091" s="87">
        <f t="shared" si="207"/>
        <v>281.01624999999996</v>
      </c>
      <c r="E1091" s="87">
        <f t="shared" si="207"/>
        <v>109.1005</v>
      </c>
      <c r="F1091" s="87">
        <f t="shared" si="207"/>
        <v>57.041666666666657</v>
      </c>
      <c r="G1091" s="87">
        <f t="shared" si="207"/>
        <v>40</v>
      </c>
      <c r="H1091" s="87">
        <f t="shared" si="207"/>
        <v>174.58333333333334</v>
      </c>
      <c r="I1091" s="87">
        <f t="shared" si="207"/>
        <v>0</v>
      </c>
      <c r="J1091" s="87">
        <f t="shared" si="207"/>
        <v>100</v>
      </c>
      <c r="K1091" s="87">
        <f t="shared" si="207"/>
        <v>300</v>
      </c>
      <c r="L1091" s="87">
        <f t="shared" si="207"/>
        <v>1216.5</v>
      </c>
      <c r="M1091" s="89">
        <f t="shared" si="207"/>
        <v>600</v>
      </c>
      <c r="N1091" s="87">
        <f t="shared" si="207"/>
        <v>72.5</v>
      </c>
      <c r="O1091" s="88">
        <f t="shared" si="207"/>
        <v>240</v>
      </c>
      <c r="P1091" s="88">
        <f t="shared" si="207"/>
        <v>110</v>
      </c>
      <c r="Q1091" s="88">
        <f t="shared" si="207"/>
        <v>245</v>
      </c>
      <c r="R1091" s="88">
        <f t="shared" si="207"/>
        <v>100</v>
      </c>
      <c r="S1091" s="87">
        <f t="shared" si="207"/>
        <v>695</v>
      </c>
      <c r="T1091" s="87">
        <f t="shared" si="207"/>
        <v>33.333333333333336</v>
      </c>
      <c r="U1091" s="84"/>
      <c r="V1091" s="84"/>
      <c r="W1091" s="84"/>
      <c r="X1091" s="84"/>
      <c r="Y1091" s="84"/>
      <c r="Z1091" s="84"/>
      <c r="AA1091" s="84"/>
      <c r="AB1091" s="84"/>
      <c r="AC1091" s="84"/>
      <c r="AD1091" s="84"/>
    </row>
    <row r="1092" spans="1:30" ht="15" hidden="1" x14ac:dyDescent="0.2">
      <c r="A1092" s="10">
        <v>2036</v>
      </c>
      <c r="B1092" s="10">
        <f t="shared" si="180"/>
        <v>366</v>
      </c>
      <c r="C1092" s="87">
        <f t="shared" ref="C1092:T1092" si="208">AVERAGE(C288:C299)</f>
        <v>154.75824999999998</v>
      </c>
      <c r="D1092" s="87">
        <f t="shared" si="208"/>
        <v>281.01624999999996</v>
      </c>
      <c r="E1092" s="87">
        <f t="shared" si="208"/>
        <v>109.1005</v>
      </c>
      <c r="F1092" s="87">
        <f t="shared" si="208"/>
        <v>57.041666666666657</v>
      </c>
      <c r="G1092" s="87">
        <f t="shared" si="208"/>
        <v>40</v>
      </c>
      <c r="H1092" s="87">
        <f t="shared" si="208"/>
        <v>174.58333333333334</v>
      </c>
      <c r="I1092" s="87">
        <f t="shared" si="208"/>
        <v>0</v>
      </c>
      <c r="J1092" s="87">
        <f t="shared" si="208"/>
        <v>100</v>
      </c>
      <c r="K1092" s="87">
        <f t="shared" si="208"/>
        <v>300</v>
      </c>
      <c r="L1092" s="87">
        <f t="shared" si="208"/>
        <v>1216.5</v>
      </c>
      <c r="M1092" s="89">
        <f t="shared" si="208"/>
        <v>600</v>
      </c>
      <c r="N1092" s="87">
        <f t="shared" si="208"/>
        <v>72.5</v>
      </c>
      <c r="O1092" s="88">
        <f t="shared" si="208"/>
        <v>240</v>
      </c>
      <c r="P1092" s="88">
        <f t="shared" si="208"/>
        <v>110</v>
      </c>
      <c r="Q1092" s="88">
        <f t="shared" si="208"/>
        <v>245</v>
      </c>
      <c r="R1092" s="88">
        <f t="shared" si="208"/>
        <v>100</v>
      </c>
      <c r="S1092" s="87">
        <f t="shared" si="208"/>
        <v>695</v>
      </c>
      <c r="T1092" s="87">
        <f t="shared" si="208"/>
        <v>33.333333333333336</v>
      </c>
      <c r="U1092" s="84"/>
      <c r="V1092" s="84"/>
      <c r="W1092" s="84"/>
      <c r="X1092" s="84"/>
      <c r="Y1092" s="84"/>
      <c r="Z1092" s="84"/>
      <c r="AA1092" s="84"/>
      <c r="AB1092" s="84"/>
      <c r="AC1092" s="84"/>
      <c r="AD1092" s="84"/>
    </row>
    <row r="1093" spans="1:30" ht="15" hidden="1" x14ac:dyDescent="0.2">
      <c r="A1093" s="10">
        <v>2037</v>
      </c>
      <c r="B1093" s="10">
        <f t="shared" si="180"/>
        <v>365</v>
      </c>
      <c r="C1093" s="87">
        <f t="shared" ref="C1093:T1093" si="209">AVERAGE(C300:C311)</f>
        <v>154.75824999999998</v>
      </c>
      <c r="D1093" s="87">
        <f t="shared" si="209"/>
        <v>281.01624999999996</v>
      </c>
      <c r="E1093" s="87">
        <f t="shared" si="209"/>
        <v>109.1005</v>
      </c>
      <c r="F1093" s="87">
        <f t="shared" si="209"/>
        <v>57.041666666666657</v>
      </c>
      <c r="G1093" s="87">
        <f t="shared" si="209"/>
        <v>40</v>
      </c>
      <c r="H1093" s="87">
        <f t="shared" si="209"/>
        <v>174.58333333333334</v>
      </c>
      <c r="I1093" s="87">
        <f t="shared" si="209"/>
        <v>0</v>
      </c>
      <c r="J1093" s="87">
        <f t="shared" si="209"/>
        <v>100</v>
      </c>
      <c r="K1093" s="87">
        <f t="shared" si="209"/>
        <v>300</v>
      </c>
      <c r="L1093" s="87">
        <f t="shared" si="209"/>
        <v>1216.5</v>
      </c>
      <c r="M1093" s="89">
        <f t="shared" si="209"/>
        <v>600</v>
      </c>
      <c r="N1093" s="87">
        <f t="shared" si="209"/>
        <v>72.5</v>
      </c>
      <c r="O1093" s="88">
        <f t="shared" si="209"/>
        <v>240</v>
      </c>
      <c r="P1093" s="88">
        <f t="shared" si="209"/>
        <v>110</v>
      </c>
      <c r="Q1093" s="88">
        <f t="shared" si="209"/>
        <v>245</v>
      </c>
      <c r="R1093" s="88">
        <f t="shared" si="209"/>
        <v>100</v>
      </c>
      <c r="S1093" s="87">
        <f t="shared" si="209"/>
        <v>695</v>
      </c>
      <c r="T1093" s="87">
        <f t="shared" si="209"/>
        <v>33.333333333333336</v>
      </c>
      <c r="U1093" s="84"/>
      <c r="V1093" s="84"/>
      <c r="W1093" s="84"/>
      <c r="X1093" s="84"/>
      <c r="Y1093" s="84"/>
      <c r="Z1093" s="84"/>
      <c r="AA1093" s="84"/>
      <c r="AB1093" s="84"/>
      <c r="AC1093" s="84"/>
      <c r="AD1093" s="84"/>
    </row>
    <row r="1094" spans="1:30" ht="15" hidden="1" x14ac:dyDescent="0.2">
      <c r="A1094" s="10">
        <f t="shared" ref="A1094:A1125" si="210">A1093+1</f>
        <v>2038</v>
      </c>
      <c r="B1094" s="10">
        <f t="shared" si="180"/>
        <v>365</v>
      </c>
      <c r="C1094" s="83">
        <f t="shared" ref="C1094:T1094" si="211">AVERAGE(C312:C323)</f>
        <v>154.75824999999998</v>
      </c>
      <c r="D1094" s="83">
        <f t="shared" si="211"/>
        <v>281.01624999999996</v>
      </c>
      <c r="E1094" s="83">
        <f t="shared" si="211"/>
        <v>109.1005</v>
      </c>
      <c r="F1094" s="83">
        <f t="shared" si="211"/>
        <v>57.041666666666657</v>
      </c>
      <c r="G1094" s="83">
        <f t="shared" si="211"/>
        <v>40</v>
      </c>
      <c r="H1094" s="83">
        <f t="shared" si="211"/>
        <v>174.58333333333334</v>
      </c>
      <c r="I1094" s="83">
        <f t="shared" si="211"/>
        <v>0</v>
      </c>
      <c r="J1094" s="83">
        <f t="shared" si="211"/>
        <v>100</v>
      </c>
      <c r="K1094" s="83">
        <f t="shared" si="211"/>
        <v>300</v>
      </c>
      <c r="L1094" s="83">
        <f t="shared" si="211"/>
        <v>1216.5</v>
      </c>
      <c r="M1094" s="85">
        <f t="shared" si="211"/>
        <v>600</v>
      </c>
      <c r="N1094" s="83">
        <f t="shared" si="211"/>
        <v>72.5</v>
      </c>
      <c r="O1094" s="86">
        <f t="shared" si="211"/>
        <v>240</v>
      </c>
      <c r="P1094" s="86">
        <f t="shared" si="211"/>
        <v>110</v>
      </c>
      <c r="Q1094" s="86">
        <f t="shared" si="211"/>
        <v>245</v>
      </c>
      <c r="R1094" s="86">
        <f t="shared" si="211"/>
        <v>100</v>
      </c>
      <c r="S1094" s="83">
        <f t="shared" si="211"/>
        <v>695</v>
      </c>
      <c r="T1094" s="83">
        <f t="shared" si="211"/>
        <v>33.333333333333336</v>
      </c>
      <c r="U1094" s="84"/>
      <c r="V1094" s="84"/>
      <c r="W1094" s="84"/>
      <c r="X1094" s="84"/>
      <c r="Y1094" s="84"/>
      <c r="Z1094" s="84"/>
      <c r="AA1094" s="84"/>
      <c r="AB1094" s="84"/>
      <c r="AC1094" s="84"/>
      <c r="AD1094" s="84"/>
    </row>
    <row r="1095" spans="1:30" ht="15" hidden="1" x14ac:dyDescent="0.2">
      <c r="A1095" s="10">
        <f t="shared" si="210"/>
        <v>2039</v>
      </c>
      <c r="B1095" s="10">
        <f t="shared" si="180"/>
        <v>365</v>
      </c>
      <c r="C1095" s="83">
        <f t="shared" ref="C1095:T1095" si="212">AVERAGE(C324:C335)</f>
        <v>154.75824999999998</v>
      </c>
      <c r="D1095" s="83">
        <f t="shared" si="212"/>
        <v>281.01624999999996</v>
      </c>
      <c r="E1095" s="83">
        <f t="shared" si="212"/>
        <v>109.1005</v>
      </c>
      <c r="F1095" s="83">
        <f t="shared" si="212"/>
        <v>57.041666666666657</v>
      </c>
      <c r="G1095" s="83">
        <f t="shared" si="212"/>
        <v>40</v>
      </c>
      <c r="H1095" s="83">
        <f t="shared" si="212"/>
        <v>174.58333333333334</v>
      </c>
      <c r="I1095" s="83">
        <f t="shared" si="212"/>
        <v>0</v>
      </c>
      <c r="J1095" s="83">
        <f t="shared" si="212"/>
        <v>100</v>
      </c>
      <c r="K1095" s="83">
        <f t="shared" si="212"/>
        <v>300</v>
      </c>
      <c r="L1095" s="83">
        <f t="shared" si="212"/>
        <v>1216.5</v>
      </c>
      <c r="M1095" s="85">
        <f t="shared" si="212"/>
        <v>600</v>
      </c>
      <c r="N1095" s="83">
        <f t="shared" si="212"/>
        <v>72.5</v>
      </c>
      <c r="O1095" s="86">
        <f t="shared" si="212"/>
        <v>240</v>
      </c>
      <c r="P1095" s="86">
        <f t="shared" si="212"/>
        <v>110</v>
      </c>
      <c r="Q1095" s="86">
        <f t="shared" si="212"/>
        <v>245</v>
      </c>
      <c r="R1095" s="86">
        <f t="shared" si="212"/>
        <v>100</v>
      </c>
      <c r="S1095" s="83">
        <f t="shared" si="212"/>
        <v>695</v>
      </c>
      <c r="T1095" s="83">
        <f t="shared" si="212"/>
        <v>33.333333333333336</v>
      </c>
      <c r="U1095" s="84"/>
      <c r="V1095" s="84"/>
      <c r="W1095" s="84"/>
      <c r="X1095" s="84"/>
      <c r="Y1095" s="84"/>
      <c r="Z1095" s="84"/>
      <c r="AA1095" s="84"/>
      <c r="AB1095" s="84"/>
      <c r="AC1095" s="84"/>
      <c r="AD1095" s="84"/>
    </row>
    <row r="1096" spans="1:30" ht="15" hidden="1" x14ac:dyDescent="0.2">
      <c r="A1096" s="10">
        <f t="shared" si="210"/>
        <v>2040</v>
      </c>
      <c r="B1096" s="10">
        <f t="shared" si="180"/>
        <v>366</v>
      </c>
      <c r="C1096" s="83">
        <f t="shared" ref="C1096:T1096" si="213">AVERAGE(C336:C347)</f>
        <v>154.75824999999998</v>
      </c>
      <c r="D1096" s="83">
        <f t="shared" si="213"/>
        <v>281.01624999999996</v>
      </c>
      <c r="E1096" s="83">
        <f t="shared" si="213"/>
        <v>109.1005</v>
      </c>
      <c r="F1096" s="83">
        <f t="shared" si="213"/>
        <v>57.041666666666657</v>
      </c>
      <c r="G1096" s="83">
        <f t="shared" si="213"/>
        <v>40</v>
      </c>
      <c r="H1096" s="83">
        <f t="shared" si="213"/>
        <v>174.58333333333334</v>
      </c>
      <c r="I1096" s="83">
        <f t="shared" si="213"/>
        <v>0</v>
      </c>
      <c r="J1096" s="83">
        <f t="shared" si="213"/>
        <v>100</v>
      </c>
      <c r="K1096" s="83">
        <f t="shared" si="213"/>
        <v>300</v>
      </c>
      <c r="L1096" s="83">
        <f t="shared" si="213"/>
        <v>1216.5</v>
      </c>
      <c r="M1096" s="85">
        <f t="shared" si="213"/>
        <v>600</v>
      </c>
      <c r="N1096" s="83">
        <f t="shared" si="213"/>
        <v>72.5</v>
      </c>
      <c r="O1096" s="86">
        <f t="shared" si="213"/>
        <v>240</v>
      </c>
      <c r="P1096" s="86">
        <f t="shared" si="213"/>
        <v>110</v>
      </c>
      <c r="Q1096" s="86">
        <f t="shared" si="213"/>
        <v>245</v>
      </c>
      <c r="R1096" s="86">
        <f t="shared" si="213"/>
        <v>100</v>
      </c>
      <c r="S1096" s="83">
        <f t="shared" si="213"/>
        <v>695</v>
      </c>
      <c r="T1096" s="83">
        <f t="shared" si="213"/>
        <v>33.333333333333336</v>
      </c>
      <c r="U1096" s="84"/>
      <c r="V1096" s="84"/>
      <c r="W1096" s="84"/>
      <c r="X1096" s="84"/>
      <c r="Y1096" s="84"/>
      <c r="Z1096" s="84"/>
      <c r="AA1096" s="84"/>
      <c r="AB1096" s="84"/>
      <c r="AC1096" s="84"/>
      <c r="AD1096" s="84"/>
    </row>
    <row r="1097" spans="1:30" ht="15" hidden="1" x14ac:dyDescent="0.2">
      <c r="A1097" s="10">
        <f t="shared" si="210"/>
        <v>2041</v>
      </c>
      <c r="B1097" s="10">
        <f t="shared" si="180"/>
        <v>365</v>
      </c>
      <c r="C1097" s="83">
        <f t="shared" ref="C1097:T1097" si="214">AVERAGE(C348:C359)</f>
        <v>154.75824999999998</v>
      </c>
      <c r="D1097" s="83">
        <f t="shared" si="214"/>
        <v>281.01624999999996</v>
      </c>
      <c r="E1097" s="83">
        <f t="shared" si="214"/>
        <v>109.1005</v>
      </c>
      <c r="F1097" s="83">
        <f t="shared" si="214"/>
        <v>57.041666666666657</v>
      </c>
      <c r="G1097" s="83">
        <f t="shared" si="214"/>
        <v>40</v>
      </c>
      <c r="H1097" s="83">
        <f t="shared" si="214"/>
        <v>174.58333333333334</v>
      </c>
      <c r="I1097" s="83">
        <f t="shared" si="214"/>
        <v>0</v>
      </c>
      <c r="J1097" s="83">
        <f t="shared" si="214"/>
        <v>100</v>
      </c>
      <c r="K1097" s="83">
        <f t="shared" si="214"/>
        <v>300</v>
      </c>
      <c r="L1097" s="83">
        <f t="shared" si="214"/>
        <v>1216.5</v>
      </c>
      <c r="M1097" s="85">
        <f t="shared" si="214"/>
        <v>600</v>
      </c>
      <c r="N1097" s="83">
        <f t="shared" si="214"/>
        <v>72.5</v>
      </c>
      <c r="O1097" s="86">
        <f t="shared" si="214"/>
        <v>240</v>
      </c>
      <c r="P1097" s="86">
        <f t="shared" si="214"/>
        <v>110</v>
      </c>
      <c r="Q1097" s="86">
        <f t="shared" si="214"/>
        <v>245</v>
      </c>
      <c r="R1097" s="86">
        <f t="shared" si="214"/>
        <v>100</v>
      </c>
      <c r="S1097" s="83">
        <f t="shared" si="214"/>
        <v>695</v>
      </c>
      <c r="T1097" s="83">
        <f t="shared" si="214"/>
        <v>33.333333333333336</v>
      </c>
      <c r="U1097" s="84"/>
      <c r="V1097" s="84"/>
      <c r="W1097" s="84"/>
      <c r="X1097" s="84"/>
      <c r="Y1097" s="84"/>
      <c r="Z1097" s="84"/>
      <c r="AA1097" s="84"/>
      <c r="AB1097" s="84"/>
      <c r="AC1097" s="84"/>
      <c r="AD1097" s="84"/>
    </row>
    <row r="1098" spans="1:30" ht="15" hidden="1" x14ac:dyDescent="0.2">
      <c r="A1098" s="10">
        <f t="shared" si="210"/>
        <v>2042</v>
      </c>
      <c r="B1098" s="10">
        <f t="shared" si="180"/>
        <v>365</v>
      </c>
      <c r="C1098" s="83">
        <f t="shared" ref="C1098:T1098" si="215">AVERAGE(C360:C371)</f>
        <v>154.75824999999998</v>
      </c>
      <c r="D1098" s="83">
        <f t="shared" si="215"/>
        <v>281.01624999999996</v>
      </c>
      <c r="E1098" s="83">
        <f t="shared" si="215"/>
        <v>109.1005</v>
      </c>
      <c r="F1098" s="83">
        <f t="shared" si="215"/>
        <v>57.041666666666657</v>
      </c>
      <c r="G1098" s="83">
        <f t="shared" si="215"/>
        <v>40</v>
      </c>
      <c r="H1098" s="83">
        <f t="shared" si="215"/>
        <v>174.58333333333334</v>
      </c>
      <c r="I1098" s="83">
        <f t="shared" si="215"/>
        <v>0</v>
      </c>
      <c r="J1098" s="83">
        <f t="shared" si="215"/>
        <v>100</v>
      </c>
      <c r="K1098" s="83">
        <f t="shared" si="215"/>
        <v>300</v>
      </c>
      <c r="L1098" s="83">
        <f t="shared" si="215"/>
        <v>1216.5</v>
      </c>
      <c r="M1098" s="85">
        <f t="shared" si="215"/>
        <v>600</v>
      </c>
      <c r="N1098" s="83">
        <f t="shared" si="215"/>
        <v>72.5</v>
      </c>
      <c r="O1098" s="86">
        <f t="shared" si="215"/>
        <v>240</v>
      </c>
      <c r="P1098" s="86">
        <f t="shared" si="215"/>
        <v>110</v>
      </c>
      <c r="Q1098" s="86">
        <f t="shared" si="215"/>
        <v>245</v>
      </c>
      <c r="R1098" s="86">
        <f t="shared" si="215"/>
        <v>100</v>
      </c>
      <c r="S1098" s="83">
        <f t="shared" si="215"/>
        <v>695</v>
      </c>
      <c r="T1098" s="83">
        <f t="shared" si="215"/>
        <v>33.333333333333336</v>
      </c>
      <c r="U1098" s="84"/>
      <c r="V1098" s="84"/>
      <c r="W1098" s="84"/>
      <c r="X1098" s="84"/>
      <c r="Y1098" s="84"/>
      <c r="Z1098" s="84"/>
      <c r="AA1098" s="84"/>
      <c r="AB1098" s="84"/>
      <c r="AC1098" s="84"/>
      <c r="AD1098" s="84"/>
    </row>
    <row r="1099" spans="1:30" ht="15" hidden="1" x14ac:dyDescent="0.2">
      <c r="A1099" s="10">
        <f t="shared" si="210"/>
        <v>2043</v>
      </c>
      <c r="B1099" s="10">
        <f t="shared" si="180"/>
        <v>365</v>
      </c>
      <c r="C1099" s="83">
        <f t="shared" ref="C1099:T1099" si="216">AVERAGE(C372:C383)</f>
        <v>154.75824999999998</v>
      </c>
      <c r="D1099" s="83">
        <f t="shared" si="216"/>
        <v>281.01624999999996</v>
      </c>
      <c r="E1099" s="83">
        <f t="shared" si="216"/>
        <v>109.1005</v>
      </c>
      <c r="F1099" s="83">
        <f t="shared" si="216"/>
        <v>57.041666666666657</v>
      </c>
      <c r="G1099" s="83">
        <f t="shared" si="216"/>
        <v>40</v>
      </c>
      <c r="H1099" s="83">
        <f t="shared" si="216"/>
        <v>174.58333333333334</v>
      </c>
      <c r="I1099" s="83">
        <f t="shared" si="216"/>
        <v>0</v>
      </c>
      <c r="J1099" s="83">
        <f t="shared" si="216"/>
        <v>100</v>
      </c>
      <c r="K1099" s="83">
        <f t="shared" si="216"/>
        <v>300</v>
      </c>
      <c r="L1099" s="83">
        <f t="shared" si="216"/>
        <v>1216.5</v>
      </c>
      <c r="M1099" s="85">
        <f t="shared" si="216"/>
        <v>600</v>
      </c>
      <c r="N1099" s="83">
        <f t="shared" si="216"/>
        <v>72.5</v>
      </c>
      <c r="O1099" s="86">
        <f t="shared" si="216"/>
        <v>240</v>
      </c>
      <c r="P1099" s="86">
        <f t="shared" si="216"/>
        <v>110</v>
      </c>
      <c r="Q1099" s="86">
        <f t="shared" si="216"/>
        <v>245</v>
      </c>
      <c r="R1099" s="86">
        <f t="shared" si="216"/>
        <v>100</v>
      </c>
      <c r="S1099" s="83">
        <f t="shared" si="216"/>
        <v>695</v>
      </c>
      <c r="T1099" s="83">
        <f t="shared" si="216"/>
        <v>33.333333333333336</v>
      </c>
      <c r="U1099" s="84"/>
      <c r="V1099" s="84"/>
      <c r="W1099" s="84"/>
      <c r="X1099" s="84"/>
      <c r="Y1099" s="84"/>
      <c r="Z1099" s="84"/>
      <c r="AA1099" s="84"/>
      <c r="AB1099" s="84"/>
      <c r="AC1099" s="84"/>
      <c r="AD1099" s="84"/>
    </row>
    <row r="1100" spans="1:30" ht="15" hidden="1" x14ac:dyDescent="0.2">
      <c r="A1100" s="10">
        <f t="shared" si="210"/>
        <v>2044</v>
      </c>
      <c r="B1100" s="10">
        <f t="shared" si="180"/>
        <v>366</v>
      </c>
      <c r="C1100" s="83">
        <f t="shared" ref="C1100:T1100" si="217">AVERAGE(C384:C395)</f>
        <v>154.75824999999998</v>
      </c>
      <c r="D1100" s="83">
        <f t="shared" si="217"/>
        <v>281.01624999999996</v>
      </c>
      <c r="E1100" s="83">
        <f t="shared" si="217"/>
        <v>109.1005</v>
      </c>
      <c r="F1100" s="83">
        <f t="shared" si="217"/>
        <v>57.041666666666657</v>
      </c>
      <c r="G1100" s="83">
        <f t="shared" si="217"/>
        <v>40</v>
      </c>
      <c r="H1100" s="83">
        <f t="shared" si="217"/>
        <v>174.58333333333334</v>
      </c>
      <c r="I1100" s="83">
        <f t="shared" si="217"/>
        <v>0</v>
      </c>
      <c r="J1100" s="83">
        <f t="shared" si="217"/>
        <v>100</v>
      </c>
      <c r="K1100" s="83">
        <f t="shared" si="217"/>
        <v>300</v>
      </c>
      <c r="L1100" s="83">
        <f t="shared" si="217"/>
        <v>1216.5</v>
      </c>
      <c r="M1100" s="85">
        <f t="shared" si="217"/>
        <v>600</v>
      </c>
      <c r="N1100" s="83">
        <f t="shared" si="217"/>
        <v>72.5</v>
      </c>
      <c r="O1100" s="86">
        <f t="shared" si="217"/>
        <v>240</v>
      </c>
      <c r="P1100" s="86">
        <f t="shared" si="217"/>
        <v>110</v>
      </c>
      <c r="Q1100" s="86">
        <f t="shared" si="217"/>
        <v>245</v>
      </c>
      <c r="R1100" s="86">
        <f t="shared" si="217"/>
        <v>100</v>
      </c>
      <c r="S1100" s="83">
        <f t="shared" si="217"/>
        <v>695</v>
      </c>
      <c r="T1100" s="83">
        <f t="shared" si="217"/>
        <v>33.333333333333336</v>
      </c>
      <c r="U1100" s="84"/>
      <c r="V1100" s="84"/>
      <c r="W1100" s="84"/>
      <c r="X1100" s="84"/>
      <c r="Y1100" s="84"/>
      <c r="Z1100" s="84"/>
      <c r="AA1100" s="84"/>
      <c r="AB1100" s="84"/>
      <c r="AC1100" s="84"/>
      <c r="AD1100" s="84"/>
    </row>
    <row r="1101" spans="1:30" ht="15" hidden="1" x14ac:dyDescent="0.2">
      <c r="A1101" s="10">
        <f t="shared" si="210"/>
        <v>2045</v>
      </c>
      <c r="B1101" s="10">
        <f t="shared" ref="B1101:B1132" si="218">DATE(A1101+1,1,1)-DATE(A1101,1,1)</f>
        <v>365</v>
      </c>
      <c r="C1101" s="83">
        <f t="shared" ref="C1101:T1101" si="219">AVERAGE(C396:C407)</f>
        <v>154.75824999999998</v>
      </c>
      <c r="D1101" s="83">
        <f t="shared" si="219"/>
        <v>281.01624999999996</v>
      </c>
      <c r="E1101" s="83">
        <f t="shared" si="219"/>
        <v>109.1005</v>
      </c>
      <c r="F1101" s="83">
        <f t="shared" si="219"/>
        <v>57.041666666666657</v>
      </c>
      <c r="G1101" s="83">
        <f t="shared" si="219"/>
        <v>40</v>
      </c>
      <c r="H1101" s="83">
        <f t="shared" si="219"/>
        <v>174.58333333333334</v>
      </c>
      <c r="I1101" s="83">
        <f t="shared" si="219"/>
        <v>0</v>
      </c>
      <c r="J1101" s="83">
        <f t="shared" si="219"/>
        <v>100</v>
      </c>
      <c r="K1101" s="83">
        <f t="shared" si="219"/>
        <v>300</v>
      </c>
      <c r="L1101" s="83">
        <f t="shared" si="219"/>
        <v>1216.5</v>
      </c>
      <c r="M1101" s="85">
        <f t="shared" si="219"/>
        <v>600</v>
      </c>
      <c r="N1101" s="83">
        <f t="shared" si="219"/>
        <v>72.5</v>
      </c>
      <c r="O1101" s="86">
        <f t="shared" si="219"/>
        <v>240</v>
      </c>
      <c r="P1101" s="86">
        <f t="shared" si="219"/>
        <v>110</v>
      </c>
      <c r="Q1101" s="86">
        <f t="shared" si="219"/>
        <v>245</v>
      </c>
      <c r="R1101" s="86">
        <f t="shared" si="219"/>
        <v>100</v>
      </c>
      <c r="S1101" s="83">
        <f t="shared" si="219"/>
        <v>695</v>
      </c>
      <c r="T1101" s="83">
        <f t="shared" si="219"/>
        <v>33.333333333333336</v>
      </c>
      <c r="U1101" s="84"/>
      <c r="V1101" s="84"/>
      <c r="W1101" s="84"/>
      <c r="X1101" s="84"/>
      <c r="Y1101" s="84"/>
      <c r="Z1101" s="84"/>
      <c r="AA1101" s="84"/>
      <c r="AB1101" s="84"/>
      <c r="AC1101" s="84"/>
      <c r="AD1101" s="84"/>
    </row>
    <row r="1102" spans="1:30" ht="15" hidden="1" x14ac:dyDescent="0.2">
      <c r="A1102" s="10">
        <f t="shared" si="210"/>
        <v>2046</v>
      </c>
      <c r="B1102" s="10">
        <f t="shared" si="218"/>
        <v>365</v>
      </c>
      <c r="C1102" s="83">
        <f t="shared" ref="C1102:T1102" si="220">AVERAGE(C408:C419)</f>
        <v>154.75824999999998</v>
      </c>
      <c r="D1102" s="83">
        <f t="shared" si="220"/>
        <v>281.01624999999996</v>
      </c>
      <c r="E1102" s="83">
        <f t="shared" si="220"/>
        <v>109.1005</v>
      </c>
      <c r="F1102" s="83">
        <f t="shared" si="220"/>
        <v>57.041666666666657</v>
      </c>
      <c r="G1102" s="83">
        <f t="shared" si="220"/>
        <v>40</v>
      </c>
      <c r="H1102" s="83">
        <f t="shared" si="220"/>
        <v>174.58333333333334</v>
      </c>
      <c r="I1102" s="83">
        <f t="shared" si="220"/>
        <v>0</v>
      </c>
      <c r="J1102" s="83">
        <f t="shared" si="220"/>
        <v>100</v>
      </c>
      <c r="K1102" s="83">
        <f t="shared" si="220"/>
        <v>300</v>
      </c>
      <c r="L1102" s="83">
        <f t="shared" si="220"/>
        <v>1216.5</v>
      </c>
      <c r="M1102" s="85">
        <f t="shared" si="220"/>
        <v>600</v>
      </c>
      <c r="N1102" s="83">
        <f t="shared" si="220"/>
        <v>72.5</v>
      </c>
      <c r="O1102" s="86">
        <f t="shared" si="220"/>
        <v>240</v>
      </c>
      <c r="P1102" s="86">
        <f t="shared" si="220"/>
        <v>110</v>
      </c>
      <c r="Q1102" s="86">
        <f t="shared" si="220"/>
        <v>245</v>
      </c>
      <c r="R1102" s="86">
        <f t="shared" si="220"/>
        <v>100</v>
      </c>
      <c r="S1102" s="83">
        <f t="shared" si="220"/>
        <v>695</v>
      </c>
      <c r="T1102" s="83">
        <f t="shared" si="220"/>
        <v>33.333333333333336</v>
      </c>
      <c r="U1102" s="84"/>
      <c r="V1102" s="84"/>
      <c r="W1102" s="84"/>
      <c r="X1102" s="84"/>
      <c r="Y1102" s="84"/>
      <c r="Z1102" s="84"/>
      <c r="AA1102" s="84"/>
      <c r="AB1102" s="84"/>
      <c r="AC1102" s="84"/>
      <c r="AD1102" s="84"/>
    </row>
    <row r="1103" spans="1:30" ht="15" hidden="1" x14ac:dyDescent="0.2">
      <c r="A1103" s="10">
        <f t="shared" si="210"/>
        <v>2047</v>
      </c>
      <c r="B1103" s="10">
        <f t="shared" si="218"/>
        <v>365</v>
      </c>
      <c r="C1103" s="83">
        <f t="shared" ref="C1103:T1103" si="221">AVERAGE(C420:C431)</f>
        <v>154.75824999999998</v>
      </c>
      <c r="D1103" s="83">
        <f t="shared" si="221"/>
        <v>281.01624999999996</v>
      </c>
      <c r="E1103" s="83">
        <f t="shared" si="221"/>
        <v>109.1005</v>
      </c>
      <c r="F1103" s="83">
        <f t="shared" si="221"/>
        <v>57.041666666666657</v>
      </c>
      <c r="G1103" s="83">
        <f t="shared" si="221"/>
        <v>40</v>
      </c>
      <c r="H1103" s="83">
        <f t="shared" si="221"/>
        <v>174.58333333333334</v>
      </c>
      <c r="I1103" s="83">
        <f t="shared" si="221"/>
        <v>0</v>
      </c>
      <c r="J1103" s="83">
        <f t="shared" si="221"/>
        <v>100</v>
      </c>
      <c r="K1103" s="83">
        <f t="shared" si="221"/>
        <v>300</v>
      </c>
      <c r="L1103" s="83">
        <f t="shared" si="221"/>
        <v>1216.5</v>
      </c>
      <c r="M1103" s="85">
        <f t="shared" si="221"/>
        <v>600</v>
      </c>
      <c r="N1103" s="83">
        <f t="shared" si="221"/>
        <v>72.5</v>
      </c>
      <c r="O1103" s="86">
        <f t="shared" si="221"/>
        <v>240</v>
      </c>
      <c r="P1103" s="86">
        <f t="shared" si="221"/>
        <v>110</v>
      </c>
      <c r="Q1103" s="86">
        <f t="shared" si="221"/>
        <v>245</v>
      </c>
      <c r="R1103" s="86">
        <f t="shared" si="221"/>
        <v>100</v>
      </c>
      <c r="S1103" s="83">
        <f t="shared" si="221"/>
        <v>695</v>
      </c>
      <c r="T1103" s="83">
        <f t="shared" si="221"/>
        <v>33.333333333333336</v>
      </c>
      <c r="U1103" s="84"/>
      <c r="V1103" s="84"/>
      <c r="W1103" s="84"/>
      <c r="X1103" s="84"/>
      <c r="Y1103" s="84"/>
      <c r="Z1103" s="84"/>
      <c r="AA1103" s="84"/>
      <c r="AB1103" s="84"/>
      <c r="AC1103" s="84"/>
      <c r="AD1103" s="84"/>
    </row>
    <row r="1104" spans="1:30" ht="15" hidden="1" x14ac:dyDescent="0.2">
      <c r="A1104" s="10">
        <f t="shared" si="210"/>
        <v>2048</v>
      </c>
      <c r="B1104" s="10">
        <f t="shared" si="218"/>
        <v>366</v>
      </c>
      <c r="C1104" s="83">
        <f t="shared" ref="C1104:T1104" si="222">AVERAGE(C432:C443)</f>
        <v>154.75824999999998</v>
      </c>
      <c r="D1104" s="83">
        <f t="shared" si="222"/>
        <v>281.01624999999996</v>
      </c>
      <c r="E1104" s="83">
        <f t="shared" si="222"/>
        <v>109.1005</v>
      </c>
      <c r="F1104" s="83">
        <f t="shared" si="222"/>
        <v>57.041666666666657</v>
      </c>
      <c r="G1104" s="83">
        <f t="shared" si="222"/>
        <v>40</v>
      </c>
      <c r="H1104" s="83">
        <f t="shared" si="222"/>
        <v>174.58333333333334</v>
      </c>
      <c r="I1104" s="83">
        <f t="shared" si="222"/>
        <v>0</v>
      </c>
      <c r="J1104" s="83">
        <f t="shared" si="222"/>
        <v>100</v>
      </c>
      <c r="K1104" s="83">
        <f t="shared" si="222"/>
        <v>300</v>
      </c>
      <c r="L1104" s="83">
        <f t="shared" si="222"/>
        <v>1216.5</v>
      </c>
      <c r="M1104" s="85">
        <f t="shared" si="222"/>
        <v>600</v>
      </c>
      <c r="N1104" s="83">
        <f t="shared" si="222"/>
        <v>72.5</v>
      </c>
      <c r="O1104" s="86">
        <f t="shared" si="222"/>
        <v>240</v>
      </c>
      <c r="P1104" s="86">
        <f t="shared" si="222"/>
        <v>110</v>
      </c>
      <c r="Q1104" s="86">
        <f t="shared" si="222"/>
        <v>245</v>
      </c>
      <c r="R1104" s="86">
        <f t="shared" si="222"/>
        <v>100</v>
      </c>
      <c r="S1104" s="83">
        <f t="shared" si="222"/>
        <v>695</v>
      </c>
      <c r="T1104" s="83">
        <f t="shared" si="222"/>
        <v>33.333333333333336</v>
      </c>
      <c r="U1104" s="84"/>
      <c r="V1104" s="84"/>
      <c r="W1104" s="84"/>
      <c r="X1104" s="84"/>
      <c r="Y1104" s="84"/>
      <c r="Z1104" s="84"/>
      <c r="AA1104" s="84"/>
      <c r="AB1104" s="84"/>
      <c r="AC1104" s="84"/>
      <c r="AD1104" s="84"/>
    </row>
    <row r="1105" spans="1:30" ht="15" hidden="1" x14ac:dyDescent="0.2">
      <c r="A1105" s="10">
        <f t="shared" si="210"/>
        <v>2049</v>
      </c>
      <c r="B1105" s="10">
        <f t="shared" si="218"/>
        <v>365</v>
      </c>
      <c r="C1105" s="83">
        <f t="shared" ref="C1105:T1105" si="223">AVERAGE(C444:C455)</f>
        <v>154.75824999999998</v>
      </c>
      <c r="D1105" s="83">
        <f t="shared" si="223"/>
        <v>281.01624999999996</v>
      </c>
      <c r="E1105" s="83">
        <f t="shared" si="223"/>
        <v>109.1005</v>
      </c>
      <c r="F1105" s="83">
        <f t="shared" si="223"/>
        <v>57.041666666666657</v>
      </c>
      <c r="G1105" s="83">
        <f t="shared" si="223"/>
        <v>40</v>
      </c>
      <c r="H1105" s="83">
        <f t="shared" si="223"/>
        <v>174.58333333333334</v>
      </c>
      <c r="I1105" s="83">
        <f t="shared" si="223"/>
        <v>0</v>
      </c>
      <c r="J1105" s="83">
        <f t="shared" si="223"/>
        <v>100</v>
      </c>
      <c r="K1105" s="83">
        <f t="shared" si="223"/>
        <v>300</v>
      </c>
      <c r="L1105" s="83">
        <f t="shared" si="223"/>
        <v>1216.5</v>
      </c>
      <c r="M1105" s="85">
        <f t="shared" si="223"/>
        <v>600</v>
      </c>
      <c r="N1105" s="83">
        <f t="shared" si="223"/>
        <v>72.5</v>
      </c>
      <c r="O1105" s="86">
        <f t="shared" si="223"/>
        <v>240</v>
      </c>
      <c r="P1105" s="86">
        <f t="shared" si="223"/>
        <v>110</v>
      </c>
      <c r="Q1105" s="86">
        <f t="shared" si="223"/>
        <v>245</v>
      </c>
      <c r="R1105" s="86">
        <f t="shared" si="223"/>
        <v>100</v>
      </c>
      <c r="S1105" s="83">
        <f t="shared" si="223"/>
        <v>695</v>
      </c>
      <c r="T1105" s="83">
        <f t="shared" si="223"/>
        <v>33.333333333333336</v>
      </c>
      <c r="U1105" s="84"/>
      <c r="V1105" s="84"/>
      <c r="W1105" s="84"/>
      <c r="X1105" s="84"/>
      <c r="Y1105" s="84"/>
      <c r="Z1105" s="84"/>
      <c r="AA1105" s="84"/>
      <c r="AB1105" s="84"/>
      <c r="AC1105" s="84"/>
      <c r="AD1105" s="84"/>
    </row>
    <row r="1106" spans="1:30" ht="15" hidden="1" x14ac:dyDescent="0.2">
      <c r="A1106" s="10">
        <f t="shared" si="210"/>
        <v>2050</v>
      </c>
      <c r="B1106" s="10">
        <f t="shared" si="218"/>
        <v>365</v>
      </c>
      <c r="C1106" s="83">
        <f t="shared" ref="C1106:T1106" si="224">AVERAGE(C456:C467)</f>
        <v>154.75824999999998</v>
      </c>
      <c r="D1106" s="83">
        <f t="shared" si="224"/>
        <v>281.01624999999996</v>
      </c>
      <c r="E1106" s="83">
        <f t="shared" si="224"/>
        <v>109.1005</v>
      </c>
      <c r="F1106" s="83">
        <f t="shared" si="224"/>
        <v>57.041666666666657</v>
      </c>
      <c r="G1106" s="83">
        <f t="shared" si="224"/>
        <v>40</v>
      </c>
      <c r="H1106" s="83">
        <f t="shared" si="224"/>
        <v>174.58333333333334</v>
      </c>
      <c r="I1106" s="83">
        <f t="shared" si="224"/>
        <v>0</v>
      </c>
      <c r="J1106" s="83">
        <f t="shared" si="224"/>
        <v>100</v>
      </c>
      <c r="K1106" s="83">
        <f t="shared" si="224"/>
        <v>300</v>
      </c>
      <c r="L1106" s="83">
        <f t="shared" si="224"/>
        <v>1216.5</v>
      </c>
      <c r="M1106" s="85">
        <f t="shared" si="224"/>
        <v>600</v>
      </c>
      <c r="N1106" s="83">
        <f t="shared" si="224"/>
        <v>72.5</v>
      </c>
      <c r="O1106" s="86">
        <f t="shared" si="224"/>
        <v>240</v>
      </c>
      <c r="P1106" s="86">
        <f t="shared" si="224"/>
        <v>110</v>
      </c>
      <c r="Q1106" s="86">
        <f t="shared" si="224"/>
        <v>245</v>
      </c>
      <c r="R1106" s="86">
        <f t="shared" si="224"/>
        <v>100</v>
      </c>
      <c r="S1106" s="83">
        <f t="shared" si="224"/>
        <v>695</v>
      </c>
      <c r="T1106" s="83">
        <f t="shared" si="224"/>
        <v>33.333333333333336</v>
      </c>
      <c r="U1106" s="84"/>
      <c r="V1106" s="84"/>
      <c r="W1106" s="84"/>
      <c r="X1106" s="84"/>
      <c r="Y1106" s="84"/>
      <c r="Z1106" s="84"/>
      <c r="AA1106" s="84"/>
      <c r="AB1106" s="84"/>
      <c r="AC1106" s="84"/>
      <c r="AD1106" s="84"/>
    </row>
    <row r="1107" spans="1:30" ht="15" hidden="1" x14ac:dyDescent="0.2">
      <c r="A1107" s="10">
        <f t="shared" si="210"/>
        <v>2051</v>
      </c>
      <c r="B1107" s="10">
        <f t="shared" si="218"/>
        <v>365</v>
      </c>
      <c r="C1107" s="83">
        <f t="shared" ref="C1107:T1107" si="225">AVERAGE(C468:C479)</f>
        <v>154.75824999999998</v>
      </c>
      <c r="D1107" s="83">
        <f t="shared" si="225"/>
        <v>281.01624999999996</v>
      </c>
      <c r="E1107" s="83">
        <f t="shared" si="225"/>
        <v>109.1005</v>
      </c>
      <c r="F1107" s="83">
        <f t="shared" si="225"/>
        <v>57.041666666666657</v>
      </c>
      <c r="G1107" s="83">
        <f t="shared" si="225"/>
        <v>40</v>
      </c>
      <c r="H1107" s="83">
        <f t="shared" si="225"/>
        <v>174.58333333333334</v>
      </c>
      <c r="I1107" s="83">
        <f t="shared" si="225"/>
        <v>0</v>
      </c>
      <c r="J1107" s="83">
        <f t="shared" si="225"/>
        <v>100</v>
      </c>
      <c r="K1107" s="83">
        <f t="shared" si="225"/>
        <v>300</v>
      </c>
      <c r="L1107" s="83">
        <f t="shared" si="225"/>
        <v>1216.5</v>
      </c>
      <c r="M1107" s="85">
        <f t="shared" si="225"/>
        <v>600</v>
      </c>
      <c r="N1107" s="83">
        <f t="shared" si="225"/>
        <v>72.5</v>
      </c>
      <c r="O1107" s="86">
        <f t="shared" si="225"/>
        <v>240</v>
      </c>
      <c r="P1107" s="86">
        <f t="shared" si="225"/>
        <v>110</v>
      </c>
      <c r="Q1107" s="86">
        <f t="shared" si="225"/>
        <v>245</v>
      </c>
      <c r="R1107" s="86">
        <f t="shared" si="225"/>
        <v>100</v>
      </c>
      <c r="S1107" s="83">
        <f t="shared" si="225"/>
        <v>695</v>
      </c>
      <c r="T1107" s="83">
        <f t="shared" si="225"/>
        <v>33.333333333333336</v>
      </c>
      <c r="U1107" s="84"/>
      <c r="V1107" s="84"/>
      <c r="W1107" s="84"/>
      <c r="X1107" s="84"/>
      <c r="Y1107" s="84"/>
      <c r="Z1107" s="84"/>
      <c r="AA1107" s="84"/>
      <c r="AB1107" s="84"/>
      <c r="AC1107" s="84"/>
      <c r="AD1107" s="84"/>
    </row>
    <row r="1108" spans="1:30" ht="15" hidden="1" x14ac:dyDescent="0.2">
      <c r="A1108" s="10">
        <f t="shared" si="210"/>
        <v>2052</v>
      </c>
      <c r="B1108" s="10">
        <f t="shared" si="218"/>
        <v>366</v>
      </c>
      <c r="C1108" s="83">
        <f t="shared" ref="C1108:T1108" si="226">AVERAGE(C480:C491)</f>
        <v>154.75824999999998</v>
      </c>
      <c r="D1108" s="83">
        <f t="shared" si="226"/>
        <v>281.01624999999996</v>
      </c>
      <c r="E1108" s="83">
        <f t="shared" si="226"/>
        <v>109.1005</v>
      </c>
      <c r="F1108" s="83">
        <f t="shared" si="226"/>
        <v>57.041666666666657</v>
      </c>
      <c r="G1108" s="83">
        <f t="shared" si="226"/>
        <v>40</v>
      </c>
      <c r="H1108" s="83">
        <f t="shared" si="226"/>
        <v>174.58333333333334</v>
      </c>
      <c r="I1108" s="83">
        <f t="shared" si="226"/>
        <v>0</v>
      </c>
      <c r="J1108" s="83">
        <f t="shared" si="226"/>
        <v>100</v>
      </c>
      <c r="K1108" s="83">
        <f t="shared" si="226"/>
        <v>300</v>
      </c>
      <c r="L1108" s="83">
        <f t="shared" si="226"/>
        <v>1216.5</v>
      </c>
      <c r="M1108" s="85">
        <f t="shared" si="226"/>
        <v>600</v>
      </c>
      <c r="N1108" s="83">
        <f t="shared" si="226"/>
        <v>72.5</v>
      </c>
      <c r="O1108" s="86">
        <f t="shared" si="226"/>
        <v>240</v>
      </c>
      <c r="P1108" s="86">
        <f t="shared" si="226"/>
        <v>110</v>
      </c>
      <c r="Q1108" s="86">
        <f t="shared" si="226"/>
        <v>245</v>
      </c>
      <c r="R1108" s="86">
        <f t="shared" si="226"/>
        <v>100</v>
      </c>
      <c r="S1108" s="83">
        <f t="shared" si="226"/>
        <v>695</v>
      </c>
      <c r="T1108" s="83">
        <f t="shared" si="226"/>
        <v>33.333333333333336</v>
      </c>
      <c r="U1108" s="84"/>
      <c r="V1108" s="84"/>
      <c r="W1108" s="84"/>
      <c r="X1108" s="84"/>
      <c r="Y1108" s="84"/>
      <c r="Z1108" s="84"/>
      <c r="AA1108" s="84"/>
      <c r="AB1108" s="84"/>
      <c r="AC1108" s="84"/>
      <c r="AD1108" s="84"/>
    </row>
    <row r="1109" spans="1:30" ht="15" hidden="1" x14ac:dyDescent="0.2">
      <c r="A1109" s="10">
        <f t="shared" si="210"/>
        <v>2053</v>
      </c>
      <c r="B1109" s="10">
        <f t="shared" si="218"/>
        <v>365</v>
      </c>
      <c r="C1109" s="83">
        <f t="shared" ref="C1109:T1109" si="227">AVERAGE(C492:C503)</f>
        <v>154.75824999999998</v>
      </c>
      <c r="D1109" s="83">
        <f t="shared" si="227"/>
        <v>281.01624999999996</v>
      </c>
      <c r="E1109" s="83">
        <f t="shared" si="227"/>
        <v>109.1005</v>
      </c>
      <c r="F1109" s="83">
        <f t="shared" si="227"/>
        <v>57.041666666666657</v>
      </c>
      <c r="G1109" s="83">
        <f t="shared" si="227"/>
        <v>40</v>
      </c>
      <c r="H1109" s="83">
        <f t="shared" si="227"/>
        <v>174.58333333333334</v>
      </c>
      <c r="I1109" s="83">
        <f t="shared" si="227"/>
        <v>0</v>
      </c>
      <c r="J1109" s="83">
        <f t="shared" si="227"/>
        <v>100</v>
      </c>
      <c r="K1109" s="83">
        <f t="shared" si="227"/>
        <v>300</v>
      </c>
      <c r="L1109" s="83">
        <f t="shared" si="227"/>
        <v>1216.5</v>
      </c>
      <c r="M1109" s="85">
        <f t="shared" si="227"/>
        <v>600</v>
      </c>
      <c r="N1109" s="83">
        <f t="shared" si="227"/>
        <v>72.5</v>
      </c>
      <c r="O1109" s="86">
        <f t="shared" si="227"/>
        <v>240</v>
      </c>
      <c r="P1109" s="86">
        <f t="shared" si="227"/>
        <v>110</v>
      </c>
      <c r="Q1109" s="86">
        <f t="shared" si="227"/>
        <v>245</v>
      </c>
      <c r="R1109" s="86">
        <f t="shared" si="227"/>
        <v>100</v>
      </c>
      <c r="S1109" s="83">
        <f t="shared" si="227"/>
        <v>695</v>
      </c>
      <c r="T1109" s="83">
        <f t="shared" si="227"/>
        <v>33.333333333333336</v>
      </c>
      <c r="U1109" s="84"/>
      <c r="V1109" s="84"/>
      <c r="W1109" s="84"/>
      <c r="X1109" s="84"/>
      <c r="Y1109" s="84"/>
      <c r="Z1109" s="84"/>
      <c r="AA1109" s="84"/>
      <c r="AB1109" s="84"/>
      <c r="AC1109" s="84"/>
      <c r="AD1109" s="84"/>
    </row>
    <row r="1110" spans="1:30" ht="15" hidden="1" x14ac:dyDescent="0.2">
      <c r="A1110" s="10">
        <f t="shared" si="210"/>
        <v>2054</v>
      </c>
      <c r="B1110" s="10">
        <f t="shared" si="218"/>
        <v>365</v>
      </c>
      <c r="C1110" s="83">
        <f t="shared" ref="C1110:T1110" si="228">AVERAGE(C504:C515)</f>
        <v>154.75824999999998</v>
      </c>
      <c r="D1110" s="83">
        <f t="shared" si="228"/>
        <v>281.01624999999996</v>
      </c>
      <c r="E1110" s="83">
        <f t="shared" si="228"/>
        <v>109.1005</v>
      </c>
      <c r="F1110" s="83">
        <f t="shared" si="228"/>
        <v>57.041666666666657</v>
      </c>
      <c r="G1110" s="83">
        <f t="shared" si="228"/>
        <v>40</v>
      </c>
      <c r="H1110" s="83">
        <f t="shared" si="228"/>
        <v>174.58333333333334</v>
      </c>
      <c r="I1110" s="83">
        <f t="shared" si="228"/>
        <v>0</v>
      </c>
      <c r="J1110" s="83">
        <f t="shared" si="228"/>
        <v>100</v>
      </c>
      <c r="K1110" s="83">
        <f t="shared" si="228"/>
        <v>300</v>
      </c>
      <c r="L1110" s="83">
        <f t="shared" si="228"/>
        <v>1216.5</v>
      </c>
      <c r="M1110" s="85">
        <f t="shared" si="228"/>
        <v>600</v>
      </c>
      <c r="N1110" s="83">
        <f t="shared" si="228"/>
        <v>72.5</v>
      </c>
      <c r="O1110" s="83">
        <f t="shared" si="228"/>
        <v>240</v>
      </c>
      <c r="P1110" s="83">
        <f t="shared" si="228"/>
        <v>110</v>
      </c>
      <c r="Q1110" s="83">
        <f t="shared" si="228"/>
        <v>245</v>
      </c>
      <c r="R1110" s="83">
        <f t="shared" si="228"/>
        <v>100</v>
      </c>
      <c r="S1110" s="83">
        <f t="shared" si="228"/>
        <v>695</v>
      </c>
      <c r="T1110" s="83">
        <f t="shared" si="228"/>
        <v>33.333333333333336</v>
      </c>
      <c r="U1110" s="84"/>
      <c r="V1110" s="84"/>
      <c r="W1110" s="84"/>
      <c r="X1110" s="84"/>
      <c r="Y1110" s="84"/>
      <c r="Z1110" s="84"/>
      <c r="AA1110" s="84"/>
      <c r="AB1110" s="84"/>
      <c r="AC1110" s="84"/>
      <c r="AD1110" s="84"/>
    </row>
    <row r="1111" spans="1:30" ht="15" hidden="1" x14ac:dyDescent="0.2">
      <c r="A1111" s="10">
        <f t="shared" si="210"/>
        <v>2055</v>
      </c>
      <c r="B1111" s="10">
        <f t="shared" si="218"/>
        <v>365</v>
      </c>
      <c r="C1111" s="83">
        <f t="shared" ref="C1111:T1111" si="229">AVERAGE(C505:C516)</f>
        <v>154.75824999999995</v>
      </c>
      <c r="D1111" s="83">
        <f t="shared" si="229"/>
        <v>281.0162499999999</v>
      </c>
      <c r="E1111" s="83">
        <f t="shared" si="229"/>
        <v>109.1005</v>
      </c>
      <c r="F1111" s="83">
        <f t="shared" si="229"/>
        <v>57.041666666666657</v>
      </c>
      <c r="G1111" s="83">
        <f t="shared" si="229"/>
        <v>40</v>
      </c>
      <c r="H1111" s="83">
        <f t="shared" si="229"/>
        <v>174.58333333333334</v>
      </c>
      <c r="I1111" s="83">
        <f t="shared" si="229"/>
        <v>0</v>
      </c>
      <c r="J1111" s="83">
        <f t="shared" si="229"/>
        <v>100</v>
      </c>
      <c r="K1111" s="83">
        <f t="shared" si="229"/>
        <v>300</v>
      </c>
      <c r="L1111" s="83">
        <f t="shared" si="229"/>
        <v>1216.5</v>
      </c>
      <c r="M1111" s="85">
        <f t="shared" si="229"/>
        <v>600</v>
      </c>
      <c r="N1111" s="83">
        <f t="shared" si="229"/>
        <v>72.5</v>
      </c>
      <c r="O1111" s="83">
        <f t="shared" si="229"/>
        <v>240</v>
      </c>
      <c r="P1111" s="83">
        <f t="shared" si="229"/>
        <v>110</v>
      </c>
      <c r="Q1111" s="83">
        <f t="shared" si="229"/>
        <v>245</v>
      </c>
      <c r="R1111" s="83">
        <f t="shared" si="229"/>
        <v>100</v>
      </c>
      <c r="S1111" s="83">
        <f t="shared" si="229"/>
        <v>695</v>
      </c>
      <c r="T1111" s="83">
        <f t="shared" si="229"/>
        <v>33.333333333333336</v>
      </c>
      <c r="U1111" s="84"/>
      <c r="V1111" s="84"/>
      <c r="W1111" s="84"/>
      <c r="X1111" s="84"/>
      <c r="Y1111" s="84"/>
      <c r="Z1111" s="84"/>
      <c r="AA1111" s="84"/>
      <c r="AB1111" s="84"/>
      <c r="AC1111" s="84"/>
      <c r="AD1111" s="84"/>
    </row>
    <row r="1112" spans="1:30" ht="15" hidden="1" x14ac:dyDescent="0.2">
      <c r="A1112" s="10">
        <f t="shared" si="210"/>
        <v>2056</v>
      </c>
      <c r="B1112" s="10">
        <f t="shared" si="218"/>
        <v>366</v>
      </c>
      <c r="C1112" s="83">
        <f t="shared" ref="C1112:T1112" si="230">AVERAGE(C506:C517)</f>
        <v>154.75824999999995</v>
      </c>
      <c r="D1112" s="83">
        <f t="shared" si="230"/>
        <v>281.0162499999999</v>
      </c>
      <c r="E1112" s="83">
        <f t="shared" si="230"/>
        <v>109.1005</v>
      </c>
      <c r="F1112" s="83">
        <f t="shared" si="230"/>
        <v>57.041666666666664</v>
      </c>
      <c r="G1112" s="83">
        <f t="shared" si="230"/>
        <v>40</v>
      </c>
      <c r="H1112" s="83">
        <f t="shared" si="230"/>
        <v>174.58333333333334</v>
      </c>
      <c r="I1112" s="83">
        <f t="shared" si="230"/>
        <v>0</v>
      </c>
      <c r="J1112" s="83">
        <f t="shared" si="230"/>
        <v>100</v>
      </c>
      <c r="K1112" s="83">
        <f t="shared" si="230"/>
        <v>300</v>
      </c>
      <c r="L1112" s="83">
        <f t="shared" si="230"/>
        <v>1216.5</v>
      </c>
      <c r="M1112" s="85">
        <f t="shared" si="230"/>
        <v>600</v>
      </c>
      <c r="N1112" s="83">
        <f t="shared" si="230"/>
        <v>72.5</v>
      </c>
      <c r="O1112" s="83">
        <f t="shared" si="230"/>
        <v>240</v>
      </c>
      <c r="P1112" s="83">
        <f t="shared" si="230"/>
        <v>110</v>
      </c>
      <c r="Q1112" s="83">
        <f t="shared" si="230"/>
        <v>245</v>
      </c>
      <c r="R1112" s="83">
        <f t="shared" si="230"/>
        <v>100</v>
      </c>
      <c r="S1112" s="83">
        <f t="shared" si="230"/>
        <v>695</v>
      </c>
      <c r="T1112" s="83">
        <f t="shared" si="230"/>
        <v>33.333333333333336</v>
      </c>
      <c r="U1112" s="84"/>
      <c r="V1112" s="84"/>
      <c r="W1112" s="84"/>
      <c r="X1112" s="84"/>
      <c r="Y1112" s="84"/>
      <c r="Z1112" s="84"/>
      <c r="AA1112" s="84"/>
      <c r="AB1112" s="84"/>
      <c r="AC1112" s="84"/>
      <c r="AD1112" s="84"/>
    </row>
    <row r="1113" spans="1:30" ht="15" hidden="1" x14ac:dyDescent="0.2">
      <c r="A1113" s="10">
        <f t="shared" si="210"/>
        <v>2057</v>
      </c>
      <c r="B1113" s="10">
        <f t="shared" si="218"/>
        <v>365</v>
      </c>
      <c r="C1113" s="83">
        <f t="shared" ref="C1113:T1113" si="231">AVERAGE(C507:C518)</f>
        <v>154.75824999999995</v>
      </c>
      <c r="D1113" s="83">
        <f t="shared" si="231"/>
        <v>281.0162499999999</v>
      </c>
      <c r="E1113" s="83">
        <f t="shared" si="231"/>
        <v>109.1005</v>
      </c>
      <c r="F1113" s="83">
        <f t="shared" si="231"/>
        <v>57.041666666666664</v>
      </c>
      <c r="G1113" s="83">
        <f t="shared" si="231"/>
        <v>40</v>
      </c>
      <c r="H1113" s="83">
        <f t="shared" si="231"/>
        <v>174.58333333333334</v>
      </c>
      <c r="I1113" s="83">
        <f t="shared" si="231"/>
        <v>0</v>
      </c>
      <c r="J1113" s="83">
        <f t="shared" si="231"/>
        <v>100</v>
      </c>
      <c r="K1113" s="83">
        <f t="shared" si="231"/>
        <v>300</v>
      </c>
      <c r="L1113" s="83">
        <f t="shared" si="231"/>
        <v>1216.5</v>
      </c>
      <c r="M1113" s="85">
        <f t="shared" si="231"/>
        <v>600</v>
      </c>
      <c r="N1113" s="83">
        <f t="shared" si="231"/>
        <v>72.5</v>
      </c>
      <c r="O1113" s="83">
        <f t="shared" si="231"/>
        <v>240</v>
      </c>
      <c r="P1113" s="83">
        <f t="shared" si="231"/>
        <v>110</v>
      </c>
      <c r="Q1113" s="83">
        <f t="shared" si="231"/>
        <v>245</v>
      </c>
      <c r="R1113" s="83">
        <f t="shared" si="231"/>
        <v>100</v>
      </c>
      <c r="S1113" s="83">
        <f t="shared" si="231"/>
        <v>695</v>
      </c>
      <c r="T1113" s="83">
        <f t="shared" si="231"/>
        <v>33.333333333333336</v>
      </c>
      <c r="U1113" s="84"/>
      <c r="V1113" s="84"/>
      <c r="W1113" s="84"/>
      <c r="X1113" s="84"/>
      <c r="Y1113" s="84"/>
      <c r="Z1113" s="84"/>
      <c r="AA1113" s="84"/>
      <c r="AB1113" s="84"/>
      <c r="AC1113" s="84"/>
      <c r="AD1113" s="84"/>
    </row>
    <row r="1114" spans="1:30" ht="15" hidden="1" x14ac:dyDescent="0.2">
      <c r="A1114" s="10">
        <f t="shared" si="210"/>
        <v>2058</v>
      </c>
      <c r="B1114" s="10">
        <f t="shared" si="218"/>
        <v>365</v>
      </c>
      <c r="C1114" s="83">
        <f t="shared" ref="C1114:T1114" si="232">AVERAGE(C508:C519)</f>
        <v>154.75824999999998</v>
      </c>
      <c r="D1114" s="83">
        <f t="shared" si="232"/>
        <v>281.01624999999996</v>
      </c>
      <c r="E1114" s="83">
        <f t="shared" si="232"/>
        <v>109.10050000000001</v>
      </c>
      <c r="F1114" s="83">
        <f t="shared" si="232"/>
        <v>57.041666666666664</v>
      </c>
      <c r="G1114" s="83">
        <f t="shared" si="232"/>
        <v>40</v>
      </c>
      <c r="H1114" s="83">
        <f t="shared" si="232"/>
        <v>174.58333333333334</v>
      </c>
      <c r="I1114" s="83">
        <f t="shared" si="232"/>
        <v>0</v>
      </c>
      <c r="J1114" s="83">
        <f t="shared" si="232"/>
        <v>100</v>
      </c>
      <c r="K1114" s="83">
        <f t="shared" si="232"/>
        <v>300</v>
      </c>
      <c r="L1114" s="83">
        <f t="shared" si="232"/>
        <v>1216.5</v>
      </c>
      <c r="M1114" s="85">
        <f t="shared" si="232"/>
        <v>600</v>
      </c>
      <c r="N1114" s="83">
        <f t="shared" si="232"/>
        <v>72.5</v>
      </c>
      <c r="O1114" s="83">
        <f t="shared" si="232"/>
        <v>240</v>
      </c>
      <c r="P1114" s="83">
        <f t="shared" si="232"/>
        <v>110</v>
      </c>
      <c r="Q1114" s="83">
        <f t="shared" si="232"/>
        <v>245</v>
      </c>
      <c r="R1114" s="83">
        <f t="shared" si="232"/>
        <v>100</v>
      </c>
      <c r="S1114" s="83">
        <f t="shared" si="232"/>
        <v>695</v>
      </c>
      <c r="T1114" s="83">
        <f t="shared" si="232"/>
        <v>33.333333333333336</v>
      </c>
      <c r="U1114" s="84"/>
      <c r="V1114" s="84"/>
      <c r="W1114" s="84"/>
      <c r="X1114" s="84"/>
      <c r="Y1114" s="84"/>
      <c r="Z1114" s="84"/>
      <c r="AA1114" s="84"/>
      <c r="AB1114" s="84"/>
      <c r="AC1114" s="84"/>
      <c r="AD1114" s="84"/>
    </row>
    <row r="1115" spans="1:30" ht="15" hidden="1" x14ac:dyDescent="0.2">
      <c r="A1115" s="10">
        <f t="shared" si="210"/>
        <v>2059</v>
      </c>
      <c r="B1115" s="10">
        <f t="shared" si="218"/>
        <v>365</v>
      </c>
      <c r="C1115" s="83">
        <f t="shared" ref="C1115:T1115" si="233">AVERAGE(C509:C520)</f>
        <v>154.75824999999998</v>
      </c>
      <c r="D1115" s="83">
        <f t="shared" si="233"/>
        <v>281.01624999999996</v>
      </c>
      <c r="E1115" s="83">
        <f t="shared" si="233"/>
        <v>109.10050000000001</v>
      </c>
      <c r="F1115" s="83">
        <f t="shared" si="233"/>
        <v>57.041666666666664</v>
      </c>
      <c r="G1115" s="83">
        <f t="shared" si="233"/>
        <v>40</v>
      </c>
      <c r="H1115" s="83">
        <f t="shared" si="233"/>
        <v>174.58333333333334</v>
      </c>
      <c r="I1115" s="83">
        <f t="shared" si="233"/>
        <v>0</v>
      </c>
      <c r="J1115" s="83">
        <f t="shared" si="233"/>
        <v>100</v>
      </c>
      <c r="K1115" s="83">
        <f t="shared" si="233"/>
        <v>300</v>
      </c>
      <c r="L1115" s="83">
        <f t="shared" si="233"/>
        <v>1216.5</v>
      </c>
      <c r="M1115" s="85">
        <f t="shared" si="233"/>
        <v>600</v>
      </c>
      <c r="N1115" s="83">
        <f t="shared" si="233"/>
        <v>72.5</v>
      </c>
      <c r="O1115" s="83">
        <f t="shared" si="233"/>
        <v>240</v>
      </c>
      <c r="P1115" s="83">
        <f t="shared" si="233"/>
        <v>110</v>
      </c>
      <c r="Q1115" s="83">
        <f t="shared" si="233"/>
        <v>245</v>
      </c>
      <c r="R1115" s="83">
        <f t="shared" si="233"/>
        <v>100</v>
      </c>
      <c r="S1115" s="83">
        <f t="shared" si="233"/>
        <v>695</v>
      </c>
      <c r="T1115" s="83">
        <f t="shared" si="233"/>
        <v>33.333333333333336</v>
      </c>
      <c r="U1115" s="84"/>
      <c r="V1115" s="84"/>
      <c r="W1115" s="84"/>
      <c r="X1115" s="84"/>
      <c r="Y1115" s="84"/>
      <c r="Z1115" s="84"/>
      <c r="AA1115" s="84"/>
      <c r="AB1115" s="84"/>
      <c r="AC1115" s="84"/>
      <c r="AD1115" s="84"/>
    </row>
    <row r="1116" spans="1:30" ht="15" hidden="1" x14ac:dyDescent="0.2">
      <c r="A1116" s="10">
        <f t="shared" si="210"/>
        <v>2060</v>
      </c>
      <c r="B1116" s="10">
        <f t="shared" si="218"/>
        <v>366</v>
      </c>
      <c r="C1116" s="83">
        <f t="shared" ref="C1116:T1116" si="234">AVERAGE(C510:C521)</f>
        <v>154.75824999999998</v>
      </c>
      <c r="D1116" s="83">
        <f t="shared" si="234"/>
        <v>281.01625000000001</v>
      </c>
      <c r="E1116" s="83">
        <f t="shared" si="234"/>
        <v>109.10050000000001</v>
      </c>
      <c r="F1116" s="83">
        <f t="shared" si="234"/>
        <v>57.04166666666665</v>
      </c>
      <c r="G1116" s="83">
        <f t="shared" si="234"/>
        <v>40</v>
      </c>
      <c r="H1116" s="83">
        <f t="shared" si="234"/>
        <v>174.58333333333334</v>
      </c>
      <c r="I1116" s="83">
        <f t="shared" si="234"/>
        <v>0</v>
      </c>
      <c r="J1116" s="83">
        <f t="shared" si="234"/>
        <v>100</v>
      </c>
      <c r="K1116" s="83">
        <f t="shared" si="234"/>
        <v>300</v>
      </c>
      <c r="L1116" s="83">
        <f t="shared" si="234"/>
        <v>1216.5</v>
      </c>
      <c r="M1116" s="85">
        <f t="shared" si="234"/>
        <v>600</v>
      </c>
      <c r="N1116" s="83">
        <f t="shared" si="234"/>
        <v>72.5</v>
      </c>
      <c r="O1116" s="83">
        <f t="shared" si="234"/>
        <v>240</v>
      </c>
      <c r="P1116" s="83">
        <f t="shared" si="234"/>
        <v>110</v>
      </c>
      <c r="Q1116" s="83">
        <f t="shared" si="234"/>
        <v>245</v>
      </c>
      <c r="R1116" s="83">
        <f t="shared" si="234"/>
        <v>100</v>
      </c>
      <c r="S1116" s="83">
        <f t="shared" si="234"/>
        <v>695</v>
      </c>
      <c r="T1116" s="83">
        <f t="shared" si="234"/>
        <v>33.333333333333336</v>
      </c>
      <c r="U1116" s="84"/>
      <c r="V1116" s="84"/>
      <c r="W1116" s="84"/>
      <c r="X1116" s="84"/>
      <c r="Y1116" s="84"/>
      <c r="Z1116" s="84"/>
      <c r="AA1116" s="84"/>
      <c r="AB1116" s="84"/>
      <c r="AC1116" s="84"/>
      <c r="AD1116" s="84"/>
    </row>
    <row r="1117" spans="1:30" ht="15" hidden="1" x14ac:dyDescent="0.2">
      <c r="A1117" s="10">
        <f t="shared" si="210"/>
        <v>2061</v>
      </c>
      <c r="B1117" s="10">
        <f t="shared" si="218"/>
        <v>365</v>
      </c>
      <c r="C1117" s="83">
        <f t="shared" ref="C1117:T1117" si="235">AVERAGE(C511:C522)</f>
        <v>154.75824999999998</v>
      </c>
      <c r="D1117" s="83">
        <f t="shared" si="235"/>
        <v>281.01624999999996</v>
      </c>
      <c r="E1117" s="83">
        <f t="shared" si="235"/>
        <v>109.10050000000001</v>
      </c>
      <c r="F1117" s="83">
        <f t="shared" si="235"/>
        <v>57.04166666666665</v>
      </c>
      <c r="G1117" s="83">
        <f t="shared" si="235"/>
        <v>40</v>
      </c>
      <c r="H1117" s="83">
        <f t="shared" si="235"/>
        <v>174.58333333333334</v>
      </c>
      <c r="I1117" s="83">
        <f t="shared" si="235"/>
        <v>0</v>
      </c>
      <c r="J1117" s="83">
        <f t="shared" si="235"/>
        <v>100</v>
      </c>
      <c r="K1117" s="83">
        <f t="shared" si="235"/>
        <v>300</v>
      </c>
      <c r="L1117" s="83">
        <f t="shared" si="235"/>
        <v>1216.5</v>
      </c>
      <c r="M1117" s="85">
        <f t="shared" si="235"/>
        <v>600</v>
      </c>
      <c r="N1117" s="83">
        <f t="shared" si="235"/>
        <v>72.5</v>
      </c>
      <c r="O1117" s="83">
        <f t="shared" si="235"/>
        <v>240</v>
      </c>
      <c r="P1117" s="83">
        <f t="shared" si="235"/>
        <v>110</v>
      </c>
      <c r="Q1117" s="83">
        <f t="shared" si="235"/>
        <v>245</v>
      </c>
      <c r="R1117" s="83">
        <f t="shared" si="235"/>
        <v>100</v>
      </c>
      <c r="S1117" s="83">
        <f t="shared" si="235"/>
        <v>695</v>
      </c>
      <c r="T1117" s="83">
        <f t="shared" si="235"/>
        <v>33.333333333333336</v>
      </c>
      <c r="U1117" s="84"/>
      <c r="V1117" s="84"/>
      <c r="W1117" s="84"/>
      <c r="X1117" s="84"/>
      <c r="Y1117" s="84"/>
      <c r="Z1117" s="84"/>
      <c r="AA1117" s="84"/>
      <c r="AB1117" s="84"/>
      <c r="AC1117" s="84"/>
      <c r="AD1117" s="84"/>
    </row>
    <row r="1118" spans="1:30" ht="15" hidden="1" x14ac:dyDescent="0.2">
      <c r="A1118" s="10">
        <f t="shared" si="210"/>
        <v>2062</v>
      </c>
      <c r="B1118" s="10">
        <f t="shared" si="218"/>
        <v>365</v>
      </c>
      <c r="C1118" s="83">
        <f t="shared" ref="C1118:L1127" ca="1" si="236">AVERAGE(OFFSET(C$600,($A1118-$A$1118)*12,0,12,1))</f>
        <v>154.75824999999998</v>
      </c>
      <c r="D1118" s="83">
        <f t="shared" ca="1" si="236"/>
        <v>281.01624999999996</v>
      </c>
      <c r="E1118" s="83">
        <f t="shared" ca="1" si="236"/>
        <v>109.1005</v>
      </c>
      <c r="F1118" s="83">
        <f t="shared" ca="1" si="236"/>
        <v>57.041666666666657</v>
      </c>
      <c r="G1118" s="83">
        <f t="shared" ca="1" si="236"/>
        <v>40</v>
      </c>
      <c r="H1118" s="83">
        <f t="shared" ca="1" si="236"/>
        <v>174.58333333333334</v>
      </c>
      <c r="I1118" s="83">
        <f t="shared" ca="1" si="236"/>
        <v>0</v>
      </c>
      <c r="J1118" s="83">
        <f t="shared" ca="1" si="236"/>
        <v>100</v>
      </c>
      <c r="K1118" s="83">
        <f t="shared" ca="1" si="236"/>
        <v>300</v>
      </c>
      <c r="L1118" s="83">
        <f t="shared" ca="1" si="236"/>
        <v>1216.5</v>
      </c>
      <c r="M1118" s="83">
        <f t="shared" ref="M1118:T1127" ca="1" si="237">AVERAGE(OFFSET(M$600,($A1118-$A$1118)*12,0,12,1))</f>
        <v>600</v>
      </c>
      <c r="N1118" s="83">
        <f t="shared" ca="1" si="237"/>
        <v>72.5</v>
      </c>
      <c r="O1118" s="83">
        <f t="shared" ca="1" si="237"/>
        <v>240</v>
      </c>
      <c r="P1118" s="83">
        <f t="shared" ca="1" si="237"/>
        <v>40</v>
      </c>
      <c r="Q1118" s="83">
        <f t="shared" ca="1" si="237"/>
        <v>315</v>
      </c>
      <c r="R1118" s="83">
        <f t="shared" ca="1" si="237"/>
        <v>100</v>
      </c>
      <c r="S1118" s="83">
        <f t="shared" ca="1" si="237"/>
        <v>695</v>
      </c>
      <c r="T1118" s="83">
        <f t="shared" ca="1" si="237"/>
        <v>33.333333333333336</v>
      </c>
      <c r="U1118" s="84"/>
      <c r="V1118" s="84"/>
      <c r="W1118" s="84"/>
      <c r="X1118" s="84"/>
      <c r="Y1118" s="84"/>
      <c r="Z1118" s="84"/>
      <c r="AA1118" s="84"/>
      <c r="AB1118" s="84"/>
      <c r="AC1118" s="84"/>
      <c r="AD1118" s="84"/>
    </row>
    <row r="1119" spans="1:30" ht="15" hidden="1" x14ac:dyDescent="0.2">
      <c r="A1119" s="10">
        <f t="shared" si="210"/>
        <v>2063</v>
      </c>
      <c r="B1119" s="10">
        <f t="shared" si="218"/>
        <v>365</v>
      </c>
      <c r="C1119" s="83">
        <f t="shared" ca="1" si="236"/>
        <v>154.75824999999998</v>
      </c>
      <c r="D1119" s="83">
        <f t="shared" ca="1" si="236"/>
        <v>281.01624999999996</v>
      </c>
      <c r="E1119" s="83">
        <f t="shared" ca="1" si="236"/>
        <v>109.1005</v>
      </c>
      <c r="F1119" s="83">
        <f t="shared" ca="1" si="236"/>
        <v>57.041666666666657</v>
      </c>
      <c r="G1119" s="83">
        <f t="shared" ca="1" si="236"/>
        <v>40</v>
      </c>
      <c r="H1119" s="83">
        <f t="shared" ca="1" si="236"/>
        <v>174.58333333333334</v>
      </c>
      <c r="I1119" s="83">
        <f t="shared" ca="1" si="236"/>
        <v>0</v>
      </c>
      <c r="J1119" s="83">
        <f t="shared" ca="1" si="236"/>
        <v>100</v>
      </c>
      <c r="K1119" s="83">
        <f t="shared" ca="1" si="236"/>
        <v>300</v>
      </c>
      <c r="L1119" s="83">
        <f t="shared" ca="1" si="236"/>
        <v>1216.5</v>
      </c>
      <c r="M1119" s="83">
        <f t="shared" ca="1" si="237"/>
        <v>600</v>
      </c>
      <c r="N1119" s="83">
        <f t="shared" ca="1" si="237"/>
        <v>72.5</v>
      </c>
      <c r="O1119" s="83">
        <f t="shared" ca="1" si="237"/>
        <v>240</v>
      </c>
      <c r="P1119" s="83">
        <f t="shared" ca="1" si="237"/>
        <v>40</v>
      </c>
      <c r="Q1119" s="83">
        <f t="shared" ca="1" si="237"/>
        <v>315</v>
      </c>
      <c r="R1119" s="83">
        <f t="shared" ca="1" si="237"/>
        <v>100</v>
      </c>
      <c r="S1119" s="83">
        <f t="shared" ca="1" si="237"/>
        <v>695</v>
      </c>
      <c r="T1119" s="83">
        <f t="shared" ca="1" si="237"/>
        <v>33.333333333333336</v>
      </c>
      <c r="U1119" s="84"/>
      <c r="V1119" s="84"/>
      <c r="W1119" s="84"/>
      <c r="X1119" s="84"/>
      <c r="Y1119" s="84"/>
      <c r="Z1119" s="84"/>
      <c r="AA1119" s="84"/>
      <c r="AB1119" s="84"/>
      <c r="AC1119" s="84"/>
      <c r="AD1119" s="84"/>
    </row>
    <row r="1120" spans="1:30" ht="15" hidden="1" x14ac:dyDescent="0.2">
      <c r="A1120" s="10">
        <f t="shared" si="210"/>
        <v>2064</v>
      </c>
      <c r="B1120" s="10">
        <f t="shared" si="218"/>
        <v>366</v>
      </c>
      <c r="C1120" s="83">
        <f t="shared" ca="1" si="236"/>
        <v>154.75824999999998</v>
      </c>
      <c r="D1120" s="83">
        <f t="shared" ca="1" si="236"/>
        <v>281.01624999999996</v>
      </c>
      <c r="E1120" s="83">
        <f t="shared" ca="1" si="236"/>
        <v>109.1005</v>
      </c>
      <c r="F1120" s="83">
        <f t="shared" ca="1" si="236"/>
        <v>57.041666666666657</v>
      </c>
      <c r="G1120" s="83">
        <f t="shared" ca="1" si="236"/>
        <v>40</v>
      </c>
      <c r="H1120" s="83">
        <f t="shared" ca="1" si="236"/>
        <v>174.58333333333334</v>
      </c>
      <c r="I1120" s="83">
        <f t="shared" ca="1" si="236"/>
        <v>0</v>
      </c>
      <c r="J1120" s="83">
        <f t="shared" ca="1" si="236"/>
        <v>100</v>
      </c>
      <c r="K1120" s="83">
        <f t="shared" ca="1" si="236"/>
        <v>300</v>
      </c>
      <c r="L1120" s="83">
        <f t="shared" ca="1" si="236"/>
        <v>1216.5</v>
      </c>
      <c r="M1120" s="83">
        <f t="shared" ca="1" si="237"/>
        <v>600</v>
      </c>
      <c r="N1120" s="83">
        <f t="shared" ca="1" si="237"/>
        <v>72.5</v>
      </c>
      <c r="O1120" s="83">
        <f t="shared" ca="1" si="237"/>
        <v>240</v>
      </c>
      <c r="P1120" s="83">
        <f t="shared" ca="1" si="237"/>
        <v>40</v>
      </c>
      <c r="Q1120" s="83">
        <f t="shared" ca="1" si="237"/>
        <v>315</v>
      </c>
      <c r="R1120" s="83">
        <f t="shared" ca="1" si="237"/>
        <v>100</v>
      </c>
      <c r="S1120" s="83">
        <f t="shared" ca="1" si="237"/>
        <v>695</v>
      </c>
      <c r="T1120" s="83">
        <f t="shared" ca="1" si="237"/>
        <v>33.333333333333336</v>
      </c>
      <c r="U1120" s="84"/>
      <c r="V1120" s="84"/>
      <c r="W1120" s="84"/>
      <c r="X1120" s="84"/>
      <c r="Y1120" s="84"/>
      <c r="Z1120" s="84"/>
      <c r="AA1120" s="84"/>
      <c r="AB1120" s="84"/>
      <c r="AC1120" s="84"/>
      <c r="AD1120" s="84"/>
    </row>
    <row r="1121" spans="1:30" ht="15" hidden="1" x14ac:dyDescent="0.2">
      <c r="A1121" s="10">
        <f t="shared" si="210"/>
        <v>2065</v>
      </c>
      <c r="B1121" s="10">
        <f t="shared" si="218"/>
        <v>365</v>
      </c>
      <c r="C1121" s="83">
        <f t="shared" ca="1" si="236"/>
        <v>154.75824999999998</v>
      </c>
      <c r="D1121" s="83">
        <f t="shared" ca="1" si="236"/>
        <v>281.01624999999996</v>
      </c>
      <c r="E1121" s="83">
        <f t="shared" ca="1" si="236"/>
        <v>109.1005</v>
      </c>
      <c r="F1121" s="83">
        <f t="shared" ca="1" si="236"/>
        <v>57.041666666666657</v>
      </c>
      <c r="G1121" s="83">
        <f t="shared" ca="1" si="236"/>
        <v>40</v>
      </c>
      <c r="H1121" s="83">
        <f t="shared" ca="1" si="236"/>
        <v>174.58333333333334</v>
      </c>
      <c r="I1121" s="83">
        <f t="shared" ca="1" si="236"/>
        <v>0</v>
      </c>
      <c r="J1121" s="83">
        <f t="shared" ca="1" si="236"/>
        <v>100</v>
      </c>
      <c r="K1121" s="83">
        <f t="shared" ca="1" si="236"/>
        <v>300</v>
      </c>
      <c r="L1121" s="83">
        <f t="shared" ca="1" si="236"/>
        <v>1216.5</v>
      </c>
      <c r="M1121" s="83">
        <f t="shared" ca="1" si="237"/>
        <v>600</v>
      </c>
      <c r="N1121" s="83">
        <f t="shared" ca="1" si="237"/>
        <v>72.5</v>
      </c>
      <c r="O1121" s="83">
        <f t="shared" ca="1" si="237"/>
        <v>240</v>
      </c>
      <c r="P1121" s="83">
        <f t="shared" ca="1" si="237"/>
        <v>40</v>
      </c>
      <c r="Q1121" s="83">
        <f t="shared" ca="1" si="237"/>
        <v>315</v>
      </c>
      <c r="R1121" s="83">
        <f t="shared" ca="1" si="237"/>
        <v>100</v>
      </c>
      <c r="S1121" s="83">
        <f t="shared" ca="1" si="237"/>
        <v>695</v>
      </c>
      <c r="T1121" s="83">
        <f t="shared" ca="1" si="237"/>
        <v>33.333333333333336</v>
      </c>
      <c r="U1121" s="84"/>
      <c r="V1121" s="84"/>
      <c r="W1121" s="84"/>
      <c r="X1121" s="84"/>
      <c r="Y1121" s="84"/>
      <c r="Z1121" s="84"/>
      <c r="AA1121" s="84"/>
      <c r="AB1121" s="84"/>
      <c r="AC1121" s="84"/>
      <c r="AD1121" s="84"/>
    </row>
    <row r="1122" spans="1:30" ht="15" hidden="1" x14ac:dyDescent="0.2">
      <c r="A1122" s="10">
        <f t="shared" si="210"/>
        <v>2066</v>
      </c>
      <c r="B1122" s="10">
        <f t="shared" si="218"/>
        <v>365</v>
      </c>
      <c r="C1122" s="83">
        <f t="shared" ca="1" si="236"/>
        <v>154.75824999999998</v>
      </c>
      <c r="D1122" s="83">
        <f t="shared" ca="1" si="236"/>
        <v>281.01624999999996</v>
      </c>
      <c r="E1122" s="83">
        <f t="shared" ca="1" si="236"/>
        <v>109.1005</v>
      </c>
      <c r="F1122" s="83">
        <f t="shared" ca="1" si="236"/>
        <v>57.041666666666657</v>
      </c>
      <c r="G1122" s="83">
        <f t="shared" ca="1" si="236"/>
        <v>40</v>
      </c>
      <c r="H1122" s="83">
        <f t="shared" ca="1" si="236"/>
        <v>174.58333333333334</v>
      </c>
      <c r="I1122" s="83">
        <f t="shared" ca="1" si="236"/>
        <v>0</v>
      </c>
      <c r="J1122" s="83">
        <f t="shared" ca="1" si="236"/>
        <v>100</v>
      </c>
      <c r="K1122" s="83">
        <f t="shared" ca="1" si="236"/>
        <v>300</v>
      </c>
      <c r="L1122" s="83">
        <f t="shared" ca="1" si="236"/>
        <v>1216.5</v>
      </c>
      <c r="M1122" s="83">
        <f t="shared" ca="1" si="237"/>
        <v>600</v>
      </c>
      <c r="N1122" s="83">
        <f t="shared" ca="1" si="237"/>
        <v>72.5</v>
      </c>
      <c r="O1122" s="83">
        <f t="shared" ca="1" si="237"/>
        <v>240</v>
      </c>
      <c r="P1122" s="83">
        <f t="shared" ca="1" si="237"/>
        <v>40</v>
      </c>
      <c r="Q1122" s="83">
        <f t="shared" ca="1" si="237"/>
        <v>315</v>
      </c>
      <c r="R1122" s="83">
        <f t="shared" ca="1" si="237"/>
        <v>100</v>
      </c>
      <c r="S1122" s="83">
        <f t="shared" ca="1" si="237"/>
        <v>695</v>
      </c>
      <c r="T1122" s="83">
        <f t="shared" ca="1" si="237"/>
        <v>33.333333333333336</v>
      </c>
      <c r="U1122" s="84"/>
      <c r="V1122" s="84"/>
      <c r="W1122" s="84"/>
      <c r="X1122" s="84"/>
      <c r="Y1122" s="84"/>
      <c r="Z1122" s="84"/>
      <c r="AA1122" s="84"/>
      <c r="AB1122" s="84"/>
      <c r="AC1122" s="84"/>
      <c r="AD1122" s="84"/>
    </row>
    <row r="1123" spans="1:30" ht="15" hidden="1" x14ac:dyDescent="0.2">
      <c r="A1123" s="10">
        <f t="shared" si="210"/>
        <v>2067</v>
      </c>
      <c r="B1123" s="10">
        <f t="shared" si="218"/>
        <v>365</v>
      </c>
      <c r="C1123" s="83">
        <f t="shared" ca="1" si="236"/>
        <v>154.75824999999998</v>
      </c>
      <c r="D1123" s="83">
        <f t="shared" ca="1" si="236"/>
        <v>281.01624999999996</v>
      </c>
      <c r="E1123" s="83">
        <f t="shared" ca="1" si="236"/>
        <v>109.1005</v>
      </c>
      <c r="F1123" s="83">
        <f t="shared" ca="1" si="236"/>
        <v>57.041666666666657</v>
      </c>
      <c r="G1123" s="83">
        <f t="shared" ca="1" si="236"/>
        <v>40</v>
      </c>
      <c r="H1123" s="83">
        <f t="shared" ca="1" si="236"/>
        <v>174.58333333333334</v>
      </c>
      <c r="I1123" s="83">
        <f t="shared" ca="1" si="236"/>
        <v>0</v>
      </c>
      <c r="J1123" s="83">
        <f t="shared" ca="1" si="236"/>
        <v>100</v>
      </c>
      <c r="K1123" s="83">
        <f t="shared" ca="1" si="236"/>
        <v>300</v>
      </c>
      <c r="L1123" s="83">
        <f t="shared" ca="1" si="236"/>
        <v>1216.5</v>
      </c>
      <c r="M1123" s="83">
        <f t="shared" ca="1" si="237"/>
        <v>600</v>
      </c>
      <c r="N1123" s="83">
        <f t="shared" ca="1" si="237"/>
        <v>72.5</v>
      </c>
      <c r="O1123" s="83">
        <f t="shared" ca="1" si="237"/>
        <v>240</v>
      </c>
      <c r="P1123" s="83">
        <f t="shared" ca="1" si="237"/>
        <v>40</v>
      </c>
      <c r="Q1123" s="83">
        <f t="shared" ca="1" si="237"/>
        <v>315</v>
      </c>
      <c r="R1123" s="83">
        <f t="shared" ca="1" si="237"/>
        <v>100</v>
      </c>
      <c r="S1123" s="83">
        <f t="shared" ca="1" si="237"/>
        <v>695</v>
      </c>
      <c r="T1123" s="83">
        <f t="shared" ca="1" si="237"/>
        <v>33.333333333333336</v>
      </c>
      <c r="U1123" s="84"/>
      <c r="V1123" s="84"/>
      <c r="W1123" s="84"/>
      <c r="X1123" s="84"/>
      <c r="Y1123" s="84"/>
      <c r="Z1123" s="84"/>
      <c r="AA1123" s="84"/>
      <c r="AB1123" s="84"/>
      <c r="AC1123" s="84"/>
      <c r="AD1123" s="84"/>
    </row>
    <row r="1124" spans="1:30" ht="15" hidden="1" x14ac:dyDescent="0.2">
      <c r="A1124" s="10">
        <f t="shared" si="210"/>
        <v>2068</v>
      </c>
      <c r="B1124" s="10">
        <f t="shared" si="218"/>
        <v>366</v>
      </c>
      <c r="C1124" s="83">
        <f t="shared" ca="1" si="236"/>
        <v>154.75824999999998</v>
      </c>
      <c r="D1124" s="83">
        <f t="shared" ca="1" si="236"/>
        <v>281.01624999999996</v>
      </c>
      <c r="E1124" s="83">
        <f t="shared" ca="1" si="236"/>
        <v>109.1005</v>
      </c>
      <c r="F1124" s="83">
        <f t="shared" ca="1" si="236"/>
        <v>57.041666666666657</v>
      </c>
      <c r="G1124" s="83">
        <f t="shared" ca="1" si="236"/>
        <v>40</v>
      </c>
      <c r="H1124" s="83">
        <f t="shared" ca="1" si="236"/>
        <v>174.58333333333334</v>
      </c>
      <c r="I1124" s="83">
        <f t="shared" ca="1" si="236"/>
        <v>0</v>
      </c>
      <c r="J1124" s="83">
        <f t="shared" ca="1" si="236"/>
        <v>100</v>
      </c>
      <c r="K1124" s="83">
        <f t="shared" ca="1" si="236"/>
        <v>300</v>
      </c>
      <c r="L1124" s="83">
        <f t="shared" ca="1" si="236"/>
        <v>1216.5</v>
      </c>
      <c r="M1124" s="83">
        <f t="shared" ca="1" si="237"/>
        <v>600</v>
      </c>
      <c r="N1124" s="83">
        <f t="shared" ca="1" si="237"/>
        <v>72.5</v>
      </c>
      <c r="O1124" s="83">
        <f t="shared" ca="1" si="237"/>
        <v>240</v>
      </c>
      <c r="P1124" s="83">
        <f t="shared" ca="1" si="237"/>
        <v>40</v>
      </c>
      <c r="Q1124" s="83">
        <f t="shared" ca="1" si="237"/>
        <v>315</v>
      </c>
      <c r="R1124" s="83">
        <f t="shared" ca="1" si="237"/>
        <v>100</v>
      </c>
      <c r="S1124" s="83">
        <f t="shared" ca="1" si="237"/>
        <v>695</v>
      </c>
      <c r="T1124" s="83">
        <f t="shared" ca="1" si="237"/>
        <v>33.333333333333336</v>
      </c>
      <c r="U1124" s="84"/>
      <c r="V1124" s="84"/>
      <c r="W1124" s="84"/>
      <c r="X1124" s="84"/>
      <c r="Y1124" s="84"/>
      <c r="Z1124" s="84"/>
      <c r="AA1124" s="84"/>
      <c r="AB1124" s="84"/>
      <c r="AC1124" s="84"/>
      <c r="AD1124" s="84"/>
    </row>
    <row r="1125" spans="1:30" ht="15" hidden="1" x14ac:dyDescent="0.2">
      <c r="A1125" s="10">
        <f t="shared" si="210"/>
        <v>2069</v>
      </c>
      <c r="B1125" s="10">
        <f t="shared" si="218"/>
        <v>365</v>
      </c>
      <c r="C1125" s="83">
        <f t="shared" ca="1" si="236"/>
        <v>154.75824999999998</v>
      </c>
      <c r="D1125" s="83">
        <f t="shared" ca="1" si="236"/>
        <v>281.01624999999996</v>
      </c>
      <c r="E1125" s="83">
        <f t="shared" ca="1" si="236"/>
        <v>109.1005</v>
      </c>
      <c r="F1125" s="83">
        <f t="shared" ca="1" si="236"/>
        <v>57.041666666666657</v>
      </c>
      <c r="G1125" s="83">
        <f t="shared" ca="1" si="236"/>
        <v>40</v>
      </c>
      <c r="H1125" s="83">
        <f t="shared" ca="1" si="236"/>
        <v>174.58333333333334</v>
      </c>
      <c r="I1125" s="83">
        <f t="shared" ca="1" si="236"/>
        <v>0</v>
      </c>
      <c r="J1125" s="83">
        <f t="shared" ca="1" si="236"/>
        <v>100</v>
      </c>
      <c r="K1125" s="83">
        <f t="shared" ca="1" si="236"/>
        <v>300</v>
      </c>
      <c r="L1125" s="83">
        <f t="shared" ca="1" si="236"/>
        <v>1216.5</v>
      </c>
      <c r="M1125" s="83">
        <f t="shared" ca="1" si="237"/>
        <v>600</v>
      </c>
      <c r="N1125" s="83">
        <f t="shared" ca="1" si="237"/>
        <v>72.5</v>
      </c>
      <c r="O1125" s="83">
        <f t="shared" ca="1" si="237"/>
        <v>240</v>
      </c>
      <c r="P1125" s="83">
        <f t="shared" ca="1" si="237"/>
        <v>40</v>
      </c>
      <c r="Q1125" s="83">
        <f t="shared" ca="1" si="237"/>
        <v>315</v>
      </c>
      <c r="R1125" s="83">
        <f t="shared" ca="1" si="237"/>
        <v>100</v>
      </c>
      <c r="S1125" s="83">
        <f t="shared" ca="1" si="237"/>
        <v>695</v>
      </c>
      <c r="T1125" s="83">
        <f t="shared" ca="1" si="237"/>
        <v>33.333333333333336</v>
      </c>
      <c r="U1125" s="84"/>
      <c r="V1125" s="84"/>
      <c r="W1125" s="84"/>
      <c r="X1125" s="84"/>
      <c r="Y1125" s="84"/>
      <c r="Z1125" s="84"/>
      <c r="AA1125" s="84"/>
      <c r="AB1125" s="84"/>
      <c r="AC1125" s="84"/>
      <c r="AD1125" s="84"/>
    </row>
    <row r="1126" spans="1:30" ht="15" hidden="1" x14ac:dyDescent="0.2">
      <c r="A1126" s="10">
        <f t="shared" ref="A1126:A1156" si="238">A1125+1</f>
        <v>2070</v>
      </c>
      <c r="B1126" s="10">
        <f t="shared" si="218"/>
        <v>365</v>
      </c>
      <c r="C1126" s="83">
        <f t="shared" ca="1" si="236"/>
        <v>154.75824999999998</v>
      </c>
      <c r="D1126" s="83">
        <f t="shared" ca="1" si="236"/>
        <v>281.01624999999996</v>
      </c>
      <c r="E1126" s="83">
        <f t="shared" ca="1" si="236"/>
        <v>109.1005</v>
      </c>
      <c r="F1126" s="83">
        <f t="shared" ca="1" si="236"/>
        <v>57.041666666666657</v>
      </c>
      <c r="G1126" s="83">
        <f t="shared" ca="1" si="236"/>
        <v>40</v>
      </c>
      <c r="H1126" s="83">
        <f t="shared" ca="1" si="236"/>
        <v>174.58333333333334</v>
      </c>
      <c r="I1126" s="83">
        <f t="shared" ca="1" si="236"/>
        <v>0</v>
      </c>
      <c r="J1126" s="83">
        <f t="shared" ca="1" si="236"/>
        <v>100</v>
      </c>
      <c r="K1126" s="83">
        <f t="shared" ca="1" si="236"/>
        <v>300</v>
      </c>
      <c r="L1126" s="83">
        <f t="shared" ca="1" si="236"/>
        <v>1216.5</v>
      </c>
      <c r="M1126" s="83">
        <f t="shared" ca="1" si="237"/>
        <v>600</v>
      </c>
      <c r="N1126" s="83">
        <f t="shared" ca="1" si="237"/>
        <v>72.5</v>
      </c>
      <c r="O1126" s="83">
        <f t="shared" ca="1" si="237"/>
        <v>240</v>
      </c>
      <c r="P1126" s="83">
        <f t="shared" ca="1" si="237"/>
        <v>40</v>
      </c>
      <c r="Q1126" s="83">
        <f t="shared" ca="1" si="237"/>
        <v>315</v>
      </c>
      <c r="R1126" s="83">
        <f t="shared" ca="1" si="237"/>
        <v>100</v>
      </c>
      <c r="S1126" s="83">
        <f t="shared" ca="1" si="237"/>
        <v>695</v>
      </c>
      <c r="T1126" s="83">
        <f t="shared" ca="1" si="237"/>
        <v>33.333333333333336</v>
      </c>
      <c r="U1126" s="84"/>
      <c r="V1126" s="84"/>
      <c r="W1126" s="84"/>
      <c r="X1126" s="84"/>
      <c r="Y1126" s="84"/>
      <c r="Z1126" s="84"/>
      <c r="AA1126" s="84"/>
      <c r="AB1126" s="84"/>
      <c r="AC1126" s="84"/>
      <c r="AD1126" s="84"/>
    </row>
    <row r="1127" spans="1:30" ht="15" hidden="1" x14ac:dyDescent="0.2">
      <c r="A1127" s="10">
        <f t="shared" si="238"/>
        <v>2071</v>
      </c>
      <c r="B1127" s="10">
        <f t="shared" si="218"/>
        <v>365</v>
      </c>
      <c r="C1127" s="83">
        <f t="shared" ca="1" si="236"/>
        <v>154.75824999999998</v>
      </c>
      <c r="D1127" s="83">
        <f t="shared" ca="1" si="236"/>
        <v>281.01624999999996</v>
      </c>
      <c r="E1127" s="83">
        <f t="shared" ca="1" si="236"/>
        <v>109.1005</v>
      </c>
      <c r="F1127" s="83">
        <f t="shared" ca="1" si="236"/>
        <v>57.041666666666657</v>
      </c>
      <c r="G1127" s="83">
        <f t="shared" ca="1" si="236"/>
        <v>40</v>
      </c>
      <c r="H1127" s="83">
        <f t="shared" ca="1" si="236"/>
        <v>174.58333333333334</v>
      </c>
      <c r="I1127" s="83">
        <f t="shared" ca="1" si="236"/>
        <v>0</v>
      </c>
      <c r="J1127" s="83">
        <f t="shared" ca="1" si="236"/>
        <v>100</v>
      </c>
      <c r="K1127" s="83">
        <f t="shared" ca="1" si="236"/>
        <v>300</v>
      </c>
      <c r="L1127" s="83">
        <f t="shared" ca="1" si="236"/>
        <v>1216.5</v>
      </c>
      <c r="M1127" s="83">
        <f t="shared" ca="1" si="237"/>
        <v>600</v>
      </c>
      <c r="N1127" s="83">
        <f t="shared" ca="1" si="237"/>
        <v>72.5</v>
      </c>
      <c r="O1127" s="83">
        <f t="shared" ca="1" si="237"/>
        <v>240</v>
      </c>
      <c r="P1127" s="83">
        <f t="shared" ca="1" si="237"/>
        <v>40</v>
      </c>
      <c r="Q1127" s="83">
        <f t="shared" ca="1" si="237"/>
        <v>315</v>
      </c>
      <c r="R1127" s="83">
        <f t="shared" ca="1" si="237"/>
        <v>100</v>
      </c>
      <c r="S1127" s="83">
        <f t="shared" ca="1" si="237"/>
        <v>695</v>
      </c>
      <c r="T1127" s="83">
        <f t="shared" ca="1" si="237"/>
        <v>33.333333333333336</v>
      </c>
      <c r="U1127" s="84"/>
      <c r="V1127" s="84"/>
      <c r="W1127" s="84"/>
      <c r="X1127" s="84"/>
      <c r="Y1127" s="84"/>
      <c r="Z1127" s="84"/>
      <c r="AA1127" s="84"/>
      <c r="AB1127" s="84"/>
      <c r="AC1127" s="84"/>
      <c r="AD1127" s="84"/>
    </row>
    <row r="1128" spans="1:30" ht="15" hidden="1" x14ac:dyDescent="0.2">
      <c r="A1128" s="10">
        <f t="shared" si="238"/>
        <v>2072</v>
      </c>
      <c r="B1128" s="10">
        <f t="shared" si="218"/>
        <v>366</v>
      </c>
      <c r="C1128" s="83">
        <f t="shared" ref="C1128:L1137" ca="1" si="239">AVERAGE(OFFSET(C$600,($A1128-$A$1118)*12,0,12,1))</f>
        <v>154.75824999999998</v>
      </c>
      <c r="D1128" s="83">
        <f t="shared" ca="1" si="239"/>
        <v>281.01624999999996</v>
      </c>
      <c r="E1128" s="83">
        <f t="shared" ca="1" si="239"/>
        <v>109.1005</v>
      </c>
      <c r="F1128" s="83">
        <f t="shared" ca="1" si="239"/>
        <v>57.041666666666657</v>
      </c>
      <c r="G1128" s="83">
        <f t="shared" ca="1" si="239"/>
        <v>40</v>
      </c>
      <c r="H1128" s="83">
        <f t="shared" ca="1" si="239"/>
        <v>174.58333333333334</v>
      </c>
      <c r="I1128" s="83">
        <f t="shared" ca="1" si="239"/>
        <v>0</v>
      </c>
      <c r="J1128" s="83">
        <f t="shared" ca="1" si="239"/>
        <v>100</v>
      </c>
      <c r="K1128" s="83">
        <f t="shared" ca="1" si="239"/>
        <v>300</v>
      </c>
      <c r="L1128" s="83">
        <f t="shared" ca="1" si="239"/>
        <v>1216.5</v>
      </c>
      <c r="M1128" s="83">
        <f t="shared" ref="M1128:T1137" ca="1" si="240">AVERAGE(OFFSET(M$600,($A1128-$A$1118)*12,0,12,1))</f>
        <v>600</v>
      </c>
      <c r="N1128" s="83">
        <f t="shared" ca="1" si="240"/>
        <v>72.5</v>
      </c>
      <c r="O1128" s="83">
        <f t="shared" ca="1" si="240"/>
        <v>240</v>
      </c>
      <c r="P1128" s="83">
        <f t="shared" ca="1" si="240"/>
        <v>40</v>
      </c>
      <c r="Q1128" s="83">
        <f t="shared" ca="1" si="240"/>
        <v>315</v>
      </c>
      <c r="R1128" s="83">
        <f t="shared" ca="1" si="240"/>
        <v>100</v>
      </c>
      <c r="S1128" s="83">
        <f t="shared" ca="1" si="240"/>
        <v>695</v>
      </c>
      <c r="T1128" s="83">
        <f t="shared" ca="1" si="240"/>
        <v>33.333333333333336</v>
      </c>
      <c r="U1128" s="84"/>
      <c r="V1128" s="84"/>
      <c r="W1128" s="84"/>
      <c r="X1128" s="84"/>
      <c r="Y1128" s="84"/>
      <c r="Z1128" s="84"/>
      <c r="AA1128" s="84"/>
      <c r="AB1128" s="84"/>
      <c r="AC1128" s="84"/>
      <c r="AD1128" s="84"/>
    </row>
    <row r="1129" spans="1:30" ht="15" hidden="1" x14ac:dyDescent="0.2">
      <c r="A1129" s="10">
        <f t="shared" si="238"/>
        <v>2073</v>
      </c>
      <c r="B1129" s="10">
        <f t="shared" si="218"/>
        <v>365</v>
      </c>
      <c r="C1129" s="83">
        <f t="shared" ca="1" si="239"/>
        <v>154.75824999999998</v>
      </c>
      <c r="D1129" s="83">
        <f t="shared" ca="1" si="239"/>
        <v>281.01624999999996</v>
      </c>
      <c r="E1129" s="83">
        <f t="shared" ca="1" si="239"/>
        <v>109.1005</v>
      </c>
      <c r="F1129" s="83">
        <f t="shared" ca="1" si="239"/>
        <v>57.041666666666657</v>
      </c>
      <c r="G1129" s="83">
        <f t="shared" ca="1" si="239"/>
        <v>40</v>
      </c>
      <c r="H1129" s="83">
        <f t="shared" ca="1" si="239"/>
        <v>174.58333333333334</v>
      </c>
      <c r="I1129" s="83">
        <f t="shared" ca="1" si="239"/>
        <v>0</v>
      </c>
      <c r="J1129" s="83">
        <f t="shared" ca="1" si="239"/>
        <v>100</v>
      </c>
      <c r="K1129" s="83">
        <f t="shared" ca="1" si="239"/>
        <v>300</v>
      </c>
      <c r="L1129" s="83">
        <f t="shared" ca="1" si="239"/>
        <v>1216.5</v>
      </c>
      <c r="M1129" s="83">
        <f t="shared" ca="1" si="240"/>
        <v>600</v>
      </c>
      <c r="N1129" s="83">
        <f t="shared" ca="1" si="240"/>
        <v>72.5</v>
      </c>
      <c r="O1129" s="83">
        <f t="shared" ca="1" si="240"/>
        <v>240</v>
      </c>
      <c r="P1129" s="83">
        <f t="shared" ca="1" si="240"/>
        <v>40</v>
      </c>
      <c r="Q1129" s="83">
        <f t="shared" ca="1" si="240"/>
        <v>315</v>
      </c>
      <c r="R1129" s="83">
        <f t="shared" ca="1" si="240"/>
        <v>100</v>
      </c>
      <c r="S1129" s="83">
        <f t="shared" ca="1" si="240"/>
        <v>695</v>
      </c>
      <c r="T1129" s="83">
        <f t="shared" ca="1" si="240"/>
        <v>33.333333333333336</v>
      </c>
      <c r="U1129" s="84"/>
      <c r="V1129" s="84"/>
      <c r="W1129" s="84"/>
      <c r="X1129" s="84"/>
      <c r="Y1129" s="84"/>
      <c r="Z1129" s="84"/>
      <c r="AA1129" s="84"/>
      <c r="AB1129" s="84"/>
      <c r="AC1129" s="84"/>
      <c r="AD1129" s="84"/>
    </row>
    <row r="1130" spans="1:30" ht="15" hidden="1" x14ac:dyDescent="0.2">
      <c r="A1130" s="10">
        <f t="shared" si="238"/>
        <v>2074</v>
      </c>
      <c r="B1130" s="10">
        <f t="shared" si="218"/>
        <v>365</v>
      </c>
      <c r="C1130" s="83">
        <f t="shared" ca="1" si="239"/>
        <v>154.75824999999998</v>
      </c>
      <c r="D1130" s="83">
        <f t="shared" ca="1" si="239"/>
        <v>281.01624999999996</v>
      </c>
      <c r="E1130" s="83">
        <f t="shared" ca="1" si="239"/>
        <v>109.1005</v>
      </c>
      <c r="F1130" s="83">
        <f t="shared" ca="1" si="239"/>
        <v>57.041666666666657</v>
      </c>
      <c r="G1130" s="83">
        <f t="shared" ca="1" si="239"/>
        <v>40</v>
      </c>
      <c r="H1130" s="83">
        <f t="shared" ca="1" si="239"/>
        <v>174.58333333333334</v>
      </c>
      <c r="I1130" s="83">
        <f t="shared" ca="1" si="239"/>
        <v>0</v>
      </c>
      <c r="J1130" s="83">
        <f t="shared" ca="1" si="239"/>
        <v>100</v>
      </c>
      <c r="K1130" s="83">
        <f t="shared" ca="1" si="239"/>
        <v>300</v>
      </c>
      <c r="L1130" s="83">
        <f t="shared" ca="1" si="239"/>
        <v>1216.5</v>
      </c>
      <c r="M1130" s="83">
        <f t="shared" ca="1" si="240"/>
        <v>600</v>
      </c>
      <c r="N1130" s="83">
        <f t="shared" ca="1" si="240"/>
        <v>72.5</v>
      </c>
      <c r="O1130" s="83">
        <f t="shared" ca="1" si="240"/>
        <v>240</v>
      </c>
      <c r="P1130" s="83">
        <f t="shared" ca="1" si="240"/>
        <v>40</v>
      </c>
      <c r="Q1130" s="83">
        <f t="shared" ca="1" si="240"/>
        <v>315</v>
      </c>
      <c r="R1130" s="83">
        <f t="shared" ca="1" si="240"/>
        <v>100</v>
      </c>
      <c r="S1130" s="83">
        <f t="shared" ca="1" si="240"/>
        <v>695</v>
      </c>
      <c r="T1130" s="83">
        <f t="shared" ca="1" si="240"/>
        <v>33.333333333333336</v>
      </c>
      <c r="U1130" s="84"/>
      <c r="V1130" s="84"/>
      <c r="W1130" s="84"/>
      <c r="X1130" s="84"/>
      <c r="Y1130" s="84"/>
      <c r="Z1130" s="84"/>
      <c r="AA1130" s="84"/>
      <c r="AB1130" s="84"/>
      <c r="AC1130" s="84"/>
      <c r="AD1130" s="84"/>
    </row>
    <row r="1131" spans="1:30" ht="15" hidden="1" x14ac:dyDescent="0.2">
      <c r="A1131" s="10">
        <f t="shared" si="238"/>
        <v>2075</v>
      </c>
      <c r="B1131" s="10">
        <f t="shared" si="218"/>
        <v>365</v>
      </c>
      <c r="C1131" s="83">
        <f t="shared" ca="1" si="239"/>
        <v>154.75824999999998</v>
      </c>
      <c r="D1131" s="83">
        <f t="shared" ca="1" si="239"/>
        <v>281.01624999999996</v>
      </c>
      <c r="E1131" s="83">
        <f t="shared" ca="1" si="239"/>
        <v>109.1005</v>
      </c>
      <c r="F1131" s="83">
        <f t="shared" ca="1" si="239"/>
        <v>57.041666666666657</v>
      </c>
      <c r="G1131" s="83">
        <f t="shared" ca="1" si="239"/>
        <v>40</v>
      </c>
      <c r="H1131" s="83">
        <f t="shared" ca="1" si="239"/>
        <v>174.58333333333334</v>
      </c>
      <c r="I1131" s="83">
        <f t="shared" ca="1" si="239"/>
        <v>0</v>
      </c>
      <c r="J1131" s="83">
        <f t="shared" ca="1" si="239"/>
        <v>100</v>
      </c>
      <c r="K1131" s="83">
        <f t="shared" ca="1" si="239"/>
        <v>300</v>
      </c>
      <c r="L1131" s="83">
        <f t="shared" ca="1" si="239"/>
        <v>1216.5</v>
      </c>
      <c r="M1131" s="83">
        <f t="shared" ca="1" si="240"/>
        <v>600</v>
      </c>
      <c r="N1131" s="83">
        <f t="shared" ca="1" si="240"/>
        <v>72.5</v>
      </c>
      <c r="O1131" s="83">
        <f t="shared" ca="1" si="240"/>
        <v>240</v>
      </c>
      <c r="P1131" s="83">
        <f t="shared" ca="1" si="240"/>
        <v>40</v>
      </c>
      <c r="Q1131" s="83">
        <f t="shared" ca="1" si="240"/>
        <v>315</v>
      </c>
      <c r="R1131" s="83">
        <f t="shared" ca="1" si="240"/>
        <v>100</v>
      </c>
      <c r="S1131" s="83">
        <f t="shared" ca="1" si="240"/>
        <v>695</v>
      </c>
      <c r="T1131" s="83">
        <f t="shared" ca="1" si="240"/>
        <v>33.333333333333336</v>
      </c>
      <c r="U1131" s="84"/>
      <c r="V1131" s="84"/>
      <c r="W1131" s="84"/>
      <c r="X1131" s="84"/>
      <c r="Y1131" s="84"/>
      <c r="Z1131" s="84"/>
      <c r="AA1131" s="84"/>
      <c r="AB1131" s="84"/>
      <c r="AC1131" s="84"/>
      <c r="AD1131" s="84"/>
    </row>
    <row r="1132" spans="1:30" ht="15" hidden="1" x14ac:dyDescent="0.2">
      <c r="A1132" s="10">
        <f t="shared" si="238"/>
        <v>2076</v>
      </c>
      <c r="B1132" s="10">
        <f t="shared" si="218"/>
        <v>366</v>
      </c>
      <c r="C1132" s="83">
        <f t="shared" ca="1" si="239"/>
        <v>154.75824999999998</v>
      </c>
      <c r="D1132" s="83">
        <f t="shared" ca="1" si="239"/>
        <v>281.01624999999996</v>
      </c>
      <c r="E1132" s="83">
        <f t="shared" ca="1" si="239"/>
        <v>109.1005</v>
      </c>
      <c r="F1132" s="83">
        <f t="shared" ca="1" si="239"/>
        <v>57.041666666666657</v>
      </c>
      <c r="G1132" s="83">
        <f t="shared" ca="1" si="239"/>
        <v>40</v>
      </c>
      <c r="H1132" s="83">
        <f t="shared" ca="1" si="239"/>
        <v>174.58333333333334</v>
      </c>
      <c r="I1132" s="83">
        <f t="shared" ca="1" si="239"/>
        <v>0</v>
      </c>
      <c r="J1132" s="83">
        <f t="shared" ca="1" si="239"/>
        <v>100</v>
      </c>
      <c r="K1132" s="83">
        <f t="shared" ca="1" si="239"/>
        <v>300</v>
      </c>
      <c r="L1132" s="83">
        <f t="shared" ca="1" si="239"/>
        <v>1216.5</v>
      </c>
      <c r="M1132" s="83">
        <f t="shared" ca="1" si="240"/>
        <v>600</v>
      </c>
      <c r="N1132" s="83">
        <f t="shared" ca="1" si="240"/>
        <v>72.5</v>
      </c>
      <c r="O1132" s="83">
        <f t="shared" ca="1" si="240"/>
        <v>240</v>
      </c>
      <c r="P1132" s="83">
        <f t="shared" ca="1" si="240"/>
        <v>40</v>
      </c>
      <c r="Q1132" s="83">
        <f t="shared" ca="1" si="240"/>
        <v>315</v>
      </c>
      <c r="R1132" s="83">
        <f t="shared" ca="1" si="240"/>
        <v>100</v>
      </c>
      <c r="S1132" s="83">
        <f t="shared" ca="1" si="240"/>
        <v>695</v>
      </c>
      <c r="T1132" s="83">
        <f t="shared" ca="1" si="240"/>
        <v>33.333333333333336</v>
      </c>
      <c r="U1132" s="84"/>
      <c r="V1132" s="84"/>
      <c r="W1132" s="84"/>
      <c r="X1132" s="84"/>
      <c r="Y1132" s="84"/>
      <c r="Z1132" s="84"/>
      <c r="AA1132" s="84"/>
      <c r="AB1132" s="84"/>
      <c r="AC1132" s="84"/>
      <c r="AD1132" s="84"/>
    </row>
    <row r="1133" spans="1:30" ht="15" hidden="1" x14ac:dyDescent="0.2">
      <c r="A1133" s="10">
        <f t="shared" si="238"/>
        <v>2077</v>
      </c>
      <c r="B1133" s="10">
        <f t="shared" ref="B1133:B1156" si="241">DATE(A1133+1,1,1)-DATE(A1133,1,1)</f>
        <v>365</v>
      </c>
      <c r="C1133" s="83">
        <f t="shared" ca="1" si="239"/>
        <v>154.75824999999998</v>
      </c>
      <c r="D1133" s="83">
        <f t="shared" ca="1" si="239"/>
        <v>281.01624999999996</v>
      </c>
      <c r="E1133" s="83">
        <f t="shared" ca="1" si="239"/>
        <v>109.1005</v>
      </c>
      <c r="F1133" s="83">
        <f t="shared" ca="1" si="239"/>
        <v>57.041666666666657</v>
      </c>
      <c r="G1133" s="83">
        <f t="shared" ca="1" si="239"/>
        <v>40</v>
      </c>
      <c r="H1133" s="83">
        <f t="shared" ca="1" si="239"/>
        <v>174.58333333333334</v>
      </c>
      <c r="I1133" s="83">
        <f t="shared" ca="1" si="239"/>
        <v>0</v>
      </c>
      <c r="J1133" s="83">
        <f t="shared" ca="1" si="239"/>
        <v>100</v>
      </c>
      <c r="K1133" s="83">
        <f t="shared" ca="1" si="239"/>
        <v>300</v>
      </c>
      <c r="L1133" s="83">
        <f t="shared" ca="1" si="239"/>
        <v>1216.5</v>
      </c>
      <c r="M1133" s="83">
        <f t="shared" ca="1" si="240"/>
        <v>600</v>
      </c>
      <c r="N1133" s="83">
        <f t="shared" ca="1" si="240"/>
        <v>72.5</v>
      </c>
      <c r="O1133" s="83">
        <f t="shared" ca="1" si="240"/>
        <v>240</v>
      </c>
      <c r="P1133" s="83">
        <f t="shared" ca="1" si="240"/>
        <v>40</v>
      </c>
      <c r="Q1133" s="83">
        <f t="shared" ca="1" si="240"/>
        <v>315</v>
      </c>
      <c r="R1133" s="83">
        <f t="shared" ca="1" si="240"/>
        <v>100</v>
      </c>
      <c r="S1133" s="83">
        <f t="shared" ca="1" si="240"/>
        <v>695</v>
      </c>
      <c r="T1133" s="83">
        <f t="shared" ca="1" si="240"/>
        <v>33.333333333333336</v>
      </c>
      <c r="U1133" s="84"/>
      <c r="V1133" s="84"/>
      <c r="W1133" s="84"/>
      <c r="X1133" s="84"/>
      <c r="Y1133" s="84"/>
      <c r="Z1133" s="84"/>
      <c r="AA1133" s="84"/>
      <c r="AB1133" s="84"/>
      <c r="AC1133" s="84"/>
      <c r="AD1133" s="84"/>
    </row>
    <row r="1134" spans="1:30" ht="15" hidden="1" x14ac:dyDescent="0.2">
      <c r="A1134" s="10">
        <f t="shared" si="238"/>
        <v>2078</v>
      </c>
      <c r="B1134" s="10">
        <f t="shared" si="241"/>
        <v>365</v>
      </c>
      <c r="C1134" s="83">
        <f t="shared" ca="1" si="239"/>
        <v>154.75824999999998</v>
      </c>
      <c r="D1134" s="83">
        <f t="shared" ca="1" si="239"/>
        <v>281.01624999999996</v>
      </c>
      <c r="E1134" s="83">
        <f t="shared" ca="1" si="239"/>
        <v>109.1005</v>
      </c>
      <c r="F1134" s="83">
        <f t="shared" ca="1" si="239"/>
        <v>57.041666666666657</v>
      </c>
      <c r="G1134" s="83">
        <f t="shared" ca="1" si="239"/>
        <v>40</v>
      </c>
      <c r="H1134" s="83">
        <f t="shared" ca="1" si="239"/>
        <v>174.58333333333334</v>
      </c>
      <c r="I1134" s="83">
        <f t="shared" ca="1" si="239"/>
        <v>0</v>
      </c>
      <c r="J1134" s="83">
        <f t="shared" ca="1" si="239"/>
        <v>100</v>
      </c>
      <c r="K1134" s="83">
        <f t="shared" ca="1" si="239"/>
        <v>300</v>
      </c>
      <c r="L1134" s="83">
        <f t="shared" ca="1" si="239"/>
        <v>1216.5</v>
      </c>
      <c r="M1134" s="83">
        <f t="shared" ca="1" si="240"/>
        <v>600</v>
      </c>
      <c r="N1134" s="83">
        <f t="shared" ca="1" si="240"/>
        <v>72.5</v>
      </c>
      <c r="O1134" s="83">
        <f t="shared" ca="1" si="240"/>
        <v>240</v>
      </c>
      <c r="P1134" s="83">
        <f t="shared" ca="1" si="240"/>
        <v>40</v>
      </c>
      <c r="Q1134" s="83">
        <f t="shared" ca="1" si="240"/>
        <v>315</v>
      </c>
      <c r="R1134" s="83">
        <f t="shared" ca="1" si="240"/>
        <v>100</v>
      </c>
      <c r="S1134" s="83">
        <f t="shared" ca="1" si="240"/>
        <v>695</v>
      </c>
      <c r="T1134" s="83">
        <f t="shared" ca="1" si="240"/>
        <v>33.333333333333336</v>
      </c>
      <c r="U1134" s="84"/>
      <c r="V1134" s="84"/>
      <c r="W1134" s="84"/>
      <c r="X1134" s="84"/>
      <c r="Y1134" s="84"/>
      <c r="Z1134" s="84"/>
      <c r="AA1134" s="84"/>
      <c r="AB1134" s="84"/>
      <c r="AC1134" s="84"/>
      <c r="AD1134" s="84"/>
    </row>
    <row r="1135" spans="1:30" ht="15" hidden="1" x14ac:dyDescent="0.2">
      <c r="A1135" s="10">
        <f t="shared" si="238"/>
        <v>2079</v>
      </c>
      <c r="B1135" s="10">
        <f t="shared" si="241"/>
        <v>365</v>
      </c>
      <c r="C1135" s="83">
        <f t="shared" ca="1" si="239"/>
        <v>154.75824999999998</v>
      </c>
      <c r="D1135" s="83">
        <f t="shared" ca="1" si="239"/>
        <v>281.01624999999996</v>
      </c>
      <c r="E1135" s="83">
        <f t="shared" ca="1" si="239"/>
        <v>109.1005</v>
      </c>
      <c r="F1135" s="83">
        <f t="shared" ca="1" si="239"/>
        <v>57.041666666666657</v>
      </c>
      <c r="G1135" s="83">
        <f t="shared" ca="1" si="239"/>
        <v>40</v>
      </c>
      <c r="H1135" s="83">
        <f t="shared" ca="1" si="239"/>
        <v>174.58333333333334</v>
      </c>
      <c r="I1135" s="83">
        <f t="shared" ca="1" si="239"/>
        <v>0</v>
      </c>
      <c r="J1135" s="83">
        <f t="shared" ca="1" si="239"/>
        <v>100</v>
      </c>
      <c r="K1135" s="83">
        <f t="shared" ca="1" si="239"/>
        <v>300</v>
      </c>
      <c r="L1135" s="83">
        <f t="shared" ca="1" si="239"/>
        <v>1216.5</v>
      </c>
      <c r="M1135" s="83">
        <f t="shared" ca="1" si="240"/>
        <v>600</v>
      </c>
      <c r="N1135" s="83">
        <f t="shared" ca="1" si="240"/>
        <v>72.5</v>
      </c>
      <c r="O1135" s="83">
        <f t="shared" ca="1" si="240"/>
        <v>240</v>
      </c>
      <c r="P1135" s="83">
        <f t="shared" ca="1" si="240"/>
        <v>40</v>
      </c>
      <c r="Q1135" s="83">
        <f t="shared" ca="1" si="240"/>
        <v>315</v>
      </c>
      <c r="R1135" s="83">
        <f t="shared" ca="1" si="240"/>
        <v>100</v>
      </c>
      <c r="S1135" s="83">
        <f t="shared" ca="1" si="240"/>
        <v>695</v>
      </c>
      <c r="T1135" s="83">
        <f t="shared" ca="1" si="240"/>
        <v>33.333333333333336</v>
      </c>
      <c r="U1135" s="84"/>
      <c r="V1135" s="84"/>
      <c r="W1135" s="84"/>
      <c r="X1135" s="84"/>
      <c r="Y1135" s="84"/>
      <c r="Z1135" s="84"/>
      <c r="AA1135" s="84"/>
      <c r="AB1135" s="84"/>
      <c r="AC1135" s="84"/>
      <c r="AD1135" s="84"/>
    </row>
    <row r="1136" spans="1:30" ht="15" hidden="1" x14ac:dyDescent="0.2">
      <c r="A1136" s="10">
        <f t="shared" si="238"/>
        <v>2080</v>
      </c>
      <c r="B1136" s="10">
        <f t="shared" si="241"/>
        <v>366</v>
      </c>
      <c r="C1136" s="83">
        <f t="shared" ca="1" si="239"/>
        <v>154.75824999999998</v>
      </c>
      <c r="D1136" s="83">
        <f t="shared" ca="1" si="239"/>
        <v>281.01624999999996</v>
      </c>
      <c r="E1136" s="83">
        <f t="shared" ca="1" si="239"/>
        <v>109.1005</v>
      </c>
      <c r="F1136" s="83">
        <f t="shared" ca="1" si="239"/>
        <v>57.041666666666657</v>
      </c>
      <c r="G1136" s="83">
        <f t="shared" ca="1" si="239"/>
        <v>40</v>
      </c>
      <c r="H1136" s="83">
        <f t="shared" ca="1" si="239"/>
        <v>174.58333333333334</v>
      </c>
      <c r="I1136" s="83">
        <f t="shared" ca="1" si="239"/>
        <v>0</v>
      </c>
      <c r="J1136" s="83">
        <f t="shared" ca="1" si="239"/>
        <v>100</v>
      </c>
      <c r="K1136" s="83">
        <f t="shared" ca="1" si="239"/>
        <v>300</v>
      </c>
      <c r="L1136" s="83">
        <f t="shared" ca="1" si="239"/>
        <v>1216.5</v>
      </c>
      <c r="M1136" s="83">
        <f t="shared" ca="1" si="240"/>
        <v>600</v>
      </c>
      <c r="N1136" s="83">
        <f t="shared" ca="1" si="240"/>
        <v>72.5</v>
      </c>
      <c r="O1136" s="83">
        <f t="shared" ca="1" si="240"/>
        <v>240</v>
      </c>
      <c r="P1136" s="83">
        <f t="shared" ca="1" si="240"/>
        <v>40</v>
      </c>
      <c r="Q1136" s="83">
        <f t="shared" ca="1" si="240"/>
        <v>315</v>
      </c>
      <c r="R1136" s="83">
        <f t="shared" ca="1" si="240"/>
        <v>100</v>
      </c>
      <c r="S1136" s="83">
        <f t="shared" ca="1" si="240"/>
        <v>695</v>
      </c>
      <c r="T1136" s="83">
        <f t="shared" ca="1" si="240"/>
        <v>33.333333333333336</v>
      </c>
      <c r="U1136" s="84"/>
      <c r="V1136" s="84"/>
      <c r="W1136" s="84"/>
      <c r="X1136" s="84"/>
      <c r="Y1136" s="84"/>
      <c r="Z1136" s="84"/>
      <c r="AA1136" s="84"/>
      <c r="AB1136" s="84"/>
      <c r="AC1136" s="84"/>
      <c r="AD1136" s="84"/>
    </row>
    <row r="1137" spans="1:30" ht="15" hidden="1" x14ac:dyDescent="0.2">
      <c r="A1137" s="10">
        <f t="shared" si="238"/>
        <v>2081</v>
      </c>
      <c r="B1137" s="10">
        <f t="shared" si="241"/>
        <v>365</v>
      </c>
      <c r="C1137" s="83">
        <f t="shared" ca="1" si="239"/>
        <v>154.75824999999998</v>
      </c>
      <c r="D1137" s="83">
        <f t="shared" ca="1" si="239"/>
        <v>281.01624999999996</v>
      </c>
      <c r="E1137" s="83">
        <f t="shared" ca="1" si="239"/>
        <v>109.1005</v>
      </c>
      <c r="F1137" s="83">
        <f t="shared" ca="1" si="239"/>
        <v>57.041666666666657</v>
      </c>
      <c r="G1137" s="83">
        <f t="shared" ca="1" si="239"/>
        <v>40</v>
      </c>
      <c r="H1137" s="83">
        <f t="shared" ca="1" si="239"/>
        <v>174.58333333333334</v>
      </c>
      <c r="I1137" s="83">
        <f t="shared" ca="1" si="239"/>
        <v>0</v>
      </c>
      <c r="J1137" s="83">
        <f t="shared" ca="1" si="239"/>
        <v>100</v>
      </c>
      <c r="K1137" s="83">
        <f t="shared" ca="1" si="239"/>
        <v>300</v>
      </c>
      <c r="L1137" s="83">
        <f t="shared" ca="1" si="239"/>
        <v>1216.5</v>
      </c>
      <c r="M1137" s="83">
        <f t="shared" ca="1" si="240"/>
        <v>600</v>
      </c>
      <c r="N1137" s="83">
        <f t="shared" ca="1" si="240"/>
        <v>72.5</v>
      </c>
      <c r="O1137" s="83">
        <f t="shared" ca="1" si="240"/>
        <v>240</v>
      </c>
      <c r="P1137" s="83">
        <f t="shared" ca="1" si="240"/>
        <v>40</v>
      </c>
      <c r="Q1137" s="83">
        <f t="shared" ca="1" si="240"/>
        <v>315</v>
      </c>
      <c r="R1137" s="83">
        <f t="shared" ca="1" si="240"/>
        <v>100</v>
      </c>
      <c r="S1137" s="83">
        <f t="shared" ca="1" si="240"/>
        <v>695</v>
      </c>
      <c r="T1137" s="83">
        <f t="shared" ca="1" si="240"/>
        <v>33.333333333333336</v>
      </c>
      <c r="U1137" s="84"/>
      <c r="V1137" s="84"/>
      <c r="W1137" s="84"/>
      <c r="X1137" s="84"/>
      <c r="Y1137" s="84"/>
      <c r="Z1137" s="84"/>
      <c r="AA1137" s="84"/>
      <c r="AB1137" s="84"/>
      <c r="AC1137" s="84"/>
      <c r="AD1137" s="84"/>
    </row>
    <row r="1138" spans="1:30" ht="15" hidden="1" x14ac:dyDescent="0.2">
      <c r="A1138" s="10">
        <f t="shared" si="238"/>
        <v>2082</v>
      </c>
      <c r="B1138" s="10">
        <f t="shared" si="241"/>
        <v>365</v>
      </c>
      <c r="C1138" s="83">
        <f t="shared" ref="C1138:L1147" ca="1" si="242">AVERAGE(OFFSET(C$600,($A1138-$A$1118)*12,0,12,1))</f>
        <v>154.75824999999998</v>
      </c>
      <c r="D1138" s="83">
        <f t="shared" ca="1" si="242"/>
        <v>281.01624999999996</v>
      </c>
      <c r="E1138" s="83">
        <f t="shared" ca="1" si="242"/>
        <v>109.1005</v>
      </c>
      <c r="F1138" s="83">
        <f t="shared" ca="1" si="242"/>
        <v>57.041666666666657</v>
      </c>
      <c r="G1138" s="83">
        <f t="shared" ca="1" si="242"/>
        <v>40</v>
      </c>
      <c r="H1138" s="83">
        <f t="shared" ca="1" si="242"/>
        <v>174.58333333333334</v>
      </c>
      <c r="I1138" s="83">
        <f t="shared" ca="1" si="242"/>
        <v>0</v>
      </c>
      <c r="J1138" s="83">
        <f t="shared" ca="1" si="242"/>
        <v>100</v>
      </c>
      <c r="K1138" s="83">
        <f t="shared" ca="1" si="242"/>
        <v>300</v>
      </c>
      <c r="L1138" s="83">
        <f t="shared" ca="1" si="242"/>
        <v>1216.5</v>
      </c>
      <c r="M1138" s="83">
        <f t="shared" ref="M1138:T1147" ca="1" si="243">AVERAGE(OFFSET(M$600,($A1138-$A$1118)*12,0,12,1))</f>
        <v>600</v>
      </c>
      <c r="N1138" s="83">
        <f t="shared" ca="1" si="243"/>
        <v>72.5</v>
      </c>
      <c r="O1138" s="83">
        <f t="shared" ca="1" si="243"/>
        <v>240</v>
      </c>
      <c r="P1138" s="83">
        <f t="shared" ca="1" si="243"/>
        <v>40</v>
      </c>
      <c r="Q1138" s="83">
        <f t="shared" ca="1" si="243"/>
        <v>315</v>
      </c>
      <c r="R1138" s="83">
        <f t="shared" ca="1" si="243"/>
        <v>100</v>
      </c>
      <c r="S1138" s="83">
        <f t="shared" ca="1" si="243"/>
        <v>695</v>
      </c>
      <c r="T1138" s="83">
        <f t="shared" ca="1" si="243"/>
        <v>33.333333333333336</v>
      </c>
      <c r="U1138" s="84"/>
      <c r="V1138" s="84"/>
      <c r="W1138" s="84"/>
      <c r="X1138" s="84"/>
      <c r="Y1138" s="84"/>
      <c r="Z1138" s="84"/>
      <c r="AA1138" s="84"/>
      <c r="AB1138" s="84"/>
      <c r="AC1138" s="84"/>
      <c r="AD1138" s="84"/>
    </row>
    <row r="1139" spans="1:30" ht="15" hidden="1" x14ac:dyDescent="0.2">
      <c r="A1139" s="10">
        <f t="shared" si="238"/>
        <v>2083</v>
      </c>
      <c r="B1139" s="10">
        <f t="shared" si="241"/>
        <v>365</v>
      </c>
      <c r="C1139" s="83">
        <f t="shared" ca="1" si="242"/>
        <v>154.75824999999998</v>
      </c>
      <c r="D1139" s="83">
        <f t="shared" ca="1" si="242"/>
        <v>281.01624999999996</v>
      </c>
      <c r="E1139" s="83">
        <f t="shared" ca="1" si="242"/>
        <v>109.1005</v>
      </c>
      <c r="F1139" s="83">
        <f t="shared" ca="1" si="242"/>
        <v>57.041666666666657</v>
      </c>
      <c r="G1139" s="83">
        <f t="shared" ca="1" si="242"/>
        <v>40</v>
      </c>
      <c r="H1139" s="83">
        <f t="shared" ca="1" si="242"/>
        <v>174.58333333333334</v>
      </c>
      <c r="I1139" s="83">
        <f t="shared" ca="1" si="242"/>
        <v>0</v>
      </c>
      <c r="J1139" s="83">
        <f t="shared" ca="1" si="242"/>
        <v>100</v>
      </c>
      <c r="K1139" s="83">
        <f t="shared" ca="1" si="242"/>
        <v>300</v>
      </c>
      <c r="L1139" s="83">
        <f t="shared" ca="1" si="242"/>
        <v>1216.5</v>
      </c>
      <c r="M1139" s="83">
        <f t="shared" ca="1" si="243"/>
        <v>600</v>
      </c>
      <c r="N1139" s="83">
        <f t="shared" ca="1" si="243"/>
        <v>72.5</v>
      </c>
      <c r="O1139" s="83">
        <f t="shared" ca="1" si="243"/>
        <v>240</v>
      </c>
      <c r="P1139" s="83">
        <f t="shared" ca="1" si="243"/>
        <v>40</v>
      </c>
      <c r="Q1139" s="83">
        <f t="shared" ca="1" si="243"/>
        <v>315</v>
      </c>
      <c r="R1139" s="83">
        <f t="shared" ca="1" si="243"/>
        <v>100</v>
      </c>
      <c r="S1139" s="83">
        <f t="shared" ca="1" si="243"/>
        <v>695</v>
      </c>
      <c r="T1139" s="83">
        <f t="shared" ca="1" si="243"/>
        <v>33.333333333333336</v>
      </c>
      <c r="U1139" s="84"/>
      <c r="V1139" s="84"/>
      <c r="W1139" s="84"/>
      <c r="X1139" s="84"/>
      <c r="Y1139" s="84"/>
      <c r="Z1139" s="84"/>
      <c r="AA1139" s="84"/>
      <c r="AB1139" s="84"/>
      <c r="AC1139" s="84"/>
      <c r="AD1139" s="84"/>
    </row>
    <row r="1140" spans="1:30" ht="15" hidden="1" x14ac:dyDescent="0.2">
      <c r="A1140" s="10">
        <f t="shared" si="238"/>
        <v>2084</v>
      </c>
      <c r="B1140" s="10">
        <f t="shared" si="241"/>
        <v>366</v>
      </c>
      <c r="C1140" s="83">
        <f t="shared" ca="1" si="242"/>
        <v>154.75824999999998</v>
      </c>
      <c r="D1140" s="83">
        <f t="shared" ca="1" si="242"/>
        <v>281.01624999999996</v>
      </c>
      <c r="E1140" s="83">
        <f t="shared" ca="1" si="242"/>
        <v>109.1005</v>
      </c>
      <c r="F1140" s="83">
        <f t="shared" ca="1" si="242"/>
        <v>57.041666666666657</v>
      </c>
      <c r="G1140" s="83">
        <f t="shared" ca="1" si="242"/>
        <v>40</v>
      </c>
      <c r="H1140" s="83">
        <f t="shared" ca="1" si="242"/>
        <v>174.58333333333334</v>
      </c>
      <c r="I1140" s="83">
        <f t="shared" ca="1" si="242"/>
        <v>0</v>
      </c>
      <c r="J1140" s="83">
        <f t="shared" ca="1" si="242"/>
        <v>100</v>
      </c>
      <c r="K1140" s="83">
        <f t="shared" ca="1" si="242"/>
        <v>300</v>
      </c>
      <c r="L1140" s="83">
        <f t="shared" ca="1" si="242"/>
        <v>1216.5</v>
      </c>
      <c r="M1140" s="83">
        <f t="shared" ca="1" si="243"/>
        <v>600</v>
      </c>
      <c r="N1140" s="83">
        <f t="shared" ca="1" si="243"/>
        <v>72.5</v>
      </c>
      <c r="O1140" s="83">
        <f t="shared" ca="1" si="243"/>
        <v>240</v>
      </c>
      <c r="P1140" s="83">
        <f t="shared" ca="1" si="243"/>
        <v>40</v>
      </c>
      <c r="Q1140" s="83">
        <f t="shared" ca="1" si="243"/>
        <v>315</v>
      </c>
      <c r="R1140" s="83">
        <f t="shared" ca="1" si="243"/>
        <v>100</v>
      </c>
      <c r="S1140" s="83">
        <f t="shared" ca="1" si="243"/>
        <v>695</v>
      </c>
      <c r="T1140" s="83">
        <f t="shared" ca="1" si="243"/>
        <v>33.333333333333336</v>
      </c>
      <c r="U1140" s="84"/>
      <c r="V1140" s="84"/>
      <c r="W1140" s="84"/>
      <c r="X1140" s="84"/>
      <c r="Y1140" s="84"/>
      <c r="Z1140" s="84"/>
      <c r="AA1140" s="84"/>
      <c r="AB1140" s="84"/>
      <c r="AC1140" s="84"/>
      <c r="AD1140" s="84"/>
    </row>
    <row r="1141" spans="1:30" ht="15" hidden="1" x14ac:dyDescent="0.2">
      <c r="A1141" s="10">
        <f t="shared" si="238"/>
        <v>2085</v>
      </c>
      <c r="B1141" s="10">
        <f t="shared" si="241"/>
        <v>365</v>
      </c>
      <c r="C1141" s="83">
        <f t="shared" ca="1" si="242"/>
        <v>154.75824999999998</v>
      </c>
      <c r="D1141" s="83">
        <f t="shared" ca="1" si="242"/>
        <v>281.01624999999996</v>
      </c>
      <c r="E1141" s="83">
        <f t="shared" ca="1" si="242"/>
        <v>109.1005</v>
      </c>
      <c r="F1141" s="83">
        <f t="shared" ca="1" si="242"/>
        <v>57.041666666666657</v>
      </c>
      <c r="G1141" s="83">
        <f t="shared" ca="1" si="242"/>
        <v>40</v>
      </c>
      <c r="H1141" s="83">
        <f t="shared" ca="1" si="242"/>
        <v>174.58333333333334</v>
      </c>
      <c r="I1141" s="83">
        <f t="shared" ca="1" si="242"/>
        <v>0</v>
      </c>
      <c r="J1141" s="83">
        <f t="shared" ca="1" si="242"/>
        <v>100</v>
      </c>
      <c r="K1141" s="83">
        <f t="shared" ca="1" si="242"/>
        <v>300</v>
      </c>
      <c r="L1141" s="83">
        <f t="shared" ca="1" si="242"/>
        <v>1216.5</v>
      </c>
      <c r="M1141" s="83">
        <f t="shared" ca="1" si="243"/>
        <v>600</v>
      </c>
      <c r="N1141" s="83">
        <f t="shared" ca="1" si="243"/>
        <v>72.5</v>
      </c>
      <c r="O1141" s="83">
        <f t="shared" ca="1" si="243"/>
        <v>240</v>
      </c>
      <c r="P1141" s="83">
        <f t="shared" ca="1" si="243"/>
        <v>40</v>
      </c>
      <c r="Q1141" s="83">
        <f t="shared" ca="1" si="243"/>
        <v>315</v>
      </c>
      <c r="R1141" s="83">
        <f t="shared" ca="1" si="243"/>
        <v>100</v>
      </c>
      <c r="S1141" s="83">
        <f t="shared" ca="1" si="243"/>
        <v>695</v>
      </c>
      <c r="T1141" s="83">
        <f t="shared" ca="1" si="243"/>
        <v>33.333333333333336</v>
      </c>
      <c r="U1141" s="84"/>
      <c r="V1141" s="84"/>
      <c r="W1141" s="84"/>
      <c r="X1141" s="84"/>
      <c r="Y1141" s="84"/>
      <c r="Z1141" s="84"/>
      <c r="AA1141" s="84"/>
      <c r="AB1141" s="84"/>
      <c r="AC1141" s="84"/>
      <c r="AD1141" s="84"/>
    </row>
    <row r="1142" spans="1:30" ht="15" hidden="1" x14ac:dyDescent="0.2">
      <c r="A1142" s="10">
        <f t="shared" si="238"/>
        <v>2086</v>
      </c>
      <c r="B1142" s="10">
        <f t="shared" si="241"/>
        <v>365</v>
      </c>
      <c r="C1142" s="83">
        <f t="shared" ca="1" si="242"/>
        <v>154.75824999999998</v>
      </c>
      <c r="D1142" s="83">
        <f t="shared" ca="1" si="242"/>
        <v>281.01624999999996</v>
      </c>
      <c r="E1142" s="83">
        <f t="shared" ca="1" si="242"/>
        <v>109.1005</v>
      </c>
      <c r="F1142" s="83">
        <f t="shared" ca="1" si="242"/>
        <v>57.041666666666657</v>
      </c>
      <c r="G1142" s="83">
        <f t="shared" ca="1" si="242"/>
        <v>40</v>
      </c>
      <c r="H1142" s="83">
        <f t="shared" ca="1" si="242"/>
        <v>174.58333333333334</v>
      </c>
      <c r="I1142" s="83">
        <f t="shared" ca="1" si="242"/>
        <v>0</v>
      </c>
      <c r="J1142" s="83">
        <f t="shared" ca="1" si="242"/>
        <v>100</v>
      </c>
      <c r="K1142" s="83">
        <f t="shared" ca="1" si="242"/>
        <v>300</v>
      </c>
      <c r="L1142" s="83">
        <f t="shared" ca="1" si="242"/>
        <v>1216.5</v>
      </c>
      <c r="M1142" s="83">
        <f t="shared" ca="1" si="243"/>
        <v>600</v>
      </c>
      <c r="N1142" s="83">
        <f t="shared" ca="1" si="243"/>
        <v>72.5</v>
      </c>
      <c r="O1142" s="83">
        <f t="shared" ca="1" si="243"/>
        <v>240</v>
      </c>
      <c r="P1142" s="83">
        <f t="shared" ca="1" si="243"/>
        <v>40</v>
      </c>
      <c r="Q1142" s="83">
        <f t="shared" ca="1" si="243"/>
        <v>315</v>
      </c>
      <c r="R1142" s="83">
        <f t="shared" ca="1" si="243"/>
        <v>100</v>
      </c>
      <c r="S1142" s="83">
        <f t="shared" ca="1" si="243"/>
        <v>695</v>
      </c>
      <c r="T1142" s="83">
        <f t="shared" ca="1" si="243"/>
        <v>33.333333333333336</v>
      </c>
      <c r="U1142" s="84"/>
      <c r="V1142" s="84"/>
      <c r="W1142" s="84"/>
      <c r="X1142" s="84"/>
      <c r="Y1142" s="84"/>
      <c r="Z1142" s="84"/>
      <c r="AA1142" s="84"/>
      <c r="AB1142" s="84"/>
      <c r="AC1142" s="84"/>
      <c r="AD1142" s="84"/>
    </row>
    <row r="1143" spans="1:30" ht="15" hidden="1" x14ac:dyDescent="0.2">
      <c r="A1143" s="10">
        <f t="shared" si="238"/>
        <v>2087</v>
      </c>
      <c r="B1143" s="10">
        <f t="shared" si="241"/>
        <v>365</v>
      </c>
      <c r="C1143" s="83">
        <f t="shared" ca="1" si="242"/>
        <v>154.75824999999998</v>
      </c>
      <c r="D1143" s="83">
        <f t="shared" ca="1" si="242"/>
        <v>281.01624999999996</v>
      </c>
      <c r="E1143" s="83">
        <f t="shared" ca="1" si="242"/>
        <v>109.1005</v>
      </c>
      <c r="F1143" s="83">
        <f t="shared" ca="1" si="242"/>
        <v>57.041666666666657</v>
      </c>
      <c r="G1143" s="83">
        <f t="shared" ca="1" si="242"/>
        <v>40</v>
      </c>
      <c r="H1143" s="83">
        <f t="shared" ca="1" si="242"/>
        <v>174.58333333333334</v>
      </c>
      <c r="I1143" s="83">
        <f t="shared" ca="1" si="242"/>
        <v>0</v>
      </c>
      <c r="J1143" s="83">
        <f t="shared" ca="1" si="242"/>
        <v>100</v>
      </c>
      <c r="K1143" s="83">
        <f t="shared" ca="1" si="242"/>
        <v>300</v>
      </c>
      <c r="L1143" s="83">
        <f t="shared" ca="1" si="242"/>
        <v>1216.5</v>
      </c>
      <c r="M1143" s="83">
        <f t="shared" ca="1" si="243"/>
        <v>600</v>
      </c>
      <c r="N1143" s="83">
        <f t="shared" ca="1" si="243"/>
        <v>72.5</v>
      </c>
      <c r="O1143" s="83">
        <f t="shared" ca="1" si="243"/>
        <v>240</v>
      </c>
      <c r="P1143" s="83">
        <f t="shared" ca="1" si="243"/>
        <v>40</v>
      </c>
      <c r="Q1143" s="83">
        <f t="shared" ca="1" si="243"/>
        <v>315</v>
      </c>
      <c r="R1143" s="83">
        <f t="shared" ca="1" si="243"/>
        <v>100</v>
      </c>
      <c r="S1143" s="83">
        <f t="shared" ca="1" si="243"/>
        <v>695</v>
      </c>
      <c r="T1143" s="83">
        <f t="shared" ca="1" si="243"/>
        <v>33.333333333333336</v>
      </c>
      <c r="U1143" s="84"/>
      <c r="V1143" s="84"/>
      <c r="W1143" s="84"/>
      <c r="X1143" s="84"/>
      <c r="Y1143" s="84"/>
      <c r="Z1143" s="84"/>
      <c r="AA1143" s="84"/>
      <c r="AB1143" s="84"/>
      <c r="AC1143" s="84"/>
      <c r="AD1143" s="84"/>
    </row>
    <row r="1144" spans="1:30" ht="15" hidden="1" x14ac:dyDescent="0.2">
      <c r="A1144" s="10">
        <f t="shared" si="238"/>
        <v>2088</v>
      </c>
      <c r="B1144" s="10">
        <f t="shared" si="241"/>
        <v>366</v>
      </c>
      <c r="C1144" s="83">
        <f t="shared" ca="1" si="242"/>
        <v>154.75824999999998</v>
      </c>
      <c r="D1144" s="83">
        <f t="shared" ca="1" si="242"/>
        <v>281.01624999999996</v>
      </c>
      <c r="E1144" s="83">
        <f t="shared" ca="1" si="242"/>
        <v>109.1005</v>
      </c>
      <c r="F1144" s="83">
        <f t="shared" ca="1" si="242"/>
        <v>57.041666666666657</v>
      </c>
      <c r="G1144" s="83">
        <f t="shared" ca="1" si="242"/>
        <v>40</v>
      </c>
      <c r="H1144" s="83">
        <f t="shared" ca="1" si="242"/>
        <v>174.58333333333334</v>
      </c>
      <c r="I1144" s="83">
        <f t="shared" ca="1" si="242"/>
        <v>0</v>
      </c>
      <c r="J1144" s="83">
        <f t="shared" ca="1" si="242"/>
        <v>100</v>
      </c>
      <c r="K1144" s="83">
        <f t="shared" ca="1" si="242"/>
        <v>300</v>
      </c>
      <c r="L1144" s="83">
        <f t="shared" ca="1" si="242"/>
        <v>1216.5</v>
      </c>
      <c r="M1144" s="83">
        <f t="shared" ca="1" si="243"/>
        <v>600</v>
      </c>
      <c r="N1144" s="83">
        <f t="shared" ca="1" si="243"/>
        <v>72.5</v>
      </c>
      <c r="O1144" s="83">
        <f t="shared" ca="1" si="243"/>
        <v>240</v>
      </c>
      <c r="P1144" s="83">
        <f t="shared" ca="1" si="243"/>
        <v>40</v>
      </c>
      <c r="Q1144" s="83">
        <f t="shared" ca="1" si="243"/>
        <v>315</v>
      </c>
      <c r="R1144" s="83">
        <f t="shared" ca="1" si="243"/>
        <v>100</v>
      </c>
      <c r="S1144" s="83">
        <f t="shared" ca="1" si="243"/>
        <v>695</v>
      </c>
      <c r="T1144" s="83">
        <f t="shared" ca="1" si="243"/>
        <v>33.333333333333336</v>
      </c>
      <c r="U1144" s="84"/>
      <c r="V1144" s="84"/>
      <c r="W1144" s="84"/>
      <c r="X1144" s="84"/>
      <c r="Y1144" s="84"/>
      <c r="Z1144" s="84"/>
      <c r="AA1144" s="84"/>
      <c r="AB1144" s="84"/>
      <c r="AC1144" s="84"/>
      <c r="AD1144" s="84"/>
    </row>
    <row r="1145" spans="1:30" ht="15" hidden="1" x14ac:dyDescent="0.2">
      <c r="A1145" s="10">
        <f t="shared" si="238"/>
        <v>2089</v>
      </c>
      <c r="B1145" s="10">
        <f t="shared" si="241"/>
        <v>365</v>
      </c>
      <c r="C1145" s="83">
        <f t="shared" ca="1" si="242"/>
        <v>154.75824999999998</v>
      </c>
      <c r="D1145" s="83">
        <f t="shared" ca="1" si="242"/>
        <v>281.01624999999996</v>
      </c>
      <c r="E1145" s="83">
        <f t="shared" ca="1" si="242"/>
        <v>109.1005</v>
      </c>
      <c r="F1145" s="83">
        <f t="shared" ca="1" si="242"/>
        <v>57.041666666666657</v>
      </c>
      <c r="G1145" s="83">
        <f t="shared" ca="1" si="242"/>
        <v>40</v>
      </c>
      <c r="H1145" s="83">
        <f t="shared" ca="1" si="242"/>
        <v>174.58333333333334</v>
      </c>
      <c r="I1145" s="83">
        <f t="shared" ca="1" si="242"/>
        <v>0</v>
      </c>
      <c r="J1145" s="83">
        <f t="shared" ca="1" si="242"/>
        <v>100</v>
      </c>
      <c r="K1145" s="83">
        <f t="shared" ca="1" si="242"/>
        <v>300</v>
      </c>
      <c r="L1145" s="83">
        <f t="shared" ca="1" si="242"/>
        <v>1216.5</v>
      </c>
      <c r="M1145" s="83">
        <f t="shared" ca="1" si="243"/>
        <v>600</v>
      </c>
      <c r="N1145" s="83">
        <f t="shared" ca="1" si="243"/>
        <v>72.5</v>
      </c>
      <c r="O1145" s="83">
        <f t="shared" ca="1" si="243"/>
        <v>240</v>
      </c>
      <c r="P1145" s="83">
        <f t="shared" ca="1" si="243"/>
        <v>40</v>
      </c>
      <c r="Q1145" s="83">
        <f t="shared" ca="1" si="243"/>
        <v>315</v>
      </c>
      <c r="R1145" s="83">
        <f t="shared" ca="1" si="243"/>
        <v>100</v>
      </c>
      <c r="S1145" s="83">
        <f t="shared" ca="1" si="243"/>
        <v>695</v>
      </c>
      <c r="T1145" s="83">
        <f t="shared" ca="1" si="243"/>
        <v>33.333333333333336</v>
      </c>
      <c r="U1145" s="84"/>
      <c r="V1145" s="84"/>
      <c r="W1145" s="84"/>
      <c r="X1145" s="84"/>
      <c r="Y1145" s="84"/>
      <c r="Z1145" s="84"/>
      <c r="AA1145" s="84"/>
      <c r="AB1145" s="84"/>
      <c r="AC1145" s="84"/>
      <c r="AD1145" s="84"/>
    </row>
    <row r="1146" spans="1:30" ht="15" hidden="1" x14ac:dyDescent="0.2">
      <c r="A1146" s="10">
        <f t="shared" si="238"/>
        <v>2090</v>
      </c>
      <c r="B1146" s="10">
        <f t="shared" si="241"/>
        <v>365</v>
      </c>
      <c r="C1146" s="83">
        <f t="shared" ca="1" si="242"/>
        <v>154.75824999999998</v>
      </c>
      <c r="D1146" s="83">
        <f t="shared" ca="1" si="242"/>
        <v>281.01624999999996</v>
      </c>
      <c r="E1146" s="83">
        <f t="shared" ca="1" si="242"/>
        <v>109.1005</v>
      </c>
      <c r="F1146" s="83">
        <f t="shared" ca="1" si="242"/>
        <v>57.041666666666657</v>
      </c>
      <c r="G1146" s="83">
        <f t="shared" ca="1" si="242"/>
        <v>40</v>
      </c>
      <c r="H1146" s="83">
        <f t="shared" ca="1" si="242"/>
        <v>174.58333333333334</v>
      </c>
      <c r="I1146" s="83">
        <f t="shared" ca="1" si="242"/>
        <v>0</v>
      </c>
      <c r="J1146" s="83">
        <f t="shared" ca="1" si="242"/>
        <v>100</v>
      </c>
      <c r="K1146" s="83">
        <f t="shared" ca="1" si="242"/>
        <v>300</v>
      </c>
      <c r="L1146" s="83">
        <f t="shared" ca="1" si="242"/>
        <v>1216.5</v>
      </c>
      <c r="M1146" s="83">
        <f t="shared" ca="1" si="243"/>
        <v>600</v>
      </c>
      <c r="N1146" s="83">
        <f t="shared" ca="1" si="243"/>
        <v>72.5</v>
      </c>
      <c r="O1146" s="83">
        <f t="shared" ca="1" si="243"/>
        <v>240</v>
      </c>
      <c r="P1146" s="83">
        <f t="shared" ca="1" si="243"/>
        <v>40</v>
      </c>
      <c r="Q1146" s="83">
        <f t="shared" ca="1" si="243"/>
        <v>315</v>
      </c>
      <c r="R1146" s="83">
        <f t="shared" ca="1" si="243"/>
        <v>100</v>
      </c>
      <c r="S1146" s="83">
        <f t="shared" ca="1" si="243"/>
        <v>695</v>
      </c>
      <c r="T1146" s="83">
        <f t="shared" ca="1" si="243"/>
        <v>33.333333333333336</v>
      </c>
      <c r="U1146" s="84"/>
      <c r="V1146" s="84"/>
      <c r="W1146" s="84"/>
      <c r="X1146" s="84"/>
      <c r="Y1146" s="84"/>
      <c r="Z1146" s="84"/>
      <c r="AA1146" s="84"/>
      <c r="AB1146" s="84"/>
      <c r="AC1146" s="84"/>
      <c r="AD1146" s="84"/>
    </row>
    <row r="1147" spans="1:30" ht="15" hidden="1" x14ac:dyDescent="0.2">
      <c r="A1147" s="10">
        <f t="shared" si="238"/>
        <v>2091</v>
      </c>
      <c r="B1147" s="10">
        <f t="shared" si="241"/>
        <v>365</v>
      </c>
      <c r="C1147" s="83">
        <f t="shared" ca="1" si="242"/>
        <v>154.75824999999998</v>
      </c>
      <c r="D1147" s="83">
        <f t="shared" ca="1" si="242"/>
        <v>281.01624999999996</v>
      </c>
      <c r="E1147" s="83">
        <f t="shared" ca="1" si="242"/>
        <v>109.1005</v>
      </c>
      <c r="F1147" s="83">
        <f t="shared" ca="1" si="242"/>
        <v>57.041666666666657</v>
      </c>
      <c r="G1147" s="83">
        <f t="shared" ca="1" si="242"/>
        <v>40</v>
      </c>
      <c r="H1147" s="83">
        <f t="shared" ca="1" si="242"/>
        <v>174.58333333333334</v>
      </c>
      <c r="I1147" s="83">
        <f t="shared" ca="1" si="242"/>
        <v>0</v>
      </c>
      <c r="J1147" s="83">
        <f t="shared" ca="1" si="242"/>
        <v>100</v>
      </c>
      <c r="K1147" s="83">
        <f t="shared" ca="1" si="242"/>
        <v>300</v>
      </c>
      <c r="L1147" s="83">
        <f t="shared" ca="1" si="242"/>
        <v>1216.5</v>
      </c>
      <c r="M1147" s="83">
        <f t="shared" ca="1" si="243"/>
        <v>600</v>
      </c>
      <c r="N1147" s="83">
        <f t="shared" ca="1" si="243"/>
        <v>72.5</v>
      </c>
      <c r="O1147" s="83">
        <f t="shared" ca="1" si="243"/>
        <v>240</v>
      </c>
      <c r="P1147" s="83">
        <f t="shared" ca="1" si="243"/>
        <v>40</v>
      </c>
      <c r="Q1147" s="83">
        <f t="shared" ca="1" si="243"/>
        <v>315</v>
      </c>
      <c r="R1147" s="83">
        <f t="shared" ca="1" si="243"/>
        <v>100</v>
      </c>
      <c r="S1147" s="83">
        <f t="shared" ca="1" si="243"/>
        <v>695</v>
      </c>
      <c r="T1147" s="83">
        <f t="shared" ca="1" si="243"/>
        <v>33.333333333333336</v>
      </c>
    </row>
    <row r="1148" spans="1:30" ht="15" hidden="1" x14ac:dyDescent="0.2">
      <c r="A1148" s="10">
        <f t="shared" si="238"/>
        <v>2092</v>
      </c>
      <c r="B1148" s="10">
        <f t="shared" si="241"/>
        <v>366</v>
      </c>
      <c r="C1148" s="83">
        <f t="shared" ref="C1148:L1156" ca="1" si="244">AVERAGE(OFFSET(C$600,($A1148-$A$1118)*12,0,12,1))</f>
        <v>154.75824999999998</v>
      </c>
      <c r="D1148" s="83">
        <f t="shared" ca="1" si="244"/>
        <v>281.01624999999996</v>
      </c>
      <c r="E1148" s="83">
        <f t="shared" ca="1" si="244"/>
        <v>109.1005</v>
      </c>
      <c r="F1148" s="83">
        <f t="shared" ca="1" si="244"/>
        <v>57.041666666666657</v>
      </c>
      <c r="G1148" s="83">
        <f t="shared" ca="1" si="244"/>
        <v>40</v>
      </c>
      <c r="H1148" s="83">
        <f t="shared" ca="1" si="244"/>
        <v>174.58333333333334</v>
      </c>
      <c r="I1148" s="83">
        <f t="shared" ca="1" si="244"/>
        <v>0</v>
      </c>
      <c r="J1148" s="83">
        <f t="shared" ca="1" si="244"/>
        <v>100</v>
      </c>
      <c r="K1148" s="83">
        <f t="shared" ca="1" si="244"/>
        <v>300</v>
      </c>
      <c r="L1148" s="83">
        <f t="shared" ca="1" si="244"/>
        <v>1216.5</v>
      </c>
      <c r="M1148" s="83">
        <f t="shared" ref="M1148:T1156" ca="1" si="245">AVERAGE(OFFSET(M$600,($A1148-$A$1118)*12,0,12,1))</f>
        <v>600</v>
      </c>
      <c r="N1148" s="83">
        <f t="shared" ca="1" si="245"/>
        <v>72.5</v>
      </c>
      <c r="O1148" s="83">
        <f t="shared" ca="1" si="245"/>
        <v>240</v>
      </c>
      <c r="P1148" s="83">
        <f t="shared" ca="1" si="245"/>
        <v>40</v>
      </c>
      <c r="Q1148" s="83">
        <f t="shared" ca="1" si="245"/>
        <v>315</v>
      </c>
      <c r="R1148" s="83">
        <f t="shared" ca="1" si="245"/>
        <v>100</v>
      </c>
      <c r="S1148" s="83">
        <f t="shared" ca="1" si="245"/>
        <v>695</v>
      </c>
      <c r="T1148" s="83">
        <f t="shared" ca="1" si="245"/>
        <v>33.333333333333336</v>
      </c>
    </row>
    <row r="1149" spans="1:30" ht="15" hidden="1" x14ac:dyDescent="0.2">
      <c r="A1149" s="10">
        <f t="shared" si="238"/>
        <v>2093</v>
      </c>
      <c r="B1149" s="10">
        <f t="shared" si="241"/>
        <v>365</v>
      </c>
      <c r="C1149" s="83">
        <f t="shared" ca="1" si="244"/>
        <v>154.75824999999998</v>
      </c>
      <c r="D1149" s="83">
        <f t="shared" ca="1" si="244"/>
        <v>281.01624999999996</v>
      </c>
      <c r="E1149" s="83">
        <f t="shared" ca="1" si="244"/>
        <v>109.1005</v>
      </c>
      <c r="F1149" s="83">
        <f t="shared" ca="1" si="244"/>
        <v>57.041666666666657</v>
      </c>
      <c r="G1149" s="83">
        <f t="shared" ca="1" si="244"/>
        <v>40</v>
      </c>
      <c r="H1149" s="83">
        <f t="shared" ca="1" si="244"/>
        <v>174.58333333333334</v>
      </c>
      <c r="I1149" s="83">
        <f t="shared" ca="1" si="244"/>
        <v>0</v>
      </c>
      <c r="J1149" s="83">
        <f t="shared" ca="1" si="244"/>
        <v>100</v>
      </c>
      <c r="K1149" s="83">
        <f t="shared" ca="1" si="244"/>
        <v>300</v>
      </c>
      <c r="L1149" s="83">
        <f t="shared" ca="1" si="244"/>
        <v>1216.5</v>
      </c>
      <c r="M1149" s="83">
        <f t="shared" ca="1" si="245"/>
        <v>600</v>
      </c>
      <c r="N1149" s="83">
        <f t="shared" ca="1" si="245"/>
        <v>72.5</v>
      </c>
      <c r="O1149" s="83">
        <f t="shared" ca="1" si="245"/>
        <v>240</v>
      </c>
      <c r="P1149" s="83">
        <f t="shared" ca="1" si="245"/>
        <v>40</v>
      </c>
      <c r="Q1149" s="83">
        <f t="shared" ca="1" si="245"/>
        <v>315</v>
      </c>
      <c r="R1149" s="83">
        <f t="shared" ca="1" si="245"/>
        <v>100</v>
      </c>
      <c r="S1149" s="83">
        <f t="shared" ca="1" si="245"/>
        <v>695</v>
      </c>
      <c r="T1149" s="83">
        <f t="shared" ca="1" si="245"/>
        <v>33.333333333333336</v>
      </c>
    </row>
    <row r="1150" spans="1:30" ht="15" hidden="1" x14ac:dyDescent="0.2">
      <c r="A1150" s="10">
        <f t="shared" si="238"/>
        <v>2094</v>
      </c>
      <c r="B1150" s="10">
        <f t="shared" si="241"/>
        <v>365</v>
      </c>
      <c r="C1150" s="83">
        <f t="shared" ca="1" si="244"/>
        <v>154.75824999999998</v>
      </c>
      <c r="D1150" s="83">
        <f t="shared" ca="1" si="244"/>
        <v>281.01624999999996</v>
      </c>
      <c r="E1150" s="83">
        <f t="shared" ca="1" si="244"/>
        <v>109.1005</v>
      </c>
      <c r="F1150" s="83">
        <f t="shared" ca="1" si="244"/>
        <v>57.041666666666657</v>
      </c>
      <c r="G1150" s="83">
        <f t="shared" ca="1" si="244"/>
        <v>40</v>
      </c>
      <c r="H1150" s="83">
        <f t="shared" ca="1" si="244"/>
        <v>174.58333333333334</v>
      </c>
      <c r="I1150" s="83">
        <f t="shared" ca="1" si="244"/>
        <v>0</v>
      </c>
      <c r="J1150" s="83">
        <f t="shared" ca="1" si="244"/>
        <v>100</v>
      </c>
      <c r="K1150" s="83">
        <f t="shared" ca="1" si="244"/>
        <v>300</v>
      </c>
      <c r="L1150" s="83">
        <f t="shared" ca="1" si="244"/>
        <v>1216.5</v>
      </c>
      <c r="M1150" s="83">
        <f t="shared" ca="1" si="245"/>
        <v>600</v>
      </c>
      <c r="N1150" s="83">
        <f t="shared" ca="1" si="245"/>
        <v>72.5</v>
      </c>
      <c r="O1150" s="83">
        <f t="shared" ca="1" si="245"/>
        <v>240</v>
      </c>
      <c r="P1150" s="83">
        <f t="shared" ca="1" si="245"/>
        <v>40</v>
      </c>
      <c r="Q1150" s="83">
        <f t="shared" ca="1" si="245"/>
        <v>315</v>
      </c>
      <c r="R1150" s="83">
        <f t="shared" ca="1" si="245"/>
        <v>100</v>
      </c>
      <c r="S1150" s="83">
        <f t="shared" ca="1" si="245"/>
        <v>695</v>
      </c>
      <c r="T1150" s="83">
        <f t="shared" ca="1" si="245"/>
        <v>33.333333333333336</v>
      </c>
    </row>
    <row r="1151" spans="1:30" ht="15" hidden="1" x14ac:dyDescent="0.2">
      <c r="A1151" s="10">
        <f t="shared" si="238"/>
        <v>2095</v>
      </c>
      <c r="B1151" s="10">
        <f t="shared" si="241"/>
        <v>365</v>
      </c>
      <c r="C1151" s="83">
        <f t="shared" ca="1" si="244"/>
        <v>154.75824999999998</v>
      </c>
      <c r="D1151" s="83">
        <f t="shared" ca="1" si="244"/>
        <v>281.01624999999996</v>
      </c>
      <c r="E1151" s="83">
        <f t="shared" ca="1" si="244"/>
        <v>109.1005</v>
      </c>
      <c r="F1151" s="83">
        <f t="shared" ca="1" si="244"/>
        <v>57.041666666666657</v>
      </c>
      <c r="G1151" s="83">
        <f t="shared" ca="1" si="244"/>
        <v>40</v>
      </c>
      <c r="H1151" s="83">
        <f t="shared" ca="1" si="244"/>
        <v>174.58333333333334</v>
      </c>
      <c r="I1151" s="83">
        <f t="shared" ca="1" si="244"/>
        <v>0</v>
      </c>
      <c r="J1151" s="83">
        <f t="shared" ca="1" si="244"/>
        <v>100</v>
      </c>
      <c r="K1151" s="83">
        <f t="shared" ca="1" si="244"/>
        <v>300</v>
      </c>
      <c r="L1151" s="83">
        <f t="shared" ca="1" si="244"/>
        <v>1216.5</v>
      </c>
      <c r="M1151" s="83">
        <f t="shared" ca="1" si="245"/>
        <v>600</v>
      </c>
      <c r="N1151" s="83">
        <f t="shared" ca="1" si="245"/>
        <v>72.5</v>
      </c>
      <c r="O1151" s="83">
        <f t="shared" ca="1" si="245"/>
        <v>240</v>
      </c>
      <c r="P1151" s="83">
        <f t="shared" ca="1" si="245"/>
        <v>40</v>
      </c>
      <c r="Q1151" s="83">
        <f t="shared" ca="1" si="245"/>
        <v>315</v>
      </c>
      <c r="R1151" s="83">
        <f t="shared" ca="1" si="245"/>
        <v>100</v>
      </c>
      <c r="S1151" s="83">
        <f t="shared" ca="1" si="245"/>
        <v>695</v>
      </c>
      <c r="T1151" s="83">
        <f t="shared" ca="1" si="245"/>
        <v>33.333333333333336</v>
      </c>
    </row>
    <row r="1152" spans="1:30" ht="15" hidden="1" x14ac:dyDescent="0.2">
      <c r="A1152" s="10">
        <f t="shared" si="238"/>
        <v>2096</v>
      </c>
      <c r="B1152" s="10">
        <f t="shared" si="241"/>
        <v>366</v>
      </c>
      <c r="C1152" s="83">
        <f t="shared" ca="1" si="244"/>
        <v>154.75824999999998</v>
      </c>
      <c r="D1152" s="83">
        <f t="shared" ca="1" si="244"/>
        <v>281.01624999999996</v>
      </c>
      <c r="E1152" s="83">
        <f t="shared" ca="1" si="244"/>
        <v>109.1005</v>
      </c>
      <c r="F1152" s="83">
        <f t="shared" ca="1" si="244"/>
        <v>57.041666666666657</v>
      </c>
      <c r="G1152" s="83">
        <f t="shared" ca="1" si="244"/>
        <v>40</v>
      </c>
      <c r="H1152" s="83">
        <f t="shared" ca="1" si="244"/>
        <v>174.58333333333334</v>
      </c>
      <c r="I1152" s="83">
        <f t="shared" ca="1" si="244"/>
        <v>0</v>
      </c>
      <c r="J1152" s="83">
        <f t="shared" ca="1" si="244"/>
        <v>100</v>
      </c>
      <c r="K1152" s="83">
        <f t="shared" ca="1" si="244"/>
        <v>300</v>
      </c>
      <c r="L1152" s="83">
        <f t="shared" ca="1" si="244"/>
        <v>1216.5</v>
      </c>
      <c r="M1152" s="83">
        <f t="shared" ca="1" si="245"/>
        <v>600</v>
      </c>
      <c r="N1152" s="83">
        <f t="shared" ca="1" si="245"/>
        <v>72.5</v>
      </c>
      <c r="O1152" s="83">
        <f t="shared" ca="1" si="245"/>
        <v>240</v>
      </c>
      <c r="P1152" s="83">
        <f t="shared" ca="1" si="245"/>
        <v>40</v>
      </c>
      <c r="Q1152" s="83">
        <f t="shared" ca="1" si="245"/>
        <v>315</v>
      </c>
      <c r="R1152" s="83">
        <f t="shared" ca="1" si="245"/>
        <v>100</v>
      </c>
      <c r="S1152" s="83">
        <f t="shared" ca="1" si="245"/>
        <v>695</v>
      </c>
      <c r="T1152" s="83">
        <f t="shared" ca="1" si="245"/>
        <v>33.333333333333336</v>
      </c>
    </row>
    <row r="1153" spans="1:20" ht="15" hidden="1" x14ac:dyDescent="0.2">
      <c r="A1153" s="10">
        <f t="shared" si="238"/>
        <v>2097</v>
      </c>
      <c r="B1153" s="10">
        <f t="shared" si="241"/>
        <v>365</v>
      </c>
      <c r="C1153" s="83">
        <f t="shared" ca="1" si="244"/>
        <v>154.75824999999998</v>
      </c>
      <c r="D1153" s="83">
        <f t="shared" ca="1" si="244"/>
        <v>281.01624999999996</v>
      </c>
      <c r="E1153" s="83">
        <f t="shared" ca="1" si="244"/>
        <v>109.1005</v>
      </c>
      <c r="F1153" s="83">
        <f t="shared" ca="1" si="244"/>
        <v>57.041666666666657</v>
      </c>
      <c r="G1153" s="83">
        <f t="shared" ca="1" si="244"/>
        <v>40</v>
      </c>
      <c r="H1153" s="83">
        <f t="shared" ca="1" si="244"/>
        <v>174.58333333333334</v>
      </c>
      <c r="I1153" s="83">
        <f t="shared" ca="1" si="244"/>
        <v>0</v>
      </c>
      <c r="J1153" s="83">
        <f t="shared" ca="1" si="244"/>
        <v>100</v>
      </c>
      <c r="K1153" s="83">
        <f t="shared" ca="1" si="244"/>
        <v>300</v>
      </c>
      <c r="L1153" s="83">
        <f t="shared" ca="1" si="244"/>
        <v>1216.5</v>
      </c>
      <c r="M1153" s="83">
        <f t="shared" ca="1" si="245"/>
        <v>600</v>
      </c>
      <c r="N1153" s="83">
        <f t="shared" ca="1" si="245"/>
        <v>72.5</v>
      </c>
      <c r="O1153" s="83">
        <f t="shared" ca="1" si="245"/>
        <v>240</v>
      </c>
      <c r="P1153" s="83">
        <f t="shared" ca="1" si="245"/>
        <v>40</v>
      </c>
      <c r="Q1153" s="83">
        <f t="shared" ca="1" si="245"/>
        <v>315</v>
      </c>
      <c r="R1153" s="83">
        <f t="shared" ca="1" si="245"/>
        <v>100</v>
      </c>
      <c r="S1153" s="83">
        <f t="shared" ca="1" si="245"/>
        <v>695</v>
      </c>
      <c r="T1153" s="83">
        <f t="shared" ca="1" si="245"/>
        <v>33.333333333333336</v>
      </c>
    </row>
    <row r="1154" spans="1:20" ht="15" hidden="1" x14ac:dyDescent="0.2">
      <c r="A1154" s="10">
        <f t="shared" si="238"/>
        <v>2098</v>
      </c>
      <c r="B1154" s="10">
        <f t="shared" si="241"/>
        <v>365</v>
      </c>
      <c r="C1154" s="83">
        <f t="shared" ca="1" si="244"/>
        <v>154.75824999999998</v>
      </c>
      <c r="D1154" s="83">
        <f t="shared" ca="1" si="244"/>
        <v>281.01624999999996</v>
      </c>
      <c r="E1154" s="83">
        <f t="shared" ca="1" si="244"/>
        <v>109.1005</v>
      </c>
      <c r="F1154" s="83">
        <f t="shared" ca="1" si="244"/>
        <v>57.041666666666657</v>
      </c>
      <c r="G1154" s="83">
        <f t="shared" ca="1" si="244"/>
        <v>40</v>
      </c>
      <c r="H1154" s="83">
        <f t="shared" ca="1" si="244"/>
        <v>174.58333333333334</v>
      </c>
      <c r="I1154" s="83">
        <f t="shared" ca="1" si="244"/>
        <v>0</v>
      </c>
      <c r="J1154" s="83">
        <f t="shared" ca="1" si="244"/>
        <v>100</v>
      </c>
      <c r="K1154" s="83">
        <f t="shared" ca="1" si="244"/>
        <v>300</v>
      </c>
      <c r="L1154" s="83">
        <f t="shared" ca="1" si="244"/>
        <v>1216.5</v>
      </c>
      <c r="M1154" s="83">
        <f t="shared" ca="1" si="245"/>
        <v>600</v>
      </c>
      <c r="N1154" s="83">
        <f t="shared" ca="1" si="245"/>
        <v>72.5</v>
      </c>
      <c r="O1154" s="83">
        <f t="shared" ca="1" si="245"/>
        <v>240</v>
      </c>
      <c r="P1154" s="83">
        <f t="shared" ca="1" si="245"/>
        <v>40</v>
      </c>
      <c r="Q1154" s="83">
        <f t="shared" ca="1" si="245"/>
        <v>315</v>
      </c>
      <c r="R1154" s="83">
        <f t="shared" ca="1" si="245"/>
        <v>100</v>
      </c>
      <c r="S1154" s="83">
        <f t="shared" ca="1" si="245"/>
        <v>695</v>
      </c>
      <c r="T1154" s="83">
        <f t="shared" ca="1" si="245"/>
        <v>33.333333333333336</v>
      </c>
    </row>
    <row r="1155" spans="1:20" ht="15" hidden="1" x14ac:dyDescent="0.2">
      <c r="A1155" s="10">
        <f t="shared" si="238"/>
        <v>2099</v>
      </c>
      <c r="B1155" s="10">
        <f t="shared" si="241"/>
        <v>365</v>
      </c>
      <c r="C1155" s="83">
        <f t="shared" ca="1" si="244"/>
        <v>154.75824999999998</v>
      </c>
      <c r="D1155" s="83">
        <f t="shared" ca="1" si="244"/>
        <v>281.01624999999996</v>
      </c>
      <c r="E1155" s="83">
        <f t="shared" ca="1" si="244"/>
        <v>109.1005</v>
      </c>
      <c r="F1155" s="83">
        <f t="shared" ca="1" si="244"/>
        <v>57.041666666666657</v>
      </c>
      <c r="G1155" s="83">
        <f t="shared" ca="1" si="244"/>
        <v>40</v>
      </c>
      <c r="H1155" s="83">
        <f t="shared" ca="1" si="244"/>
        <v>174.58333333333334</v>
      </c>
      <c r="I1155" s="83">
        <f t="shared" ca="1" si="244"/>
        <v>0</v>
      </c>
      <c r="J1155" s="83">
        <f t="shared" ca="1" si="244"/>
        <v>100</v>
      </c>
      <c r="K1155" s="83">
        <f t="shared" ca="1" si="244"/>
        <v>300</v>
      </c>
      <c r="L1155" s="83">
        <f t="shared" ca="1" si="244"/>
        <v>1216.5</v>
      </c>
      <c r="M1155" s="83">
        <f t="shared" ca="1" si="245"/>
        <v>600</v>
      </c>
      <c r="N1155" s="83">
        <f t="shared" ca="1" si="245"/>
        <v>72.5</v>
      </c>
      <c r="O1155" s="83">
        <f t="shared" ca="1" si="245"/>
        <v>240</v>
      </c>
      <c r="P1155" s="83">
        <f t="shared" ca="1" si="245"/>
        <v>40</v>
      </c>
      <c r="Q1155" s="83">
        <f t="shared" ca="1" si="245"/>
        <v>315</v>
      </c>
      <c r="R1155" s="83">
        <f t="shared" ca="1" si="245"/>
        <v>100</v>
      </c>
      <c r="S1155" s="83">
        <f t="shared" ca="1" si="245"/>
        <v>695</v>
      </c>
      <c r="T1155" s="83">
        <f t="shared" ca="1" si="245"/>
        <v>33.333333333333336</v>
      </c>
    </row>
    <row r="1156" spans="1:20" ht="15" hidden="1" x14ac:dyDescent="0.2">
      <c r="A1156" s="10">
        <f t="shared" si="238"/>
        <v>2100</v>
      </c>
      <c r="B1156" s="10">
        <f t="shared" si="241"/>
        <v>365</v>
      </c>
      <c r="C1156" s="83">
        <f t="shared" ca="1" si="244"/>
        <v>154.75824999999998</v>
      </c>
      <c r="D1156" s="83">
        <f t="shared" ca="1" si="244"/>
        <v>281.01624999999996</v>
      </c>
      <c r="E1156" s="83">
        <f t="shared" ca="1" si="244"/>
        <v>109.1005</v>
      </c>
      <c r="F1156" s="83">
        <f t="shared" ca="1" si="244"/>
        <v>57.041666666666657</v>
      </c>
      <c r="G1156" s="83">
        <f t="shared" ca="1" si="244"/>
        <v>40</v>
      </c>
      <c r="H1156" s="83">
        <f t="shared" ca="1" si="244"/>
        <v>174.58333333333334</v>
      </c>
      <c r="I1156" s="83">
        <f t="shared" ca="1" si="244"/>
        <v>0</v>
      </c>
      <c r="J1156" s="83">
        <f t="shared" ca="1" si="244"/>
        <v>100</v>
      </c>
      <c r="K1156" s="83">
        <f t="shared" ca="1" si="244"/>
        <v>300</v>
      </c>
      <c r="L1156" s="83">
        <f t="shared" ca="1" si="244"/>
        <v>1216.5</v>
      </c>
      <c r="M1156" s="83">
        <f t="shared" ca="1" si="245"/>
        <v>600</v>
      </c>
      <c r="N1156" s="83">
        <f t="shared" ca="1" si="245"/>
        <v>72.5</v>
      </c>
      <c r="O1156" s="83">
        <f t="shared" ca="1" si="245"/>
        <v>240</v>
      </c>
      <c r="P1156" s="83">
        <f t="shared" ca="1" si="245"/>
        <v>40</v>
      </c>
      <c r="Q1156" s="83">
        <f t="shared" ca="1" si="245"/>
        <v>315</v>
      </c>
      <c r="R1156" s="83">
        <f t="shared" ca="1" si="245"/>
        <v>100</v>
      </c>
      <c r="S1156" s="83">
        <f t="shared" ca="1" si="245"/>
        <v>695</v>
      </c>
      <c r="T1156" s="83">
        <f t="shared" ca="1" si="245"/>
        <v>33.333333333333336</v>
      </c>
    </row>
    <row r="1157" spans="1:20" x14ac:dyDescent="0.2">
      <c r="A1157" s="8"/>
      <c r="B1157" s="8"/>
    </row>
    <row r="1158" spans="1:20" x14ac:dyDescent="0.2">
      <c r="A1158" s="8"/>
      <c r="B1158" s="8"/>
    </row>
    <row r="1159" spans="1:20" x14ac:dyDescent="0.2">
      <c r="A1159" s="8"/>
      <c r="B1159" s="8"/>
    </row>
    <row r="1160" spans="1:20" x14ac:dyDescent="0.2">
      <c r="A1160" s="8"/>
      <c r="B1160" s="8"/>
    </row>
    <row r="1161" spans="1:20" x14ac:dyDescent="0.2">
      <c r="A1161" s="8"/>
      <c r="B1161" s="8"/>
    </row>
    <row r="1162" spans="1:20" x14ac:dyDescent="0.2">
      <c r="A1162" s="8"/>
      <c r="B1162" s="8"/>
    </row>
    <row r="1163" spans="1:20" x14ac:dyDescent="0.2">
      <c r="A1163" s="8"/>
      <c r="B1163" s="8"/>
    </row>
    <row r="1164" spans="1:20" x14ac:dyDescent="0.2">
      <c r="A1164" s="8"/>
      <c r="B1164" s="8"/>
    </row>
    <row r="1165" spans="1:20" x14ac:dyDescent="0.2">
      <c r="A1165" s="8"/>
      <c r="B1165" s="8"/>
    </row>
    <row r="1166" spans="1:20" x14ac:dyDescent="0.2">
      <c r="A1166" s="8"/>
      <c r="B1166" s="8"/>
    </row>
    <row r="1167" spans="1:20" x14ac:dyDescent="0.2">
      <c r="A1167" s="8"/>
      <c r="B1167" s="8"/>
    </row>
    <row r="1168" spans="1:20" x14ac:dyDescent="0.2">
      <c r="A1168" s="8"/>
      <c r="B1168" s="8"/>
    </row>
    <row r="1169" spans="1:2" x14ac:dyDescent="0.2">
      <c r="A1169" s="8"/>
      <c r="B1169" s="8"/>
    </row>
    <row r="1170" spans="1:2" x14ac:dyDescent="0.2">
      <c r="A1170" s="8"/>
      <c r="B1170" s="8"/>
    </row>
    <row r="1171" spans="1:2" x14ac:dyDescent="0.2">
      <c r="A1171" s="8"/>
      <c r="B1171" s="8"/>
    </row>
    <row r="1172" spans="1:2" x14ac:dyDescent="0.2">
      <c r="A1172" s="8"/>
      <c r="B1172" s="8"/>
    </row>
    <row r="1173" spans="1:2" x14ac:dyDescent="0.2">
      <c r="A1173" s="8"/>
      <c r="B1173" s="8"/>
    </row>
    <row r="1174" spans="1:2" x14ac:dyDescent="0.2">
      <c r="A1174" s="8"/>
      <c r="B1174" s="8"/>
    </row>
    <row r="1175" spans="1:2" x14ac:dyDescent="0.2">
      <c r="A1175" s="8"/>
      <c r="B1175" s="8"/>
    </row>
    <row r="1176" spans="1:2" x14ac:dyDescent="0.2">
      <c r="A1176" s="8"/>
      <c r="B1176" s="8"/>
    </row>
  </sheetData>
  <mergeCells count="3">
    <mergeCell ref="C9:F9"/>
    <mergeCell ref="O9:Q9"/>
    <mergeCell ref="I9:K9"/>
  </mergeCells>
  <pageMargins left="0.25" right="0.25" top="0.5" bottom="0.5" header="0.25" footer="0.25"/>
  <pageSetup paperSize="17" scale="55" orientation="landscape" r:id="rId1"/>
  <headerFooter alignWithMargins="0">
    <oddFooter>&amp;R&amp;A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10</vt:i4>
      </vt:variant>
    </vt:vector>
  </HeadingPairs>
  <TitlesOfParts>
    <vt:vector size="16" baseType="lpstr">
      <vt:lpstr>CONTROL</vt:lpstr>
      <vt:lpstr>RAP-SOLID FUEL PRICES</vt:lpstr>
      <vt:lpstr>RAP-LIGHT OIL</vt:lpstr>
      <vt:lpstr>RAP-HEAVY OIL&amp;WTI</vt:lpstr>
      <vt:lpstr>RAP-NATURAL GAS PRICES</vt:lpstr>
      <vt:lpstr>RAP TEMPLATE-GAS AVAILABILITY</vt:lpstr>
      <vt:lpstr>'RAP TEMPLATE-GAS AVAILABILITY'!Print_Area</vt:lpstr>
      <vt:lpstr>'RAP-HEAVY OIL&amp;WTI'!Print_Area</vt:lpstr>
      <vt:lpstr>'RAP-LIGHT OIL'!Print_Area</vt:lpstr>
      <vt:lpstr>'RAP-NATURAL GAS PRICES'!Print_Area</vt:lpstr>
      <vt:lpstr>'RAP-SOLID FUEL PRICES'!Print_Area</vt:lpstr>
      <vt:lpstr>'RAP TEMPLATE-GAS AVAILABILITY'!Print_Titles</vt:lpstr>
      <vt:lpstr>'RAP-HEAVY OIL&amp;WTI'!Print_Titles</vt:lpstr>
      <vt:lpstr>'RAP-LIGHT OIL'!Print_Titles</vt:lpstr>
      <vt:lpstr>'RAP-NATURAL GAS PRICES'!Print_Titles</vt:lpstr>
      <vt:lpstr>'RAP-SOLID FUEL PRICES'!Print_Titles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2016-07-29T16:40:47Z</dcterms:created>
  <dcterms:modified xsi:type="dcterms:W3CDTF">2016-07-29T16:40:57Z</dcterms:modified>
</cp:coreProperties>
</file>